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2.xml" ContentType="application/vnd.openxmlformats-officedocument.drawing+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4.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vbaProject.bin" ContentType="application/vnd.ms-office.vbaProject"/>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7.xml" ContentType="application/vnd.openxmlformats-officedocument.spreadsheetml.comment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8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xl/ctrlProps/ctrlProp80.xml" ContentType="application/vnd.ms-excel.controlproperties+xml"/>
  <Override PartName="/xl/ctrlProps/ctrlProp79.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83.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82.xml" ContentType="application/vnd.ms-excel.controlproperties+xml"/>
  <Override PartName="/xl/ctrlProps/ctrlProp107.xml" ContentType="application/vnd.ms-excel.controlproperties+xml"/>
  <Override PartName="/xl/comments8.xml" ContentType="application/vnd.openxmlformats-officedocument.spreadsheetml.comments+xml"/>
  <Override PartName="/xl/ctrlProps/ctrlProp108.xml" ContentType="application/vnd.ms-excel.controlproperties+xml"/>
  <Override PartName="/xl/ctrlProps/ctrlProp109.xml" ContentType="application/vnd.ms-excel.controlproperties+xml"/>
  <Override PartName="/xl/ctrlProps/ctrlProp8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9.xml" ContentType="application/vnd.openxmlformats-officedocument.spreadsheetml.comments+xml"/>
  <Override PartName="/xl/ctrlProps/ctrlProp84.xml" ContentType="application/vnd.ms-excel.controlproperties+xml"/>
  <Override PartName="/xl/ctrlProps/ctrlProp131.xml" ContentType="application/vnd.ms-excel.controlproperties+xml"/>
  <Override PartName="/xl/ctrlProps/ctrlProp90.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fileSharing readOnlyRecommended="1"/>
  <workbookPr filterPrivacy="1" showInkAnnotation="0" updateLinks="never" codeName="ThisWorkbook"/>
  <xr:revisionPtr revIDLastSave="0" documentId="8_{171AB210-2576-4749-A009-E9A56D3080F0}" xr6:coauthVersionLast="47" xr6:coauthVersionMax="47" xr10:uidLastSave="{00000000-0000-0000-0000-000000000000}"/>
  <bookViews>
    <workbookView xWindow="-110" yWindow="-110" windowWidth="19420" windowHeight="11500" firstSheet="2" activeTab="19" xr2:uid="{00000000-000D-0000-FFFF-FFFF00000000}"/>
  </bookViews>
  <sheets>
    <sheet name="Library" sheetId="471" state="hidden" r:id="rId1"/>
    <sheet name="data" sheetId="426" state="hidden" r:id="rId2"/>
    <sheet name="Changes log" sheetId="493" r:id="rId3"/>
    <sheet name="Read me" sheetId="474" r:id="rId4"/>
    <sheet name="Test Case index" sheetId="472" r:id="rId5"/>
    <sheet name="Selector" sheetId="460" r:id="rId6"/>
    <sheet name="More Select" sheetId="470" r:id="rId7"/>
    <sheet name="tc_template" sheetId="473" state="hidden" r:id="rId8"/>
    <sheet name="target" sheetId="424" state="hidden" r:id="rId9"/>
    <sheet name="C0" sheetId="458" state="hidden" r:id="rId10"/>
    <sheet name="C1" sheetId="457" state="hidden" r:id="rId11"/>
    <sheet name="C2" sheetId="462" state="hidden" r:id="rId12"/>
    <sheet name="C3" sheetId="463" state="hidden" r:id="rId13"/>
    <sheet name="C4" sheetId="464" state="hidden" r:id="rId14"/>
    <sheet name="C5" sheetId="465" state="hidden" r:id="rId15"/>
    <sheet name="C6" sheetId="466" state="hidden" r:id="rId16"/>
    <sheet name="C7" sheetId="467" state="hidden" r:id="rId17"/>
    <sheet name="C8C9C10" sheetId="468" state="hidden" r:id="rId18"/>
    <sheet name="Test case" sheetId="461" r:id="rId19"/>
    <sheet name="Add pages" sheetId="478" r:id="rId20"/>
    <sheet name="SA302" sheetId="60" state="hidden" r:id="rId21"/>
    <sheet name="Liability" sheetId="389" state="hidden" r:id="rId22"/>
    <sheet name="CRC" sheetId="388" state="hidden" r:id="rId23"/>
    <sheet name="Swiss Tax Credit" sheetId="482" state="hidden" r:id="rId24"/>
    <sheet name="SA302_interface" sheetId="436" state="hidden" r:id="rId25"/>
    <sheet name="liability_template" sheetId="390" state="hidden" r:id="rId26"/>
    <sheet name="INC(1)" sheetId="448" r:id="rId27"/>
    <sheet name="INC(2)" sheetId="112" r:id="rId28"/>
    <sheet name="REL(1)" sheetId="477" r:id="rId29"/>
    <sheet name="REL(2)" sheetId="132" r:id="rId30"/>
    <sheet name="AOI" sheetId="120" state="hidden" r:id="rId31"/>
    <sheet name="Multi-UK-gains" sheetId="396" state="hidden" r:id="rId32"/>
    <sheet name="ASE" sheetId="449" state="hidden" r:id="rId33"/>
    <sheet name="AOR" sheetId="131" state="hidden" r:id="rId34"/>
    <sheet name="MCA" sheetId="479" state="hidden" r:id="rId35"/>
    <sheet name="AIL" sheetId="445" state="hidden" r:id="rId36"/>
    <sheet name="EMP" sheetId="50" state="hidden" r:id="rId37"/>
    <sheet name="MOR" sheetId="77" state="hidden" r:id="rId38"/>
    <sheet name="SE" sheetId="74" state="hidden" r:id="rId39"/>
    <sheet name="LUN" sheetId="80" state="hidden" r:id="rId40"/>
    <sheet name="PS" sheetId="83" state="hidden" r:id="rId41"/>
    <sheet name="NI" sheetId="488" state="hidden" r:id="rId42"/>
    <sheet name="PRO" sheetId="92" state="hidden" r:id="rId43"/>
    <sheet name="CGT" sheetId="450" state="hidden" r:id="rId44"/>
    <sheet name="FOR" sheetId="95" state="hidden" r:id="rId45"/>
    <sheet name="Swiss Tax" sheetId="480" state="hidden" r:id="rId46"/>
    <sheet name="FTCR" sheetId="395" state="hidden" r:id="rId47"/>
    <sheet name="Multi-foreign-gains" sheetId="397" state="hidden" r:id="rId48"/>
    <sheet name="TRU" sheetId="102" state="hidden" r:id="rId49"/>
    <sheet name="NRD" sheetId="103" state="hidden" r:id="rId50"/>
    <sheet name="CAL" sheetId="386" state="hidden" r:id="rId51"/>
    <sheet name="IRCX_template" sheetId="435" state="hidden" r:id="rId52"/>
    <sheet name="SA302_template" sheetId="49" state="hidden" r:id="rId53"/>
    <sheet name="SA302_template (W)" sheetId="489" state="hidden" r:id="rId54"/>
    <sheet name="TCRWS" sheetId="394" state="hidden" r:id="rId55"/>
    <sheet name="FTCR_Calc" sheetId="490" state="hidden" r:id="rId56"/>
    <sheet name="NS income (c1)" sheetId="2" state="hidden" r:id="rId57"/>
    <sheet name="Savings (c2)" sheetId="452" state="hidden" r:id="rId58"/>
    <sheet name="Divs (c3)" sheetId="451" state="hidden" r:id="rId59"/>
    <sheet name="Status (c3a)" sheetId="492" state="hidden" r:id="rId60"/>
    <sheet name="Deductions (c4)" sheetId="3" state="hidden" r:id="rId61"/>
    <sheet name="Taxable (c5)" sheetId="381" state="hidden" r:id="rId62"/>
    <sheet name="tax it (c6)" sheetId="4" state="hidden" r:id="rId63"/>
    <sheet name="CDR (c7)" sheetId="441" state="hidden" r:id="rId64"/>
    <sheet name="tax it (c8)" sheetId="382" state="hidden" r:id="rId65"/>
    <sheet name="Tax adj (c9)" sheetId="7" state="hidden" r:id="rId66"/>
    <sheet name="CRC_template" sheetId="362" state="hidden" r:id="rId67"/>
    <sheet name="Div Cr (c10)" sheetId="453" state="hidden" r:id="rId68"/>
    <sheet name="Tax paid (c11)" sheetId="6" state="hidden" r:id="rId69"/>
    <sheet name="Tax due (c12)" sheetId="454" state="hidden" r:id="rId70"/>
    <sheet name="POAs (c13)" sheetId="32" state="hidden" r:id="rId71"/>
    <sheet name="allowances (c14c15)" sheetId="9" state="hidden" r:id="rId72"/>
    <sheet name="Class 4 NIC (c16)" sheetId="392" state="hidden" r:id="rId73"/>
    <sheet name="TSR (c17)" sheetId="375" state="hidden" r:id="rId74"/>
    <sheet name="CG (c18)" sheetId="391" state="hidden" r:id="rId75"/>
    <sheet name="RBC (c19)" sheetId="485" state="hidden" r:id="rId76"/>
    <sheet name="RBC &amp; Cap (C20a)" sheetId="486" state="hidden" r:id="rId77"/>
    <sheet name="Notional (c21c23)" sheetId="47" state="hidden" r:id="rId78"/>
    <sheet name="LLIR (c24)" sheetId="491" state="hidden" r:id="rId79"/>
    <sheet name="Pensions (c25c26)" sheetId="442" state="hidden" r:id="rId80"/>
    <sheet name="S loans(c27)" sheetId="376" state="hidden" r:id="rId81"/>
    <sheet name="CBC(c28)" sheetId="476" state="hidden" r:id="rId82"/>
    <sheet name="non-res (c91)" sheetId="48" state="hidden" r:id="rId83"/>
    <sheet name="c99" sheetId="487" state="hidden" r:id="rId84"/>
    <sheet name="Swiss (SW)" sheetId="481" state="hidden" r:id="rId85"/>
  </sheets>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tc_template!$H$49</definedName>
    <definedName name="_AOR11">tc_template!$H$50</definedName>
    <definedName name="_AOR12">tc_template!$H$51</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tc_template!$H$46</definedName>
    <definedName name="_AOR8">tc_template!$H$47</definedName>
    <definedName name="_AOR9">tc_template!$H$48</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tc_template!$BD$14</definedName>
    <definedName name="_CGT11">tc_template!$BD$15</definedName>
    <definedName name="_CGT12">tc_template!$BD$16</definedName>
    <definedName name="_CGT13">tc_template!$BD$17</definedName>
    <definedName name="_CGT13C">tc_template!$BD$20</definedName>
    <definedName name="_CGT14">tc_template!$BD$29</definedName>
    <definedName name="_CGT15">tc_template!$BD$30</definedName>
    <definedName name="_CGT16">tc_template!$BD$31</definedName>
    <definedName name="_CGT17">tc_template!$BD$32</definedName>
    <definedName name="_CGT17.0">tc_template!$BD$33</definedName>
    <definedName name="_CGT18">tc_template!$BD$38</definedName>
    <definedName name="_CGT19">tc_template!$BD$39</definedName>
    <definedName name="_CGT2">tc_template!$BD$5</definedName>
    <definedName name="_CGT20">tc_template!$BD$40</definedName>
    <definedName name="_CGT21">tc_template!$BD$41</definedName>
    <definedName name="_CGT22">tc_template!$BD$42</definedName>
    <definedName name="_CGT23">tc_template!$BD$43</definedName>
    <definedName name="_CGT24">tc_template!$BD$44</definedName>
    <definedName name="_CGT25">tc_template!$BD$45</definedName>
    <definedName name="_CGT26">tc_template!$BD$46</definedName>
    <definedName name="_CGT26.1">tc_template!$BD$47</definedName>
    <definedName name="_CGT27">tc_template!$BD$48</definedName>
    <definedName name="_CGT28">tc_template!$BD$49</definedName>
    <definedName name="_CGT29">tc_template!$BD$50</definedName>
    <definedName name="_CGT3">tc_template!$BD$6</definedName>
    <definedName name="_CGT30">tc_template!$BD$51</definedName>
    <definedName name="_CGT31">tc_template!$BD$52</definedName>
    <definedName name="_CGT32">tc_template!$BD$53</definedName>
    <definedName name="_CGT33">tc_template!$BD$54</definedName>
    <definedName name="_CGT34">tc_template!$BD$55</definedName>
    <definedName name="_CGT34.1">tc_template!$BD$56</definedName>
    <definedName name="_CGT35">tc_template!$BD$57</definedName>
    <definedName name="_CGT36">tc_template!$BD$58</definedName>
    <definedName name="_CGT37">tc_template!$BD$59</definedName>
    <definedName name="_CGT38">tc_template!$BD$60</definedName>
    <definedName name="_CGT39">tc_template!$BD$61</definedName>
    <definedName name="_CGT4">tc_template!$BD$7</definedName>
    <definedName name="_CGT40">tc_template!$BD$62</definedName>
    <definedName name="_CGT41">tc_template!$BD$63</definedName>
    <definedName name="_CGT42">tc_template!$BD$64</definedName>
    <definedName name="_CGT43">tc_template!$BD$65</definedName>
    <definedName name="_CGT44">tc_template!$BD$66</definedName>
    <definedName name="_CGT45">tc_template!$BD$67</definedName>
    <definedName name="_CGT46">tc_template!$BD$68</definedName>
    <definedName name="_CGT47">tc_template!$BD$69</definedName>
    <definedName name="_CGT48">tc_template!$BD$70</definedName>
    <definedName name="_CGT49">tc_template!$BD$71</definedName>
    <definedName name="_CGT5">tc_template!$BD$8</definedName>
    <definedName name="_CGT50">tc_template!$BD$72</definedName>
    <definedName name="_CGT50.1">tc_template!$BD$73</definedName>
    <definedName name="_CGT51">tc_template!$BD$74</definedName>
    <definedName name="_CGT52">tc_template!$BD$75</definedName>
    <definedName name="_CGT52.1">tc_template!$BD$76</definedName>
    <definedName name="_CGT52.2">tc_template!$BD$77</definedName>
    <definedName name="_CGT52.3">tc_template!$BD$78</definedName>
    <definedName name="_CGT52.4">tc_template!$BD$79</definedName>
    <definedName name="_CGT52.5">tc_template!$BD$80</definedName>
    <definedName name="_CGT52EG">tc_template!$BD$81</definedName>
    <definedName name="_CGT52EG.1">tc_template!$BD$82</definedName>
    <definedName name="_CGT52QG">tc_template!$BD$83</definedName>
    <definedName name="_CGT52QG.1">tc_template!$BD$84</definedName>
    <definedName name="_CGT52QL">tc_template!$BD$85</definedName>
    <definedName name="_CGT53">tc_template!$BD$86</definedName>
    <definedName name="_CGT54">tc_template!$BD$87</definedName>
    <definedName name="_CGT6">tc_template!$BD$9</definedName>
    <definedName name="_CGT6.1">tc_template!$BD$10</definedName>
    <definedName name="_CGT7">tc_template!$BD$11</definedName>
    <definedName name="_CGT8">tc_template!$BD$12</definedName>
    <definedName name="_CGT9">tc_template!$BD$13</definedName>
    <definedName name="_CL1">tc_template!$BJ$31</definedName>
    <definedName name="_CL2">tc_template!$BJ$26</definedName>
    <definedName name="_CL2wkamt">tc_template!$BJ$27</definedName>
    <definedName name="_COV1">tc_template!#REF!</definedName>
    <definedName name="_EMPA1">tc_template!$N$4</definedName>
    <definedName name="_EMPA10">tc_template!$N$21</definedName>
    <definedName name="_EMPA11">tc_template!$N$22</definedName>
    <definedName name="_EMPA12">tc_template!$N$23</definedName>
    <definedName name="_EMPA13">tc_template!$N$24</definedName>
    <definedName name="_EMPA14">tc_template!$N$25</definedName>
    <definedName name="_EMPA15">tc_template!$N$26</definedName>
    <definedName name="_EMPA16">tc_template!$N$27</definedName>
    <definedName name="_EMPA17">tc_template!$N$28</definedName>
    <definedName name="_EMPA18">tc_template!$N$29</definedName>
    <definedName name="_EMPA19">tc_template!$N$30</definedName>
    <definedName name="_EMPA2">tc_template!$N$6</definedName>
    <definedName name="_EMPA20">tc_template!$N$31</definedName>
    <definedName name="_EMPA3">tc_template!$N$7</definedName>
    <definedName name="_EMPA4">tc_template!$N$9</definedName>
    <definedName name="_EMPA5">tc_template!$N$10</definedName>
    <definedName name="_EMPA6">tc_template!$N$11</definedName>
    <definedName name="_EMPA6.1">tc_template!$N$12</definedName>
    <definedName name="_EMPA7">tc_template!$N$13</definedName>
    <definedName name="_EMPA7.1">tc_template!$N$14</definedName>
    <definedName name="_EMPA7.2">tc_template!$N$15</definedName>
    <definedName name="_EMPA7.3">tc_template!$N$16</definedName>
    <definedName name="_EMPA7.4">tc_template!$N$17</definedName>
    <definedName name="_EMPA8">tc_template!$N$18</definedName>
    <definedName name="_EMPA8.1">tc_template!$N$19</definedName>
    <definedName name="_EMPA9">tc_template!$N$20</definedName>
    <definedName name="_EMPB1">tc_template!$N$35</definedName>
    <definedName name="_EMPB10">tc_template!$N$52</definedName>
    <definedName name="_EMPB11">tc_template!$N$53</definedName>
    <definedName name="_EMPB12">tc_template!$N$54</definedName>
    <definedName name="_EMPB13">tc_template!$N$55</definedName>
    <definedName name="_EMPB14">tc_template!$N$56</definedName>
    <definedName name="_EMPB15">tc_template!$N$57</definedName>
    <definedName name="_EMPB16">tc_template!$N$58</definedName>
    <definedName name="_EMPB17">tc_template!$N$59</definedName>
    <definedName name="_EMPB18">tc_template!$N$60</definedName>
    <definedName name="_EMPB19">tc_template!$N$61</definedName>
    <definedName name="_EMPB2">tc_template!$N$37</definedName>
    <definedName name="_EMPB20">tc_template!$N$62</definedName>
    <definedName name="_EMPB3">tc_template!$N$38</definedName>
    <definedName name="_EMPB4">tc_template!$N$40</definedName>
    <definedName name="_EMPB5">tc_template!$N$41</definedName>
    <definedName name="_EMPB6">tc_template!$N$42</definedName>
    <definedName name="_EMPB6.1">tc_template!$N$43</definedName>
    <definedName name="_EMPB7">tc_template!$N$44</definedName>
    <definedName name="_EMPB7.1">tc_template!$N$45</definedName>
    <definedName name="_EMPB7.2">tc_template!$N$46</definedName>
    <definedName name="_EMPB7.3">tc_template!$N$47</definedName>
    <definedName name="_EMPB7.4">tc_template!$N$48</definedName>
    <definedName name="_EMPB8">tc_template!$N$49</definedName>
    <definedName name="_EMPB8.1">tc_template!$N$50</definedName>
    <definedName name="_EMPB9">tc_template!$N$51</definedName>
    <definedName name="_EMPCL1">tc_template!$N$63</definedName>
    <definedName name="_xlnm._FilterDatabase" localSheetId="0" hidden="1">Library!$A$1:$AO$273</definedName>
    <definedName name="_FIN1">tc_template!$E$23</definedName>
    <definedName name="_FIN10">tc_template!$E$32</definedName>
    <definedName name="_FIN11">tc_template!$E$33</definedName>
    <definedName name="_FIN12">tc_template!$E$34</definedName>
    <definedName name="_FIN13">tc_template!$E$35</definedName>
    <definedName name="_FIN14">tc_template!$E$36</definedName>
    <definedName name="_FIN15">tc_template!$E$37</definedName>
    <definedName name="_FIN16">tc_template!$E$38</definedName>
    <definedName name="_FIN17">tc_template!$E$39</definedName>
    <definedName name="_FIN18">tc_template!$E$40</definedName>
    <definedName name="_FIN19">tc_template!$E$41</definedName>
    <definedName name="_FIN2">tc_template!$E$24</definedName>
    <definedName name="_FIN20">tc_template!$E$42</definedName>
    <definedName name="_FIN20.1">tc_template!$E$43</definedName>
    <definedName name="_FIN21">tc_template!$E$44</definedName>
    <definedName name="_FIN22">tc_template!$E$45</definedName>
    <definedName name="_FIN23">tc_template!$E$46</definedName>
    <definedName name="_FIN24">tc_template!$E$47</definedName>
    <definedName name="_FIN25">tc_template!$E$48</definedName>
    <definedName name="_FIN26">tc_template!$E$49</definedName>
    <definedName name="_FIN3">tc_template!$E$25</definedName>
    <definedName name="_FIN4">tc_template!$E$26</definedName>
    <definedName name="_FIN5">tc_template!$E$27</definedName>
    <definedName name="_FIN6">tc_template!$E$28</definedName>
    <definedName name="_FIN7">tc_template!$E$29</definedName>
    <definedName name="_FIN8">tc_template!$E$30</definedName>
    <definedName name="_FIN9">tc_template!$E$31</definedName>
    <definedName name="_FOR_17">tc_template!$AX$11</definedName>
    <definedName name="_FOR_25B_1">tc_template!$AX$25</definedName>
    <definedName name="_FOR_29D_1">tc_template!$AX$27</definedName>
    <definedName name="_FOR_30F_1">tc_template!$AX$29</definedName>
    <definedName name="_FOR_A_1">tc_template!$AX$39</definedName>
    <definedName name="_FOR_A_2">tc_template!$AX$43</definedName>
    <definedName name="_FOR_A_3">tc_template!$AX$47</definedName>
    <definedName name="_FOR_A_4">tc_template!$AX$51</definedName>
    <definedName name="_FOR_C_1">tc_template!$AX$40</definedName>
    <definedName name="_FOR_C_2">tc_template!$AX$44</definedName>
    <definedName name="_FOR_C_3">tc_template!$AX$48</definedName>
    <definedName name="_FOR_C_4">tc_template!$AX$52</definedName>
    <definedName name="_FOR_DIV_A">tc_template!$AU$80</definedName>
    <definedName name="_FOR_DIV_A_1">tc_template!$AU$21</definedName>
    <definedName name="_FOR_DIV_A_2">tc_template!$AU$27</definedName>
    <definedName name="_FOR_DIV_A_3">tc_template!$AU$33</definedName>
    <definedName name="_FOR_DIV_A_4">tc_template!$AU$39</definedName>
    <definedName name="_FOR_DIV_A_5">tc_template!$AU$45</definedName>
    <definedName name="_FOR_DIV_B">tc_template!$AU$81</definedName>
    <definedName name="_FOR_DIV_B_1">tc_template!$AU$22</definedName>
    <definedName name="_FOR_DIV_B_2">tc_template!$AU$28</definedName>
    <definedName name="_FOR_DIV_B_3">tc_template!$AU$34</definedName>
    <definedName name="_FOR_DIV_B_4">tc_template!$AU$40</definedName>
    <definedName name="_FOR_DIV_B_5">tc_template!$AU$46</definedName>
    <definedName name="_FOR_DIV_C">tc_template!$AU$82</definedName>
    <definedName name="_FOR_DIV_C_1">tc_template!$AU$23</definedName>
    <definedName name="_FOR_DIV_C_2">tc_template!$AU$29</definedName>
    <definedName name="_FOR_DIV_C_3">tc_template!$AU$35</definedName>
    <definedName name="_FOR_DIV_C_4">tc_template!$AU$41</definedName>
    <definedName name="_FOR_DIV_C_5">tc_template!$AU$47</definedName>
    <definedName name="_FOR_DIV_E">tc_template!$AU$84</definedName>
    <definedName name="_FOR_DIV_E_1">tc_template!$AU$25</definedName>
    <definedName name="_FOR_DIV_E_2">tc_template!$AU$31</definedName>
    <definedName name="_FOR_DIV_E_3">tc_template!$AU$37</definedName>
    <definedName name="_FOR_DIV_E_4">tc_template!$AU$43</definedName>
    <definedName name="_FOR_DIV_E_5">tc_template!$AU$49</definedName>
    <definedName name="_FOR_DS_A">tc_template!$AX$89</definedName>
    <definedName name="_FOR_DS_B">tc_template!$AX$90</definedName>
    <definedName name="_FOR_DS_C">tc_template!$AX$91</definedName>
    <definedName name="_FOR_DS_D">tc_template!$AX$92</definedName>
    <definedName name="_FOR_DS_E">tc_template!$AX$93</definedName>
    <definedName name="_FOR_DS_F">tc_template!$AX$94</definedName>
    <definedName name="_FOR_E_1">tc_template!$AX$41</definedName>
    <definedName name="_FOR_E_2">tc_template!$AX$45</definedName>
    <definedName name="_FOR_E_3">tc_template!$AX$49</definedName>
    <definedName name="_FOR_E_4">tc_template!$AX$53</definedName>
    <definedName name="_FOR_F_1">tc_template!$AX$42</definedName>
    <definedName name="_FOR_F_2">tc_template!$AX$46</definedName>
    <definedName name="_FOR_F_3">tc_template!$AX$50</definedName>
    <definedName name="_FOR_F_4">tc_template!$AX$54</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tc_template!$AX$24</definedName>
    <definedName name="_FOR_LP_E_1">tc_template!$AX$28</definedName>
    <definedName name="_FOR_NS_A">tc_template!$AX$69</definedName>
    <definedName name="_FOR_NS_B">tc_template!$AX$70</definedName>
    <definedName name="_FOR_NS_C">tc_template!$AX$71</definedName>
    <definedName name="_FOR_NS_D">tc_template!$AX$72</definedName>
    <definedName name="_FOR_NS_E">tc_template!$AX$73</definedName>
    <definedName name="_FOR_NS_F">tc_template!$AX$74</definedName>
    <definedName name="_FOR_OVE_A_1">tc_template!$AU$71</definedName>
    <definedName name="_FOR_OVE_B_1">tc_template!$AU$72</definedName>
    <definedName name="_FOR_OVE_C_1">tc_template!$AU$73</definedName>
    <definedName name="_FOR_OVE_E_1">tc_template!$AU$75</definedName>
    <definedName name="_FOR_R_DIV_A_1">tc_template!$AU$62</definedName>
    <definedName name="_FOR_R_DIV_B_1">tc_template!$AU$63</definedName>
    <definedName name="_FOR_R_DIV_C_1">tc_template!$AU$64</definedName>
    <definedName name="_FOR_R_DIV_E_1">tc_template!$AU$66</definedName>
    <definedName name="_FOR_R_INT_A_1">tc_template!$AU$54</definedName>
    <definedName name="_FOR_R_INT_B_1">tc_template!$AU$55</definedName>
    <definedName name="_FOR_R_INT_C_1">tc_template!$AU$56</definedName>
    <definedName name="_FOR_R_INT_E_1">tc_template!$AU$58</definedName>
    <definedName name="_FOR_RINT_7.1D_1">tc_template!$AU$57</definedName>
    <definedName name="_FOR_RINT_A_1">tc_template!$AU$54</definedName>
    <definedName name="_FOR_RINT_B_1">tc_template!$AU$55</definedName>
    <definedName name="_FOR_RINT_C_1">tc_template!$AU$56</definedName>
    <definedName name="_FOR_RINT_E_1">tc_template!$AU$58</definedName>
    <definedName name="_FOR_SS_A">tc_template!$AX$80</definedName>
    <definedName name="_FOR_SS_B">tc_template!$AX$81</definedName>
    <definedName name="_FOR_SS_C">tc_template!$AX$82</definedName>
    <definedName name="_FOR_SS_D">tc_template!$AX$83</definedName>
    <definedName name="_FOR_SS_E">tc_template!$AX$84</definedName>
    <definedName name="_FOR_SS_F">tc_template!$AX$85</definedName>
    <definedName name="_FOR1">tc_template!$AU$4</definedName>
    <definedName name="_FOR10">tc_template!$AU$86</definedName>
    <definedName name="_FOR10D">tc_template!$AU$83</definedName>
    <definedName name="_FOR11">tc_template!$AU$87</definedName>
    <definedName name="_FOR11.1">tc_template!$AU$88</definedName>
    <definedName name="_FOR11F_1">tc_template!$AU$85</definedName>
    <definedName name="_FOR12">tc_template!$AU$95</definedName>
    <definedName name="_FOR13">tc_template!$AU$96</definedName>
    <definedName name="_FOR13.0">tc_template!$AU$97</definedName>
    <definedName name="_FOR13.1">tc_template!$AX$4</definedName>
    <definedName name="_FOR13.2">tc_template!$AX$5</definedName>
    <definedName name="_FOR13A">tc_template!$AU$89</definedName>
    <definedName name="_FOR13B">tc_template!$AU$90</definedName>
    <definedName name="_FOR13C">tc_template!$AU$91</definedName>
    <definedName name="_FOR13D">tc_template!$AU$92</definedName>
    <definedName name="_FOR13E">tc_template!$AU$93</definedName>
    <definedName name="_FOR13F">tc_template!$AU$94</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1.1">tc_template!$AX$16</definedName>
    <definedName name="_FOR22">tc_template!$AX$17</definedName>
    <definedName name="_FOR22.1">tc_template!$AX$18</definedName>
    <definedName name="_FOR22.2">tc_template!$AX$19</definedName>
    <definedName name="_FOR23">tc_template!$AX$20</definedName>
    <definedName name="_FOR24">tc_template!$AX$21</definedName>
    <definedName name="_FOR24.1">tc_template!$AX$22</definedName>
    <definedName name="_FOR24.2">tc_template!$AX$23</definedName>
    <definedName name="_FOR25">tc_template!$AX$30</definedName>
    <definedName name="_FOR26">tc_template!$AX$31</definedName>
    <definedName name="_FOR27">tc_template!$AX$32</definedName>
    <definedName name="_FOR28">tc_template!$AX$33</definedName>
    <definedName name="_FOR28C_1">tc_template!$AX$26</definedName>
    <definedName name="_FOR29">tc_template!$AX$34</definedName>
    <definedName name="_FOR3">tc_template!$AU$18</definedName>
    <definedName name="_FOR30">tc_template!$AX$35</definedName>
    <definedName name="_FOR30.1">tc_template!$AX$36</definedName>
    <definedName name="_FOR31">tc_template!$AX$37</definedName>
    <definedName name="_FOR32">tc_template!$AX$38</definedName>
    <definedName name="_FOR33">tc_template!$AX$55</definedName>
    <definedName name="_FOR34">tc_template!$AX$56</definedName>
    <definedName name="_FOR35">tc_template!$AX$57</definedName>
    <definedName name="_FOR36">tc_template!$AX$58</definedName>
    <definedName name="_FOR37">tc_template!$AX$59</definedName>
    <definedName name="_FOR38">tc_template!$AX$60</definedName>
    <definedName name="_FOR39">tc_template!$AX$61</definedName>
    <definedName name="_FOR3D_2">tc_template!$AU$15</definedName>
    <definedName name="_FOR4">tc_template!$AU$19</definedName>
    <definedName name="_FOR4.1">tc_template!$AU$20</definedName>
    <definedName name="_FOR40">tc_template!$AX$62</definedName>
    <definedName name="_FOR41">tc_template!$AX$63</definedName>
    <definedName name="_FOR42">tc_template!$AX$64</definedName>
    <definedName name="_FOR43">tc_template!$AX$65</definedName>
    <definedName name="_FOR44">tc_template!$AX$66</definedName>
    <definedName name="_FOR45">tc_template!$AX$67</definedName>
    <definedName name="_FOR46">tc_template!$AX$68</definedName>
    <definedName name="_FOR47">tc_template!$AX$75</definedName>
    <definedName name="_FOR48">tc_template!$AX$76</definedName>
    <definedName name="_FOR48.1">tc_template!$AX$77</definedName>
    <definedName name="_FOR49">tc_template!$AX$78</definedName>
    <definedName name="_FOR49.1">tc_template!$AX$79</definedName>
    <definedName name="_FOR4F_1">tc_template!$AU$11</definedName>
    <definedName name="_FOR4F_2">tc_template!$AU$17</definedName>
    <definedName name="_FOR5">tc_template!$AU$51</definedName>
    <definedName name="_FOR50">tc_template!$AX$86</definedName>
    <definedName name="_FOR51">tc_template!$AX$87</definedName>
    <definedName name="_FOR51.1">tc_template!$AX$88</definedName>
    <definedName name="_FOR52">tc_template!$AX$95</definedName>
    <definedName name="_FOR53">tc_template!$AX$96</definedName>
    <definedName name="_FOR53.1">tc_template!$AX$97</definedName>
    <definedName name="_FOR54">tc_template!$AX$98</definedName>
    <definedName name="_FOR54.1">tc_template!$AX$99</definedName>
    <definedName name="_FOR55">tc_template!$AX$100</definedName>
    <definedName name="_FOR55.1">tc_template!$AX$101</definedName>
    <definedName name="_FOR56">tc_template!$AX$102</definedName>
    <definedName name="_FOR56.1">tc_template!$AX$103</definedName>
    <definedName name="_FOR57">tc_template!$AX$104</definedName>
    <definedName name="_FOR57.1">tc_template!$AX$105</definedName>
    <definedName name="_FOR58">tc_template!$AX$106</definedName>
    <definedName name="_FOR58.1">tc_template!$AX$107</definedName>
    <definedName name="_FOR59">tc_template!$AX$108</definedName>
    <definedName name="_FOR59.1">tc_template!$AX$109</definedName>
    <definedName name="_FOR5D_1">tc_template!$AU$24</definedName>
    <definedName name="_FOR5D_2">tc_template!$AU$30</definedName>
    <definedName name="_FOR5D_3">tc_template!$AU$36</definedName>
    <definedName name="_FOR5D_4">tc_template!$AU$42</definedName>
    <definedName name="_FOR5D_5">tc_template!$AU$48</definedName>
    <definedName name="_FOR6">tc_template!$AU$52</definedName>
    <definedName name="_FOR6.1">tc_template!$AU$53</definedName>
    <definedName name="_FOR60">tc_template!$AX$110</definedName>
    <definedName name="_FOR60.1">tc_template!$AX$111</definedName>
    <definedName name="_FOR61">tc_template!$AX$112</definedName>
    <definedName name="_FOR61.1">tc_template!$AX$113</definedName>
    <definedName name="_FOR62">tc_template!$AX$114</definedName>
    <definedName name="_FOR62.1">tc_template!$AX$115</definedName>
    <definedName name="_FOR63">tc_template!$AX$116</definedName>
    <definedName name="_FOR63.1">tc_template!$AX$117</definedName>
    <definedName name="_FOR64">tc_template!$AX$118</definedName>
    <definedName name="_FOR64.1">tc_template!$AX$119</definedName>
    <definedName name="_FOR6F_1">tc_template!$AU$26</definedName>
    <definedName name="_FOR6F_2">tc_template!$AU$32</definedName>
    <definedName name="_FOR6F_3">tc_template!$AU$38</definedName>
    <definedName name="_FOR6F_4">tc_template!$AU$44</definedName>
    <definedName name="_FOR6F_5">tc_template!$AU$50</definedName>
    <definedName name="_FOR7.1">tc_template!$AU$60</definedName>
    <definedName name="_FOR7.1_R_INT_D_1">tc_template!$AU$57</definedName>
    <definedName name="_FOR7.1_TOT">tc_template!$AU$60</definedName>
    <definedName name="_FOR7.1D_1">tc_template!$AU$57</definedName>
    <definedName name="_FOR7.2">tc_template!$AU$61</definedName>
    <definedName name="_FOR7.2_R_INT_F_1">tc_template!$AU$59</definedName>
    <definedName name="_FOR7.2_TOT">tc_template!$AU$61</definedName>
    <definedName name="_FOR7.2F_1">tc_template!$AU$59</definedName>
    <definedName name="_FOR7.3_R_DIV_D_1">tc_template!$AU$65</definedName>
    <definedName name="_FOR7.3_TOT">tc_template!$AU$68</definedName>
    <definedName name="_FOR7.4_R_DIV_F_1">tc_template!$AU$67</definedName>
    <definedName name="_FOR7.4_TOT">tc_template!$AU$69</definedName>
    <definedName name="_FOR7.5_TOT">tc_template!$AU$70</definedName>
    <definedName name="_FOR8">tc_template!$AU$77</definedName>
    <definedName name="_FOR8D_1">tc_template!$AU$74</definedName>
    <definedName name="_FOR9">tc_template!$AU$78</definedName>
    <definedName name="_FOR9.1">tc_template!$AU$79</definedName>
    <definedName name="_FOR9F_1">tc_template!$AU$76</definedName>
    <definedName name="_FORA_1">tc_template!$AU$54</definedName>
    <definedName name="_FORB_1">tc_template!$AU$55</definedName>
    <definedName name="_FORC_1">tc_template!$AU$56</definedName>
    <definedName name="_FORE_1">tc_template!$AU$58</definedName>
    <definedName name="_FOS63.1">tc_template!$AO$18</definedName>
    <definedName name="_FPS_AF1">tc_template!$AL$58</definedName>
    <definedName name="_FPS_AF2">tc_template!$AO$20</definedName>
    <definedName name="_FPS1">tc_template!$AL$4</definedName>
    <definedName name="_FPS10">tc_template!$AL$16</definedName>
    <definedName name="_FPS11">tc_template!$AL$17</definedName>
    <definedName name="_FPS12">tc_template!$AL$18</definedName>
    <definedName name="_FPS13">tc_template!$AL$19</definedName>
    <definedName name="_FPS14">tc_template!$AL$20</definedName>
    <definedName name="_FPS15">tc_template!$AL$21</definedName>
    <definedName name="_FPS16">tc_template!$AL$22</definedName>
    <definedName name="_FPS17">tc_template!$AL$27</definedName>
    <definedName name="_FPS18">tc_template!$AL$28</definedName>
    <definedName name="_FPS19">tc_template!$AL$29</definedName>
    <definedName name="_FPS2">tc_template!$AL$5</definedName>
    <definedName name="_FPS20">tc_template!$AL$30</definedName>
    <definedName name="_FPS20.1">tc_template!$AL$31</definedName>
    <definedName name="_FPS21">tc_template!$AL$32</definedName>
    <definedName name="_FPS21.1">tc_template!$AL$33</definedName>
    <definedName name="_FPS22">tc_template!$AL$34</definedName>
    <definedName name="_FPS23">tc_template!$AL$35</definedName>
    <definedName name="_FPS24">tc_template!$AL$36</definedName>
    <definedName name="_FPS25">tc_template!$AL$37</definedName>
    <definedName name="_FPS26">tc_template!$AL$38</definedName>
    <definedName name="_FPS27">tc_template!$AL$39</definedName>
    <definedName name="_FPS28">tc_template!$AL$40</definedName>
    <definedName name="_FPS29">tc_template!$AL$41</definedName>
    <definedName name="_FPS3">tc_template!$AL$7</definedName>
    <definedName name="_FPS30">tc_template!$AL$42</definedName>
    <definedName name="_FPS31">tc_template!$AL$43</definedName>
    <definedName name="_FPS32">tc_template!$AL$44</definedName>
    <definedName name="_FPS33">tc_template!$AL$45</definedName>
    <definedName name="_FPS34">tc_template!$AL$46</definedName>
    <definedName name="_FPS35">tc_template!$AL$48</definedName>
    <definedName name="_FPS35.1">tc_template!$AL$49</definedName>
    <definedName name="_FPS36">tc_template!$AL$50</definedName>
    <definedName name="_FPS37">tc_template!$AL$51</definedName>
    <definedName name="_FPS38">tc_template!$AL$52</definedName>
    <definedName name="_FPS39">tc_template!$AL$53</definedName>
    <definedName name="_FPS3Q">tc_template!$AL$6</definedName>
    <definedName name="_FPS4">tc_template!$AL$9</definedName>
    <definedName name="_FPS40">tc_template!$AL$54</definedName>
    <definedName name="_FPS41">tc_template!$AL$55</definedName>
    <definedName name="_FPS41.1">tc_template!$AL$56</definedName>
    <definedName name="_FPS41.2">tc_template!$AL$57</definedName>
    <definedName name="_FPS42">tc_template!$AL$59</definedName>
    <definedName name="_FPS43">tc_template!$AL$60</definedName>
    <definedName name="_FPS44">tc_template!$AL$61</definedName>
    <definedName name="_FPS45">tc_template!$AL$62</definedName>
    <definedName name="_FPS46">tc_template!$AL$63</definedName>
    <definedName name="_FPS47">tc_template!$AL$64</definedName>
    <definedName name="_FPS48">tc_template!$AL$65</definedName>
    <definedName name="_FPS49">tc_template!$AL$66</definedName>
    <definedName name="_FPS4Q">tc_template!$AL$8</definedName>
    <definedName name="_FPS5">tc_template!$AL$10</definedName>
    <definedName name="_FPS50">tc_template!$AL$67</definedName>
    <definedName name="_FPS51">tc_template!$AL$68</definedName>
    <definedName name="_FPS52">tc_template!$AO$4</definedName>
    <definedName name="_FPS53">tc_template!$AO$5</definedName>
    <definedName name="_FPS54">tc_template!$AO$6</definedName>
    <definedName name="_FPS55">tc_template!$AO$7</definedName>
    <definedName name="_FPS55.1">tc_template!$AO$8</definedName>
    <definedName name="_FPS56">tc_template!$AO$9</definedName>
    <definedName name="_FPS57">tc_template!$AO$10</definedName>
    <definedName name="_FPS58">tc_template!$AO$11</definedName>
    <definedName name="_FPS59">tc_template!$AO$12</definedName>
    <definedName name="_FPS6">tc_template!$AL$11</definedName>
    <definedName name="_FPS60">tc_template!$AO$13</definedName>
    <definedName name="_FPS60.1">tc_template!$AO$14</definedName>
    <definedName name="_FPS61">tc_template!$AO$15</definedName>
    <definedName name="_FPS62">tc_template!$AO$16</definedName>
    <definedName name="_FPS63">tc_template!$AO$17</definedName>
    <definedName name="_FPS63.2">tc_template!$AO$19</definedName>
    <definedName name="_FPS64">tc_template!$AO$21</definedName>
    <definedName name="_FPS65">tc_template!$AO$22</definedName>
    <definedName name="_FPS66">tc_template!$AO$23</definedName>
    <definedName name="_FPS67">tc_template!$AO$24</definedName>
    <definedName name="_FPS68">tc_template!$AO$25</definedName>
    <definedName name="_FPS69">tc_template!$AO$26</definedName>
    <definedName name="_FPS7">tc_template!$AL$12</definedName>
    <definedName name="_FPS70">tc_template!$AO$27</definedName>
    <definedName name="_FPS70.1">tc_template!$AO$28</definedName>
    <definedName name="_FPS71">tc_template!$AO$29</definedName>
    <definedName name="_FPS72">tc_template!$AO$30</definedName>
    <definedName name="_FPS73">tc_template!$AO$31</definedName>
    <definedName name="_FPS74">tc_template!$AO$32</definedName>
    <definedName name="_FPS75">tc_template!$AO$33</definedName>
    <definedName name="_FPS75.1">tc_template!$AO$34</definedName>
    <definedName name="_FPS76">tc_template!$AO$35</definedName>
    <definedName name="_FPS76.1">tc_template!$AO$36</definedName>
    <definedName name="_FPS77">tc_template!$AO$37</definedName>
    <definedName name="_FPS78">tc_template!$AO$38</definedName>
    <definedName name="_FPS79">tc_template!$AO$39</definedName>
    <definedName name="_FPS8">tc_template!$AL$13</definedName>
    <definedName name="_FPS80">tc_template!$AO$40</definedName>
    <definedName name="_FPS9">tc_template!$AL$14</definedName>
    <definedName name="_FSE1">tc_template!$W$4</definedName>
    <definedName name="_FSE10">tc_template!$W$15</definedName>
    <definedName name="_FSE100">tc_template!$Z$60</definedName>
    <definedName name="_FSE101">tc_template!$Z$61</definedName>
    <definedName name="_FSE102">tc_template!$Z$62</definedName>
    <definedName name="_FSE103">tc_template!$Z$63</definedName>
    <definedName name="_FSE11">tc_template!$W$16</definedName>
    <definedName name="_FSE12">tc_template!$W$17</definedName>
    <definedName name="_FSE13">tc_template!$W$18</definedName>
    <definedName name="_FSE14">tc_template!$W$19</definedName>
    <definedName name="_FSE15">tc_template!$W$20</definedName>
    <definedName name="_FSE16">tc_template!$W$21</definedName>
    <definedName name="_FSE16.1">tc_template!$W$22</definedName>
    <definedName name="_FSE17">tc_template!$W$23</definedName>
    <definedName name="_FSE18">tc_template!$W$24</definedName>
    <definedName name="_FSE19">tc_template!$W$25</definedName>
    <definedName name="_FSE2">tc_template!$W$5</definedName>
    <definedName name="_FSE20">tc_template!$W$26</definedName>
    <definedName name="_FSE21">tc_template!$W$27</definedName>
    <definedName name="_FSE22">tc_template!$W$28</definedName>
    <definedName name="_FSE23">tc_template!$W$29</definedName>
    <definedName name="_FSE24">tc_template!$W$30</definedName>
    <definedName name="_FSE25">tc_template!$W$31</definedName>
    <definedName name="_FSE26">tc_template!$W$32</definedName>
    <definedName name="_FSE27">tc_template!$W$33</definedName>
    <definedName name="_FSE28">tc_template!$W$34</definedName>
    <definedName name="_FSE29">tc_template!$W$35</definedName>
    <definedName name="_FSE3">tc_template!$W$6</definedName>
    <definedName name="_FSE30">tc_template!$W$36</definedName>
    <definedName name="_FSE31">tc_template!$W$37</definedName>
    <definedName name="_FSE32">tc_template!$W$38</definedName>
    <definedName name="_FSE33">tc_template!$W$39</definedName>
    <definedName name="_FSE34">tc_template!$W$40</definedName>
    <definedName name="_FSE35">tc_template!$W$41</definedName>
    <definedName name="_FSE36">tc_template!$W$42</definedName>
    <definedName name="_FSE37">tc_template!$W$43</definedName>
    <definedName name="_FSE38">tc_template!$W$44</definedName>
    <definedName name="_FSE39">tc_template!$W$45</definedName>
    <definedName name="_FSE4">tc_template!$W$7</definedName>
    <definedName name="_FSE40">tc_template!$W$46</definedName>
    <definedName name="_FSE41">tc_template!$W$47</definedName>
    <definedName name="_FSE42">tc_template!$W$48</definedName>
    <definedName name="_FSE43">tc_template!$W$49</definedName>
    <definedName name="_FSE44">tc_template!$W$50</definedName>
    <definedName name="_FSE45">tc_template!$W$51</definedName>
    <definedName name="_FSE46">tc_template!$W$52</definedName>
    <definedName name="_FSE47">tc_template!$W$53</definedName>
    <definedName name="_FSE48">tc_template!$W$54</definedName>
    <definedName name="_FSE49">tc_template!$W$55</definedName>
    <definedName name="_FSE5">tc_template!$W$8</definedName>
    <definedName name="_FSE50">tc_template!$W$56</definedName>
    <definedName name="_FSE51">tc_template!$W$57</definedName>
    <definedName name="_FSE52">tc_template!$W$58</definedName>
    <definedName name="_FSE52.1">tc_template!$W$59</definedName>
    <definedName name="_FSE53">tc_template!$Z$4</definedName>
    <definedName name="_FSE53.1">tc_template!$Z$5</definedName>
    <definedName name="_FSE54">tc_template!$Z$6</definedName>
    <definedName name="_FSE55">tc_template!$Z$7</definedName>
    <definedName name="_FSE56">tc_template!$Z$8</definedName>
    <definedName name="_FSE57">tc_template!$Z$9</definedName>
    <definedName name="_FSE59">tc_template!$Z$11</definedName>
    <definedName name="_FSE6">tc_template!$W$10</definedName>
    <definedName name="_FSE60">tc_template!$Z$12</definedName>
    <definedName name="_FSE61">tc_template!$Z$13</definedName>
    <definedName name="_FSE62">tc_template!$Z$14</definedName>
    <definedName name="_FSE63">tc_template!$Z$15</definedName>
    <definedName name="_FSE64">tc_template!$Z$16</definedName>
    <definedName name="_FSE65">tc_template!$Z$17</definedName>
    <definedName name="_FSE66">tc_template!$Z$18</definedName>
    <definedName name="_FSE67">tc_template!$Z$19</definedName>
    <definedName name="_FSE68">tc_template!$Z$20</definedName>
    <definedName name="_FSE69">tc_template!$Z$21</definedName>
    <definedName name="_FSE6Q">tc_template!$W$9</definedName>
    <definedName name="_FSE7">tc_template!$W$12</definedName>
    <definedName name="_FSE70">tc_template!$Z$22</definedName>
    <definedName name="_FSE71">tc_template!$Z$24</definedName>
    <definedName name="_FSE72">tc_template!$Z$25</definedName>
    <definedName name="_FSE73">tc_template!$Z$26</definedName>
    <definedName name="_FSE74">tc_template!$Z$31</definedName>
    <definedName name="_FSE75">tc_template!$Z$32</definedName>
    <definedName name="_FSE75.1">tc_template!$Z$33</definedName>
    <definedName name="_FSE76">tc_template!$Z$34</definedName>
    <definedName name="_FSE76.1">tc_template!$Z$35</definedName>
    <definedName name="_FSE77">tc_template!$Z$36</definedName>
    <definedName name="_FSE77.1">tc_template!$Z$37</definedName>
    <definedName name="_FSE78">tc_template!$Z$38</definedName>
    <definedName name="_FSE79">tc_template!$Z$39</definedName>
    <definedName name="_FSE7Q">tc_template!$W$11</definedName>
    <definedName name="_FSE8">tc_template!$W$13</definedName>
    <definedName name="_FSE80">tc_template!$Z$40</definedName>
    <definedName name="_FSE81">tc_template!$Z$41</definedName>
    <definedName name="_FSE82">tc_template!$Z$42</definedName>
    <definedName name="_FSE83">tc_template!$Z$43</definedName>
    <definedName name="_FSE84">tc_template!$Z$44</definedName>
    <definedName name="_FSE85">tc_template!$Z$45</definedName>
    <definedName name="_FSE86">tc_template!$Z$46</definedName>
    <definedName name="_FSE87">tc_template!$Z$47</definedName>
    <definedName name="_FSE88">tc_template!$Z$48</definedName>
    <definedName name="_FSE89">tc_template!$Z$49</definedName>
    <definedName name="_FSE9">tc_template!$W$14</definedName>
    <definedName name="_FSE90">tc_template!$Z$50</definedName>
    <definedName name="_FSE91">tc_template!$Z$51</definedName>
    <definedName name="_FSE92">tc_template!$Z$52</definedName>
    <definedName name="_FSE93">tc_template!$Z$53</definedName>
    <definedName name="_FSE94">tc_template!$Z$54</definedName>
    <definedName name="_FSE95">tc_template!$Z$55</definedName>
    <definedName name="_FSE96">tc_template!$Z$56</definedName>
    <definedName name="_FSE97">tc_template!$Z$57</definedName>
    <definedName name="_FSE98">tc_template!$Z$58</definedName>
    <definedName name="_FSE99">tc_template!$Z$59</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1">tc_template!$AC$16</definedName>
    <definedName name="_LUN12">tc_template!$AC$17</definedName>
    <definedName name="_LUN13">tc_template!$AC$18</definedName>
    <definedName name="_LUN14">tc_template!$AC$19</definedName>
    <definedName name="_LUN15">tc_template!$AC$20</definedName>
    <definedName name="_LUN16">tc_template!$AC$21</definedName>
    <definedName name="_LUN17">tc_template!$AC$22</definedName>
    <definedName name="_LUN18">tc_template!$AC$23</definedName>
    <definedName name="_LUN19">tc_template!$AC$24</definedName>
    <definedName name="_LUN2">tc_template!$AC$5</definedName>
    <definedName name="_LUN20">tc_template!$AC$25</definedName>
    <definedName name="_LUN21">tc_template!$AC$26</definedName>
    <definedName name="_LUN22">tc_template!$AC$27</definedName>
    <definedName name="_LUN23">tc_template!$AC$28</definedName>
    <definedName name="_LUN24">tc_template!$AC$29</definedName>
    <definedName name="_LUN25">tc_template!$AC$30</definedName>
    <definedName name="_LUN26">tc_template!$AC$31</definedName>
    <definedName name="_LUN27">tc_template!$AC$32</definedName>
    <definedName name="_LUN28">tc_template!$AC$33</definedName>
    <definedName name="_LUN29">tc_template!$AC$34</definedName>
    <definedName name="_LUN3">tc_template!#REF!</definedName>
    <definedName name="_LUN30">tc_template!$AC$35</definedName>
    <definedName name="_LUN31">tc_template!$AC$36</definedName>
    <definedName name="_LUN32">tc_template!$AC$37</definedName>
    <definedName name="_LUN33">tc_template!$AC$38</definedName>
    <definedName name="_LUN34">tc_template!$AC$39</definedName>
    <definedName name="_LUN35">tc_template!$AC$40</definedName>
    <definedName name="_LUN36">tc_template!$AC$41</definedName>
    <definedName name="_LUN37">tc_template!$AC$42</definedName>
    <definedName name="_LUN38">tc_template!$AC$43</definedName>
    <definedName name="_LUN39">tc_template!$AC$44</definedName>
    <definedName name="_LUN4">tc_template!$AC$9</definedName>
    <definedName name="_LUN40">tc_template!$AC$45</definedName>
    <definedName name="_LUN41">tc_template!$AC$46</definedName>
    <definedName name="_LUN42">tc_template!$AC$47</definedName>
    <definedName name="_LUN43">tc_template!$AC$48</definedName>
    <definedName name="_LUN44">tc_template!$AC$49</definedName>
    <definedName name="_LUN45">tc_template!$AC$50</definedName>
    <definedName name="_LUN46">tc_template!$AC$51</definedName>
    <definedName name="_LUN47">tc_template!$AC$52</definedName>
    <definedName name="_LUN48">tc_template!$AC$53</definedName>
    <definedName name="_LUN49">tc_template!$AC$54</definedName>
    <definedName name="_LUN5">tc_template!$AC$10</definedName>
    <definedName name="_LUN50">tc_template!$AC$55</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tc_template!$AC$11</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tc_template!$AC$12</definedName>
    <definedName name="_LUN8">tc_template!$AC$13</definedName>
    <definedName name="_LUN9">tc_template!$AC$14</definedName>
    <definedName name="_MAT_IN">tc_template!$B$56</definedName>
    <definedName name="_MAT_OUT">tc_template!$B$55</definedName>
    <definedName name="_MAT0">tc_template!$B$49</definedName>
    <definedName name="_MAT1">tc_template!$B$50</definedName>
    <definedName name="_MAT2">tc_template!$B$51</definedName>
    <definedName name="_MAT3">tc_template!$B$52</definedName>
    <definedName name="_MAT4">tc_template!$B$53</definedName>
    <definedName name="_MAT5">tc_template!$B$54</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tc_template!$Q$15</definedName>
    <definedName name="_MOR11">tc_template!$Q$16</definedName>
    <definedName name="_MOR12">tc_template!$Q$17</definedName>
    <definedName name="_MOR13">tc_template!$Q$18</definedName>
    <definedName name="_MOR14">tc_template!$Q$19</definedName>
    <definedName name="_MOR15">tc_template!$Q$20</definedName>
    <definedName name="_MOR16">tc_template!$Q$21</definedName>
    <definedName name="_MOR17">tc_template!$Q$22</definedName>
    <definedName name="_MOR18">tc_template!$Q$23</definedName>
    <definedName name="_MOR19">tc_template!$Q$24</definedName>
    <definedName name="_MOR2">tc_template!$Q$5</definedName>
    <definedName name="_MOR20">tc_template!$Q$25</definedName>
    <definedName name="_MOR21">tc_template!$Q$26</definedName>
    <definedName name="_MOR22">tc_template!$Q$27</definedName>
    <definedName name="_MOR23">tc_template!$Q$28</definedName>
    <definedName name="_MOR24">tc_template!$Q$29</definedName>
    <definedName name="_MOR25">tc_template!$Q$30</definedName>
    <definedName name="_MOR26">tc_template!$Q$31</definedName>
    <definedName name="_MOR27">tc_template!$Q$32</definedName>
    <definedName name="_MOR28">tc_template!$Q$33</definedName>
    <definedName name="_MOR29">tc_template!$Q$34</definedName>
    <definedName name="_MOR3">tc_template!$Q$7</definedName>
    <definedName name="_MOR30">tc_template!$Q$35</definedName>
    <definedName name="_MOR31">tc_template!$Q$36</definedName>
    <definedName name="_MOR32">tc_template!$Q$37</definedName>
    <definedName name="_MOR33">tc_template!$Q$38</definedName>
    <definedName name="_MOR34">tc_template!$Q$39</definedName>
    <definedName name="_MOR35">tc_template!$Q$40</definedName>
    <definedName name="_MOR36">tc_template!$Q$41</definedName>
    <definedName name="_MOR37">tc_template!$Q$42</definedName>
    <definedName name="_MOR38">tc_template!$Q$43</definedName>
    <definedName name="_MOR39">tc_template!$Q$44</definedName>
    <definedName name="_MOR4">tc_template!$Q$8</definedName>
    <definedName name="_MOR5">tc_template!$Q$10</definedName>
    <definedName name="_MOR6">tc_template!$Q$11</definedName>
    <definedName name="_MOR7">tc_template!$Q$12</definedName>
    <definedName name="_MOR8">tc_template!$Q$13</definedName>
    <definedName name="_MOR9">tc_template!$Q$14</definedName>
    <definedName name="_MORCL1">tc_template!$Q$45</definedName>
    <definedName name="_NRD1">tc_template!$BG$4</definedName>
    <definedName name="_NRD10">tc_template!$BG$14</definedName>
    <definedName name="_NRD11">tc_template!$BG$15</definedName>
    <definedName name="_NRD11.1">tc_template!$BG$16</definedName>
    <definedName name="_NRD12">tc_template!$BG$17</definedName>
    <definedName name="_NRD13">tc_template!$BG$18</definedName>
    <definedName name="_NRD14">tc_template!$BG$19</definedName>
    <definedName name="_NRD15">tc_template!$BG$20</definedName>
    <definedName name="_NRD16">tc_template!$BG$21</definedName>
    <definedName name="_NRD17">tc_template!$BG$22</definedName>
    <definedName name="_NRD18">tc_template!$BG$23</definedName>
    <definedName name="_NRD19">tc_template!$BG$24</definedName>
    <definedName name="_NRD2">tc_template!$BG$5</definedName>
    <definedName name="_NRD20">tc_template!$BG$25</definedName>
    <definedName name="_NRD21">tc_template!$BG$26</definedName>
    <definedName name="_NRD22">tc_template!$BG$27</definedName>
    <definedName name="_NRD23">tc_template!$BG$28</definedName>
    <definedName name="_NRD23.1">tc_template!$BG$29</definedName>
    <definedName name="_NRD23.2">tc_template!$BG$30</definedName>
    <definedName name="_NRD23.3">tc_template!$BG$31</definedName>
    <definedName name="_NRD24">tc_template!$BG$32</definedName>
    <definedName name="_NRD25">tc_template!$BG$33</definedName>
    <definedName name="_NRD26">tc_template!$BG$34</definedName>
    <definedName name="_NRD27">tc_template!$BG$35</definedName>
    <definedName name="_NRD28">tc_template!$BG$36</definedName>
    <definedName name="_NRD29">tc_template!$BG$37</definedName>
    <definedName name="_NRD3">tc_template!$BG$6</definedName>
    <definedName name="_NRD3.1">tc_template!$BG$7</definedName>
    <definedName name="_NRD30">tc_template!$BG$38</definedName>
    <definedName name="_NRD31">tc_template!$BG$39</definedName>
    <definedName name="_NRD32">tc_template!$BG$40</definedName>
    <definedName name="_NRD33">tc_template!$BG$41</definedName>
    <definedName name="_NRD34">tc_template!$BG$42</definedName>
    <definedName name="_NRD35">tc_template!$BG$43</definedName>
    <definedName name="_NRD36">tc_template!$BG$44</definedName>
    <definedName name="_NRD37">tc_template!$BG$45</definedName>
    <definedName name="_NRD38">tc_template!$BG$46</definedName>
    <definedName name="_NRD39">tc_template!$BG$47</definedName>
    <definedName name="_NRD4">tc_template!$BG$8</definedName>
    <definedName name="_NRD40">tc_template!$BG$48</definedName>
    <definedName name="_NRD41">tc_template!$BG$49</definedName>
    <definedName name="_NRD42">tc_template!#REF!</definedName>
    <definedName name="_NRD43">tc_template!$BG$50</definedName>
    <definedName name="_NRD44">tc_template!$BG$51</definedName>
    <definedName name="_NRD45">tc_template!#REF!</definedName>
    <definedName name="_NRD46">tc_template!$BG$52</definedName>
    <definedName name="_NRD47">tc_template!$BG$53</definedName>
    <definedName name="_NRD48">tc_template!$BG$54</definedName>
    <definedName name="_NRD49">tc_template!$BG$55</definedName>
    <definedName name="_NRD5">tc_template!$BG$9</definedName>
    <definedName name="_NRD50">tc_template!$BG$56</definedName>
    <definedName name="_NRD51">tc_template!$BG$57</definedName>
    <definedName name="_NRD52">tc_template!$BG$58</definedName>
    <definedName name="_NRD53">tc_template!$BG$59</definedName>
    <definedName name="_NRD54">tc_template!$BG$60</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tc_template!$AR$34</definedName>
    <definedName name="_PRO11">tc_template!$AR$16</definedName>
    <definedName name="_PRO11.1">tc_template!$AR$17</definedName>
    <definedName name="_PRO11.1_2">tc_template!$AR$36</definedName>
    <definedName name="_PRO11.2">tc_template!$AR$18</definedName>
    <definedName name="_PRO11.2_2">tc_template!$AR$37</definedName>
    <definedName name="_PRO12">tc_template!$AR$19</definedName>
    <definedName name="_PRO12.2">tc_template!$AR$38</definedName>
    <definedName name="_PRO13">tc_template!$AR$20</definedName>
    <definedName name="_PRO13.2">tc_template!$AR$39</definedName>
    <definedName name="_PRO14">tc_template!$AR$21</definedName>
    <definedName name="_PRO14.2">tc_template!$AR$40</definedName>
    <definedName name="_PRO15">tc_template!$AR$22</definedName>
    <definedName name="_PRO15.2">tc_template!$AR$41</definedName>
    <definedName name="_PRO16">tc_template!$AR$23</definedName>
    <definedName name="_PRO16.2">tc_template!$AR$42</definedName>
    <definedName name="_PRO17">tc_template!$AR$24</definedName>
    <definedName name="_PRO17.2">tc_template!$AR$43</definedName>
    <definedName name="_PRO18">tc_template!$AR$25</definedName>
    <definedName name="_PRO18.2">tc_template!$AR$44</definedName>
    <definedName name="_PRO19">tc_template!$AR$26</definedName>
    <definedName name="_PRO19.2">tc_template!$AR$45</definedName>
    <definedName name="_PRO2">tc_template!$AR$5</definedName>
    <definedName name="_PRO20">tc_template!$AR$46</definedName>
    <definedName name="_PRO20.1">tc_template!$AR$47</definedName>
    <definedName name="_PRO20.2">tc_template!$AR$48</definedName>
    <definedName name="_PRO21">tc_template!$AR$49</definedName>
    <definedName name="_PRO22">tc_template!$AR$50</definedName>
    <definedName name="_PRO23">tc_template!$AR$51</definedName>
    <definedName name="_PRO24">tc_template!$AR$52</definedName>
    <definedName name="_PRO25">tc_template!$AR$53</definedName>
    <definedName name="_PRO26">tc_template!$AR$54</definedName>
    <definedName name="_PRO27">tc_template!$AR$55</definedName>
    <definedName name="_PRO28">tc_template!$AR$56</definedName>
    <definedName name="_PRO29">tc_template!$AR$57</definedName>
    <definedName name="_PRO3">tc_template!$AR$6</definedName>
    <definedName name="_PRO30">tc_template!$AR$58</definedName>
    <definedName name="_PRO31">tc_template!$AR$59</definedName>
    <definedName name="_PRO32">tc_template!$AR$60</definedName>
    <definedName name="_PRO33">tc_template!$AR$61</definedName>
    <definedName name="_PRO33.1">tc_template!$AR$62</definedName>
    <definedName name="_PRO33.2">tc_template!$AR$63</definedName>
    <definedName name="_PRO34">tc_template!$AR$64</definedName>
    <definedName name="_PRO34.1">tc_template!$AR$65</definedName>
    <definedName name="_PRO35">tc_template!$AR$66</definedName>
    <definedName name="_PRO36">tc_template!$AR$67</definedName>
    <definedName name="_PRO37">tc_template!$AR$68</definedName>
    <definedName name="_PRO38">tc_template!$AR$69</definedName>
    <definedName name="_PRO39">tc_template!$AR$70</definedName>
    <definedName name="_PRO4">tc_template!$AR$7</definedName>
    <definedName name="_PRO40">tc_template!$AR$71</definedName>
    <definedName name="_PRO41">tc_template!$AR$72</definedName>
    <definedName name="_PRO42">tc_template!$AR$73</definedName>
    <definedName name="_PRO43">tc_template!$AR$74</definedName>
    <definedName name="_PRO44">tc_template!$AR$75</definedName>
    <definedName name="_PRO45">tc_template!$AR$76</definedName>
    <definedName name="_PRO5">tc_template!$AR$8</definedName>
    <definedName name="_PRO5.2">tc_template!$AR$27</definedName>
    <definedName name="_PRO5_1">tc_template!$AR$9</definedName>
    <definedName name="_PRO5_1.2">tc_template!$AR$28</definedName>
    <definedName name="_PRO5_2">tc_template!$AR$10</definedName>
    <definedName name="_PRO5_2.2">tc_template!$AR$29</definedName>
    <definedName name="_PRO6">tc_template!$AR$11</definedName>
    <definedName name="_PRO6.2">tc_template!$AR$30</definedName>
    <definedName name="_PRO7">tc_template!$AR$12</definedName>
    <definedName name="_PRO7.2">tc_template!$AR$31</definedName>
    <definedName name="_PRO8">tc_template!$AR$13</definedName>
    <definedName name="_PRO8.2">tc_template!$AR$32</definedName>
    <definedName name="_PRO9">tc_template!$AR$14</definedName>
    <definedName name="_PRO9.2">tc_template!$AR$33</definedName>
    <definedName name="_REL1">tc_template!$E$4</definedName>
    <definedName name="_REL1.1">tc_template!$E$5</definedName>
    <definedName name="_REL10">tc_template!$E$14</definedName>
    <definedName name="_REL11">tc_template!$E$15</definedName>
    <definedName name="_REL12">tc_template!$E$16</definedName>
    <definedName name="_REL13">tc_template!$E$17</definedName>
    <definedName name="_REL14">tc_template!$E$18</definedName>
    <definedName name="_REL15">tc_template!$E$19</definedName>
    <definedName name="_REL16">tc_template!$E$20</definedName>
    <definedName name="_REL2">tc_template!$E$6</definedName>
    <definedName name="_REL3">tc_template!$E$7</definedName>
    <definedName name="_REL4">tc_template!$E$8</definedName>
    <definedName name="_REL5">tc_template!$E$9</definedName>
    <definedName name="_REL6">tc_template!$E$10</definedName>
    <definedName name="_REL7">tc_template!$E$11</definedName>
    <definedName name="_REL8">tc_template!$E$12</definedName>
    <definedName name="_REL9">tc_template!$E$13</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tc_template!$AI$16</definedName>
    <definedName name="_SPS11">tc_template!$AI$17</definedName>
    <definedName name="_SPS12">tc_template!$AI$18</definedName>
    <definedName name="_SPS13">tc_template!$AI$19</definedName>
    <definedName name="_SPS14">tc_template!$AI$20</definedName>
    <definedName name="_SPS15">tc_template!$AI$21</definedName>
    <definedName name="_SPS16">tc_template!$AI$22</definedName>
    <definedName name="_SPS17">tc_template!$AI$23</definedName>
    <definedName name="_SPS18">tc_template!$AI$24</definedName>
    <definedName name="_SPS19">tc_template!$AI$25</definedName>
    <definedName name="_SPS2">tc_template!$AI$5</definedName>
    <definedName name="_SPS20">tc_template!$AI$26</definedName>
    <definedName name="_SPS21">tc_template!$AI$27</definedName>
    <definedName name="_SPS22">tc_template!$AI$28</definedName>
    <definedName name="_SPS23">tc_template!$AI$29</definedName>
    <definedName name="_SPS24">tc_template!$AI$30</definedName>
    <definedName name="_SPS25">tc_template!$AI$31</definedName>
    <definedName name="_SPS26">tc_template!$AI$32</definedName>
    <definedName name="_SPS27">tc_template!$AI$33</definedName>
    <definedName name="_SPS28">tc_template!$AI$34</definedName>
    <definedName name="_SPS3">tc_template!$AI$7</definedName>
    <definedName name="_SPS30">tc_template!$AI$36</definedName>
    <definedName name="_SPS31">tc_template!$AI$37</definedName>
    <definedName name="_SPS32">tc_template!$AI$38</definedName>
    <definedName name="_SPS3Q">tc_template!$AI$6</definedName>
    <definedName name="_SPS4">tc_template!$AI$9</definedName>
    <definedName name="_SPS4Q">tc_template!$AI$8</definedName>
    <definedName name="_SPS5">tc_template!$AI$10</definedName>
    <definedName name="_SPS6">tc_template!$AI$11</definedName>
    <definedName name="_SPS7">tc_template!$AI$12</definedName>
    <definedName name="_SPS8">tc_template!$AI$13</definedName>
    <definedName name="_SPS9">tc_template!$AI$14</definedName>
    <definedName name="_SSE1">tc_template!$T$4</definedName>
    <definedName name="_SSE10">tc_template!$T$15</definedName>
    <definedName name="_SSE10.1">tc_template!$T$16</definedName>
    <definedName name="_SSE11">tc_template!$T$17</definedName>
    <definedName name="_SSE12">tc_template!$T$18</definedName>
    <definedName name="_SSE13">tc_template!$T$19</definedName>
    <definedName name="_SSE14">tc_template!$T$20</definedName>
    <definedName name="_SSE15">tc_template!$T$21</definedName>
    <definedName name="_SSE16">tc_template!$T$22</definedName>
    <definedName name="_SSE17">tc_template!$T$23</definedName>
    <definedName name="_SSE18">tc_template!$T$24</definedName>
    <definedName name="_SSE19">tc_template!$T$25</definedName>
    <definedName name="_SSE2">tc_template!$T$5</definedName>
    <definedName name="_SSE20">tc_template!$T$26</definedName>
    <definedName name="_SSE21">tc_template!$T$27</definedName>
    <definedName name="_SSE22">tc_template!$T$28</definedName>
    <definedName name="_SSE23">tc_template!$T$29</definedName>
    <definedName name="_SSE24">tc_template!$T$30</definedName>
    <definedName name="_SSE24.1">tc_template!$T$31</definedName>
    <definedName name="_SSE25">tc_template!$T$32</definedName>
    <definedName name="_SSE25.1">tc_template!$T$33</definedName>
    <definedName name="_SSE25.2">tc_template!$T$34</definedName>
    <definedName name="_SSE26">tc_template!$T$35</definedName>
    <definedName name="_SSE27">tc_template!$T$36</definedName>
    <definedName name="_SSE28">tc_template!$T$38</definedName>
    <definedName name="_SSE29">tc_template!$T$39</definedName>
    <definedName name="_SSE3">tc_template!$T$6</definedName>
    <definedName name="_SSE30">tc_template!$T$40</definedName>
    <definedName name="_SSE31">tc_template!$T$41</definedName>
    <definedName name="_SSE32">tc_template!$T$42</definedName>
    <definedName name="_SSE33">tc_template!$T$43</definedName>
    <definedName name="_SSE34">tc_template!$T$44</definedName>
    <definedName name="_SSE35">tc_template!$T$45</definedName>
    <definedName name="_SSE36">tc_template!$T$46</definedName>
    <definedName name="_SSE37">tc_template!$T$47</definedName>
    <definedName name="_SSE38">tc_template!$T$48</definedName>
    <definedName name="_SSE4">tc_template!$T$7</definedName>
    <definedName name="_SSE5">tc_template!$T$9</definedName>
    <definedName name="_SSE5Q">tc_template!$T$8</definedName>
    <definedName name="_SSE6">tc_template!$T$11</definedName>
    <definedName name="_SSE6Q">tc_template!$T$10</definedName>
    <definedName name="_SSE7">tc_template!$T$12</definedName>
    <definedName name="_SSE8">tc_template!$T$13</definedName>
    <definedName name="_SSE9">tc_template!$T$14</definedName>
    <definedName name="_Toc137538025" localSheetId="66">CRC_template!$B$60</definedName>
    <definedName name="_Toc257364484" localSheetId="58">'Divs (c3)'!$B$44</definedName>
    <definedName name="_Toc257364486" localSheetId="58">'Divs (c3)'!$B$54</definedName>
    <definedName name="_Toc328722581" localSheetId="70">'POAs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8.1">tc_template!$BA$22</definedName>
    <definedName name="_TRU19">tc_template!$BA$23</definedName>
    <definedName name="_TRU2">tc_template!$BA$5</definedName>
    <definedName name="_TRU22">tc_template!$BA$24</definedName>
    <definedName name="_TRU22.1">tc_template!$BA$25</definedName>
    <definedName name="_TRU23">tc_template!$BA$26</definedName>
    <definedName name="_TRU24">tc_template!$BA$27</definedName>
    <definedName name="_TRU25">tc_template!$BA$28</definedName>
    <definedName name="_TRU25.1">tc_template!$BA$29</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WFHP1">tc_template!$B$46</definedName>
    <definedName name="_xleta.AND" hidden="1" xlm="1">#NAME?</definedName>
    <definedName name="_xleta.OR" hidden="1" xlm="1">#NAME?</definedName>
    <definedName name="_YPD1">tc_template!$B$4</definedName>
    <definedName name="_YPD2">tc_template!$B$5</definedName>
    <definedName name="_YPD3">tc_template!$B$6</definedName>
    <definedName name="_YPD4">tc_template!$B$7</definedName>
    <definedName name="_YPDTR">tc_template!$B$8</definedName>
    <definedName name="A_rate">data!$E$78</definedName>
    <definedName name="AA_excess">data!$E$148</definedName>
    <definedName name="AA_limit">data!$E$146</definedName>
    <definedName name="ADD_P_IND">target!$A$165</definedName>
    <definedName name="adjusted_net_income">'Deductions (c4)'!$I$401</definedName>
    <definedName name="adjusted_net_income_TSR">'TSR (c17)'!$F$214</definedName>
    <definedName name="adjusted_total_income">'Deductions (c4)'!$E$201</definedName>
    <definedName name="AHR_band">data!$E$107</definedName>
    <definedName name="AHR_case">'tax it (c8)'!$D$193</definedName>
    <definedName name="AHR_case_PSA">'Deductions (c4)'!$M$628</definedName>
    <definedName name="AHR_rate">data!$E$57</definedName>
    <definedName name="AIL">AIL!$A$1</definedName>
    <definedName name="AIL_IND">target!$A$85</definedName>
    <definedName name="AIL_RANGE">'C1'!$C$87:$JQ$105</definedName>
    <definedName name="Alimony">IRCX_template!$D$114</definedName>
    <definedName name="Allce_BPA">IRCX_template!$D$36</definedName>
    <definedName name="Allce_BPA_Spare">IRCX_template!$D$37</definedName>
    <definedName name="Allce_dedn_total">IRCX_template!$D$38</definedName>
    <definedName name="Allce_PA">IRCX_template!$D$34</definedName>
    <definedName name="AllceIn_TPA">IRCX_template!$I$6</definedName>
    <definedName name="AllceIn_TPA_relief">IRCX_template!$I$7</definedName>
    <definedName name="AllceOut_TPA">IRCX_template!$D$35</definedName>
    <definedName name="allowedTypes">data!$B$3:$B$65</definedName>
    <definedName name="annuity_amount">IRCX_template!$I$66</definedName>
    <definedName name="annuity_tax">IRCX_template!$I$67</definedName>
    <definedName name="AOI">AOI!$A$1</definedName>
    <definedName name="AOI_A_IND">target!$A$53</definedName>
    <definedName name="AOI_A_RANGE">'C1'!$C$3:$JQ$6</definedName>
    <definedName name="AOI_B_IND">target!$A$57</definedName>
    <definedName name="AOI_B_RANGE">'C1'!$C$9:$JQ$17</definedName>
    <definedName name="AOI_C_IND">target!$A$61</definedName>
    <definedName name="AOI_C_RANGE">'C1'!$C$20:$JQ$25</definedName>
    <definedName name="AOR">AOR!$A$1</definedName>
    <definedName name="AOR_IND">target!$A$77</definedName>
    <definedName name="AOR_RANGE">'C1'!$C$50:$JQ$62</definedName>
    <definedName name="ASE">ASE!$A$1</definedName>
    <definedName name="ASE_A_IND">target!$A$65</definedName>
    <definedName name="ASE_A_RANGE">'C1'!$C$28:$JQ$29</definedName>
    <definedName name="ASE_B_IND">target!$A$69</definedName>
    <definedName name="ASE_B_RANGE">'C1'!$C$32:$JQ$40</definedName>
    <definedName name="ASE_C_IND">target!$A$73</definedName>
    <definedName name="ASE_C_RANGE">'C1'!$C$43:$JQ$48</definedName>
    <definedName name="BCD_year">data!$E$167</definedName>
    <definedName name="before_30_sep">'POAs (c13)'!$A$22</definedName>
    <definedName name="Benefits_Emp">IRCX_template!$D$3</definedName>
    <definedName name="box_18.5_claim">CAL!$K$21</definedName>
    <definedName name="box_18.8_claim">CAL!$K$26</definedName>
    <definedName name="box_18_3">'Tax due (c12)'!$M$107</definedName>
    <definedName name="box_c12_1_s23">'Tax due (c12)'!$J$14</definedName>
    <definedName name="box_c12_1_s811">'Tax due (c12)'!$J$18</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ox_NRD40">NRD!$Q$18</definedName>
    <definedName name="box_NRD41">NRD!#REF!</definedName>
    <definedName name="box_NRD50">NRD!#REF!</definedName>
    <definedName name="BPA">data!$E$157</definedName>
    <definedName name="BPA_claimed">'REL(2)'!$N$5</definedName>
    <definedName name="BR_band">data!$E$101</definedName>
    <definedName name="BR_rate">data!$E$55</definedName>
    <definedName name="BRD_charge">IRCX_template!$I$28</definedName>
    <definedName name="BRD_reduction">IRCX_template!$I$14</definedName>
    <definedName name="CAL">CAL!$A$1</definedName>
    <definedName name="CAL_IND">target!$A$161</definedName>
    <definedName name="CAL_range">'C8C9C10'!$C$147:$JQ$166</definedName>
    <definedName name="calc_GA_alt_c8_26">'tax it (c8)'!$N$161</definedName>
    <definedName name="calc_TP_alt_c8_26">'tax it (c8)'!$O$138</definedName>
    <definedName name="calc_TSR_alt_c17_6">AOI!$N$27</definedName>
    <definedName name="CBC_HR_threshold">data!$E$137</definedName>
    <definedName name="CBC_Ind">target!$A$37</definedName>
    <definedName name="CBC_RANGE">C0!$C$66:$JQ$69</definedName>
    <definedName name="CBC_rate">data!$E$139</definedName>
    <definedName name="CBC_taper">data!$E$138</definedName>
    <definedName name="CG_at_ER_rate">IRCX_template!$I$86</definedName>
    <definedName name="CG_at_higher_rate">IRCX_template!$I$102</definedName>
    <definedName name="CG_at_higher_rate_CI">IRCX_template!$I$94</definedName>
    <definedName name="CG_at_higher_rate_RP">IRCX_template!$I$98</definedName>
    <definedName name="CG_at_lower_rate">IRCX_template!$I$100</definedName>
    <definedName name="CG_at_lower_rate_CI">IRCX_template!$I$92</definedName>
    <definedName name="CG_at_lower_rate_RP">IRCX_template!$I$96</definedName>
    <definedName name="CG_exempt">data!$E$159</definedName>
    <definedName name="CG_FTCR">IRCX_template!$I$109</definedName>
    <definedName name="CG_FTCR_restricted">IRCX_template!$I$110</definedName>
    <definedName name="CG_not_repayable">IRCX_template!$I$118</definedName>
    <definedName name="CG_repayable">IRCX_template!$I$116</definedName>
    <definedName name="CG_tax_due_pre_tax">IRCX_template!$I$111</definedName>
    <definedName name="CG_trust_tax">IRCX_template!$I$107</definedName>
    <definedName name="CGT">CGT!$A$1</definedName>
    <definedName name="CGT_adjustment">IRCX_template!$I$106</definedName>
    <definedName name="CGT_IND">target!$A$153</definedName>
    <definedName name="CGT_RANGE">'C8C9C10'!$C$2:$JQ$86</definedName>
    <definedName name="CGTax">IRCX_template!$I$23</definedName>
    <definedName name="Charge_rate">data!$E$86</definedName>
    <definedName name="Child_Benefit_tax_charge">IRCX_template!$I$37</definedName>
    <definedName name="CI_CGT_rate">data!$E$87</definedName>
    <definedName name="CITR">IRCX_template!$D$112</definedName>
    <definedName name="CITR_rate">data!$E$76</definedName>
    <definedName name="claim_to_reduce">CAL!$K$15</definedName>
    <definedName name="Class1_PT">data!$E$109</definedName>
    <definedName name="Class1_UEL">data!$E$110</definedName>
    <definedName name="coded_in_later_year">IRCX_template!$I$83</definedName>
    <definedName name="coded_out_limit">data!$E$136</definedName>
    <definedName name="DA">'Deductions (c4)'!$M$646</definedName>
    <definedName name="date_formatted">data!$H$167</definedName>
    <definedName name="date_formatted_W">data!$H$181</definedName>
    <definedName name="debt_coded">IRCX_template!$I$71</definedName>
    <definedName name="debt_collected">IRCX_template!$I$72</definedName>
    <definedName name="Ded_cap">data!$E$160</definedName>
    <definedName name="ded_Loss">IRCX_template!$D$27</definedName>
    <definedName name="ded_loss_restricted">IRCX_template!$D$28</definedName>
    <definedName name="Ded_taper">data!$E$161</definedName>
    <definedName name="dedn_Annuity">IRCX_template!$D$29</definedName>
    <definedName name="Dedn_cap">data!$E$160</definedName>
    <definedName name="dedn_Gift">IRCX_template!$D$30</definedName>
    <definedName name="dedn_RAR">IRCX_template!$D$25</definedName>
    <definedName name="Dedn_taper">data!$E$161</definedName>
    <definedName name="dedn_Trust">IRCX_template!$D$26</definedName>
    <definedName name="deficiency_relief">IRCX_template!$D$107</definedName>
    <definedName name="div_tax_credits">IRCX_template!$I$49</definedName>
    <definedName name="div_tax_credits_s399">IRCX_template!$I$50</definedName>
    <definedName name="DivAR_rate">data!$E$72</definedName>
    <definedName name="DivBR_rate">data!$E$70</definedName>
    <definedName name="DivHR_rate">data!$E$71</definedName>
    <definedName name="DivNil_rate">data!$E$69</definedName>
    <definedName name="divs_gross">data!$I$48</definedName>
    <definedName name="divs_gross_F">data!$J$48</definedName>
    <definedName name="divs_gross_old">data!$I$56</definedName>
    <definedName name="divs_gross_old_F">data!$J$56</definedName>
    <definedName name="divs_gross_old_P">data!$L$56</definedName>
    <definedName name="divs_gross_P">data!$L$48</definedName>
    <definedName name="divs_taxfree_AHR">IRCX_template!$D$77</definedName>
    <definedName name="divs_taxfree_BR">IRCX_template!$D$71</definedName>
    <definedName name="divs_taxfree_HR">IRCX_template!$D$74</definedName>
    <definedName name="DTA">data!$E$152</definedName>
    <definedName name="EIS">IRCX_template!$D$110</definedName>
    <definedName name="EIS_rate">data!$E$74</definedName>
    <definedName name="EMP">EMP!$A$1</definedName>
    <definedName name="EMP_A_IND">target!$A$89</definedName>
    <definedName name="EMP_B_IND">target!$A$93</definedName>
    <definedName name="EMP_RANGE_A">'C2'!$C$2:$JQ$29</definedName>
    <definedName name="EMP_RANGE_B">'C2'!$C$31:$JQ$58</definedName>
    <definedName name="ER_CGT_rate">data!$E$79</definedName>
    <definedName name="ER_rate_CGT">IRCX_template!$I$87</definedName>
    <definedName name="Exps_Emp">IRCX_template!$D$4</definedName>
    <definedName name="extended_BR">IRCX_template!$D$42</definedName>
    <definedName name="extended_BR_fmt">data!$J$133</definedName>
    <definedName name="extended_BR_STp">IRCX_template!$D$45</definedName>
    <definedName name="Fe_Rel_claimed">IRCX_template!$D$33</definedName>
    <definedName name="Fe_Rel_restricted">IRCX_template!$D$32</definedName>
    <definedName name="Fi_Rel">IRCX_template!$D$31</definedName>
    <definedName name="FIG_claim_election">NRD!$Q$19</definedName>
    <definedName name="FIN">'REL(2)'!$A$53</definedName>
    <definedName name="FIN_Ind">target!$A$49</definedName>
    <definedName name="FIN_RANGE">C0!$C$84:$JQ$110</definedName>
    <definedName name="FIR_Claim">NRD!$Q$10</definedName>
    <definedName name="FOR">FOR!$A$1</definedName>
    <definedName name="FOR_3D_1">tc_template!$AU$9</definedName>
    <definedName name="FOR_43">FOR!$L$43</definedName>
    <definedName name="FOR_44">FOR!$P$36</definedName>
    <definedName name="FOR_45">FOR!$P$40</definedName>
    <definedName name="FOR_IND">target!$A$141</definedName>
    <definedName name="FOR_RANGE">'C6'!$C$1:$JQ$211</definedName>
    <definedName name="Foreign_CEG_dedn">IRCX_template!$D$15</definedName>
    <definedName name="foreign_dividends">IRCX_template!$D$13</definedName>
    <definedName name="foreign_savings">IRCX_template!$D$14</definedName>
    <definedName name="FPS">PS!$A$13</definedName>
    <definedName name="FPS_RANGE">'C4'!$C$31:$JQ$120</definedName>
    <definedName name="FSE">SE!$A$9</definedName>
    <definedName name="FSE_RANGE">'C3'!$C$48:$JQ$155</definedName>
    <definedName name="FTCR">IRCX_template!$I$16</definedName>
    <definedName name="FTCR_restricted">IRCX_template!$I$17</definedName>
    <definedName name="FTCR_run_1" localSheetId="55">FTCR_Calc!$B$32</definedName>
    <definedName name="FTCR_run_1">TCRWS!$B$32</definedName>
    <definedName name="FTCR_run_10" localSheetId="55">FTCR_Calc!$B$41</definedName>
    <definedName name="FTCR_run_10">TCRWS!$B$41</definedName>
    <definedName name="FTCR_run_2" localSheetId="55">FTCR_Calc!$B$33</definedName>
    <definedName name="FTCR_run_2">TCRWS!$B$33</definedName>
    <definedName name="FTCR_run_3" localSheetId="55">FTCR_Calc!$B$34</definedName>
    <definedName name="FTCR_run_3">TCRWS!$B$34</definedName>
    <definedName name="FTCR_run_4" localSheetId="55">FTCR_Calc!$B$35</definedName>
    <definedName name="FTCR_run_4">TCRWS!$B$35</definedName>
    <definedName name="FTCR_run_5" localSheetId="55">FTCR_Calc!$B$36</definedName>
    <definedName name="FTCR_run_5">TCRWS!$B$36</definedName>
    <definedName name="FTCR_run_6" localSheetId="55">FTCR_Calc!$B$37</definedName>
    <definedName name="FTCR_run_6">TCRWS!$B$37</definedName>
    <definedName name="FTCR_run_7" localSheetId="55">FTCR_Calc!$B$38</definedName>
    <definedName name="FTCR_run_7">TCRWS!$B$38</definedName>
    <definedName name="FTCR_run_8" localSheetId="55">FTCR_Calc!$B$39</definedName>
    <definedName name="FTCR_run_8">TCRWS!$B$39</definedName>
    <definedName name="FTCR_run_9" localSheetId="55">FTCR_Calc!$B$40</definedName>
    <definedName name="FTCR_run_9">TCRWS!$B$40</definedName>
    <definedName name="GA_alt_c8_26">'tax it (c8)'!$N$162</definedName>
    <definedName name="GA_calc">'tax it (c8)'!$O$169</definedName>
    <definedName name="gift_aid">data!$I$55</definedName>
    <definedName name="Gift_aid_amount">IRCX_template!$I$21</definedName>
    <definedName name="gift_aid_F">data!$J$55</definedName>
    <definedName name="Gift_aid_tax_due">IRCX_template!$I$22</definedName>
    <definedName name="Gift_aid_tax_reduced">IRCX_template!$I$27</definedName>
    <definedName name="gift_extender">IRCX_template!$D$41</definedName>
    <definedName name="gift_extender_fmt">data!$J$132</definedName>
    <definedName name="Gross_By_22">data!$I$52</definedName>
    <definedName name="Gross_By_22_F">data!$J$52</definedName>
    <definedName name="H_MCA">data!$E$156</definedName>
    <definedName name="Higher_rate_CGT">IRCX_template!$I$103</definedName>
    <definedName name="Higher_rate_CGT_CI">IRCX_template!$I$95</definedName>
    <definedName name="Higher_rate_CGT_RP">IRCX_template!$I$99</definedName>
    <definedName name="HR_band">data!$E$104</definedName>
    <definedName name="HR_case">'tax it (c8)'!$D$186</definedName>
    <definedName name="HR_case_MAT">'Deductions (c4)'!$R$590</definedName>
    <definedName name="HR_case_PSA">'Deductions (c4)'!$M$613</definedName>
    <definedName name="HR_gross">data!$I$51</definedName>
    <definedName name="HR_gross_F">data!$J$51</definedName>
    <definedName name="HR_limit_fmt">data!$J$134</definedName>
    <definedName name="HR_rate">data!$E$56</definedName>
    <definedName name="Hsave_rate">data!$E$56</definedName>
    <definedName name="in_year_rept">'Add pages'!$M$35</definedName>
    <definedName name="INC">'INC(1)'!$A$18</definedName>
    <definedName name="INC_A_IND">target!$A$9</definedName>
    <definedName name="INC_A_RANGE">C0!$C$11:$JQ$18</definedName>
    <definedName name="INC_B_IND">target!$A$13</definedName>
    <definedName name="INC_B_RANGE">C0!$C$20:$JQ$29</definedName>
    <definedName name="INC_C_IND">target!$A$17</definedName>
    <definedName name="INC_C_RANGE">C0!$C$31:$JQ$36</definedName>
    <definedName name="income_Case3">IRCX_template!$D$17</definedName>
    <definedName name="income_CEG">IRCX_template!$D$20</definedName>
    <definedName name="income_CEG_dedn">IRCX_template!$D$21</definedName>
    <definedName name="income_CEG_taxfree_BR">IRCX_template!$D$94</definedName>
    <definedName name="income_CEG_taxfree_HR">IRCX_template!$D$97</definedName>
    <definedName name="income_D">IRCX_template!$D$7</definedName>
    <definedName name="income_D_PTR">IRCX_template!$D$8</definedName>
    <definedName name="income_DV_PTR">IRCX_template!$D$10</definedName>
    <definedName name="income_E">IRCX_template!$D$5</definedName>
    <definedName name="Income_Excluded">IRCX_template!$I$44</definedName>
    <definedName name="income_F">IRCX_template!$D$18</definedName>
    <definedName name="income_Foreign">IRCX_template!$D$12</definedName>
    <definedName name="income_IFP">IRCX_template!$D$11</definedName>
    <definedName name="income_Other">IRCX_template!$D$22</definedName>
    <definedName name="income_Pensions">IRCX_template!$D$19</definedName>
    <definedName name="income_S_PTR">IRCX_template!$D$9</definedName>
    <definedName name="income_Savings_taxfree_BR">IRCX_template!$D$63</definedName>
    <definedName name="Income_Savings_taxfree_HR">IRCX_template!$D$66</definedName>
    <definedName name="income_Shares">IRCX_template!$D$6</definedName>
    <definedName name="income_tax_gift_aid">IRCX_template!$I$26</definedName>
    <definedName name="income_termination">IRCX_template!$D$23</definedName>
    <definedName name="income_Total">IRCX_template!$D$24</definedName>
    <definedName name="income_Trust">IRCX_template!$D$16</definedName>
    <definedName name="Ind_disp">CGT!$W$24</definedName>
    <definedName name="IT_after_allces">IRCX_template!$I$20</definedName>
    <definedName name="IT_after_div_tax_credits">IRCX_template!$I$53</definedName>
    <definedName name="IT_plus_class4">IRCX_template!$I$69</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data!$E$173</definedName>
    <definedName name="Ldiv_rate">data!$E$68</definedName>
    <definedName name="LFI_amount">IRCX_template!$I$11</definedName>
    <definedName name="LFI_relief">IRCX_template!$I$12</definedName>
    <definedName name="Llir_amount">IRCX_template!$I$8</definedName>
    <definedName name="Llir_amount_restricted">IRCX_template!$I$9</definedName>
    <definedName name="Llir_relief">IRCX_template!$I$10</definedName>
    <definedName name="Lower_CGT_rate">data!$E$80</definedName>
    <definedName name="Lower_CGT_rate_CI">data!$E$84</definedName>
    <definedName name="Lower_CGT_rate_RP">data!$E$82</definedName>
    <definedName name="Lower_CGT_rate_RP_CI">data!#REF!</definedName>
    <definedName name="Lower_rate_CGT">IRCX_template!$I$101</definedName>
    <definedName name="Lower_rate_CGT_CI">IRCX_template!$I$93</definedName>
    <definedName name="Lower_rate_CGT_RP">IRCX_template!$I$97</definedName>
    <definedName name="LTA_lump">data!$E$176</definedName>
    <definedName name="LTA_pension">data!$E$177</definedName>
    <definedName name="LUN">LUN!$A$1</definedName>
    <definedName name="LUN_IND">target!$A$109</definedName>
    <definedName name="LUN_RANGE">'C3'!$C$157:$JQ$220</definedName>
    <definedName name="MA_transfer">'REL(2)'!$N$51</definedName>
    <definedName name="man_mca_claim">data!$D$199</definedName>
    <definedName name="MAT_IN">'REL(2)'!$N$56</definedName>
    <definedName name="MAT_Ind">target!$A$45</definedName>
    <definedName name="MAT_OUT">'REL(2)'!$N$55</definedName>
    <definedName name="MAT_RANGE">C0!$C$74:$JQ$82</definedName>
    <definedName name="MAT0">tc_template!$B$49</definedName>
    <definedName name="max_NIC">data!$E$122</definedName>
    <definedName name="Max_NIC2_weeks">data!$E$123</definedName>
    <definedName name="MCA">data!$E$154</definedName>
    <definedName name="MCA_2">data!$E$155</definedName>
    <definedName name="MCA_amount">IRCX_template!$I$2</definedName>
    <definedName name="MCA_claim">MCA!$F$5</definedName>
    <definedName name="MCA_CONTROL_RANGE">'C1'!$D$64:$JQ$71</definedName>
    <definedName name="MCA_IND">target!$A$81</definedName>
    <definedName name="mca_not_claimed">data!$D$198</definedName>
    <definedName name="MCA_RANGE">'C1'!$C$74:$JQ$85</definedName>
    <definedName name="MCA_relief">IRCX_template!$I$3</definedName>
    <definedName name="MCA_section">MCA!$A$1</definedName>
    <definedName name="MCA_split">data!$D$203</definedName>
    <definedName name="MCA_to_wife">data!$D$204</definedName>
    <definedName name="MCA_year">data!$E$164</definedName>
    <definedName name="min_relevant_earns">data!$E$188</definedName>
    <definedName name="months_married">MCA!$F$17</definedName>
    <definedName name="months_not_married">data!$D$208</definedName>
    <definedName name="MOR">MOR!$A$1</definedName>
    <definedName name="MOR_IND">target!$A$97</definedName>
    <definedName name="MOR_RANGE">'C2'!$C$60:$JQ$101</definedName>
    <definedName name="MORE_SELECT_IND">target!$A$173</definedName>
    <definedName name="ND_limit">data!$E$135</definedName>
    <definedName name="need_GA_alt_c8_26">'tax it (c8)'!$N$158</definedName>
    <definedName name="need_TP_alt_c8_26">'tax it (c8)'!$O$130</definedName>
    <definedName name="need_TSR_alt_c17_6">'TSR (c17)'!$F$195</definedName>
    <definedName name="next_year">data!$E$172</definedName>
    <definedName name="NI1_IND">target!$A$125</definedName>
    <definedName name="NI1_MOR_RANGE">'C2'!$C$108:$JQ$109</definedName>
    <definedName name="NI1_RANGE">'C2'!$C$103:$JQ$106</definedName>
    <definedName name="NI2_IND">target!$A$121</definedName>
    <definedName name="NI2_RANGE">'C8C9C10'!$C$168:$JQ$171</definedName>
    <definedName name="NI2Vol_IND">target!$A$129</definedName>
    <definedName name="NI2Vol_RANGE">'C8C9C10'!$C$173:$JQ$174</definedName>
    <definedName name="NI4Ex_IND">target!$A$133</definedName>
    <definedName name="NI4Ex_RANGE">'C8C9C10'!$C$176:$JQ$177</definedName>
    <definedName name="NIC_amount">IRCX_template!$I$54</definedName>
    <definedName name="NIC_Band">data!$E$121</definedName>
    <definedName name="NIC_charge">IRCX_template!$I$55</definedName>
    <definedName name="NIC_ex_set">NI!$O$25</definedName>
    <definedName name="NIC_exempt">data!$D$224</definedName>
    <definedName name="NIC_LEL">data!$E$120</definedName>
    <definedName name="NIC_PT_Wk">data!$E$118</definedName>
    <definedName name="NIC_rate">data!$E$45</definedName>
    <definedName name="NIC_sup_amount">IRCX_template!$I$56</definedName>
    <definedName name="NIC_sup_charge">IRCX_template!$I$57</definedName>
    <definedName name="NIC_supp_rate">data!$E$46</definedName>
    <definedName name="NIC_total">IRCX_template!$I$61</definedName>
    <definedName name="NIC_UEL">data!$E$119</definedName>
    <definedName name="NIC_UEL_Wk">data!$E$117</definedName>
    <definedName name="NIC_x">data!$D$223</definedName>
    <definedName name="NIC1_amount">IRCX_template!$I$59</definedName>
    <definedName name="NIC1_rate">data!$E$44</definedName>
    <definedName name="NIC2_amount">IRCX_template!$I$60</definedName>
    <definedName name="NIC2_annual_limit">data!$E$112</definedName>
    <definedName name="NIC2_LPT">data!$E$116</definedName>
    <definedName name="NIC2_SPT">data!$E$115</definedName>
    <definedName name="NIC2_thrshld">IRCX_template!$I$62</definedName>
    <definedName name="NIC2_v">data!$D$226</definedName>
    <definedName name="NIC2_Vol">NI!$O$24</definedName>
    <definedName name="NIC2_voluntary">data!$D$227</definedName>
    <definedName name="NIC2_weekamt">data!$E$111</definedName>
    <definedName name="NIC2_weekamt_Selected">NI!$O$23</definedName>
    <definedName name="NIC2SF_annual_limit">data!$E$114</definedName>
    <definedName name="NIC2SF_weekamt">data!$E$113</definedName>
    <definedName name="NIC4_amount">IRCX_template!$I$58</definedName>
    <definedName name="No_of_for_gains">'Multi-foreign-gains'!$O$16</definedName>
    <definedName name="NON_DOM_Allowances">NRD!$Q$16</definedName>
    <definedName name="NON_DOM_Charge">NRD!$Q$17</definedName>
    <definedName name="non_dom_charge_amount">IRCX_template!$I$68</definedName>
    <definedName name="non_resident">NRD!$Q$6</definedName>
    <definedName name="not_to_be_coded">'REL(2)'!$N$54</definedName>
    <definedName name="notional_CEG">IRCX_template!$I$51</definedName>
    <definedName name="notional_other">IRCX_template!$I$52</definedName>
    <definedName name="notional_total">IRCX_template!$K$3</definedName>
    <definedName name="NRD">NRD!$A$1</definedName>
    <definedName name="NRD_IND">target!$A$157</definedName>
    <definedName name="NRD_RANGE">'C8C9C10'!$C$88:$JQ$145</definedName>
    <definedName name="NS_gross">data!$I$50</definedName>
    <definedName name="NS_gross_F">data!$J$50</definedName>
    <definedName name="OLD_BR">data!$E$51</definedName>
    <definedName name="Old_DIV_rate">data!$E$67</definedName>
    <definedName name="old_gross">data!$I$47</definedName>
    <definedName name="old_gross_F">data!$J$47</definedName>
    <definedName name="old_gross_P">data!$L$47</definedName>
    <definedName name="Older_spouse">data!$D$206</definedName>
    <definedName name="OTC_rate">data!$E$187</definedName>
    <definedName name="P_A">data!$E$145</definedName>
    <definedName name="P_A_in_Calc">'Deductions (c4)'!$I$435</definedName>
    <definedName name="PA_taper_limit">data!$E$147</definedName>
    <definedName name="Pay_Emp">IRCX_template!$D$2</definedName>
    <definedName name="PAYE_case">'POAs (c13)'!$A$20</definedName>
    <definedName name="Pen_AA_limit">data!$E$178</definedName>
    <definedName name="Pen_AA_rate">data!$E$180</definedName>
    <definedName name="Pen_MPAA_limit">data!$E$179</definedName>
    <definedName name="Pen_Upayts">data!$E$181</definedName>
    <definedName name="pens_tax_due">IRCX_template!$I$38</definedName>
    <definedName name="pens_tax_rel_due">IRCX_template!$I$18</definedName>
    <definedName name="Pension_charges">IRCX_template!$I$33</definedName>
    <definedName name="Pension_charges_gross">IRCX_template!$I$31</definedName>
    <definedName name="Pension_charges_tax_paid">IRCX_template!$I$32</definedName>
    <definedName name="Pension_lump_sum_amount">IRCX_template!$I$34</definedName>
    <definedName name="Pension_lump_sum_rate">IRCX_template!$I$35</definedName>
    <definedName name="Pension_lump_sum_tax">IRCX_template!$I$36</definedName>
    <definedName name="PGL_limit">data!$E$127</definedName>
    <definedName name="PGL_rate">data!$E$48</definedName>
    <definedName name="PGL_type">'REL(2)'!$N$25</definedName>
    <definedName name="PGLR">'REL(2)'!$A$21</definedName>
    <definedName name="POA_limit">data!$E$132</definedName>
    <definedName name="Post_grad_loan">IRCX_template!$I$65</definedName>
    <definedName name="ppr_claim">IRCX_template!$D$47</definedName>
    <definedName name="ppr_extender">IRCX_template!$D$40</definedName>
    <definedName name="ppr_extender_fmt">data!$J$131</definedName>
    <definedName name="ppr_gift_extender_STp">IRCX_template!$D$43</definedName>
    <definedName name="pre_TP_tax_charged">IRCX_template!$D$103</definedName>
    <definedName name="_xlnm.Print_Area" localSheetId="12">'C3'!$C$2:$H$46</definedName>
    <definedName name="_xlnm.Print_Area" localSheetId="14">'C5'!$C$1:$J$72</definedName>
    <definedName name="PRO">PRO!$A$1</definedName>
    <definedName name="PRO_IND">target!$A$137</definedName>
    <definedName name="PRO_RANGE">'C5'!$C$1:$JQ$74</definedName>
    <definedName name="PS_A_IND">target!$A$113</definedName>
    <definedName name="PS_B_IND">target!$A$117</definedName>
    <definedName name="PSA">'Deductions (c4)'!$M$639</definedName>
    <definedName name="PSA_AHR">data!$E$151</definedName>
    <definedName name="PSA_BR">data!$E$149</definedName>
    <definedName name="PSA_HR">data!$E$150</definedName>
    <definedName name="Q1AA">target!$A$10</definedName>
    <definedName name="REL">'REL(1)'!$A$2</definedName>
    <definedName name="REL_A_IND">target!$A$21</definedName>
    <definedName name="REL_A_RANGE">C0!$C$38:$JQ$43</definedName>
    <definedName name="REL_B_IND">target!$A$25</definedName>
    <definedName name="REL_B_RANGE">C0!$C$45:$JQ$51</definedName>
    <definedName name="REL_C_IND">target!$A$29</definedName>
    <definedName name="REL_C_RANGE">C0!$C$53:$JQ$57</definedName>
    <definedName name="rel_tax_acct_for">IRCX_template!$I$13</definedName>
    <definedName name="relief_on_qual_distn">IRCX_template!$I$19</definedName>
    <definedName name="Remit_set">'More Select'!$A$25</definedName>
    <definedName name="Res_non_dom_ch">data!$E$133</definedName>
    <definedName name="Res_non_dom_High_ch">data!$E$134</definedName>
    <definedName name="Residency_Status_in_UK">'INC(1)'!$I$8</definedName>
    <definedName name="Resident">NRD!$Q$5</definedName>
    <definedName name="SA_E_tax">IRCX_template!$I$73</definedName>
    <definedName name="SAHR_band">data!$E$108</definedName>
    <definedName name="SAHR_rate">data!$E$63</definedName>
    <definedName name="SAR_band">data!$E$106</definedName>
    <definedName name="SAR_rate">data!$E$62</definedName>
    <definedName name="SAVAHR_rate">data!$E$54</definedName>
    <definedName name="SavBR_band">data!$E$100</definedName>
    <definedName name="SAVBR_rate">data!$E$52</definedName>
    <definedName name="SAVHR_rate">data!$E$53</definedName>
    <definedName name="savings_gross">data!$I$49</definedName>
    <definedName name="savings_gross_F">data!$J$49</definedName>
    <definedName name="SAVR_band">data!$E$106</definedName>
    <definedName name="SAVR_rate">data!$E$62</definedName>
    <definedName name="SBR_band">data!$E$102</definedName>
    <definedName name="SBR_rate">data!$E$59</definedName>
    <definedName name="SCH_D_case">target!$B$2</definedName>
    <definedName name="SCH_E_case">target!$B$3</definedName>
    <definedName name="SE_A_IND">target!$A$101</definedName>
    <definedName name="SE_B_IND">target!$A$105</definedName>
    <definedName name="SEIS_rate">data!$E$75</definedName>
    <definedName name="SEIS_Relief">IRCX_template!$D$111</definedName>
    <definedName name="SEISS_charge">IRCX_template!$I$42</definedName>
    <definedName name="SEISS_incorrectly_claimed_amount">IRCX_template!$I$41</definedName>
    <definedName name="SELECTOR_IND">target!$A$169</definedName>
    <definedName name="SHR_band">data!$E$105</definedName>
    <definedName name="SHR_rate">data!$E$61</definedName>
    <definedName name="SIR_band">data!$E$103</definedName>
    <definedName name="SIR_rate">data!$E$60</definedName>
    <definedName name="SITR">IRCX_template!$D$113</definedName>
    <definedName name="SITR_rate">data!$E$77</definedName>
    <definedName name="SL_case">'REL(2)'!$N$12</definedName>
    <definedName name="SL_limit1">data!$E$124</definedName>
    <definedName name="SL_limit2">data!$E$125</definedName>
    <definedName name="SL_limit4">data!$E$126</definedName>
    <definedName name="SL_type">'REL(2)'!$N$13</definedName>
    <definedName name="SL_UIT">data!$E$128</definedName>
    <definedName name="Sloan_rate">data!$E$47</definedName>
    <definedName name="SLR">'REL(2)'!$A$8</definedName>
    <definedName name="SLR_ind">target!$A$33</definedName>
    <definedName name="SLR_RANGE">C0!$C$59:$JQ$64</definedName>
    <definedName name="SLSDB_rate">data!$E$186</definedName>
    <definedName name="SMP">data!$E$158</definedName>
    <definedName name="SNil_rate">data!$E$50</definedName>
    <definedName name="spare_MCA_amount">IRCX_template!$I$4</definedName>
    <definedName name="spare_MCA_relief">IRCX_template!$I$5</definedName>
    <definedName name="SPS">PS!$A$1</definedName>
    <definedName name="SPS_RANGE">'C4'!$C$2:$JQ$29</definedName>
    <definedName name="SR_band">data!$E$98</definedName>
    <definedName name="SR_band_fmt">data!$J$135</definedName>
    <definedName name="SR_rate">data!$E$49</definedName>
    <definedName name="SSE">SE!$A$1</definedName>
    <definedName name="SSE_RANGE">'C3'!$C$2:$JQ$46</definedName>
    <definedName name="SSR_band">data!$E$99</definedName>
    <definedName name="SSR_higher_rate">data!$E$185</definedName>
    <definedName name="SSR_lower_band">data!$E$184</definedName>
    <definedName name="SSR_lower_rate">data!$E$183</definedName>
    <definedName name="SSR_rate">data!$E$58</definedName>
    <definedName name="Student_loan">IRCX_template!$I$64</definedName>
    <definedName name="T_P_A">data!$E$153</definedName>
    <definedName name="T_Profit_from_c4">'tax it (c8)'!$O$146</definedName>
    <definedName name="tax_already_refunded">IRCX_template!$I$119</definedName>
    <definedName name="tax_charged">IRCX_template!$D$106</definedName>
    <definedName name="tax_on_CEG_AHR">IRCX_template!$D$101</definedName>
    <definedName name="tax_on_CEG_BR">IRCX_template!$D$96</definedName>
    <definedName name="tax_on_CEG_HR">IRCX_template!$D$99</definedName>
    <definedName name="tax_on_CEG_SR">IRCX_template!$D$93</definedName>
    <definedName name="tax_on_divs_AHR">IRCX_template!$D$79</definedName>
    <definedName name="tax_on_divs_BR">IRCX_template!$D$73</definedName>
    <definedName name="tax_on_divs_HR">IRCX_template!$D$76</definedName>
    <definedName name="tax_on_excluded_inc">IRCX_template!$I$45</definedName>
    <definedName name="tax_on_gains_already_charged">IRCX_template!$I$112</definedName>
    <definedName name="tax_on_int_AHR">IRCX_template!$D$70</definedName>
    <definedName name="tax_on_int_BR">IRCX_template!$D$65</definedName>
    <definedName name="tax_on_int_HR">IRCX_template!$D$68</definedName>
    <definedName name="tax_on_int_SR">IRCX_template!$D$61</definedName>
    <definedName name="tax_on_non_excluded">IRCX_template!$I$46</definedName>
    <definedName name="tax_on_non_excluded_income">IRCX_template!$I$46</definedName>
    <definedName name="tax_on_pay_AHR">IRCX_template!$D$59</definedName>
    <definedName name="tax_on_pay_BR">IRCX_template!$D$51</definedName>
    <definedName name="tax_on_pay_HR">IRCX_template!$D$55</definedName>
    <definedName name="tax_on_pay_SAR">IRCX_template!$D$57</definedName>
    <definedName name="tax_on_pay_SIR">IRCX_template!$D$53</definedName>
    <definedName name="tax_on_pay_SSR">IRCX_template!$D$49</definedName>
    <definedName name="tax_on_redundancy_AHR">IRCX_template!$D$91</definedName>
    <definedName name="tax_on_redundancy_BR">IRCX_template!$D$83</definedName>
    <definedName name="tax_on_redundancy_HR">IRCX_template!$D$87</definedName>
    <definedName name="tax_on_redundancy_SAR">IRCX_template!$D$89</definedName>
    <definedName name="tax_on_redundancy_SIR">IRCX_template!$D$85</definedName>
    <definedName name="tax_on_redundancy_SSR">IRCX_template!$D$81</definedName>
    <definedName name="tax_on_transition_profit">IRCX_template!$D$105</definedName>
    <definedName name="tax_paid_Case3">IRCX_template!$I$80</definedName>
    <definedName name="tax_paid_CEG">IRCX_template!$I$81</definedName>
    <definedName name="tax_paid_D">IRCX_template!$I$74</definedName>
    <definedName name="tax_paid_D_PTR">IRCX_template!$I$75</definedName>
    <definedName name="tax_paid_E">IRCX_template!$I$70</definedName>
    <definedName name="tax_paid_Foreign">IRCX_template!$I$77</definedName>
    <definedName name="tax_paid_IFP">IRCX_template!$I$76</definedName>
    <definedName name="tax_paid_Other">IRCX_template!$I$82</definedName>
    <definedName name="tax_paid_Overseas">IRCX_template!$I$79</definedName>
    <definedName name="tax_paid_Trust">IRCX_template!$I$78</definedName>
    <definedName name="tax_year">data!$E$171</definedName>
    <definedName name="Tax_year_end">data!$E$166</definedName>
    <definedName name="Tax_year_start">data!$E$165</definedName>
    <definedName name="taxable_CEG_AHR">IRCX_template!$D$100</definedName>
    <definedName name="taxable_CEG_BR">IRCX_template!$D$95</definedName>
    <definedName name="taxable_CEG_HR">IRCX_template!$D$98</definedName>
    <definedName name="taxable_CEG_SR">IRCX_template!$D$92</definedName>
    <definedName name="Taxable_CG">IRCX_template!$I$104</definedName>
    <definedName name="taxable_divs_AHR">IRCX_template!$D$78</definedName>
    <definedName name="taxable_divs_BR">IRCX_template!$D$72</definedName>
    <definedName name="taxable_divs_HR">IRCX_template!$D$75</definedName>
    <definedName name="taxable_income">IRCX_template!$D$39</definedName>
    <definedName name="taxable_int_AHR">IRCX_template!$D$69</definedName>
    <definedName name="taxable_int_BR">IRCX_template!$D$64</definedName>
    <definedName name="taxable_int_HR">IRCX_template!$D$67</definedName>
    <definedName name="taxable_int_SR">IRCX_template!$D$60</definedName>
    <definedName name="taxable_pay_AHR">IRCX_template!$D$58</definedName>
    <definedName name="taxable_pay_BR">IRCX_template!$D$50</definedName>
    <definedName name="taxable_pay_HR">IRCX_template!$D$54</definedName>
    <definedName name="taxable_pay_SAR">IRCX_template!$D$56</definedName>
    <definedName name="taxable_pay_SIR">IRCX_template!$D$52</definedName>
    <definedName name="taxable_pay_SSR">IRCX_template!$D$48</definedName>
    <definedName name="taxable_redundancy_AHR">IRCX_template!$D$90</definedName>
    <definedName name="taxable_redundancy_BR">IRCX_template!$D$82</definedName>
    <definedName name="taxable_redundancy_HR">IRCX_template!$D$86</definedName>
    <definedName name="taxable_redundancy_SAR">IRCX_template!$D$88</definedName>
    <definedName name="taxable_redundancy_SIR">IRCX_template!$D$84</definedName>
    <definedName name="taxable_redundancy_SSR">IRCX_template!$D$80</definedName>
    <definedName name="Taxpayer_Reference">'Add pages'!$G$5</definedName>
    <definedName name="TCR_IND">target!$A$145</definedName>
    <definedName name="TCR_RANGE">'C6'!$E$216:$JQ$267</definedName>
    <definedName name="to_be_coded">'REL(2)'!$N$55</definedName>
    <definedName name="total_all_gains">'Multi-UK-gains'!$Q$20</definedName>
    <definedName name="total_CG_due">IRCX_template!$I$113</definedName>
    <definedName name="total_CG_overpaid">IRCX_template!$I$114</definedName>
    <definedName name="Total_CG_tax_due">IRCX_template!$I$108</definedName>
    <definedName name="Total_CGT_tax">IRCX_template!$I$105</definedName>
    <definedName name="Total_CGT_tax_due">IRCX_template!$I$108</definedName>
    <definedName name="Total_IT_CG_class4_due">IRCX_template!$I$117</definedName>
    <definedName name="Total_IT_CG_class4_due_pre">IRCX_template!$I$115</definedName>
    <definedName name="Total_IT_class4_due">IRCX_template!$I$85</definedName>
    <definedName name="Total_tax_NIC_due">IRCX_template!$I$121</definedName>
    <definedName name="total_tax_NIC_nonres">IRCX_template!$I$48</definedName>
    <definedName name="total_tax_NIC_nonresS23">IRCX_template!$I$43</definedName>
    <definedName name="total_tax_NIC_nonresS811">IRCX_template!$I$47</definedName>
    <definedName name="total_tax_paid">IRCX_template!$I$84</definedName>
    <definedName name="total_tcr" localSheetId="55">FTCR_Calc!$L$42</definedName>
    <definedName name="total_tcr">TCRWS!$L$42</definedName>
    <definedName name="tp_age_ind">'INC(1)'!$I$5</definedName>
    <definedName name="TP_alt_c8_26">'tax it (c8)'!$O$139</definedName>
    <definedName name="transition_profit">IRCX_template!$D$104</definedName>
    <definedName name="TRF_amount">IRCX_template!$I$39</definedName>
    <definedName name="TRF_charge">IRCX_template!$I$40</definedName>
    <definedName name="TRF_rate">data!$E$140</definedName>
    <definedName name="TRU">TRU!$A$1</definedName>
    <definedName name="TRU_IND">target!$A$149</definedName>
    <definedName name="TRU_RANGE">'C7'!$C$1:$JQ$28</definedName>
    <definedName name="trust_div_gross">data!$I$54</definedName>
    <definedName name="trust_div_gross_F">data!$J$54</definedName>
    <definedName name="trust_div_gross_P">data!$L$54</definedName>
    <definedName name="trust_gross">data!$I$53</definedName>
    <definedName name="trust_gross_F">data!$J$53</definedName>
    <definedName name="TSR">IRCX_template!$D$108</definedName>
    <definedName name="TSR_alt_c17_6">AOI!$N$28</definedName>
    <definedName name="TSR_alt_c17_6_from_c4">'Deductions (c4)'!$M$488</definedName>
    <definedName name="TSR_due">'TSR (c17)'!$A$98</definedName>
    <definedName name="UK_allowance_claim">NRD!$Q$7</definedName>
    <definedName name="UK_FTCR">'Tax adj (c9)'!$J$196</definedName>
    <definedName name="unpaid_tax_bf">IRCX_template!$I$120</definedName>
    <definedName name="unpaid_tax_in_code">IRCX_template!$I$63</definedName>
    <definedName name="Upayts_surcharge">data!$E$182</definedName>
    <definedName name="Upper_CGT_rate">data!$E$81</definedName>
    <definedName name="Upper_CGT_rate_CI">data!$E$85</definedName>
    <definedName name="Upper_CGT_rate_RP">data!$E$83</definedName>
    <definedName name="Upper_CGT_rate_RP_CI">data!#REF!</definedName>
    <definedName name="use_GA_alt_c8_26">'tax it (c8)'!$N$163</definedName>
    <definedName name="use_TP_alt_c8_26">'tax it (c8)'!$O$140</definedName>
    <definedName name="use_TSR_alt_c17_6">AOI!$N$29</definedName>
    <definedName name="VCT">IRCX_template!$D$109</definedName>
    <definedName name="VCT_rate">data!$E$73</definedName>
    <definedName name="WAHR_rate">data!$E$66</definedName>
    <definedName name="WBR_rate">data!$E$64</definedName>
    <definedName name="WFP_amount">IRCX_template!$I$29</definedName>
    <definedName name="WFP_charge">IRCX_template!$I$30</definedName>
    <definedName name="WFP_Ind">target!$A$41</definedName>
    <definedName name="WFP_RANGE">C0!$C$71:$JQ$72</definedName>
    <definedName name="WFP_rate">data!$E$142</definedName>
    <definedName name="WFP_threshold">data!$E$141</definedName>
    <definedName name="WHR_rate">data!$E$65</definedName>
    <definedName name="Wife_age_ind">MCA!$F$9</definedName>
    <definedName name="wife_mca_claim">data!$D$200</definedName>
    <definedName name="YPD">'INC(1)'!$A$1</definedName>
    <definedName name="YPD_IND">target!$A$5</definedName>
    <definedName name="YPD_RANGE">C0!$C$3:$JQ$9</definedName>
    <definedName name="YPD1">tc_template!$B$4</definedName>
    <definedName name="YPD2">tc_template!$B$5</definedName>
    <definedName name="YPD3">tc_template!$B$6</definedName>
    <definedName name="YPD4">tc_template!$B$7</definedName>
    <definedName name="YPDTR">tc_template!$B$8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O126" i="463" l="1"/>
  <c r="FH39" i="463" l="1"/>
  <c r="FP17" i="466"/>
  <c r="BD124" i="466"/>
  <c r="BC124" i="466"/>
  <c r="BC127" i="466" l="1"/>
  <c r="BB117" i="466"/>
  <c r="BB113" i="466"/>
  <c r="BB104" i="466"/>
  <c r="DW6" i="464"/>
  <c r="DY47" i="464"/>
  <c r="BV39" i="463"/>
  <c r="ES195" i="463"/>
  <c r="ET207" i="463"/>
  <c r="ES207" i="463"/>
  <c r="EU215" i="463"/>
  <c r="ES202" i="463"/>
  <c r="ES208" i="463"/>
  <c r="ES209" i="463" s="1"/>
  <c r="ET208" i="463"/>
  <c r="ET209" i="463" s="1"/>
  <c r="ET196" i="463"/>
  <c r="HH50" i="466"/>
  <c r="HH17" i="466"/>
  <c r="IX121" i="463"/>
  <c r="IX97" i="463"/>
  <c r="IX98" i="463"/>
  <c r="IX116" i="463" s="1"/>
  <c r="IX82" i="463"/>
  <c r="IU31" i="468"/>
  <c r="IX31" i="468"/>
  <c r="IH31" i="468"/>
  <c r="IU115" i="464"/>
  <c r="EV50" i="466"/>
  <c r="EV17" i="466"/>
  <c r="EU180" i="463"/>
  <c r="ET67" i="465"/>
  <c r="ET151" i="463"/>
  <c r="ET148" i="463"/>
  <c r="ET146" i="463"/>
  <c r="ET142" i="463"/>
  <c r="ET121" i="463"/>
  <c r="ER116" i="463"/>
  <c r="ET113" i="463"/>
  <c r="ET116" i="463"/>
  <c r="EN116" i="463"/>
  <c r="EO116" i="463"/>
  <c r="EP116" i="463"/>
  <c r="EQ116" i="463"/>
  <c r="ES116" i="463"/>
  <c r="ET98" i="463"/>
  <c r="ET97" i="463"/>
  <c r="ES82" i="463"/>
  <c r="ET82" i="463"/>
  <c r="EM82" i="463"/>
  <c r="IX126" i="463" l="1"/>
  <c r="IX148" i="463"/>
  <c r="FD40" i="463"/>
  <c r="FD39" i="463"/>
  <c r="FV115" i="464" l="1"/>
  <c r="DM115" i="464" l="1"/>
  <c r="DW30" i="466"/>
  <c r="IY126" i="463"/>
  <c r="HC126" i="463"/>
  <c r="EG128" i="463"/>
  <c r="EM51" i="464"/>
  <c r="EH47" i="464"/>
  <c r="DX49" i="464"/>
  <c r="DX115" i="464" s="1"/>
  <c r="B47" i="464"/>
  <c r="DM73" i="464"/>
  <c r="DM83" i="464"/>
  <c r="DJ115" i="464" l="1"/>
  <c r="DM43" i="464"/>
  <c r="CJ115" i="464"/>
  <c r="CJ49" i="464"/>
  <c r="CJ47" i="464"/>
  <c r="BC115" i="464"/>
  <c r="BC43" i="464"/>
  <c r="DM47" i="464"/>
  <c r="DM49" i="464" s="1"/>
  <c r="DO26" i="463"/>
  <c r="DJ49" i="464" l="1"/>
  <c r="DC121" i="463"/>
  <c r="DI121" i="463"/>
  <c r="DM14" i="464"/>
  <c r="DO14" i="464"/>
  <c r="DS14" i="464"/>
  <c r="DU14" i="464"/>
  <c r="DO16" i="464"/>
  <c r="DO18" i="464" s="1"/>
  <c r="DS16" i="464"/>
  <c r="DU18" i="464"/>
  <c r="DM18" i="464"/>
  <c r="DW14" i="464"/>
  <c r="DR97" i="463"/>
  <c r="DR82" i="463"/>
  <c r="DJ82" i="463"/>
  <c r="EJ14" i="464"/>
  <c r="DR99" i="463"/>
  <c r="DO36" i="463"/>
  <c r="DO39" i="463" s="1"/>
  <c r="DS39" i="463"/>
  <c r="DS36" i="463"/>
  <c r="DS26" i="463"/>
  <c r="AK98" i="463"/>
  <c r="AK116" i="463" s="1"/>
  <c r="GJ116" i="463" l="1"/>
  <c r="GJ82" i="463"/>
  <c r="GJ98" i="463"/>
  <c r="GJ126" i="463" l="1"/>
  <c r="DW42" i="466"/>
  <c r="DC99" i="463"/>
  <c r="DJ47" i="464"/>
  <c r="C76" i="489" l="1"/>
  <c r="L256" i="489"/>
  <c r="L186" i="489"/>
  <c r="L185" i="489"/>
  <c r="L184" i="489"/>
  <c r="L183" i="489"/>
  <c r="L182" i="489"/>
  <c r="L181" i="489"/>
  <c r="H142" i="382"/>
  <c r="L26" i="491" l="1"/>
  <c r="EX17" i="466" l="1"/>
  <c r="EQ17" i="466" l="1"/>
  <c r="EO50" i="466"/>
  <c r="EZ17" i="466"/>
  <c r="EX24" i="466"/>
  <c r="HL59" i="463"/>
  <c r="HB59" i="463"/>
  <c r="HL58" i="463"/>
  <c r="HK58" i="463"/>
  <c r="AS40" i="462" l="1"/>
  <c r="J168" i="2"/>
  <c r="JM8" i="468"/>
  <c r="JA151" i="463"/>
  <c r="JH26" i="463"/>
  <c r="JH36" i="463" s="1"/>
  <c r="JH39" i="463" s="1"/>
  <c r="JG27" i="463"/>
  <c r="JL11" i="463"/>
  <c r="DD11" i="463"/>
  <c r="JG26" i="463" l="1"/>
  <c r="JG36" i="463" s="1"/>
  <c r="JG39" i="463" s="1"/>
  <c r="JG11" i="463"/>
  <c r="JG10" i="463"/>
  <c r="JG40" i="463" l="1"/>
  <c r="JG41" i="463" s="1"/>
  <c r="BY121" i="463"/>
  <c r="B80" i="375"/>
  <c r="B21" i="375"/>
  <c r="B22" i="375"/>
  <c r="K117" i="376"/>
  <c r="J154" i="7"/>
  <c r="I279" i="3"/>
  <c r="AB145" i="391"/>
  <c r="B9" i="391"/>
  <c r="I309" i="3"/>
  <c r="E304" i="3"/>
  <c r="E303" i="3"/>
  <c r="D304" i="3"/>
  <c r="H256" i="49" l="1"/>
  <c r="H257" i="49"/>
  <c r="H256" i="489"/>
  <c r="H257" i="489"/>
  <c r="H180" i="489"/>
  <c r="H175" i="489"/>
  <c r="H174" i="489"/>
  <c r="D235" i="3"/>
  <c r="C76" i="49" l="1"/>
  <c r="IK31" i="468"/>
  <c r="HI54" i="468" l="1"/>
  <c r="S16" i="395" l="1"/>
  <c r="U16" i="395" s="1"/>
  <c r="IL9" i="466" l="1"/>
  <c r="IL17" i="466" s="1"/>
  <c r="IL151" i="463"/>
  <c r="IL148" i="463"/>
  <c r="HC151" i="463"/>
  <c r="IY151" i="463"/>
  <c r="IY148" i="463"/>
  <c r="IL121" i="463"/>
  <c r="IL116" i="463"/>
  <c r="IL98" i="463"/>
  <c r="IL82" i="463"/>
  <c r="IL59" i="463" l="1"/>
  <c r="IL58" i="463"/>
  <c r="IL55" i="463"/>
  <c r="IW55" i="463"/>
  <c r="J55" i="6"/>
  <c r="J56" i="6"/>
  <c r="E232" i="3"/>
  <c r="E231" i="3"/>
  <c r="E277" i="3"/>
  <c r="F294" i="381" l="1"/>
  <c r="IK24" i="466"/>
  <c r="GF124" i="466"/>
  <c r="IK50" i="466" l="1"/>
  <c r="IK9" i="466"/>
  <c r="IK17" i="466" s="1"/>
  <c r="BD9" i="466"/>
  <c r="HJ8" i="468" l="1"/>
  <c r="HG74" i="466"/>
  <c r="HG76" i="466" s="1"/>
  <c r="HG24" i="466"/>
  <c r="HG50" i="466" s="1"/>
  <c r="HG9" i="466"/>
  <c r="HG17" i="466" s="1"/>
  <c r="B125" i="391" l="1"/>
  <c r="G190" i="7" l="1"/>
  <c r="D21" i="391"/>
  <c r="B72" i="458"/>
  <c r="H39" i="435" l="1"/>
  <c r="J117" i="2" l="1"/>
  <c r="H40" i="435" l="1"/>
  <c r="C6" i="362" l="1"/>
  <c r="C4" i="362"/>
  <c r="C22" i="362" l="1"/>
  <c r="H29" i="435"/>
  <c r="H30" i="435"/>
  <c r="H175" i="49"/>
  <c r="H174" i="49"/>
  <c r="J186" i="7"/>
  <c r="J185" i="7"/>
  <c r="H180" i="49" l="1"/>
  <c r="AB124" i="391" l="1"/>
  <c r="J182" i="7"/>
  <c r="I47" i="32"/>
  <c r="Y167" i="381"/>
  <c r="G35" i="74" l="1"/>
  <c r="HC154" i="463"/>
  <c r="B154" i="463"/>
  <c r="M153" i="424"/>
  <c r="L153" i="424"/>
  <c r="V141" i="424"/>
  <c r="T19" i="391"/>
  <c r="T22" i="391"/>
  <c r="H52" i="382"/>
  <c r="G173" i="7"/>
  <c r="J192" i="7"/>
  <c r="Q19" i="103" l="1"/>
  <c r="E360" i="3" l="1"/>
  <c r="I360" i="3" s="1"/>
  <c r="I41" i="32" l="1"/>
  <c r="I193" i="7" l="1"/>
  <c r="I190" i="7"/>
  <c r="J188" i="7" s="1"/>
  <c r="I29" i="435"/>
  <c r="G189" i="7"/>
  <c r="D34" i="476"/>
  <c r="G179" i="7"/>
  <c r="G175" i="49" l="1"/>
  <c r="G174" i="489"/>
  <c r="G175" i="489"/>
  <c r="G174" i="49"/>
  <c r="F190" i="7"/>
  <c r="B45" i="473" l="1"/>
  <c r="B40" i="473"/>
  <c r="B75" i="458"/>
  <c r="B71" i="458"/>
  <c r="B66" i="458"/>
  <c r="B67" i="458"/>
  <c r="B44" i="424"/>
  <c r="C32" i="132"/>
  <c r="C39" i="132"/>
  <c r="B46" i="473" l="1"/>
  <c r="H376" i="3"/>
  <c r="H370" i="3"/>
  <c r="E237" i="3"/>
  <c r="F115" i="375"/>
  <c r="H321" i="3" l="1"/>
  <c r="C32" i="435" s="1"/>
  <c r="D318" i="3"/>
  <c r="C33" i="435" s="1"/>
  <c r="D315" i="3"/>
  <c r="H310" i="3"/>
  <c r="F278" i="381" s="1"/>
  <c r="D307" i="3"/>
  <c r="D301" i="3"/>
  <c r="D298" i="3"/>
  <c r="H294" i="3"/>
  <c r="F116" i="375" s="1"/>
  <c r="D291" i="3"/>
  <c r="D288" i="3"/>
  <c r="D285" i="3"/>
  <c r="H281" i="3"/>
  <c r="D277" i="3"/>
  <c r="D274" i="3"/>
  <c r="D271" i="3"/>
  <c r="D268" i="3"/>
  <c r="D265" i="3"/>
  <c r="D262" i="3"/>
  <c r="D259" i="3"/>
  <c r="D256" i="3"/>
  <c r="D253" i="3"/>
  <c r="D250" i="3"/>
  <c r="D247" i="3"/>
  <c r="D244" i="3"/>
  <c r="D241" i="3"/>
  <c r="D238" i="3"/>
  <c r="D232" i="3"/>
  <c r="D229" i="3"/>
  <c r="D226" i="3"/>
  <c r="D223" i="3"/>
  <c r="E318" i="3"/>
  <c r="D33" i="435" s="1"/>
  <c r="C48" i="489" s="1"/>
  <c r="E317" i="3"/>
  <c r="C48" i="49" l="1"/>
  <c r="C31" i="435"/>
  <c r="F125" i="375"/>
  <c r="I320" i="3"/>
  <c r="I293" i="3"/>
  <c r="I280" i="3"/>
  <c r="I117" i="2"/>
  <c r="I114" i="2"/>
  <c r="I111" i="2"/>
  <c r="I108" i="2"/>
  <c r="J119" i="2" s="1"/>
  <c r="I120" i="2"/>
  <c r="H115" i="435"/>
  <c r="H111" i="435"/>
  <c r="H367" i="3"/>
  <c r="I369" i="3" s="1"/>
  <c r="E226" i="3"/>
  <c r="E225" i="3"/>
  <c r="E223" i="3"/>
  <c r="E222" i="3"/>
  <c r="E228" i="3"/>
  <c r="T136" i="391" l="1"/>
  <c r="S131" i="391"/>
  <c r="T130" i="391"/>
  <c r="T124" i="391"/>
  <c r="G180" i="7"/>
  <c r="G183" i="7"/>
  <c r="F183" i="7"/>
  <c r="D80" i="391"/>
  <c r="J183" i="7" l="1"/>
  <c r="I40" i="435" s="1"/>
  <c r="I39" i="435"/>
  <c r="G180" i="489" s="1"/>
  <c r="L157" i="424"/>
  <c r="H15" i="103"/>
  <c r="M157" i="424"/>
  <c r="L180" i="489" l="1"/>
  <c r="J180" i="489"/>
  <c r="D22" i="362"/>
  <c r="J180" i="49"/>
  <c r="L180" i="49"/>
  <c r="T46" i="391"/>
  <c r="D145" i="2" l="1"/>
  <c r="L58" i="491"/>
  <c r="J107" i="2"/>
  <c r="J108" i="2"/>
  <c r="J114" i="2"/>
  <c r="J111" i="2"/>
  <c r="J116" i="2"/>
  <c r="J113" i="2"/>
  <c r="J110" i="2"/>
  <c r="DO104" i="462"/>
  <c r="DP104" i="462"/>
  <c r="DO105" i="462"/>
  <c r="DP105" i="462"/>
  <c r="B134" i="468"/>
  <c r="BG49" i="473" s="1"/>
  <c r="DO106" i="462" l="1"/>
  <c r="DP106" i="462"/>
  <c r="DP42" i="466"/>
  <c r="DP36" i="466"/>
  <c r="DP30" i="466"/>
  <c r="DP24" i="466"/>
  <c r="DP50" i="466" s="1"/>
  <c r="DP25" i="458"/>
  <c r="T72" i="391"/>
  <c r="B114" i="464" l="1"/>
  <c r="AO34" i="473" s="1"/>
  <c r="L53" i="491"/>
  <c r="L50" i="491"/>
  <c r="L52" i="491"/>
  <c r="L49" i="491"/>
  <c r="K53" i="491"/>
  <c r="D17" i="391" l="1"/>
  <c r="X37" i="391"/>
  <c r="T37" i="391"/>
  <c r="H37" i="391"/>
  <c r="X46" i="391"/>
  <c r="X32" i="391"/>
  <c r="X29" i="391"/>
  <c r="S20" i="391"/>
  <c r="H46" i="391"/>
  <c r="H32" i="391"/>
  <c r="D46" i="391"/>
  <c r="D32" i="391"/>
  <c r="W33" i="391"/>
  <c r="W30" i="391"/>
  <c r="S33" i="391"/>
  <c r="G33" i="391"/>
  <c r="C33" i="391"/>
  <c r="T32" i="391"/>
  <c r="T26" i="391"/>
  <c r="T23" i="391"/>
  <c r="T25" i="391"/>
  <c r="S26" i="391"/>
  <c r="T20" i="391"/>
  <c r="H21" i="391"/>
  <c r="S23" i="391"/>
  <c r="H20" i="391"/>
  <c r="D38" i="391"/>
  <c r="D20" i="391"/>
  <c r="G21" i="391"/>
  <c r="C21" i="391"/>
  <c r="F152" i="2"/>
  <c r="D152" i="2"/>
  <c r="F151" i="2"/>
  <c r="D151" i="2"/>
  <c r="F150" i="2"/>
  <c r="F149" i="2"/>
  <c r="D150" i="2"/>
  <c r="D149" i="2"/>
  <c r="F148" i="2"/>
  <c r="D148" i="2"/>
  <c r="F147" i="2"/>
  <c r="D147" i="2"/>
  <c r="F146" i="2"/>
  <c r="D146" i="2"/>
  <c r="F145" i="2"/>
  <c r="D142" i="2"/>
  <c r="E147" i="2"/>
  <c r="E148" i="2"/>
  <c r="E149" i="2"/>
  <c r="E150" i="2"/>
  <c r="E151" i="2"/>
  <c r="E152" i="2"/>
  <c r="E146" i="2"/>
  <c r="E145" i="2"/>
  <c r="F142" i="2"/>
  <c r="D141" i="2"/>
  <c r="F141" i="2"/>
  <c r="D140" i="2"/>
  <c r="F140" i="2"/>
  <c r="F139" i="2"/>
  <c r="D139" i="2"/>
  <c r="F132" i="2"/>
  <c r="H5" i="451"/>
  <c r="E307" i="3"/>
  <c r="E306" i="3"/>
  <c r="E301" i="3"/>
  <c r="E300" i="3"/>
  <c r="E298" i="3"/>
  <c r="I310" i="3" s="1"/>
  <c r="E297" i="3"/>
  <c r="E284" i="3"/>
  <c r="E291" i="3"/>
  <c r="E290" i="3"/>
  <c r="E288" i="3"/>
  <c r="E287" i="3"/>
  <c r="E285" i="3"/>
  <c r="W117" i="424"/>
  <c r="V117" i="424"/>
  <c r="K117" i="424"/>
  <c r="J117" i="424"/>
  <c r="J42" i="83"/>
  <c r="J17" i="83"/>
  <c r="E276" i="3"/>
  <c r="E274" i="3"/>
  <c r="E273" i="3"/>
  <c r="E271" i="3"/>
  <c r="E270" i="3"/>
  <c r="E268" i="3"/>
  <c r="E267" i="3"/>
  <c r="E265" i="3"/>
  <c r="E264" i="3"/>
  <c r="E262" i="3"/>
  <c r="E261" i="3"/>
  <c r="E259" i="3"/>
  <c r="E258" i="3"/>
  <c r="E256" i="3"/>
  <c r="E255" i="3"/>
  <c r="E253" i="3"/>
  <c r="E252" i="3"/>
  <c r="E250" i="3"/>
  <c r="E249" i="3"/>
  <c r="E246" i="3"/>
  <c r="E247" i="3"/>
  <c r="E244" i="3"/>
  <c r="E243" i="3"/>
  <c r="E241" i="3"/>
  <c r="E238" i="3"/>
  <c r="E240" i="3"/>
  <c r="E229" i="3"/>
  <c r="M37" i="3"/>
  <c r="M36" i="3"/>
  <c r="I39" i="452"/>
  <c r="D17" i="451"/>
  <c r="F34" i="452"/>
  <c r="F33" i="452"/>
  <c r="F30" i="452"/>
  <c r="E34" i="452"/>
  <c r="F31" i="452"/>
  <c r="I281" i="3" l="1"/>
  <c r="I294" i="3"/>
  <c r="J155" i="2"/>
  <c r="D33" i="391"/>
  <c r="D47" i="391" s="1"/>
  <c r="F9" i="452"/>
  <c r="E17" i="451"/>
  <c r="E15" i="451"/>
  <c r="E13" i="451"/>
  <c r="E11" i="451"/>
  <c r="E48" i="451"/>
  <c r="C17" i="451"/>
  <c r="C15" i="451"/>
  <c r="D31" i="435" l="1"/>
  <c r="L46" i="489" s="1"/>
  <c r="H38" i="391"/>
  <c r="K35" i="95"/>
  <c r="K39" i="95"/>
  <c r="F164" i="2"/>
  <c r="D164" i="2"/>
  <c r="F122" i="2"/>
  <c r="J35" i="2"/>
  <c r="J34" i="2"/>
  <c r="I392" i="3"/>
  <c r="I391" i="3"/>
  <c r="L46" i="49" l="1"/>
  <c r="G46" i="489"/>
  <c r="G46" i="49"/>
  <c r="H12" i="103"/>
  <c r="B55" i="468"/>
  <c r="BD56" i="473" s="1"/>
  <c r="U153" i="424"/>
  <c r="T153" i="424"/>
  <c r="Q153" i="424"/>
  <c r="P153" i="424"/>
  <c r="H153" i="424"/>
  <c r="G153" i="424"/>
  <c r="C153" i="424"/>
  <c r="B153" i="424"/>
  <c r="G43" i="450"/>
  <c r="C39" i="450"/>
  <c r="C29" i="450"/>
  <c r="G13" i="450"/>
  <c r="C7" i="450"/>
  <c r="B81" i="468"/>
  <c r="BD82" i="473" s="1"/>
  <c r="B82" i="468"/>
  <c r="BD83" i="473" s="1"/>
  <c r="B83" i="468"/>
  <c r="BD84" i="473" s="1"/>
  <c r="B84" i="468"/>
  <c r="BD85" i="473" s="1"/>
  <c r="B85" i="468"/>
  <c r="BD86" i="473" s="1"/>
  <c r="B86" i="468"/>
  <c r="BD87" i="473" s="1"/>
  <c r="B46" i="468"/>
  <c r="BD47" i="473" s="1"/>
  <c r="B32" i="468"/>
  <c r="BD33" i="473" s="1"/>
  <c r="B19" i="468"/>
  <c r="BD20" i="473" s="1"/>
  <c r="B9" i="468"/>
  <c r="BD10" i="473" s="1"/>
  <c r="V149" i="424"/>
  <c r="U149" i="424"/>
  <c r="K28" i="102"/>
  <c r="B23" i="467"/>
  <c r="BA25" i="473" s="1"/>
  <c r="Q16" i="103" l="1"/>
  <c r="R23" i="3"/>
  <c r="U156" i="424"/>
  <c r="Q156" i="424"/>
  <c r="M156" i="424"/>
  <c r="H156" i="424"/>
  <c r="C156" i="424"/>
  <c r="V152" i="424"/>
  <c r="Z117" i="424" l="1"/>
  <c r="B116" i="464"/>
  <c r="Z120" i="424" s="1"/>
  <c r="B91" i="464"/>
  <c r="AO8" i="473" s="1"/>
  <c r="B92" i="464"/>
  <c r="B93" i="464"/>
  <c r="B94" i="464"/>
  <c r="B95" i="464"/>
  <c r="B96" i="464"/>
  <c r="B97" i="464"/>
  <c r="AO14" i="473" s="1"/>
  <c r="B98" i="464"/>
  <c r="B99" i="464"/>
  <c r="B100" i="464"/>
  <c r="B101" i="464"/>
  <c r="B102" i="464"/>
  <c r="B103" i="464"/>
  <c r="B104" i="464"/>
  <c r="B105" i="464"/>
  <c r="B106" i="464"/>
  <c r="B107" i="464"/>
  <c r="V120" i="424" s="1"/>
  <c r="B108" i="464"/>
  <c r="B109" i="464"/>
  <c r="B67" i="464"/>
  <c r="B52" i="464"/>
  <c r="AL33" i="473" s="1"/>
  <c r="B50" i="464"/>
  <c r="AL31" i="473" s="1"/>
  <c r="F105" i="424"/>
  <c r="E105" i="424"/>
  <c r="G17" i="74"/>
  <c r="B129" i="463"/>
  <c r="Z37" i="473" s="1"/>
  <c r="B127" i="463"/>
  <c r="F108" i="424" s="1"/>
  <c r="AO28" i="473" l="1"/>
  <c r="W120" i="424"/>
  <c r="AL49" i="473"/>
  <c r="K120" i="424"/>
  <c r="AO36" i="473"/>
  <c r="H255" i="49"/>
  <c r="H164" i="426" l="1"/>
  <c r="F11" i="2"/>
  <c r="H19" i="103"/>
  <c r="J84" i="454"/>
  <c r="B211" i="466"/>
  <c r="G180" i="49" l="1"/>
  <c r="K157" i="424"/>
  <c r="B145" i="468"/>
  <c r="BG60" i="473" s="1"/>
  <c r="B140" i="468"/>
  <c r="L160" i="424" s="1"/>
  <c r="B141" i="468"/>
  <c r="B142" i="468"/>
  <c r="B143" i="468"/>
  <c r="B144" i="468"/>
  <c r="B133" i="468"/>
  <c r="BG48" i="473" s="1"/>
  <c r="B135" i="468"/>
  <c r="BG50" i="473" s="1"/>
  <c r="B136" i="468"/>
  <c r="BG51" i="473" s="1"/>
  <c r="B137" i="468"/>
  <c r="BG52" i="473" s="1"/>
  <c r="B138" i="468"/>
  <c r="BG53" i="473" s="1"/>
  <c r="B139" i="468"/>
  <c r="BG54" i="473" s="1"/>
  <c r="K19" i="103"/>
  <c r="BG58" i="473" l="1"/>
  <c r="N160" i="424"/>
  <c r="G182" i="7"/>
  <c r="N157" i="424"/>
  <c r="BG57" i="473"/>
  <c r="M160" i="424"/>
  <c r="BG56" i="473"/>
  <c r="BG55" i="473"/>
  <c r="K160" i="424"/>
  <c r="BG59" i="473"/>
  <c r="AZ141" i="424"/>
  <c r="B126" i="466"/>
  <c r="B127" i="466"/>
  <c r="B128" i="466"/>
  <c r="B129" i="466"/>
  <c r="B130" i="466"/>
  <c r="B131" i="466"/>
  <c r="B76" i="466"/>
  <c r="B77" i="466"/>
  <c r="B78" i="466"/>
  <c r="B79" i="466"/>
  <c r="B80" i="466"/>
  <c r="B81" i="466"/>
  <c r="B82" i="466"/>
  <c r="B83" i="466"/>
  <c r="B84" i="466"/>
  <c r="B85" i="466"/>
  <c r="AU87" i="473" s="1"/>
  <c r="B86" i="466"/>
  <c r="AU88" i="473" s="1"/>
  <c r="B87" i="466"/>
  <c r="B88" i="466"/>
  <c r="B89" i="466"/>
  <c r="B90" i="466"/>
  <c r="B91" i="466"/>
  <c r="B92" i="466"/>
  <c r="B93" i="466"/>
  <c r="B94" i="466"/>
  <c r="B95" i="466"/>
  <c r="B51" i="466"/>
  <c r="B18" i="466"/>
  <c r="AU20" i="473" s="1"/>
  <c r="B19" i="466"/>
  <c r="BV141" i="424"/>
  <c r="BU141" i="424"/>
  <c r="BT141" i="424"/>
  <c r="BS141" i="424"/>
  <c r="BR141" i="424"/>
  <c r="BQ141" i="424"/>
  <c r="BP141" i="424"/>
  <c r="BO141" i="424"/>
  <c r="BN141" i="424"/>
  <c r="BM141" i="424"/>
  <c r="BL141" i="424"/>
  <c r="BK141" i="424"/>
  <c r="BJ141" i="424"/>
  <c r="BI141" i="424"/>
  <c r="BH141" i="424"/>
  <c r="BG141" i="424"/>
  <c r="BF141" i="424"/>
  <c r="BE141" i="424"/>
  <c r="BD141" i="424"/>
  <c r="BC141" i="424"/>
  <c r="AY141" i="424"/>
  <c r="AX141" i="424"/>
  <c r="AW141" i="424"/>
  <c r="AV141" i="424"/>
  <c r="AU141" i="424"/>
  <c r="AT141" i="424"/>
  <c r="AS141" i="424"/>
  <c r="AR141" i="424"/>
  <c r="AQ141" i="424"/>
  <c r="AP141" i="424"/>
  <c r="AF141" i="424"/>
  <c r="S141" i="424"/>
  <c r="P141" i="424"/>
  <c r="H141" i="424"/>
  <c r="E141" i="424"/>
  <c r="V43" i="95"/>
  <c r="R43" i="95"/>
  <c r="V40" i="95"/>
  <c r="R40" i="95"/>
  <c r="V37" i="95"/>
  <c r="R37" i="95"/>
  <c r="V34" i="95"/>
  <c r="R34" i="95"/>
  <c r="V31" i="95"/>
  <c r="R31" i="95"/>
  <c r="V28" i="95"/>
  <c r="R28" i="95"/>
  <c r="V25" i="95"/>
  <c r="R25" i="95"/>
  <c r="V22" i="95"/>
  <c r="R22" i="95"/>
  <c r="V19" i="95"/>
  <c r="R19" i="95"/>
  <c r="V16" i="95"/>
  <c r="R16" i="95"/>
  <c r="V13" i="95"/>
  <c r="BB141" i="424" s="1"/>
  <c r="R13" i="95"/>
  <c r="BA141" i="424" s="1"/>
  <c r="AF144" i="424" l="1"/>
  <c r="AX36" i="473"/>
  <c r="BV144" i="424"/>
  <c r="AX119" i="473"/>
  <c r="H144" i="424"/>
  <c r="AU53" i="473"/>
  <c r="V144" i="424"/>
  <c r="AU97" i="473"/>
  <c r="P144" i="424"/>
  <c r="AU79" i="473"/>
  <c r="S144" i="424"/>
  <c r="E144" i="424"/>
  <c r="V10" i="95"/>
  <c r="V7" i="95"/>
  <c r="R7" i="95"/>
  <c r="O61" i="95"/>
  <c r="O58" i="95"/>
  <c r="K58" i="95"/>
  <c r="O53" i="95"/>
  <c r="K53" i="95"/>
  <c r="O50" i="95"/>
  <c r="O47" i="95"/>
  <c r="K47" i="95"/>
  <c r="G49" i="95"/>
  <c r="O18" i="95"/>
  <c r="G55" i="95"/>
  <c r="C58" i="95"/>
  <c r="G43" i="95"/>
  <c r="G27" i="95"/>
  <c r="G21" i="95"/>
  <c r="B217" i="466" l="1"/>
  <c r="B196" i="466"/>
  <c r="B197" i="466"/>
  <c r="B198" i="466"/>
  <c r="B199" i="466"/>
  <c r="B200" i="466"/>
  <c r="B201" i="466"/>
  <c r="B202" i="466"/>
  <c r="B203" i="466"/>
  <c r="B204" i="466"/>
  <c r="B205" i="466"/>
  <c r="B206" i="466"/>
  <c r="B207" i="466"/>
  <c r="B208" i="466"/>
  <c r="B209" i="466"/>
  <c r="B210" i="466"/>
  <c r="B161" i="466"/>
  <c r="AX69" i="473" s="1"/>
  <c r="B162" i="466"/>
  <c r="AX70" i="473" s="1"/>
  <c r="B163" i="466"/>
  <c r="AX71" i="473" s="1"/>
  <c r="B164" i="466"/>
  <c r="AX72" i="473" s="1"/>
  <c r="B165" i="466"/>
  <c r="AX73" i="473" s="1"/>
  <c r="B166" i="466"/>
  <c r="AX74" i="473" s="1"/>
  <c r="B167" i="466"/>
  <c r="B168" i="466"/>
  <c r="B169" i="466"/>
  <c r="B170" i="466"/>
  <c r="B171" i="466"/>
  <c r="B172" i="466"/>
  <c r="AX80" i="473" s="1"/>
  <c r="B173" i="466"/>
  <c r="AX81" i="473" s="1"/>
  <c r="B174" i="466"/>
  <c r="AX82" i="473" s="1"/>
  <c r="B175" i="466"/>
  <c r="AX83" i="473" s="1"/>
  <c r="B176" i="466"/>
  <c r="AX84" i="473" s="1"/>
  <c r="B177" i="466"/>
  <c r="AX85" i="473" s="1"/>
  <c r="B178" i="466"/>
  <c r="B179" i="466"/>
  <c r="B180" i="466"/>
  <c r="B181" i="466"/>
  <c r="AX89" i="473" s="1"/>
  <c r="B182" i="466"/>
  <c r="AX90" i="473" s="1"/>
  <c r="B183" i="466"/>
  <c r="AX91" i="473" s="1"/>
  <c r="B184" i="466"/>
  <c r="AX92" i="473" s="1"/>
  <c r="B185" i="466"/>
  <c r="AX93" i="473" s="1"/>
  <c r="B186" i="466"/>
  <c r="AX94" i="473" s="1"/>
  <c r="B187" i="466"/>
  <c r="B188" i="466"/>
  <c r="B189" i="466"/>
  <c r="B190" i="466"/>
  <c r="B191" i="466"/>
  <c r="B192" i="466"/>
  <c r="B193" i="466"/>
  <c r="B194" i="466"/>
  <c r="B195" i="466"/>
  <c r="B160" i="466"/>
  <c r="AX68" i="473" s="1"/>
  <c r="AT25" i="463"/>
  <c r="BD25" i="463"/>
  <c r="CD111" i="464"/>
  <c r="CH111" i="464"/>
  <c r="CI111" i="464"/>
  <c r="IU107" i="464"/>
  <c r="IS107" i="464"/>
  <c r="IQ107" i="464"/>
  <c r="CG107" i="464"/>
  <c r="IU96" i="464"/>
  <c r="ER66" i="464"/>
  <c r="IU65" i="464"/>
  <c r="IS65" i="464"/>
  <c r="FB65" i="464"/>
  <c r="FB66" i="464" s="1"/>
  <c r="JI61" i="464"/>
  <c r="JL61" i="464"/>
  <c r="IU61" i="464"/>
  <c r="IT61" i="464"/>
  <c r="IS61" i="464"/>
  <c r="CJ61" i="464"/>
  <c r="CJ66" i="464" s="1"/>
  <c r="CI61" i="464"/>
  <c r="CI66" i="464" s="1"/>
  <c r="CH61" i="464"/>
  <c r="CH66" i="464" s="1"/>
  <c r="CD61" i="464"/>
  <c r="CD66" i="464" s="1"/>
  <c r="CC61" i="464"/>
  <c r="CB61" i="464"/>
  <c r="EX18" i="464"/>
  <c r="DS18" i="464"/>
  <c r="HM14" i="464"/>
  <c r="HM16" i="464" s="1"/>
  <c r="HM18" i="464" s="1"/>
  <c r="EM14" i="464"/>
  <c r="EM16" i="464" s="1"/>
  <c r="EM18" i="464" s="1"/>
  <c r="JL19" i="464"/>
  <c r="HG72" i="465"/>
  <c r="BB69" i="465"/>
  <c r="BP69" i="465"/>
  <c r="CJ69" i="465"/>
  <c r="DJ69" i="465"/>
  <c r="DX69" i="465"/>
  <c r="EQ67" i="465"/>
  <c r="DX67" i="465"/>
  <c r="DJ67" i="465"/>
  <c r="CJ67" i="465"/>
  <c r="BP67" i="465"/>
  <c r="BB67" i="465"/>
  <c r="FC54" i="468"/>
  <c r="FB54" i="468"/>
  <c r="ER54" i="468"/>
  <c r="EH54" i="468"/>
  <c r="DJ54" i="468"/>
  <c r="JQ45" i="468"/>
  <c r="JK45" i="468"/>
  <c r="GU45" i="468"/>
  <c r="EZ45" i="468"/>
  <c r="EQ45" i="468"/>
  <c r="DR45" i="468"/>
  <c r="ER31" i="468"/>
  <c r="EM31" i="468"/>
  <c r="JD31" i="468"/>
  <c r="JH31" i="468"/>
  <c r="JI31" i="468"/>
  <c r="FA83" i="464"/>
  <c r="HG70" i="465"/>
  <c r="HG67" i="465"/>
  <c r="II9" i="466"/>
  <c r="IF30" i="466"/>
  <c r="IF24" i="466"/>
  <c r="AP144" i="424" l="1"/>
  <c r="AX75" i="473"/>
  <c r="BT144" i="424"/>
  <c r="AX117" i="473"/>
  <c r="BL144" i="424"/>
  <c r="AX109" i="473"/>
  <c r="BS144" i="424"/>
  <c r="AX116" i="473"/>
  <c r="BK144" i="424"/>
  <c r="AX108" i="473"/>
  <c r="BC144" i="424"/>
  <c r="AX100" i="473"/>
  <c r="BR144" i="424"/>
  <c r="AX115" i="473"/>
  <c r="BJ144" i="424"/>
  <c r="AX107" i="473"/>
  <c r="BQ144" i="424"/>
  <c r="AX114" i="473"/>
  <c r="BI144" i="424"/>
  <c r="AX106" i="473"/>
  <c r="BF144" i="424"/>
  <c r="AX103" i="473"/>
  <c r="AX144" i="424"/>
  <c r="AX95" i="473"/>
  <c r="AV144" i="424"/>
  <c r="AX87" i="473"/>
  <c r="AT144" i="424"/>
  <c r="AX79" i="473"/>
  <c r="BP144" i="424"/>
  <c r="AX113" i="473"/>
  <c r="BH144" i="424"/>
  <c r="AX105" i="473"/>
  <c r="AQ144" i="424"/>
  <c r="AX76" i="473"/>
  <c r="BU144" i="424"/>
  <c r="AX118" i="473"/>
  <c r="BB144" i="424"/>
  <c r="AX99" i="473"/>
  <c r="BA144" i="424"/>
  <c r="AX98" i="473"/>
  <c r="AZ144" i="424"/>
  <c r="AX97" i="473"/>
  <c r="BE144" i="424"/>
  <c r="AX102" i="473"/>
  <c r="AU144" i="424"/>
  <c r="AX86" i="473"/>
  <c r="AS144" i="424"/>
  <c r="AX78" i="473"/>
  <c r="BO144" i="424"/>
  <c r="AX112" i="473"/>
  <c r="BG144" i="424"/>
  <c r="AX104" i="473"/>
  <c r="BM144" i="424"/>
  <c r="AX110" i="473"/>
  <c r="AY144" i="424"/>
  <c r="AX96" i="473"/>
  <c r="AW144" i="424"/>
  <c r="AX88" i="473"/>
  <c r="BD144" i="424"/>
  <c r="AX101" i="473"/>
  <c r="AR144" i="424"/>
  <c r="AX77" i="473"/>
  <c r="BN144" i="424"/>
  <c r="AX111" i="473"/>
  <c r="JG69" i="465"/>
  <c r="JG67" i="465"/>
  <c r="ES128" i="463"/>
  <c r="HB121" i="463"/>
  <c r="FM121" i="463"/>
  <c r="FJ121" i="463"/>
  <c r="ET126" i="463"/>
  <c r="AI121" i="463"/>
  <c r="IU104" i="464" l="1"/>
  <c r="CJ104" i="464"/>
  <c r="JB120" i="464"/>
  <c r="JL51" i="464"/>
  <c r="IO51" i="464"/>
  <c r="GY51" i="464"/>
  <c r="EU51" i="464"/>
  <c r="CH51" i="464"/>
  <c r="CG51" i="464"/>
  <c r="CE51" i="464"/>
  <c r="BB51" i="464"/>
  <c r="DH51" i="464"/>
  <c r="JM43" i="464"/>
  <c r="JI43" i="464"/>
  <c r="JB43" i="464"/>
  <c r="IT43" i="464"/>
  <c r="IQ43" i="464"/>
  <c r="HL43" i="464"/>
  <c r="HL47" i="464" s="1"/>
  <c r="HL49" i="464" s="1"/>
  <c r="HL115" i="464" s="1"/>
  <c r="HE43" i="464"/>
  <c r="GW43" i="464"/>
  <c r="FV43" i="464"/>
  <c r="FO43" i="464"/>
  <c r="EH43" i="464"/>
  <c r="EI43" i="464"/>
  <c r="FA43" i="464"/>
  <c r="FK43" i="464"/>
  <c r="DY43" i="464"/>
  <c r="DY49" i="464" s="1"/>
  <c r="DX43" i="464"/>
  <c r="DA43" i="464"/>
  <c r="CP43" i="464"/>
  <c r="CY43" i="464"/>
  <c r="CZ43" i="464"/>
  <c r="DJ43" i="464"/>
  <c r="CK43" i="464"/>
  <c r="CJ43" i="464"/>
  <c r="CI43" i="464"/>
  <c r="CD43" i="464"/>
  <c r="CC43" i="464"/>
  <c r="CB43" i="464"/>
  <c r="EJ16" i="464"/>
  <c r="EK14" i="464"/>
  <c r="EK16" i="464" s="1"/>
  <c r="DS105" i="462" l="1"/>
  <c r="DS104" i="462"/>
  <c r="E6" i="457"/>
  <c r="F6" i="457"/>
  <c r="G6" i="457"/>
  <c r="H6" i="457"/>
  <c r="CJ124" i="466"/>
  <c r="CK25" i="463"/>
  <c r="CL25" i="463"/>
  <c r="CM25" i="463"/>
  <c r="CN25" i="463"/>
  <c r="DK17" i="466"/>
  <c r="DL17" i="466"/>
  <c r="AX4" i="458"/>
  <c r="CB67" i="465"/>
  <c r="CB72" i="465" s="1"/>
  <c r="JH72" i="465"/>
  <c r="JI72" i="465"/>
  <c r="JE72" i="465"/>
  <c r="IT72" i="465"/>
  <c r="IU72" i="465"/>
  <c r="IV72" i="465"/>
  <c r="IW72" i="465"/>
  <c r="II72" i="465"/>
  <c r="IJ72" i="465"/>
  <c r="ID72" i="465"/>
  <c r="IE72" i="465"/>
  <c r="IF72" i="465"/>
  <c r="HZ72" i="465"/>
  <c r="FG72" i="465"/>
  <c r="FH72" i="465"/>
  <c r="FI72" i="465"/>
  <c r="FJ72" i="465"/>
  <c r="FB72" i="465"/>
  <c r="FC72" i="465"/>
  <c r="FD72" i="465"/>
  <c r="FE72" i="465"/>
  <c r="FA72" i="465"/>
  <c r="EV72" i="465"/>
  <c r="EW72" i="465"/>
  <c r="EX72" i="465"/>
  <c r="EY72" i="465"/>
  <c r="EZ72" i="465"/>
  <c r="EO72" i="465"/>
  <c r="EP72" i="465"/>
  <c r="EQ72" i="465"/>
  <c r="ET72" i="465"/>
  <c r="EU72" i="465"/>
  <c r="EE72" i="465"/>
  <c r="EH72" i="465"/>
  <c r="EI72" i="465"/>
  <c r="EJ72" i="465"/>
  <c r="EA72" i="465"/>
  <c r="EB72" i="465"/>
  <c r="DZ72" i="465"/>
  <c r="DX72" i="465"/>
  <c r="DY72" i="465"/>
  <c r="DJ72" i="465"/>
  <c r="CN72" i="465"/>
  <c r="BP72" i="465"/>
  <c r="BT72" i="465"/>
  <c r="BB72" i="465"/>
  <c r="BC72" i="465"/>
  <c r="BD72" i="465"/>
  <c r="AS72" i="465"/>
  <c r="AW72" i="465"/>
  <c r="AY72" i="465"/>
  <c r="AZ72" i="465"/>
  <c r="AQ72" i="465"/>
  <c r="AK72" i="465"/>
  <c r="AN72" i="465"/>
  <c r="AO72" i="465"/>
  <c r="AC72" i="465"/>
  <c r="AE72" i="465"/>
  <c r="U72" i="465"/>
  <c r="Z72" i="465"/>
  <c r="O72" i="465"/>
  <c r="Q72" i="465"/>
  <c r="T72" i="465"/>
  <c r="E72" i="465"/>
  <c r="F72" i="465"/>
  <c r="AW70" i="465"/>
  <c r="AY70" i="465"/>
  <c r="AZ70" i="465"/>
  <c r="BB70" i="465"/>
  <c r="BD70" i="465"/>
  <c r="BG70" i="465"/>
  <c r="BK70" i="465"/>
  <c r="BP70" i="465"/>
  <c r="BT70" i="465"/>
  <c r="BV70" i="465"/>
  <c r="BX70" i="465"/>
  <c r="CB70" i="465"/>
  <c r="CC70" i="465"/>
  <c r="CD70" i="465"/>
  <c r="CH70" i="465"/>
  <c r="CI70" i="465"/>
  <c r="CN70" i="465"/>
  <c r="CQ70" i="465"/>
  <c r="CR70" i="465"/>
  <c r="CS70" i="465"/>
  <c r="CT70" i="465"/>
  <c r="CZ70" i="465"/>
  <c r="DA70" i="465"/>
  <c r="DB70" i="465"/>
  <c r="DC70" i="465"/>
  <c r="DI70" i="465"/>
  <c r="DJ70" i="465"/>
  <c r="DL70" i="465"/>
  <c r="DM70" i="465"/>
  <c r="DR70" i="465"/>
  <c r="DW70" i="465"/>
  <c r="DX70" i="465"/>
  <c r="DY70" i="465"/>
  <c r="DZ70" i="465"/>
  <c r="EA70" i="465"/>
  <c r="EB70" i="465"/>
  <c r="EE70" i="465"/>
  <c r="EH70" i="465"/>
  <c r="EI70" i="465"/>
  <c r="EJ70" i="465"/>
  <c r="EN70" i="465"/>
  <c r="EO70" i="465"/>
  <c r="EP70" i="465"/>
  <c r="EQ70" i="465"/>
  <c r="ET70" i="465"/>
  <c r="EU70" i="465"/>
  <c r="EV70" i="465"/>
  <c r="EW70" i="465"/>
  <c r="EX70" i="465"/>
  <c r="EY70" i="465"/>
  <c r="EZ70" i="465"/>
  <c r="FA70" i="465"/>
  <c r="FB70" i="465"/>
  <c r="FC70" i="465"/>
  <c r="FD70" i="465"/>
  <c r="FE70" i="465"/>
  <c r="FF70" i="465"/>
  <c r="FG70" i="465"/>
  <c r="FH70" i="465"/>
  <c r="FI70" i="465"/>
  <c r="FJ70" i="465"/>
  <c r="FV70" i="465"/>
  <c r="GJ70" i="465"/>
  <c r="HB70" i="465"/>
  <c r="HR70" i="465"/>
  <c r="HZ70" i="465"/>
  <c r="ID70" i="465"/>
  <c r="IE70" i="465"/>
  <c r="IF70" i="465"/>
  <c r="II70" i="465"/>
  <c r="IJ70" i="465"/>
  <c r="IO70" i="465"/>
  <c r="IP70" i="465"/>
  <c r="IS70" i="465"/>
  <c r="IT70" i="465"/>
  <c r="IU70" i="465"/>
  <c r="IV70" i="465"/>
  <c r="IW70" i="465"/>
  <c r="IY70" i="465"/>
  <c r="JE70" i="465"/>
  <c r="JG70" i="465"/>
  <c r="JH70" i="465"/>
  <c r="JI70" i="465"/>
  <c r="JK70" i="465"/>
  <c r="JL70" i="465"/>
  <c r="JQ70" i="465"/>
  <c r="Z70" i="465"/>
  <c r="AA70" i="465"/>
  <c r="AC70" i="465"/>
  <c r="AE70" i="465"/>
  <c r="AK70" i="465"/>
  <c r="AN70" i="465"/>
  <c r="AO70" i="465"/>
  <c r="AQ70" i="465"/>
  <c r="AS70" i="465"/>
  <c r="O70" i="465"/>
  <c r="Q70" i="465"/>
  <c r="T70" i="465"/>
  <c r="U70" i="465"/>
  <c r="M70" i="465"/>
  <c r="I364" i="3"/>
  <c r="D47" i="435" s="1"/>
  <c r="C75" i="489" s="1"/>
  <c r="I363" i="3"/>
  <c r="I372" i="3"/>
  <c r="H364" i="3"/>
  <c r="C47" i="435" s="1"/>
  <c r="CQ67" i="465"/>
  <c r="CD69" i="465"/>
  <c r="C75" i="49" l="1"/>
  <c r="I374" i="3"/>
  <c r="I378" i="3"/>
  <c r="DS106" i="462"/>
  <c r="CD73" i="464" l="1"/>
  <c r="CD104" i="464" s="1"/>
  <c r="CD110" i="463"/>
  <c r="AS69" i="465"/>
  <c r="AS67" i="465"/>
  <c r="B7" i="464" l="1"/>
  <c r="AI8" i="473" s="1"/>
  <c r="B5" i="464"/>
  <c r="AI6" i="473" s="1"/>
  <c r="B36" i="464"/>
  <c r="AL8" i="473" s="1"/>
  <c r="B34" i="464"/>
  <c r="AL6" i="473" s="1"/>
  <c r="B9" i="463"/>
  <c r="T10" i="473" s="1"/>
  <c r="B7" i="463"/>
  <c r="T8" i="473" s="1"/>
  <c r="B56" i="463"/>
  <c r="W11" i="473" s="1"/>
  <c r="B54" i="463"/>
  <c r="W9" i="473" s="1"/>
  <c r="B42" i="462"/>
  <c r="N45" i="473" s="1"/>
  <c r="B43" i="462"/>
  <c r="N46" i="473" s="1"/>
  <c r="B44" i="462"/>
  <c r="N47" i="473" s="1"/>
  <c r="B45" i="462"/>
  <c r="N48" i="473" s="1"/>
  <c r="B13" i="462"/>
  <c r="N14" i="473" s="1"/>
  <c r="B14" i="462"/>
  <c r="N15" i="473" s="1"/>
  <c r="B15" i="462"/>
  <c r="N16" i="473" s="1"/>
  <c r="B16" i="462"/>
  <c r="N17" i="473" s="1"/>
  <c r="Q34" i="458" l="1"/>
  <c r="IW14" i="464"/>
  <c r="IW16" i="464" s="1"/>
  <c r="IW18" i="464" s="1"/>
  <c r="IW82" i="463"/>
  <c r="IW98" i="463" s="1"/>
  <c r="IW116" i="463" s="1"/>
  <c r="IW121" i="463" s="1"/>
  <c r="IU66" i="464"/>
  <c r="IU110" i="463"/>
  <c r="IU82" i="463"/>
  <c r="IU98" i="463" s="1"/>
  <c r="IU116" i="463" s="1"/>
  <c r="IU121" i="463" s="1"/>
  <c r="IS66" i="464"/>
  <c r="IX142" i="463"/>
  <c r="IX110" i="463"/>
  <c r="IX115" i="463" s="1"/>
  <c r="IX113" i="463"/>
  <c r="IX151" i="463"/>
  <c r="IJ69" i="465"/>
  <c r="IJ67" i="465"/>
  <c r="IK25" i="458"/>
  <c r="IL25" i="458"/>
  <c r="II17" i="466"/>
  <c r="II69" i="465"/>
  <c r="IO69" i="465"/>
  <c r="II67" i="465"/>
  <c r="IF69" i="465"/>
  <c r="ID67" i="465"/>
  <c r="IE67" i="465"/>
  <c r="IF67" i="465"/>
  <c r="IG50" i="466"/>
  <c r="ID50" i="466"/>
  <c r="IE50" i="466"/>
  <c r="IA50" i="466"/>
  <c r="IA17" i="466"/>
  <c r="IB17" i="466"/>
  <c r="HT69" i="465"/>
  <c r="HT67" i="465"/>
  <c r="HL17" i="466" l="1"/>
  <c r="IY31" i="468"/>
  <c r="W5" i="462"/>
  <c r="JH98" i="463" l="1"/>
  <c r="JH116" i="463" s="1"/>
  <c r="JH17" i="466"/>
  <c r="JJ17" i="466"/>
  <c r="JQ17" i="466"/>
  <c r="JB110" i="463"/>
  <c r="JC110" i="463"/>
  <c r="JD110" i="463"/>
  <c r="JE110" i="463"/>
  <c r="JF110" i="463"/>
  <c r="JG110" i="463"/>
  <c r="JH110" i="463"/>
  <c r="JJ110" i="463"/>
  <c r="JK110" i="463"/>
  <c r="JL110" i="463"/>
  <c r="JM110" i="463"/>
  <c r="JN110" i="463"/>
  <c r="JO110" i="463"/>
  <c r="JP110" i="463"/>
  <c r="JB99" i="463"/>
  <c r="JC99" i="463"/>
  <c r="JD99" i="463"/>
  <c r="JE99" i="463"/>
  <c r="JF99" i="463"/>
  <c r="JG99" i="463"/>
  <c r="JK99" i="463"/>
  <c r="JP99" i="463"/>
  <c r="JB98" i="463"/>
  <c r="JC98" i="463"/>
  <c r="JD98" i="463"/>
  <c r="JE98" i="463"/>
  <c r="JF98" i="463"/>
  <c r="JG98" i="463"/>
  <c r="JK98" i="463"/>
  <c r="JK116" i="463" s="1"/>
  <c r="JE69" i="465"/>
  <c r="JE67" i="465"/>
  <c r="HI98" i="463"/>
  <c r="HI116" i="463" s="1"/>
  <c r="HJ98" i="463"/>
  <c r="HJ116" i="463" s="1"/>
  <c r="HK98" i="463"/>
  <c r="HK116" i="463" s="1"/>
  <c r="HL98" i="463"/>
  <c r="HL116" i="463" s="1"/>
  <c r="HM98" i="463"/>
  <c r="HM116" i="463" s="1"/>
  <c r="HN98" i="463"/>
  <c r="JK121" i="463" l="1"/>
  <c r="JK126" i="463" s="1"/>
  <c r="HM121" i="463"/>
  <c r="HM126" i="463" s="1"/>
  <c r="HL121" i="463"/>
  <c r="HL126" i="463" s="1"/>
  <c r="HI121" i="463"/>
  <c r="HI126" i="463" s="1"/>
  <c r="HK121" i="463"/>
  <c r="HK126" i="463" s="1"/>
  <c r="HJ121" i="463"/>
  <c r="HJ126" i="463" s="1"/>
  <c r="JH121" i="463"/>
  <c r="JH126" i="463" s="1"/>
  <c r="JB116" i="463"/>
  <c r="FO50" i="466"/>
  <c r="FO17" i="466"/>
  <c r="FO54" i="468"/>
  <c r="FO45" i="468"/>
  <c r="FO61" i="464"/>
  <c r="FO66" i="464" s="1"/>
  <c r="FO47" i="464"/>
  <c r="FO49" i="464" s="1"/>
  <c r="FO115" i="464" s="1"/>
  <c r="FF50" i="466"/>
  <c r="FF17" i="466"/>
  <c r="EN17" i="466"/>
  <c r="EM50" i="466"/>
  <c r="EN50" i="466"/>
  <c r="EM17" i="466"/>
  <c r="DW50" i="466"/>
  <c r="DW17" i="466"/>
  <c r="DT25" i="458"/>
  <c r="DU25" i="458"/>
  <c r="DR50" i="466"/>
  <c r="CA25" i="458"/>
  <c r="CB25" i="458"/>
  <c r="CC25" i="458"/>
  <c r="AT5" i="462"/>
  <c r="IC13" i="458"/>
  <c r="FK50" i="466"/>
  <c r="FK17" i="466"/>
  <c r="FJ50" i="466"/>
  <c r="FJ17" i="466"/>
  <c r="CG68" i="464"/>
  <c r="FM126" i="463"/>
  <c r="FK31" i="468"/>
  <c r="FI126" i="463"/>
  <c r="FJ126" i="463"/>
  <c r="FV99" i="463"/>
  <c r="FI82" i="463"/>
  <c r="FI98" i="463" s="1"/>
  <c r="FJ82" i="463"/>
  <c r="FJ99" i="463" s="1"/>
  <c r="FK82" i="463"/>
  <c r="FK99" i="463" s="1"/>
  <c r="FL82" i="463"/>
  <c r="FL98" i="463" s="1"/>
  <c r="FM82" i="463"/>
  <c r="FM98" i="463" s="1"/>
  <c r="FN82" i="463"/>
  <c r="FN98" i="463" s="1"/>
  <c r="FO99" i="463"/>
  <c r="FP82" i="463"/>
  <c r="FP99" i="463" s="1"/>
  <c r="FQ82" i="463"/>
  <c r="FQ98" i="463" s="1"/>
  <c r="FR82" i="463"/>
  <c r="FR99" i="463" s="1"/>
  <c r="FS82" i="463"/>
  <c r="FS98" i="463" s="1"/>
  <c r="FT82" i="463"/>
  <c r="FT99" i="463" s="1"/>
  <c r="FU82" i="463"/>
  <c r="FU99" i="463" s="1"/>
  <c r="FF45" i="468"/>
  <c r="FH45" i="468"/>
  <c r="FJ45" i="468"/>
  <c r="FK45" i="468"/>
  <c r="FL45" i="468"/>
  <c r="FM45" i="468"/>
  <c r="FF5" i="462"/>
  <c r="FG5" i="462"/>
  <c r="FH5" i="462"/>
  <c r="FI5" i="462"/>
  <c r="FJ5" i="462"/>
  <c r="FK5" i="462"/>
  <c r="FL5" i="462"/>
  <c r="FF34" i="458"/>
  <c r="FG34" i="458"/>
  <c r="FH34" i="458"/>
  <c r="FI34" i="458"/>
  <c r="FJ34" i="458"/>
  <c r="FK34" i="458"/>
  <c r="FE54" i="468"/>
  <c r="FF54" i="468"/>
  <c r="FD45" i="468"/>
  <c r="FD120" i="464"/>
  <c r="FH120" i="464"/>
  <c r="FD111" i="464"/>
  <c r="FH111" i="464"/>
  <c r="FD107" i="464"/>
  <c r="FH107" i="464"/>
  <c r="FD83" i="464"/>
  <c r="FE83" i="464"/>
  <c r="FF83" i="464"/>
  <c r="FG83" i="464"/>
  <c r="FH83" i="464"/>
  <c r="FH104" i="464" s="1"/>
  <c r="FH115" i="464" s="1"/>
  <c r="FI83" i="464"/>
  <c r="FJ83" i="464"/>
  <c r="FD61" i="464"/>
  <c r="FD66" i="464" s="1"/>
  <c r="FH61" i="464"/>
  <c r="FH66" i="464" s="1"/>
  <c r="FD26" i="463"/>
  <c r="FD36" i="463" s="1"/>
  <c r="FC31" i="468"/>
  <c r="FF31" i="468"/>
  <c r="FC50" i="466"/>
  <c r="FC17" i="466"/>
  <c r="FC34" i="458"/>
  <c r="JB121" i="463" l="1"/>
  <c r="JB126" i="463" s="1"/>
  <c r="FD104" i="464"/>
  <c r="FD115" i="464" s="1"/>
  <c r="FI99" i="463"/>
  <c r="FP98" i="463"/>
  <c r="FK98" i="463"/>
  <c r="FO98" i="463"/>
  <c r="FS99" i="463"/>
  <c r="FQ99" i="463"/>
  <c r="FN99" i="463"/>
  <c r="FR98" i="463"/>
  <c r="FJ98" i="463"/>
  <c r="FM99" i="463"/>
  <c r="FL99" i="463"/>
  <c r="FB50" i="466"/>
  <c r="EW50" i="466"/>
  <c r="EX194" i="463"/>
  <c r="ES50" i="466" l="1"/>
  <c r="EQ50" i="466"/>
  <c r="EQ16" i="466"/>
  <c r="EQ194" i="463"/>
  <c r="EQ180" i="463"/>
  <c r="EW69" i="465"/>
  <c r="EY69" i="465"/>
  <c r="FD69" i="465"/>
  <c r="FE69" i="465"/>
  <c r="FG69" i="465"/>
  <c r="FH69" i="465"/>
  <c r="FJ69" i="465"/>
  <c r="EV67" i="465"/>
  <c r="EV69" i="465" s="1"/>
  <c r="EW67" i="465"/>
  <c r="EX67" i="465"/>
  <c r="EX69" i="465" s="1"/>
  <c r="EY67" i="465"/>
  <c r="EZ67" i="465"/>
  <c r="EZ69" i="465" s="1"/>
  <c r="FA67" i="465"/>
  <c r="FA69" i="465" s="1"/>
  <c r="FB67" i="465"/>
  <c r="FB69" i="465" s="1"/>
  <c r="FC67" i="465"/>
  <c r="FC69" i="465" s="1"/>
  <c r="FD67" i="465"/>
  <c r="FE67" i="465"/>
  <c r="FF67" i="465"/>
  <c r="FF69" i="465" s="1"/>
  <c r="FG67" i="465"/>
  <c r="FH67" i="465"/>
  <c r="FI67" i="465"/>
  <c r="FI69" i="465" s="1"/>
  <c r="EO69" i="465"/>
  <c r="EO67" i="465"/>
  <c r="EP67" i="465"/>
  <c r="EP69" i="465" s="1"/>
  <c r="EQ69" i="465"/>
  <c r="ET69" i="465"/>
  <c r="EH67" i="465"/>
  <c r="EH69" i="465" s="1"/>
  <c r="EB67" i="465"/>
  <c r="EB69" i="465" s="1"/>
  <c r="EE67" i="465"/>
  <c r="EE69" i="465" s="1"/>
  <c r="EI69" i="465"/>
  <c r="EA27" i="463"/>
  <c r="EB27" i="463"/>
  <c r="EC27" i="463"/>
  <c r="EA26" i="463"/>
  <c r="EB26" i="463"/>
  <c r="EC26" i="463"/>
  <c r="DY115" i="464"/>
  <c r="DY69" i="465"/>
  <c r="DZ69" i="465"/>
  <c r="EA69" i="465"/>
  <c r="DV5" i="462"/>
  <c r="CE107" i="464"/>
  <c r="CB26" i="463"/>
  <c r="BG54" i="468"/>
  <c r="EB36" i="463" l="1"/>
  <c r="EB39" i="463" s="1"/>
  <c r="EB40" i="463"/>
  <c r="EC40" i="463"/>
  <c r="EA36" i="463"/>
  <c r="EA39" i="463" s="1"/>
  <c r="EC36" i="463"/>
  <c r="EC39" i="463" s="1"/>
  <c r="EA40" i="463"/>
  <c r="H17" i="391"/>
  <c r="H33" i="391" s="1"/>
  <c r="T38" i="391" s="1"/>
  <c r="T17" i="391"/>
  <c r="T33" i="391" s="1"/>
  <c r="X30" i="391" l="1"/>
  <c r="X38" i="391"/>
  <c r="H47" i="391"/>
  <c r="D58" i="391"/>
  <c r="BD45" i="463"/>
  <c r="T47" i="391" l="1"/>
  <c r="W87" i="4"/>
  <c r="E61" i="442"/>
  <c r="H61" i="442" l="1"/>
  <c r="EA142" i="463"/>
  <c r="EA146" i="463" s="1"/>
  <c r="EI142" i="463"/>
  <c r="EA110" i="463"/>
  <c r="EA115" i="463" s="1"/>
  <c r="EA82" i="463"/>
  <c r="EA98" i="463" s="1"/>
  <c r="EA148" i="463" s="1"/>
  <c r="EA151" i="463" s="1"/>
  <c r="EA116" i="463" l="1"/>
  <c r="GC23" i="468"/>
  <c r="EY31" i="468"/>
  <c r="FG31" i="468"/>
  <c r="FL31" i="468"/>
  <c r="HB31" i="468"/>
  <c r="EV45" i="468"/>
  <c r="FN45" i="468"/>
  <c r="FP45" i="468"/>
  <c r="HB47" i="468"/>
  <c r="FG54" i="468"/>
  <c r="FJ54" i="468"/>
  <c r="FK54" i="468"/>
  <c r="GU54" i="468"/>
  <c r="HB56" i="468"/>
  <c r="EA121" i="463" l="1"/>
  <c r="EA126" i="463" s="1"/>
  <c r="C89" i="435"/>
  <c r="K62" i="441"/>
  <c r="M172" i="381"/>
  <c r="M170" i="381"/>
  <c r="M168" i="381"/>
  <c r="M120" i="381"/>
  <c r="M118" i="381"/>
  <c r="K84" i="441" l="1"/>
  <c r="K67" i="441"/>
  <c r="K65" i="441"/>
  <c r="K41" i="441"/>
  <c r="K39" i="441"/>
  <c r="K36" i="441"/>
  <c r="K18" i="441"/>
  <c r="K16" i="441"/>
  <c r="K13" i="441"/>
  <c r="J94" i="441" l="1"/>
  <c r="J7" i="7" s="1"/>
  <c r="J89" i="441"/>
  <c r="K86" i="441" s="1"/>
  <c r="F5" i="441"/>
  <c r="F4" i="441"/>
  <c r="E89" i="441"/>
  <c r="E85" i="441"/>
  <c r="F80" i="441" s="1"/>
  <c r="E74" i="441"/>
  <c r="J70" i="441"/>
  <c r="E70" i="441"/>
  <c r="E66" i="441"/>
  <c r="E55" i="441"/>
  <c r="J44" i="441"/>
  <c r="E44" i="441"/>
  <c r="E41" i="441"/>
  <c r="E26" i="441"/>
  <c r="J21" i="441"/>
  <c r="E21" i="441"/>
  <c r="E17" i="441"/>
  <c r="F12" i="441" s="1"/>
  <c r="E5" i="441"/>
  <c r="F25" i="441" s="1"/>
  <c r="F88" i="441" l="1"/>
  <c r="F63" i="441"/>
  <c r="F58" i="441"/>
  <c r="F69" i="441"/>
  <c r="F73" i="441"/>
  <c r="F38" i="441"/>
  <c r="F61" i="441"/>
  <c r="F14" i="441"/>
  <c r="F54" i="441"/>
  <c r="F9" i="441"/>
  <c r="F33" i="441"/>
  <c r="F36" i="441"/>
  <c r="K81" i="441"/>
  <c r="F82" i="441"/>
  <c r="F77" i="441"/>
  <c r="K93" i="441"/>
  <c r="F43" i="441"/>
  <c r="F20" i="441"/>
  <c r="CC90" i="464" l="1"/>
  <c r="B36" i="462" l="1"/>
  <c r="B33" i="462"/>
  <c r="B7" i="462"/>
  <c r="B4" i="462"/>
  <c r="CG73" i="464" l="1"/>
  <c r="CG104" i="464" s="1"/>
  <c r="CI47" i="464"/>
  <c r="G96" i="376" l="1"/>
  <c r="B105" i="457" l="1"/>
  <c r="K53" i="392"/>
  <c r="R45" i="3"/>
  <c r="G176" i="376"/>
  <c r="J41" i="6"/>
  <c r="E195" i="3"/>
  <c r="E50" i="3"/>
  <c r="F51" i="2"/>
  <c r="F47" i="2"/>
  <c r="R41" i="3" s="1"/>
  <c r="F79" i="2"/>
  <c r="DA31" i="468" l="1"/>
  <c r="CK47" i="464"/>
  <c r="CK49" i="464" s="1"/>
  <c r="CC47" i="464"/>
  <c r="CC49" i="464" s="1"/>
  <c r="CB47" i="464"/>
  <c r="CB49" i="464" s="1"/>
  <c r="B2" i="465" l="1"/>
  <c r="AR4" i="473" s="1"/>
  <c r="B74" i="465"/>
  <c r="G199" i="7" l="1"/>
  <c r="K73" i="392" l="1"/>
  <c r="B53" i="462"/>
  <c r="L105" i="424"/>
  <c r="K105" i="424"/>
  <c r="J105" i="424"/>
  <c r="I105" i="424"/>
  <c r="H105" i="424"/>
  <c r="G105" i="424"/>
  <c r="D105" i="424"/>
  <c r="C105" i="424"/>
  <c r="B105" i="424"/>
  <c r="K72" i="392"/>
  <c r="G32" i="74"/>
  <c r="G29" i="74"/>
  <c r="G26" i="74"/>
  <c r="G23" i="74"/>
  <c r="G20" i="74"/>
  <c r="G14" i="74"/>
  <c r="G11" i="74"/>
  <c r="G8" i="74"/>
  <c r="R44" i="3" s="1"/>
  <c r="G5" i="74"/>
  <c r="E194" i="3" s="1"/>
  <c r="IY113" i="463"/>
  <c r="HB113" i="463"/>
  <c r="FF113" i="463"/>
  <c r="CF113" i="463"/>
  <c r="CB113" i="463"/>
  <c r="AV113" i="463"/>
  <c r="AJ113" i="463"/>
  <c r="AH113" i="463"/>
  <c r="AE113" i="463"/>
  <c r="BD19" i="464"/>
  <c r="BD14" i="464"/>
  <c r="BC19" i="464"/>
  <c r="BC14" i="464"/>
  <c r="CI19" i="464"/>
  <c r="CI14" i="464"/>
  <c r="DG19" i="464"/>
  <c r="DG14" i="464"/>
  <c r="DD19" i="464"/>
  <c r="DD14" i="464"/>
  <c r="CX19" i="464"/>
  <c r="CX14" i="464"/>
  <c r="CW19" i="464"/>
  <c r="CW14" i="464"/>
  <c r="EK19" i="464"/>
  <c r="EJ19" i="464"/>
  <c r="FJ19" i="464"/>
  <c r="FI19" i="464"/>
  <c r="FD19" i="464"/>
  <c r="GM19" i="464"/>
  <c r="GM14" i="464"/>
  <c r="GL19" i="464"/>
  <c r="GL14" i="464"/>
  <c r="HA19" i="464"/>
  <c r="HB19" i="464"/>
  <c r="GZ19" i="464"/>
  <c r="HA14" i="464"/>
  <c r="HB14" i="464"/>
  <c r="GZ14" i="464"/>
  <c r="IY19" i="464"/>
  <c r="IY14" i="464"/>
  <c r="HY19" i="464"/>
  <c r="HV19" i="464"/>
  <c r="HY14" i="464"/>
  <c r="HV14" i="464"/>
  <c r="FJ14" i="464"/>
  <c r="FI14" i="464"/>
  <c r="F46" i="2" l="1"/>
  <c r="P41" i="3"/>
  <c r="G95" i="376"/>
  <c r="F50" i="2"/>
  <c r="K52" i="392"/>
  <c r="E49" i="3"/>
  <c r="G175" i="376"/>
  <c r="J40" i="6"/>
  <c r="IE14" i="464"/>
  <c r="J81" i="7"/>
  <c r="J80" i="7"/>
  <c r="M77" i="424"/>
  <c r="G17" i="131"/>
  <c r="B62" i="457"/>
  <c r="H258" i="49" l="1"/>
  <c r="H82" i="451" l="1"/>
  <c r="J77" i="6" l="1"/>
  <c r="H81" i="451"/>
  <c r="H76" i="451"/>
  <c r="H70" i="451"/>
  <c r="E41" i="451"/>
  <c r="E37" i="451"/>
  <c r="E33" i="451"/>
  <c r="E29" i="451"/>
  <c r="H22" i="451"/>
  <c r="H59" i="451"/>
  <c r="F48" i="452"/>
  <c r="F60" i="452"/>
  <c r="I80" i="452"/>
  <c r="J189" i="2"/>
  <c r="J177" i="2"/>
  <c r="H55" i="451"/>
  <c r="H77" i="451"/>
  <c r="I344" i="3"/>
  <c r="I385" i="3"/>
  <c r="I386" i="3"/>
  <c r="H71" i="451"/>
  <c r="I355" i="3"/>
  <c r="F101" i="2"/>
  <c r="R96" i="4"/>
  <c r="R109" i="4"/>
  <c r="BB308" i="381"/>
  <c r="BB313" i="381"/>
  <c r="BB150" i="381"/>
  <c r="F102" i="375"/>
  <c r="BB339" i="381"/>
  <c r="I380" i="3"/>
  <c r="F339" i="381"/>
  <c r="L15" i="9" l="1"/>
  <c r="AB188" i="391"/>
  <c r="AB178" i="391"/>
  <c r="K278" i="376"/>
  <c r="S120" i="48"/>
  <c r="J215" i="7"/>
  <c r="K52" i="47"/>
  <c r="K60" i="47"/>
  <c r="BB303" i="381"/>
  <c r="K163" i="442"/>
  <c r="K159" i="442"/>
  <c r="J42" i="476"/>
  <c r="AB156" i="391"/>
  <c r="J45" i="453"/>
  <c r="AB109" i="4"/>
  <c r="AB96" i="4"/>
  <c r="AB92" i="4"/>
  <c r="AB67" i="4"/>
  <c r="AB63" i="4"/>
  <c r="AB37" i="4"/>
  <c r="W109" i="4"/>
  <c r="W105" i="4"/>
  <c r="W96" i="4"/>
  <c r="W78" i="4"/>
  <c r="W67" i="4"/>
  <c r="W18" i="4"/>
  <c r="R67" i="4"/>
  <c r="R48" i="4"/>
  <c r="M109" i="4"/>
  <c r="M96" i="4"/>
  <c r="M67" i="4"/>
  <c r="M48" i="4"/>
  <c r="M37" i="4"/>
  <c r="H109" i="4"/>
  <c r="H105" i="4"/>
  <c r="H96" i="4"/>
  <c r="H78" i="4"/>
  <c r="H67" i="4"/>
  <c r="H18" i="4"/>
  <c r="M647" i="3"/>
  <c r="Y34" i="492"/>
  <c r="I384" i="3"/>
  <c r="B93" i="392" l="1"/>
  <c r="K95" i="392"/>
  <c r="K139" i="392"/>
  <c r="H96" i="392" l="1"/>
  <c r="K96" i="392" l="1"/>
  <c r="AD165" i="381"/>
  <c r="S27" i="48"/>
  <c r="D54" i="391"/>
  <c r="K99" i="392"/>
  <c r="G194" i="376" l="1"/>
  <c r="C93" i="424" l="1"/>
  <c r="N36" i="473"/>
  <c r="N5" i="473"/>
  <c r="C96" i="424"/>
  <c r="C92" i="424"/>
  <c r="B93" i="424"/>
  <c r="E89" i="424"/>
  <c r="C89" i="424"/>
  <c r="B89" i="424"/>
  <c r="S22" i="50"/>
  <c r="T5" i="50"/>
  <c r="S31" i="50"/>
  <c r="G25" i="48" l="1"/>
  <c r="G22" i="48"/>
  <c r="G76" i="48"/>
  <c r="G79" i="48"/>
  <c r="G82" i="48"/>
  <c r="G85" i="48"/>
  <c r="Q82" i="48"/>
  <c r="Q79" i="48"/>
  <c r="J37" i="476"/>
  <c r="J34" i="476"/>
  <c r="J31" i="476"/>
  <c r="K238" i="376"/>
  <c r="K225" i="376"/>
  <c r="K88" i="47"/>
  <c r="K82" i="47"/>
  <c r="K58" i="47"/>
  <c r="K54" i="47"/>
  <c r="K50" i="47"/>
  <c r="K43" i="47"/>
  <c r="M304" i="375"/>
  <c r="M298" i="375"/>
  <c r="M288" i="375"/>
  <c r="M285" i="375"/>
  <c r="M279" i="375"/>
  <c r="M273" i="375"/>
  <c r="M267" i="375"/>
  <c r="Q167" i="375"/>
  <c r="Q161" i="375"/>
  <c r="Q158" i="375"/>
  <c r="Q152" i="375"/>
  <c r="Q146" i="375"/>
  <c r="Q137" i="375"/>
  <c r="Q73" i="375"/>
  <c r="Q70" i="375"/>
  <c r="J152" i="392"/>
  <c r="J149" i="392"/>
  <c r="K142" i="392"/>
  <c r="K112" i="392"/>
  <c r="J69" i="454"/>
  <c r="G66" i="454"/>
  <c r="E66" i="6"/>
  <c r="J75" i="6"/>
  <c r="E62" i="6"/>
  <c r="E61" i="6"/>
  <c r="E60" i="6"/>
  <c r="H74" i="451" l="1"/>
  <c r="E39" i="451"/>
  <c r="E35" i="451"/>
  <c r="E31" i="451"/>
  <c r="E27" i="451"/>
  <c r="F58" i="452"/>
  <c r="F50" i="452"/>
  <c r="E64" i="6" s="1"/>
  <c r="F45" i="452"/>
  <c r="D161" i="2"/>
  <c r="D160" i="2"/>
  <c r="D159" i="2"/>
  <c r="E59" i="6" s="1"/>
  <c r="F159" i="2"/>
  <c r="Q85" i="48" l="1"/>
  <c r="E65" i="6"/>
  <c r="Y215" i="381" l="1"/>
  <c r="Y209" i="381"/>
  <c r="Z216" i="381" s="1"/>
  <c r="Y68" i="381"/>
  <c r="Y66" i="381"/>
  <c r="B131" i="391" l="1"/>
  <c r="B134" i="391"/>
  <c r="G84" i="376" l="1"/>
  <c r="G83" i="376"/>
  <c r="B66" i="462"/>
  <c r="B63" i="462"/>
  <c r="B97" i="424"/>
  <c r="C97" i="424"/>
  <c r="C8" i="77"/>
  <c r="B100" i="424" l="1"/>
  <c r="Q6" i="473"/>
  <c r="H259" i="489" l="1"/>
  <c r="H258" i="489"/>
  <c r="H259" i="49"/>
  <c r="B143" i="391" l="1"/>
  <c r="B122" i="391"/>
  <c r="CN67" i="465"/>
  <c r="CN69" i="465" s="1"/>
  <c r="CN142" i="463"/>
  <c r="CN146" i="463" s="1"/>
  <c r="CM126" i="463"/>
  <c r="B20" i="468" l="1"/>
  <c r="BD21" i="473" s="1"/>
  <c r="B21" i="468"/>
  <c r="BD22" i="473" s="1"/>
  <c r="B22" i="468"/>
  <c r="BD23" i="473" s="1"/>
  <c r="B23" i="468"/>
  <c r="I156" i="424" s="1"/>
  <c r="B24" i="468"/>
  <c r="J156" i="424" s="1"/>
  <c r="B25" i="468"/>
  <c r="BD26" i="473" s="1"/>
  <c r="B26" i="468"/>
  <c r="BD27" i="473" s="1"/>
  <c r="B27" i="468"/>
  <c r="K156" i="424" s="1"/>
  <c r="B33" i="468"/>
  <c r="BD34" i="473" s="1"/>
  <c r="B34" i="468"/>
  <c r="BD35" i="473" s="1"/>
  <c r="B35" i="468"/>
  <c r="BD36" i="473" s="1"/>
  <c r="B36" i="468"/>
  <c r="BD37" i="473" s="1"/>
  <c r="AB174" i="391"/>
  <c r="G18" i="450"/>
  <c r="K153" i="424" s="1"/>
  <c r="C21" i="450"/>
  <c r="J153" i="424" s="1"/>
  <c r="C18" i="450"/>
  <c r="I153" i="424" s="1"/>
  <c r="BD25" i="473" l="1"/>
  <c r="BD24" i="473"/>
  <c r="BD28" i="473"/>
  <c r="B17" i="468"/>
  <c r="BD18" i="473" s="1"/>
  <c r="B18" i="468"/>
  <c r="G156" i="424" s="1"/>
  <c r="BD19" i="473" l="1"/>
  <c r="S137" i="391"/>
  <c r="AA134" i="391"/>
  <c r="H99" i="435" s="1"/>
  <c r="S134" i="391"/>
  <c r="AB133" i="391" s="1"/>
  <c r="AA131" i="391"/>
  <c r="H97" i="435" s="1"/>
  <c r="AB130" i="391"/>
  <c r="G83" i="391"/>
  <c r="G80" i="391"/>
  <c r="G67" i="391"/>
  <c r="G64" i="391"/>
  <c r="G47" i="391"/>
  <c r="G38" i="391"/>
  <c r="G17" i="391"/>
  <c r="C13" i="450"/>
  <c r="CC107" i="464"/>
  <c r="H66" i="391" l="1"/>
  <c r="H96" i="435"/>
  <c r="H98" i="435"/>
  <c r="D16" i="391"/>
  <c r="T133" i="391"/>
  <c r="S5" i="50"/>
  <c r="G5" i="376" s="1"/>
  <c r="I24" i="2" l="1"/>
  <c r="F4" i="2"/>
  <c r="O4" i="50"/>
  <c r="G4" i="50"/>
  <c r="B119" i="392"/>
  <c r="K127" i="392"/>
  <c r="K118" i="392"/>
  <c r="AC170" i="381" l="1"/>
  <c r="R126" i="381"/>
  <c r="AD164" i="381"/>
  <c r="R125" i="381"/>
  <c r="AD169" i="381" l="1"/>
  <c r="AD171" i="381"/>
  <c r="E67" i="6"/>
  <c r="H167" i="382" l="1"/>
  <c r="AB44" i="492" l="1"/>
  <c r="B4" i="4" l="1"/>
  <c r="G105" i="426"/>
  <c r="HZ67" i="465"/>
  <c r="HS67" i="465"/>
  <c r="HR67" i="465"/>
  <c r="HR69" i="465" s="1"/>
  <c r="HY24" i="464"/>
  <c r="HY16" i="464"/>
  <c r="HY18" i="464" s="1"/>
  <c r="HY23" i="464" s="1"/>
  <c r="HU45" i="463"/>
  <c r="HT45" i="463"/>
  <c r="HU44" i="463"/>
  <c r="HT44" i="463"/>
  <c r="HU27" i="463"/>
  <c r="HT27" i="463"/>
  <c r="HU26" i="463"/>
  <c r="HT26" i="463"/>
  <c r="HZ5" i="462"/>
  <c r="HY5" i="462"/>
  <c r="JE36" i="457"/>
  <c r="IL36" i="457"/>
  <c r="IK36" i="457"/>
  <c r="IG36" i="457"/>
  <c r="IF36" i="457"/>
  <c r="IB36" i="457"/>
  <c r="HZ36" i="457"/>
  <c r="HV36" i="457"/>
  <c r="HT36" i="457"/>
  <c r="HS36" i="457"/>
  <c r="HR36" i="457"/>
  <c r="HQ36" i="457"/>
  <c r="IN24" i="458"/>
  <c r="IM24" i="458"/>
  <c r="IC24" i="458"/>
  <c r="IB24" i="458"/>
  <c r="IY23" i="458"/>
  <c r="IC15" i="458"/>
  <c r="HZ15" i="458"/>
  <c r="HU40" i="463" l="1"/>
  <c r="HU41" i="463" s="1"/>
  <c r="HT40" i="463"/>
  <c r="HT41" i="463" s="1"/>
  <c r="HU36" i="463"/>
  <c r="HU39" i="463" s="1"/>
  <c r="IE16" i="464"/>
  <c r="HZ69" i="465"/>
  <c r="HS69" i="465"/>
  <c r="HT36" i="463"/>
  <c r="HT39" i="463" s="1"/>
  <c r="IE18" i="464" l="1"/>
  <c r="IE23" i="464" s="1"/>
  <c r="I123" i="489"/>
  <c r="I90" i="489"/>
  <c r="K196" i="392"/>
  <c r="G197" i="376"/>
  <c r="G193" i="376"/>
  <c r="J65" i="442" l="1"/>
  <c r="G65" i="442"/>
  <c r="J62" i="442"/>
  <c r="G62" i="442"/>
  <c r="D62" i="442"/>
  <c r="D59" i="442"/>
  <c r="G47" i="442"/>
  <c r="J80" i="453"/>
  <c r="K63" i="47"/>
  <c r="E40" i="47"/>
  <c r="E37" i="47"/>
  <c r="J38" i="47"/>
  <c r="G38" i="47"/>
  <c r="D38" i="47"/>
  <c r="Y97" i="381" l="1"/>
  <c r="Y110" i="381"/>
  <c r="Y127" i="381"/>
  <c r="Y169" i="381"/>
  <c r="Y290" i="381"/>
  <c r="Y247" i="381"/>
  <c r="Y234" i="381"/>
  <c r="Q318" i="381"/>
  <c r="Q290" i="381"/>
  <c r="Q264" i="381"/>
  <c r="M166" i="381" l="1"/>
  <c r="N175" i="381" l="1"/>
  <c r="N167" i="381"/>
  <c r="V88" i="4" l="1"/>
  <c r="G14" i="4"/>
  <c r="G122" i="426"/>
  <c r="M29" i="4" l="1"/>
  <c r="I123" i="49"/>
  <c r="I90" i="49"/>
  <c r="G83" i="382" l="1"/>
  <c r="C83" i="382"/>
  <c r="G20" i="382"/>
  <c r="C57" i="435" s="1"/>
  <c r="C20" i="382"/>
  <c r="C56" i="435" l="1"/>
  <c r="C88" i="435"/>
  <c r="AA45" i="492"/>
  <c r="H82" i="382" s="1"/>
  <c r="AA33" i="492"/>
  <c r="V104" i="4"/>
  <c r="V101" i="4"/>
  <c r="G108" i="4"/>
  <c r="D22" i="382" s="1"/>
  <c r="G104" i="4"/>
  <c r="D19" i="382" s="1"/>
  <c r="G100" i="4"/>
  <c r="AB45" i="492"/>
  <c r="Q44" i="492"/>
  <c r="L114" i="7"/>
  <c r="L107" i="7"/>
  <c r="L104" i="7"/>
  <c r="G176" i="382"/>
  <c r="G167" i="382"/>
  <c r="H165" i="382" s="1"/>
  <c r="M112" i="7" l="1"/>
  <c r="M110" i="7"/>
  <c r="H14" i="435"/>
  <c r="D82" i="382"/>
  <c r="H37" i="47"/>
  <c r="AB29" i="492"/>
  <c r="AB31" i="492"/>
  <c r="E58" i="442"/>
  <c r="W98" i="4"/>
  <c r="K37" i="47"/>
  <c r="K61" i="442"/>
  <c r="R317" i="381"/>
  <c r="H19" i="382"/>
  <c r="H103" i="4"/>
  <c r="G106" i="426" l="1"/>
  <c r="I31" i="478" l="1"/>
  <c r="Q241" i="375" l="1"/>
  <c r="Q239" i="375"/>
  <c r="Q236" i="375"/>
  <c r="GD82" i="463" l="1"/>
  <c r="GD98" i="463" s="1"/>
  <c r="GP5" i="462"/>
  <c r="GD148" i="463" l="1"/>
  <c r="GD151" i="463" s="1"/>
  <c r="GD116" i="463"/>
  <c r="HW169" i="468"/>
  <c r="HW82" i="463"/>
  <c r="HW98" i="463" s="1"/>
  <c r="GD121" i="463" l="1"/>
  <c r="GD126" i="463" s="1"/>
  <c r="HW148" i="463"/>
  <c r="HW151" i="463" s="1"/>
  <c r="HW99" i="463"/>
  <c r="HW116" i="463" s="1"/>
  <c r="DV26" i="463"/>
  <c r="DV36" i="463" s="1"/>
  <c r="DV39" i="463" s="1"/>
  <c r="BB9" i="466"/>
  <c r="HW121" i="463" l="1"/>
  <c r="HW126" i="463" s="1"/>
  <c r="G104" i="426"/>
  <c r="H77" i="424" l="1"/>
  <c r="E28" i="451" l="1"/>
  <c r="M95" i="7" l="1"/>
  <c r="M159" i="3" l="1"/>
  <c r="M151" i="3"/>
  <c r="R178" i="3"/>
  <c r="M170" i="3"/>
  <c r="M174" i="3"/>
  <c r="E198" i="3"/>
  <c r="M182" i="3"/>
  <c r="F96" i="2"/>
  <c r="E111" i="3"/>
  <c r="R106" i="3"/>
  <c r="E79" i="3"/>
  <c r="R11" i="3"/>
  <c r="E8" i="3"/>
  <c r="I343" i="3" l="1"/>
  <c r="M133" i="3"/>
  <c r="O130" i="382"/>
  <c r="L182" i="49" l="1"/>
  <c r="K116" i="376" l="1"/>
  <c r="E40" i="451" l="1"/>
  <c r="E36" i="451"/>
  <c r="E32" i="451"/>
  <c r="JM65" i="464"/>
  <c r="CH73" i="464"/>
  <c r="CH104" i="464" s="1"/>
  <c r="CI73" i="464"/>
  <c r="CI104" i="464" s="1"/>
  <c r="CE73" i="464"/>
  <c r="CE104" i="464" s="1"/>
  <c r="CC73" i="464"/>
  <c r="CC104" i="464" l="1"/>
  <c r="CC115" i="464" s="1"/>
  <c r="G7" i="83"/>
  <c r="C117" i="424" s="1"/>
  <c r="G4" i="83"/>
  <c r="E197" i="3" s="1"/>
  <c r="B117" i="424" l="1"/>
  <c r="R105" i="3"/>
  <c r="G114" i="376"/>
  <c r="D104" i="435"/>
  <c r="L140" i="489" l="1"/>
  <c r="L139" i="489"/>
  <c r="L141" i="489"/>
  <c r="D140" i="489"/>
  <c r="D140" i="49"/>
  <c r="H350" i="3"/>
  <c r="D198" i="3" l="1"/>
  <c r="D195" i="3"/>
  <c r="C104" i="435" l="1"/>
  <c r="GT5" i="457"/>
  <c r="GM5" i="457"/>
  <c r="GL5" i="457"/>
  <c r="DH5" i="457"/>
  <c r="CU5" i="457"/>
  <c r="CX5" i="457"/>
  <c r="CW5" i="457"/>
  <c r="CI5" i="457"/>
  <c r="BD5" i="457"/>
  <c r="DN25" i="463"/>
  <c r="CK82" i="463"/>
  <c r="CK98" i="463" s="1"/>
  <c r="CI49" i="464"/>
  <c r="CH115" i="464"/>
  <c r="CG115" i="464"/>
  <c r="CE115" i="464"/>
  <c r="CD82" i="463"/>
  <c r="CD99" i="463" s="1"/>
  <c r="CD47" i="464"/>
  <c r="CD49" i="464" s="1"/>
  <c r="CC65" i="464"/>
  <c r="CC66" i="464" s="1"/>
  <c r="CB107" i="464"/>
  <c r="CB73" i="464"/>
  <c r="CB90" i="464"/>
  <c r="CB65" i="464"/>
  <c r="CB66" i="464" s="1"/>
  <c r="G105" i="376"/>
  <c r="K62" i="392"/>
  <c r="J65" i="392"/>
  <c r="CB115" i="464" l="1"/>
  <c r="CK148" i="463"/>
  <c r="CK151" i="463" s="1"/>
  <c r="CK116" i="463"/>
  <c r="CK121" i="463" s="1"/>
  <c r="CD98" i="463"/>
  <c r="CI115" i="464"/>
  <c r="CD115" i="464"/>
  <c r="Q106" i="3"/>
  <c r="Q129" i="3"/>
  <c r="F72" i="2"/>
  <c r="F68" i="2"/>
  <c r="CP107" i="464"/>
  <c r="CD148" i="463" l="1"/>
  <c r="CD151" i="463" s="1"/>
  <c r="CD116" i="463"/>
  <c r="CD121" i="463" s="1"/>
  <c r="CD126" i="463" s="1"/>
  <c r="B44" i="464"/>
  <c r="B120" i="424" s="1"/>
  <c r="B45" i="464"/>
  <c r="AL26" i="473" s="1"/>
  <c r="AL25" i="473" l="1"/>
  <c r="C120" i="424"/>
  <c r="K65" i="392"/>
  <c r="CP82" i="463"/>
  <c r="CP98" i="463" s="1"/>
  <c r="CO110" i="463"/>
  <c r="CO115" i="463" s="1"/>
  <c r="CL110" i="463"/>
  <c r="CN110" i="463"/>
  <c r="CN115" i="463" s="1"/>
  <c r="CM110" i="463"/>
  <c r="CO82" i="463"/>
  <c r="CO98" i="463" s="1"/>
  <c r="CN82" i="463"/>
  <c r="CN98" i="463" s="1"/>
  <c r="CN116" i="463" l="1"/>
  <c r="CP148" i="463"/>
  <c r="CP151" i="463" s="1"/>
  <c r="CO99" i="463"/>
  <c r="CP99" i="463"/>
  <c r="CP116" i="463" s="1"/>
  <c r="CP121" i="463" s="1"/>
  <c r="CN148" i="463"/>
  <c r="CN151" i="463" s="1"/>
  <c r="CM82" i="463"/>
  <c r="CN121" i="463" l="1"/>
  <c r="CN126" i="463" s="1"/>
  <c r="CO148" i="463"/>
  <c r="CO151" i="463" s="1"/>
  <c r="CO117" i="463"/>
  <c r="CO128" i="463" s="1"/>
  <c r="CM99" i="463"/>
  <c r="CM98" i="463"/>
  <c r="BY82" i="463"/>
  <c r="BY98" i="463" s="1"/>
  <c r="BY148" i="463" s="1"/>
  <c r="Z104" i="462"/>
  <c r="Z106" i="462" s="1"/>
  <c r="CM148" i="463" l="1"/>
  <c r="CM151" i="463" s="1"/>
  <c r="BY151" i="463"/>
  <c r="BY116" i="463"/>
  <c r="R177" i="3"/>
  <c r="M173" i="3"/>
  <c r="Q178" i="3"/>
  <c r="B57" i="457"/>
  <c r="G77" i="424"/>
  <c r="C23" i="131"/>
  <c r="G150" i="382"/>
  <c r="G146" i="382"/>
  <c r="C103" i="435" s="1"/>
  <c r="G142" i="382"/>
  <c r="G140" i="382" s="1"/>
  <c r="H347" i="3"/>
  <c r="I353" i="3" s="1"/>
  <c r="H343" i="3"/>
  <c r="G119" i="382" s="1"/>
  <c r="Q45" i="3"/>
  <c r="I342" i="3" s="1"/>
  <c r="C105" i="435" l="1"/>
  <c r="I349" i="3"/>
  <c r="G113" i="376"/>
  <c r="K64" i="392"/>
  <c r="H149" i="382"/>
  <c r="H80" i="424"/>
  <c r="H45" i="473"/>
  <c r="E172" i="2" l="1"/>
  <c r="I173" i="2"/>
  <c r="J175" i="2" l="1"/>
  <c r="L139" i="49"/>
  <c r="L140" i="49"/>
  <c r="L141" i="49"/>
  <c r="P244" i="375"/>
  <c r="P233" i="375"/>
  <c r="I95" i="48" l="1"/>
  <c r="S118" i="48"/>
  <c r="S78" i="48"/>
  <c r="R82" i="48"/>
  <c r="H82" i="48"/>
  <c r="B122" i="463"/>
  <c r="Z35" i="473" s="1"/>
  <c r="B123" i="463"/>
  <c r="C108" i="424" s="1"/>
  <c r="Z29" i="473" l="1"/>
  <c r="B108" i="424"/>
  <c r="Z30" i="473"/>
  <c r="G121" i="426"/>
  <c r="EG57" i="466" l="1"/>
  <c r="S82" i="463" l="1"/>
  <c r="S98" i="463" s="1"/>
  <c r="J202" i="392" l="1"/>
  <c r="H62" i="435" s="1"/>
  <c r="K200" i="392" l="1"/>
  <c r="K198" i="392"/>
  <c r="I27" i="453"/>
  <c r="I23" i="453"/>
  <c r="I19" i="453"/>
  <c r="J26" i="453" s="1"/>
  <c r="H49" i="435" l="1"/>
  <c r="B21" i="467"/>
  <c r="B20" i="467"/>
  <c r="BA22" i="473" s="1"/>
  <c r="S149" i="424"/>
  <c r="S152" i="424" l="1"/>
  <c r="G62" i="6" l="1"/>
  <c r="S82" i="48" s="1"/>
  <c r="G61" i="6"/>
  <c r="I82" i="48"/>
  <c r="D36" i="451"/>
  <c r="I81" i="48" s="1"/>
  <c r="K20" i="102"/>
  <c r="B80" i="468" l="1"/>
  <c r="BD81" i="473" s="1"/>
  <c r="DN13" i="463"/>
  <c r="B40" i="458" l="1"/>
  <c r="E5" i="473" s="1"/>
  <c r="JM169" i="468" l="1"/>
  <c r="JL169" i="468"/>
  <c r="JI169" i="468"/>
  <c r="IT169" i="468"/>
  <c r="IQ169" i="468"/>
  <c r="CK169" i="468"/>
  <c r="AN169" i="468"/>
  <c r="L169" i="468"/>
  <c r="CQ169" i="468"/>
  <c r="BI169" i="468"/>
  <c r="AP169" i="468"/>
  <c r="AK169" i="468"/>
  <c r="AI169" i="468"/>
  <c r="AH169" i="468"/>
  <c r="AE169" i="468"/>
  <c r="AN82" i="463" l="1"/>
  <c r="AN98" i="463" s="1"/>
  <c r="AN116" i="463" s="1"/>
  <c r="AN121" i="463" s="1"/>
  <c r="AK67" i="465"/>
  <c r="AK69" i="465" s="1"/>
  <c r="AK99" i="463"/>
  <c r="AC25" i="458"/>
  <c r="AA153" i="463"/>
  <c r="AA82" i="463"/>
  <c r="AA98" i="463" s="1"/>
  <c r="AA116" i="463" s="1"/>
  <c r="AA121" i="463" l="1"/>
  <c r="AA126" i="463" s="1"/>
  <c r="AA152" i="463" s="1"/>
  <c r="AN126" i="463"/>
  <c r="AA148" i="463"/>
  <c r="AA151" i="463" s="1"/>
  <c r="AA169" i="468"/>
  <c r="BC104" i="466"/>
  <c r="BC113" i="466" s="1"/>
  <c r="BC117" i="466" s="1"/>
  <c r="U64" i="458" l="1"/>
  <c r="L4" i="458" l="1"/>
  <c r="BJ97" i="463" l="1"/>
  <c r="F62" i="6"/>
  <c r="S81" i="48" l="1"/>
  <c r="H200" i="49"/>
  <c r="H197" i="49"/>
  <c r="AW146" i="381" l="1"/>
  <c r="H200" i="489"/>
  <c r="H199" i="489"/>
  <c r="H197" i="489"/>
  <c r="H199" i="49"/>
  <c r="I115" i="49"/>
  <c r="AX142" i="381" l="1"/>
  <c r="G155" i="426"/>
  <c r="AQ67" i="465" l="1"/>
  <c r="AN67" i="465"/>
  <c r="GG67" i="465" l="1"/>
  <c r="CQ69" i="465"/>
  <c r="JE74" i="466" l="1"/>
  <c r="I94" i="453" l="1"/>
  <c r="I91" i="453"/>
  <c r="I85" i="453"/>
  <c r="I82" i="453"/>
  <c r="F82" i="453"/>
  <c r="I78" i="453"/>
  <c r="I72" i="453"/>
  <c r="I69" i="453"/>
  <c r="H52" i="435" s="1"/>
  <c r="F69" i="453"/>
  <c r="I66" i="453"/>
  <c r="I60" i="453"/>
  <c r="I57" i="453"/>
  <c r="H51" i="435" s="1"/>
  <c r="F57" i="453"/>
  <c r="J56" i="453" s="1"/>
  <c r="I54" i="453"/>
  <c r="I48" i="453"/>
  <c r="J93" i="453" l="1"/>
  <c r="M130" i="7"/>
  <c r="AI26" i="463"/>
  <c r="AI36" i="463" s="1"/>
  <c r="BV26" i="463"/>
  <c r="IR16" i="457"/>
  <c r="CP25" i="463" l="1"/>
  <c r="JB8" i="468" l="1"/>
  <c r="JK8" i="468"/>
  <c r="IW8" i="468"/>
  <c r="G66" i="6" l="1"/>
  <c r="J55" i="47" l="1"/>
  <c r="D15" i="362" l="1"/>
  <c r="C15" i="362"/>
  <c r="I98" i="454" l="1"/>
  <c r="L104" i="454"/>
  <c r="L101" i="454"/>
  <c r="AA191" i="391"/>
  <c r="AA187" i="391"/>
  <c r="AA184" i="391"/>
  <c r="AA168" i="391"/>
  <c r="AA165" i="391"/>
  <c r="AA152" i="391"/>
  <c r="C14" i="362" l="1"/>
  <c r="M100" i="454"/>
  <c r="H116" i="435"/>
  <c r="H118" i="435"/>
  <c r="H110" i="435" l="1"/>
  <c r="H107" i="435" l="1"/>
  <c r="I211" i="7" l="1"/>
  <c r="I208" i="7"/>
  <c r="I205" i="7"/>
  <c r="I202" i="7"/>
  <c r="AA162" i="391"/>
  <c r="AA155" i="391"/>
  <c r="AB152" i="391"/>
  <c r="I107" i="435" l="1"/>
  <c r="L266" i="489" s="1"/>
  <c r="AB161" i="391"/>
  <c r="H17" i="435"/>
  <c r="H108" i="435"/>
  <c r="G141" i="7"/>
  <c r="AB167" i="391"/>
  <c r="G113" i="382"/>
  <c r="I266" i="49" l="1"/>
  <c r="L266" i="49"/>
  <c r="I266" i="489"/>
  <c r="I126" i="489"/>
  <c r="I125" i="489"/>
  <c r="I124" i="489"/>
  <c r="I122" i="489"/>
  <c r="I121" i="489"/>
  <c r="I120" i="489"/>
  <c r="I118" i="489"/>
  <c r="I117" i="489"/>
  <c r="I116" i="489"/>
  <c r="I115" i="489"/>
  <c r="I26" i="478"/>
  <c r="G65" i="382"/>
  <c r="G47" i="382"/>
  <c r="G26" i="382"/>
  <c r="G89" i="382"/>
  <c r="G110" i="382"/>
  <c r="C101" i="435" s="1"/>
  <c r="C110" i="382"/>
  <c r="G107" i="382"/>
  <c r="C99" i="435" s="1"/>
  <c r="C107" i="382"/>
  <c r="G104" i="382"/>
  <c r="C104" i="382"/>
  <c r="H103" i="382" s="1"/>
  <c r="C98" i="435" l="1"/>
  <c r="H106" i="382"/>
  <c r="C100" i="435"/>
  <c r="H109" i="382"/>
  <c r="H160" i="382"/>
  <c r="H145" i="382"/>
  <c r="G130" i="382"/>
  <c r="H152" i="382"/>
  <c r="C97" i="435"/>
  <c r="I126" i="49"/>
  <c r="I125" i="49"/>
  <c r="I124" i="49"/>
  <c r="I122" i="49"/>
  <c r="I121" i="49"/>
  <c r="I120" i="49"/>
  <c r="I118" i="49"/>
  <c r="I117" i="49"/>
  <c r="I116" i="49"/>
  <c r="G101" i="382"/>
  <c r="C96" i="435" s="1"/>
  <c r="C101" i="382"/>
  <c r="H100" i="382" s="1"/>
  <c r="G98" i="382"/>
  <c r="C98" i="382"/>
  <c r="G95" i="382"/>
  <c r="C95" i="382"/>
  <c r="H94" i="382" s="1"/>
  <c r="D70" i="382"/>
  <c r="G86" i="382"/>
  <c r="C91" i="435" s="1"/>
  <c r="C86" i="382"/>
  <c r="G80" i="382"/>
  <c r="C87" i="435" s="1"/>
  <c r="C80" i="382"/>
  <c r="G77" i="382"/>
  <c r="C85" i="435" s="1"/>
  <c r="C77" i="382"/>
  <c r="G71" i="382"/>
  <c r="C71" i="382"/>
  <c r="G74" i="382"/>
  <c r="C83" i="435" s="1"/>
  <c r="C74" i="382"/>
  <c r="C86" i="435" l="1"/>
  <c r="C94" i="435"/>
  <c r="H97" i="382"/>
  <c r="H88" i="382"/>
  <c r="C93" i="435"/>
  <c r="H112" i="382"/>
  <c r="C81" i="435"/>
  <c r="C82" i="435"/>
  <c r="C90" i="435"/>
  <c r="C80" i="435"/>
  <c r="C84" i="435"/>
  <c r="C95" i="435"/>
  <c r="C92" i="435"/>
  <c r="AB171" i="391"/>
  <c r="I13" i="435" l="1"/>
  <c r="L158" i="489" s="1"/>
  <c r="L158" i="49" l="1"/>
  <c r="J158" i="49"/>
  <c r="J158" i="489"/>
  <c r="J64" i="47"/>
  <c r="J59" i="47"/>
  <c r="J68" i="453" s="1"/>
  <c r="G59" i="47"/>
  <c r="D59" i="47"/>
  <c r="G55" i="47"/>
  <c r="D55" i="47"/>
  <c r="J51" i="47"/>
  <c r="G51" i="47"/>
  <c r="D51" i="47"/>
  <c r="H50" i="47" s="1"/>
  <c r="J47" i="47"/>
  <c r="J81" i="453" s="1"/>
  <c r="G47" i="47"/>
  <c r="D47" i="47"/>
  <c r="E50" i="47" l="1"/>
  <c r="J44" i="47"/>
  <c r="G44" i="47"/>
  <c r="D44" i="47"/>
  <c r="E46" i="47" l="1"/>
  <c r="I199" i="381" l="1"/>
  <c r="G65" i="6" l="1"/>
  <c r="H44" i="451" l="1"/>
  <c r="F160" i="2"/>
  <c r="F161" i="2"/>
  <c r="I25" i="48" s="1"/>
  <c r="I22" i="48" l="1"/>
  <c r="AW121" i="381"/>
  <c r="AW119" i="381"/>
  <c r="AW117" i="381"/>
  <c r="AW115" i="381"/>
  <c r="AW113" i="381"/>
  <c r="AW111" i="381"/>
  <c r="AW109" i="381"/>
  <c r="AW107" i="381"/>
  <c r="AW105" i="381"/>
  <c r="AW103" i="381"/>
  <c r="AS114" i="381"/>
  <c r="AS112" i="381"/>
  <c r="AS110" i="381"/>
  <c r="AS108" i="381"/>
  <c r="AS106" i="381"/>
  <c r="AS104" i="381"/>
  <c r="AX118" i="381" l="1"/>
  <c r="AX116" i="381"/>
  <c r="AX106" i="381"/>
  <c r="AT111" i="381"/>
  <c r="AX95" i="381" l="1"/>
  <c r="AS93" i="381"/>
  <c r="AS95" i="381"/>
  <c r="AS98" i="381"/>
  <c r="AS100" i="381"/>
  <c r="AW74" i="381"/>
  <c r="AW72" i="381"/>
  <c r="AW70" i="381"/>
  <c r="AS124" i="381"/>
  <c r="AS83" i="381"/>
  <c r="CB110" i="463" l="1"/>
  <c r="CB115" i="463" s="1"/>
  <c r="G27" i="460" l="1"/>
  <c r="AF24" i="458" l="1"/>
  <c r="B108" i="466" l="1"/>
  <c r="AX16" i="473" s="1"/>
  <c r="B106" i="463"/>
  <c r="Z5" i="473" s="1"/>
  <c r="B104" i="463"/>
  <c r="W59" i="473" s="1"/>
  <c r="B33" i="463"/>
  <c r="T34" i="473" s="1"/>
  <c r="B30" i="463"/>
  <c r="T31" i="473" s="1"/>
  <c r="B16" i="465"/>
  <c r="B35" i="465"/>
  <c r="B63" i="465"/>
  <c r="AR65" i="473" s="1"/>
  <c r="B61" i="465"/>
  <c r="AR63" i="473" s="1"/>
  <c r="B46" i="463"/>
  <c r="B155" i="463"/>
  <c r="R5" i="462" l="1"/>
  <c r="AQ69" i="465"/>
  <c r="AP82" i="463"/>
  <c r="AP99" i="463" s="1"/>
  <c r="AM82" i="463"/>
  <c r="AP98" i="463" l="1"/>
  <c r="AP116" i="463" s="1"/>
  <c r="AO67" i="465"/>
  <c r="AO69" i="465" s="1"/>
  <c r="AM34" i="458"/>
  <c r="AN34" i="458"/>
  <c r="AO34" i="458"/>
  <c r="AP34" i="458"/>
  <c r="AQ34" i="458"/>
  <c r="AR34" i="458"/>
  <c r="AP117" i="463" l="1"/>
  <c r="AP121" i="463" s="1"/>
  <c r="DY76" i="457"/>
  <c r="AP126" i="463" l="1"/>
  <c r="AN69" i="465"/>
  <c r="AN25" i="458"/>
  <c r="AM110" i="463" l="1"/>
  <c r="AM98" i="463"/>
  <c r="AM116" i="463" s="1"/>
  <c r="AM121" i="463" s="1"/>
  <c r="AM104" i="462"/>
  <c r="AM106" i="462" s="1"/>
  <c r="AL3" i="462"/>
  <c r="AL5" i="462" s="1"/>
  <c r="AM126" i="463" l="1"/>
  <c r="AL104" i="462"/>
  <c r="AL106" i="462" s="1"/>
  <c r="AE115" i="463"/>
  <c r="AC26" i="463" l="1"/>
  <c r="AI39" i="463" l="1"/>
  <c r="AI5" i="462"/>
  <c r="IZ31" i="468" l="1"/>
  <c r="JE124" i="466"/>
  <c r="JE104" i="466"/>
  <c r="JE113" i="466" s="1"/>
  <c r="JE117" i="466" s="1"/>
  <c r="JE76" i="466"/>
  <c r="JE57" i="466"/>
  <c r="JF24" i="466"/>
  <c r="JF50" i="466" s="1"/>
  <c r="JE24" i="466"/>
  <c r="JE50" i="466" s="1"/>
  <c r="JF16" i="466"/>
  <c r="JF9" i="466"/>
  <c r="JF17" i="466" s="1"/>
  <c r="JE9" i="466"/>
  <c r="JE17" i="466" s="1"/>
  <c r="IY67" i="465"/>
  <c r="JB107" i="464"/>
  <c r="JB90" i="464"/>
  <c r="JB47" i="464"/>
  <c r="JB49" i="464" s="1"/>
  <c r="IY24" i="464"/>
  <c r="IY23" i="464"/>
  <c r="IY16" i="464"/>
  <c r="IY18" i="464" s="1"/>
  <c r="IY215" i="463"/>
  <c r="IY216" i="463" s="1"/>
  <c r="IY197" i="463"/>
  <c r="IY202" i="463" s="1"/>
  <c r="IY194" i="463"/>
  <c r="IY180" i="463"/>
  <c r="IY173" i="463"/>
  <c r="IY161" i="463"/>
  <c r="IY162" i="463" s="1"/>
  <c r="JA142" i="463"/>
  <c r="JA146" i="463" s="1"/>
  <c r="JA110" i="463"/>
  <c r="JA115" i="463" s="1"/>
  <c r="IY110" i="463"/>
  <c r="IY115" i="463" s="1"/>
  <c r="JA97" i="463"/>
  <c r="JA113" i="463" s="1"/>
  <c r="JA82" i="463"/>
  <c r="JA99" i="463" s="1"/>
  <c r="IY82" i="463"/>
  <c r="IY99" i="463" s="1"/>
  <c r="JD45" i="463"/>
  <c r="JD44" i="463"/>
  <c r="JD27" i="463"/>
  <c r="JD26" i="463"/>
  <c r="JG25" i="458"/>
  <c r="JD25" i="458"/>
  <c r="JC25" i="458"/>
  <c r="JE104" i="462"/>
  <c r="JF104" i="462"/>
  <c r="JE105" i="462"/>
  <c r="JF105" i="462"/>
  <c r="JF5" i="462"/>
  <c r="JE5" i="462"/>
  <c r="IZ104" i="462"/>
  <c r="IZ105" i="462"/>
  <c r="IY105" i="462"/>
  <c r="IX105" i="462"/>
  <c r="IY104" i="462"/>
  <c r="IX104" i="462"/>
  <c r="IZ5" i="462"/>
  <c r="IY34" i="462"/>
  <c r="IY5" i="462"/>
  <c r="IY25" i="458"/>
  <c r="JD36" i="463" l="1"/>
  <c r="JD39" i="463" s="1"/>
  <c r="JA169" i="468"/>
  <c r="IY106" i="462"/>
  <c r="IY169" i="468"/>
  <c r="JD40" i="463"/>
  <c r="JD41" i="463" s="1"/>
  <c r="IX106" i="462"/>
  <c r="JF106" i="462"/>
  <c r="JE106" i="462"/>
  <c r="IY181" i="463"/>
  <c r="IY195" i="463" s="1"/>
  <c r="IY206" i="463" s="1"/>
  <c r="IZ106" i="462"/>
  <c r="JB115" i="464"/>
  <c r="JG72" i="465"/>
  <c r="IY69" i="465"/>
  <c r="IY98" i="463"/>
  <c r="JA98" i="463"/>
  <c r="IY196" i="463" l="1"/>
  <c r="IY207" i="463" s="1"/>
  <c r="IY208" i="463" s="1"/>
  <c r="IY209" i="463" s="1"/>
  <c r="IY116" i="463"/>
  <c r="JA116" i="463"/>
  <c r="JA148" i="463"/>
  <c r="IY121" i="463" l="1"/>
  <c r="JA121" i="463"/>
  <c r="JA126" i="463" s="1"/>
  <c r="IX101" i="462"/>
  <c r="IX88" i="462"/>
  <c r="IX81" i="462"/>
  <c r="IX74" i="462"/>
  <c r="IX82" i="462" l="1"/>
  <c r="IX89" i="462" s="1"/>
  <c r="IX100" i="462"/>
  <c r="C1" i="472" l="1"/>
  <c r="O5" i="462" l="1"/>
  <c r="K5" i="462" l="1"/>
  <c r="AX133" i="381" l="1"/>
  <c r="AW132" i="381" l="1"/>
  <c r="AX134" i="381" s="1"/>
  <c r="AW129" i="381"/>
  <c r="AW127" i="381"/>
  <c r="AX131" i="381" s="1"/>
  <c r="AW125" i="381"/>
  <c r="AW123" i="381" l="1"/>
  <c r="AX130" i="381" s="1"/>
  <c r="AT115" i="381"/>
  <c r="GF104" i="466" l="1"/>
  <c r="GF113" i="466" s="1"/>
  <c r="B219" i="466" l="1"/>
  <c r="D148" i="424" s="1"/>
  <c r="B220" i="466"/>
  <c r="B148" i="424" s="1"/>
  <c r="B221" i="466"/>
  <c r="E148" i="424" s="1"/>
  <c r="B222" i="466"/>
  <c r="F148" i="424" s="1"/>
  <c r="B223" i="466"/>
  <c r="J148" i="424" s="1"/>
  <c r="B224" i="466"/>
  <c r="K148" i="424" s="1"/>
  <c r="B225" i="466"/>
  <c r="I148" i="424" s="1"/>
  <c r="B226" i="466"/>
  <c r="L148" i="424" s="1"/>
  <c r="B227" i="466"/>
  <c r="M148" i="424" s="1"/>
  <c r="B228" i="466"/>
  <c r="Q148" i="424" s="1"/>
  <c r="B229" i="466"/>
  <c r="R148" i="424" s="1"/>
  <c r="B230" i="466"/>
  <c r="P148" i="424" s="1"/>
  <c r="B231" i="466"/>
  <c r="S148" i="424" s="1"/>
  <c r="B232" i="466"/>
  <c r="T148" i="424" s="1"/>
  <c r="B233" i="466"/>
  <c r="X148" i="424" s="1"/>
  <c r="B234" i="466"/>
  <c r="Y148" i="424" s="1"/>
  <c r="B235" i="466"/>
  <c r="W148" i="424" s="1"/>
  <c r="B236" i="466"/>
  <c r="Z148" i="424" s="1"/>
  <c r="B237" i="466"/>
  <c r="AA148" i="424" s="1"/>
  <c r="B238" i="466"/>
  <c r="AE148" i="424" s="1"/>
  <c r="B239" i="466"/>
  <c r="AF148" i="424" s="1"/>
  <c r="B240" i="466"/>
  <c r="AD148" i="424" s="1"/>
  <c r="B241" i="466"/>
  <c r="AG148" i="424" s="1"/>
  <c r="B242" i="466"/>
  <c r="AH148" i="424" s="1"/>
  <c r="B243" i="466"/>
  <c r="AL148" i="424" s="1"/>
  <c r="B244" i="466"/>
  <c r="AM148" i="424" s="1"/>
  <c r="B245" i="466"/>
  <c r="AK148" i="424" s="1"/>
  <c r="B246" i="466"/>
  <c r="AN148" i="424" s="1"/>
  <c r="B247" i="466"/>
  <c r="AO148" i="424" s="1"/>
  <c r="B248" i="466"/>
  <c r="AS148" i="424" s="1"/>
  <c r="B249" i="466"/>
  <c r="AT148" i="424" s="1"/>
  <c r="B250" i="466"/>
  <c r="AR148" i="424" s="1"/>
  <c r="B251" i="466"/>
  <c r="AU148" i="424" s="1"/>
  <c r="B252" i="466"/>
  <c r="AV148" i="424" s="1"/>
  <c r="B253" i="466"/>
  <c r="AZ148" i="424" s="1"/>
  <c r="B254" i="466"/>
  <c r="BA148" i="424" s="1"/>
  <c r="B255" i="466"/>
  <c r="AY148" i="424" s="1"/>
  <c r="B256" i="466"/>
  <c r="BB148" i="424" s="1"/>
  <c r="B257" i="466"/>
  <c r="BC148" i="424" s="1"/>
  <c r="B258" i="466"/>
  <c r="BG148" i="424" s="1"/>
  <c r="B259" i="466"/>
  <c r="BH148" i="424" s="1"/>
  <c r="B260" i="466"/>
  <c r="BF148" i="424" s="1"/>
  <c r="B261" i="466"/>
  <c r="BI148" i="424" s="1"/>
  <c r="B262" i="466"/>
  <c r="BJ148" i="424" s="1"/>
  <c r="B263" i="466"/>
  <c r="BN148" i="424" s="1"/>
  <c r="B264" i="466"/>
  <c r="BO148" i="424" s="1"/>
  <c r="B265" i="466"/>
  <c r="BM148" i="424" s="1"/>
  <c r="B266" i="466"/>
  <c r="BP148" i="424" s="1"/>
  <c r="B267" i="466"/>
  <c r="BQ148" i="424" s="1"/>
  <c r="BN106" i="462" l="1"/>
  <c r="B106" i="468" l="1"/>
  <c r="BI34" i="462" l="1"/>
  <c r="AW88" i="381" l="1"/>
  <c r="B15" i="458" l="1"/>
  <c r="CB104" i="466" l="1"/>
  <c r="EK18" i="464" l="1"/>
  <c r="EJ18" i="464"/>
  <c r="B85" i="458"/>
  <c r="E23" i="473" s="1"/>
  <c r="CK107" i="464"/>
  <c r="CK90" i="464"/>
  <c r="CK73" i="464"/>
  <c r="CK115" i="464" l="1"/>
  <c r="B72" i="468"/>
  <c r="BD73" i="473" s="1"/>
  <c r="E271" i="375" l="1"/>
  <c r="E262" i="375"/>
  <c r="P250" i="375"/>
  <c r="L250" i="375"/>
  <c r="P247" i="375"/>
  <c r="F273" i="375" s="1"/>
  <c r="P230" i="375"/>
  <c r="P227" i="375"/>
  <c r="E227" i="375"/>
  <c r="Q226" i="375" s="1"/>
  <c r="P224" i="375"/>
  <c r="Q246" i="375" s="1"/>
  <c r="L224" i="375"/>
  <c r="P221" i="375"/>
  <c r="P218" i="375"/>
  <c r="P123" i="375"/>
  <c r="P120" i="375"/>
  <c r="Q229" i="375" s="1"/>
  <c r="E120" i="375"/>
  <c r="DQ13" i="458"/>
  <c r="Q252" i="375" l="1"/>
  <c r="F226" i="375"/>
  <c r="B101" i="468" l="1"/>
  <c r="BG16" i="473" s="1"/>
  <c r="B100" i="468"/>
  <c r="GK82" i="463"/>
  <c r="GL82" i="463"/>
  <c r="GM82" i="463"/>
  <c r="GN82" i="463"/>
  <c r="GN98" i="463" s="1"/>
  <c r="GO82" i="463"/>
  <c r="GP82" i="463"/>
  <c r="GQ82" i="463"/>
  <c r="GR82" i="463"/>
  <c r="GS82" i="463"/>
  <c r="GT82" i="463"/>
  <c r="GU82" i="463"/>
  <c r="GU98" i="463" s="1"/>
  <c r="GU148" i="463" l="1"/>
  <c r="GU151" i="463" s="1"/>
  <c r="GU116" i="463"/>
  <c r="GN116" i="463"/>
  <c r="GN148" i="463"/>
  <c r="GN151" i="463" s="1"/>
  <c r="L13" i="9"/>
  <c r="E195" i="375"/>
  <c r="L488" i="3"/>
  <c r="GU121" i="463" l="1"/>
  <c r="GU126" i="463" s="1"/>
  <c r="G67" i="454"/>
  <c r="G64" i="6" l="1"/>
  <c r="B13" i="468" l="1"/>
  <c r="E156" i="424" s="1"/>
  <c r="B41" i="473"/>
  <c r="B68" i="458"/>
  <c r="I183" i="7" l="1"/>
  <c r="F180" i="7"/>
  <c r="J181" i="7" s="1"/>
  <c r="I177" i="7"/>
  <c r="H28" i="435" s="1"/>
  <c r="F177" i="7"/>
  <c r="C25" i="132"/>
  <c r="B37" i="424" s="1"/>
  <c r="J176" i="7" l="1"/>
  <c r="G175" i="7"/>
  <c r="AX124" i="381"/>
  <c r="AX128" i="381"/>
  <c r="Z67" i="465" l="1"/>
  <c r="Q67" i="465"/>
  <c r="Q26" i="463"/>
  <c r="Q36" i="463" s="1"/>
  <c r="Q39" i="463" s="1"/>
  <c r="Z69" i="465" l="1"/>
  <c r="F67" i="465"/>
  <c r="F69" i="465" s="1"/>
  <c r="E70" i="465" l="1"/>
  <c r="E67" i="465"/>
  <c r="E69" i="465" s="1"/>
  <c r="JJ109" i="462" l="1"/>
  <c r="IS109" i="462"/>
  <c r="IO109" i="462"/>
  <c r="IK109" i="462"/>
  <c r="II109" i="462"/>
  <c r="IH109" i="462"/>
  <c r="IG109" i="462"/>
  <c r="IF109" i="462"/>
  <c r="IE109" i="462"/>
  <c r="HY109" i="462"/>
  <c r="HO109" i="462"/>
  <c r="HI109" i="462"/>
  <c r="HG109" i="462"/>
  <c r="HF109" i="462"/>
  <c r="HB109" i="462"/>
  <c r="HA109" i="462"/>
  <c r="GZ109" i="462"/>
  <c r="GX109" i="462"/>
  <c r="GW109" i="462"/>
  <c r="GV109" i="462"/>
  <c r="GS109" i="462"/>
  <c r="GR109" i="462"/>
  <c r="GQ109" i="462"/>
  <c r="GP109" i="462"/>
  <c r="GO109" i="462"/>
  <c r="GK109" i="462"/>
  <c r="GF109" i="462"/>
  <c r="GD109" i="462"/>
  <c r="GC109" i="462"/>
  <c r="FW109" i="462"/>
  <c r="FQ109" i="462"/>
  <c r="FP109" i="462"/>
  <c r="FO109" i="462"/>
  <c r="FN109" i="462"/>
  <c r="FM109" i="462"/>
  <c r="FD109" i="462"/>
  <c r="FC109" i="462"/>
  <c r="FB109" i="462"/>
  <c r="EZ109" i="462"/>
  <c r="EP109" i="462"/>
  <c r="EO109" i="462"/>
  <c r="EL109" i="462"/>
  <c r="EK109" i="462"/>
  <c r="EJ109" i="462"/>
  <c r="EI109" i="462"/>
  <c r="EH109" i="462"/>
  <c r="EG109" i="462"/>
  <c r="EE109" i="462"/>
  <c r="ED109" i="462"/>
  <c r="EC109" i="462"/>
  <c r="EB109" i="462"/>
  <c r="EA109" i="462"/>
  <c r="DV109" i="462"/>
  <c r="DU109" i="462"/>
  <c r="DT109" i="462"/>
  <c r="DL109" i="462"/>
  <c r="DK109" i="462"/>
  <c r="DI109" i="462"/>
  <c r="DF109" i="462"/>
  <c r="DE109" i="462"/>
  <c r="DD109" i="462"/>
  <c r="DB109" i="462"/>
  <c r="CV109" i="462"/>
  <c r="CT109" i="462"/>
  <c r="CQ109" i="462"/>
  <c r="CO109" i="462"/>
  <c r="CN109" i="462"/>
  <c r="CH109" i="462"/>
  <c r="CF109" i="462"/>
  <c r="CE109" i="462"/>
  <c r="CD109" i="462"/>
  <c r="BS109" i="462"/>
  <c r="BO109" i="462"/>
  <c r="BM109" i="462"/>
  <c r="BI109" i="462"/>
  <c r="BH109" i="462"/>
  <c r="BG109" i="462"/>
  <c r="BF109" i="462"/>
  <c r="BE109" i="462"/>
  <c r="BD109" i="462"/>
  <c r="BB109" i="462"/>
  <c r="BA109" i="462"/>
  <c r="AU109" i="462"/>
  <c r="AT109" i="462"/>
  <c r="AS109" i="462"/>
  <c r="AQ109" i="462"/>
  <c r="AP109" i="462"/>
  <c r="AK109" i="462"/>
  <c r="AJ109" i="462"/>
  <c r="AI109" i="462"/>
  <c r="AH109" i="462"/>
  <c r="AG109" i="462"/>
  <c r="AE109" i="462"/>
  <c r="AD109" i="462"/>
  <c r="AC109" i="462"/>
  <c r="AA109" i="462"/>
  <c r="Y109" i="462"/>
  <c r="X109" i="462"/>
  <c r="W109" i="462"/>
  <c r="V109" i="462"/>
  <c r="U109" i="462"/>
  <c r="R109" i="462"/>
  <c r="Q109" i="462"/>
  <c r="O109" i="462"/>
  <c r="K109" i="462"/>
  <c r="H109" i="462"/>
  <c r="G109" i="462"/>
  <c r="F109" i="462"/>
  <c r="E109" i="462"/>
  <c r="JJ105" i="462"/>
  <c r="IS105" i="462"/>
  <c r="IO105" i="462"/>
  <c r="IK105" i="462"/>
  <c r="II105" i="462"/>
  <c r="IH105" i="462"/>
  <c r="IG105" i="462"/>
  <c r="IF105" i="462"/>
  <c r="IE105" i="462"/>
  <c r="HY105" i="462"/>
  <c r="HO105" i="462"/>
  <c r="HI105" i="462"/>
  <c r="HG105" i="462"/>
  <c r="HF105" i="462"/>
  <c r="HB105" i="462"/>
  <c r="HA105" i="462"/>
  <c r="GZ105" i="462"/>
  <c r="GX105" i="462"/>
  <c r="GW105" i="462"/>
  <c r="GV105" i="462"/>
  <c r="GS105" i="462"/>
  <c r="GR105" i="462"/>
  <c r="GQ105" i="462"/>
  <c r="GP105" i="462"/>
  <c r="GO105" i="462"/>
  <c r="GK105" i="462"/>
  <c r="GF105" i="462"/>
  <c r="GD105" i="462"/>
  <c r="GC105" i="462"/>
  <c r="FW105" i="462"/>
  <c r="FQ105" i="462"/>
  <c r="FP105" i="462"/>
  <c r="FO105" i="462"/>
  <c r="FN105" i="462"/>
  <c r="FM105" i="462"/>
  <c r="FD105" i="462"/>
  <c r="FC105" i="462"/>
  <c r="FB105" i="462"/>
  <c r="EZ105" i="462"/>
  <c r="EP105" i="462"/>
  <c r="EO105" i="462"/>
  <c r="EL105" i="462"/>
  <c r="EK105" i="462"/>
  <c r="EJ105" i="462"/>
  <c r="EI105" i="462"/>
  <c r="EH105" i="462"/>
  <c r="EG105" i="462"/>
  <c r="EE105" i="462"/>
  <c r="ED105" i="462"/>
  <c r="EA105" i="462"/>
  <c r="DV105" i="462"/>
  <c r="DU105" i="462"/>
  <c r="DT105" i="462"/>
  <c r="DL105" i="462"/>
  <c r="DK105" i="462"/>
  <c r="DI105" i="462"/>
  <c r="DF105" i="462"/>
  <c r="DE105" i="462"/>
  <c r="DD105" i="462"/>
  <c r="DB105" i="462"/>
  <c r="CV105" i="462"/>
  <c r="CT105" i="462"/>
  <c r="CQ105" i="462"/>
  <c r="CO105" i="462"/>
  <c r="CN105" i="462"/>
  <c r="CH105" i="462"/>
  <c r="CF105" i="462"/>
  <c r="CE105" i="462"/>
  <c r="CD105" i="462"/>
  <c r="BS105" i="462"/>
  <c r="BO105" i="462"/>
  <c r="BM105" i="462"/>
  <c r="BI105" i="462"/>
  <c r="BH105" i="462"/>
  <c r="BG105" i="462"/>
  <c r="BF105" i="462"/>
  <c r="BE105" i="462"/>
  <c r="BD105" i="462"/>
  <c r="BB105" i="462"/>
  <c r="BA105" i="462"/>
  <c r="AU105" i="462"/>
  <c r="AT105" i="462"/>
  <c r="AS105" i="462"/>
  <c r="AQ105" i="462"/>
  <c r="AP105" i="462"/>
  <c r="AK105" i="462"/>
  <c r="AJ105" i="462"/>
  <c r="AI105" i="462"/>
  <c r="AH105" i="462"/>
  <c r="AG105" i="462"/>
  <c r="AE105" i="462"/>
  <c r="AD105" i="462"/>
  <c r="AC105" i="462"/>
  <c r="AA105" i="462"/>
  <c r="Y105" i="462"/>
  <c r="X105" i="462"/>
  <c r="W105" i="462"/>
  <c r="V105" i="462"/>
  <c r="U105" i="462"/>
  <c r="R105" i="462"/>
  <c r="Q105" i="462"/>
  <c r="O105" i="462"/>
  <c r="K105" i="462"/>
  <c r="H105" i="462"/>
  <c r="G105" i="462"/>
  <c r="F105" i="462"/>
  <c r="E105" i="462"/>
  <c r="JJ104" i="462"/>
  <c r="IS104" i="462"/>
  <c r="IO104" i="462"/>
  <c r="II104" i="462"/>
  <c r="IH104" i="462"/>
  <c r="HO104" i="462"/>
  <c r="HI104" i="462"/>
  <c r="HI106" i="462" s="1"/>
  <c r="HG104" i="462"/>
  <c r="HG106" i="462" s="1"/>
  <c r="HF104" i="462"/>
  <c r="HB104" i="462"/>
  <c r="HA104" i="462"/>
  <c r="GZ104" i="462"/>
  <c r="GX104" i="462"/>
  <c r="GW104" i="462"/>
  <c r="GV104" i="462"/>
  <c r="GS104" i="462"/>
  <c r="GR104" i="462"/>
  <c r="GQ104" i="462"/>
  <c r="GP104" i="462"/>
  <c r="GO104" i="462"/>
  <c r="GK104" i="462"/>
  <c r="GF104" i="462"/>
  <c r="GD104" i="462"/>
  <c r="GC104" i="462"/>
  <c r="GC106" i="462" s="1"/>
  <c r="FW104" i="462"/>
  <c r="FQ104" i="462"/>
  <c r="FP104" i="462"/>
  <c r="FO104" i="462"/>
  <c r="FN104" i="462"/>
  <c r="FM104" i="462"/>
  <c r="FD104" i="462"/>
  <c r="FC104" i="462"/>
  <c r="FC106" i="462" s="1"/>
  <c r="FB104" i="462"/>
  <c r="EZ104" i="462"/>
  <c r="EP104" i="462"/>
  <c r="EO104" i="462"/>
  <c r="EL104" i="462"/>
  <c r="EK104" i="462"/>
  <c r="EJ104" i="462"/>
  <c r="EI104" i="462"/>
  <c r="EH104" i="462"/>
  <c r="EG104" i="462"/>
  <c r="EE104" i="462"/>
  <c r="ED104" i="462"/>
  <c r="DV104" i="462"/>
  <c r="DU104" i="462"/>
  <c r="DT104" i="462"/>
  <c r="DT106" i="462" s="1"/>
  <c r="DL104" i="462"/>
  <c r="DL106" i="462" s="1"/>
  <c r="DK104" i="462"/>
  <c r="DI104" i="462"/>
  <c r="DF104" i="462"/>
  <c r="DE104" i="462"/>
  <c r="DD104" i="462"/>
  <c r="DB104" i="462"/>
  <c r="CV104" i="462"/>
  <c r="CV106" i="462" s="1"/>
  <c r="CT104" i="462"/>
  <c r="CQ104" i="462"/>
  <c r="CO104" i="462"/>
  <c r="CN104" i="462"/>
  <c r="CH104" i="462"/>
  <c r="CF104" i="462"/>
  <c r="CE104" i="462"/>
  <c r="CD104" i="462"/>
  <c r="BS104" i="462"/>
  <c r="BO104" i="462"/>
  <c r="BM104" i="462"/>
  <c r="BG104" i="462"/>
  <c r="BF104" i="462"/>
  <c r="BF106" i="462" s="1"/>
  <c r="BE104" i="462"/>
  <c r="BD104" i="462"/>
  <c r="BB104" i="462"/>
  <c r="BA104" i="462"/>
  <c r="BA106" i="462" s="1"/>
  <c r="AU104" i="462"/>
  <c r="AS104" i="462"/>
  <c r="AQ104" i="462"/>
  <c r="AP104" i="462"/>
  <c r="AP106" i="462" s="1"/>
  <c r="AK104" i="462"/>
  <c r="AJ104" i="462"/>
  <c r="AI104" i="462"/>
  <c r="AH104" i="462"/>
  <c r="AG104" i="462"/>
  <c r="AE104" i="462"/>
  <c r="AD104" i="462"/>
  <c r="AC104" i="462"/>
  <c r="AA104" i="462"/>
  <c r="Y104" i="462"/>
  <c r="W104" i="462"/>
  <c r="V104" i="462"/>
  <c r="U104" i="462"/>
  <c r="R104" i="462"/>
  <c r="Q104" i="462"/>
  <c r="Q106" i="462" s="1"/>
  <c r="O104" i="462"/>
  <c r="K104" i="462"/>
  <c r="F104" i="462"/>
  <c r="E104" i="462"/>
  <c r="FD106" i="462" l="1"/>
  <c r="V106" i="462"/>
  <c r="EI106" i="462"/>
  <c r="O106" i="462"/>
  <c r="II106" i="462"/>
  <c r="GS106" i="462"/>
  <c r="EE106" i="462"/>
  <c r="EP106" i="462"/>
  <c r="FP106" i="462"/>
  <c r="GP106" i="462"/>
  <c r="HA106" i="462"/>
  <c r="GD106" i="462"/>
  <c r="W106" i="462"/>
  <c r="CH106" i="462"/>
  <c r="EO106" i="462"/>
  <c r="FO106" i="462"/>
  <c r="GO106" i="462"/>
  <c r="GZ106" i="462"/>
  <c r="CN106" i="462"/>
  <c r="DF106" i="462"/>
  <c r="DE106" i="462"/>
  <c r="ED106" i="462"/>
  <c r="AD106" i="462"/>
  <c r="AQ106" i="462"/>
  <c r="R106" i="462"/>
  <c r="BM106" i="462"/>
  <c r="CE106" i="462"/>
  <c r="CO106" i="462"/>
  <c r="DB106" i="462"/>
  <c r="AA106" i="462"/>
  <c r="AG106" i="462"/>
  <c r="AK106" i="462"/>
  <c r="AU106" i="462"/>
  <c r="BE106" i="462"/>
  <c r="EH106" i="462"/>
  <c r="EL106" i="462"/>
  <c r="FN106" i="462"/>
  <c r="FW106" i="462"/>
  <c r="GK106" i="462"/>
  <c r="GR106" i="462"/>
  <c r="GX106" i="462"/>
  <c r="HF106" i="462"/>
  <c r="JJ106" i="462"/>
  <c r="BD106" i="462"/>
  <c r="IS106" i="462"/>
  <c r="IH106" i="462"/>
  <c r="BG106" i="462"/>
  <c r="Y106" i="462"/>
  <c r="AE106" i="462"/>
  <c r="AJ106" i="462"/>
  <c r="AS106" i="462"/>
  <c r="EG106" i="462"/>
  <c r="EZ106" i="462"/>
  <c r="FQ106" i="462"/>
  <c r="GF106" i="462"/>
  <c r="GQ106" i="462"/>
  <c r="GW106" i="462"/>
  <c r="HB106" i="462"/>
  <c r="U106" i="462"/>
  <c r="BO106" i="462"/>
  <c r="CF106" i="462"/>
  <c r="DK106" i="462"/>
  <c r="DV106" i="462"/>
  <c r="M184" i="381"/>
  <c r="M139" i="381" l="1"/>
  <c r="M133" i="381"/>
  <c r="Q246" i="381" l="1"/>
  <c r="Q244" i="381"/>
  <c r="R245" i="381" s="1"/>
  <c r="F21" i="2" l="1"/>
  <c r="I51" i="2"/>
  <c r="HC161" i="468" l="1"/>
  <c r="EH56" i="468"/>
  <c r="HP54" i="468"/>
  <c r="DG54" i="468"/>
  <c r="DC54" i="468"/>
  <c r="DA54" i="468"/>
  <c r="BW54" i="468"/>
  <c r="BP54" i="468"/>
  <c r="BD54" i="468"/>
  <c r="AU54" i="468"/>
  <c r="HG45" i="468"/>
  <c r="ER45" i="468"/>
  <c r="EE45" i="468"/>
  <c r="ED45" i="468"/>
  <c r="DO45" i="468"/>
  <c r="CT45" i="468"/>
  <c r="CD45" i="468"/>
  <c r="BU45" i="468"/>
  <c r="EH31" i="468"/>
  <c r="DM31" i="468"/>
  <c r="DG31" i="468"/>
  <c r="DC31" i="468"/>
  <c r="BW31" i="468"/>
  <c r="BP31" i="468"/>
  <c r="BD31" i="468"/>
  <c r="AU31" i="468"/>
  <c r="JL8" i="468"/>
  <c r="JJ8" i="468"/>
  <c r="JI8" i="468"/>
  <c r="JH8" i="468"/>
  <c r="IV8" i="468"/>
  <c r="IU8" i="468"/>
  <c r="IT8" i="468"/>
  <c r="HK8" i="468"/>
  <c r="HH125" i="466"/>
  <c r="CB124" i="466"/>
  <c r="HM122" i="466"/>
  <c r="HL122" i="466"/>
  <c r="HK122" i="466"/>
  <c r="HJ122" i="466"/>
  <c r="HH122" i="466"/>
  <c r="HH124" i="466" s="1"/>
  <c r="HM121" i="466"/>
  <c r="HL121" i="466"/>
  <c r="HK121" i="466"/>
  <c r="HJ121" i="466"/>
  <c r="HH121" i="466"/>
  <c r="HH127" i="466" s="1"/>
  <c r="HM104" i="466"/>
  <c r="HM113" i="466" s="1"/>
  <c r="HL104" i="466"/>
  <c r="HL113" i="466" s="1"/>
  <c r="HK104" i="466"/>
  <c r="HK113" i="466" s="1"/>
  <c r="HJ104" i="466"/>
  <c r="HJ113" i="466" s="1"/>
  <c r="CB113" i="466"/>
  <c r="BJ104" i="466"/>
  <c r="BJ117" i="466" s="1"/>
  <c r="BD104" i="466"/>
  <c r="BD113" i="466" s="1"/>
  <c r="BD117" i="466" s="1"/>
  <c r="EO92" i="466"/>
  <c r="EO94" i="466" s="1"/>
  <c r="DM92" i="466"/>
  <c r="DM94" i="466" s="1"/>
  <c r="HP83" i="466"/>
  <c r="HP85" i="466" s="1"/>
  <c r="EX83" i="466"/>
  <c r="EX85" i="466" s="1"/>
  <c r="EO83" i="466"/>
  <c r="EO85" i="466" s="1"/>
  <c r="DM83" i="466"/>
  <c r="DM85" i="466" s="1"/>
  <c r="HP74" i="466"/>
  <c r="HP76" i="466" s="1"/>
  <c r="HM74" i="466"/>
  <c r="HM76" i="466" s="1"/>
  <c r="HL74" i="466"/>
  <c r="HL76" i="466" s="1"/>
  <c r="HK74" i="466"/>
  <c r="HK76" i="466" s="1"/>
  <c r="HJ74" i="466"/>
  <c r="HJ76" i="466" s="1"/>
  <c r="GF74" i="466"/>
  <c r="GF76" i="466" s="1"/>
  <c r="EX74" i="466"/>
  <c r="EX76" i="466" s="1"/>
  <c r="EO74" i="466"/>
  <c r="EO76" i="466" s="1"/>
  <c r="DM74" i="466"/>
  <c r="DM76" i="466" s="1"/>
  <c r="BD74" i="466"/>
  <c r="BD76" i="466" s="1"/>
  <c r="BC74" i="466"/>
  <c r="BC76" i="466" s="1"/>
  <c r="IC42" i="466"/>
  <c r="IC50" i="466" s="1"/>
  <c r="DT42" i="466"/>
  <c r="HH36" i="466"/>
  <c r="DT36" i="466"/>
  <c r="HH30" i="466"/>
  <c r="DT30" i="466"/>
  <c r="IH24" i="466"/>
  <c r="IH50" i="466" s="1"/>
  <c r="IF50" i="466"/>
  <c r="HP24" i="466"/>
  <c r="HP50" i="466" s="1"/>
  <c r="HH24" i="466"/>
  <c r="GF24" i="466"/>
  <c r="GF50" i="466" s="1"/>
  <c r="EX50" i="466"/>
  <c r="DT24" i="466"/>
  <c r="DM24" i="466"/>
  <c r="DM50" i="466" s="1"/>
  <c r="CT24" i="466"/>
  <c r="CT50" i="466" s="1"/>
  <c r="CJ24" i="466"/>
  <c r="CJ50" i="466" s="1"/>
  <c r="BJ50" i="466"/>
  <c r="BD24" i="466"/>
  <c r="BD50" i="466" s="1"/>
  <c r="BC24" i="466"/>
  <c r="BC50" i="466" s="1"/>
  <c r="BB24" i="466"/>
  <c r="BB50" i="466" s="1"/>
  <c r="AW24" i="466"/>
  <c r="AW50" i="466" s="1"/>
  <c r="EX16" i="466"/>
  <c r="CT16" i="466"/>
  <c r="BB16" i="466"/>
  <c r="HH15" i="466"/>
  <c r="IH9" i="466"/>
  <c r="IH17" i="466" s="1"/>
  <c r="IF9" i="466"/>
  <c r="IF17" i="466" s="1"/>
  <c r="IC9" i="466"/>
  <c r="IC17" i="466" s="1"/>
  <c r="HH9" i="466"/>
  <c r="GF9" i="466"/>
  <c r="GF17" i="466" s="1"/>
  <c r="EX9" i="466"/>
  <c r="DM9" i="466"/>
  <c r="DM17" i="466" s="1"/>
  <c r="CT9" i="466"/>
  <c r="CT17" i="466" s="1"/>
  <c r="CJ9" i="466"/>
  <c r="CJ17" i="466" s="1"/>
  <c r="BJ9" i="466"/>
  <c r="BJ17" i="466" s="1"/>
  <c r="BD17" i="466"/>
  <c r="BC9" i="466"/>
  <c r="BC17" i="466" s="1"/>
  <c r="BB17" i="466"/>
  <c r="AW9" i="466"/>
  <c r="AW17" i="466" s="1"/>
  <c r="F70" i="465"/>
  <c r="JQ67" i="465"/>
  <c r="JL67" i="465"/>
  <c r="JL69" i="465" s="1"/>
  <c r="JK67" i="465"/>
  <c r="JK69" i="465" s="1"/>
  <c r="JI67" i="465"/>
  <c r="JI69" i="465" s="1"/>
  <c r="JH67" i="465"/>
  <c r="JH69" i="465" s="1"/>
  <c r="IW67" i="465"/>
  <c r="IW69" i="465" s="1"/>
  <c r="IV67" i="465"/>
  <c r="IV69" i="465" s="1"/>
  <c r="IU67" i="465"/>
  <c r="IU69" i="465" s="1"/>
  <c r="IT67" i="465"/>
  <c r="IT69" i="465" s="1"/>
  <c r="IS67" i="465"/>
  <c r="IS72" i="465" s="1"/>
  <c r="IP67" i="465"/>
  <c r="IP69" i="465" s="1"/>
  <c r="IO67" i="465"/>
  <c r="HF67" i="465"/>
  <c r="HF69" i="465" s="1"/>
  <c r="HD67" i="465"/>
  <c r="HD69" i="465" s="1"/>
  <c r="GX67" i="465"/>
  <c r="GW67" i="465"/>
  <c r="GW69" i="465" s="1"/>
  <c r="GJ67" i="465"/>
  <c r="GF67" i="465"/>
  <c r="GE67" i="465"/>
  <c r="GE69" i="465" s="1"/>
  <c r="FX67" i="465"/>
  <c r="FV67" i="465"/>
  <c r="FU67" i="465"/>
  <c r="FT67" i="465"/>
  <c r="FT69" i="465" s="1"/>
  <c r="EU67" i="465"/>
  <c r="EU69" i="465" s="1"/>
  <c r="EN67" i="465"/>
  <c r="EJ67" i="465"/>
  <c r="EJ69" i="465" s="1"/>
  <c r="DW67" i="465"/>
  <c r="DW72" i="465" s="1"/>
  <c r="DR67" i="465"/>
  <c r="DM67" i="465"/>
  <c r="DM72" i="465" s="1"/>
  <c r="DL67" i="465"/>
  <c r="DL69" i="465" s="1"/>
  <c r="DI67" i="465"/>
  <c r="DI69" i="465" s="1"/>
  <c r="DC67" i="465"/>
  <c r="DB67" i="465"/>
  <c r="DA67" i="465"/>
  <c r="DA69" i="465" s="1"/>
  <c r="CZ67" i="465"/>
  <c r="CZ72" i="465" s="1"/>
  <c r="CT67" i="465"/>
  <c r="CT72" i="465" s="1"/>
  <c r="CS67" i="465"/>
  <c r="CS69" i="465" s="1"/>
  <c r="CR67" i="465"/>
  <c r="CR69" i="465" s="1"/>
  <c r="CI67" i="465"/>
  <c r="CI69" i="465" s="1"/>
  <c r="CH67" i="465"/>
  <c r="CH69" i="465" s="1"/>
  <c r="CC67" i="465"/>
  <c r="CB69" i="465"/>
  <c r="BX67" i="465"/>
  <c r="BX69" i="465" s="1"/>
  <c r="BV67" i="465"/>
  <c r="BV69" i="465" s="1"/>
  <c r="BK67" i="465"/>
  <c r="BG67" i="465"/>
  <c r="BG69" i="465" s="1"/>
  <c r="BD67" i="465"/>
  <c r="BD69" i="465" s="1"/>
  <c r="AZ67" i="465"/>
  <c r="AZ69" i="465" s="1"/>
  <c r="AY67" i="465"/>
  <c r="AW67" i="465"/>
  <c r="AW69" i="465" s="1"/>
  <c r="AE67" i="465"/>
  <c r="AE69" i="465" s="1"/>
  <c r="AC67" i="465"/>
  <c r="AC69" i="465" s="1"/>
  <c r="AA67" i="465"/>
  <c r="AA69" i="465" s="1"/>
  <c r="U67" i="465"/>
  <c r="U69" i="465" s="1"/>
  <c r="T67" i="465"/>
  <c r="T69" i="465" s="1"/>
  <c r="Q69" i="465"/>
  <c r="O67" i="465"/>
  <c r="O69" i="465" s="1"/>
  <c r="M67" i="465"/>
  <c r="M69" i="465" s="1"/>
  <c r="GW120" i="464"/>
  <c r="FV120" i="464"/>
  <c r="FK120" i="464"/>
  <c r="FA120" i="464"/>
  <c r="DM120" i="464"/>
  <c r="DJ120" i="464"/>
  <c r="DA120" i="464"/>
  <c r="B120" i="464" s="1"/>
  <c r="CZ120" i="464"/>
  <c r="CY120" i="464"/>
  <c r="CP120" i="464"/>
  <c r="BC120" i="464"/>
  <c r="BB120" i="464"/>
  <c r="FK111" i="464"/>
  <c r="DA111" i="464"/>
  <c r="CZ111" i="464"/>
  <c r="BB111" i="464"/>
  <c r="GW107" i="464"/>
  <c r="FV107" i="464"/>
  <c r="FK107" i="464"/>
  <c r="DA107" i="464"/>
  <c r="CZ107" i="464"/>
  <c r="BC107" i="464"/>
  <c r="BB107" i="464"/>
  <c r="IO103" i="464"/>
  <c r="IO96" i="464"/>
  <c r="FK96" i="464"/>
  <c r="DA96" i="464"/>
  <c r="CZ96" i="464"/>
  <c r="BB96" i="464"/>
  <c r="JM90" i="464"/>
  <c r="JI90" i="464"/>
  <c r="IT90" i="464"/>
  <c r="IQ90" i="464"/>
  <c r="IO90" i="464"/>
  <c r="HE90" i="464"/>
  <c r="GY90" i="464"/>
  <c r="GW90" i="464"/>
  <c r="FV90" i="464"/>
  <c r="FK90" i="464"/>
  <c r="FA90" i="464"/>
  <c r="EI90" i="464"/>
  <c r="EH90" i="464"/>
  <c r="DM90" i="464"/>
  <c r="DH90" i="464"/>
  <c r="DA90" i="464"/>
  <c r="CZ90" i="464"/>
  <c r="CY90" i="464"/>
  <c r="CP90" i="464"/>
  <c r="BC90" i="464"/>
  <c r="BB90" i="464"/>
  <c r="GY83" i="464"/>
  <c r="FK83" i="464"/>
  <c r="EI83" i="464"/>
  <c r="DA83" i="464"/>
  <c r="CZ83" i="464"/>
  <c r="CY83" i="464"/>
  <c r="JM73" i="464"/>
  <c r="JL73" i="464"/>
  <c r="JI73" i="464"/>
  <c r="IQ73" i="464"/>
  <c r="IQ104" i="464" s="1"/>
  <c r="GY73" i="464"/>
  <c r="FK73" i="464"/>
  <c r="FA73" i="464"/>
  <c r="FA104" i="464" s="1"/>
  <c r="DJ73" i="464"/>
  <c r="DJ104" i="464" s="1"/>
  <c r="CP73" i="464"/>
  <c r="BC73" i="464"/>
  <c r="BB73" i="464"/>
  <c r="JL66" i="464"/>
  <c r="JI66" i="464"/>
  <c r="IT66" i="464"/>
  <c r="IQ65" i="464"/>
  <c r="GY65" i="464"/>
  <c r="FK65" i="464"/>
  <c r="FA65" i="464"/>
  <c r="EI65" i="464"/>
  <c r="EH65" i="464"/>
  <c r="DM65" i="464"/>
  <c r="DJ65" i="464"/>
  <c r="DA65" i="464"/>
  <c r="CZ65" i="464"/>
  <c r="CY65" i="464"/>
  <c r="CP65" i="464"/>
  <c r="BC65" i="464"/>
  <c r="BB65" i="464"/>
  <c r="JM61" i="464"/>
  <c r="IQ61" i="464"/>
  <c r="GY61" i="464"/>
  <c r="FK61" i="464"/>
  <c r="FA61" i="464"/>
  <c r="EI61" i="464"/>
  <c r="EH61" i="464"/>
  <c r="DM61" i="464"/>
  <c r="DJ61" i="464"/>
  <c r="DA61" i="464"/>
  <c r="CZ61" i="464"/>
  <c r="CY61" i="464"/>
  <c r="CP61" i="464"/>
  <c r="BC61" i="464"/>
  <c r="BB61" i="464"/>
  <c r="JI47" i="464"/>
  <c r="JI49" i="464" s="1"/>
  <c r="JI115" i="464" s="1"/>
  <c r="IT47" i="464"/>
  <c r="IT49" i="464" s="1"/>
  <c r="IT115" i="464" s="1"/>
  <c r="JM47" i="464"/>
  <c r="JM49" i="464" s="1"/>
  <c r="JM115" i="464" s="1"/>
  <c r="IQ47" i="464"/>
  <c r="IQ49" i="464" s="1"/>
  <c r="IO47" i="464"/>
  <c r="IO49" i="464" s="1"/>
  <c r="HE47" i="464"/>
  <c r="HE49" i="464" s="1"/>
  <c r="GY47" i="464"/>
  <c r="GY49" i="464" s="1"/>
  <c r="GW47" i="464"/>
  <c r="GW49" i="464" s="1"/>
  <c r="FV47" i="464"/>
  <c r="FV49" i="464" s="1"/>
  <c r="FK47" i="464"/>
  <c r="FK49" i="464" s="1"/>
  <c r="FA47" i="464"/>
  <c r="FA49" i="464" s="1"/>
  <c r="EI47" i="464"/>
  <c r="EI49" i="464" s="1"/>
  <c r="EH49" i="464"/>
  <c r="DA47" i="464"/>
  <c r="DA49" i="464" s="1"/>
  <c r="CZ47" i="464"/>
  <c r="CZ49" i="464" s="1"/>
  <c r="CY47" i="464"/>
  <c r="CY49" i="464" s="1"/>
  <c r="BC47" i="464"/>
  <c r="BC49" i="464" s="1"/>
  <c r="BB47" i="464"/>
  <c r="BB49" i="464" s="1"/>
  <c r="HV24" i="464"/>
  <c r="HB24" i="464"/>
  <c r="HA24" i="464"/>
  <c r="GZ24" i="464"/>
  <c r="GM24" i="464"/>
  <c r="GL24" i="464"/>
  <c r="FJ24" i="464"/>
  <c r="FI24" i="464"/>
  <c r="FF24" i="464"/>
  <c r="FD24" i="464"/>
  <c r="DU24" i="464"/>
  <c r="DM24" i="464"/>
  <c r="DG24" i="464"/>
  <c r="DD24" i="464"/>
  <c r="CX24" i="464"/>
  <c r="CW24" i="464"/>
  <c r="CI24" i="464"/>
  <c r="BD24" i="464"/>
  <c r="BC24" i="464"/>
  <c r="HV16" i="464"/>
  <c r="HV18" i="464" s="1"/>
  <c r="HV23" i="464" s="1"/>
  <c r="HB16" i="464"/>
  <c r="HB18" i="464" s="1"/>
  <c r="HB23" i="464" s="1"/>
  <c r="HA16" i="464"/>
  <c r="HA18" i="464" s="1"/>
  <c r="HA23" i="464" s="1"/>
  <c r="GZ16" i="464"/>
  <c r="GZ18" i="464" s="1"/>
  <c r="GZ23" i="464" s="1"/>
  <c r="GM16" i="464"/>
  <c r="GM18" i="464" s="1"/>
  <c r="GM23" i="464" s="1"/>
  <c r="GL16" i="464"/>
  <c r="GL18" i="464" s="1"/>
  <c r="GL23" i="464" s="1"/>
  <c r="FI16" i="464"/>
  <c r="FI18" i="464" s="1"/>
  <c r="FI23" i="464" s="1"/>
  <c r="FF23" i="464"/>
  <c r="FD23" i="464"/>
  <c r="DU23" i="464"/>
  <c r="DM23" i="464"/>
  <c r="DG16" i="464"/>
  <c r="DG18" i="464" s="1"/>
  <c r="DG23" i="464" s="1"/>
  <c r="DD16" i="464"/>
  <c r="DD18" i="464" s="1"/>
  <c r="DD23" i="464" s="1"/>
  <c r="CX16" i="464"/>
  <c r="CX18" i="464" s="1"/>
  <c r="CX23" i="464" s="1"/>
  <c r="CW16" i="464"/>
  <c r="CW18" i="464" s="1"/>
  <c r="CW23" i="464" s="1"/>
  <c r="CI16" i="464"/>
  <c r="CI18" i="464" s="1"/>
  <c r="CI23" i="464" s="1"/>
  <c r="BD16" i="464"/>
  <c r="BD18" i="464" s="1"/>
  <c r="BD23" i="464" s="1"/>
  <c r="BC16" i="464"/>
  <c r="BC18" i="464" s="1"/>
  <c r="BC23" i="464" s="1"/>
  <c r="EU216" i="463"/>
  <c r="EZ214" i="463"/>
  <c r="EY214" i="463"/>
  <c r="EX214" i="463"/>
  <c r="EX216" i="463" s="1"/>
  <c r="EV214" i="463"/>
  <c r="ET214" i="463"/>
  <c r="ES214" i="463"/>
  <c r="ES216" i="463" s="1"/>
  <c r="ER214" i="463"/>
  <c r="EZ197" i="463"/>
  <c r="EZ202" i="463" s="1"/>
  <c r="EY197" i="463"/>
  <c r="EY202" i="463" s="1"/>
  <c r="EY204" i="463" s="1"/>
  <c r="EX197" i="463"/>
  <c r="EX202" i="463" s="1"/>
  <c r="EW197" i="463"/>
  <c r="EW202" i="463" s="1"/>
  <c r="EV197" i="463"/>
  <c r="EV202" i="463" s="1"/>
  <c r="EU197" i="463"/>
  <c r="EU202" i="463" s="1"/>
  <c r="ET197" i="463"/>
  <c r="ES197" i="463"/>
  <c r="ER197" i="463"/>
  <c r="ER202" i="463" s="1"/>
  <c r="EQ197" i="463"/>
  <c r="EQ202" i="463" s="1"/>
  <c r="EZ194" i="463"/>
  <c r="EY194" i="463"/>
  <c r="EV194" i="463"/>
  <c r="EU194" i="463"/>
  <c r="ES194" i="463"/>
  <c r="ER194" i="463"/>
  <c r="EZ180" i="463"/>
  <c r="EY180" i="463"/>
  <c r="EX180" i="463"/>
  <c r="EV180" i="463"/>
  <c r="ET180" i="463"/>
  <c r="ES180" i="463"/>
  <c r="ER180" i="463"/>
  <c r="EZ173" i="463"/>
  <c r="EY173" i="463"/>
  <c r="EX173" i="463"/>
  <c r="EW173" i="463"/>
  <c r="EZ166" i="463"/>
  <c r="EY166" i="463"/>
  <c r="EX166" i="463"/>
  <c r="EW166" i="463"/>
  <c r="ER166" i="463"/>
  <c r="EQ166" i="463"/>
  <c r="EX162" i="463"/>
  <c r="ET162" i="463"/>
  <c r="ES162" i="463"/>
  <c r="ER162" i="463"/>
  <c r="EZ162" i="463"/>
  <c r="EY161" i="463"/>
  <c r="EY162" i="463" s="1"/>
  <c r="EW161" i="463"/>
  <c r="EW162" i="463" s="1"/>
  <c r="EV162" i="463"/>
  <c r="EU162" i="463"/>
  <c r="EQ162" i="463"/>
  <c r="FH154" i="463"/>
  <c r="DJ154" i="463"/>
  <c r="DC154" i="463"/>
  <c r="CV154" i="463"/>
  <c r="CU154" i="463"/>
  <c r="CB153" i="463"/>
  <c r="BJ153" i="463"/>
  <c r="AV153" i="463"/>
  <c r="AL153" i="463"/>
  <c r="AJ153" i="463"/>
  <c r="AC153" i="463"/>
  <c r="S153" i="463"/>
  <c r="Q153" i="463"/>
  <c r="I153" i="463"/>
  <c r="G153" i="463"/>
  <c r="AL152" i="463"/>
  <c r="GJ142" i="463"/>
  <c r="GJ146" i="463" s="1"/>
  <c r="EY142" i="463"/>
  <c r="EY146" i="463" s="1"/>
  <c r="EM142" i="463"/>
  <c r="EM146" i="463" s="1"/>
  <c r="EI146" i="463"/>
  <c r="CS142" i="463"/>
  <c r="CS146" i="463" s="1"/>
  <c r="CR142" i="463"/>
  <c r="CR146" i="463" s="1"/>
  <c r="CL142" i="463"/>
  <c r="CL146" i="463" s="1"/>
  <c r="EF113" i="463"/>
  <c r="HO110" i="463"/>
  <c r="HC110" i="463"/>
  <c r="HC115" i="463" s="1"/>
  <c r="HB110" i="463"/>
  <c r="HB115" i="463" s="1"/>
  <c r="GX110" i="463"/>
  <c r="GX115" i="463" s="1"/>
  <c r="GJ110" i="463"/>
  <c r="FH110" i="463"/>
  <c r="FH115" i="463" s="1"/>
  <c r="FF110" i="463"/>
  <c r="FF115" i="463" s="1"/>
  <c r="EY110" i="463"/>
  <c r="EY115" i="463" s="1"/>
  <c r="EM110" i="463"/>
  <c r="EM115" i="463" s="1"/>
  <c r="EI110" i="463"/>
  <c r="EI115" i="463" s="1"/>
  <c r="EG110" i="463"/>
  <c r="EF110" i="463"/>
  <c r="EF115" i="463" s="1"/>
  <c r="DJ110" i="463"/>
  <c r="DJ115" i="463" s="1"/>
  <c r="DC110" i="463"/>
  <c r="DC115" i="463" s="1"/>
  <c r="CV110" i="463"/>
  <c r="CV115" i="463" s="1"/>
  <c r="CU110" i="463"/>
  <c r="CU115" i="463" s="1"/>
  <c r="CS110" i="463"/>
  <c r="CS115" i="463" s="1"/>
  <c r="CR110" i="463"/>
  <c r="CR115" i="463" s="1"/>
  <c r="CL115" i="463"/>
  <c r="CH110" i="463"/>
  <c r="CF110" i="463"/>
  <c r="CF115" i="463" s="1"/>
  <c r="AV110" i="463"/>
  <c r="AV115" i="463" s="1"/>
  <c r="AH110" i="463"/>
  <c r="AH115" i="463" s="1"/>
  <c r="AC110" i="463"/>
  <c r="S110" i="463"/>
  <c r="Q110" i="463"/>
  <c r="L110" i="463"/>
  <c r="I110" i="463"/>
  <c r="G110" i="463"/>
  <c r="AH99" i="463"/>
  <c r="AE99" i="463"/>
  <c r="AH98" i="463"/>
  <c r="AE98" i="463"/>
  <c r="HC97" i="463"/>
  <c r="HC113" i="463" s="1"/>
  <c r="GJ97" i="463"/>
  <c r="FH97" i="463"/>
  <c r="FH113" i="463" s="1"/>
  <c r="EY97" i="463"/>
  <c r="EY113" i="463" s="1"/>
  <c r="EM97" i="463"/>
  <c r="EM113" i="463" s="1"/>
  <c r="EI97" i="463"/>
  <c r="EI113" i="463" s="1"/>
  <c r="DJ97" i="463"/>
  <c r="DJ113" i="463" s="1"/>
  <c r="DC97" i="463"/>
  <c r="DC113" i="463" s="1"/>
  <c r="CV97" i="463"/>
  <c r="CV113" i="463" s="1"/>
  <c r="CU97" i="463"/>
  <c r="CU113" i="463" s="1"/>
  <c r="CS97" i="463"/>
  <c r="CS113" i="463" s="1"/>
  <c r="CR97" i="463"/>
  <c r="CR113" i="463" s="1"/>
  <c r="CL97" i="463"/>
  <c r="CL113" i="463" s="1"/>
  <c r="HO82" i="463"/>
  <c r="HO99" i="463" s="1"/>
  <c r="HC82" i="463"/>
  <c r="HC98" i="463" s="1"/>
  <c r="HB82" i="463"/>
  <c r="HB98" i="463" s="1"/>
  <c r="GX82" i="463"/>
  <c r="GX99" i="463" s="1"/>
  <c r="GJ99" i="463"/>
  <c r="FH82" i="463"/>
  <c r="FH99" i="463" s="1"/>
  <c r="FF82" i="463"/>
  <c r="EY82" i="463"/>
  <c r="EY98" i="463" s="1"/>
  <c r="EM99" i="463"/>
  <c r="EI82" i="463"/>
  <c r="EI99" i="463" s="1"/>
  <c r="EG82" i="463"/>
  <c r="EF82" i="463"/>
  <c r="EF99" i="463" s="1"/>
  <c r="DJ99" i="463"/>
  <c r="DC82" i="463"/>
  <c r="CV82" i="463"/>
  <c r="CV99" i="463" s="1"/>
  <c r="CU82" i="463"/>
  <c r="CU99" i="463" s="1"/>
  <c r="CS82" i="463"/>
  <c r="CS98" i="463" s="1"/>
  <c r="CR82" i="463"/>
  <c r="CL82" i="463"/>
  <c r="CL99" i="463" s="1"/>
  <c r="CH82" i="463"/>
  <c r="CH98" i="463" s="1"/>
  <c r="CF82" i="463"/>
  <c r="CF99" i="463" s="1"/>
  <c r="CB82" i="463"/>
  <c r="BJ99" i="463"/>
  <c r="AV82" i="463"/>
  <c r="AV99" i="463" s="1"/>
  <c r="AJ82" i="463"/>
  <c r="AJ99" i="463" s="1"/>
  <c r="AC82" i="463"/>
  <c r="AC99" i="463" s="1"/>
  <c r="Q82" i="463"/>
  <c r="Q99" i="463" s="1"/>
  <c r="L82" i="463"/>
  <c r="L98" i="463" s="1"/>
  <c r="L148" i="463" s="1"/>
  <c r="L151" i="463" s="1"/>
  <c r="I82" i="463"/>
  <c r="I99" i="463" s="1"/>
  <c r="G82" i="463"/>
  <c r="JQ45" i="463"/>
  <c r="JP45" i="463"/>
  <c r="IO45" i="463"/>
  <c r="HV45" i="463"/>
  <c r="HB45" i="463"/>
  <c r="GW45" i="463"/>
  <c r="GQ45" i="463"/>
  <c r="GO45" i="463"/>
  <c r="GN45" i="463"/>
  <c r="GI45" i="463"/>
  <c r="FP45" i="463"/>
  <c r="FH45" i="463"/>
  <c r="FG45" i="463"/>
  <c r="FE45" i="463"/>
  <c r="EE45" i="463"/>
  <c r="ED45" i="463"/>
  <c r="DX45" i="463"/>
  <c r="DN45" i="463"/>
  <c r="DD45" i="463"/>
  <c r="DC45" i="463"/>
  <c r="CI45" i="463"/>
  <c r="BV45" i="463"/>
  <c r="BE45" i="463"/>
  <c r="BB45" i="463"/>
  <c r="AV45" i="463"/>
  <c r="AT45" i="463"/>
  <c r="AO45" i="463"/>
  <c r="AC45" i="463"/>
  <c r="Z45" i="463"/>
  <c r="JQ44" i="463"/>
  <c r="JP44" i="463"/>
  <c r="HV44" i="463"/>
  <c r="HB44" i="463"/>
  <c r="GW44" i="463"/>
  <c r="GQ44" i="463"/>
  <c r="GO44" i="463"/>
  <c r="GN44" i="463"/>
  <c r="GI44" i="463"/>
  <c r="FP44" i="463"/>
  <c r="FH44" i="463"/>
  <c r="FG44" i="463"/>
  <c r="FE44" i="463"/>
  <c r="EE44" i="463"/>
  <c r="ED44" i="463"/>
  <c r="DD44" i="463"/>
  <c r="DC44" i="463"/>
  <c r="CI44" i="463"/>
  <c r="BB44" i="463"/>
  <c r="AV44" i="463"/>
  <c r="AT44" i="463"/>
  <c r="AO44" i="463"/>
  <c r="AC44" i="463"/>
  <c r="Z44" i="463"/>
  <c r="ED41" i="463"/>
  <c r="IO27" i="463"/>
  <c r="HV27" i="463"/>
  <c r="GW27" i="463"/>
  <c r="GQ27" i="463"/>
  <c r="GO27" i="463"/>
  <c r="GI27" i="463"/>
  <c r="FH27" i="463"/>
  <c r="FG27" i="463"/>
  <c r="FE27" i="463"/>
  <c r="EE27" i="463"/>
  <c r="ED27" i="463"/>
  <c r="DX27" i="463"/>
  <c r="DN27" i="463"/>
  <c r="DD27" i="463"/>
  <c r="CP27" i="463"/>
  <c r="CI27" i="463"/>
  <c r="CB27" i="463"/>
  <c r="CB36" i="463" s="1"/>
  <c r="CB39" i="463" s="1"/>
  <c r="BV27" i="463"/>
  <c r="BV36" i="463" s="1"/>
  <c r="BV44" i="463" s="1"/>
  <c r="AV27" i="463"/>
  <c r="AC27" i="463"/>
  <c r="AC36" i="463" s="1"/>
  <c r="AC39" i="463" s="1"/>
  <c r="Z27" i="463"/>
  <c r="M27" i="463"/>
  <c r="IO26" i="463"/>
  <c r="HV26" i="463"/>
  <c r="GW26" i="463"/>
  <c r="GQ26" i="463"/>
  <c r="GO26" i="463"/>
  <c r="GI26" i="463"/>
  <c r="FH26" i="463"/>
  <c r="FG26" i="463"/>
  <c r="FE26" i="463"/>
  <c r="EE26" i="463"/>
  <c r="ED26" i="463"/>
  <c r="DX26" i="463"/>
  <c r="DN26" i="463"/>
  <c r="DD26" i="463"/>
  <c r="CP26" i="463"/>
  <c r="CI26" i="463"/>
  <c r="AV26" i="463"/>
  <c r="Z26" i="463"/>
  <c r="M26" i="463"/>
  <c r="JP25" i="463"/>
  <c r="JP26" i="463" s="1"/>
  <c r="HB25" i="463"/>
  <c r="FP25" i="463"/>
  <c r="FP27" i="463" s="1"/>
  <c r="DC25" i="463"/>
  <c r="DC27" i="463" s="1"/>
  <c r="CO25" i="463"/>
  <c r="CO27" i="463" s="1"/>
  <c r="BD27" i="463"/>
  <c r="BE13" i="463"/>
  <c r="BE27" i="463" s="1"/>
  <c r="AH106" i="462"/>
  <c r="K106" i="462"/>
  <c r="F106" i="462"/>
  <c r="E106" i="462"/>
  <c r="FB99" i="462"/>
  <c r="EC99" i="462"/>
  <c r="EA101" i="462"/>
  <c r="CT99" i="462"/>
  <c r="FB88" i="462"/>
  <c r="EC88" i="462"/>
  <c r="EB88" i="462"/>
  <c r="CT88" i="462"/>
  <c r="FB81" i="462"/>
  <c r="EC81" i="462"/>
  <c r="EB81" i="462"/>
  <c r="EA81" i="462"/>
  <c r="CT81" i="462"/>
  <c r="FB74" i="462"/>
  <c r="EC74" i="462"/>
  <c r="EB74" i="462"/>
  <c r="EA74" i="462"/>
  <c r="CT74" i="462"/>
  <c r="FB64" i="462"/>
  <c r="EC64" i="462"/>
  <c r="EB64" i="462"/>
  <c r="GX34" i="462"/>
  <c r="GW34" i="462"/>
  <c r="GD34" i="462"/>
  <c r="GC34" i="462"/>
  <c r="EE34" i="462"/>
  <c r="DL34" i="462"/>
  <c r="DI34" i="462"/>
  <c r="CN34" i="462"/>
  <c r="CE34" i="462"/>
  <c r="BF34" i="462"/>
  <c r="BD34" i="462"/>
  <c r="BB34" i="462"/>
  <c r="BA34" i="462"/>
  <c r="AS34" i="462"/>
  <c r="HO5" i="462"/>
  <c r="HB5" i="462"/>
  <c r="HA5" i="462"/>
  <c r="GZ5" i="462"/>
  <c r="GX5" i="462"/>
  <c r="GS5" i="462"/>
  <c r="GQ5" i="462"/>
  <c r="GO5" i="462"/>
  <c r="GK5" i="462"/>
  <c r="FW5" i="462"/>
  <c r="FQ5" i="462"/>
  <c r="FO5" i="462"/>
  <c r="FN5" i="462"/>
  <c r="FM5" i="462"/>
  <c r="FD5" i="462"/>
  <c r="FC5" i="462"/>
  <c r="EZ5" i="462"/>
  <c r="EL5" i="462"/>
  <c r="EK5" i="462"/>
  <c r="EJ5" i="462"/>
  <c r="EI5" i="462"/>
  <c r="EH5" i="462"/>
  <c r="EE5" i="462"/>
  <c r="ED5" i="462"/>
  <c r="DU5" i="462"/>
  <c r="DL5" i="462"/>
  <c r="DK5" i="462"/>
  <c r="DI5" i="462"/>
  <c r="DF5" i="462"/>
  <c r="DE5" i="462"/>
  <c r="DD5" i="462"/>
  <c r="CV5" i="462"/>
  <c r="CQ5" i="462"/>
  <c r="CO5" i="462"/>
  <c r="CN5" i="462"/>
  <c r="CH5" i="462"/>
  <c r="CF5" i="462"/>
  <c r="CE5" i="462"/>
  <c r="CD5" i="462"/>
  <c r="BS5" i="462"/>
  <c r="BO5" i="462"/>
  <c r="BM5" i="462"/>
  <c r="BF5" i="462"/>
  <c r="BD5" i="462"/>
  <c r="BB5" i="462"/>
  <c r="BA5" i="462"/>
  <c r="AU5" i="462"/>
  <c r="AS5" i="462"/>
  <c r="AQ5" i="462"/>
  <c r="AP5" i="462"/>
  <c r="AK5" i="462"/>
  <c r="AJ5" i="462"/>
  <c r="AD5" i="462"/>
  <c r="AC5" i="462"/>
  <c r="Y5" i="462"/>
  <c r="U5" i="462"/>
  <c r="JP3" i="462"/>
  <c r="JO3" i="462"/>
  <c r="JN3" i="462"/>
  <c r="IG3" i="462"/>
  <c r="IF3" i="462"/>
  <c r="EA3" i="462"/>
  <c r="EA104" i="462" s="1"/>
  <c r="BI3" i="462"/>
  <c r="BH3" i="462"/>
  <c r="AT104" i="462"/>
  <c r="AT106" i="462" s="1"/>
  <c r="X3" i="462"/>
  <c r="H3" i="462"/>
  <c r="H104" i="462" s="1"/>
  <c r="H106" i="462" s="1"/>
  <c r="G3" i="462"/>
  <c r="G104" i="462" s="1"/>
  <c r="AU68" i="457"/>
  <c r="G68" i="457"/>
  <c r="FB76" i="457"/>
  <c r="CF76" i="457"/>
  <c r="CA76" i="457"/>
  <c r="BN76" i="457"/>
  <c r="BD76" i="457"/>
  <c r="L76" i="457"/>
  <c r="BI55" i="457"/>
  <c r="FR36" i="457"/>
  <c r="FA36" i="457"/>
  <c r="DL36" i="457"/>
  <c r="DF36" i="457"/>
  <c r="BD36" i="457"/>
  <c r="GJ16" i="457"/>
  <c r="DG16" i="457"/>
  <c r="DC16" i="457"/>
  <c r="IA10" i="457"/>
  <c r="O6" i="457"/>
  <c r="O5" i="457" s="1"/>
  <c r="O4" i="457" s="1"/>
  <c r="N6" i="457"/>
  <c r="N5" i="457" s="1"/>
  <c r="N4" i="457" s="1"/>
  <c r="M6" i="457"/>
  <c r="M5" i="457" s="1"/>
  <c r="M4" i="457" s="1"/>
  <c r="L6" i="457"/>
  <c r="L5" i="457" s="1"/>
  <c r="L4" i="457" s="1"/>
  <c r="K6" i="457"/>
  <c r="J6" i="457"/>
  <c r="I6" i="457"/>
  <c r="GT4" i="457"/>
  <c r="GM4" i="457"/>
  <c r="GL4" i="457"/>
  <c r="DH4" i="457"/>
  <c r="CX4" i="457"/>
  <c r="CW4" i="457"/>
  <c r="CU4" i="457"/>
  <c r="CI4" i="457"/>
  <c r="BU5" i="457"/>
  <c r="BU4" i="457" s="1"/>
  <c r="BD4" i="457"/>
  <c r="IE39" i="458"/>
  <c r="IL34" i="458"/>
  <c r="IF34" i="458"/>
  <c r="IC34" i="458"/>
  <c r="GV34" i="458"/>
  <c r="GJ34" i="458"/>
  <c r="GB34" i="458"/>
  <c r="GA34" i="458"/>
  <c r="FZ34" i="458"/>
  <c r="FY34" i="458"/>
  <c r="FL34" i="458"/>
  <c r="FA34" i="458"/>
  <c r="EE34" i="458"/>
  <c r="EC34" i="458"/>
  <c r="DM34" i="458"/>
  <c r="CX34" i="458"/>
  <c r="CT34" i="458"/>
  <c r="CP34" i="458"/>
  <c r="CO34" i="458"/>
  <c r="CN34" i="458"/>
  <c r="CM34" i="458"/>
  <c r="CH34" i="458"/>
  <c r="BX34" i="458"/>
  <c r="BU34" i="458"/>
  <c r="BS34" i="458"/>
  <c r="BR34" i="458"/>
  <c r="BQ34" i="458"/>
  <c r="BP34" i="458"/>
  <c r="AS34" i="458"/>
  <c r="AC34" i="458"/>
  <c r="AB34" i="458"/>
  <c r="P34" i="458"/>
  <c r="M34" i="458"/>
  <c r="JQ25" i="458"/>
  <c r="HW25" i="458"/>
  <c r="HS25" i="458"/>
  <c r="HM25" i="458"/>
  <c r="HK25" i="458"/>
  <c r="GV25" i="458"/>
  <c r="GU25" i="458"/>
  <c r="GT25" i="458"/>
  <c r="GI25" i="458"/>
  <c r="GH25" i="458"/>
  <c r="FS25" i="458"/>
  <c r="DV25" i="458"/>
  <c r="DH25" i="458"/>
  <c r="DE25" i="458"/>
  <c r="CX25" i="458"/>
  <c r="CV25" i="458"/>
  <c r="CP25" i="458"/>
  <c r="CM25" i="458"/>
  <c r="CK25" i="458"/>
  <c r="CI25" i="458"/>
  <c r="CD25" i="458"/>
  <c r="BZ25" i="458"/>
  <c r="BN25" i="458"/>
  <c r="BD25" i="458"/>
  <c r="AR25" i="458"/>
  <c r="AO25" i="458"/>
  <c r="AM25" i="458"/>
  <c r="AJ25" i="458"/>
  <c r="N25" i="458"/>
  <c r="J25" i="458"/>
  <c r="IN25" i="458"/>
  <c r="IM25" i="458"/>
  <c r="IC25" i="458"/>
  <c r="IB25" i="458"/>
  <c r="AB25" i="458"/>
  <c r="CM23" i="458"/>
  <c r="BQ21" i="458"/>
  <c r="Y15" i="458"/>
  <c r="P15" i="458"/>
  <c r="DW13" i="458"/>
  <c r="Y13" i="458"/>
  <c r="CH4" i="458"/>
  <c r="CF4" i="458"/>
  <c r="BY4" i="458"/>
  <c r="BX4" i="458"/>
  <c r="BW4" i="458"/>
  <c r="BV4" i="458"/>
  <c r="BI4" i="458"/>
  <c r="BH4" i="458"/>
  <c r="AW4" i="458"/>
  <c r="Q4" i="458"/>
  <c r="P4" i="458"/>
  <c r="O4" i="458"/>
  <c r="EI104" i="464" l="1"/>
  <c r="EI115" i="464" s="1"/>
  <c r="FA115" i="464"/>
  <c r="DA104" i="464"/>
  <c r="GY104" i="464"/>
  <c r="CY104" i="464"/>
  <c r="CY115" i="464" s="1"/>
  <c r="JL104" i="464"/>
  <c r="JL115" i="464" s="1"/>
  <c r="CZ104" i="464"/>
  <c r="CZ115" i="464" s="1"/>
  <c r="DM104" i="464"/>
  <c r="BB104" i="464"/>
  <c r="IQ115" i="464"/>
  <c r="X104" i="462"/>
  <c r="X106" i="462" s="1"/>
  <c r="X5" i="462"/>
  <c r="FK104" i="464"/>
  <c r="FK115" i="464" s="1"/>
  <c r="EA93" i="462"/>
  <c r="EA94" i="462" s="1"/>
  <c r="IE104" i="462"/>
  <c r="IE106" i="462" s="1"/>
  <c r="B3" i="462"/>
  <c r="B92" i="424" s="1"/>
  <c r="FB101" i="462"/>
  <c r="CT96" i="462"/>
  <c r="FB82" i="462"/>
  <c r="FB89" i="462" s="1"/>
  <c r="FB93" i="462" s="1"/>
  <c r="FB94" i="462" s="1"/>
  <c r="FB96" i="462"/>
  <c r="EC82" i="462"/>
  <c r="EC89" i="462" s="1"/>
  <c r="EC93" i="462" s="1"/>
  <c r="EC94" i="462" s="1"/>
  <c r="EU181" i="463"/>
  <c r="EU195" i="463" s="1"/>
  <c r="EU206" i="463" s="1"/>
  <c r="DJ66" i="464"/>
  <c r="GY66" i="464"/>
  <c r="B49" i="464"/>
  <c r="E120" i="424" s="1"/>
  <c r="CP47" i="464"/>
  <c r="CP49" i="464" s="1"/>
  <c r="B43" i="464"/>
  <c r="DH115" i="464"/>
  <c r="CZ66" i="464"/>
  <c r="GW115" i="464"/>
  <c r="FK66" i="464"/>
  <c r="BC66" i="464"/>
  <c r="EH66" i="464"/>
  <c r="CP66" i="464"/>
  <c r="EI66" i="464"/>
  <c r="IQ66" i="464"/>
  <c r="CY66" i="464"/>
  <c r="FA66" i="464"/>
  <c r="JM66" i="464"/>
  <c r="DA66" i="464"/>
  <c r="EE36" i="463"/>
  <c r="EE39" i="463" s="1"/>
  <c r="GQ36" i="463"/>
  <c r="GQ39" i="463" s="1"/>
  <c r="DN36" i="463"/>
  <c r="DN39" i="463" s="1"/>
  <c r="DN44" i="463" s="1"/>
  <c r="GI36" i="463"/>
  <c r="GI39" i="463" s="1"/>
  <c r="IO36" i="463"/>
  <c r="IO39" i="463" s="1"/>
  <c r="EY181" i="463"/>
  <c r="EY195" i="463" s="1"/>
  <c r="EY206" i="463" s="1"/>
  <c r="DX44" i="463"/>
  <c r="FG36" i="463"/>
  <c r="FG39" i="463" s="1"/>
  <c r="EX181" i="463"/>
  <c r="EX195" i="463" s="1"/>
  <c r="EX203" i="463" s="1"/>
  <c r="M36" i="463"/>
  <c r="M39" i="463" s="1"/>
  <c r="FH36" i="463"/>
  <c r="HV36" i="463"/>
  <c r="HV39" i="463" s="1"/>
  <c r="ET195" i="463"/>
  <c r="ET206" i="463" s="1"/>
  <c r="EW181" i="463"/>
  <c r="EW195" i="463" s="1"/>
  <c r="EW206" i="463" s="1"/>
  <c r="ER181" i="463"/>
  <c r="ER195" i="463" s="1"/>
  <c r="ER203" i="463" s="1"/>
  <c r="GO169" i="468"/>
  <c r="FD169" i="468"/>
  <c r="GY169" i="468"/>
  <c r="AT169" i="468"/>
  <c r="EN169" i="468"/>
  <c r="GQ169" i="468"/>
  <c r="CS169" i="468"/>
  <c r="HC169" i="468"/>
  <c r="EX169" i="468"/>
  <c r="HE169" i="468"/>
  <c r="EE169" i="468"/>
  <c r="M169" i="468"/>
  <c r="AV169" i="468"/>
  <c r="DC169" i="468"/>
  <c r="FE169" i="468"/>
  <c r="GW169" i="468"/>
  <c r="G169" i="468"/>
  <c r="BJ169" i="468"/>
  <c r="CU169" i="468"/>
  <c r="EM169" i="468"/>
  <c r="HO169" i="468"/>
  <c r="EQ169" i="468"/>
  <c r="CW169" i="468"/>
  <c r="FI169" i="468"/>
  <c r="EH169" i="468"/>
  <c r="FG169" i="468"/>
  <c r="I169" i="468"/>
  <c r="CV169" i="468"/>
  <c r="ER169" i="468"/>
  <c r="EZ169" i="468"/>
  <c r="CX169" i="468"/>
  <c r="CR169" i="468"/>
  <c r="DN169" i="468"/>
  <c r="FH169" i="468"/>
  <c r="Q169" i="468"/>
  <c r="CB169" i="468"/>
  <c r="FA169" i="468"/>
  <c r="GL169" i="468"/>
  <c r="CY169" i="468"/>
  <c r="CO169" i="468"/>
  <c r="EG169" i="468"/>
  <c r="BE169" i="468"/>
  <c r="DO169" i="468"/>
  <c r="S169" i="468"/>
  <c r="DG169" i="468"/>
  <c r="GM169" i="468"/>
  <c r="CZ169" i="468"/>
  <c r="FK169" i="468"/>
  <c r="EW169" i="468"/>
  <c r="Z169" i="468"/>
  <c r="EU169" i="468"/>
  <c r="GZ169" i="468"/>
  <c r="DA169" i="468"/>
  <c r="AM169" i="468"/>
  <c r="AC169" i="468"/>
  <c r="GN169" i="468"/>
  <c r="CL169" i="468"/>
  <c r="EF169" i="468"/>
  <c r="DU169" i="468"/>
  <c r="HA169" i="468"/>
  <c r="B170" i="468"/>
  <c r="DD169" i="468"/>
  <c r="BB169" i="468"/>
  <c r="FF169" i="468"/>
  <c r="IO169" i="468"/>
  <c r="BC169" i="468"/>
  <c r="EY169" i="468"/>
  <c r="DM169" i="468"/>
  <c r="HB169" i="468"/>
  <c r="BD169" i="468"/>
  <c r="DJ169" i="468"/>
  <c r="CP36" i="463"/>
  <c r="CP39" i="463" s="1"/>
  <c r="DA115" i="464"/>
  <c r="CI72" i="465"/>
  <c r="DB72" i="465"/>
  <c r="EN72" i="465"/>
  <c r="EN69" i="465"/>
  <c r="EC96" i="462"/>
  <c r="EZ181" i="463"/>
  <c r="EZ195" i="463" s="1"/>
  <c r="EZ206" i="463" s="1"/>
  <c r="HG69" i="465"/>
  <c r="EB101" i="462"/>
  <c r="CT82" i="462"/>
  <c r="CT89" i="462" s="1"/>
  <c r="CT93" i="462" s="1"/>
  <c r="CT94" i="462" s="1"/>
  <c r="CT100" i="462" s="1"/>
  <c r="AV36" i="463"/>
  <c r="AV39" i="463" s="1"/>
  <c r="ED36" i="463"/>
  <c r="ED39" i="463" s="1"/>
  <c r="GO36" i="463"/>
  <c r="GO39" i="463" s="1"/>
  <c r="ES181" i="463"/>
  <c r="ES203" i="463" s="1"/>
  <c r="BB66" i="464"/>
  <c r="DM66" i="464"/>
  <c r="AH116" i="463"/>
  <c r="EQ181" i="463"/>
  <c r="EQ195" i="463" s="1"/>
  <c r="EQ206" i="463" s="1"/>
  <c r="HE115" i="464"/>
  <c r="EH115" i="464"/>
  <c r="CI36" i="463"/>
  <c r="CI39" i="463" s="1"/>
  <c r="FE36" i="463"/>
  <c r="FE39" i="463" s="1"/>
  <c r="BB115" i="464"/>
  <c r="EV181" i="463"/>
  <c r="EV195" i="463" s="1"/>
  <c r="EV206" i="463" s="1"/>
  <c r="AT27" i="463"/>
  <c r="AT26" i="463"/>
  <c r="CP40" i="463"/>
  <c r="CP41" i="463" s="1"/>
  <c r="M40" i="463"/>
  <c r="M41" i="463" s="1"/>
  <c r="AE116" i="463"/>
  <c r="AE121" i="463" s="1"/>
  <c r="GO40" i="463"/>
  <c r="GO41" i="463" s="1"/>
  <c r="GQ40" i="463"/>
  <c r="GQ41" i="463" s="1"/>
  <c r="G106" i="462"/>
  <c r="G5" i="462"/>
  <c r="H5" i="462"/>
  <c r="DT50" i="466"/>
  <c r="CT69" i="465"/>
  <c r="FU69" i="465"/>
  <c r="IS69" i="465"/>
  <c r="M72" i="465"/>
  <c r="BK72" i="465"/>
  <c r="BK69" i="465"/>
  <c r="DB69" i="465"/>
  <c r="GF69" i="465"/>
  <c r="CC72" i="465"/>
  <c r="CQ72" i="465"/>
  <c r="DC72" i="465"/>
  <c r="DR72" i="465"/>
  <c r="FV72" i="465"/>
  <c r="JQ72" i="465"/>
  <c r="DM69" i="465"/>
  <c r="GX69" i="465"/>
  <c r="AY69" i="465"/>
  <c r="BD26" i="463"/>
  <c r="BD36" i="463" s="1"/>
  <c r="BD39" i="463" s="1"/>
  <c r="ED40" i="463"/>
  <c r="FG40" i="463"/>
  <c r="FG41" i="463" s="1"/>
  <c r="CU98" i="463"/>
  <c r="CU116" i="463" s="1"/>
  <c r="EF98" i="463"/>
  <c r="EF116" i="463" s="1"/>
  <c r="FH98" i="463"/>
  <c r="FH148" i="463" s="1"/>
  <c r="FH151" i="463" s="1"/>
  <c r="CH99" i="463"/>
  <c r="CH116" i="463" s="1"/>
  <c r="AC40" i="463"/>
  <c r="BV40" i="463"/>
  <c r="BV41" i="463" s="1"/>
  <c r="DD40" i="463"/>
  <c r="DD41" i="463" s="1"/>
  <c r="EE40" i="463"/>
  <c r="FH40" i="463"/>
  <c r="FH41" i="463" s="1"/>
  <c r="AJ98" i="463"/>
  <c r="CF98" i="463"/>
  <c r="CV98" i="463"/>
  <c r="EI98" i="463"/>
  <c r="EI116" i="463" s="1"/>
  <c r="CS99" i="463"/>
  <c r="CS116" i="463" s="1"/>
  <c r="CS121" i="463" s="1"/>
  <c r="AO41" i="463"/>
  <c r="IO40" i="463"/>
  <c r="Q98" i="463"/>
  <c r="Q148" i="463" s="1"/>
  <c r="Q151" i="463" s="1"/>
  <c r="AV98" i="463"/>
  <c r="AV148" i="463" s="1"/>
  <c r="AV151" i="463" s="1"/>
  <c r="DJ98" i="463"/>
  <c r="DJ116" i="463" s="1"/>
  <c r="EM98" i="463"/>
  <c r="EM148" i="463" s="1"/>
  <c r="EM151" i="463" s="1"/>
  <c r="GX98" i="463"/>
  <c r="GX148" i="463" s="1"/>
  <c r="EY99" i="463"/>
  <c r="EY116" i="463" s="1"/>
  <c r="GN41" i="463"/>
  <c r="BJ98" i="463"/>
  <c r="BJ116" i="463" s="1"/>
  <c r="BJ121" i="463" s="1"/>
  <c r="CL98" i="463"/>
  <c r="HO98" i="463"/>
  <c r="HC99" i="463"/>
  <c r="HC116" i="463" s="1"/>
  <c r="DN40" i="463"/>
  <c r="DN41" i="463" s="1"/>
  <c r="HY104" i="462"/>
  <c r="HY106" i="462" s="1"/>
  <c r="IK104" i="462"/>
  <c r="IK106" i="462" s="1"/>
  <c r="EC101" i="462"/>
  <c r="BH5" i="462"/>
  <c r="BH104" i="462"/>
  <c r="BH106" i="462" s="1"/>
  <c r="BI5" i="462"/>
  <c r="BI104" i="462"/>
  <c r="BI106" i="462" s="1"/>
  <c r="IF5" i="462"/>
  <c r="IF104" i="462"/>
  <c r="IF106" i="462" s="1"/>
  <c r="CT101" i="462"/>
  <c r="IG5" i="462"/>
  <c r="IG104" i="462"/>
  <c r="IG106" i="462" s="1"/>
  <c r="FJ16" i="464"/>
  <c r="FJ18" i="464" s="1"/>
  <c r="FJ23" i="464" s="1"/>
  <c r="L99" i="463"/>
  <c r="L116" i="463" s="1"/>
  <c r="CR72" i="465"/>
  <c r="IO72" i="465"/>
  <c r="CC69" i="465"/>
  <c r="DC69" i="465"/>
  <c r="DR69" i="465"/>
  <c r="FV69" i="465"/>
  <c r="GG69" i="465"/>
  <c r="HB69" i="465"/>
  <c r="JQ69" i="465"/>
  <c r="AA72" i="465"/>
  <c r="BV72" i="465"/>
  <c r="CH72" i="465"/>
  <c r="CS72" i="465"/>
  <c r="DA72" i="465"/>
  <c r="DL72" i="465"/>
  <c r="IP72" i="465"/>
  <c r="CD72" i="465"/>
  <c r="DI72" i="465"/>
  <c r="FF72" i="465"/>
  <c r="CZ69" i="465"/>
  <c r="DW69" i="465"/>
  <c r="FX69" i="465"/>
  <c r="GJ69" i="465"/>
  <c r="BG72" i="465"/>
  <c r="BX72" i="465"/>
  <c r="HC148" i="463"/>
  <c r="CS148" i="463"/>
  <c r="CS151" i="463" s="1"/>
  <c r="HB26" i="463"/>
  <c r="HB36" i="463" s="1"/>
  <c r="HB39" i="463" s="1"/>
  <c r="BE26" i="463"/>
  <c r="BE36" i="463" s="1"/>
  <c r="CO26" i="463"/>
  <c r="CO36" i="463" s="1"/>
  <c r="CO39" i="463" s="1"/>
  <c r="JP27" i="463"/>
  <c r="JP40" i="463" s="1"/>
  <c r="JP41" i="463" s="1"/>
  <c r="CB99" i="463"/>
  <c r="CB98" i="463"/>
  <c r="CR99" i="463"/>
  <c r="CR98" i="463"/>
  <c r="DC98" i="463"/>
  <c r="EG99" i="463"/>
  <c r="EG98" i="463"/>
  <c r="FF98" i="463"/>
  <c r="FF99" i="463"/>
  <c r="FP26" i="463"/>
  <c r="FP36" i="463" s="1"/>
  <c r="FP39" i="463" s="1"/>
  <c r="G99" i="463"/>
  <c r="G98" i="463"/>
  <c r="S99" i="463"/>
  <c r="CH148" i="463"/>
  <c r="CH151" i="463" s="1"/>
  <c r="GJ148" i="463"/>
  <c r="GJ151" i="463" s="1"/>
  <c r="DC26" i="463"/>
  <c r="DC36" i="463" s="1"/>
  <c r="DC39" i="463" s="1"/>
  <c r="Z40" i="463"/>
  <c r="Z41" i="463" s="1"/>
  <c r="AV40" i="463"/>
  <c r="AV41" i="463" s="1"/>
  <c r="CB40" i="463"/>
  <c r="DX40" i="463"/>
  <c r="DX41" i="463" s="1"/>
  <c r="FE40" i="463"/>
  <c r="FE41" i="463" s="1"/>
  <c r="GI40" i="463"/>
  <c r="GI41" i="463" s="1"/>
  <c r="GW40" i="463"/>
  <c r="GW41" i="463" s="1"/>
  <c r="HV40" i="463"/>
  <c r="HV41" i="463" s="1"/>
  <c r="HB99" i="463"/>
  <c r="EY148" i="463"/>
  <c r="EY151" i="463" s="1"/>
  <c r="I98" i="463"/>
  <c r="AC98" i="463"/>
  <c r="EA82" i="462"/>
  <c r="EB96" i="462"/>
  <c r="EB82" i="462"/>
  <c r="B115" i="464" l="1"/>
  <c r="Y120" i="424" s="1"/>
  <c r="DJ121" i="463"/>
  <c r="DJ126" i="463" s="1"/>
  <c r="AH121" i="463"/>
  <c r="AH126" i="463" s="1"/>
  <c r="L121" i="463"/>
  <c r="L126" i="463" s="1"/>
  <c r="L152" i="463" s="1"/>
  <c r="HC121" i="463"/>
  <c r="CH121" i="463"/>
  <c r="CH126" i="463" s="1"/>
  <c r="EI121" i="463"/>
  <c r="EI126" i="463" s="1"/>
  <c r="EY121" i="463"/>
  <c r="EY126" i="463" s="1"/>
  <c r="EF121" i="463"/>
  <c r="EF126" i="463" s="1"/>
  <c r="CU121" i="463"/>
  <c r="CU126" i="463" s="1"/>
  <c r="FB100" i="462"/>
  <c r="EA100" i="462"/>
  <c r="CU148" i="463"/>
  <c r="CU151" i="463" s="1"/>
  <c r="HO148" i="463"/>
  <c r="HO151" i="463" s="1"/>
  <c r="HO116" i="463"/>
  <c r="HO121" i="463" s="1"/>
  <c r="HO126" i="463" s="1"/>
  <c r="ER206" i="463"/>
  <c r="EC100" i="462"/>
  <c r="GY115" i="464"/>
  <c r="EY203" i="463"/>
  <c r="GX151" i="463"/>
  <c r="CL148" i="463"/>
  <c r="CL151" i="463" s="1"/>
  <c r="CL116" i="463"/>
  <c r="CL121" i="463" s="1"/>
  <c r="EU196" i="463"/>
  <c r="EU207" i="463" s="1"/>
  <c r="EU208" i="463" s="1"/>
  <c r="EU209" i="463" s="1"/>
  <c r="CF148" i="463"/>
  <c r="CF151" i="463" s="1"/>
  <c r="CF116" i="463"/>
  <c r="CF121" i="463" s="1"/>
  <c r="CS126" i="463"/>
  <c r="AV117" i="463"/>
  <c r="CV148" i="463"/>
  <c r="CV151" i="463" s="1"/>
  <c r="CV116" i="463"/>
  <c r="GX117" i="463"/>
  <c r="CP115" i="464"/>
  <c r="AE126" i="463"/>
  <c r="EI148" i="463"/>
  <c r="EI151" i="463" s="1"/>
  <c r="BJ126" i="463"/>
  <c r="BJ152" i="463" s="1"/>
  <c r="DJ148" i="463"/>
  <c r="DJ151" i="463" s="1"/>
  <c r="AT36" i="463"/>
  <c r="AT39" i="463" s="1"/>
  <c r="ET203" i="463"/>
  <c r="ES206" i="463"/>
  <c r="EX206" i="463"/>
  <c r="EF148" i="463"/>
  <c r="EF151" i="463" s="1"/>
  <c r="Q116" i="463"/>
  <c r="Q121" i="463" s="1"/>
  <c r="EW203" i="463"/>
  <c r="EZ203" i="463"/>
  <c r="EG148" i="463"/>
  <c r="EG151" i="463" s="1"/>
  <c r="BD40" i="463"/>
  <c r="BD41" i="463" s="1"/>
  <c r="EQ203" i="463"/>
  <c r="EV203" i="463"/>
  <c r="BJ148" i="463"/>
  <c r="JP36" i="463"/>
  <c r="JP39" i="463" s="1"/>
  <c r="AJ148" i="463"/>
  <c r="AJ151" i="463" s="1"/>
  <c r="AJ116" i="463"/>
  <c r="AJ117" i="463"/>
  <c r="BE39" i="463"/>
  <c r="BE44" i="463" s="1"/>
  <c r="FH116" i="463"/>
  <c r="EM116" i="463"/>
  <c r="EM121" i="463" s="1"/>
  <c r="EM126" i="463" s="1"/>
  <c r="CO40" i="463"/>
  <c r="CO41" i="463" s="1"/>
  <c r="I116" i="463"/>
  <c r="I121" i="463" s="1"/>
  <c r="I148" i="463"/>
  <c r="I151" i="463" s="1"/>
  <c r="CR148" i="463"/>
  <c r="CR151" i="463" s="1"/>
  <c r="CR116" i="463"/>
  <c r="CR121" i="463" s="1"/>
  <c r="HB126" i="463"/>
  <c r="EG117" i="463"/>
  <c r="DC40" i="463"/>
  <c r="DC41" i="463" s="1"/>
  <c r="DC148" i="463"/>
  <c r="DC151" i="463" s="1"/>
  <c r="DC116" i="463"/>
  <c r="CB148" i="463"/>
  <c r="CB151" i="463" s="1"/>
  <c r="CB116" i="463"/>
  <c r="CB121" i="463" s="1"/>
  <c r="BE40" i="463"/>
  <c r="BE41" i="463" s="1"/>
  <c r="G148" i="463"/>
  <c r="G151" i="463" s="1"/>
  <c r="G116" i="463"/>
  <c r="HB148" i="463"/>
  <c r="HB151" i="463" s="1"/>
  <c r="AC116" i="463"/>
  <c r="AC148" i="463"/>
  <c r="AC151" i="463" s="1"/>
  <c r="S116" i="463"/>
  <c r="S148" i="463"/>
  <c r="S151" i="463" s="1"/>
  <c r="FF148" i="463"/>
  <c r="FF151" i="463" s="1"/>
  <c r="FF116" i="463"/>
  <c r="FP40" i="463"/>
  <c r="FP41" i="463" s="1"/>
  <c r="HB40" i="463"/>
  <c r="AT40" i="463"/>
  <c r="AT41" i="463" s="1"/>
  <c r="EB89" i="462"/>
  <c r="EB93" i="462" s="1"/>
  <c r="EB94" i="462" s="1"/>
  <c r="EB97" i="462" s="1"/>
  <c r="EB100" i="462" s="1"/>
  <c r="AJ121" i="463" l="1"/>
  <c r="AC121" i="463"/>
  <c r="AC126" i="463" s="1"/>
  <c r="AC152" i="463" s="1"/>
  <c r="G121" i="463"/>
  <c r="G126" i="463" s="1"/>
  <c r="AV121" i="463"/>
  <c r="AV128" i="463"/>
  <c r="FH121" i="463"/>
  <c r="FH126" i="463" s="1"/>
  <c r="GX121" i="463"/>
  <c r="GX126" i="463" s="1"/>
  <c r="GX128" i="463"/>
  <c r="DC126" i="463"/>
  <c r="CV121" i="463"/>
  <c r="CV126" i="463" s="1"/>
  <c r="FF121" i="463"/>
  <c r="FF126" i="463" s="1"/>
  <c r="S121" i="463"/>
  <c r="S126" i="463" s="1"/>
  <c r="S152" i="463" s="1"/>
  <c r="EG121" i="463"/>
  <c r="EG126" i="463" s="1"/>
  <c r="Q126" i="463"/>
  <c r="Q152" i="463" s="1"/>
  <c r="CR126" i="463"/>
  <c r="AJ126" i="463"/>
  <c r="AJ152" i="463" s="1"/>
  <c r="CL126" i="463"/>
  <c r="CF126" i="463"/>
  <c r="CB126" i="463"/>
  <c r="CB152" i="463" s="1"/>
  <c r="G152" i="463"/>
  <c r="I126" i="463"/>
  <c r="I152" i="463" s="1"/>
  <c r="AV126" i="463" l="1"/>
  <c r="AV152" i="463" s="1"/>
  <c r="S11" i="395"/>
  <c r="U11" i="395" l="1"/>
  <c r="B24" i="394" l="1"/>
  <c r="H32" i="394"/>
  <c r="L256" i="375" l="1"/>
  <c r="P253" i="375"/>
  <c r="E218" i="375"/>
  <c r="E214" i="375"/>
  <c r="F267" i="375" l="1"/>
  <c r="B211" i="375"/>
  <c r="B68" i="466"/>
  <c r="M144" i="424" s="1"/>
  <c r="B52" i="466"/>
  <c r="AU54" i="473" s="1"/>
  <c r="B53" i="466"/>
  <c r="AU55" i="473" s="1"/>
  <c r="B54" i="466"/>
  <c r="AU56" i="473" s="1"/>
  <c r="B55" i="466"/>
  <c r="AU57" i="473" s="1"/>
  <c r="B56" i="466"/>
  <c r="AU58" i="473" s="1"/>
  <c r="B57" i="466"/>
  <c r="AU59" i="473" s="1"/>
  <c r="B58" i="466"/>
  <c r="I144" i="424" s="1"/>
  <c r="B59" i="466"/>
  <c r="J144" i="424" s="1"/>
  <c r="B60" i="466"/>
  <c r="AU62" i="473" s="1"/>
  <c r="B61" i="466"/>
  <c r="AU63" i="473" s="1"/>
  <c r="B62" i="466"/>
  <c r="AU64" i="473" s="1"/>
  <c r="B63" i="466"/>
  <c r="AU65" i="473" s="1"/>
  <c r="B64" i="466"/>
  <c r="AU66" i="473" s="1"/>
  <c r="B65" i="466"/>
  <c r="AU67" i="473" s="1"/>
  <c r="B66" i="466"/>
  <c r="K144" i="424" s="1"/>
  <c r="B67" i="466"/>
  <c r="L144" i="424" s="1"/>
  <c r="G15" i="453"/>
  <c r="J19" i="453" s="1"/>
  <c r="J120" i="2" s="1"/>
  <c r="G37" i="95"/>
  <c r="G33" i="95"/>
  <c r="L141" i="424" s="1"/>
  <c r="C33" i="95"/>
  <c r="K141" i="424" s="1"/>
  <c r="G30" i="95"/>
  <c r="J141" i="424" s="1"/>
  <c r="C30" i="95"/>
  <c r="I141" i="424" s="1"/>
  <c r="M141" i="424" l="1"/>
  <c r="G14" i="453"/>
  <c r="AU70" i="473"/>
  <c r="AU69" i="473"/>
  <c r="AU61" i="473"/>
  <c r="AU68" i="473"/>
  <c r="AU60" i="473"/>
  <c r="L183" i="49" l="1"/>
  <c r="L184" i="49"/>
  <c r="L533" i="3" l="1"/>
  <c r="L527" i="3"/>
  <c r="L524" i="3"/>
  <c r="AA181" i="391" l="1"/>
  <c r="H114" i="435" l="1"/>
  <c r="AB190" i="391"/>
  <c r="AB186" i="391"/>
  <c r="I66" i="435" l="1"/>
  <c r="L215" i="489" s="1"/>
  <c r="L36" i="454"/>
  <c r="L32" i="454"/>
  <c r="I25" i="454"/>
  <c r="H46" i="435" s="1"/>
  <c r="I22" i="454"/>
  <c r="H45" i="435" s="1"/>
  <c r="I18" i="454"/>
  <c r="I14" i="454"/>
  <c r="I170" i="7"/>
  <c r="I167" i="7"/>
  <c r="H37" i="435" s="1"/>
  <c r="I164" i="7"/>
  <c r="I161" i="7"/>
  <c r="H33" i="435" l="1"/>
  <c r="K139" i="442"/>
  <c r="H48" i="435"/>
  <c r="H36" i="435"/>
  <c r="K199" i="442"/>
  <c r="J24" i="454"/>
  <c r="H47" i="435"/>
  <c r="H53" i="435"/>
  <c r="H43" i="435"/>
  <c r="J70" i="454"/>
  <c r="H215" i="489"/>
  <c r="L215" i="49"/>
  <c r="H215" i="49"/>
  <c r="I67" i="435" l="1"/>
  <c r="J215" i="489" l="1"/>
  <c r="J215" i="49"/>
  <c r="F15" i="453"/>
  <c r="J18" i="453" s="1"/>
  <c r="I273" i="381" l="1"/>
  <c r="E142" i="2" l="1"/>
  <c r="B12" i="468" l="1"/>
  <c r="BD13" i="473" s="1"/>
  <c r="BD14" i="473"/>
  <c r="E21" i="492" l="1"/>
  <c r="M646" i="3" l="1"/>
  <c r="P168" i="424" l="1"/>
  <c r="B177" i="468"/>
  <c r="B136" i="424" s="1"/>
  <c r="B174" i="468"/>
  <c r="B132" i="424" s="1"/>
  <c r="B176" i="468"/>
  <c r="B173" i="468"/>
  <c r="B5" i="458"/>
  <c r="B8" i="424" s="1"/>
  <c r="D223" i="426" l="1"/>
  <c r="B84" i="458"/>
  <c r="B52" i="424" l="1"/>
  <c r="L64" i="391" l="1"/>
  <c r="D61" i="391"/>
  <c r="AW91" i="381"/>
  <c r="AX94" i="381" s="1"/>
  <c r="AW86" i="381"/>
  <c r="AW84" i="381"/>
  <c r="AW82" i="381"/>
  <c r="AW80" i="381"/>
  <c r="AW78" i="381"/>
  <c r="AW76" i="381"/>
  <c r="AW68" i="381"/>
  <c r="AX77" i="381" l="1"/>
  <c r="AX75" i="381"/>
  <c r="AX85" i="381"/>
  <c r="B41" i="458" l="1"/>
  <c r="B42" i="458"/>
  <c r="B46" i="458"/>
  <c r="I5" i="454"/>
  <c r="B28" i="467"/>
  <c r="C18" i="426" l="1"/>
  <c r="C22" i="426"/>
  <c r="M31" i="454"/>
  <c r="J17" i="454"/>
  <c r="J13" i="454"/>
  <c r="B62" i="458"/>
  <c r="B48" i="464" l="1"/>
  <c r="I82" i="489" l="1"/>
  <c r="I82" i="49"/>
  <c r="I87" i="489"/>
  <c r="I87" i="49"/>
  <c r="I91" i="489"/>
  <c r="I91" i="49"/>
  <c r="I89" i="489"/>
  <c r="I89" i="49"/>
  <c r="AW66" i="381" l="1"/>
  <c r="AW64" i="381"/>
  <c r="AX67" i="381" s="1"/>
  <c r="AS122" i="381"/>
  <c r="R79" i="48" l="1"/>
  <c r="L128" i="7" l="1"/>
  <c r="L125" i="7"/>
  <c r="E52" i="451" l="1"/>
  <c r="B110" i="466"/>
  <c r="B111" i="466"/>
  <c r="B112" i="466"/>
  <c r="B113" i="466"/>
  <c r="B114" i="466"/>
  <c r="B115" i="466"/>
  <c r="B116" i="466"/>
  <c r="B117" i="466"/>
  <c r="B118" i="466"/>
  <c r="B119" i="466"/>
  <c r="B120" i="466"/>
  <c r="B121" i="466"/>
  <c r="B122" i="466"/>
  <c r="B123" i="466"/>
  <c r="B124" i="466"/>
  <c r="B125" i="466"/>
  <c r="B132" i="466"/>
  <c r="B133" i="466"/>
  <c r="B134" i="466"/>
  <c r="B135" i="466"/>
  <c r="B136" i="466"/>
  <c r="B137" i="466"/>
  <c r="B138" i="466"/>
  <c r="B139" i="466"/>
  <c r="B140" i="466"/>
  <c r="B141" i="466"/>
  <c r="B142" i="466"/>
  <c r="B143" i="466"/>
  <c r="B144" i="466"/>
  <c r="B145" i="466"/>
  <c r="B146" i="466"/>
  <c r="B147" i="466"/>
  <c r="B148" i="466"/>
  <c r="B149" i="466"/>
  <c r="B150" i="466"/>
  <c r="B151" i="466"/>
  <c r="B152" i="466"/>
  <c r="B153" i="466"/>
  <c r="B154" i="466"/>
  <c r="B155" i="466"/>
  <c r="B156" i="466"/>
  <c r="B157" i="466"/>
  <c r="B158" i="466"/>
  <c r="B159" i="466"/>
  <c r="D52" i="451" l="1"/>
  <c r="G31" i="120"/>
  <c r="C52" i="451" s="1"/>
  <c r="D61" i="424" l="1"/>
  <c r="AX18" i="473"/>
  <c r="AX19" i="473"/>
  <c r="B60" i="465"/>
  <c r="AR62" i="473" s="1"/>
  <c r="B62" i="465"/>
  <c r="B64" i="465"/>
  <c r="B65" i="465"/>
  <c r="B66" i="465"/>
  <c r="B68" i="465"/>
  <c r="B71" i="465"/>
  <c r="B73" i="465"/>
  <c r="B15" i="465"/>
  <c r="B17" i="465"/>
  <c r="B18" i="465"/>
  <c r="B19" i="465"/>
  <c r="B20" i="465"/>
  <c r="B21" i="465"/>
  <c r="B22" i="465"/>
  <c r="B23" i="465"/>
  <c r="B24" i="465"/>
  <c r="B25" i="465"/>
  <c r="B26" i="465"/>
  <c r="B27" i="465"/>
  <c r="B28" i="465"/>
  <c r="B29" i="465"/>
  <c r="B30" i="465"/>
  <c r="B31" i="465"/>
  <c r="B32" i="465"/>
  <c r="B33" i="465"/>
  <c r="B34" i="465"/>
  <c r="B36" i="465"/>
  <c r="B37" i="465"/>
  <c r="B38" i="465"/>
  <c r="B39" i="465"/>
  <c r="B40" i="465"/>
  <c r="B41" i="465"/>
  <c r="B42" i="465"/>
  <c r="B43" i="465"/>
  <c r="B44" i="465"/>
  <c r="B45" i="465"/>
  <c r="B46" i="465"/>
  <c r="B47" i="465"/>
  <c r="B48" i="465"/>
  <c r="B49" i="465"/>
  <c r="B50" i="465"/>
  <c r="B51" i="465"/>
  <c r="B52" i="465"/>
  <c r="B53" i="465"/>
  <c r="B54" i="465"/>
  <c r="B55" i="465"/>
  <c r="B56" i="465"/>
  <c r="B57" i="465"/>
  <c r="B58" i="465"/>
  <c r="B59" i="465"/>
  <c r="B32" i="463"/>
  <c r="B34" i="463"/>
  <c r="B35" i="463"/>
  <c r="B36" i="463"/>
  <c r="B37" i="463"/>
  <c r="B38" i="463"/>
  <c r="B39" i="463"/>
  <c r="B40" i="463"/>
  <c r="B41" i="463"/>
  <c r="B42" i="463"/>
  <c r="B43" i="463"/>
  <c r="B23" i="457"/>
  <c r="D64" i="424" s="1"/>
  <c r="B24" i="457"/>
  <c r="B25" i="457"/>
  <c r="AR61" i="473" l="1"/>
  <c r="D140" i="424"/>
  <c r="T33" i="473"/>
  <c r="H17" i="473"/>
  <c r="X17" i="391" l="1"/>
  <c r="X33" i="391" s="1"/>
  <c r="X47" i="391" s="1"/>
  <c r="I89" i="7" l="1"/>
  <c r="L33" i="7" l="1"/>
  <c r="AW139" i="381" l="1"/>
  <c r="AX135" i="381" s="1"/>
  <c r="AW100" i="381"/>
  <c r="AX98" i="381" l="1"/>
  <c r="AX96" i="381"/>
  <c r="AX137" i="381"/>
  <c r="B58" i="487" l="1"/>
  <c r="B46" i="487"/>
  <c r="AK193" i="381" l="1"/>
  <c r="B9" i="458" l="1"/>
  <c r="B8" i="473" s="1"/>
  <c r="L186" i="49" l="1"/>
  <c r="L185" i="49"/>
  <c r="L181" i="49"/>
  <c r="B109" i="462" l="1"/>
  <c r="Q45" i="473" s="1"/>
  <c r="B105" i="462"/>
  <c r="S168" i="424" l="1"/>
  <c r="B218" i="466"/>
  <c r="C148" i="424" s="1"/>
  <c r="Y312" i="381" l="1"/>
  <c r="Z310" i="381" s="1"/>
  <c r="Y306" i="381"/>
  <c r="Y304" i="381"/>
  <c r="Y302" i="381"/>
  <c r="Y296" i="381"/>
  <c r="Y294" i="381"/>
  <c r="Y292" i="381"/>
  <c r="Y287" i="381"/>
  <c r="Y285" i="381"/>
  <c r="Y283" i="381"/>
  <c r="Y281" i="381"/>
  <c r="Y279" i="381"/>
  <c r="Y277" i="381"/>
  <c r="Y275" i="381"/>
  <c r="Y273" i="381"/>
  <c r="Y271" i="381"/>
  <c r="Y269" i="381"/>
  <c r="Y267" i="381"/>
  <c r="Y265" i="381"/>
  <c r="Y263" i="381"/>
  <c r="Y261" i="381"/>
  <c r="Z293" i="381" s="1"/>
  <c r="Y259" i="381"/>
  <c r="Y257" i="381"/>
  <c r="Y255" i="381"/>
  <c r="Y253" i="381"/>
  <c r="Y251" i="381"/>
  <c r="Y249" i="381"/>
  <c r="Y244" i="381"/>
  <c r="Y242" i="381"/>
  <c r="Y240" i="381"/>
  <c r="Y238" i="381"/>
  <c r="Y236" i="381"/>
  <c r="Y231" i="381"/>
  <c r="Y229" i="381"/>
  <c r="Y227" i="381"/>
  <c r="Y225" i="381"/>
  <c r="Y223" i="381"/>
  <c r="Y221" i="381"/>
  <c r="Y219" i="381"/>
  <c r="Y217" i="381"/>
  <c r="Z232" i="381" l="1"/>
  <c r="Z308" i="381"/>
  <c r="Z245" i="381"/>
  <c r="Z288" i="381"/>
  <c r="Z295" i="381"/>
  <c r="Z254" i="381"/>
  <c r="Z250" i="381"/>
  <c r="Z307" i="381"/>
  <c r="Z252" i="381"/>
  <c r="Z268" i="381"/>
  <c r="Z266" i="381"/>
  <c r="Z274" i="381"/>
  <c r="Z305" i="381"/>
  <c r="P86" i="381" l="1"/>
  <c r="AD153" i="424" l="1"/>
  <c r="Y206" i="381" l="1"/>
  <c r="Y199" i="381"/>
  <c r="Y197" i="381"/>
  <c r="Y195" i="381"/>
  <c r="Y193" i="381"/>
  <c r="Y187" i="381"/>
  <c r="Y181" i="381"/>
  <c r="Y175" i="381"/>
  <c r="Y173" i="381"/>
  <c r="Z298" i="381" s="1"/>
  <c r="Y171" i="381"/>
  <c r="Y163" i="381"/>
  <c r="Y161" i="381"/>
  <c r="Y159" i="381"/>
  <c r="Y157" i="381"/>
  <c r="Y155" i="381"/>
  <c r="Y153" i="381"/>
  <c r="Y151" i="381"/>
  <c r="Y149" i="381"/>
  <c r="Y147" i="381"/>
  <c r="Y145" i="381"/>
  <c r="Y143" i="381"/>
  <c r="Y141" i="381"/>
  <c r="Y139" i="381"/>
  <c r="Y137" i="381"/>
  <c r="Z172" i="381" s="1"/>
  <c r="Y135" i="381"/>
  <c r="Y133" i="381"/>
  <c r="Y131" i="381"/>
  <c r="Y129" i="381"/>
  <c r="Y125" i="381"/>
  <c r="Y123" i="381"/>
  <c r="Y121" i="381"/>
  <c r="Y119" i="381"/>
  <c r="Y117" i="381"/>
  <c r="Y114" i="381"/>
  <c r="Y112" i="381"/>
  <c r="Y107" i="381"/>
  <c r="Y105" i="381"/>
  <c r="Y103" i="381"/>
  <c r="Y101" i="381"/>
  <c r="Y99" i="381"/>
  <c r="Z303" i="381" s="1"/>
  <c r="Y94" i="381"/>
  <c r="Y92" i="381"/>
  <c r="Y90" i="381"/>
  <c r="Y88" i="381"/>
  <c r="Y86" i="381"/>
  <c r="Y84" i="381"/>
  <c r="Y82" i="381"/>
  <c r="Z194" i="381" s="1"/>
  <c r="Y80" i="381"/>
  <c r="Y78" i="381"/>
  <c r="Y76" i="381"/>
  <c r="Y74" i="381"/>
  <c r="Y72" i="381"/>
  <c r="Z165" i="381" l="1"/>
  <c r="Z210" i="381"/>
  <c r="Z95" i="381"/>
  <c r="Z126" i="381"/>
  <c r="Z218" i="381"/>
  <c r="Z144" i="381"/>
  <c r="Z201" i="381"/>
  <c r="Z297" i="381"/>
  <c r="Z278" i="381"/>
  <c r="Z300" i="381"/>
  <c r="Z128" i="381"/>
  <c r="Z154" i="381"/>
  <c r="Z191" i="381"/>
  <c r="Z130" i="381"/>
  <c r="Z196" i="381"/>
  <c r="Z174" i="381"/>
  <c r="Z198" i="381"/>
  <c r="Z142" i="381"/>
  <c r="Z85" i="381"/>
  <c r="Z113" i="381"/>
  <c r="Z204" i="381"/>
  <c r="J11" i="6" l="1"/>
  <c r="J5" i="6"/>
  <c r="AC280" i="381" l="1"/>
  <c r="Q230" i="381" l="1"/>
  <c r="L578" i="3" l="1"/>
  <c r="L575" i="3"/>
  <c r="Q574" i="3"/>
  <c r="Q571" i="3"/>
  <c r="Q568" i="3"/>
  <c r="M164" i="381" l="1"/>
  <c r="U271" i="381"/>
  <c r="U265" i="381"/>
  <c r="U263" i="381"/>
  <c r="U257" i="381"/>
  <c r="U251" i="381"/>
  <c r="U249" i="381"/>
  <c r="U245" i="381"/>
  <c r="Q324" i="381"/>
  <c r="Q322" i="381"/>
  <c r="Q320" i="381"/>
  <c r="Q316" i="381"/>
  <c r="Q314" i="381"/>
  <c r="Q312" i="381"/>
  <c r="Q310" i="381"/>
  <c r="Q308" i="381"/>
  <c r="Q306" i="381"/>
  <c r="Q304" i="381"/>
  <c r="Q302" i="381"/>
  <c r="Q300" i="381"/>
  <c r="Q298" i="381"/>
  <c r="Q296" i="381"/>
  <c r="R323" i="381" l="1"/>
  <c r="Z183" i="381"/>
  <c r="Z188" i="381"/>
  <c r="M123" i="7"/>
  <c r="V264" i="381"/>
  <c r="V269" i="381"/>
  <c r="AS120" i="381" l="1"/>
  <c r="AS118" i="381"/>
  <c r="AX89" i="381" s="1"/>
  <c r="AS116" i="381"/>
  <c r="AS102" i="381"/>
  <c r="AX122" i="381" s="1"/>
  <c r="AS91" i="381"/>
  <c r="AS89" i="381"/>
  <c r="AS87" i="381"/>
  <c r="AS85" i="381"/>
  <c r="AS81" i="381"/>
  <c r="AS79" i="381"/>
  <c r="AS77" i="381"/>
  <c r="AS75" i="381"/>
  <c r="AS73" i="381"/>
  <c r="AT103" i="381" s="1"/>
  <c r="AT99" i="381" l="1"/>
  <c r="AX110" i="381"/>
  <c r="AX71" i="381"/>
  <c r="AX69" i="381"/>
  <c r="AX108" i="381"/>
  <c r="AX104" i="381"/>
  <c r="AX63" i="381"/>
  <c r="AT123" i="381"/>
  <c r="AT109" i="381"/>
  <c r="AX102" i="381"/>
  <c r="AT105" i="381"/>
  <c r="AX112" i="381"/>
  <c r="AT90" i="381"/>
  <c r="AX92" i="381"/>
  <c r="AX73" i="381"/>
  <c r="AT107" i="381"/>
  <c r="AX120" i="381"/>
  <c r="AT113" i="381"/>
  <c r="AT88" i="381"/>
  <c r="AT84" i="381"/>
  <c r="AT76" i="381"/>
  <c r="AT78" i="381"/>
  <c r="AT119" i="381"/>
  <c r="AT117" i="381"/>
  <c r="A29" i="491" l="1"/>
  <c r="L34" i="491" s="1"/>
  <c r="A27" i="491"/>
  <c r="S19" i="48" l="1"/>
  <c r="I19" i="48" l="1"/>
  <c r="G59" i="6"/>
  <c r="B45" i="463" l="1"/>
  <c r="I109" i="49" l="1"/>
  <c r="I83" i="49"/>
  <c r="G4" i="450" l="1"/>
  <c r="O64" i="391" l="1"/>
  <c r="K64" i="391"/>
  <c r="P17" i="391" l="1"/>
  <c r="L17" i="391"/>
  <c r="O17" i="391"/>
  <c r="O67" i="391"/>
  <c r="K67" i="391"/>
  <c r="H82" i="391" s="1"/>
  <c r="P66" i="391" l="1"/>
  <c r="B78" i="468" l="1"/>
  <c r="AK156" i="424" s="1"/>
  <c r="B75" i="468"/>
  <c r="BD76" i="473" s="1"/>
  <c r="B76" i="468"/>
  <c r="AI156" i="424" s="1"/>
  <c r="B77" i="468"/>
  <c r="AJ156" i="424" s="1"/>
  <c r="B79" i="468"/>
  <c r="BD80" i="473" s="1"/>
  <c r="BD79" i="473" l="1"/>
  <c r="BD78" i="473"/>
  <c r="AL156" i="424"/>
  <c r="BD77" i="473"/>
  <c r="AH156" i="424"/>
  <c r="P26" i="450"/>
  <c r="AJ153" i="424" s="1"/>
  <c r="D47" i="442"/>
  <c r="J44" i="442"/>
  <c r="G44" i="442"/>
  <c r="D44" i="442"/>
  <c r="D41" i="442"/>
  <c r="P64" i="391" l="1"/>
  <c r="P67" i="391" s="1"/>
  <c r="L67" i="391"/>
  <c r="P34" i="450"/>
  <c r="P30" i="450"/>
  <c r="L34" i="450"/>
  <c r="L26" i="450"/>
  <c r="Q30" i="450" l="1"/>
  <c r="AK153" i="424"/>
  <c r="AB170" i="391"/>
  <c r="L16" i="391"/>
  <c r="AH153" i="424"/>
  <c r="P16" i="391"/>
  <c r="AI153" i="424"/>
  <c r="L63" i="391"/>
  <c r="AL153" i="424"/>
  <c r="F36" i="424"/>
  <c r="C17" i="132"/>
  <c r="F33" i="424" s="1"/>
  <c r="B36" i="473" l="1"/>
  <c r="I85" i="49" l="1"/>
  <c r="B2" i="462" l="1"/>
  <c r="I85" i="489" l="1"/>
  <c r="I84" i="489"/>
  <c r="I93" i="489"/>
  <c r="I92" i="489"/>
  <c r="I93" i="49"/>
  <c r="I92" i="49"/>
  <c r="I84" i="49"/>
  <c r="I88" i="49" l="1"/>
  <c r="J277" i="376" l="1"/>
  <c r="C54" i="362" s="1"/>
  <c r="J236" i="376" l="1"/>
  <c r="K234" i="376" l="1"/>
  <c r="B151" i="468"/>
  <c r="K242" i="376" l="1"/>
  <c r="K229" i="376"/>
  <c r="G15" i="132"/>
  <c r="E33" i="424" s="1"/>
  <c r="K241" i="376" l="1"/>
  <c r="D50" i="362"/>
  <c r="D48" i="362"/>
  <c r="B60" i="458"/>
  <c r="B36" i="424" s="1"/>
  <c r="B59" i="458"/>
  <c r="I64" i="454" l="1"/>
  <c r="J242" i="376"/>
  <c r="C50" i="362" s="1"/>
  <c r="J239" i="376"/>
  <c r="C48" i="362" s="1"/>
  <c r="J208" i="376"/>
  <c r="J167" i="376"/>
  <c r="F77" i="376"/>
  <c r="F73" i="376"/>
  <c r="G114" i="426"/>
  <c r="C46" i="487" l="1"/>
  <c r="D58" i="487"/>
  <c r="C10" i="362"/>
  <c r="H65" i="435"/>
  <c r="K276" i="376"/>
  <c r="J63" i="454"/>
  <c r="B269" i="376"/>
  <c r="B267" i="376"/>
  <c r="G153" i="426"/>
  <c r="G158" i="426"/>
  <c r="L33" i="491" l="1"/>
  <c r="L25" i="491"/>
  <c r="B1" i="466" l="1"/>
  <c r="B168" i="468"/>
  <c r="B32" i="464" l="1"/>
  <c r="B33" i="464"/>
  <c r="B35" i="464"/>
  <c r="AL7" i="473" s="1"/>
  <c r="B3" i="464"/>
  <c r="C46" i="435" l="1"/>
  <c r="M182" i="381" l="1"/>
  <c r="P33" i="492"/>
  <c r="P45" i="492"/>
  <c r="S33" i="492"/>
  <c r="K43" i="442" l="1"/>
  <c r="H76" i="382"/>
  <c r="Q31" i="492"/>
  <c r="Q29" i="492"/>
  <c r="Z122" i="381"/>
  <c r="E40" i="442"/>
  <c r="E141" i="375"/>
  <c r="E144" i="375"/>
  <c r="L28" i="488" l="1"/>
  <c r="L19" i="488"/>
  <c r="I83" i="489" l="1"/>
  <c r="D52" i="489" l="1"/>
  <c r="Q224" i="381" l="1"/>
  <c r="Q226" i="381"/>
  <c r="Q228" i="381"/>
  <c r="Q222" i="381"/>
  <c r="R227" i="381" l="1"/>
  <c r="R291" i="381"/>
  <c r="R225" i="381"/>
  <c r="B74" i="458" l="1"/>
  <c r="B53" i="458"/>
  <c r="B45" i="458"/>
  <c r="B38" i="458"/>
  <c r="B31" i="458"/>
  <c r="B128" i="463" l="1"/>
  <c r="B130" i="463"/>
  <c r="G108" i="424" s="1"/>
  <c r="B131" i="463"/>
  <c r="B132" i="463"/>
  <c r="B133" i="463"/>
  <c r="H108" i="424" s="1"/>
  <c r="B134" i="463"/>
  <c r="I108" i="424" s="1"/>
  <c r="B135" i="463"/>
  <c r="B136" i="463"/>
  <c r="B137" i="463"/>
  <c r="B138" i="463"/>
  <c r="B139" i="463"/>
  <c r="B140" i="463"/>
  <c r="B141" i="463"/>
  <c r="B142" i="463"/>
  <c r="B143" i="463"/>
  <c r="B144" i="463"/>
  <c r="B145" i="463"/>
  <c r="B146" i="463"/>
  <c r="B147" i="463"/>
  <c r="B149" i="463"/>
  <c r="B150" i="463"/>
  <c r="L108" i="424"/>
  <c r="B18" i="462"/>
  <c r="B19" i="462"/>
  <c r="B20" i="462"/>
  <c r="B21" i="462"/>
  <c r="B22" i="462"/>
  <c r="B23" i="462"/>
  <c r="B24" i="462"/>
  <c r="B25" i="462"/>
  <c r="B26" i="462"/>
  <c r="B27" i="462"/>
  <c r="B28" i="462"/>
  <c r="B29" i="462"/>
  <c r="B47" i="462"/>
  <c r="N51" i="473" s="1"/>
  <c r="B48" i="462"/>
  <c r="N52" i="473" s="1"/>
  <c r="B49" i="462"/>
  <c r="N53" i="473" s="1"/>
  <c r="B50" i="462"/>
  <c r="N54" i="473" s="1"/>
  <c r="B51" i="462"/>
  <c r="N55" i="473" s="1"/>
  <c r="B52" i="462"/>
  <c r="N56" i="473" s="1"/>
  <c r="N57" i="473"/>
  <c r="B54" i="462"/>
  <c r="N58" i="473" s="1"/>
  <c r="B55" i="462"/>
  <c r="N59" i="473" s="1"/>
  <c r="B56" i="462"/>
  <c r="N60" i="473" s="1"/>
  <c r="B57" i="462"/>
  <c r="N61" i="473" s="1"/>
  <c r="B58" i="462"/>
  <c r="N62" i="473" s="1"/>
  <c r="Z58" i="473" l="1"/>
  <c r="Z53" i="473"/>
  <c r="Z49" i="473"/>
  <c r="Z45" i="473"/>
  <c r="Z41" i="473"/>
  <c r="Z36" i="473"/>
  <c r="Z57" i="473"/>
  <c r="Z52" i="473"/>
  <c r="Z48" i="473"/>
  <c r="Z44" i="473"/>
  <c r="Z40" i="473"/>
  <c r="Z63" i="473"/>
  <c r="Z55" i="473"/>
  <c r="Z51" i="473"/>
  <c r="Z47" i="473"/>
  <c r="Z43" i="473"/>
  <c r="Z39" i="473"/>
  <c r="Z62" i="473"/>
  <c r="Z54" i="473"/>
  <c r="Z50" i="473"/>
  <c r="Z46" i="473"/>
  <c r="Z42" i="473"/>
  <c r="Z38" i="473"/>
  <c r="B50" i="457"/>
  <c r="B51" i="457"/>
  <c r="B97" i="466"/>
  <c r="AX5" i="473" l="1"/>
  <c r="X144" i="424"/>
  <c r="B103" i="462"/>
  <c r="B106" i="462" l="1"/>
  <c r="N63" i="473" s="1"/>
  <c r="B104" i="462"/>
  <c r="C128" i="424"/>
  <c r="BJ31" i="473" l="1"/>
  <c r="B128" i="424"/>
  <c r="B1" i="465"/>
  <c r="B31" i="464" l="1"/>
  <c r="B2" i="464"/>
  <c r="B4" i="464"/>
  <c r="B60" i="462"/>
  <c r="B31" i="462"/>
  <c r="B2" i="463"/>
  <c r="B48" i="463"/>
  <c r="B50" i="463"/>
  <c r="B157" i="463"/>
  <c r="B3" i="458"/>
  <c r="B20" i="458" l="1"/>
  <c r="B11" i="458"/>
  <c r="I16" i="476" l="1"/>
  <c r="I8" i="476"/>
  <c r="I10" i="476"/>
  <c r="I12" i="476"/>
  <c r="I14" i="476"/>
  <c r="I6" i="476"/>
  <c r="F38" i="376"/>
  <c r="F35" i="376"/>
  <c r="F32" i="376"/>
  <c r="F16" i="376"/>
  <c r="F13" i="376"/>
  <c r="F10" i="376"/>
  <c r="G26" i="47"/>
  <c r="G8" i="453" s="1"/>
  <c r="D26" i="47"/>
  <c r="J23" i="47"/>
  <c r="G23" i="47"/>
  <c r="D23" i="47"/>
  <c r="G20" i="47"/>
  <c r="D20" i="47"/>
  <c r="D17" i="47"/>
  <c r="D14" i="47"/>
  <c r="D11" i="47"/>
  <c r="D8" i="47"/>
  <c r="D5" i="47"/>
  <c r="J41" i="47"/>
  <c r="G41" i="47"/>
  <c r="D41" i="47"/>
  <c r="J35" i="47"/>
  <c r="G35" i="47"/>
  <c r="D35" i="47"/>
  <c r="D80" i="47"/>
  <c r="D83" i="47"/>
  <c r="G83" i="47"/>
  <c r="J83" i="47"/>
  <c r="D86" i="47"/>
  <c r="D89" i="47"/>
  <c r="G89" i="47"/>
  <c r="J89" i="47"/>
  <c r="D92" i="47"/>
  <c r="J92" i="47"/>
  <c r="M97" i="7" s="1"/>
  <c r="G92" i="47"/>
  <c r="E43" i="47" l="1"/>
  <c r="E58" i="47"/>
  <c r="B8" i="376"/>
  <c r="M123" i="381"/>
  <c r="M116" i="381"/>
  <c r="AO36" i="381"/>
  <c r="AO34" i="381"/>
  <c r="AO30" i="381"/>
  <c r="L590" i="3"/>
  <c r="E18" i="2"/>
  <c r="E17" i="2"/>
  <c r="E16" i="2"/>
  <c r="D18" i="2" l="1"/>
  <c r="B64" i="457"/>
  <c r="D52" i="49" l="1"/>
  <c r="G81" i="376" l="1"/>
  <c r="F81" i="376"/>
  <c r="F84" i="376"/>
  <c r="F87" i="376"/>
  <c r="B79" i="376" s="1"/>
  <c r="G86" i="376" l="1"/>
  <c r="G89" i="376"/>
  <c r="G87" i="376"/>
  <c r="G90" i="376" s="1"/>
  <c r="C121" i="9" l="1"/>
  <c r="U276" i="381" l="1"/>
  <c r="U247" i="381"/>
  <c r="U243" i="381"/>
  <c r="Z189" i="381" s="1"/>
  <c r="U241" i="381"/>
  <c r="U239" i="381"/>
  <c r="U237" i="381"/>
  <c r="U235" i="381"/>
  <c r="U233" i="381"/>
  <c r="V266" i="381" s="1"/>
  <c r="U231" i="381"/>
  <c r="U229" i="381"/>
  <c r="U227" i="381"/>
  <c r="U225" i="381"/>
  <c r="Z272" i="381" s="1"/>
  <c r="U223" i="381"/>
  <c r="U221" i="381"/>
  <c r="U219" i="381"/>
  <c r="Z69" i="381" s="1"/>
  <c r="Z220" i="381" l="1"/>
  <c r="V250" i="381"/>
  <c r="Z71" i="381"/>
  <c r="V232" i="381"/>
  <c r="V236" i="381"/>
  <c r="V248" i="381"/>
  <c r="V234" i="381"/>
  <c r="V226" i="381"/>
  <c r="AG17" i="381"/>
  <c r="AK8" i="381"/>
  <c r="AX126" i="381" l="1"/>
  <c r="Z79" i="381"/>
  <c r="AT121" i="381"/>
  <c r="AT86" i="381"/>
  <c r="Z81" i="381"/>
  <c r="Z148" i="381"/>
  <c r="Z150" i="381"/>
  <c r="Z258" i="381"/>
  <c r="Z260" i="381"/>
  <c r="Z134" i="381"/>
  <c r="Z136" i="381"/>
  <c r="C42" i="435"/>
  <c r="V240" i="381"/>
  <c r="V242" i="381"/>
  <c r="V47" i="381"/>
  <c r="B66" i="457"/>
  <c r="B67" i="457"/>
  <c r="B68" i="457"/>
  <c r="B69" i="457"/>
  <c r="B70" i="457"/>
  <c r="B71" i="457"/>
  <c r="B65" i="457"/>
  <c r="B75" i="457"/>
  <c r="B74" i="457" l="1"/>
  <c r="Q59" i="4" l="1"/>
  <c r="Q62" i="4"/>
  <c r="L43" i="4"/>
  <c r="L47" i="4"/>
  <c r="D34" i="382" s="1"/>
  <c r="C11" i="382"/>
  <c r="G8" i="382"/>
  <c r="C8" i="382"/>
  <c r="C49" i="435" l="1"/>
  <c r="L572" i="3"/>
  <c r="L569" i="3"/>
  <c r="L566" i="3"/>
  <c r="L563" i="3"/>
  <c r="L560" i="3"/>
  <c r="L557" i="3"/>
  <c r="L554" i="3"/>
  <c r="L551" i="3"/>
  <c r="L548" i="3"/>
  <c r="L545" i="3"/>
  <c r="L542" i="3"/>
  <c r="L539" i="3"/>
  <c r="L536" i="3"/>
  <c r="L530" i="3"/>
  <c r="M532" i="3" s="1"/>
  <c r="L521" i="3"/>
  <c r="L518" i="3"/>
  <c r="M523" i="3" s="1"/>
  <c r="Q581" i="3"/>
  <c r="B431" i="3"/>
  <c r="M585" i="3" l="1"/>
  <c r="M541" i="3"/>
  <c r="M584" i="3"/>
  <c r="M574" i="3"/>
  <c r="R572" i="3"/>
  <c r="G27" i="4"/>
  <c r="G24" i="4"/>
  <c r="G21" i="4"/>
  <c r="G17" i="4"/>
  <c r="D7" i="382" l="1"/>
  <c r="H58" i="47"/>
  <c r="I88" i="489"/>
  <c r="AA89" i="4" l="1"/>
  <c r="AA91" i="4"/>
  <c r="D103" i="382" s="1"/>
  <c r="L89" i="4"/>
  <c r="L91" i="4"/>
  <c r="C66" i="435" s="1"/>
  <c r="AA54" i="4"/>
  <c r="AA59" i="4"/>
  <c r="AA62" i="4"/>
  <c r="D97" i="382" l="1"/>
  <c r="AB94" i="4"/>
  <c r="M94" i="4"/>
  <c r="AB65" i="4"/>
  <c r="V84" i="4"/>
  <c r="L54" i="4"/>
  <c r="L59" i="4" l="1"/>
  <c r="L62" i="4"/>
  <c r="C63" i="435" s="1"/>
  <c r="G84" i="4"/>
  <c r="M65" i="4" l="1"/>
  <c r="P101" i="375"/>
  <c r="B67" i="465" l="1"/>
  <c r="B70" i="465" l="1"/>
  <c r="B72" i="465"/>
  <c r="B69" i="465"/>
  <c r="B46" i="462"/>
  <c r="N49" i="473" s="1"/>
  <c r="B41" i="462"/>
  <c r="B40" i="462"/>
  <c r="N43" i="473" s="1"/>
  <c r="B39" i="462"/>
  <c r="B38" i="462"/>
  <c r="B37" i="462"/>
  <c r="B35" i="462"/>
  <c r="E96" i="424" s="1"/>
  <c r="B34" i="462"/>
  <c r="B32" i="462"/>
  <c r="B96" i="424" s="1"/>
  <c r="GG63" i="458" l="1"/>
  <c r="AI63" i="458"/>
  <c r="AV63" i="458"/>
  <c r="BF63" i="458"/>
  <c r="AK64" i="458"/>
  <c r="AK63" i="458"/>
  <c r="AJ63" i="458"/>
  <c r="N35" i="473"/>
  <c r="B44" i="463"/>
  <c r="R63" i="458" l="1"/>
  <c r="AG63" i="458"/>
  <c r="H63" i="458"/>
  <c r="H64" i="458"/>
  <c r="B64" i="458" s="1"/>
  <c r="JE63" i="458"/>
  <c r="AS63" i="458"/>
  <c r="EL63" i="458"/>
  <c r="DJ63" i="458"/>
  <c r="EW63" i="458"/>
  <c r="EK63" i="458"/>
  <c r="DU63" i="458"/>
  <c r="B151" i="463" l="1"/>
  <c r="B148" i="463"/>
  <c r="B152" i="463"/>
  <c r="J108" i="424" s="1"/>
  <c r="B126" i="463"/>
  <c r="E108" i="424" s="1"/>
  <c r="N60" i="48"/>
  <c r="Z60" i="473" l="1"/>
  <c r="Z56" i="473"/>
  <c r="Z59" i="473"/>
  <c r="P259" i="375"/>
  <c r="P132" i="375"/>
  <c r="F134" i="375" s="1"/>
  <c r="L132" i="375"/>
  <c r="E135" i="375"/>
  <c r="F136" i="375" s="1"/>
  <c r="E138" i="375"/>
  <c r="P138" i="375"/>
  <c r="E147" i="375"/>
  <c r="P147" i="375"/>
  <c r="E150" i="375"/>
  <c r="E153" i="375"/>
  <c r="P153" i="375"/>
  <c r="F261" i="375" l="1"/>
  <c r="F151" i="375"/>
  <c r="F160" i="375"/>
  <c r="F287" i="375"/>
  <c r="F145" i="375"/>
  <c r="F157" i="375"/>
  <c r="Q108" i="381"/>
  <c r="Q112" i="381"/>
  <c r="Q110" i="381"/>
  <c r="J25" i="476" l="1"/>
  <c r="G153" i="376"/>
  <c r="H109" i="442"/>
  <c r="K92" i="392"/>
  <c r="L7" i="9"/>
  <c r="I44" i="492" l="1"/>
  <c r="I206" i="3"/>
  <c r="Q106" i="381" l="1"/>
  <c r="Q100" i="381"/>
  <c r="Q102" i="381"/>
  <c r="Q104" i="381"/>
  <c r="Q94" i="381"/>
  <c r="Q96" i="381"/>
  <c r="Q98" i="381"/>
  <c r="I42" i="491" l="1"/>
  <c r="E20" i="47" l="1"/>
  <c r="E8" i="47"/>
  <c r="E5" i="47"/>
  <c r="H25" i="47"/>
  <c r="E25" i="47"/>
  <c r="H22" i="47"/>
  <c r="H19" i="47"/>
  <c r="E16" i="47"/>
  <c r="G6" i="453"/>
  <c r="F12" i="453"/>
  <c r="F9" i="453"/>
  <c r="F6" i="453"/>
  <c r="G11" i="453" s="1"/>
  <c r="H27" i="47" l="1"/>
  <c r="E17" i="47"/>
  <c r="H20" i="47" s="1"/>
  <c r="AK133" i="381" l="1"/>
  <c r="AL136" i="381" s="1"/>
  <c r="F114" i="376" l="1"/>
  <c r="H122" i="442" l="1"/>
  <c r="J21" i="6" l="1"/>
  <c r="F172" i="2" l="1"/>
  <c r="I180" i="2"/>
  <c r="J3" i="445"/>
  <c r="G23" i="445" l="1"/>
  <c r="H121" i="442" s="1"/>
  <c r="Q274" i="381" l="1"/>
  <c r="Q268" i="381"/>
  <c r="R269" i="381" l="1"/>
  <c r="Y70" i="381"/>
  <c r="Z211" i="381" l="1"/>
  <c r="Z213" i="381"/>
  <c r="Z108" i="381"/>
  <c r="Z222" i="381"/>
  <c r="Z202" i="381"/>
  <c r="Z116" i="381"/>
  <c r="B27" i="467"/>
  <c r="B26" i="467"/>
  <c r="AC144" i="424"/>
  <c r="Z152" i="424" l="1"/>
  <c r="BA29" i="473"/>
  <c r="AA144" i="424"/>
  <c r="AX23" i="473"/>
  <c r="J140" i="424"/>
  <c r="AR76" i="473"/>
  <c r="I140" i="424"/>
  <c r="AR75" i="473"/>
  <c r="K52" i="83"/>
  <c r="AD117" i="424"/>
  <c r="U120" i="424" l="1"/>
  <c r="AO19" i="473" l="1"/>
  <c r="B75" i="464"/>
  <c r="L81" i="7"/>
  <c r="H12" i="435" s="1"/>
  <c r="I81" i="7"/>
  <c r="M80" i="7" s="1"/>
  <c r="F30" i="491"/>
  <c r="P120" i="424" l="1"/>
  <c r="AL57" i="473"/>
  <c r="I11" i="435"/>
  <c r="M81" i="7"/>
  <c r="H11" i="435"/>
  <c r="M80" i="424"/>
  <c r="H51" i="473"/>
  <c r="H157" i="489" l="1"/>
  <c r="H157" i="49"/>
  <c r="I12" i="435"/>
  <c r="L157" i="489" s="1"/>
  <c r="J157" i="489" l="1"/>
  <c r="L157" i="49"/>
  <c r="J157" i="49"/>
  <c r="F21" i="491" l="1"/>
  <c r="F11" i="491"/>
  <c r="F39" i="491"/>
  <c r="O11" i="95"/>
  <c r="O8" i="95"/>
  <c r="AA141" i="424" s="1"/>
  <c r="G58" i="95"/>
  <c r="X141" i="424" s="1"/>
  <c r="O43" i="102"/>
  <c r="M35" i="83"/>
  <c r="M23" i="83"/>
  <c r="G28" i="92"/>
  <c r="J137" i="424" s="1"/>
  <c r="F78" i="491" l="1"/>
  <c r="I41" i="491"/>
  <c r="AC141" i="424"/>
  <c r="AO176" i="381"/>
  <c r="AO174" i="381"/>
  <c r="AK169" i="381"/>
  <c r="AG176" i="381"/>
  <c r="AG174" i="381"/>
  <c r="AO149" i="381"/>
  <c r="AO147" i="381"/>
  <c r="AG149" i="381"/>
  <c r="AG147" i="381"/>
  <c r="AO145" i="381" l="1"/>
  <c r="AO142" i="381"/>
  <c r="AO140" i="381"/>
  <c r="AO137" i="381"/>
  <c r="AO133" i="381"/>
  <c r="AP136" i="381" s="1"/>
  <c r="AK176" i="381" l="1"/>
  <c r="AK149" i="381"/>
  <c r="AL174" i="381" s="1"/>
  <c r="AK145" i="381"/>
  <c r="AK142" i="381"/>
  <c r="AK140" i="381"/>
  <c r="AK137" i="381"/>
  <c r="AG145" i="381"/>
  <c r="AG142" i="381"/>
  <c r="AG140" i="381"/>
  <c r="AH148" i="381" s="1"/>
  <c r="AG137" i="381"/>
  <c r="AH139" i="381" s="1"/>
  <c r="AG133" i="381"/>
  <c r="AH136" i="381" s="1"/>
  <c r="Q294" i="381" l="1"/>
  <c r="R307" i="381" s="1"/>
  <c r="R305" i="381" l="1"/>
  <c r="Q292" i="381" l="1"/>
  <c r="Q288" i="381"/>
  <c r="Q286" i="381"/>
  <c r="Q284" i="381"/>
  <c r="R297" i="381" s="1"/>
  <c r="Q282" i="381"/>
  <c r="Q280" i="381"/>
  <c r="Q278" i="381"/>
  <c r="R321" i="381" s="1"/>
  <c r="R289" i="381" l="1"/>
  <c r="R293" i="381"/>
  <c r="R285" i="381"/>
  <c r="R299" i="381"/>
  <c r="Q276" i="381"/>
  <c r="Q272" i="381"/>
  <c r="I176" i="381" l="1"/>
  <c r="I142" i="381" l="1"/>
  <c r="I140" i="381" l="1"/>
  <c r="I138" i="381"/>
  <c r="I134" i="381"/>
  <c r="I132" i="381"/>
  <c r="I136" i="381"/>
  <c r="N144" i="381" s="1"/>
  <c r="R127" i="381" l="1"/>
  <c r="AD166" i="381"/>
  <c r="J137" i="381"/>
  <c r="R144" i="381"/>
  <c r="J135" i="381"/>
  <c r="N143" i="381"/>
  <c r="J139" i="381"/>
  <c r="H79" i="3"/>
  <c r="H50" i="3"/>
  <c r="H111" i="3"/>
  <c r="H148" i="3"/>
  <c r="D148" i="3"/>
  <c r="C16" i="362" l="1"/>
  <c r="AC17" i="381"/>
  <c r="AC57" i="381"/>
  <c r="Q17" i="381" l="1"/>
  <c r="I33" i="381"/>
  <c r="J34" i="381" s="1"/>
  <c r="I36" i="381"/>
  <c r="Q57" i="381"/>
  <c r="I149" i="381"/>
  <c r="I182" i="381"/>
  <c r="I185" i="381"/>
  <c r="I189" i="381"/>
  <c r="I280" i="381"/>
  <c r="BA338" i="381" l="1"/>
  <c r="D92" i="391" l="1"/>
  <c r="C171" i="442"/>
  <c r="C39" i="435"/>
  <c r="H45" i="492" l="1"/>
  <c r="AD33" i="492"/>
  <c r="H70" i="382" l="1"/>
  <c r="H7" i="382"/>
  <c r="AE29" i="492"/>
  <c r="AE31" i="492"/>
  <c r="L95" i="4"/>
  <c r="G45" i="481" l="1"/>
  <c r="D40" i="382"/>
  <c r="U57" i="381"/>
  <c r="G14" i="382" l="1"/>
  <c r="C53" i="435" s="1"/>
  <c r="C14" i="382"/>
  <c r="E338" i="381"/>
  <c r="Q330" i="381"/>
  <c r="Q270" i="381"/>
  <c r="Q266" i="381"/>
  <c r="R267" i="381" s="1"/>
  <c r="BA312" i="381"/>
  <c r="AW312" i="381"/>
  <c r="BB311" i="381" s="1"/>
  <c r="Q262" i="381"/>
  <c r="Q260" i="381"/>
  <c r="R313" i="381" s="1"/>
  <c r="Q258" i="381"/>
  <c r="BA307" i="381"/>
  <c r="AW307" i="381"/>
  <c r="AX311" i="381" s="1"/>
  <c r="Q256" i="381"/>
  <c r="Q254" i="381"/>
  <c r="R325" i="381" s="1"/>
  <c r="BA302" i="381"/>
  <c r="G56" i="453" s="1"/>
  <c r="AW302" i="381"/>
  <c r="AX306" i="381" s="1"/>
  <c r="Q252" i="381"/>
  <c r="Q250" i="381"/>
  <c r="Q248" i="381"/>
  <c r="BA292" i="381"/>
  <c r="AW292" i="381"/>
  <c r="AX301" i="381" s="1"/>
  <c r="Q242" i="381"/>
  <c r="Q240" i="381"/>
  <c r="Q238" i="381"/>
  <c r="Q236" i="381"/>
  <c r="Q234" i="381"/>
  <c r="BA288" i="381"/>
  <c r="AW288" i="381"/>
  <c r="BB287" i="381" s="1"/>
  <c r="Q232" i="381"/>
  <c r="Q220" i="381"/>
  <c r="Q211" i="381"/>
  <c r="BA280" i="381"/>
  <c r="AW280" i="381"/>
  <c r="BB279" i="381" s="1"/>
  <c r="AK280" i="381"/>
  <c r="U280" i="381"/>
  <c r="AC278" i="381"/>
  <c r="U274" i="381"/>
  <c r="AK269" i="381"/>
  <c r="AC269" i="381"/>
  <c r="M205" i="381"/>
  <c r="BA199" i="381"/>
  <c r="M13" i="4" s="1"/>
  <c r="AW199" i="381"/>
  <c r="AS199" i="381"/>
  <c r="AK199" i="381"/>
  <c r="AL268" i="381" s="1"/>
  <c r="AC176" i="381"/>
  <c r="M199" i="381"/>
  <c r="AC172" i="381"/>
  <c r="M196" i="381"/>
  <c r="M193" i="381"/>
  <c r="N198" i="381" s="1"/>
  <c r="M190" i="381"/>
  <c r="M187" i="381"/>
  <c r="BA176" i="381"/>
  <c r="AW176" i="381"/>
  <c r="BB175" i="381" s="1"/>
  <c r="Q209" i="381"/>
  <c r="M176" i="381"/>
  <c r="Q207" i="381"/>
  <c r="Q205" i="381"/>
  <c r="Q203" i="381"/>
  <c r="Q201" i="381"/>
  <c r="Q199" i="381"/>
  <c r="Q197" i="381"/>
  <c r="R198" i="381" s="1"/>
  <c r="Q195" i="381"/>
  <c r="Q193" i="381"/>
  <c r="BA149" i="381"/>
  <c r="AW149" i="381"/>
  <c r="Q149" i="381"/>
  <c r="M149" i="381"/>
  <c r="N171" i="381" s="1"/>
  <c r="E149" i="381"/>
  <c r="F148" i="381"/>
  <c r="Q133" i="381"/>
  <c r="Q119" i="381"/>
  <c r="Q88" i="381"/>
  <c r="Q86" i="381"/>
  <c r="Q79" i="381"/>
  <c r="Q77" i="381"/>
  <c r="Q75" i="381"/>
  <c r="N192" i="381" l="1"/>
  <c r="N117" i="381"/>
  <c r="AX140" i="381"/>
  <c r="AP172" i="381"/>
  <c r="BB314" i="381"/>
  <c r="V230" i="381"/>
  <c r="V228" i="381"/>
  <c r="J22" i="453"/>
  <c r="BB151" i="381"/>
  <c r="BB309" i="381"/>
  <c r="C52" i="435"/>
  <c r="H13" i="382"/>
  <c r="R243" i="381"/>
  <c r="R251" i="381"/>
  <c r="R249" i="381"/>
  <c r="R263" i="381"/>
  <c r="R309" i="381"/>
  <c r="R319" i="381"/>
  <c r="Z185" i="381"/>
  <c r="AT92" i="381"/>
  <c r="V253" i="381"/>
  <c r="V255" i="381"/>
  <c r="V261" i="381"/>
  <c r="V259" i="381"/>
  <c r="Z65" i="381"/>
  <c r="Z67" i="381"/>
  <c r="V273" i="381"/>
  <c r="N147" i="381"/>
  <c r="N145" i="381"/>
  <c r="V275" i="381"/>
  <c r="AD174" i="381"/>
  <c r="AP132" i="381"/>
  <c r="AL132" i="381"/>
  <c r="AH132" i="381"/>
  <c r="AX175" i="381"/>
  <c r="AP173" i="381"/>
  <c r="AL175" i="381"/>
  <c r="AH173" i="381"/>
  <c r="AL192" i="381"/>
  <c r="AP135" i="381"/>
  <c r="AL135" i="381"/>
  <c r="AD175" i="381"/>
  <c r="R145" i="381"/>
  <c r="R147" i="381"/>
  <c r="R128" i="381"/>
  <c r="R130" i="381"/>
  <c r="AL197" i="381"/>
  <c r="N138" i="381"/>
  <c r="E22" i="47"/>
  <c r="AT97" i="381"/>
  <c r="AX148" i="381"/>
  <c r="AX144" i="381"/>
  <c r="AX65" i="381"/>
  <c r="AX198" i="381"/>
  <c r="AX141" i="381"/>
  <c r="E34" i="47"/>
  <c r="E54" i="47"/>
  <c r="M36" i="375"/>
  <c r="Z73" i="381"/>
  <c r="V267" i="381"/>
  <c r="AT72" i="381"/>
  <c r="R221" i="381"/>
  <c r="R202" i="381"/>
  <c r="R223" i="381"/>
  <c r="R208" i="381"/>
  <c r="R219" i="381"/>
  <c r="R204" i="381"/>
  <c r="R210" i="381"/>
  <c r="V279" i="381"/>
  <c r="AT74" i="381"/>
  <c r="R277" i="381"/>
  <c r="AD268" i="381"/>
  <c r="V278" i="381"/>
  <c r="R71" i="381"/>
  <c r="R241" i="381"/>
  <c r="R84" i="381"/>
  <c r="R82" i="381"/>
  <c r="Z182" i="381"/>
  <c r="Z176" i="381"/>
  <c r="V220" i="381"/>
  <c r="R279" i="381"/>
  <c r="R259" i="381"/>
  <c r="R275" i="381"/>
  <c r="V258" i="381"/>
  <c r="V252" i="381"/>
  <c r="V218" i="381"/>
  <c r="R326" i="381"/>
  <c r="AX279" i="381"/>
  <c r="BB198" i="381"/>
  <c r="AT197" i="381"/>
  <c r="R328" i="381"/>
  <c r="C48" i="435"/>
  <c r="BB148" i="381"/>
  <c r="BB306" i="381"/>
  <c r="R253" i="381"/>
  <c r="AX287" i="381"/>
  <c r="H13" i="4"/>
  <c r="R13" i="4"/>
  <c r="AB13" i="4"/>
  <c r="BB301" i="381"/>
  <c r="W13" i="4"/>
  <c r="BB291" i="381"/>
  <c r="N204" i="381"/>
  <c r="R239" i="381"/>
  <c r="AX291" i="381"/>
  <c r="AL278" i="381"/>
  <c r="Q45" i="492"/>
  <c r="I45" i="492"/>
  <c r="V77" i="4" l="1"/>
  <c r="V74" i="4"/>
  <c r="G77" i="4"/>
  <c r="D13" i="382" s="1"/>
  <c r="G74" i="4"/>
  <c r="G66" i="4"/>
  <c r="G70" i="4"/>
  <c r="H33" i="492"/>
  <c r="Z237" i="381" l="1"/>
  <c r="Z224" i="381"/>
  <c r="Z87" i="381"/>
  <c r="Z156" i="381"/>
  <c r="Z100" i="381"/>
  <c r="AP148" i="381"/>
  <c r="D10" i="382"/>
  <c r="H54" i="47"/>
  <c r="D76" i="382"/>
  <c r="H43" i="47"/>
  <c r="Z280" i="381"/>
  <c r="Z118" i="381"/>
  <c r="AX79" i="381"/>
  <c r="R255" i="381"/>
  <c r="R281" i="381"/>
  <c r="I29" i="492"/>
  <c r="H185" i="442"/>
  <c r="W73" i="4"/>
  <c r="AH175" i="381"/>
  <c r="AP175" i="381"/>
  <c r="I31" i="492"/>
  <c r="H76" i="4"/>
  <c r="L308" i="375" l="1"/>
  <c r="L305" i="375"/>
  <c r="E305" i="375"/>
  <c r="L302" i="375"/>
  <c r="L299" i="375"/>
  <c r="L296" i="375"/>
  <c r="L289" i="375"/>
  <c r="E289" i="375"/>
  <c r="L286" i="375"/>
  <c r="E286" i="375"/>
  <c r="E283" i="375"/>
  <c r="F285" i="375" s="1"/>
  <c r="L280" i="375"/>
  <c r="E280" i="375"/>
  <c r="E277" i="375"/>
  <c r="F282" i="375" s="1"/>
  <c r="L274" i="375"/>
  <c r="E274" i="375"/>
  <c r="L268" i="375"/>
  <c r="E268" i="375"/>
  <c r="F272" i="375" s="1"/>
  <c r="E265" i="375"/>
  <c r="E192" i="375"/>
  <c r="B197" i="375" s="1"/>
  <c r="E189" i="375"/>
  <c r="E186" i="375"/>
  <c r="E183" i="375"/>
  <c r="E180" i="375"/>
  <c r="E177" i="375"/>
  <c r="E174" i="375"/>
  <c r="P171" i="375"/>
  <c r="P168" i="375"/>
  <c r="Q170" i="375" s="1"/>
  <c r="P165" i="375"/>
  <c r="P162" i="375"/>
  <c r="E162" i="375"/>
  <c r="P159" i="375"/>
  <c r="E159" i="375"/>
  <c r="E156" i="375"/>
  <c r="E303" i="375"/>
  <c r="F158" i="375"/>
  <c r="P129" i="375"/>
  <c r="P126" i="375"/>
  <c r="Q249" i="375" s="1"/>
  <c r="L126" i="375"/>
  <c r="E126" i="375"/>
  <c r="P117" i="375"/>
  <c r="L117" i="375"/>
  <c r="E117" i="375"/>
  <c r="P114" i="375"/>
  <c r="Q119" i="375" s="1"/>
  <c r="E114" i="375"/>
  <c r="J33" i="7"/>
  <c r="G23" i="7"/>
  <c r="J23" i="7" s="1"/>
  <c r="B23" i="7"/>
  <c r="G20" i="7"/>
  <c r="J20" i="7" s="1"/>
  <c r="G17" i="7"/>
  <c r="J17" i="7" s="1"/>
  <c r="G14" i="7"/>
  <c r="J14" i="7" s="1"/>
  <c r="I214" i="7"/>
  <c r="J4" i="454" s="1"/>
  <c r="F199" i="7"/>
  <c r="I196" i="7"/>
  <c r="I158" i="7"/>
  <c r="F151" i="7"/>
  <c r="H26" i="435" s="1"/>
  <c r="F148" i="7"/>
  <c r="F145" i="7"/>
  <c r="F142" i="7"/>
  <c r="F139" i="7"/>
  <c r="C139" i="7"/>
  <c r="G138" i="7" s="1"/>
  <c r="L131" i="7"/>
  <c r="L118" i="7"/>
  <c r="J210" i="7" s="1"/>
  <c r="L101" i="7"/>
  <c r="L98" i="7"/>
  <c r="H19" i="435" s="1"/>
  <c r="L95" i="7"/>
  <c r="H13" i="435" s="1"/>
  <c r="I92" i="7"/>
  <c r="L86" i="7"/>
  <c r="I86" i="7"/>
  <c r="L78" i="7"/>
  <c r="I78" i="7"/>
  <c r="M77" i="7" s="1"/>
  <c r="L75" i="7"/>
  <c r="I75" i="7"/>
  <c r="L57" i="7"/>
  <c r="I57" i="7"/>
  <c r="M56" i="7" s="1"/>
  <c r="I54" i="7"/>
  <c r="I51" i="7"/>
  <c r="I33" i="7"/>
  <c r="M32" i="7" s="1"/>
  <c r="L30" i="7"/>
  <c r="I26" i="7"/>
  <c r="F26" i="7"/>
  <c r="I23" i="7"/>
  <c r="F23" i="7"/>
  <c r="J22" i="7" s="1"/>
  <c r="I20" i="7"/>
  <c r="F20" i="7"/>
  <c r="J19" i="7" s="1"/>
  <c r="I17" i="7"/>
  <c r="F17" i="7"/>
  <c r="J16" i="7" s="1"/>
  <c r="I14" i="7"/>
  <c r="F14" i="7"/>
  <c r="J13" i="7" s="1"/>
  <c r="I11" i="7"/>
  <c r="M309" i="375" s="1"/>
  <c r="I8" i="7"/>
  <c r="K95" i="441" s="1"/>
  <c r="L5" i="7"/>
  <c r="J204" i="7" l="1"/>
  <c r="J207" i="7"/>
  <c r="J201" i="7"/>
  <c r="M33" i="7"/>
  <c r="M117" i="7"/>
  <c r="H22" i="435"/>
  <c r="J153" i="7"/>
  <c r="J156" i="7"/>
  <c r="G147" i="7"/>
  <c r="G150" i="7"/>
  <c r="Q164" i="375"/>
  <c r="B199" i="375"/>
  <c r="J195" i="7"/>
  <c r="J56" i="7"/>
  <c r="H16" i="435"/>
  <c r="F143" i="375"/>
  <c r="M249" i="375"/>
  <c r="F119" i="375"/>
  <c r="Q223" i="375"/>
  <c r="F140" i="375"/>
  <c r="M223" i="375"/>
  <c r="Q220" i="375"/>
  <c r="M255" i="375"/>
  <c r="H27" i="435"/>
  <c r="H20" i="435"/>
  <c r="J213" i="7"/>
  <c r="B109" i="375"/>
  <c r="B107" i="375"/>
  <c r="B292" i="375"/>
  <c r="N96" i="9"/>
  <c r="B39" i="7"/>
  <c r="F284" i="375"/>
  <c r="F278" i="375"/>
  <c r="J10" i="7"/>
  <c r="H21" i="435"/>
  <c r="I361" i="3"/>
  <c r="M29" i="7"/>
  <c r="Q128" i="375"/>
  <c r="F155" i="375"/>
  <c r="F137" i="375"/>
  <c r="M125" i="375"/>
  <c r="B294" i="375"/>
  <c r="M295" i="375"/>
  <c r="Q125" i="375"/>
  <c r="F161" i="375"/>
  <c r="Q116" i="375"/>
  <c r="F288" i="375"/>
  <c r="J48" i="7"/>
  <c r="J70" i="7"/>
  <c r="K93" i="47"/>
  <c r="J73" i="7"/>
  <c r="M307" i="375"/>
  <c r="M301" i="375"/>
  <c r="F188" i="375"/>
  <c r="M131" i="375"/>
  <c r="J71" i="7"/>
  <c r="B66" i="7"/>
  <c r="AA108" i="4" l="1"/>
  <c r="D109" i="382" s="1"/>
  <c r="V108" i="4"/>
  <c r="Q108" i="4"/>
  <c r="E79" i="47" s="1"/>
  <c r="L108" i="4"/>
  <c r="D43" i="382" s="1"/>
  <c r="AA95" i="4"/>
  <c r="V95" i="4"/>
  <c r="D79" i="382" s="1"/>
  <c r="Q95" i="4"/>
  <c r="Q91" i="4"/>
  <c r="C74" i="435" s="1"/>
  <c r="Q89" i="4"/>
  <c r="AA87" i="4"/>
  <c r="Q87" i="4"/>
  <c r="L87" i="4"/>
  <c r="AA70" i="4"/>
  <c r="V70" i="4"/>
  <c r="Q70" i="4"/>
  <c r="L70" i="4"/>
  <c r="M88" i="4" s="1"/>
  <c r="AA66" i="4"/>
  <c r="V66" i="4"/>
  <c r="Q66" i="4"/>
  <c r="G31" i="481" s="1"/>
  <c r="L66" i="4"/>
  <c r="D37" i="382" s="1"/>
  <c r="AA47" i="4"/>
  <c r="Q47" i="4"/>
  <c r="AA43" i="4"/>
  <c r="Q43" i="4"/>
  <c r="AA36" i="4"/>
  <c r="D94" i="382" s="1"/>
  <c r="L36" i="4"/>
  <c r="D31" i="382" s="1"/>
  <c r="AA33" i="4"/>
  <c r="L33" i="4"/>
  <c r="M35" i="4" s="1"/>
  <c r="AA30" i="4"/>
  <c r="L30" i="4"/>
  <c r="AA14" i="4"/>
  <c r="AB107" i="4" s="1"/>
  <c r="V14" i="4"/>
  <c r="W107" i="4" s="1"/>
  <c r="Q14" i="4"/>
  <c r="R56" i="4" s="1"/>
  <c r="L14" i="4"/>
  <c r="G95" i="4"/>
  <c r="G87" i="4"/>
  <c r="AS57" i="381"/>
  <c r="AK57" i="381"/>
  <c r="E57" i="381"/>
  <c r="AS49" i="381"/>
  <c r="AO49" i="381"/>
  <c r="AO47" i="381"/>
  <c r="AO43" i="381"/>
  <c r="AK49" i="381"/>
  <c r="R76" i="381" s="1"/>
  <c r="M49" i="381"/>
  <c r="E49" i="381"/>
  <c r="F47" i="381" s="1"/>
  <c r="N119" i="381" l="1"/>
  <c r="N165" i="381"/>
  <c r="Z208" i="381"/>
  <c r="D106" i="382"/>
  <c r="W100" i="4"/>
  <c r="AD163" i="381"/>
  <c r="R124" i="381"/>
  <c r="D16" i="382"/>
  <c r="H111" i="4"/>
  <c r="H94" i="4"/>
  <c r="W85" i="4"/>
  <c r="W111" i="4"/>
  <c r="W76" i="4"/>
  <c r="W94" i="4"/>
  <c r="W103" i="4"/>
  <c r="W69" i="4"/>
  <c r="H99" i="4"/>
  <c r="M58" i="4"/>
  <c r="AB58" i="4"/>
  <c r="H40" i="47"/>
  <c r="D73" i="382"/>
  <c r="H46" i="47"/>
  <c r="D85" i="382"/>
  <c r="H34" i="47"/>
  <c r="D100" i="382"/>
  <c r="AB86" i="4"/>
  <c r="M56" i="4"/>
  <c r="Z75" i="381"/>
  <c r="V46" i="381"/>
  <c r="AP44" i="381"/>
  <c r="AB29" i="4"/>
  <c r="AB35" i="4"/>
  <c r="AT47" i="381"/>
  <c r="D52" i="382"/>
  <c r="R61" i="4"/>
  <c r="AB88" i="4"/>
  <c r="M86" i="4"/>
  <c r="AB61" i="4"/>
  <c r="AB90" i="4"/>
  <c r="M61" i="4"/>
  <c r="M90" i="4"/>
  <c r="AB69" i="4"/>
  <c r="AB56" i="4"/>
  <c r="BB293" i="381"/>
  <c r="M46" i="4"/>
  <c r="M69" i="4"/>
  <c r="W20" i="4"/>
  <c r="AB85" i="4"/>
  <c r="R86" i="4"/>
  <c r="R58" i="4"/>
  <c r="W64" i="4"/>
  <c r="M106" i="4"/>
  <c r="F175" i="381"/>
  <c r="W16" i="4"/>
  <c r="H69" i="4"/>
  <c r="H16" i="4"/>
  <c r="BB200" i="381"/>
  <c r="AB42" i="4"/>
  <c r="E85" i="47"/>
  <c r="W15" i="4"/>
  <c r="AP48" i="381"/>
  <c r="R88" i="4"/>
  <c r="R94" i="4"/>
  <c r="M32" i="4"/>
  <c r="D55" i="382"/>
  <c r="R90" i="4"/>
  <c r="C77" i="435"/>
  <c r="D58" i="382"/>
  <c r="AB111" i="4"/>
  <c r="D61" i="382"/>
  <c r="M107" i="4"/>
  <c r="M111" i="4"/>
  <c r="R46" i="4"/>
  <c r="R65" i="4"/>
  <c r="R69" i="4"/>
  <c r="R107" i="4"/>
  <c r="R111" i="4"/>
  <c r="AB46" i="4"/>
  <c r="AB32" i="4"/>
  <c r="AG49" i="381" l="1"/>
  <c r="AX114" i="381" s="1"/>
  <c r="AG46" i="381"/>
  <c r="AH47" i="381" s="1"/>
  <c r="AG44" i="381"/>
  <c r="AG42" i="381"/>
  <c r="U49" i="381"/>
  <c r="M45" i="381"/>
  <c r="V224" i="381" s="1"/>
  <c r="AS36" i="381"/>
  <c r="AP35" i="381"/>
  <c r="AK36" i="381"/>
  <c r="AG36" i="381"/>
  <c r="AG33" i="381"/>
  <c r="AH34" i="381" s="1"/>
  <c r="AG30" i="381"/>
  <c r="U36" i="381"/>
  <c r="M36" i="381"/>
  <c r="V35" i="381" s="1"/>
  <c r="M33" i="381"/>
  <c r="R247" i="381" s="1"/>
  <c r="M30" i="381"/>
  <c r="N32" i="381" s="1"/>
  <c r="E36" i="381"/>
  <c r="AS24" i="381"/>
  <c r="AK24" i="381"/>
  <c r="U24" i="381"/>
  <c r="E24" i="381"/>
  <c r="AS17" i="381"/>
  <c r="AK17" i="381"/>
  <c r="U17" i="381"/>
  <c r="U8" i="381"/>
  <c r="E8" i="381"/>
  <c r="AP42" i="381" l="1"/>
  <c r="F34" i="381"/>
  <c r="AD167" i="381"/>
  <c r="N169" i="381"/>
  <c r="N122" i="381"/>
  <c r="Z241" i="381"/>
  <c r="Z228" i="381"/>
  <c r="Z226" i="381"/>
  <c r="Z239" i="381"/>
  <c r="Z160" i="381"/>
  <c r="Z91" i="381"/>
  <c r="Z158" i="381"/>
  <c r="Z89" i="381"/>
  <c r="Z104" i="381"/>
  <c r="Z102" i="381"/>
  <c r="AL173" i="381"/>
  <c r="AH172" i="381"/>
  <c r="J133" i="381"/>
  <c r="R196" i="381"/>
  <c r="R123" i="381"/>
  <c r="AD162" i="381"/>
  <c r="AL148" i="381"/>
  <c r="AP134" i="381"/>
  <c r="AL134" i="381"/>
  <c r="AP171" i="381"/>
  <c r="AH135" i="381"/>
  <c r="R143" i="381"/>
  <c r="R87" i="381"/>
  <c r="N186" i="381"/>
  <c r="R131" i="381"/>
  <c r="R140" i="381"/>
  <c r="N115" i="381"/>
  <c r="N163" i="381"/>
  <c r="N132" i="381"/>
  <c r="J35" i="381"/>
  <c r="J32" i="381"/>
  <c r="AX278" i="381"/>
  <c r="AL196" i="381"/>
  <c r="AL277" i="381"/>
  <c r="AT198" i="381"/>
  <c r="AT196" i="381"/>
  <c r="R73" i="381"/>
  <c r="Z284" i="381"/>
  <c r="AL198" i="381"/>
  <c r="Z282" i="381"/>
  <c r="AD279" i="381"/>
  <c r="AD173" i="381"/>
  <c r="Z120" i="381"/>
  <c r="R283" i="381"/>
  <c r="R257" i="381"/>
  <c r="R78" i="381"/>
  <c r="AT80" i="381"/>
  <c r="R237" i="381"/>
  <c r="N47" i="381"/>
  <c r="V48" i="381"/>
  <c r="AL34" i="381"/>
  <c r="N48" i="381"/>
  <c r="AP45" i="381"/>
  <c r="AL47" i="381"/>
  <c r="AL35" i="381"/>
  <c r="V34" i="381"/>
  <c r="R235" i="381"/>
  <c r="AL279" i="381"/>
  <c r="AX300" i="381"/>
  <c r="V277" i="381"/>
  <c r="BB337" i="381"/>
  <c r="R231" i="381"/>
  <c r="AP31" i="381"/>
  <c r="N35" i="381"/>
  <c r="AP32" i="381"/>
  <c r="AT35" i="381"/>
  <c r="AT48" i="381"/>
  <c r="AT34" i="381"/>
  <c r="AH35" i="381"/>
  <c r="AL48" i="381"/>
  <c r="AH48" i="381"/>
  <c r="L646" i="3"/>
  <c r="L639" i="3"/>
  <c r="L628" i="3"/>
  <c r="L613" i="3"/>
  <c r="M633" i="3" s="1"/>
  <c r="Q590" i="3"/>
  <c r="R80" i="381" s="1"/>
  <c r="H590" i="3"/>
  <c r="I588" i="3" s="1"/>
  <c r="D590" i="3"/>
  <c r="E588" i="3" s="1"/>
  <c r="M588" i="3"/>
  <c r="M586" i="3"/>
  <c r="M583" i="3"/>
  <c r="M568" i="3"/>
  <c r="M565" i="3"/>
  <c r="M562" i="3"/>
  <c r="M556" i="3"/>
  <c r="M553" i="3"/>
  <c r="M550" i="3"/>
  <c r="M538" i="3"/>
  <c r="M630" i="3" l="1"/>
  <c r="M624" i="3"/>
  <c r="M626" i="3"/>
  <c r="AT94" i="381"/>
  <c r="R141" i="381"/>
  <c r="J131" i="381"/>
  <c r="R142" i="381"/>
  <c r="AT82" i="381"/>
  <c r="AX93" i="381"/>
  <c r="Q122" i="375"/>
  <c r="Z77" i="381"/>
  <c r="Z146" i="381"/>
  <c r="N29" i="381"/>
  <c r="AP46" i="381"/>
  <c r="Z264" i="381"/>
  <c r="Z256" i="381"/>
  <c r="Z132" i="381"/>
  <c r="Z140" i="381"/>
  <c r="AH45" i="381"/>
  <c r="M645" i="3"/>
  <c r="Z83" i="381"/>
  <c r="Z276" i="381"/>
  <c r="Z152" i="381"/>
  <c r="AH32" i="381"/>
  <c r="R303" i="381"/>
  <c r="R265" i="381"/>
  <c r="R295" i="381"/>
  <c r="R273" i="381"/>
  <c r="M631" i="3"/>
  <c r="V246" i="381"/>
  <c r="V238" i="381"/>
  <c r="AP29" i="381"/>
  <c r="R586" i="3"/>
  <c r="R42" i="4"/>
  <c r="N44" i="381"/>
  <c r="AH43" i="381"/>
  <c r="F146" i="375"/>
  <c r="R43" i="4"/>
  <c r="R588" i="3"/>
  <c r="R585" i="3"/>
  <c r="B599" i="3"/>
  <c r="M609" i="3"/>
  <c r="M634" i="3"/>
  <c r="E586" i="3"/>
  <c r="M636" i="3"/>
  <c r="M42" i="4"/>
  <c r="AP33" i="381"/>
  <c r="I586" i="3"/>
  <c r="J69" i="7"/>
  <c r="M611" i="3"/>
  <c r="C67" i="474"/>
  <c r="H79" i="442" l="1"/>
  <c r="B67" i="463" l="1"/>
  <c r="B68" i="463"/>
  <c r="B69" i="463"/>
  <c r="B70" i="463"/>
  <c r="B71" i="463"/>
  <c r="B72" i="463"/>
  <c r="B73" i="463"/>
  <c r="B74" i="463"/>
  <c r="B75" i="463"/>
  <c r="B76" i="463"/>
  <c r="B77" i="463"/>
  <c r="B78" i="463"/>
  <c r="B79" i="463"/>
  <c r="B80" i="463"/>
  <c r="B81" i="463"/>
  <c r="B82" i="463"/>
  <c r="B83" i="463"/>
  <c r="B84" i="463"/>
  <c r="B85" i="463"/>
  <c r="B86" i="463"/>
  <c r="B87" i="463"/>
  <c r="B88" i="463"/>
  <c r="B89" i="463"/>
  <c r="B90" i="463"/>
  <c r="B91" i="463"/>
  <c r="B92" i="463"/>
  <c r="B93" i="463"/>
  <c r="B94" i="463"/>
  <c r="B95" i="463"/>
  <c r="B96" i="463"/>
  <c r="B97" i="463"/>
  <c r="B98" i="463"/>
  <c r="B99" i="463"/>
  <c r="B100" i="463"/>
  <c r="B101" i="463"/>
  <c r="B102" i="463"/>
  <c r="B103" i="463"/>
  <c r="B105" i="463"/>
  <c r="B107" i="463"/>
  <c r="B108" i="463"/>
  <c r="B109" i="463"/>
  <c r="B110" i="463"/>
  <c r="B111" i="463"/>
  <c r="B112" i="463"/>
  <c r="B113" i="463"/>
  <c r="B114" i="463"/>
  <c r="B115" i="463"/>
  <c r="B116" i="463"/>
  <c r="B117" i="463"/>
  <c r="B118" i="463"/>
  <c r="B119" i="463"/>
  <c r="B120" i="463"/>
  <c r="B121" i="463"/>
  <c r="Z34" i="473" s="1"/>
  <c r="B124" i="463"/>
  <c r="D108" i="424" s="1"/>
  <c r="B125" i="463"/>
  <c r="B14" i="463"/>
  <c r="B15" i="463"/>
  <c r="B16" i="463"/>
  <c r="B17" i="463"/>
  <c r="B18" i="463"/>
  <c r="B19" i="463"/>
  <c r="B20" i="463"/>
  <c r="B21" i="463"/>
  <c r="B22" i="463"/>
  <c r="B23" i="463"/>
  <c r="B24" i="463"/>
  <c r="B25" i="463"/>
  <c r="B26" i="463"/>
  <c r="B27" i="463"/>
  <c r="B28" i="463"/>
  <c r="B29" i="463"/>
  <c r="B31" i="463"/>
  <c r="T16" i="473" l="1"/>
  <c r="T15" i="473"/>
  <c r="Z6" i="473"/>
  <c r="Z4" i="473"/>
  <c r="W22" i="473"/>
  <c r="B114" i="468"/>
  <c r="B115" i="468"/>
  <c r="B116" i="468"/>
  <c r="B117" i="468"/>
  <c r="B118" i="468"/>
  <c r="B119" i="468"/>
  <c r="B120" i="468"/>
  <c r="B121" i="468"/>
  <c r="B122" i="468"/>
  <c r="B123" i="468"/>
  <c r="B124" i="468"/>
  <c r="B125" i="468"/>
  <c r="B126" i="468"/>
  <c r="B127" i="468"/>
  <c r="B128" i="468"/>
  <c r="B129" i="468"/>
  <c r="B130" i="468"/>
  <c r="B131" i="468"/>
  <c r="B132" i="468"/>
  <c r="B99" i="466"/>
  <c r="AX7" i="473" s="1"/>
  <c r="B100" i="466"/>
  <c r="AX8" i="473" s="1"/>
  <c r="B101" i="466"/>
  <c r="B102" i="466"/>
  <c r="B103" i="466"/>
  <c r="B104" i="466"/>
  <c r="B105" i="466"/>
  <c r="B106" i="466"/>
  <c r="B107" i="466"/>
  <c r="B109" i="466"/>
  <c r="AR47" i="473"/>
  <c r="AR48" i="473"/>
  <c r="B7" i="465"/>
  <c r="B8" i="465"/>
  <c r="B9" i="465"/>
  <c r="B10" i="465"/>
  <c r="B11" i="465"/>
  <c r="B12" i="465"/>
  <c r="B13" i="465"/>
  <c r="B14" i="465"/>
  <c r="E78" i="491" l="1"/>
  <c r="H8" i="435" s="1"/>
  <c r="E30" i="491"/>
  <c r="E21" i="491"/>
  <c r="B74" i="464" l="1"/>
  <c r="B76" i="464"/>
  <c r="AD120" i="424" s="1"/>
  <c r="B77" i="464"/>
  <c r="B78" i="464"/>
  <c r="B79" i="464"/>
  <c r="B80" i="464"/>
  <c r="B81" i="464"/>
  <c r="B82" i="464"/>
  <c r="B83" i="464"/>
  <c r="B84" i="464"/>
  <c r="B85" i="464"/>
  <c r="B86" i="464"/>
  <c r="B87" i="464"/>
  <c r="B88" i="464"/>
  <c r="B89" i="464"/>
  <c r="B90" i="464"/>
  <c r="AE120" i="424"/>
  <c r="O120" i="424" l="1"/>
  <c r="B96" i="466" l="1"/>
  <c r="B4" i="466"/>
  <c r="B5" i="466"/>
  <c r="B6" i="466"/>
  <c r="B7" i="466"/>
  <c r="B8" i="466"/>
  <c r="B9" i="466"/>
  <c r="B10" i="466"/>
  <c r="B11" i="466"/>
  <c r="B12" i="466"/>
  <c r="B13" i="466"/>
  <c r="B14" i="466"/>
  <c r="B15" i="466"/>
  <c r="B16" i="466"/>
  <c r="B17" i="466"/>
  <c r="D144" i="424" s="1"/>
  <c r="B20" i="466"/>
  <c r="B21" i="466"/>
  <c r="B22" i="466"/>
  <c r="B23" i="466"/>
  <c r="B24" i="466"/>
  <c r="B25" i="466"/>
  <c r="B26" i="466"/>
  <c r="B27" i="466"/>
  <c r="AU29" i="473" s="1"/>
  <c r="B28" i="466"/>
  <c r="B29" i="466"/>
  <c r="B30" i="466"/>
  <c r="B31" i="466"/>
  <c r="B32" i="466"/>
  <c r="B33" i="466"/>
  <c r="B34" i="466"/>
  <c r="B35" i="466"/>
  <c r="B36" i="466"/>
  <c r="B37" i="466"/>
  <c r="B38" i="466"/>
  <c r="B39" i="466"/>
  <c r="B40" i="466"/>
  <c r="B41" i="466"/>
  <c r="B42" i="466"/>
  <c r="B43" i="466"/>
  <c r="B44" i="466"/>
  <c r="B45" i="466"/>
  <c r="B46" i="466"/>
  <c r="B47" i="466"/>
  <c r="B48" i="466"/>
  <c r="B49" i="466"/>
  <c r="B50" i="466"/>
  <c r="G144" i="424" s="1"/>
  <c r="B69" i="466"/>
  <c r="B70" i="466"/>
  <c r="B71" i="466"/>
  <c r="B72" i="466"/>
  <c r="B73" i="466"/>
  <c r="B74" i="466"/>
  <c r="B75" i="466"/>
  <c r="B98" i="466"/>
  <c r="I8" i="435" l="1"/>
  <c r="D156" i="489" l="1"/>
  <c r="I126" i="9" l="1"/>
  <c r="S79" i="48"/>
  <c r="R33" i="48" l="1"/>
  <c r="R96" i="48"/>
  <c r="R85" i="48"/>
  <c r="R59" i="48"/>
  <c r="H96" i="48"/>
  <c r="H89" i="48"/>
  <c r="H92" i="48"/>
  <c r="H85" i="48" l="1"/>
  <c r="H79" i="48"/>
  <c r="H76" i="48"/>
  <c r="H72" i="48"/>
  <c r="C65" i="48"/>
  <c r="N95" i="48" l="1"/>
  <c r="C71" i="435"/>
  <c r="I113" i="454" l="1"/>
  <c r="B103" i="457" l="1"/>
  <c r="L88" i="424" s="1"/>
  <c r="B104" i="457"/>
  <c r="K38" i="473"/>
  <c r="B96" i="457"/>
  <c r="K28" i="473" s="1"/>
  <c r="B97" i="457"/>
  <c r="K29" i="473" s="1"/>
  <c r="B98" i="457"/>
  <c r="B99" i="457"/>
  <c r="B100" i="457"/>
  <c r="B101" i="457"/>
  <c r="B102" i="457"/>
  <c r="K88" i="424" s="1"/>
  <c r="L85" i="424"/>
  <c r="H82" i="442"/>
  <c r="K79" i="442"/>
  <c r="C20" i="445"/>
  <c r="G85" i="424" s="1"/>
  <c r="D20" i="445"/>
  <c r="C17" i="445"/>
  <c r="F85" i="424" s="1"/>
  <c r="J79" i="442"/>
  <c r="G82" i="442"/>
  <c r="J82" i="442"/>
  <c r="J85" i="442"/>
  <c r="G79" i="442"/>
  <c r="K78" i="442" s="1"/>
  <c r="K81" i="442" l="1"/>
  <c r="H81" i="442"/>
  <c r="H78" i="442"/>
  <c r="K84" i="442"/>
  <c r="G88" i="424"/>
  <c r="F88" i="424"/>
  <c r="K82" i="442"/>
  <c r="K85" i="442" s="1"/>
  <c r="F69" i="375" l="1"/>
  <c r="F68" i="375"/>
  <c r="F59" i="375"/>
  <c r="F60" i="375"/>
  <c r="I47" i="435" l="1"/>
  <c r="I43" i="435"/>
  <c r="J185" i="489" l="1"/>
  <c r="J185" i="49"/>
  <c r="J181" i="489"/>
  <c r="J181" i="49"/>
  <c r="I44" i="453"/>
  <c r="R25" i="48"/>
  <c r="H25" i="48"/>
  <c r="H50" i="435" l="1"/>
  <c r="M35" i="454"/>
  <c r="M127" i="7"/>
  <c r="J40" i="453"/>
  <c r="AE117" i="424"/>
  <c r="AL68" i="473"/>
  <c r="S120" i="424"/>
  <c r="AO18" i="473"/>
  <c r="AO29" i="473"/>
  <c r="B110" i="464"/>
  <c r="B111" i="464"/>
  <c r="B112" i="464"/>
  <c r="B113" i="464"/>
  <c r="B117" i="464"/>
  <c r="B118" i="464"/>
  <c r="B119" i="464"/>
  <c r="AC120" i="424" s="1"/>
  <c r="AL58" i="473"/>
  <c r="AO20" i="473"/>
  <c r="AL56" i="473"/>
  <c r="W144" i="424"/>
  <c r="U144" i="424"/>
  <c r="AG144" i="424"/>
  <c r="T120" i="424" l="1"/>
  <c r="AX4" i="473"/>
  <c r="K50" i="491" l="1"/>
  <c r="K45" i="491"/>
  <c r="K84" i="491"/>
  <c r="J77" i="7" s="1"/>
  <c r="K81" i="491"/>
  <c r="H75" i="491"/>
  <c r="H72" i="491"/>
  <c r="H69" i="491"/>
  <c r="W141" i="424" l="1"/>
  <c r="L83" i="491"/>
  <c r="L418" i="3" l="1"/>
  <c r="H413" i="3"/>
  <c r="D408" i="3"/>
  <c r="M417" i="3" s="1"/>
  <c r="AD45" i="492"/>
  <c r="X45" i="492"/>
  <c r="L45" i="492"/>
  <c r="M103" i="7" l="1"/>
  <c r="Z170" i="381"/>
  <c r="F336" i="381"/>
  <c r="F48" i="375"/>
  <c r="F334" i="381"/>
  <c r="F13" i="381"/>
  <c r="K40" i="47"/>
  <c r="H79" i="382"/>
  <c r="R315" i="381"/>
  <c r="H156" i="382"/>
  <c r="R311" i="381"/>
  <c r="K46" i="47"/>
  <c r="M74" i="7"/>
  <c r="M109" i="7"/>
  <c r="H73" i="382"/>
  <c r="H10" i="382"/>
  <c r="Z235" i="381"/>
  <c r="Z177" i="381"/>
  <c r="Z248" i="381"/>
  <c r="Z291" i="381"/>
  <c r="Z111" i="381"/>
  <c r="Z98" i="381"/>
  <c r="AX90" i="381"/>
  <c r="Z179" i="381"/>
  <c r="K34" i="47"/>
  <c r="K64" i="442"/>
  <c r="H85" i="382"/>
  <c r="G172" i="7"/>
  <c r="M37" i="492"/>
  <c r="F15" i="381"/>
  <c r="AE37" i="492"/>
  <c r="AE40" i="492"/>
  <c r="M40" i="492"/>
  <c r="Y37" i="492"/>
  <c r="Y42" i="492"/>
  <c r="AE42" i="492"/>
  <c r="M42" i="492"/>
  <c r="Y40" i="492"/>
  <c r="X33" i="492" l="1"/>
  <c r="W86" i="4" s="1"/>
  <c r="L33" i="492"/>
  <c r="D21" i="492"/>
  <c r="K61" i="441" l="1"/>
  <c r="F57" i="441"/>
  <c r="F35" i="441"/>
  <c r="K15" i="441"/>
  <c r="K12" i="441"/>
  <c r="K83" i="441"/>
  <c r="K80" i="441"/>
  <c r="F8" i="441"/>
  <c r="F79" i="441"/>
  <c r="F76" i="441"/>
  <c r="K64" i="441"/>
  <c r="F60" i="441"/>
  <c r="K38" i="441"/>
  <c r="K35" i="441"/>
  <c r="F32" i="441"/>
  <c r="F11" i="441"/>
  <c r="R138" i="381"/>
  <c r="AD161" i="381"/>
  <c r="AB28" i="492"/>
  <c r="R122" i="381"/>
  <c r="Z166" i="381"/>
  <c r="Z93" i="381"/>
  <c r="Z289" i="381"/>
  <c r="Z246" i="381"/>
  <c r="Z243" i="381"/>
  <c r="Z109" i="381"/>
  <c r="Z230" i="381"/>
  <c r="Z233" i="381"/>
  <c r="Z162" i="381"/>
  <c r="Z106" i="381"/>
  <c r="Z96" i="381"/>
  <c r="W99" i="4"/>
  <c r="Q28" i="492"/>
  <c r="M31" i="492"/>
  <c r="Z124" i="381"/>
  <c r="Z286" i="381"/>
  <c r="M36" i="492"/>
  <c r="R287" i="381"/>
  <c r="R261" i="381"/>
  <c r="M39" i="492"/>
  <c r="Y36" i="492"/>
  <c r="AE36" i="492"/>
  <c r="E49" i="442"/>
  <c r="Y29" i="492"/>
  <c r="E15" i="492"/>
  <c r="E12" i="492"/>
  <c r="H188" i="442"/>
  <c r="M29" i="492"/>
  <c r="T32" i="492"/>
  <c r="AE28" i="492"/>
  <c r="I28" i="492"/>
  <c r="E17" i="492"/>
  <c r="Y28" i="492"/>
  <c r="Y31" i="492"/>
  <c r="H86" i="4"/>
  <c r="B10" i="492"/>
  <c r="Y39" i="492"/>
  <c r="B12" i="492"/>
  <c r="AE39" i="492"/>
  <c r="M28" i="492"/>
  <c r="G7" i="488" l="1"/>
  <c r="D35" i="488"/>
  <c r="H179" i="426" l="1"/>
  <c r="C20" i="470" l="1"/>
  <c r="C17" i="470"/>
  <c r="K91" i="47" l="1"/>
  <c r="H91" i="47"/>
  <c r="H88" i="47"/>
  <c r="H82" i="47"/>
  <c r="E88" i="47"/>
  <c r="E92" i="47"/>
  <c r="E83" i="47"/>
  <c r="L40" i="488" l="1"/>
  <c r="L37" i="488"/>
  <c r="L34" i="488"/>
  <c r="L32" i="488"/>
  <c r="L31" i="488"/>
  <c r="L11" i="488"/>
  <c r="L7" i="488"/>
  <c r="L5" i="488"/>
  <c r="L8" i="488" s="1"/>
  <c r="L4" i="488"/>
  <c r="L20" i="488" l="1"/>
  <c r="L23" i="488" s="1"/>
  <c r="L14" i="488"/>
  <c r="L17" i="488" s="1"/>
  <c r="L26" i="488" l="1"/>
  <c r="L29" i="488" s="1"/>
  <c r="L35" i="488" s="1"/>
  <c r="L38" i="488" l="1"/>
  <c r="L41" i="488" s="1"/>
  <c r="G8" i="488" s="1"/>
  <c r="O22" i="488"/>
  <c r="O21" i="488"/>
  <c r="K40" i="102" l="1"/>
  <c r="L57" i="491" s="1"/>
  <c r="Y152" i="424" l="1"/>
  <c r="BA28" i="473"/>
  <c r="J35" i="83"/>
  <c r="F29" i="491" s="1"/>
  <c r="G35" i="83"/>
  <c r="J23" i="83"/>
  <c r="F20" i="491" s="1"/>
  <c r="G23" i="83"/>
  <c r="Y144" i="424"/>
  <c r="O5" i="95"/>
  <c r="F38" i="491" s="1"/>
  <c r="K5" i="95"/>
  <c r="Y141" i="424" s="1"/>
  <c r="Z141" i="424" l="1"/>
  <c r="C32" i="491"/>
  <c r="L32" i="491"/>
  <c r="C23" i="491"/>
  <c r="L24" i="491"/>
  <c r="L45" i="491"/>
  <c r="Z144" i="424"/>
  <c r="AX22" i="473"/>
  <c r="K58" i="491" l="1"/>
  <c r="H42" i="491"/>
  <c r="E39" i="491"/>
  <c r="K34" i="491"/>
  <c r="L44" i="491" l="1"/>
  <c r="H3" i="489"/>
  <c r="I4" i="49"/>
  <c r="E13" i="470" l="1"/>
  <c r="H10" i="435" l="1"/>
  <c r="L85" i="491" l="1"/>
  <c r="H9" i="435"/>
  <c r="H66" i="491"/>
  <c r="H14" i="491"/>
  <c r="K17" i="491"/>
  <c r="K26" i="491"/>
  <c r="H63" i="491"/>
  <c r="I137" i="424"/>
  <c r="G25" i="92"/>
  <c r="E11" i="491"/>
  <c r="F77" i="491" s="1"/>
  <c r="L80" i="491" l="1"/>
  <c r="B5" i="491"/>
  <c r="B4" i="491"/>
  <c r="F10" i="491"/>
  <c r="L16" i="491"/>
  <c r="I74" i="491"/>
  <c r="B76" i="47" l="1"/>
  <c r="I48" i="9" l="1"/>
  <c r="S85" i="48" l="1"/>
  <c r="N34" i="48" l="1"/>
  <c r="M419" i="3"/>
  <c r="M485" i="3"/>
  <c r="F47" i="452" l="1"/>
  <c r="F65" i="6" l="1"/>
  <c r="S84" i="48" s="1"/>
  <c r="I85" i="48"/>
  <c r="I79" i="48" l="1"/>
  <c r="I76" i="48"/>
  <c r="I119" i="454" l="1"/>
  <c r="C26" i="426" s="1"/>
  <c r="H6" i="435" l="1"/>
  <c r="H7" i="435"/>
  <c r="BJ30" i="473"/>
  <c r="BJ25" i="473"/>
  <c r="S128" i="391" l="1"/>
  <c r="AA125" i="391"/>
  <c r="H95" i="435" s="1"/>
  <c r="S125" i="391"/>
  <c r="AA122" i="391"/>
  <c r="H93" i="435" s="1"/>
  <c r="S122" i="391"/>
  <c r="S119" i="391"/>
  <c r="S116" i="391"/>
  <c r="S113" i="391"/>
  <c r="S110" i="391"/>
  <c r="C110" i="391"/>
  <c r="S107" i="391"/>
  <c r="C107" i="391"/>
  <c r="S100" i="391"/>
  <c r="C100" i="391"/>
  <c r="C98" i="391" s="1"/>
  <c r="C93" i="391"/>
  <c r="H92" i="435" l="1"/>
  <c r="H94" i="435"/>
  <c r="T115" i="391"/>
  <c r="K168" i="424"/>
  <c r="L168" i="424"/>
  <c r="M168" i="424"/>
  <c r="N168" i="424"/>
  <c r="B73" i="464" l="1"/>
  <c r="J47" i="6"/>
  <c r="J50" i="6"/>
  <c r="N120" i="424" l="1"/>
  <c r="G35" i="382" l="1"/>
  <c r="C35" i="382"/>
  <c r="H34" i="382" s="1"/>
  <c r="G53" i="382"/>
  <c r="C53" i="382"/>
  <c r="L22" i="9" l="1"/>
  <c r="C196" i="426" l="1"/>
  <c r="C195" i="426"/>
  <c r="O168" i="424" l="1"/>
  <c r="Q168" i="424"/>
  <c r="R168" i="424"/>
  <c r="T168" i="424"/>
  <c r="U168" i="424"/>
  <c r="V168" i="424"/>
  <c r="W168" i="424"/>
  <c r="X168" i="424"/>
  <c r="Y168" i="424"/>
  <c r="Z168" i="424"/>
  <c r="AA168" i="424"/>
  <c r="AB168" i="424"/>
  <c r="J162" i="442" l="1"/>
  <c r="J158" i="442"/>
  <c r="J155" i="442"/>
  <c r="J152" i="442"/>
  <c r="G149" i="442"/>
  <c r="K109" i="392"/>
  <c r="K151" i="442" l="1"/>
  <c r="K154" i="442"/>
  <c r="H38" i="435"/>
  <c r="J169" i="7"/>
  <c r="H18" i="435"/>
  <c r="M100" i="7"/>
  <c r="K161" i="442"/>
  <c r="K157" i="442"/>
  <c r="G87" i="9"/>
  <c r="B1" i="9"/>
  <c r="G43" i="362" l="1"/>
  <c r="L101" i="375" l="1"/>
  <c r="C122" i="9"/>
  <c r="Q258" i="375" l="1"/>
  <c r="Q99" i="375"/>
  <c r="B291" i="375"/>
  <c r="F185" i="375"/>
  <c r="Q93" i="375"/>
  <c r="L40" i="9"/>
  <c r="L37" i="9"/>
  <c r="G60" i="6" l="1"/>
  <c r="S25" i="48"/>
  <c r="I90" i="6"/>
  <c r="I86" i="6"/>
  <c r="H82" i="435" s="1"/>
  <c r="I83" i="6"/>
  <c r="H81" i="435" s="1"/>
  <c r="I80" i="6"/>
  <c r="S52" i="48" s="1"/>
  <c r="I76" i="6"/>
  <c r="S46" i="48" s="1"/>
  <c r="I73" i="6"/>
  <c r="H79" i="435" s="1"/>
  <c r="I70" i="6"/>
  <c r="F67" i="6"/>
  <c r="F64" i="6"/>
  <c r="F63" i="6"/>
  <c r="F61" i="6"/>
  <c r="S24" i="48" s="1"/>
  <c r="S22" i="48" l="1"/>
  <c r="J89" i="6"/>
  <c r="H78" i="435"/>
  <c r="H80" i="435"/>
  <c r="J22" i="376"/>
  <c r="G15" i="376" l="1"/>
  <c r="N36" i="9"/>
  <c r="L8" i="9" l="1"/>
  <c r="L511" i="3" l="1"/>
  <c r="L508" i="3"/>
  <c r="D508" i="3"/>
  <c r="G135" i="382" l="1"/>
  <c r="G124" i="382"/>
  <c r="G134" i="382"/>
  <c r="G123" i="382"/>
  <c r="M577" i="3"/>
  <c r="R81" i="381"/>
  <c r="Z270" i="381"/>
  <c r="I585" i="3"/>
  <c r="V222" i="381"/>
  <c r="R573" i="3"/>
  <c r="M559" i="3"/>
  <c r="M547" i="3"/>
  <c r="M623" i="3"/>
  <c r="M608" i="3"/>
  <c r="E585" i="3"/>
  <c r="R233" i="381"/>
  <c r="C67" i="391"/>
  <c r="W64" i="391"/>
  <c r="S64" i="391"/>
  <c r="G45" i="132" l="1"/>
  <c r="C45" i="132"/>
  <c r="C34" i="426"/>
  <c r="C13" i="132"/>
  <c r="B246" i="376" l="1"/>
  <c r="K216" i="376"/>
  <c r="K213" i="376"/>
  <c r="B266" i="376"/>
  <c r="K231" i="376"/>
  <c r="C33" i="424"/>
  <c r="K210" i="376"/>
  <c r="B86" i="391"/>
  <c r="C64" i="391"/>
  <c r="W38" i="391" l="1"/>
  <c r="C47" i="391"/>
  <c r="D66" i="391" s="1"/>
  <c r="C58" i="391"/>
  <c r="C54" i="391"/>
  <c r="H63" i="391" l="1"/>
  <c r="T63" i="391"/>
  <c r="D64" i="391"/>
  <c r="AB149" i="391" l="1"/>
  <c r="I106" i="435" l="1"/>
  <c r="AA174" i="391"/>
  <c r="L265" i="489" l="1"/>
  <c r="L267" i="489"/>
  <c r="I265" i="489"/>
  <c r="I265" i="49"/>
  <c r="L267" i="49"/>
  <c r="L265" i="49"/>
  <c r="E161" i="2"/>
  <c r="I24" i="48" s="1"/>
  <c r="E160" i="2"/>
  <c r="I21" i="48" s="1"/>
  <c r="E159" i="2"/>
  <c r="I155" i="2"/>
  <c r="E141" i="2"/>
  <c r="K26" i="9"/>
  <c r="F60" i="9" s="1"/>
  <c r="K18" i="9"/>
  <c r="K14" i="9"/>
  <c r="K11" i="9"/>
  <c r="L17" i="9" s="1"/>
  <c r="K8" i="9"/>
  <c r="K5" i="9"/>
  <c r="G128" i="382" l="1"/>
  <c r="B205" i="375"/>
  <c r="J162" i="2"/>
  <c r="AB159" i="391"/>
  <c r="AA171" i="391"/>
  <c r="AA177" i="391"/>
  <c r="AA159" i="391"/>
  <c r="AA149" i="391"/>
  <c r="AA146" i="391"/>
  <c r="AA143" i="391"/>
  <c r="S143" i="391"/>
  <c r="AB142" i="391" s="1"/>
  <c r="AA140" i="391"/>
  <c r="S140" i="391"/>
  <c r="AB139" i="391" s="1"/>
  <c r="C105" i="391"/>
  <c r="AA88" i="391"/>
  <c r="W83" i="391"/>
  <c r="AB87" i="391" s="1"/>
  <c r="S83" i="391"/>
  <c r="T139" i="391" s="1"/>
  <c r="C83" i="391"/>
  <c r="H104" i="435" s="1"/>
  <c r="W80" i="391"/>
  <c r="S80" i="391"/>
  <c r="C80" i="391"/>
  <c r="D82" i="391" s="1"/>
  <c r="S73" i="391"/>
  <c r="S70" i="391"/>
  <c r="W67" i="391"/>
  <c r="S67" i="391"/>
  <c r="C61" i="391"/>
  <c r="D63" i="391" s="1"/>
  <c r="P8" i="450"/>
  <c r="AC153" i="424" s="1"/>
  <c r="H105" i="435" l="1"/>
  <c r="H106" i="435"/>
  <c r="AB164" i="391"/>
  <c r="H100" i="435"/>
  <c r="I109" i="435"/>
  <c r="L270" i="489" s="1"/>
  <c r="H103" i="435"/>
  <c r="H101" i="435"/>
  <c r="H102" i="435"/>
  <c r="H79" i="391"/>
  <c r="T79" i="391"/>
  <c r="AB180" i="391"/>
  <c r="H112" i="435"/>
  <c r="AB154" i="391"/>
  <c r="AB176" i="391"/>
  <c r="H109" i="435"/>
  <c r="T82" i="391"/>
  <c r="H86" i="435"/>
  <c r="T118" i="391"/>
  <c r="I112" i="435"/>
  <c r="H87" i="435"/>
  <c r="X82" i="391"/>
  <c r="W47" i="391"/>
  <c r="X66" i="391" s="1"/>
  <c r="S47" i="391"/>
  <c r="K47" i="391"/>
  <c r="S38" i="391"/>
  <c r="K38" i="391"/>
  <c r="C38" i="391"/>
  <c r="W17" i="391"/>
  <c r="S17" i="391"/>
  <c r="K17" i="391"/>
  <c r="C17" i="391"/>
  <c r="L272" i="489" l="1"/>
  <c r="L271" i="489"/>
  <c r="E269" i="489"/>
  <c r="L270" i="49"/>
  <c r="I268" i="49"/>
  <c r="D269" i="49"/>
  <c r="T66" i="391"/>
  <c r="X63" i="391"/>
  <c r="I272" i="49"/>
  <c r="B195" i="391"/>
  <c r="B10" i="391"/>
  <c r="L271" i="49"/>
  <c r="L272" i="49"/>
  <c r="L66" i="391"/>
  <c r="P63" i="391"/>
  <c r="H64" i="391"/>
  <c r="H261" i="489"/>
  <c r="H260" i="489"/>
  <c r="H255" i="489"/>
  <c r="R119" i="48"/>
  <c r="D67" i="391" l="1"/>
  <c r="X64" i="391"/>
  <c r="X67" i="391" s="1"/>
  <c r="T64" i="391"/>
  <c r="M121" i="7"/>
  <c r="J21" i="454"/>
  <c r="H67" i="391" l="1"/>
  <c r="T67" i="391"/>
  <c r="T73" i="391" s="1"/>
  <c r="G52" i="450"/>
  <c r="Z153" i="424" s="1"/>
  <c r="C49" i="450"/>
  <c r="D52" i="450" s="1"/>
  <c r="C52" i="450"/>
  <c r="Y153" i="424" s="1"/>
  <c r="P4" i="450"/>
  <c r="D60" i="391" s="1"/>
  <c r="L4" i="450"/>
  <c r="AA153" i="424" s="1"/>
  <c r="X153" i="424" l="1"/>
  <c r="R10" i="3"/>
  <c r="E7" i="3"/>
  <c r="AB153" i="424"/>
  <c r="G46" i="450"/>
  <c r="W153" i="424" s="1"/>
  <c r="G39" i="450"/>
  <c r="S153" i="424" s="1"/>
  <c r="G32" i="450"/>
  <c r="O153" i="424" s="1"/>
  <c r="G10" i="450"/>
  <c r="F153" i="424" l="1"/>
  <c r="AB173" i="391"/>
  <c r="E153" i="424"/>
  <c r="D37" i="391"/>
  <c r="B70" i="468" l="1"/>
  <c r="B71" i="468"/>
  <c r="B73" i="468"/>
  <c r="B74" i="468"/>
  <c r="BD71" i="473" l="1"/>
  <c r="AD156" i="424"/>
  <c r="AG156" i="424"/>
  <c r="BD75" i="473"/>
  <c r="AE156" i="424"/>
  <c r="BD72" i="473"/>
  <c r="AF156" i="424"/>
  <c r="BD74" i="473"/>
  <c r="G13" i="92" l="1"/>
  <c r="E137" i="424" l="1"/>
  <c r="G36" i="450"/>
  <c r="R153" i="424" s="1"/>
  <c r="G26" i="450"/>
  <c r="C46" i="450"/>
  <c r="C10" i="450"/>
  <c r="D53" i="391" s="1"/>
  <c r="C43" i="450"/>
  <c r="C36" i="450"/>
  <c r="C26" i="450"/>
  <c r="C4" i="450"/>
  <c r="P18" i="450"/>
  <c r="AB151" i="391" s="1"/>
  <c r="L18" i="450"/>
  <c r="P15" i="450"/>
  <c r="X16" i="391" s="1"/>
  <c r="T16" i="391" l="1"/>
  <c r="B79" i="375"/>
  <c r="H16" i="391"/>
  <c r="T15" i="391"/>
  <c r="AG153" i="424"/>
  <c r="D153" i="424"/>
  <c r="N153" i="424"/>
  <c r="D56" i="391"/>
  <c r="AE153" i="424"/>
  <c r="AF153" i="424"/>
  <c r="V153" i="424"/>
  <c r="D57" i="391"/>
  <c r="X79" i="391"/>
  <c r="D28" i="451" l="1"/>
  <c r="I75" i="48" l="1"/>
  <c r="B6" i="458"/>
  <c r="B7" i="458"/>
  <c r="B8" i="458"/>
  <c r="B4" i="458"/>
  <c r="B12" i="458"/>
  <c r="B11" i="473" s="1"/>
  <c r="B4" i="473" l="1"/>
  <c r="C8" i="424"/>
  <c r="H178" i="426" l="1"/>
  <c r="H180" i="426" s="1"/>
  <c r="I109" i="489"/>
  <c r="I107" i="489"/>
  <c r="I105" i="489"/>
  <c r="D6" i="489"/>
  <c r="C5" i="489"/>
  <c r="C4" i="489"/>
  <c r="D3" i="489"/>
  <c r="C5" i="424" l="1"/>
  <c r="D45" i="424"/>
  <c r="C45" i="424"/>
  <c r="B45" i="424"/>
  <c r="B61" i="458"/>
  <c r="B35" i="473" l="1"/>
  <c r="C36" i="424"/>
  <c r="E49" i="451" l="1"/>
  <c r="D49" i="451"/>
  <c r="I91" i="48" s="1"/>
  <c r="D50" i="451"/>
  <c r="E50" i="451"/>
  <c r="D15" i="451"/>
  <c r="I92" i="48" l="1"/>
  <c r="I89" i="48"/>
  <c r="B60" i="468"/>
  <c r="BD61" i="473" s="1"/>
  <c r="B61" i="468"/>
  <c r="BD62" i="473" s="1"/>
  <c r="B62" i="468"/>
  <c r="B63" i="468"/>
  <c r="B64" i="468"/>
  <c r="B66" i="468"/>
  <c r="B67" i="468"/>
  <c r="B68" i="468"/>
  <c r="BD69" i="473" s="1"/>
  <c r="B69" i="468"/>
  <c r="AC156" i="424" l="1"/>
  <c r="BD70" i="473"/>
  <c r="AB156" i="424"/>
  <c r="BD68" i="473"/>
  <c r="Z156" i="424"/>
  <c r="BD65" i="473"/>
  <c r="X156" i="424"/>
  <c r="BD63" i="473"/>
  <c r="AA156" i="424"/>
  <c r="BD67" i="473"/>
  <c r="Y156" i="424"/>
  <c r="BD64" i="473"/>
  <c r="N13" i="394"/>
  <c r="N12" i="394"/>
  <c r="N11" i="394"/>
  <c r="N10" i="394"/>
  <c r="N9" i="394"/>
  <c r="N8" i="394"/>
  <c r="N7" i="394"/>
  <c r="N6" i="394"/>
  <c r="N5" i="394"/>
  <c r="N4" i="394"/>
  <c r="L13" i="394"/>
  <c r="L12" i="394"/>
  <c r="L11" i="394"/>
  <c r="L10" i="394"/>
  <c r="L9" i="394"/>
  <c r="L8" i="394"/>
  <c r="L7" i="394"/>
  <c r="L6" i="394"/>
  <c r="L5" i="394"/>
  <c r="L4" i="394"/>
  <c r="J13" i="394"/>
  <c r="J12" i="394"/>
  <c r="J11" i="394"/>
  <c r="J10" i="394"/>
  <c r="J9" i="394"/>
  <c r="J8" i="394"/>
  <c r="J7" i="394"/>
  <c r="J6" i="394"/>
  <c r="J5" i="394"/>
  <c r="J4" i="394"/>
  <c r="B38" i="473" l="1"/>
  <c r="E36" i="424" l="1"/>
  <c r="F46" i="452" l="1"/>
  <c r="E63" i="6" s="1"/>
  <c r="G56" i="48" l="1"/>
  <c r="K82" i="392" l="1"/>
  <c r="K79" i="392"/>
  <c r="K76" i="392"/>
  <c r="K59" i="392"/>
  <c r="K56" i="392"/>
  <c r="K50" i="392"/>
  <c r="D25" i="442"/>
  <c r="I107" i="49"/>
  <c r="I105" i="49"/>
  <c r="N68" i="392" l="1"/>
  <c r="H85" i="392"/>
  <c r="H88" i="392" l="1"/>
  <c r="K202" i="392" s="1"/>
  <c r="L14" i="9"/>
  <c r="G100" i="426"/>
  <c r="G112" i="426"/>
  <c r="I62" i="435" l="1"/>
  <c r="H41" i="394"/>
  <c r="H40" i="394"/>
  <c r="H39" i="394"/>
  <c r="H38" i="394"/>
  <c r="H37" i="394"/>
  <c r="H36" i="394"/>
  <c r="H35" i="394"/>
  <c r="H34" i="394"/>
  <c r="H33" i="394"/>
  <c r="L207" i="489" l="1"/>
  <c r="L208" i="489"/>
  <c r="D25" i="362"/>
  <c r="L207" i="49"/>
  <c r="L208" i="49"/>
  <c r="D191" i="426"/>
  <c r="D192" i="426"/>
  <c r="D195" i="426"/>
  <c r="D196" i="426"/>
  <c r="D198" i="426"/>
  <c r="C202" i="426" s="1"/>
  <c r="D199" i="426"/>
  <c r="D200" i="426"/>
  <c r="D202" i="426"/>
  <c r="D203" i="426"/>
  <c r="D204" i="426"/>
  <c r="D208" i="426"/>
  <c r="I87" i="9" s="1"/>
  <c r="C209" i="426"/>
  <c r="C210" i="426"/>
  <c r="C211" i="426"/>
  <c r="C212" i="426"/>
  <c r="C213" i="426"/>
  <c r="C214" i="426"/>
  <c r="C215" i="426"/>
  <c r="C216" i="426"/>
  <c r="C217" i="426"/>
  <c r="C218" i="426"/>
  <c r="C219" i="426"/>
  <c r="C220" i="426"/>
  <c r="C221" i="426"/>
  <c r="D224" i="426"/>
  <c r="H91" i="392" s="1"/>
  <c r="E165" i="426"/>
  <c r="DO6" i="464" s="1"/>
  <c r="E166" i="426"/>
  <c r="E167" i="426"/>
  <c r="H108" i="451"/>
  <c r="B171" i="468"/>
  <c r="H261" i="49"/>
  <c r="H260" i="49"/>
  <c r="E333" i="3"/>
  <c r="C22" i="442"/>
  <c r="C21" i="442"/>
  <c r="F37" i="452"/>
  <c r="G191" i="376"/>
  <c r="G188" i="376"/>
  <c r="G185" i="376"/>
  <c r="G182" i="376"/>
  <c r="G179" i="376"/>
  <c r="G173" i="376"/>
  <c r="D58" i="457"/>
  <c r="K48" i="395"/>
  <c r="K44" i="395"/>
  <c r="K40" i="395"/>
  <c r="K36" i="395"/>
  <c r="K32" i="395"/>
  <c r="K28" i="395"/>
  <c r="K24" i="395"/>
  <c r="K20" i="395"/>
  <c r="K16" i="395"/>
  <c r="K12" i="395"/>
  <c r="B58" i="468"/>
  <c r="BD59" i="473" s="1"/>
  <c r="B59" i="468"/>
  <c r="F129" i="2"/>
  <c r="F75" i="2"/>
  <c r="E132" i="2"/>
  <c r="E129" i="2"/>
  <c r="O21" i="95"/>
  <c r="F131" i="2" s="1"/>
  <c r="I326" i="3"/>
  <c r="D25" i="435" s="1"/>
  <c r="L40" i="489" s="1"/>
  <c r="F5" i="452"/>
  <c r="F126" i="2"/>
  <c r="F123" i="2"/>
  <c r="F100" i="2"/>
  <c r="I14" i="491" s="1"/>
  <c r="L17" i="491" s="1"/>
  <c r="L81" i="491" s="1"/>
  <c r="R145" i="3"/>
  <c r="F64" i="2"/>
  <c r="F60" i="2"/>
  <c r="F44" i="2"/>
  <c r="F40" i="2"/>
  <c r="H27" i="32"/>
  <c r="H24" i="32"/>
  <c r="H392" i="3"/>
  <c r="H395" i="3"/>
  <c r="H401" i="3"/>
  <c r="H435" i="3"/>
  <c r="H442" i="3"/>
  <c r="H440" i="3" s="1"/>
  <c r="H445" i="3"/>
  <c r="C37" i="435" s="1"/>
  <c r="L448" i="3"/>
  <c r="H473" i="3"/>
  <c r="L477" i="3"/>
  <c r="B593" i="3" s="1"/>
  <c r="H383" i="3"/>
  <c r="H379" i="3"/>
  <c r="C40" i="435" s="1"/>
  <c r="H360" i="3"/>
  <c r="M106" i="7" s="1"/>
  <c r="D360" i="3"/>
  <c r="I359" i="3" s="1"/>
  <c r="H354" i="3"/>
  <c r="H339" i="3"/>
  <c r="C26" i="435" s="1"/>
  <c r="D339" i="3"/>
  <c r="D336" i="3"/>
  <c r="H333" i="3"/>
  <c r="C29" i="435" s="1"/>
  <c r="D333" i="3"/>
  <c r="I332" i="3" s="1"/>
  <c r="H329" i="3"/>
  <c r="C30" i="435" s="1"/>
  <c r="B153" i="468"/>
  <c r="B154" i="468"/>
  <c r="B155" i="468"/>
  <c r="B156" i="468"/>
  <c r="BJ12" i="473" s="1"/>
  <c r="B157" i="468"/>
  <c r="C164" i="424" s="1"/>
  <c r="B158" i="468"/>
  <c r="BJ14" i="473" s="1"/>
  <c r="B159" i="468"/>
  <c r="E164" i="424" s="1"/>
  <c r="B160" i="468"/>
  <c r="BJ16" i="473" s="1"/>
  <c r="B161" i="468"/>
  <c r="G164" i="424" s="1"/>
  <c r="B162" i="468"/>
  <c r="BJ18" i="473" s="1"/>
  <c r="B163" i="468"/>
  <c r="I164" i="424" s="1"/>
  <c r="B164" i="468"/>
  <c r="BJ20" i="473" s="1"/>
  <c r="B165" i="468"/>
  <c r="K164" i="424" s="1"/>
  <c r="J128" i="392"/>
  <c r="B149" i="468"/>
  <c r="B150" i="468"/>
  <c r="B152" i="468"/>
  <c r="B148" i="468"/>
  <c r="B90" i="468"/>
  <c r="B91" i="468"/>
  <c r="BG6" i="473" s="1"/>
  <c r="B92" i="468"/>
  <c r="BG7" i="473" s="1"/>
  <c r="B93" i="468"/>
  <c r="BG8" i="473" s="1"/>
  <c r="B94" i="468"/>
  <c r="B95" i="468"/>
  <c r="BG10" i="473" s="1"/>
  <c r="B96" i="468"/>
  <c r="BG11" i="473" s="1"/>
  <c r="B97" i="468"/>
  <c r="BG12" i="473" s="1"/>
  <c r="B98" i="468"/>
  <c r="BG13" i="473" s="1"/>
  <c r="B99" i="468"/>
  <c r="BG14" i="473" s="1"/>
  <c r="BG15" i="473"/>
  <c r="B102" i="468"/>
  <c r="BG17" i="473" s="1"/>
  <c r="B103" i="468"/>
  <c r="BG18" i="473" s="1"/>
  <c r="B104" i="468"/>
  <c r="BG19" i="473" s="1"/>
  <c r="B105" i="468"/>
  <c r="BG20" i="473" s="1"/>
  <c r="BG21" i="473"/>
  <c r="B107" i="468"/>
  <c r="BG22" i="473" s="1"/>
  <c r="B108" i="468"/>
  <c r="BG23" i="473" s="1"/>
  <c r="B109" i="468"/>
  <c r="BG24" i="473" s="1"/>
  <c r="B110" i="468"/>
  <c r="B111" i="468"/>
  <c r="BG26" i="473" s="1"/>
  <c r="B112" i="468"/>
  <c r="BG27" i="473" s="1"/>
  <c r="B113" i="468"/>
  <c r="BG28" i="473" s="1"/>
  <c r="BG32" i="473"/>
  <c r="BG36" i="473"/>
  <c r="BG37" i="473"/>
  <c r="BG38" i="473"/>
  <c r="BG45" i="473"/>
  <c r="BG46" i="473"/>
  <c r="BG47" i="473"/>
  <c r="B4" i="468"/>
  <c r="BD5" i="473" s="1"/>
  <c r="B5" i="468"/>
  <c r="B6" i="468"/>
  <c r="B7" i="468"/>
  <c r="BD8" i="473" s="1"/>
  <c r="B10" i="468"/>
  <c r="B11" i="468"/>
  <c r="B14" i="468"/>
  <c r="BD15" i="473" s="1"/>
  <c r="B15" i="468"/>
  <c r="F156" i="424" s="1"/>
  <c r="B16" i="468"/>
  <c r="B28" i="468"/>
  <c r="BD29" i="473" s="1"/>
  <c r="B29" i="468"/>
  <c r="BD30" i="473" s="1"/>
  <c r="B31" i="468"/>
  <c r="L156" i="424" s="1"/>
  <c r="B37" i="468"/>
  <c r="B38" i="468"/>
  <c r="N156" i="424" s="1"/>
  <c r="B39" i="468"/>
  <c r="BD40" i="473" s="1"/>
  <c r="B40" i="468"/>
  <c r="BD41" i="473" s="1"/>
  <c r="B41" i="468"/>
  <c r="B42" i="468"/>
  <c r="BD43" i="473" s="1"/>
  <c r="B43" i="468"/>
  <c r="BD44" i="473" s="1"/>
  <c r="B44" i="468"/>
  <c r="BD45" i="473" s="1"/>
  <c r="B45" i="468"/>
  <c r="P156" i="424" s="1"/>
  <c r="B47" i="468"/>
  <c r="R156" i="424" s="1"/>
  <c r="B48" i="468"/>
  <c r="BD49" i="473" s="1"/>
  <c r="B49" i="468"/>
  <c r="BD50" i="473" s="1"/>
  <c r="B50" i="468"/>
  <c r="B51" i="468"/>
  <c r="BD52" i="473" s="1"/>
  <c r="B52" i="468"/>
  <c r="BD53" i="473" s="1"/>
  <c r="B53" i="468"/>
  <c r="BD54" i="473" s="1"/>
  <c r="B54" i="468"/>
  <c r="T156" i="424" s="1"/>
  <c r="B56" i="468"/>
  <c r="V156" i="424" s="1"/>
  <c r="B57" i="468"/>
  <c r="BD58" i="473" s="1"/>
  <c r="B3" i="468"/>
  <c r="BD4" i="473" s="1"/>
  <c r="B3" i="467"/>
  <c r="BA5" i="473" s="1"/>
  <c r="B4" i="467"/>
  <c r="BA6" i="473" s="1"/>
  <c r="B5" i="467"/>
  <c r="BA7" i="473" s="1"/>
  <c r="B6" i="467"/>
  <c r="F152" i="424" s="1"/>
  <c r="B7" i="467"/>
  <c r="BA9" i="473" s="1"/>
  <c r="B8" i="467"/>
  <c r="G152" i="424" s="1"/>
  <c r="B9" i="467"/>
  <c r="H152" i="424" s="1"/>
  <c r="B10" i="467"/>
  <c r="I152" i="424" s="1"/>
  <c r="B11" i="467"/>
  <c r="J152" i="424" s="1"/>
  <c r="B12" i="467"/>
  <c r="BA14" i="473" s="1"/>
  <c r="B13" i="467"/>
  <c r="BA15" i="473" s="1"/>
  <c r="B14" i="467"/>
  <c r="BA16" i="473" s="1"/>
  <c r="B15" i="467"/>
  <c r="N152" i="424" s="1"/>
  <c r="B16" i="467"/>
  <c r="O152" i="424" s="1"/>
  <c r="B17" i="467"/>
  <c r="BA19" i="473" s="1"/>
  <c r="B18" i="467"/>
  <c r="BA20" i="473" s="1"/>
  <c r="B19" i="467"/>
  <c r="R152" i="424" s="1"/>
  <c r="T152" i="424"/>
  <c r="B22" i="467"/>
  <c r="U152" i="424" s="1"/>
  <c r="B24" i="467"/>
  <c r="W152" i="424" s="1"/>
  <c r="B25" i="467"/>
  <c r="BA27" i="473" s="1"/>
  <c r="B2" i="467"/>
  <c r="B152" i="424" s="1"/>
  <c r="AU6" i="473"/>
  <c r="AU7" i="473"/>
  <c r="AU8" i="473"/>
  <c r="AU9" i="473"/>
  <c r="AU10" i="473"/>
  <c r="AU11" i="473"/>
  <c r="AU12" i="473"/>
  <c r="AU13" i="473"/>
  <c r="AU14" i="473"/>
  <c r="AU15" i="473"/>
  <c r="AU16" i="473"/>
  <c r="AU17" i="473"/>
  <c r="AU18" i="473"/>
  <c r="AU21" i="473"/>
  <c r="AU22" i="473"/>
  <c r="AU23" i="473"/>
  <c r="AU24" i="473"/>
  <c r="AU25" i="473"/>
  <c r="AU26" i="473"/>
  <c r="AU27" i="473"/>
  <c r="AU28" i="473"/>
  <c r="AU30" i="473"/>
  <c r="AU31" i="473"/>
  <c r="AU32" i="473"/>
  <c r="AU33" i="473"/>
  <c r="AU34" i="473"/>
  <c r="AU35" i="473"/>
  <c r="AU36" i="473"/>
  <c r="AU37" i="473"/>
  <c r="AU38" i="473"/>
  <c r="AU39" i="473"/>
  <c r="AU40" i="473"/>
  <c r="AU41" i="473"/>
  <c r="AU42" i="473"/>
  <c r="AU43" i="473"/>
  <c r="AU44" i="473"/>
  <c r="AU45" i="473"/>
  <c r="AU46" i="473"/>
  <c r="AU47" i="473"/>
  <c r="AU48" i="473"/>
  <c r="AU49" i="473"/>
  <c r="AU50" i="473"/>
  <c r="F144" i="424"/>
  <c r="AU52" i="473"/>
  <c r="AU71" i="473"/>
  <c r="AU72" i="473"/>
  <c r="AU73" i="473"/>
  <c r="AU74" i="473"/>
  <c r="AU75" i="473"/>
  <c r="AU76" i="473"/>
  <c r="AU77" i="473"/>
  <c r="O144" i="424"/>
  <c r="AU80" i="473"/>
  <c r="AU81" i="473"/>
  <c r="AU82" i="473"/>
  <c r="AU83" i="473"/>
  <c r="AU84" i="473"/>
  <c r="AU85" i="473"/>
  <c r="R144" i="424"/>
  <c r="AU89" i="473"/>
  <c r="AU90" i="473"/>
  <c r="AU91" i="473"/>
  <c r="AU92" i="473"/>
  <c r="AU93" i="473"/>
  <c r="AU94" i="473"/>
  <c r="AU95" i="473"/>
  <c r="AX6" i="473"/>
  <c r="AX9" i="473"/>
  <c r="AX10" i="473"/>
  <c r="AX11" i="473"/>
  <c r="AX12" i="473"/>
  <c r="AX13" i="473"/>
  <c r="AX14" i="473"/>
  <c r="AX15" i="473"/>
  <c r="AX20" i="473"/>
  <c r="AX21" i="473"/>
  <c r="AX24" i="473"/>
  <c r="AX25" i="473"/>
  <c r="AX26" i="473"/>
  <c r="AX27" i="473"/>
  <c r="AX28" i="473"/>
  <c r="AX29" i="473"/>
  <c r="AX30" i="473"/>
  <c r="AB144" i="424"/>
  <c r="AX32" i="473"/>
  <c r="AX33" i="473"/>
  <c r="AX39" i="473"/>
  <c r="AX40" i="473"/>
  <c r="AX41" i="473"/>
  <c r="AX42" i="473"/>
  <c r="AX43" i="473"/>
  <c r="AX44" i="473"/>
  <c r="AX45" i="473"/>
  <c r="AX46" i="473"/>
  <c r="AX47" i="473"/>
  <c r="AX48" i="473"/>
  <c r="AX49" i="473"/>
  <c r="AX50" i="473"/>
  <c r="AX51" i="473"/>
  <c r="AX52" i="473"/>
  <c r="AX53" i="473"/>
  <c r="AX54" i="473"/>
  <c r="AX55" i="473"/>
  <c r="AX56" i="473"/>
  <c r="AX57" i="473"/>
  <c r="AX58" i="473"/>
  <c r="AX59" i="473"/>
  <c r="AX60" i="473"/>
  <c r="AI144" i="424"/>
  <c r="AX62" i="473"/>
  <c r="AK144" i="424"/>
  <c r="AM144" i="424"/>
  <c r="AX66" i="473"/>
  <c r="AO144" i="424"/>
  <c r="B2" i="466"/>
  <c r="AU4" i="473" s="1"/>
  <c r="B3" i="465"/>
  <c r="AR5" i="473" s="1"/>
  <c r="B4" i="465"/>
  <c r="AR6" i="473" s="1"/>
  <c r="B5" i="465"/>
  <c r="AR7" i="473" s="1"/>
  <c r="B6" i="465"/>
  <c r="AR46" i="473"/>
  <c r="B140" i="424"/>
  <c r="AR50" i="473"/>
  <c r="AR51" i="473"/>
  <c r="AR52" i="473"/>
  <c r="AR53" i="473"/>
  <c r="AR54" i="473"/>
  <c r="AR55" i="473"/>
  <c r="AR56" i="473"/>
  <c r="AR57" i="473"/>
  <c r="AR58" i="473"/>
  <c r="AR59" i="473"/>
  <c r="AR60" i="473"/>
  <c r="AR66" i="473"/>
  <c r="AR67" i="473"/>
  <c r="AR68" i="473"/>
  <c r="F140" i="424"/>
  <c r="H140" i="424"/>
  <c r="B37" i="464"/>
  <c r="AL9" i="473" s="1"/>
  <c r="B38" i="464"/>
  <c r="B39" i="464"/>
  <c r="B40" i="464"/>
  <c r="B41" i="464"/>
  <c r="B42" i="464"/>
  <c r="B46" i="464"/>
  <c r="AL29" i="473"/>
  <c r="B51" i="464"/>
  <c r="B53" i="464"/>
  <c r="B54" i="464"/>
  <c r="B55" i="464"/>
  <c r="B58" i="464"/>
  <c r="B59" i="464"/>
  <c r="B60" i="464"/>
  <c r="B61" i="464"/>
  <c r="B62" i="464"/>
  <c r="B63" i="464"/>
  <c r="B64" i="464"/>
  <c r="B65" i="464"/>
  <c r="B66" i="464"/>
  <c r="J120" i="424" s="1"/>
  <c r="B68" i="464"/>
  <c r="B69" i="464"/>
  <c r="B70" i="464"/>
  <c r="B71" i="464"/>
  <c r="B72" i="464"/>
  <c r="AL55" i="473"/>
  <c r="AL62" i="473"/>
  <c r="AL63" i="473"/>
  <c r="AL64" i="473"/>
  <c r="AL65" i="473"/>
  <c r="AL66" i="473"/>
  <c r="AL67" i="473"/>
  <c r="AO4" i="473"/>
  <c r="AO5" i="473"/>
  <c r="AO6" i="473"/>
  <c r="AO7" i="473"/>
  <c r="AO9" i="473"/>
  <c r="AO10" i="473"/>
  <c r="AO11" i="473"/>
  <c r="AO12" i="473"/>
  <c r="AO13" i="473"/>
  <c r="AO15" i="473"/>
  <c r="AO16" i="473"/>
  <c r="AO17" i="473"/>
  <c r="AO24" i="473"/>
  <c r="AO25" i="473"/>
  <c r="AO26" i="473"/>
  <c r="AO30" i="473"/>
  <c r="AO32" i="473"/>
  <c r="AO33" i="473"/>
  <c r="AO35" i="473"/>
  <c r="AO37" i="473"/>
  <c r="AO38" i="473"/>
  <c r="AO39" i="473"/>
  <c r="AO40" i="473"/>
  <c r="AL5" i="473"/>
  <c r="B6" i="464"/>
  <c r="B9" i="464"/>
  <c r="B10" i="464"/>
  <c r="B11" i="464"/>
  <c r="AI16" i="473" s="1"/>
  <c r="B12" i="464"/>
  <c r="B13" i="464"/>
  <c r="B15" i="464"/>
  <c r="B17" i="464"/>
  <c r="B19" i="464"/>
  <c r="B20" i="464"/>
  <c r="B21" i="464"/>
  <c r="B22" i="464"/>
  <c r="B25" i="464"/>
  <c r="B26" i="464"/>
  <c r="B27" i="464"/>
  <c r="B28" i="464"/>
  <c r="B29" i="464"/>
  <c r="AI5" i="473"/>
  <c r="B159" i="463"/>
  <c r="AC5" i="473" s="1"/>
  <c r="B160" i="463"/>
  <c r="AC7" i="473" s="1"/>
  <c r="B161" i="463"/>
  <c r="B162" i="463"/>
  <c r="B163" i="463"/>
  <c r="B164" i="463"/>
  <c r="B165" i="463"/>
  <c r="B166" i="463"/>
  <c r="B167" i="463"/>
  <c r="B168" i="463"/>
  <c r="B169" i="463"/>
  <c r="B170" i="463"/>
  <c r="B171" i="463"/>
  <c r="B172" i="463"/>
  <c r="B173" i="463"/>
  <c r="B174" i="463"/>
  <c r="B175" i="463"/>
  <c r="B176" i="463"/>
  <c r="B177" i="463"/>
  <c r="B178" i="463"/>
  <c r="B179" i="463"/>
  <c r="B180" i="463"/>
  <c r="B181" i="463"/>
  <c r="B182" i="463"/>
  <c r="B183" i="463"/>
  <c r="B184" i="463"/>
  <c r="B185" i="463"/>
  <c r="B186" i="463"/>
  <c r="B187" i="463"/>
  <c r="B188" i="463"/>
  <c r="B189" i="463"/>
  <c r="B190" i="463"/>
  <c r="B191" i="463"/>
  <c r="B192" i="463"/>
  <c r="B193" i="463"/>
  <c r="B194" i="463"/>
  <c r="B195" i="463"/>
  <c r="B196" i="463"/>
  <c r="B197" i="463"/>
  <c r="B198" i="463"/>
  <c r="B199" i="463"/>
  <c r="B200" i="463"/>
  <c r="B201" i="463"/>
  <c r="B202" i="463"/>
  <c r="B203" i="463"/>
  <c r="B204" i="463"/>
  <c r="B205" i="463"/>
  <c r="B206" i="463"/>
  <c r="B207" i="463"/>
  <c r="B208" i="463"/>
  <c r="B209" i="463"/>
  <c r="B210" i="463"/>
  <c r="B211" i="463"/>
  <c r="B212" i="463"/>
  <c r="B213" i="463"/>
  <c r="B214" i="463"/>
  <c r="B215" i="463"/>
  <c r="B216" i="463"/>
  <c r="B219" i="463"/>
  <c r="B220" i="463"/>
  <c r="B158" i="463"/>
  <c r="W5" i="473"/>
  <c r="B51" i="463"/>
  <c r="B52" i="463"/>
  <c r="B53" i="463"/>
  <c r="B55" i="463"/>
  <c r="B60" i="463"/>
  <c r="B61" i="463"/>
  <c r="B62" i="463"/>
  <c r="B63" i="463"/>
  <c r="B64" i="463"/>
  <c r="B65" i="463"/>
  <c r="B66" i="463"/>
  <c r="W23" i="473"/>
  <c r="W24" i="473"/>
  <c r="W25" i="473"/>
  <c r="W26" i="473"/>
  <c r="W27" i="473"/>
  <c r="W28" i="473"/>
  <c r="W29" i="473"/>
  <c r="W30" i="473"/>
  <c r="W31" i="473"/>
  <c r="W32" i="473"/>
  <c r="W33" i="473"/>
  <c r="W34" i="473"/>
  <c r="W35" i="473"/>
  <c r="W36" i="473"/>
  <c r="W37" i="473"/>
  <c r="W38" i="473"/>
  <c r="W39" i="473"/>
  <c r="W40" i="473"/>
  <c r="W41" i="473"/>
  <c r="W42" i="473"/>
  <c r="W43" i="473"/>
  <c r="W44" i="473"/>
  <c r="W45" i="473"/>
  <c r="W46" i="473"/>
  <c r="W47" i="473"/>
  <c r="W48" i="473"/>
  <c r="W49" i="473"/>
  <c r="W50" i="473"/>
  <c r="W51" i="473"/>
  <c r="W52" i="473"/>
  <c r="W53" i="473"/>
  <c r="W54" i="473"/>
  <c r="W55" i="473"/>
  <c r="W56" i="473"/>
  <c r="W57" i="473"/>
  <c r="W58" i="473"/>
  <c r="Z7" i="473"/>
  <c r="Z8" i="473"/>
  <c r="Z9" i="473"/>
  <c r="Z11" i="473"/>
  <c r="Z12" i="473"/>
  <c r="Z13" i="473"/>
  <c r="Z14" i="473"/>
  <c r="Z20" i="473"/>
  <c r="Z24" i="473"/>
  <c r="Z25" i="473"/>
  <c r="Z31" i="473"/>
  <c r="Z32" i="473"/>
  <c r="B49" i="463"/>
  <c r="B4" i="463"/>
  <c r="B5" i="463"/>
  <c r="B6" i="463"/>
  <c r="B12" i="463"/>
  <c r="B13" i="463"/>
  <c r="T17" i="473"/>
  <c r="T18" i="473"/>
  <c r="T19" i="473"/>
  <c r="T20" i="473"/>
  <c r="T21" i="473"/>
  <c r="T22" i="473"/>
  <c r="T23" i="473"/>
  <c r="T24" i="473"/>
  <c r="T25" i="473"/>
  <c r="T26" i="473"/>
  <c r="T27" i="473"/>
  <c r="T28" i="473"/>
  <c r="T29" i="473"/>
  <c r="T30" i="473"/>
  <c r="T32" i="473"/>
  <c r="T35" i="473"/>
  <c r="T36" i="473"/>
  <c r="T38" i="473"/>
  <c r="T40" i="473"/>
  <c r="T41" i="473"/>
  <c r="T42" i="473"/>
  <c r="T44" i="473"/>
  <c r="T45" i="473"/>
  <c r="B3" i="463"/>
  <c r="B62" i="462"/>
  <c r="Q5" i="473" s="1"/>
  <c r="B64" i="462"/>
  <c r="Q7" i="473" s="1"/>
  <c r="B65" i="462"/>
  <c r="Q8" i="473" s="1"/>
  <c r="B67" i="462"/>
  <c r="Q10" i="473" s="1"/>
  <c r="B68" i="462"/>
  <c r="C100" i="424" s="1"/>
  <c r="B69" i="462"/>
  <c r="Q12" i="473" s="1"/>
  <c r="B70" i="462"/>
  <c r="Q13" i="473" s="1"/>
  <c r="B71" i="462"/>
  <c r="Q14" i="473" s="1"/>
  <c r="B72" i="462"/>
  <c r="Q15" i="473" s="1"/>
  <c r="B73" i="462"/>
  <c r="Q16" i="473" s="1"/>
  <c r="B75" i="462"/>
  <c r="Q18" i="473" s="1"/>
  <c r="B76" i="462"/>
  <c r="Q19" i="473" s="1"/>
  <c r="B77" i="462"/>
  <c r="Q20" i="473" s="1"/>
  <c r="B78" i="462"/>
  <c r="Q21" i="473" s="1"/>
  <c r="B79" i="462"/>
  <c r="E100" i="424" s="1"/>
  <c r="B80" i="462"/>
  <c r="Q23" i="473" s="1"/>
  <c r="B81" i="462"/>
  <c r="B83" i="462"/>
  <c r="Q26" i="473" s="1"/>
  <c r="B84" i="462"/>
  <c r="Q27" i="473" s="1"/>
  <c r="B85" i="462"/>
  <c r="Q28" i="473" s="1"/>
  <c r="B86" i="462"/>
  <c r="Q29" i="473" s="1"/>
  <c r="B87" i="462"/>
  <c r="Q30" i="473" s="1"/>
  <c r="B88" i="462"/>
  <c r="Q31" i="473" s="1"/>
  <c r="B90" i="462"/>
  <c r="Q33" i="473" s="1"/>
  <c r="B91" i="462"/>
  <c r="Q34" i="473" s="1"/>
  <c r="B92" i="462"/>
  <c r="Q35" i="473" s="1"/>
  <c r="B95" i="462"/>
  <c r="Q38" i="473" s="1"/>
  <c r="B98" i="462"/>
  <c r="Q41" i="473" s="1"/>
  <c r="B99" i="462"/>
  <c r="Q42" i="473" s="1"/>
  <c r="B101" i="462"/>
  <c r="B61" i="462"/>
  <c r="Q4" i="473" s="1"/>
  <c r="N37" i="473"/>
  <c r="N40" i="473"/>
  <c r="N41" i="473"/>
  <c r="N42" i="473"/>
  <c r="N44" i="473"/>
  <c r="I96" i="424"/>
  <c r="Q96" i="424"/>
  <c r="B6" i="462"/>
  <c r="B8" i="462"/>
  <c r="N9" i="473" s="1"/>
  <c r="B9" i="462"/>
  <c r="N10" i="473" s="1"/>
  <c r="B10" i="462"/>
  <c r="N11" i="473" s="1"/>
  <c r="B11" i="462"/>
  <c r="N12" i="473" s="1"/>
  <c r="B12" i="462"/>
  <c r="N13" i="473" s="1"/>
  <c r="B17" i="462"/>
  <c r="N18" i="473" s="1"/>
  <c r="N20" i="473"/>
  <c r="N21" i="473"/>
  <c r="N24" i="473"/>
  <c r="K92" i="424"/>
  <c r="N27" i="473"/>
  <c r="N28" i="473"/>
  <c r="N29" i="473"/>
  <c r="B76" i="458"/>
  <c r="B50" i="473" s="1"/>
  <c r="B77" i="458"/>
  <c r="B51" i="473" s="1"/>
  <c r="B78" i="458"/>
  <c r="B52" i="473" s="1"/>
  <c r="B81" i="458"/>
  <c r="B55" i="473" s="1"/>
  <c r="B82" i="458"/>
  <c r="B56" i="473" s="1"/>
  <c r="B42" i="473"/>
  <c r="B69" i="458"/>
  <c r="B43" i="473" s="1"/>
  <c r="B55" i="458"/>
  <c r="E18" i="473" s="1"/>
  <c r="B56" i="458"/>
  <c r="E19" i="473" s="1"/>
  <c r="B57" i="458"/>
  <c r="E20" i="473" s="1"/>
  <c r="B54" i="458"/>
  <c r="B47" i="458"/>
  <c r="E10" i="473" s="1"/>
  <c r="B48" i="458"/>
  <c r="B49" i="458"/>
  <c r="B50" i="458"/>
  <c r="E13" i="473" s="1"/>
  <c r="B51" i="458"/>
  <c r="E9" i="473"/>
  <c r="E6" i="473"/>
  <c r="E7" i="473"/>
  <c r="B43" i="458"/>
  <c r="B39" i="458"/>
  <c r="E4" i="473" s="1"/>
  <c r="B33" i="458"/>
  <c r="B28" i="473" s="1"/>
  <c r="B35" i="458"/>
  <c r="B30" i="473" s="1"/>
  <c r="B36" i="458"/>
  <c r="B31" i="473" s="1"/>
  <c r="B32" i="458"/>
  <c r="B22" i="458"/>
  <c r="B19" i="473" s="1"/>
  <c r="B23" i="458"/>
  <c r="B24" i="458"/>
  <c r="B25" i="458"/>
  <c r="B22" i="473" s="1"/>
  <c r="B26" i="458"/>
  <c r="B23" i="473" s="1"/>
  <c r="B27" i="458"/>
  <c r="B24" i="473" s="1"/>
  <c r="B28" i="458"/>
  <c r="B25" i="473" s="1"/>
  <c r="B29" i="458"/>
  <c r="B21" i="458"/>
  <c r="B13" i="458"/>
  <c r="B12" i="473" s="1"/>
  <c r="B14" i="458"/>
  <c r="B13" i="473" s="1"/>
  <c r="B14" i="473"/>
  <c r="B16" i="458"/>
  <c r="B17" i="458"/>
  <c r="B16" i="473" s="1"/>
  <c r="B18" i="458"/>
  <c r="B17" i="473" s="1"/>
  <c r="B12" i="424"/>
  <c r="B89" i="457"/>
  <c r="K18" i="473" s="1"/>
  <c r="B90" i="457"/>
  <c r="K19" i="473" s="1"/>
  <c r="B91" i="457"/>
  <c r="K20" i="473" s="1"/>
  <c r="B92" i="457"/>
  <c r="K21" i="473" s="1"/>
  <c r="B93" i="457"/>
  <c r="C88" i="424" s="1"/>
  <c r="B94" i="457"/>
  <c r="K26" i="473" s="1"/>
  <c r="B95" i="457"/>
  <c r="K30" i="473"/>
  <c r="H88" i="424"/>
  <c r="K32" i="473"/>
  <c r="K33" i="473"/>
  <c r="K34" i="473"/>
  <c r="K37" i="473"/>
  <c r="B88" i="457"/>
  <c r="K17" i="473" s="1"/>
  <c r="B52" i="457"/>
  <c r="C80" i="424" s="1"/>
  <c r="B53" i="457"/>
  <c r="H41" i="473" s="1"/>
  <c r="B54" i="457"/>
  <c r="H42" i="473" s="1"/>
  <c r="B55" i="457"/>
  <c r="H43" i="473" s="1"/>
  <c r="B56" i="457"/>
  <c r="B58" i="457"/>
  <c r="H46" i="473" s="1"/>
  <c r="B59" i="457"/>
  <c r="H47" i="473" s="1"/>
  <c r="B60" i="457"/>
  <c r="H48" i="473" s="1"/>
  <c r="B61" i="457"/>
  <c r="L80" i="424" s="1"/>
  <c r="B80" i="424"/>
  <c r="B45" i="457"/>
  <c r="C76" i="424" s="1"/>
  <c r="B46" i="457"/>
  <c r="H34" i="473" s="1"/>
  <c r="B47" i="457"/>
  <c r="H35" i="473" s="1"/>
  <c r="B48" i="457"/>
  <c r="H36" i="473" s="1"/>
  <c r="B44" i="457"/>
  <c r="B76" i="424" s="1"/>
  <c r="B34" i="457"/>
  <c r="H25" i="473" s="1"/>
  <c r="B35" i="457"/>
  <c r="D72" i="424" s="1"/>
  <c r="B36" i="457"/>
  <c r="H27" i="473" s="1"/>
  <c r="B37" i="457"/>
  <c r="H28" i="473" s="1"/>
  <c r="B38" i="457"/>
  <c r="H29" i="473" s="1"/>
  <c r="B39" i="457"/>
  <c r="H30" i="473" s="1"/>
  <c r="B40" i="457"/>
  <c r="H31" i="473" s="1"/>
  <c r="B33" i="457"/>
  <c r="B72" i="424" s="1"/>
  <c r="B29" i="457"/>
  <c r="H22" i="473" s="1"/>
  <c r="B22" i="457"/>
  <c r="H18" i="473"/>
  <c r="H19" i="473"/>
  <c r="B21" i="457"/>
  <c r="B11" i="457"/>
  <c r="B12" i="457"/>
  <c r="B13" i="457"/>
  <c r="H10" i="473" s="1"/>
  <c r="B14" i="457"/>
  <c r="H11" i="473" s="1"/>
  <c r="B15" i="457"/>
  <c r="H12" i="473" s="1"/>
  <c r="B16" i="457"/>
  <c r="B17" i="457"/>
  <c r="B10" i="457"/>
  <c r="B5" i="457"/>
  <c r="H5" i="473" s="1"/>
  <c r="B6" i="457"/>
  <c r="H6" i="473" s="1"/>
  <c r="B4" i="457"/>
  <c r="H4" i="473" s="1"/>
  <c r="B76" i="457"/>
  <c r="K5" i="473" s="1"/>
  <c r="B77" i="457"/>
  <c r="K6" i="473" s="1"/>
  <c r="B78" i="457"/>
  <c r="K7" i="473" s="1"/>
  <c r="B79" i="457"/>
  <c r="K8" i="473" s="1"/>
  <c r="B80" i="457"/>
  <c r="K9" i="473" s="1"/>
  <c r="B81" i="457"/>
  <c r="K10" i="473" s="1"/>
  <c r="B82" i="457"/>
  <c r="K11" i="473" s="1"/>
  <c r="B84" i="457"/>
  <c r="K13" i="473" s="1"/>
  <c r="B85" i="457"/>
  <c r="K14" i="473" s="1"/>
  <c r="K4" i="473"/>
  <c r="I46" i="132"/>
  <c r="G116" i="442"/>
  <c r="K115" i="442" s="1"/>
  <c r="H121" i="435"/>
  <c r="J26" i="476"/>
  <c r="D50" i="442"/>
  <c r="E52" i="442" s="1"/>
  <c r="G139" i="9"/>
  <c r="G131" i="9"/>
  <c r="E336" i="3"/>
  <c r="I329" i="3"/>
  <c r="F171" i="2"/>
  <c r="F162" i="2"/>
  <c r="J4" i="83"/>
  <c r="D117" i="424" s="1"/>
  <c r="D191" i="382"/>
  <c r="D189" i="382"/>
  <c r="D182" i="382"/>
  <c r="D184" i="382"/>
  <c r="I116" i="454"/>
  <c r="H120" i="435" s="1"/>
  <c r="H119" i="435"/>
  <c r="J192" i="392"/>
  <c r="J166" i="392"/>
  <c r="I188" i="2"/>
  <c r="I184" i="2"/>
  <c r="H86" i="451" s="1"/>
  <c r="I176" i="2"/>
  <c r="C22" i="435" s="1"/>
  <c r="E173" i="2"/>
  <c r="E171" i="2"/>
  <c r="I168" i="2"/>
  <c r="C19" i="435" s="1"/>
  <c r="I164" i="2"/>
  <c r="E164" i="2"/>
  <c r="E163" i="2"/>
  <c r="E162" i="2"/>
  <c r="E140" i="2"/>
  <c r="E139" i="2"/>
  <c r="I135" i="2"/>
  <c r="C12" i="435" s="1"/>
  <c r="E126" i="2"/>
  <c r="G131" i="376" s="1"/>
  <c r="E123" i="2"/>
  <c r="I103" i="2"/>
  <c r="I100" i="2"/>
  <c r="C11" i="435" s="1"/>
  <c r="E100" i="2"/>
  <c r="I13" i="491" s="1"/>
  <c r="I92" i="2"/>
  <c r="E96" i="2"/>
  <c r="R144" i="3" s="1"/>
  <c r="E92" i="2"/>
  <c r="E88" i="2"/>
  <c r="I82" i="2"/>
  <c r="C8" i="435" s="1"/>
  <c r="I79" i="2"/>
  <c r="E79" i="2"/>
  <c r="E75" i="2"/>
  <c r="R99" i="3" s="1"/>
  <c r="I72" i="2"/>
  <c r="E72" i="2"/>
  <c r="E68" i="2"/>
  <c r="R73" i="3" s="1"/>
  <c r="I64" i="2"/>
  <c r="E64" i="2"/>
  <c r="E60" i="2"/>
  <c r="R162" i="3" s="1"/>
  <c r="I55" i="2"/>
  <c r="B100" i="487"/>
  <c r="B99" i="487"/>
  <c r="B98" i="487"/>
  <c r="C99" i="487" s="1"/>
  <c r="B97" i="487"/>
  <c r="B91" i="487"/>
  <c r="B88" i="487"/>
  <c r="B83" i="487"/>
  <c r="B78" i="487"/>
  <c r="B75" i="487"/>
  <c r="B74" i="487"/>
  <c r="B70" i="487"/>
  <c r="C75" i="487" s="1"/>
  <c r="B68" i="487"/>
  <c r="B66" i="487"/>
  <c r="C70" i="487" s="1"/>
  <c r="B62" i="487"/>
  <c r="B61" i="487"/>
  <c r="B60" i="487"/>
  <c r="B59" i="487"/>
  <c r="B57" i="487"/>
  <c r="B52" i="487"/>
  <c r="C74" i="487" s="1"/>
  <c r="B50" i="487"/>
  <c r="B49" i="487"/>
  <c r="B48" i="487"/>
  <c r="B47" i="487"/>
  <c r="B45" i="487"/>
  <c r="B44" i="487"/>
  <c r="B43" i="487"/>
  <c r="I44" i="2"/>
  <c r="E51" i="2"/>
  <c r="E47" i="2"/>
  <c r="R40" i="3" s="1"/>
  <c r="E44" i="2"/>
  <c r="E40" i="2"/>
  <c r="R29" i="3" s="1"/>
  <c r="Q142" i="3"/>
  <c r="K10" i="95"/>
  <c r="Q24" i="95"/>
  <c r="G16" i="92"/>
  <c r="K4" i="80"/>
  <c r="F59" i="2" s="1"/>
  <c r="G32" i="83"/>
  <c r="R117" i="424" s="1"/>
  <c r="G29" i="83"/>
  <c r="Q117" i="424" s="1"/>
  <c r="G20" i="83"/>
  <c r="L117" i="424" s="1"/>
  <c r="G17" i="83"/>
  <c r="C4" i="83"/>
  <c r="P74" i="3" s="1"/>
  <c r="C5" i="74"/>
  <c r="B101" i="424" s="1"/>
  <c r="H79" i="452"/>
  <c r="H75" i="452"/>
  <c r="C20" i="435" s="1"/>
  <c r="H69" i="452"/>
  <c r="C17" i="435" s="1"/>
  <c r="E66" i="452"/>
  <c r="E63" i="452"/>
  <c r="E59" i="452"/>
  <c r="H54" i="452"/>
  <c r="E54" i="452"/>
  <c r="E51" i="452"/>
  <c r="E47" i="452"/>
  <c r="H40" i="452"/>
  <c r="C14" i="435" s="1"/>
  <c r="E37" i="452"/>
  <c r="E31" i="452"/>
  <c r="E28" i="452"/>
  <c r="E19" i="452"/>
  <c r="E16" i="452"/>
  <c r="H11" i="452"/>
  <c r="C9" i="435" s="1"/>
  <c r="C28" i="112"/>
  <c r="C25" i="112"/>
  <c r="C22" i="112"/>
  <c r="D171" i="2" s="1"/>
  <c r="G22" i="112"/>
  <c r="D172" i="2" s="1"/>
  <c r="G16" i="112"/>
  <c r="G13" i="112"/>
  <c r="G10" i="112"/>
  <c r="G7" i="112"/>
  <c r="H10" i="112" s="1"/>
  <c r="G4" i="112"/>
  <c r="C13" i="112"/>
  <c r="C10" i="112"/>
  <c r="D13" i="424" s="1"/>
  <c r="C7" i="112"/>
  <c r="D10" i="112" s="1"/>
  <c r="C4" i="112"/>
  <c r="C21" i="448"/>
  <c r="F36" i="452" s="1"/>
  <c r="I15" i="448"/>
  <c r="I21" i="448"/>
  <c r="I18" i="448"/>
  <c r="L107" i="454"/>
  <c r="I95" i="454"/>
  <c r="M106" i="454" s="1"/>
  <c r="L91" i="454"/>
  <c r="L88" i="454"/>
  <c r="H84" i="435" s="1"/>
  <c r="I85" i="454"/>
  <c r="H83" i="435" s="1"/>
  <c r="I82" i="454"/>
  <c r="C12" i="362" s="1"/>
  <c r="L79" i="454"/>
  <c r="I76" i="454"/>
  <c r="D18" i="485" s="1"/>
  <c r="I73" i="454"/>
  <c r="I70" i="454"/>
  <c r="F67" i="454"/>
  <c r="I61" i="454"/>
  <c r="C9" i="362" s="1"/>
  <c r="I58" i="454"/>
  <c r="L55" i="454"/>
  <c r="L52" i="454"/>
  <c r="I47" i="454"/>
  <c r="B18" i="487"/>
  <c r="G14" i="83"/>
  <c r="G117" i="424" s="1"/>
  <c r="C13" i="83"/>
  <c r="E113" i="424" s="1"/>
  <c r="J14" i="83"/>
  <c r="H117" i="424" s="1"/>
  <c r="C16" i="83"/>
  <c r="F113" i="424" s="1"/>
  <c r="K13" i="80"/>
  <c r="M109" i="424" s="1"/>
  <c r="C14" i="74"/>
  <c r="C17" i="74"/>
  <c r="J158" i="392"/>
  <c r="J137" i="392"/>
  <c r="J140" i="392"/>
  <c r="J143" i="392"/>
  <c r="J134" i="392"/>
  <c r="J131" i="392"/>
  <c r="J119" i="392"/>
  <c r="J116" i="392"/>
  <c r="J113" i="392"/>
  <c r="H59" i="435" s="1"/>
  <c r="J110" i="392"/>
  <c r="J93" i="392"/>
  <c r="L502" i="3"/>
  <c r="L495" i="3"/>
  <c r="M493" i="3" s="1"/>
  <c r="H326" i="3"/>
  <c r="C25" i="435" s="1"/>
  <c r="D216" i="3"/>
  <c r="G16" i="460"/>
  <c r="G8" i="460"/>
  <c r="L484" i="3"/>
  <c r="Q213" i="3"/>
  <c r="L210" i="3"/>
  <c r="L207" i="3"/>
  <c r="H207" i="3"/>
  <c r="D204" i="3"/>
  <c r="D201" i="3"/>
  <c r="L191" i="3"/>
  <c r="D188" i="3"/>
  <c r="C27" i="435" s="1"/>
  <c r="L182" i="3"/>
  <c r="L174" i="3"/>
  <c r="L170" i="3"/>
  <c r="Q163" i="3"/>
  <c r="F61" i="2" s="1"/>
  <c r="L159" i="3"/>
  <c r="Q155" i="3"/>
  <c r="Q151" i="3"/>
  <c r="L151" i="3"/>
  <c r="Q136" i="3"/>
  <c r="L133" i="3"/>
  <c r="Q145" i="3"/>
  <c r="Q125" i="3"/>
  <c r="L122" i="3"/>
  <c r="H119" i="3"/>
  <c r="D111" i="3"/>
  <c r="Q100" i="3"/>
  <c r="F76" i="2" s="1"/>
  <c r="Q94" i="3"/>
  <c r="L91" i="3"/>
  <c r="H88" i="3"/>
  <c r="D79" i="3"/>
  <c r="Q74" i="3"/>
  <c r="F69" i="2" s="1"/>
  <c r="Q69" i="3"/>
  <c r="L66" i="3"/>
  <c r="H63" i="3"/>
  <c r="D50" i="3"/>
  <c r="Q41" i="3"/>
  <c r="F48" i="2" s="1"/>
  <c r="L37" i="3"/>
  <c r="Q30" i="3"/>
  <c r="Q23" i="3"/>
  <c r="C21" i="426" s="1"/>
  <c r="L17" i="3"/>
  <c r="Q11" i="3"/>
  <c r="D8" i="3"/>
  <c r="B5" i="476"/>
  <c r="I207" i="3"/>
  <c r="G111" i="451"/>
  <c r="H105" i="451"/>
  <c r="G108" i="451"/>
  <c r="G105" i="451"/>
  <c r="C17" i="485"/>
  <c r="I53" i="48"/>
  <c r="I50" i="48"/>
  <c r="S18" i="48"/>
  <c r="H5" i="435"/>
  <c r="B4" i="394"/>
  <c r="B5" i="394"/>
  <c r="B6" i="394"/>
  <c r="B7" i="394"/>
  <c r="B8" i="394"/>
  <c r="B9" i="394"/>
  <c r="B10" i="394"/>
  <c r="B11" i="394"/>
  <c r="B12" i="394"/>
  <c r="B13" i="394"/>
  <c r="F173" i="2"/>
  <c r="F8" i="2"/>
  <c r="S17" i="50"/>
  <c r="T17" i="50"/>
  <c r="T31" i="50"/>
  <c r="D4" i="394"/>
  <c r="D5" i="394"/>
  <c r="D6" i="394"/>
  <c r="D7" i="394"/>
  <c r="D8" i="394"/>
  <c r="D9" i="394"/>
  <c r="D10" i="394"/>
  <c r="D11" i="394"/>
  <c r="D12" i="394"/>
  <c r="D13" i="394"/>
  <c r="F4" i="394"/>
  <c r="F5" i="394"/>
  <c r="F6" i="394"/>
  <c r="F7" i="394"/>
  <c r="F8" i="394"/>
  <c r="F9" i="394"/>
  <c r="F10" i="394"/>
  <c r="F11" i="394"/>
  <c r="F12" i="394"/>
  <c r="F13" i="394"/>
  <c r="F59" i="452"/>
  <c r="F63" i="452"/>
  <c r="F66" i="452"/>
  <c r="I75" i="452"/>
  <c r="D20" i="435" s="1"/>
  <c r="L32" i="489" s="1"/>
  <c r="F16" i="452"/>
  <c r="F19" i="452" s="1"/>
  <c r="F51" i="452"/>
  <c r="F54" i="452"/>
  <c r="E51" i="451"/>
  <c r="H66" i="451"/>
  <c r="D21" i="435" s="1"/>
  <c r="L33" i="489" s="1"/>
  <c r="H80" i="451"/>
  <c r="H75" i="451"/>
  <c r="H98" i="451"/>
  <c r="B17" i="394"/>
  <c r="B18" i="394"/>
  <c r="B19" i="394"/>
  <c r="B20" i="394"/>
  <c r="B21" i="394"/>
  <c r="B22" i="394"/>
  <c r="B23" i="394"/>
  <c r="B25" i="394"/>
  <c r="B26" i="394"/>
  <c r="Q5" i="103"/>
  <c r="S20" i="395"/>
  <c r="U20" i="395" s="1"/>
  <c r="S19" i="395"/>
  <c r="S18" i="395"/>
  <c r="U18" i="395" s="1"/>
  <c r="S17" i="395"/>
  <c r="U17" i="395" s="1"/>
  <c r="S15" i="395"/>
  <c r="U15" i="395" s="1"/>
  <c r="S14" i="395"/>
  <c r="U14" i="395" s="1"/>
  <c r="S13" i="395"/>
  <c r="U13" i="395" s="1"/>
  <c r="S12" i="395"/>
  <c r="U12" i="395" s="1"/>
  <c r="O6" i="397"/>
  <c r="O7" i="397"/>
  <c r="O8" i="397"/>
  <c r="O9" i="397"/>
  <c r="O10" i="397"/>
  <c r="O11" i="397"/>
  <c r="O12" i="397"/>
  <c r="O13" i="397"/>
  <c r="O14" i="397"/>
  <c r="O15" i="397"/>
  <c r="Q7" i="396"/>
  <c r="Q8" i="396"/>
  <c r="Q9" i="396"/>
  <c r="Q10" i="396"/>
  <c r="Q11" i="396"/>
  <c r="Q12" i="396"/>
  <c r="Q13" i="396"/>
  <c r="Q14" i="396"/>
  <c r="Q15" i="396"/>
  <c r="Q16" i="396"/>
  <c r="U7" i="396"/>
  <c r="U8" i="396"/>
  <c r="U9" i="396"/>
  <c r="U10" i="396"/>
  <c r="U11" i="396"/>
  <c r="U12" i="396"/>
  <c r="U13" i="396"/>
  <c r="U14" i="396"/>
  <c r="U15" i="396"/>
  <c r="U16" i="396"/>
  <c r="U17" i="396"/>
  <c r="U18" i="396"/>
  <c r="U19" i="396"/>
  <c r="U20" i="396"/>
  <c r="U21" i="396"/>
  <c r="F94" i="375"/>
  <c r="J94" i="375"/>
  <c r="D16" i="397"/>
  <c r="F16" i="396"/>
  <c r="M21" i="396"/>
  <c r="D110" i="391"/>
  <c r="D35" i="476"/>
  <c r="J35" i="476" s="1"/>
  <c r="J76" i="6"/>
  <c r="J80" i="6"/>
  <c r="S53" i="48" s="1"/>
  <c r="F44" i="375"/>
  <c r="D109" i="435"/>
  <c r="L147" i="489" s="1"/>
  <c r="D110" i="435"/>
  <c r="L148" i="489" s="1"/>
  <c r="D111" i="435"/>
  <c r="L149" i="489" s="1"/>
  <c r="D112" i="435"/>
  <c r="L150" i="489" s="1"/>
  <c r="D114" i="435"/>
  <c r="L151" i="489" s="1"/>
  <c r="G3" i="481"/>
  <c r="C10" i="482" s="1"/>
  <c r="G17" i="481"/>
  <c r="C19" i="482" s="1"/>
  <c r="G37" i="481"/>
  <c r="C3" i="482" s="1"/>
  <c r="J32" i="394"/>
  <c r="L32" i="394" s="1"/>
  <c r="J33" i="394"/>
  <c r="L33" i="394" s="1"/>
  <c r="J34" i="394"/>
  <c r="L34" i="394" s="1"/>
  <c r="J35" i="394"/>
  <c r="L35" i="394" s="1"/>
  <c r="J36" i="394"/>
  <c r="J37" i="394"/>
  <c r="L37" i="394" s="1"/>
  <c r="J38" i="394"/>
  <c r="L38" i="394" s="1"/>
  <c r="J39" i="394"/>
  <c r="L39" i="394" s="1"/>
  <c r="P13" i="394"/>
  <c r="P12" i="394"/>
  <c r="P4" i="394"/>
  <c r="P5" i="394"/>
  <c r="P6" i="394"/>
  <c r="P7" i="394"/>
  <c r="P8" i="394"/>
  <c r="P9" i="394"/>
  <c r="P10" i="394"/>
  <c r="P11" i="394"/>
  <c r="R17" i="396"/>
  <c r="J92" i="375" s="1"/>
  <c r="V22" i="396"/>
  <c r="P16" i="397"/>
  <c r="J91" i="375" s="1"/>
  <c r="G101" i="451"/>
  <c r="G98" i="451"/>
  <c r="D32" i="442"/>
  <c r="E16" i="460"/>
  <c r="G154" i="376"/>
  <c r="G111" i="376"/>
  <c r="F111" i="376"/>
  <c r="D48" i="451"/>
  <c r="C86" i="487"/>
  <c r="C81" i="487"/>
  <c r="D206" i="426"/>
  <c r="I49" i="9"/>
  <c r="C107" i="435"/>
  <c r="C109" i="435"/>
  <c r="C110" i="435"/>
  <c r="C111" i="435"/>
  <c r="C112" i="435"/>
  <c r="V8" i="396"/>
  <c r="W8" i="396" s="1"/>
  <c r="V7" i="396"/>
  <c r="W7" i="396" s="1"/>
  <c r="V9" i="396"/>
  <c r="W9" i="396" s="1"/>
  <c r="V10" i="396"/>
  <c r="W10" i="396" s="1"/>
  <c r="V11" i="396"/>
  <c r="W11" i="396" s="1"/>
  <c r="V12" i="396"/>
  <c r="W12" i="396" s="1"/>
  <c r="V13" i="396"/>
  <c r="W13" i="396" s="1"/>
  <c r="V14" i="396"/>
  <c r="W14" i="396" s="1"/>
  <c r="V15" i="396"/>
  <c r="W15" i="396" s="1"/>
  <c r="V16" i="396"/>
  <c r="W16" i="396" s="1"/>
  <c r="V17" i="396"/>
  <c r="W17" i="396" s="1"/>
  <c r="V18" i="396"/>
  <c r="W18" i="396" s="1"/>
  <c r="V19" i="396"/>
  <c r="W19" i="396" s="1"/>
  <c r="V20" i="396"/>
  <c r="W20" i="396" s="1"/>
  <c r="V21" i="396"/>
  <c r="W21" i="396" s="1"/>
  <c r="G19" i="376"/>
  <c r="G25" i="376"/>
  <c r="G93" i="376"/>
  <c r="G99" i="376"/>
  <c r="G102" i="376"/>
  <c r="G141" i="376"/>
  <c r="G144" i="376"/>
  <c r="G126" i="376"/>
  <c r="G129" i="376"/>
  <c r="D38" i="362"/>
  <c r="H22" i="442"/>
  <c r="H71" i="442"/>
  <c r="H90" i="442"/>
  <c r="K90" i="442" s="1"/>
  <c r="H93" i="442"/>
  <c r="K93" i="442" s="1"/>
  <c r="H99" i="442"/>
  <c r="H107" i="442"/>
  <c r="H110" i="442"/>
  <c r="H169" i="442"/>
  <c r="J58" i="454"/>
  <c r="I63" i="435" s="1"/>
  <c r="I77" i="435"/>
  <c r="L234" i="489" s="1"/>
  <c r="J14" i="6"/>
  <c r="J8" i="6"/>
  <c r="I71" i="435"/>
  <c r="J86" i="6"/>
  <c r="I82" i="435" s="1"/>
  <c r="L239" i="489" s="1"/>
  <c r="J83" i="6"/>
  <c r="I81" i="435" s="1"/>
  <c r="L238" i="489" s="1"/>
  <c r="J38" i="6"/>
  <c r="J44" i="6"/>
  <c r="J53" i="6"/>
  <c r="I76" i="435" s="1"/>
  <c r="L233" i="489" s="1"/>
  <c r="G63" i="6"/>
  <c r="G67" i="6"/>
  <c r="J73" i="6"/>
  <c r="I79" i="435" s="1"/>
  <c r="L236" i="489" s="1"/>
  <c r="J85" i="454"/>
  <c r="I83" i="435" s="1"/>
  <c r="L240" i="489" s="1"/>
  <c r="H20" i="470"/>
  <c r="C6" i="470"/>
  <c r="E6" i="470"/>
  <c r="H6" i="470"/>
  <c r="K9" i="470"/>
  <c r="J113" i="454"/>
  <c r="I119" i="435" s="1"/>
  <c r="J116" i="454"/>
  <c r="I120" i="435" s="1"/>
  <c r="C16" i="460"/>
  <c r="G24" i="460"/>
  <c r="B89" i="468"/>
  <c r="I21" i="6"/>
  <c r="H71" i="435" s="1"/>
  <c r="C4" i="132"/>
  <c r="B29" i="424" s="1"/>
  <c r="G11" i="132"/>
  <c r="K228" i="376" s="1"/>
  <c r="C11" i="132"/>
  <c r="B264" i="376" s="1"/>
  <c r="C16" i="477"/>
  <c r="B25" i="424" s="1"/>
  <c r="H16" i="477"/>
  <c r="D25" i="424" s="1"/>
  <c r="H19" i="477"/>
  <c r="C22" i="477"/>
  <c r="C25" i="424" s="1"/>
  <c r="H22" i="477"/>
  <c r="F25" i="424" s="1"/>
  <c r="C6" i="477"/>
  <c r="H5" i="103"/>
  <c r="I157" i="424" s="1"/>
  <c r="P10" i="103"/>
  <c r="G87" i="451"/>
  <c r="G10" i="92"/>
  <c r="D144" i="442"/>
  <c r="H32" i="435" s="1"/>
  <c r="D141" i="442"/>
  <c r="H31" i="435" s="1"/>
  <c r="J13" i="442"/>
  <c r="J71" i="442"/>
  <c r="J99" i="442"/>
  <c r="J122" i="442"/>
  <c r="J10" i="442"/>
  <c r="J68" i="442"/>
  <c r="J96" i="442"/>
  <c r="C44" i="382"/>
  <c r="H43" i="382" s="1"/>
  <c r="P9" i="103"/>
  <c r="D16" i="103"/>
  <c r="C24" i="460"/>
  <c r="G5" i="445"/>
  <c r="H104" i="451" s="1"/>
  <c r="G20" i="449"/>
  <c r="E73" i="424" s="1"/>
  <c r="D40" i="451"/>
  <c r="G11" i="83"/>
  <c r="C10" i="83"/>
  <c r="E78" i="3" s="1"/>
  <c r="C1" i="474"/>
  <c r="M74" i="481"/>
  <c r="G60" i="481"/>
  <c r="G39" i="481"/>
  <c r="L73" i="481"/>
  <c r="L15" i="481"/>
  <c r="L35" i="481"/>
  <c r="L70" i="481"/>
  <c r="M72" i="481" s="1"/>
  <c r="L40" i="481"/>
  <c r="L55" i="481"/>
  <c r="L61" i="481"/>
  <c r="L67" i="481"/>
  <c r="I67" i="481"/>
  <c r="M66" i="481" s="1"/>
  <c r="F67" i="481"/>
  <c r="F64" i="481"/>
  <c r="J66" i="481" s="1"/>
  <c r="F58" i="481"/>
  <c r="J60" i="481"/>
  <c r="I61" i="481"/>
  <c r="M60" i="481" s="1"/>
  <c r="F61" i="481"/>
  <c r="F49" i="481"/>
  <c r="F43" i="481"/>
  <c r="I55" i="481"/>
  <c r="G57" i="481" s="1"/>
  <c r="F55" i="481"/>
  <c r="F52" i="481"/>
  <c r="J54" i="481" s="1"/>
  <c r="F46" i="481"/>
  <c r="G51" i="481" s="1"/>
  <c r="F37" i="481"/>
  <c r="I40" i="481"/>
  <c r="F40" i="481"/>
  <c r="J39" i="481"/>
  <c r="L20" i="481"/>
  <c r="L26" i="481"/>
  <c r="M34" i="481" s="1"/>
  <c r="L32" i="481"/>
  <c r="I32" i="481"/>
  <c r="M31" i="481" s="1"/>
  <c r="F32" i="481"/>
  <c r="F29" i="481"/>
  <c r="J31" i="481" s="1"/>
  <c r="F23" i="481"/>
  <c r="J25" i="481"/>
  <c r="I26" i="481"/>
  <c r="M25" i="481" s="1"/>
  <c r="F26" i="481"/>
  <c r="F12" i="481"/>
  <c r="I12" i="481"/>
  <c r="M11" i="481" s="1"/>
  <c r="F17" i="481"/>
  <c r="I20" i="481"/>
  <c r="M19" i="481" s="1"/>
  <c r="F20" i="481"/>
  <c r="F6" i="481"/>
  <c r="G19" i="481" s="1"/>
  <c r="I6" i="481"/>
  <c r="M5" i="481" s="1"/>
  <c r="L6" i="481"/>
  <c r="M14" i="481" s="1"/>
  <c r="L12" i="481"/>
  <c r="F9" i="481"/>
  <c r="J11" i="481" s="1"/>
  <c r="F3" i="481"/>
  <c r="A20" i="32"/>
  <c r="C3" i="480"/>
  <c r="E26" i="460"/>
  <c r="C16" i="479"/>
  <c r="I82" i="9" s="1"/>
  <c r="C12" i="479"/>
  <c r="C13" i="479"/>
  <c r="C204" i="426" s="1"/>
  <c r="C5" i="479"/>
  <c r="C9" i="479"/>
  <c r="C8" i="479"/>
  <c r="C81" i="424"/>
  <c r="C4" i="479"/>
  <c r="C17" i="390"/>
  <c r="C20" i="390"/>
  <c r="G20" i="390"/>
  <c r="A52" i="48"/>
  <c r="F5" i="132"/>
  <c r="H6" i="477"/>
  <c r="D21" i="424" s="1"/>
  <c r="C9" i="477"/>
  <c r="H9" i="477"/>
  <c r="P8" i="103"/>
  <c r="H8" i="103"/>
  <c r="P11" i="103" s="1"/>
  <c r="G9" i="386"/>
  <c r="C35" i="476"/>
  <c r="C52" i="132"/>
  <c r="C17" i="362" s="1"/>
  <c r="I38" i="476"/>
  <c r="I35" i="476"/>
  <c r="I32" i="476"/>
  <c r="I29" i="476"/>
  <c r="I23" i="476"/>
  <c r="I26" i="476"/>
  <c r="H71" i="32"/>
  <c r="H61" i="32"/>
  <c r="I67" i="32" s="1"/>
  <c r="H58" i="32"/>
  <c r="C14" i="386"/>
  <c r="I53" i="32" s="1"/>
  <c r="G14" i="386"/>
  <c r="I54" i="32" s="1"/>
  <c r="C9" i="386"/>
  <c r="C13" i="362" s="1"/>
  <c r="C22" i="386"/>
  <c r="C6" i="386"/>
  <c r="C11" i="362" s="1"/>
  <c r="I32" i="6"/>
  <c r="I39" i="454"/>
  <c r="I35" i="6"/>
  <c r="I18" i="6"/>
  <c r="H70" i="435" s="1"/>
  <c r="I56" i="6"/>
  <c r="H77" i="435" s="1"/>
  <c r="I5" i="6"/>
  <c r="I8" i="6"/>
  <c r="I11" i="6"/>
  <c r="I14" i="6"/>
  <c r="J119" i="442"/>
  <c r="G24" i="435"/>
  <c r="I41" i="476"/>
  <c r="J166" i="7" s="1"/>
  <c r="G14" i="131"/>
  <c r="G19" i="7" s="1"/>
  <c r="C27" i="460"/>
  <c r="G97" i="392"/>
  <c r="G7" i="92"/>
  <c r="C137" i="424" s="1"/>
  <c r="B140" i="391"/>
  <c r="J20" i="83"/>
  <c r="M117" i="424" s="1"/>
  <c r="G5" i="451"/>
  <c r="G22" i="92"/>
  <c r="G71" i="442"/>
  <c r="G53" i="442"/>
  <c r="K52" i="442" s="1"/>
  <c r="G38" i="442"/>
  <c r="D53" i="442"/>
  <c r="D38" i="442"/>
  <c r="E43" i="442" s="1"/>
  <c r="G22" i="442"/>
  <c r="D35" i="442"/>
  <c r="G35" i="442"/>
  <c r="K34" i="442" s="1"/>
  <c r="J102" i="442"/>
  <c r="J125" i="442"/>
  <c r="J16" i="442"/>
  <c r="J74" i="442"/>
  <c r="J35" i="442"/>
  <c r="K67" i="442" s="1"/>
  <c r="J53" i="442"/>
  <c r="G56" i="442"/>
  <c r="H64" i="442" s="1"/>
  <c r="D56" i="442"/>
  <c r="D14" i="445"/>
  <c r="C14" i="445"/>
  <c r="H70" i="442" s="1"/>
  <c r="G19" i="92"/>
  <c r="C14" i="491" s="1"/>
  <c r="R8" i="396"/>
  <c r="S8" i="396" s="1"/>
  <c r="R7" i="396"/>
  <c r="S7" i="396" s="1"/>
  <c r="R9" i="396"/>
  <c r="S9" i="396" s="1"/>
  <c r="R10" i="396"/>
  <c r="S10" i="396" s="1"/>
  <c r="R11" i="396"/>
  <c r="S11" i="396" s="1"/>
  <c r="R12" i="396"/>
  <c r="S12" i="396" s="1"/>
  <c r="R13" i="396"/>
  <c r="S13" i="396" s="1"/>
  <c r="R14" i="396"/>
  <c r="S14" i="396" s="1"/>
  <c r="R15" i="396"/>
  <c r="S15" i="396" s="1"/>
  <c r="R16" i="396"/>
  <c r="S16" i="396" s="1"/>
  <c r="C7" i="92"/>
  <c r="B137" i="424" s="1"/>
  <c r="C78" i="391"/>
  <c r="B34" i="458"/>
  <c r="B29" i="473" s="1"/>
  <c r="B5" i="462"/>
  <c r="AL4" i="473"/>
  <c r="AI4" i="473"/>
  <c r="A25" i="460"/>
  <c r="E69" i="375"/>
  <c r="G153" i="382"/>
  <c r="H175" i="382" s="1"/>
  <c r="G62" i="382"/>
  <c r="C79" i="435" s="1"/>
  <c r="C62" i="382"/>
  <c r="H61" i="382" s="1"/>
  <c r="G59" i="382"/>
  <c r="C76" i="435" s="1"/>
  <c r="G56" i="382"/>
  <c r="G44" i="382"/>
  <c r="C70" i="435" s="1"/>
  <c r="G41" i="382"/>
  <c r="C68" i="435" s="1"/>
  <c r="G38" i="382"/>
  <c r="C65" i="435" s="1"/>
  <c r="G32" i="382"/>
  <c r="G23" i="382"/>
  <c r="C23" i="382"/>
  <c r="H22" i="382" s="1"/>
  <c r="G17" i="382"/>
  <c r="A26" i="460"/>
  <c r="I53" i="6"/>
  <c r="H76" i="435" s="1"/>
  <c r="I47" i="6"/>
  <c r="I50" i="6"/>
  <c r="I38" i="6"/>
  <c r="I41" i="6"/>
  <c r="I44" i="6"/>
  <c r="G198" i="442"/>
  <c r="G169" i="442"/>
  <c r="G25" i="435"/>
  <c r="C114" i="435"/>
  <c r="C59" i="382"/>
  <c r="H58" i="382" s="1"/>
  <c r="C56" i="382"/>
  <c r="H55" i="382" s="1"/>
  <c r="C41" i="382"/>
  <c r="H40" i="382" s="1"/>
  <c r="C38" i="382"/>
  <c r="C32" i="382"/>
  <c r="H31" i="382" s="1"/>
  <c r="C17" i="382"/>
  <c r="H16" i="382" s="1"/>
  <c r="G11" i="382"/>
  <c r="G66" i="451"/>
  <c r="C21" i="435" s="1"/>
  <c r="G54" i="451"/>
  <c r="C18" i="435" s="1"/>
  <c r="G44" i="451"/>
  <c r="G75" i="451"/>
  <c r="G80" i="451"/>
  <c r="G21" i="451"/>
  <c r="G63" i="451"/>
  <c r="C15" i="435" s="1"/>
  <c r="I35" i="2"/>
  <c r="C6" i="435" s="1"/>
  <c r="I14" i="2"/>
  <c r="C3" i="435" s="1"/>
  <c r="B102" i="435"/>
  <c r="D68" i="457"/>
  <c r="D6" i="49"/>
  <c r="B5" i="49"/>
  <c r="D4" i="49"/>
  <c r="D3" i="49"/>
  <c r="H165" i="426"/>
  <c r="H166" i="426" s="1"/>
  <c r="H32" i="32"/>
  <c r="I3" i="32"/>
  <c r="I6" i="32"/>
  <c r="H36" i="32"/>
  <c r="I38" i="32" s="1"/>
  <c r="H9" i="32"/>
  <c r="G25" i="386"/>
  <c r="K161" i="424" s="1"/>
  <c r="I5" i="32"/>
  <c r="G22" i="386"/>
  <c r="I2" i="32" s="1"/>
  <c r="H75" i="32"/>
  <c r="H39" i="32"/>
  <c r="B111" i="454" s="1"/>
  <c r="H42" i="32"/>
  <c r="H51" i="32"/>
  <c r="H48" i="32"/>
  <c r="I50" i="32" s="1"/>
  <c r="H3" i="32"/>
  <c r="H6" i="32"/>
  <c r="H12" i="32"/>
  <c r="H19" i="32"/>
  <c r="I26" i="32" s="1"/>
  <c r="J81" i="454"/>
  <c r="J198" i="442"/>
  <c r="J163" i="7" s="1"/>
  <c r="J138" i="442"/>
  <c r="J160" i="7" s="1"/>
  <c r="E101" i="375"/>
  <c r="Q232" i="375" s="1"/>
  <c r="L71" i="375"/>
  <c r="L63" i="375"/>
  <c r="F276" i="375" s="1"/>
  <c r="L52" i="375"/>
  <c r="Q217" i="375" s="1"/>
  <c r="L47" i="375"/>
  <c r="L74" i="375"/>
  <c r="P77" i="375"/>
  <c r="B78" i="375" s="1"/>
  <c r="P71" i="375"/>
  <c r="P74" i="375"/>
  <c r="L66" i="375"/>
  <c r="E71" i="375"/>
  <c r="E63" i="375"/>
  <c r="L55" i="375"/>
  <c r="E60" i="375"/>
  <c r="E52" i="375"/>
  <c r="F217" i="375" s="1"/>
  <c r="E49" i="375"/>
  <c r="F213" i="375" s="1"/>
  <c r="L37" i="375"/>
  <c r="B314" i="375" s="1"/>
  <c r="L44" i="375"/>
  <c r="E44" i="375"/>
  <c r="E41" i="375"/>
  <c r="D13" i="451"/>
  <c r="G11" i="131"/>
  <c r="G20" i="445"/>
  <c r="H23" i="445" s="1"/>
  <c r="G17" i="445"/>
  <c r="H98" i="442" s="1"/>
  <c r="G14" i="445"/>
  <c r="H92" i="442" s="1"/>
  <c r="G11" i="445"/>
  <c r="H89" i="442"/>
  <c r="C11" i="445"/>
  <c r="H21" i="442" s="1"/>
  <c r="G122" i="442"/>
  <c r="J113" i="442"/>
  <c r="J116" i="442"/>
  <c r="G107" i="442"/>
  <c r="G113" i="442"/>
  <c r="K112" i="442" s="1"/>
  <c r="G110" i="442"/>
  <c r="G99" i="442"/>
  <c r="J90" i="442"/>
  <c r="J93" i="442"/>
  <c r="G93" i="442"/>
  <c r="K92" i="442" s="1"/>
  <c r="G90" i="442"/>
  <c r="K89" i="442" s="1"/>
  <c r="G13" i="442"/>
  <c r="J4" i="442"/>
  <c r="J7" i="442"/>
  <c r="G7" i="442"/>
  <c r="G4" i="442"/>
  <c r="J85" i="6"/>
  <c r="C15" i="448"/>
  <c r="D19" i="103"/>
  <c r="J72" i="6" s="1"/>
  <c r="D22" i="103"/>
  <c r="G157" i="424" s="1"/>
  <c r="G52" i="83"/>
  <c r="AA117" i="424" s="1"/>
  <c r="G55" i="83"/>
  <c r="AB117" i="424" s="1"/>
  <c r="J55" i="83"/>
  <c r="AC117" i="424" s="1"/>
  <c r="C25" i="83"/>
  <c r="C28" i="83"/>
  <c r="J113" i="424" s="1"/>
  <c r="C20" i="74"/>
  <c r="J37" i="6" s="1"/>
  <c r="C17" i="449"/>
  <c r="J7" i="6"/>
  <c r="F59" i="6"/>
  <c r="F60" i="6"/>
  <c r="S21" i="48" s="1"/>
  <c r="D51" i="451"/>
  <c r="I71" i="48" s="1"/>
  <c r="C18" i="448"/>
  <c r="G69" i="451"/>
  <c r="AT101" i="381" s="1"/>
  <c r="G58" i="451"/>
  <c r="R19" i="48"/>
  <c r="R22" i="48"/>
  <c r="R28" i="48"/>
  <c r="R47" i="48"/>
  <c r="R53" i="48"/>
  <c r="R56" i="48"/>
  <c r="H56" i="48"/>
  <c r="S55" i="48" s="1"/>
  <c r="H28" i="48"/>
  <c r="H22" i="48"/>
  <c r="M119" i="48"/>
  <c r="M96" i="48"/>
  <c r="F45" i="381" s="1"/>
  <c r="M59" i="48"/>
  <c r="F32" i="381" s="1"/>
  <c r="M33" i="48"/>
  <c r="C102" i="48"/>
  <c r="C108" i="48"/>
  <c r="C112" i="48"/>
  <c r="H68" i="48"/>
  <c r="C44" i="48"/>
  <c r="H59" i="48"/>
  <c r="C15" i="48"/>
  <c r="C20" i="426" s="1"/>
  <c r="H33" i="48"/>
  <c r="C39" i="48"/>
  <c r="H119" i="48"/>
  <c r="H44" i="435" s="1"/>
  <c r="H47" i="48"/>
  <c r="H50" i="48"/>
  <c r="H53" i="48"/>
  <c r="H19" i="48"/>
  <c r="G19" i="386"/>
  <c r="J53" i="7" s="1"/>
  <c r="C19" i="386"/>
  <c r="G161" i="424" s="1"/>
  <c r="K164" i="9"/>
  <c r="K96" i="9"/>
  <c r="K148" i="9"/>
  <c r="J46" i="7" s="1"/>
  <c r="H131" i="9"/>
  <c r="I141" i="9" s="1"/>
  <c r="K145" i="9"/>
  <c r="H142" i="9"/>
  <c r="L144" i="9" s="1"/>
  <c r="O130" i="9"/>
  <c r="H139" i="9"/>
  <c r="I135" i="9" s="1"/>
  <c r="O129" i="9"/>
  <c r="O128" i="9"/>
  <c r="O127" i="9"/>
  <c r="K74" i="9"/>
  <c r="I89" i="9" s="1"/>
  <c r="K93" i="9"/>
  <c r="H90" i="9"/>
  <c r="L92" i="9" s="1"/>
  <c r="H87" i="9"/>
  <c r="I83" i="9" s="1"/>
  <c r="K67" i="9"/>
  <c r="K43" i="9"/>
  <c r="K64" i="9"/>
  <c r="H55" i="9"/>
  <c r="H61" i="9"/>
  <c r="E61" i="9"/>
  <c r="C9" i="426" s="1"/>
  <c r="E58" i="9"/>
  <c r="H52" i="9"/>
  <c r="I54" i="9" s="1"/>
  <c r="O45" i="9"/>
  <c r="N45" i="9"/>
  <c r="H46" i="9"/>
  <c r="I402" i="3" s="1"/>
  <c r="H49" i="9"/>
  <c r="N43" i="9"/>
  <c r="I434" i="3"/>
  <c r="D32" i="451"/>
  <c r="B74" i="462"/>
  <c r="Q17" i="473" s="1"/>
  <c r="F99" i="376"/>
  <c r="F102" i="376"/>
  <c r="F105" i="376"/>
  <c r="F108" i="376"/>
  <c r="C14" i="449"/>
  <c r="J187" i="2" s="1"/>
  <c r="C5" i="449"/>
  <c r="C8" i="449"/>
  <c r="D17" i="449" s="1"/>
  <c r="C11" i="449"/>
  <c r="C69" i="424"/>
  <c r="G11" i="449"/>
  <c r="D21" i="2" s="1"/>
  <c r="G24" i="376"/>
  <c r="G14" i="449"/>
  <c r="G17" i="449"/>
  <c r="E85" i="424"/>
  <c r="F138" i="376"/>
  <c r="F141" i="376"/>
  <c r="F144" i="376"/>
  <c r="F147" i="376"/>
  <c r="G140" i="376"/>
  <c r="J13" i="424"/>
  <c r="F126" i="376"/>
  <c r="F129" i="376"/>
  <c r="F132" i="376"/>
  <c r="F135" i="376"/>
  <c r="C5" i="470"/>
  <c r="AL3" i="473"/>
  <c r="BD3" i="473"/>
  <c r="B18" i="464"/>
  <c r="Z15" i="473"/>
  <c r="C8" i="74"/>
  <c r="P7" i="397"/>
  <c r="Q7" i="397" s="1"/>
  <c r="P6" i="397"/>
  <c r="Q6" i="397" s="1"/>
  <c r="P8" i="397"/>
  <c r="Q8" i="397" s="1"/>
  <c r="P9" i="397"/>
  <c r="Q9" i="397" s="1"/>
  <c r="P10" i="397"/>
  <c r="Q10" i="397" s="1"/>
  <c r="P11" i="397"/>
  <c r="Q11" i="397" s="1"/>
  <c r="P12" i="397"/>
  <c r="Q12" i="397" s="1"/>
  <c r="P13" i="397"/>
  <c r="Q13" i="397" s="1"/>
  <c r="P14" i="397"/>
  <c r="Q14" i="397" s="1"/>
  <c r="P15" i="397"/>
  <c r="Q15" i="397" s="1"/>
  <c r="G140" i="424"/>
  <c r="E20" i="470"/>
  <c r="H17" i="470"/>
  <c r="E17" i="470"/>
  <c r="I11" i="2"/>
  <c r="I31" i="2"/>
  <c r="E314" i="3" s="1"/>
  <c r="J7" i="83"/>
  <c r="C7" i="83"/>
  <c r="C113" i="424" s="1"/>
  <c r="K7" i="80"/>
  <c r="F63" i="2" s="1"/>
  <c r="C5" i="103"/>
  <c r="B157" i="424" s="1"/>
  <c r="G7" i="80"/>
  <c r="G10" i="80"/>
  <c r="H109" i="424" s="1"/>
  <c r="G13" i="80"/>
  <c r="I109" i="424" s="1"/>
  <c r="D11" i="451"/>
  <c r="H20" i="451" s="1"/>
  <c r="C7" i="80"/>
  <c r="C109" i="424" s="1"/>
  <c r="C13" i="80"/>
  <c r="E4" i="47" s="1"/>
  <c r="G42" i="83"/>
  <c r="H4" i="451" s="1"/>
  <c r="D10" i="451"/>
  <c r="D138" i="2"/>
  <c r="G36" i="102"/>
  <c r="O149" i="424" s="1"/>
  <c r="K19" i="80"/>
  <c r="K75" i="392" s="1"/>
  <c r="K16" i="80"/>
  <c r="K10" i="80"/>
  <c r="M169" i="3" s="1"/>
  <c r="G52" i="95"/>
  <c r="U141" i="424" s="1"/>
  <c r="O15" i="95"/>
  <c r="F125" i="2" s="1"/>
  <c r="AK141" i="424"/>
  <c r="AL141" i="424"/>
  <c r="K42" i="95"/>
  <c r="C22" i="83"/>
  <c r="F4" i="452" s="1"/>
  <c r="J52" i="83"/>
  <c r="I13" i="424"/>
  <c r="K27" i="95"/>
  <c r="AB158" i="391" s="1"/>
  <c r="O39" i="95"/>
  <c r="F15" i="452" s="1"/>
  <c r="AX3" i="473"/>
  <c r="AU3" i="473"/>
  <c r="D11" i="362"/>
  <c r="D13" i="362"/>
  <c r="D17" i="362"/>
  <c r="F57" i="376"/>
  <c r="F90" i="376"/>
  <c r="J204" i="376"/>
  <c r="K232" i="376" s="1"/>
  <c r="J226" i="376"/>
  <c r="J229" i="376"/>
  <c r="J164" i="376"/>
  <c r="J258" i="376"/>
  <c r="C6" i="102"/>
  <c r="C32" i="102"/>
  <c r="K11" i="102"/>
  <c r="C15" i="102"/>
  <c r="C24" i="102"/>
  <c r="H149" i="424" s="1"/>
  <c r="G11" i="102"/>
  <c r="C28" i="102"/>
  <c r="G20" i="102"/>
  <c r="K15" i="102"/>
  <c r="J16" i="376"/>
  <c r="F19" i="376"/>
  <c r="F22" i="376"/>
  <c r="F25" i="376"/>
  <c r="F28" i="376"/>
  <c r="F53" i="376"/>
  <c r="F93" i="376"/>
  <c r="F96" i="376"/>
  <c r="G45" i="83"/>
  <c r="G18" i="95"/>
  <c r="G24" i="95"/>
  <c r="G141" i="424" s="1"/>
  <c r="G40" i="95"/>
  <c r="G46" i="95"/>
  <c r="J118" i="376"/>
  <c r="F151" i="376"/>
  <c r="F154" i="376"/>
  <c r="J161" i="376"/>
  <c r="C11" i="74"/>
  <c r="F173" i="376"/>
  <c r="F176" i="376"/>
  <c r="F179" i="376"/>
  <c r="F182" i="376"/>
  <c r="F185" i="376"/>
  <c r="F188" i="376"/>
  <c r="K21" i="95"/>
  <c r="F128" i="2" s="1"/>
  <c r="F191" i="376"/>
  <c r="F194" i="376"/>
  <c r="F197" i="376"/>
  <c r="J201" i="376"/>
  <c r="J223" i="376"/>
  <c r="G6" i="102"/>
  <c r="H79" i="451" s="1"/>
  <c r="O6" i="102"/>
  <c r="O35" i="95"/>
  <c r="AN141" i="424" s="1"/>
  <c r="J50" i="392"/>
  <c r="J53" i="392"/>
  <c r="J56" i="392"/>
  <c r="J59" i="392"/>
  <c r="J62" i="392"/>
  <c r="M68" i="392"/>
  <c r="J73" i="392"/>
  <c r="J76" i="392"/>
  <c r="C19" i="83"/>
  <c r="K78" i="392" s="1"/>
  <c r="J79" i="392"/>
  <c r="M14" i="83"/>
  <c r="K81" i="392" s="1"/>
  <c r="J82" i="392"/>
  <c r="G85" i="392"/>
  <c r="G88" i="392"/>
  <c r="G91" i="392"/>
  <c r="J97" i="392"/>
  <c r="G100" i="392"/>
  <c r="H56" i="435" s="1"/>
  <c r="J100" i="392"/>
  <c r="J103" i="392"/>
  <c r="C4" i="80"/>
  <c r="B109" i="424" s="1"/>
  <c r="G4" i="80"/>
  <c r="F109" i="424" s="1"/>
  <c r="C18" i="95"/>
  <c r="C24" i="95"/>
  <c r="F141" i="424" s="1"/>
  <c r="C40" i="95"/>
  <c r="N141" i="424" s="1"/>
  <c r="C46" i="95"/>
  <c r="Q141" i="424" s="1"/>
  <c r="C52" i="95"/>
  <c r="T141" i="424" s="1"/>
  <c r="K15" i="95"/>
  <c r="AD141" i="424" s="1"/>
  <c r="O27" i="95"/>
  <c r="AJ141" i="424" s="1"/>
  <c r="K6" i="102"/>
  <c r="P149" i="424" s="1"/>
  <c r="C11" i="102"/>
  <c r="D149" i="424" s="1"/>
  <c r="C20" i="102"/>
  <c r="G149" i="424" s="1"/>
  <c r="C16" i="80"/>
  <c r="C10" i="95"/>
  <c r="G198" i="7" s="1"/>
  <c r="H136" i="426"/>
  <c r="I136" i="426" s="1"/>
  <c r="J135" i="426" s="1"/>
  <c r="E5" i="452"/>
  <c r="E9" i="452"/>
  <c r="G28" i="102"/>
  <c r="F62" i="452"/>
  <c r="E5" i="2"/>
  <c r="E8" i="2"/>
  <c r="E11" i="2"/>
  <c r="E20" i="2"/>
  <c r="E21" i="2"/>
  <c r="I21" i="2"/>
  <c r="C4" i="435" s="1"/>
  <c r="K35" i="102"/>
  <c r="E335" i="3" s="1"/>
  <c r="O24" i="102"/>
  <c r="M94" i="7" s="1"/>
  <c r="K24" i="102"/>
  <c r="D162" i="2" s="1"/>
  <c r="G24" i="102"/>
  <c r="C5" i="445"/>
  <c r="D173" i="2" s="1"/>
  <c r="H1" i="390"/>
  <c r="G2" i="103"/>
  <c r="C9" i="103"/>
  <c r="C157" i="424" s="1"/>
  <c r="C12" i="103"/>
  <c r="G32" i="102"/>
  <c r="N149" i="424" s="1"/>
  <c r="J16" i="397"/>
  <c r="J13" i="95"/>
  <c r="Q30" i="95"/>
  <c r="E2" i="74"/>
  <c r="I2" i="74"/>
  <c r="I5" i="77"/>
  <c r="C15" i="77"/>
  <c r="G11" i="77"/>
  <c r="E97" i="424" s="1"/>
  <c r="G15" i="77"/>
  <c r="F97" i="424" s="1"/>
  <c r="C19" i="77"/>
  <c r="D97" i="424" s="1"/>
  <c r="G19" i="77"/>
  <c r="G97" i="424" s="1"/>
  <c r="C4" i="50"/>
  <c r="D7" i="50" s="1"/>
  <c r="K4" i="50"/>
  <c r="L7" i="50" s="1"/>
  <c r="C7" i="50"/>
  <c r="J4" i="6" s="1"/>
  <c r="K7" i="50"/>
  <c r="D93" i="424" s="1"/>
  <c r="C10" i="50"/>
  <c r="K10" i="50"/>
  <c r="E93" i="424" s="1"/>
  <c r="C16" i="50"/>
  <c r="G16" i="50"/>
  <c r="K16" i="50"/>
  <c r="F93" i="424" s="1"/>
  <c r="O16" i="50"/>
  <c r="J93" i="424" s="1"/>
  <c r="C19" i="50"/>
  <c r="G89" i="424" s="1"/>
  <c r="G19" i="50"/>
  <c r="K89" i="424" s="1"/>
  <c r="K19" i="50"/>
  <c r="G93" i="424"/>
  <c r="O19" i="50"/>
  <c r="K93" i="424" s="1"/>
  <c r="C22" i="50"/>
  <c r="H89" i="424" s="1"/>
  <c r="G22" i="50"/>
  <c r="L89" i="424" s="1"/>
  <c r="K22" i="50"/>
  <c r="H93" i="424" s="1"/>
  <c r="O22" i="50"/>
  <c r="L93" i="424" s="1"/>
  <c r="C25" i="50"/>
  <c r="G25" i="50"/>
  <c r="M89" i="424" s="1"/>
  <c r="K25" i="50"/>
  <c r="I93" i="424" s="1"/>
  <c r="O25" i="50"/>
  <c r="M93" i="424" s="1"/>
  <c r="C30" i="50"/>
  <c r="G30" i="50"/>
  <c r="P89" i="424" s="1"/>
  <c r="K30" i="50"/>
  <c r="N93" i="424" s="1"/>
  <c r="O30" i="50"/>
  <c r="P93" i="424" s="1"/>
  <c r="C33" i="50"/>
  <c r="O89" i="424" s="1"/>
  <c r="G33" i="50"/>
  <c r="Q89" i="424" s="1"/>
  <c r="K33" i="50"/>
  <c r="O93" i="424" s="1"/>
  <c r="O33" i="50"/>
  <c r="Q93" i="424" s="1"/>
  <c r="J9" i="445"/>
  <c r="V3" i="131"/>
  <c r="C5" i="131"/>
  <c r="G13" i="7" s="1"/>
  <c r="C20" i="131"/>
  <c r="V6" i="131"/>
  <c r="C8" i="131"/>
  <c r="G16" i="7" s="1"/>
  <c r="G5" i="131"/>
  <c r="J32" i="7" s="1"/>
  <c r="V9" i="131"/>
  <c r="C11" i="131"/>
  <c r="G22" i="7" s="1"/>
  <c r="G8" i="131"/>
  <c r="J77" i="424" s="1"/>
  <c r="C14" i="131"/>
  <c r="C17" i="131"/>
  <c r="M181" i="3" s="1"/>
  <c r="E16" i="396"/>
  <c r="G7" i="120"/>
  <c r="I52" i="48" s="1"/>
  <c r="C5" i="120"/>
  <c r="J79" i="6" s="1"/>
  <c r="C13" i="120"/>
  <c r="G13" i="120"/>
  <c r="C16" i="120"/>
  <c r="C57" i="424" s="1"/>
  <c r="D16" i="120"/>
  <c r="G16" i="120"/>
  <c r="G57" i="424" s="1"/>
  <c r="H16" i="120"/>
  <c r="C19" i="120"/>
  <c r="G19" i="120"/>
  <c r="H57" i="424" s="1"/>
  <c r="C22" i="120"/>
  <c r="E57" i="424" s="1"/>
  <c r="D22" i="120"/>
  <c r="G22" i="120"/>
  <c r="I57" i="424" s="1"/>
  <c r="C28" i="120"/>
  <c r="B61" i="424" s="1"/>
  <c r="G28" i="120"/>
  <c r="C61" i="424" s="1"/>
  <c r="H168" i="442"/>
  <c r="H4" i="112"/>
  <c r="C4" i="448"/>
  <c r="D66" i="457"/>
  <c r="B1" i="473"/>
  <c r="H3" i="473"/>
  <c r="K3" i="473"/>
  <c r="N3" i="473"/>
  <c r="Q3" i="473"/>
  <c r="T3" i="473"/>
  <c r="W3" i="473"/>
  <c r="Z3" i="473"/>
  <c r="AC3" i="473"/>
  <c r="AF3" i="473"/>
  <c r="AI3" i="473"/>
  <c r="AO3" i="473"/>
  <c r="AR3" i="473"/>
  <c r="BA3" i="473"/>
  <c r="BG3" i="473"/>
  <c r="BJ3" i="473"/>
  <c r="B33" i="473"/>
  <c r="B10" i="473"/>
  <c r="K16" i="473"/>
  <c r="H21" i="473"/>
  <c r="N34" i="473"/>
  <c r="E3" i="473"/>
  <c r="H38" i="473"/>
  <c r="B2" i="424"/>
  <c r="G9" i="424"/>
  <c r="B13" i="424"/>
  <c r="F13" i="424"/>
  <c r="G13" i="424"/>
  <c r="H13" i="424"/>
  <c r="C17" i="424"/>
  <c r="D17" i="424"/>
  <c r="B21" i="424"/>
  <c r="C21" i="424"/>
  <c r="E21" i="424"/>
  <c r="E25" i="424"/>
  <c r="B53" i="424"/>
  <c r="B57" i="424"/>
  <c r="D57" i="424"/>
  <c r="B65" i="424"/>
  <c r="B69" i="424"/>
  <c r="D69" i="424"/>
  <c r="C73" i="424"/>
  <c r="D73" i="424"/>
  <c r="E77" i="424"/>
  <c r="I77" i="424"/>
  <c r="B84" i="424"/>
  <c r="C84" i="424"/>
  <c r="D84" i="424"/>
  <c r="E84" i="424"/>
  <c r="H85" i="424"/>
  <c r="J85" i="424"/>
  <c r="J89" i="424"/>
  <c r="D109" i="424"/>
  <c r="I149" i="424"/>
  <c r="Q149" i="424"/>
  <c r="R149" i="424"/>
  <c r="F157" i="424"/>
  <c r="C161" i="424"/>
  <c r="F161" i="424"/>
  <c r="I161" i="424"/>
  <c r="J161" i="424"/>
  <c r="C10" i="470"/>
  <c r="E10" i="470"/>
  <c r="C13" i="470"/>
  <c r="C8" i="460"/>
  <c r="E8" i="460"/>
  <c r="J12" i="460"/>
  <c r="C12" i="460"/>
  <c r="E12" i="460"/>
  <c r="G12" i="460"/>
  <c r="C21" i="460"/>
  <c r="E21" i="460"/>
  <c r="G21" i="460"/>
  <c r="C23" i="460"/>
  <c r="E23" i="460"/>
  <c r="G23" i="460"/>
  <c r="E24" i="460"/>
  <c r="C26" i="460"/>
  <c r="G26" i="460"/>
  <c r="E27" i="460"/>
  <c r="B96" i="462"/>
  <c r="Q39" i="473" s="1"/>
  <c r="D31" i="32"/>
  <c r="C20" i="32"/>
  <c r="F89" i="424"/>
  <c r="I69" i="32"/>
  <c r="I56" i="32"/>
  <c r="E64" i="32"/>
  <c r="H154" i="382"/>
  <c r="H4" i="435"/>
  <c r="G128" i="376"/>
  <c r="M23" i="480"/>
  <c r="F43" i="375"/>
  <c r="D137" i="424"/>
  <c r="O109" i="424"/>
  <c r="D113" i="424"/>
  <c r="I117" i="424"/>
  <c r="E63" i="32"/>
  <c r="B82" i="462"/>
  <c r="Q25" i="473" s="1"/>
  <c r="B89" i="462"/>
  <c r="Q32" i="473" s="1"/>
  <c r="T106" i="391"/>
  <c r="H42" i="394"/>
  <c r="D79" i="487"/>
  <c r="J52" i="6"/>
  <c r="D161" i="424"/>
  <c r="J20" i="6"/>
  <c r="B161" i="424"/>
  <c r="D89" i="424"/>
  <c r="K85" i="424"/>
  <c r="E69" i="424"/>
  <c r="E13" i="424"/>
  <c r="C13" i="424"/>
  <c r="G110" i="376"/>
  <c r="L21" i="396"/>
  <c r="H65" i="451"/>
  <c r="J43" i="6"/>
  <c r="G109" i="424"/>
  <c r="Z17" i="473"/>
  <c r="T142" i="391"/>
  <c r="J115" i="454"/>
  <c r="B81" i="424"/>
  <c r="G8" i="481"/>
  <c r="G22" i="481"/>
  <c r="G42" i="481"/>
  <c r="M39" i="481"/>
  <c r="C85" i="424"/>
  <c r="H97" i="451"/>
  <c r="E157" i="424"/>
  <c r="D157" i="424"/>
  <c r="B93" i="462"/>
  <c r="Q36" i="473" s="1"/>
  <c r="B94" i="462"/>
  <c r="Q37" i="473" s="1"/>
  <c r="Z16" i="473"/>
  <c r="B97" i="462"/>
  <c r="Q40" i="473" s="1"/>
  <c r="B100" i="462"/>
  <c r="D100" i="424" s="1"/>
  <c r="Z26" i="473"/>
  <c r="E46" i="132"/>
  <c r="F40" i="132"/>
  <c r="L230" i="489" l="1"/>
  <c r="L229" i="489"/>
  <c r="L228" i="489"/>
  <c r="L210" i="489"/>
  <c r="M487" i="3"/>
  <c r="F7" i="381"/>
  <c r="M85" i="4"/>
  <c r="R70" i="381"/>
  <c r="I89" i="424"/>
  <c r="G9" i="376"/>
  <c r="B74" i="32"/>
  <c r="B429" i="3"/>
  <c r="I371" i="3"/>
  <c r="J135" i="2"/>
  <c r="DO8" i="464"/>
  <c r="DO4" i="458"/>
  <c r="DO10" i="463"/>
  <c r="DO11" i="463"/>
  <c r="B207" i="375"/>
  <c r="F47" i="375"/>
  <c r="M483" i="3"/>
  <c r="D33" i="32"/>
  <c r="C75" i="391"/>
  <c r="B63" i="7"/>
  <c r="B36" i="7"/>
  <c r="R18" i="3"/>
  <c r="B461" i="3"/>
  <c r="J154" i="2"/>
  <c r="I72" i="48"/>
  <c r="H54" i="451"/>
  <c r="H57" i="451"/>
  <c r="D19" i="451"/>
  <c r="G104" i="376"/>
  <c r="Y117" i="424"/>
  <c r="C5" i="435"/>
  <c r="J183" i="2"/>
  <c r="I366" i="3"/>
  <c r="C2" i="435"/>
  <c r="J30" i="2"/>
  <c r="F43" i="2"/>
  <c r="G92" i="376"/>
  <c r="F101" i="424"/>
  <c r="G22" i="392"/>
  <c r="E101" i="424"/>
  <c r="K187" i="392"/>
  <c r="EJ4" i="458"/>
  <c r="DS4" i="458"/>
  <c r="JP11" i="463"/>
  <c r="FH11" i="463"/>
  <c r="AC11" i="463"/>
  <c r="EA11" i="463"/>
  <c r="HX4" i="458"/>
  <c r="FO4" i="458"/>
  <c r="EY4" i="458"/>
  <c r="EH4" i="458"/>
  <c r="CX4" i="458"/>
  <c r="BM4" i="458"/>
  <c r="CJ4" i="458"/>
  <c r="JH11" i="463"/>
  <c r="FG10" i="463"/>
  <c r="AC10" i="463"/>
  <c r="DS11" i="463"/>
  <c r="HR4" i="458"/>
  <c r="FM4" i="458"/>
  <c r="EV4" i="458"/>
  <c r="EG4" i="458"/>
  <c r="CV4" i="458"/>
  <c r="BJ4" i="458"/>
  <c r="JD11" i="463"/>
  <c r="Q11" i="463"/>
  <c r="HQ4" i="458"/>
  <c r="FK4" i="458"/>
  <c r="EU4" i="458"/>
  <c r="CP4" i="458"/>
  <c r="BB4" i="458"/>
  <c r="HJ4" i="458"/>
  <c r="HT11" i="463"/>
  <c r="JB4" i="458"/>
  <c r="HI4" i="458"/>
  <c r="FF4" i="458"/>
  <c r="EQ4" i="458"/>
  <c r="CD4" i="458"/>
  <c r="AN4" i="458"/>
  <c r="AM4" i="458"/>
  <c r="IX4" i="458"/>
  <c r="FD4" i="458"/>
  <c r="DR4" i="458"/>
  <c r="GI11" i="463"/>
  <c r="FC4" i="458"/>
  <c r="CJ11" i="463"/>
  <c r="FD11" i="463"/>
  <c r="EE4" i="458"/>
  <c r="BE10" i="463"/>
  <c r="BV10" i="463"/>
  <c r="DX4" i="458"/>
  <c r="IZ4" i="458"/>
  <c r="FE4" i="458"/>
  <c r="EP4" i="458"/>
  <c r="BT4" i="458"/>
  <c r="BD11" i="463"/>
  <c r="AK4" i="458"/>
  <c r="EL11" i="463"/>
  <c r="EN4" i="458"/>
  <c r="FP10" i="463"/>
  <c r="ID4" i="458"/>
  <c r="EM4" i="458"/>
  <c r="DF4" i="458"/>
  <c r="BQ4" i="458"/>
  <c r="FK11" i="463"/>
  <c r="EZ4" i="458"/>
  <c r="IO11" i="463"/>
  <c r="DN11" i="463"/>
  <c r="AT10" i="463"/>
  <c r="HM4" i="458"/>
  <c r="FJ4" i="458"/>
  <c r="ET4" i="458"/>
  <c r="ED4" i="458"/>
  <c r="CN4" i="458"/>
  <c r="AR4" i="458"/>
  <c r="BG4" i="458"/>
  <c r="FI4" i="458"/>
  <c r="CM4" i="458"/>
  <c r="BF4" i="458"/>
  <c r="HU11" i="463"/>
  <c r="FH4" i="458"/>
  <c r="BV11" i="463"/>
  <c r="BE4" i="458"/>
  <c r="DW4" i="458"/>
  <c r="GW11" i="463"/>
  <c r="FZ4" i="458"/>
  <c r="DJ4" i="458"/>
  <c r="BR4" i="458"/>
  <c r="EE11" i="463"/>
  <c r="FB4" i="458"/>
  <c r="ED11" i="463"/>
  <c r="HV11" i="463"/>
  <c r="DC11" i="463"/>
  <c r="BD10" i="463"/>
  <c r="HL4" i="458"/>
  <c r="ES4" i="458"/>
  <c r="DZ4" i="458"/>
  <c r="AP4" i="458"/>
  <c r="CO11" i="463"/>
  <c r="ER4" i="458"/>
  <c r="DY4" i="458"/>
  <c r="CK4" i="458"/>
  <c r="AO4" i="458"/>
  <c r="BE11" i="463"/>
  <c r="BD4" i="458"/>
  <c r="EM11" i="463"/>
  <c r="IE4" i="458"/>
  <c r="AI11" i="463"/>
  <c r="FR4" i="458"/>
  <c r="IC4" i="458"/>
  <c r="FP4" i="458"/>
  <c r="EL4" i="458"/>
  <c r="DD4" i="458"/>
  <c r="BP4" i="458"/>
  <c r="FP8" i="464"/>
  <c r="HB10" i="463"/>
  <c r="GT4" i="458"/>
  <c r="GF4" i="458"/>
  <c r="EO4" i="458"/>
  <c r="BS4" i="458"/>
  <c r="AT11" i="463"/>
  <c r="AI10" i="463"/>
  <c r="CW8" i="464"/>
  <c r="JK59" i="463"/>
  <c r="DR59" i="463"/>
  <c r="AM59" i="463"/>
  <c r="FJ8" i="464"/>
  <c r="BD8" i="464"/>
  <c r="EI37" i="464"/>
  <c r="EM10" i="463"/>
  <c r="CN57" i="463"/>
  <c r="GN57" i="463"/>
  <c r="JH59" i="463"/>
  <c r="EF57" i="463"/>
  <c r="HU10" i="463"/>
  <c r="I59" i="463"/>
  <c r="HO57" i="463"/>
  <c r="AE57" i="463"/>
  <c r="HI59" i="463"/>
  <c r="CL59" i="463"/>
  <c r="Q59" i="463"/>
  <c r="HM8" i="464"/>
  <c r="HB8" i="464"/>
  <c r="JA59" i="463"/>
  <c r="GD59" i="463"/>
  <c r="DJ59" i="463"/>
  <c r="AK59" i="463"/>
  <c r="CD57" i="463"/>
  <c r="FI8" i="464"/>
  <c r="BC8" i="464"/>
  <c r="JM37" i="464"/>
  <c r="DX37" i="464"/>
  <c r="EL10" i="463"/>
  <c r="CL57" i="463"/>
  <c r="HI57" i="463"/>
  <c r="FJ59" i="463"/>
  <c r="EA57" i="463"/>
  <c r="IO10" i="463"/>
  <c r="DU8" i="464"/>
  <c r="FO37" i="464"/>
  <c r="AC57" i="463"/>
  <c r="ES57" i="463"/>
  <c r="L59" i="463"/>
  <c r="HK59" i="463"/>
  <c r="AP59" i="463"/>
  <c r="BY57" i="463"/>
  <c r="IW59" i="463"/>
  <c r="FO59" i="463"/>
  <c r="DC59" i="463"/>
  <c r="AJ59" i="463"/>
  <c r="CB57" i="463"/>
  <c r="EX8" i="464"/>
  <c r="JB37" i="464"/>
  <c r="DY37" i="464"/>
  <c r="EE10" i="463"/>
  <c r="CH57" i="463"/>
  <c r="HJ57" i="463"/>
  <c r="JB59" i="463"/>
  <c r="CS57" i="463"/>
  <c r="JH10" i="463"/>
  <c r="DC10" i="463"/>
  <c r="DR57" i="463"/>
  <c r="IX57" i="463"/>
  <c r="ES59" i="463"/>
  <c r="AA57" i="463"/>
  <c r="EM57" i="463"/>
  <c r="GX57" i="463"/>
  <c r="CH59" i="463"/>
  <c r="GU57" i="463"/>
  <c r="EM37" i="464"/>
  <c r="IX59" i="463"/>
  <c r="FI59" i="463"/>
  <c r="CS59" i="463"/>
  <c r="AH59" i="463"/>
  <c r="ER8" i="464"/>
  <c r="IT37" i="464"/>
  <c r="DM37" i="464"/>
  <c r="ED10" i="463"/>
  <c r="CP57" i="463"/>
  <c r="HM57" i="463"/>
  <c r="FM59" i="463"/>
  <c r="CR57" i="463"/>
  <c r="DS8" i="464"/>
  <c r="AH57" i="463"/>
  <c r="GD57" i="463"/>
  <c r="EY57" i="463"/>
  <c r="FK10" i="463"/>
  <c r="S59" i="463"/>
  <c r="FD10" i="463"/>
  <c r="IU59" i="463"/>
  <c r="FF59" i="463"/>
  <c r="CR59" i="463"/>
  <c r="AE59" i="463"/>
  <c r="JL8" i="464"/>
  <c r="EK8" i="464"/>
  <c r="IS37" i="464"/>
  <c r="CZ37" i="464"/>
  <c r="DS10" i="463"/>
  <c r="DC57" i="463"/>
  <c r="IU57" i="463"/>
  <c r="G59" i="463"/>
  <c r="CM59" i="463"/>
  <c r="JK57" i="463"/>
  <c r="AK57" i="463"/>
  <c r="DW8" i="464"/>
  <c r="Q57" i="463"/>
  <c r="JP10" i="463"/>
  <c r="FF57" i="463"/>
  <c r="CO10" i="463"/>
  <c r="EA59" i="463"/>
  <c r="HO59" i="463"/>
  <c r="EY59" i="463"/>
  <c r="CP59" i="463"/>
  <c r="AC59" i="463"/>
  <c r="IE8" i="464"/>
  <c r="EJ8" i="464"/>
  <c r="GY37" i="464"/>
  <c r="CI37" i="464"/>
  <c r="DN10" i="463"/>
  <c r="DJ57" i="463"/>
  <c r="IW57" i="463"/>
  <c r="CO59" i="463"/>
  <c r="JA57" i="463"/>
  <c r="AJ57" i="463"/>
  <c r="EM59" i="463"/>
  <c r="FD37" i="464"/>
  <c r="AM57" i="463"/>
  <c r="GL8" i="464"/>
  <c r="FO57" i="463"/>
  <c r="HM59" i="463"/>
  <c r="ET59" i="463"/>
  <c r="CN59" i="463"/>
  <c r="AA59" i="463"/>
  <c r="HV8" i="464"/>
  <c r="FV37" i="464"/>
  <c r="DD8" i="464"/>
  <c r="ET57" i="463"/>
  <c r="HJ59" i="463"/>
  <c r="GX59" i="463"/>
  <c r="CB59" i="463"/>
  <c r="GZ8" i="464"/>
  <c r="DM8" i="464"/>
  <c r="FB37" i="464"/>
  <c r="GU59" i="463"/>
  <c r="EF59" i="463"/>
  <c r="BY59" i="463"/>
  <c r="CD59" i="463"/>
  <c r="GM8" i="464"/>
  <c r="DG8" i="464"/>
  <c r="FA37" i="464"/>
  <c r="GW10" i="463"/>
  <c r="AP57" i="463"/>
  <c r="FI57" i="463"/>
  <c r="CK59" i="463"/>
  <c r="GN59" i="463"/>
  <c r="L55" i="463"/>
  <c r="FO11" i="462"/>
  <c r="FN11" i="462"/>
  <c r="EH11" i="462"/>
  <c r="Q10" i="463"/>
  <c r="B10" i="463" s="1"/>
  <c r="T11" i="473" s="1"/>
  <c r="EE40" i="462"/>
  <c r="CI6" i="464"/>
  <c r="HX11" i="462"/>
  <c r="CE11" i="462"/>
  <c r="EM11" i="462"/>
  <c r="GS11" i="462"/>
  <c r="DS6" i="464"/>
  <c r="HA11" i="462"/>
  <c r="DG6" i="464"/>
  <c r="CX6" i="464"/>
  <c r="CW6" i="464"/>
  <c r="GJ59" i="463"/>
  <c r="CB58" i="463"/>
  <c r="DJ35" i="464"/>
  <c r="BC35" i="464"/>
  <c r="FM55" i="463"/>
  <c r="S55" i="463"/>
  <c r="AA58" i="463"/>
  <c r="CM58" i="463"/>
  <c r="FJ58" i="463"/>
  <c r="FH35" i="464"/>
  <c r="HW55" i="463"/>
  <c r="IY58" i="463"/>
  <c r="HB8" i="463"/>
  <c r="L58" i="463"/>
  <c r="EV6" i="464"/>
  <c r="JP8" i="463"/>
  <c r="DM35" i="464"/>
  <c r="GU55" i="463"/>
  <c r="DH35" i="464"/>
  <c r="DV8" i="463"/>
  <c r="FJ55" i="463"/>
  <c r="I55" i="463"/>
  <c r="AC58" i="463"/>
  <c r="CN58" i="463"/>
  <c r="JB58" i="463"/>
  <c r="EA8" i="463"/>
  <c r="IQ35" i="464"/>
  <c r="IO35" i="464"/>
  <c r="GW35" i="464"/>
  <c r="CH35" i="464"/>
  <c r="Z8" i="463"/>
  <c r="CS58" i="463"/>
  <c r="CB8" i="463"/>
  <c r="HK55" i="463"/>
  <c r="AV55" i="463"/>
  <c r="CH58" i="463"/>
  <c r="DR58" i="463"/>
  <c r="EU6" i="464"/>
  <c r="HC55" i="463"/>
  <c r="CL58" i="463"/>
  <c r="ER35" i="464"/>
  <c r="JL35" i="464"/>
  <c r="DA35" i="464"/>
  <c r="FE8" i="463"/>
  <c r="FH55" i="463"/>
  <c r="G55" i="463"/>
  <c r="AE58" i="463"/>
  <c r="CO58" i="463"/>
  <c r="FM58" i="463"/>
  <c r="IY6" i="464"/>
  <c r="M8" i="463"/>
  <c r="CM55" i="463"/>
  <c r="AM58" i="463"/>
  <c r="CR58" i="463"/>
  <c r="HJ58" i="463"/>
  <c r="FB6" i="464"/>
  <c r="JB55" i="463"/>
  <c r="CK55" i="463"/>
  <c r="BY58" i="463"/>
  <c r="JH55" i="463"/>
  <c r="FV35" i="464"/>
  <c r="CF55" i="463"/>
  <c r="JI35" i="464"/>
  <c r="CY35" i="464"/>
  <c r="FG8" i="463"/>
  <c r="EG55" i="463"/>
  <c r="G58" i="463"/>
  <c r="AH58" i="463"/>
  <c r="CP58" i="463"/>
  <c r="IX58" i="463"/>
  <c r="IW6" i="464"/>
  <c r="BB35" i="464"/>
  <c r="HE35" i="464"/>
  <c r="HM58" i="463"/>
  <c r="CD58" i="463"/>
  <c r="JH58" i="463"/>
  <c r="IT35" i="464"/>
  <c r="CP35" i="464"/>
  <c r="FP8" i="463"/>
  <c r="CV55" i="463"/>
  <c r="AJ58" i="463"/>
  <c r="FO58" i="463"/>
  <c r="IW58" i="463"/>
  <c r="HY6" i="464"/>
  <c r="Q58" i="463"/>
  <c r="CK58" i="463"/>
  <c r="GN55" i="463"/>
  <c r="AV8" i="463"/>
  <c r="CB35" i="464"/>
  <c r="AC55" i="463"/>
  <c r="IS35" i="464"/>
  <c r="CK35" i="464"/>
  <c r="GO8" i="463"/>
  <c r="CO55" i="463"/>
  <c r="I58" i="463"/>
  <c r="AK58" i="463"/>
  <c r="HI58" i="463"/>
  <c r="IU58" i="463"/>
  <c r="HA6" i="464"/>
  <c r="CG35" i="464"/>
  <c r="HJ55" i="463"/>
  <c r="AN55" i="463"/>
  <c r="ES58" i="463"/>
  <c r="EM6" i="464"/>
  <c r="GQ8" i="463"/>
  <c r="CE35" i="464"/>
  <c r="DC8" i="463"/>
  <c r="FI58" i="463"/>
  <c r="EI59" i="463"/>
  <c r="FK35" i="464"/>
  <c r="CD35" i="464"/>
  <c r="CO8" i="463"/>
  <c r="EU35" i="464"/>
  <c r="CC35" i="464"/>
  <c r="CP8" i="463"/>
  <c r="GX55" i="463"/>
  <c r="AM55" i="463"/>
  <c r="S58" i="463"/>
  <c r="ET58" i="463"/>
  <c r="JK58" i="463"/>
  <c r="CU55" i="463"/>
  <c r="EH35" i="464"/>
  <c r="BG25" i="473"/>
  <c r="E160" i="424"/>
  <c r="P4" i="103"/>
  <c r="E187" i="3"/>
  <c r="I412" i="3"/>
  <c r="E186" i="3"/>
  <c r="R211" i="3"/>
  <c r="H163" i="382"/>
  <c r="H159" i="382"/>
  <c r="H157" i="382"/>
  <c r="AB84" i="4"/>
  <c r="R85" i="4"/>
  <c r="H176" i="442"/>
  <c r="H173" i="442"/>
  <c r="H182" i="442"/>
  <c r="DV11" i="463"/>
  <c r="CB11" i="463"/>
  <c r="EA58" i="463"/>
  <c r="EF58" i="463"/>
  <c r="D83" i="391"/>
  <c r="T125" i="391" s="1"/>
  <c r="AB125" i="391" s="1"/>
  <c r="T80" i="391"/>
  <c r="T83" i="391" s="1"/>
  <c r="J93" i="375"/>
  <c r="F93" i="375"/>
  <c r="F92" i="375"/>
  <c r="M92" i="375" s="1"/>
  <c r="D30" i="435"/>
  <c r="L45" i="489" s="1"/>
  <c r="J69" i="6"/>
  <c r="B201" i="375"/>
  <c r="L27" i="9"/>
  <c r="H34" i="435"/>
  <c r="K197" i="442"/>
  <c r="B203" i="375"/>
  <c r="B209" i="375"/>
  <c r="B204" i="375"/>
  <c r="E203" i="3"/>
  <c r="R135" i="3"/>
  <c r="M132" i="3"/>
  <c r="H107" i="4"/>
  <c r="R57" i="4"/>
  <c r="H161" i="382"/>
  <c r="N189" i="381"/>
  <c r="H162" i="382"/>
  <c r="H158" i="382"/>
  <c r="J42" i="453"/>
  <c r="S95" i="48"/>
  <c r="C64" i="435"/>
  <c r="H37" i="382"/>
  <c r="AB33" i="492"/>
  <c r="E59" i="442" s="1"/>
  <c r="J44" i="453"/>
  <c r="N7" i="473"/>
  <c r="E92" i="424"/>
  <c r="I34" i="435"/>
  <c r="L177" i="489" s="1"/>
  <c r="HW59" i="463"/>
  <c r="JA58" i="463"/>
  <c r="GN58" i="463"/>
  <c r="EM58" i="463"/>
  <c r="EI58" i="463"/>
  <c r="HW58" i="463"/>
  <c r="GJ58" i="463"/>
  <c r="GU58" i="463"/>
  <c r="EY58" i="463"/>
  <c r="HO58" i="463"/>
  <c r="GD58" i="463"/>
  <c r="D44" i="435"/>
  <c r="H57" i="435"/>
  <c r="H55" i="435"/>
  <c r="H80" i="391"/>
  <c r="H83" i="391" s="1"/>
  <c r="G6" i="376"/>
  <c r="K16" i="376" s="1"/>
  <c r="F5" i="2"/>
  <c r="J11" i="2" s="1"/>
  <c r="F56" i="381"/>
  <c r="C23" i="435"/>
  <c r="C17" i="426"/>
  <c r="R570" i="3"/>
  <c r="G133" i="382"/>
  <c r="G122" i="382"/>
  <c r="G132" i="382"/>
  <c r="G121" i="382"/>
  <c r="I78" i="48"/>
  <c r="H43" i="451"/>
  <c r="B202" i="375"/>
  <c r="E200" i="3"/>
  <c r="B208" i="375" s="1"/>
  <c r="G137" i="382"/>
  <c r="G126" i="382"/>
  <c r="D17" i="2"/>
  <c r="H177" i="442"/>
  <c r="H174" i="442"/>
  <c r="J21" i="476"/>
  <c r="HT10" i="463"/>
  <c r="E55" i="442"/>
  <c r="H52" i="442"/>
  <c r="H55" i="442"/>
  <c r="K101" i="442"/>
  <c r="Q33" i="492"/>
  <c r="E41" i="442" s="1"/>
  <c r="H25" i="382"/>
  <c r="GX58" i="463"/>
  <c r="CV58" i="463"/>
  <c r="J70" i="6"/>
  <c r="J18" i="6"/>
  <c r="J164" i="2"/>
  <c r="I62" i="491"/>
  <c r="G129" i="382"/>
  <c r="G120" i="382"/>
  <c r="G131" i="382"/>
  <c r="G139" i="382"/>
  <c r="I346" i="3"/>
  <c r="N67" i="392"/>
  <c r="J97" i="454"/>
  <c r="M103" i="454"/>
  <c r="H58" i="435"/>
  <c r="E117" i="424"/>
  <c r="K61" i="392"/>
  <c r="G101" i="376"/>
  <c r="F71" i="2"/>
  <c r="F97" i="2"/>
  <c r="R212" i="3"/>
  <c r="J172" i="2"/>
  <c r="H113" i="424"/>
  <c r="J155" i="392"/>
  <c r="J153" i="392"/>
  <c r="H44" i="473"/>
  <c r="G80" i="424"/>
  <c r="F41" i="2"/>
  <c r="M209" i="3"/>
  <c r="I394" i="3"/>
  <c r="J50" i="2"/>
  <c r="J173" i="2"/>
  <c r="J176" i="2" s="1"/>
  <c r="J19" i="476"/>
  <c r="J40" i="476"/>
  <c r="Q238" i="375"/>
  <c r="Q235" i="375"/>
  <c r="J93" i="426"/>
  <c r="K98" i="426" s="1"/>
  <c r="M127" i="426" s="1"/>
  <c r="AN59" i="463"/>
  <c r="K4" i="458"/>
  <c r="K83" i="457"/>
  <c r="AN58" i="463"/>
  <c r="L83" i="457"/>
  <c r="L94" i="426"/>
  <c r="J92" i="426"/>
  <c r="K94" i="426" s="1"/>
  <c r="K95" i="426" s="1"/>
  <c r="L95" i="426"/>
  <c r="E173" i="426"/>
  <c r="H54" i="435"/>
  <c r="F113" i="375"/>
  <c r="M149" i="424"/>
  <c r="C149" i="424"/>
  <c r="K93" i="392"/>
  <c r="J163" i="2"/>
  <c r="H69" i="435"/>
  <c r="AB183" i="391"/>
  <c r="C73" i="435"/>
  <c r="H64" i="382"/>
  <c r="C61" i="435"/>
  <c r="H46" i="382"/>
  <c r="L33" i="49"/>
  <c r="G33" i="49"/>
  <c r="G33" i="489"/>
  <c r="AE45" i="492"/>
  <c r="M16" i="480"/>
  <c r="I74" i="32"/>
  <c r="N89" i="424"/>
  <c r="G63" i="481"/>
  <c r="B77" i="487"/>
  <c r="B17" i="424"/>
  <c r="I444" i="3"/>
  <c r="D28" i="112"/>
  <c r="G98" i="376"/>
  <c r="H75" i="435"/>
  <c r="J19" i="481"/>
  <c r="G54" i="481"/>
  <c r="C53" i="487"/>
  <c r="I65" i="491"/>
  <c r="M526" i="3"/>
  <c r="M535" i="3"/>
  <c r="M529" i="3"/>
  <c r="P30" i="3"/>
  <c r="J82" i="6"/>
  <c r="S32" i="48"/>
  <c r="I35" i="32"/>
  <c r="F117" i="424"/>
  <c r="E110" i="3"/>
  <c r="C55" i="487"/>
  <c r="J5" i="481"/>
  <c r="J13" i="6"/>
  <c r="D5" i="120"/>
  <c r="K217" i="376"/>
  <c r="G25" i="481"/>
  <c r="IY59" i="463"/>
  <c r="JD10" i="463"/>
  <c r="F65" i="452"/>
  <c r="I74" i="452"/>
  <c r="I15" i="386"/>
  <c r="H183" i="442"/>
  <c r="H35" i="435"/>
  <c r="B96" i="487"/>
  <c r="F7" i="2"/>
  <c r="AP58" i="463"/>
  <c r="JB35" i="464"/>
  <c r="E161" i="424"/>
  <c r="F77" i="424"/>
  <c r="I66" i="32"/>
  <c r="M69" i="481"/>
  <c r="E37" i="442"/>
  <c r="E46" i="442"/>
  <c r="E332" i="3"/>
  <c r="J10" i="6"/>
  <c r="G28" i="479"/>
  <c r="G20" i="479"/>
  <c r="G27" i="479"/>
  <c r="G19" i="479"/>
  <c r="G26" i="479"/>
  <c r="G18" i="479"/>
  <c r="G25" i="479"/>
  <c r="G17" i="479"/>
  <c r="G24" i="479"/>
  <c r="G16" i="479"/>
  <c r="G23" i="479"/>
  <c r="G22" i="479"/>
  <c r="G21" i="479"/>
  <c r="L43" i="9"/>
  <c r="B206" i="375"/>
  <c r="F194" i="375"/>
  <c r="K219" i="376"/>
  <c r="K214" i="376"/>
  <c r="K163" i="376"/>
  <c r="J112" i="454"/>
  <c r="CV59" i="463"/>
  <c r="HB11" i="463"/>
  <c r="FG11" i="463"/>
  <c r="FH59" i="463"/>
  <c r="EG59" i="463"/>
  <c r="CU59" i="463"/>
  <c r="CF59" i="463"/>
  <c r="GQ11" i="463"/>
  <c r="CP11" i="463"/>
  <c r="Z11" i="463"/>
  <c r="FH10" i="463"/>
  <c r="HQ80" i="458"/>
  <c r="HQ79" i="458"/>
  <c r="HI69" i="458"/>
  <c r="HN4" i="458"/>
  <c r="AD4" i="458"/>
  <c r="HC59" i="463"/>
  <c r="GO11" i="463"/>
  <c r="FE11" i="463"/>
  <c r="AV11" i="463"/>
  <c r="M11" i="463"/>
  <c r="B11" i="463" s="1"/>
  <c r="T12" i="473" s="1"/>
  <c r="CO80" i="458"/>
  <c r="CO79" i="458"/>
  <c r="GW69" i="458"/>
  <c r="GI10" i="463"/>
  <c r="AT79" i="458"/>
  <c r="S79" i="458"/>
  <c r="GO69" i="458"/>
  <c r="AG4" i="458"/>
  <c r="HV10" i="463"/>
  <c r="AV59" i="463"/>
  <c r="FP11" i="463"/>
  <c r="GN69" i="458"/>
  <c r="AT80" i="458"/>
  <c r="S80" i="458"/>
  <c r="HB55" i="463"/>
  <c r="B8" i="463"/>
  <c r="T9" i="473" s="1"/>
  <c r="B8" i="464"/>
  <c r="AI9" i="473" s="1"/>
  <c r="HC58" i="463"/>
  <c r="FF58" i="463"/>
  <c r="DY83" i="457"/>
  <c r="BD83" i="457"/>
  <c r="HB58" i="463"/>
  <c r="DJ58" i="463"/>
  <c r="CF83" i="457"/>
  <c r="Q83" i="457"/>
  <c r="B83" i="457" s="1"/>
  <c r="K12" i="473" s="1"/>
  <c r="AV72" i="457"/>
  <c r="FH58" i="463"/>
  <c r="CU58" i="463"/>
  <c r="EI57" i="463"/>
  <c r="BN83" i="457"/>
  <c r="H72" i="457"/>
  <c r="FB83" i="457"/>
  <c r="CF58" i="463"/>
  <c r="EG58" i="463"/>
  <c r="AE55" i="463"/>
  <c r="CA83" i="457"/>
  <c r="DC58" i="463"/>
  <c r="AV58" i="463"/>
  <c r="GJ57" i="463"/>
  <c r="H61" i="435"/>
  <c r="M54" i="454"/>
  <c r="H66" i="435"/>
  <c r="H67" i="435"/>
  <c r="H63" i="435"/>
  <c r="M78" i="454"/>
  <c r="J41" i="394"/>
  <c r="L41" i="394" s="1"/>
  <c r="U19" i="395"/>
  <c r="J40" i="394" s="1"/>
  <c r="AX81" i="381"/>
  <c r="AX83" i="381"/>
  <c r="I71" i="491"/>
  <c r="AL7" i="381"/>
  <c r="S96" i="48"/>
  <c r="Q131" i="375"/>
  <c r="T13" i="473"/>
  <c r="T7" i="473"/>
  <c r="W19" i="473"/>
  <c r="W15" i="473"/>
  <c r="W6" i="473"/>
  <c r="AF18" i="473"/>
  <c r="AF12" i="473"/>
  <c r="AF8" i="473"/>
  <c r="AF4" i="473"/>
  <c r="AC52" i="473"/>
  <c r="AC48" i="473"/>
  <c r="AC44" i="473"/>
  <c r="AC40" i="473"/>
  <c r="AC36" i="473"/>
  <c r="AC32" i="473"/>
  <c r="AC28" i="473"/>
  <c r="AC23" i="473"/>
  <c r="E112" i="424"/>
  <c r="AC9" i="473"/>
  <c r="AI38" i="473"/>
  <c r="AI34" i="473"/>
  <c r="AL46" i="473"/>
  <c r="AL42" i="473"/>
  <c r="AL36" i="473"/>
  <c r="AL30" i="473"/>
  <c r="AL22" i="473"/>
  <c r="AL17" i="473"/>
  <c r="T6" i="473"/>
  <c r="W18" i="473"/>
  <c r="W10" i="473"/>
  <c r="AF15" i="473"/>
  <c r="AF11" i="473"/>
  <c r="AF7" i="473"/>
  <c r="AC55" i="473"/>
  <c r="AC51" i="473"/>
  <c r="AC47" i="473"/>
  <c r="AC43" i="473"/>
  <c r="AC39" i="473"/>
  <c r="AC35" i="473"/>
  <c r="AC31" i="473"/>
  <c r="AC27" i="473"/>
  <c r="AC22" i="473"/>
  <c r="AC18" i="473"/>
  <c r="AC13" i="473"/>
  <c r="J116" i="424"/>
  <c r="AI27" i="473"/>
  <c r="AI14" i="473"/>
  <c r="AL51" i="473"/>
  <c r="AL45" i="473"/>
  <c r="AL41" i="473"/>
  <c r="AL35" i="473"/>
  <c r="AL16" i="473"/>
  <c r="AI26" i="473"/>
  <c r="T5" i="473"/>
  <c r="W21" i="473"/>
  <c r="W17" i="473"/>
  <c r="W8" i="473"/>
  <c r="AC4" i="473"/>
  <c r="AF14" i="473"/>
  <c r="AF10" i="473"/>
  <c r="AF6" i="473"/>
  <c r="AC54" i="473"/>
  <c r="AC50" i="473"/>
  <c r="AC46" i="473"/>
  <c r="AC42" i="473"/>
  <c r="AC38" i="473"/>
  <c r="AC34" i="473"/>
  <c r="AC30" i="473"/>
  <c r="AC26" i="473"/>
  <c r="AC17" i="473"/>
  <c r="C112" i="424"/>
  <c r="AI30" i="473"/>
  <c r="AI25" i="473"/>
  <c r="AI18" i="473"/>
  <c r="AI13" i="473"/>
  <c r="AL54" i="473"/>
  <c r="AL50" i="473"/>
  <c r="AL44" i="473"/>
  <c r="AL40" i="473"/>
  <c r="AL28" i="473"/>
  <c r="AL14" i="473"/>
  <c r="T4" i="473"/>
  <c r="T14" i="473"/>
  <c r="W4" i="473"/>
  <c r="W20" i="473"/>
  <c r="W16" i="473"/>
  <c r="W7" i="473"/>
  <c r="AF19" i="473"/>
  <c r="AF13" i="473"/>
  <c r="AC53" i="473"/>
  <c r="AC49" i="473"/>
  <c r="AC45" i="473"/>
  <c r="AC41" i="473"/>
  <c r="AC37" i="473"/>
  <c r="AC33" i="473"/>
  <c r="AC29" i="473"/>
  <c r="AC25" i="473"/>
  <c r="AC16" i="473"/>
  <c r="AC10" i="473"/>
  <c r="AI29" i="473"/>
  <c r="B116" i="424"/>
  <c r="AI17" i="473"/>
  <c r="AI7" i="473"/>
  <c r="M120" i="424"/>
  <c r="AL48" i="473"/>
  <c r="AL43" i="473"/>
  <c r="AL39" i="473"/>
  <c r="AL32" i="473"/>
  <c r="AL27" i="473"/>
  <c r="AL18" i="473"/>
  <c r="AL13" i="473"/>
  <c r="C141" i="424"/>
  <c r="D107" i="48"/>
  <c r="B85" i="424"/>
  <c r="I328" i="3"/>
  <c r="D143" i="2"/>
  <c r="O141" i="424"/>
  <c r="C11" i="451"/>
  <c r="J54" i="2"/>
  <c r="S92" i="48"/>
  <c r="B37" i="453"/>
  <c r="H73" i="4"/>
  <c r="Z262" i="381"/>
  <c r="Z138" i="381"/>
  <c r="AH41" i="381"/>
  <c r="W23" i="4"/>
  <c r="E24" i="442"/>
  <c r="G18" i="376"/>
  <c r="E91" i="47"/>
  <c r="B75" i="47"/>
  <c r="B73" i="47"/>
  <c r="J88" i="6"/>
  <c r="C51" i="451"/>
  <c r="C68" i="487"/>
  <c r="F40" i="375"/>
  <c r="R154" i="3"/>
  <c r="F39" i="2"/>
  <c r="K49" i="392"/>
  <c r="B27" i="375"/>
  <c r="Q97" i="375"/>
  <c r="Q91" i="375"/>
  <c r="H19" i="120"/>
  <c r="C83" i="487"/>
  <c r="C77" i="424"/>
  <c r="F57" i="424"/>
  <c r="B49" i="424"/>
  <c r="D85" i="424"/>
  <c r="D101" i="424"/>
  <c r="M54" i="481"/>
  <c r="J57" i="454"/>
  <c r="G178" i="376"/>
  <c r="H161" i="424"/>
  <c r="G101" i="424"/>
  <c r="K77" i="424"/>
  <c r="D77" i="424"/>
  <c r="B73" i="424"/>
  <c r="G72" i="48"/>
  <c r="C50" i="451"/>
  <c r="Q89" i="375"/>
  <c r="B25" i="375"/>
  <c r="Q95" i="375"/>
  <c r="C53" i="424"/>
  <c r="G12" i="376"/>
  <c r="K15" i="376"/>
  <c r="F10" i="2"/>
  <c r="G196" i="376"/>
  <c r="C32" i="362"/>
  <c r="G41" i="362" s="1"/>
  <c r="J157" i="424"/>
  <c r="E7" i="47"/>
  <c r="K55" i="392"/>
  <c r="E19" i="47"/>
  <c r="C100" i="9"/>
  <c r="E81" i="424"/>
  <c r="C84" i="487"/>
  <c r="H25" i="435"/>
  <c r="H168" i="2"/>
  <c r="I18" i="48"/>
  <c r="C101" i="424"/>
  <c r="P145" i="3"/>
  <c r="F95" i="2"/>
  <c r="J46" i="454"/>
  <c r="G172" i="376"/>
  <c r="I134" i="9"/>
  <c r="K14" i="376"/>
  <c r="D16" i="2"/>
  <c r="G5" i="453"/>
  <c r="E109" i="424"/>
  <c r="C102" i="391"/>
  <c r="B24" i="375"/>
  <c r="G187" i="376"/>
  <c r="M150" i="3"/>
  <c r="G143" i="376"/>
  <c r="T149" i="424"/>
  <c r="B149" i="424"/>
  <c r="J39" i="453"/>
  <c r="B6" i="48"/>
  <c r="H17" i="445"/>
  <c r="I85" i="424"/>
  <c r="L149" i="424"/>
  <c r="M9" i="480"/>
  <c r="G4" i="460"/>
  <c r="K149" i="424"/>
  <c r="E149" i="424"/>
  <c r="B77" i="424"/>
  <c r="E17" i="424"/>
  <c r="C35" i="9"/>
  <c r="Q96" i="375"/>
  <c r="Q90" i="375"/>
  <c r="B26" i="375"/>
  <c r="J13" i="2"/>
  <c r="G80" i="376"/>
  <c r="I10" i="452"/>
  <c r="J149" i="424"/>
  <c r="H106" i="442"/>
  <c r="E44" i="32"/>
  <c r="I60" i="32"/>
  <c r="L77" i="424"/>
  <c r="C32" i="9"/>
  <c r="L155" i="9"/>
  <c r="C34" i="9"/>
  <c r="C199" i="426"/>
  <c r="L158" i="9"/>
  <c r="C200" i="426"/>
  <c r="G28" i="481"/>
  <c r="C66" i="487"/>
  <c r="D5" i="458"/>
  <c r="C191" i="426"/>
  <c r="J5" i="448" s="1"/>
  <c r="B57" i="463"/>
  <c r="BG4" i="473"/>
  <c r="B160" i="424"/>
  <c r="R74" i="3"/>
  <c r="R163" i="3"/>
  <c r="R30" i="3"/>
  <c r="I84" i="48"/>
  <c r="B33" i="424"/>
  <c r="I88" i="48"/>
  <c r="H53" i="451"/>
  <c r="C10" i="435"/>
  <c r="G326" i="3"/>
  <c r="E359" i="3"/>
  <c r="J319" i="489"/>
  <c r="J319" i="49"/>
  <c r="J317" i="489"/>
  <c r="J317" i="49"/>
  <c r="F20" i="452"/>
  <c r="C97" i="487"/>
  <c r="C78" i="487"/>
  <c r="C91" i="487"/>
  <c r="C79" i="487"/>
  <c r="R301" i="381"/>
  <c r="R271" i="381"/>
  <c r="R567" i="3"/>
  <c r="M45" i="492"/>
  <c r="V244" i="381"/>
  <c r="W65" i="4"/>
  <c r="AB57" i="4"/>
  <c r="M57" i="4"/>
  <c r="H112" i="451"/>
  <c r="M447" i="3"/>
  <c r="D10" i="435"/>
  <c r="L22" i="489" s="1"/>
  <c r="Y45" i="492"/>
  <c r="AE33" i="492"/>
  <c r="Y33" i="492"/>
  <c r="I33" i="492"/>
  <c r="M33" i="492"/>
  <c r="K211" i="376"/>
  <c r="B247" i="376"/>
  <c r="B249" i="376"/>
  <c r="Q16" i="397"/>
  <c r="AH29" i="381"/>
  <c r="M206" i="3"/>
  <c r="C41" i="435"/>
  <c r="C44" i="435"/>
  <c r="G17" i="2"/>
  <c r="F17" i="2"/>
  <c r="H43" i="442"/>
  <c r="H46" i="442"/>
  <c r="B244" i="376"/>
  <c r="H437" i="3"/>
  <c r="G47" i="48"/>
  <c r="Q47" i="48"/>
  <c r="C49" i="451"/>
  <c r="G92" i="48"/>
  <c r="C48" i="451"/>
  <c r="G89" i="48"/>
  <c r="E82" i="47"/>
  <c r="B5" i="424"/>
  <c r="C38" i="362"/>
  <c r="J159" i="376"/>
  <c r="K21" i="376"/>
  <c r="G21" i="376"/>
  <c r="D40" i="462"/>
  <c r="B59" i="463"/>
  <c r="E171" i="426"/>
  <c r="H20" i="74" s="1"/>
  <c r="B58" i="463"/>
  <c r="D33" i="424"/>
  <c r="H107" i="451"/>
  <c r="H37" i="442"/>
  <c r="H179" i="442"/>
  <c r="B432" i="3"/>
  <c r="I400" i="3"/>
  <c r="F89" i="2"/>
  <c r="E34" i="442"/>
  <c r="E30" i="442"/>
  <c r="H186" i="442"/>
  <c r="H180" i="442"/>
  <c r="J28" i="476"/>
  <c r="J17" i="6"/>
  <c r="D139" i="7"/>
  <c r="G139" i="7" s="1"/>
  <c r="D41" i="435"/>
  <c r="G48" i="481"/>
  <c r="C7" i="435"/>
  <c r="J78" i="2"/>
  <c r="H113" i="435"/>
  <c r="F152" i="375"/>
  <c r="F279" i="375"/>
  <c r="I118" i="48"/>
  <c r="H74" i="435"/>
  <c r="H73" i="435"/>
  <c r="J31" i="6"/>
  <c r="C21" i="362"/>
  <c r="H72" i="435"/>
  <c r="H99" i="392"/>
  <c r="H87" i="392"/>
  <c r="C41" i="426"/>
  <c r="K133" i="392"/>
  <c r="H90" i="392"/>
  <c r="B131" i="392"/>
  <c r="F149" i="375"/>
  <c r="M54" i="375"/>
  <c r="F173" i="375"/>
  <c r="F176" i="375"/>
  <c r="E301" i="375"/>
  <c r="E300" i="375"/>
  <c r="F179" i="375"/>
  <c r="M116" i="375"/>
  <c r="Q113" i="375"/>
  <c r="F182" i="375"/>
  <c r="F191" i="375"/>
  <c r="I333" i="3"/>
  <c r="M571" i="3"/>
  <c r="E506" i="3"/>
  <c r="M544" i="3"/>
  <c r="D64" i="48"/>
  <c r="I68" i="491"/>
  <c r="J71" i="2"/>
  <c r="D38" i="48"/>
  <c r="J63" i="2"/>
  <c r="J81" i="2"/>
  <c r="J134" i="2"/>
  <c r="J20" i="2"/>
  <c r="J99" i="2"/>
  <c r="J43" i="2"/>
  <c r="G146" i="376"/>
  <c r="I411" i="3"/>
  <c r="D138" i="7"/>
  <c r="B592" i="3"/>
  <c r="B591" i="3"/>
  <c r="B595" i="3"/>
  <c r="C38" i="435"/>
  <c r="M498" i="3"/>
  <c r="H65" i="4"/>
  <c r="V7" i="381"/>
  <c r="H189" i="442"/>
  <c r="H191" i="442"/>
  <c r="K124" i="442"/>
  <c r="K121" i="442"/>
  <c r="J43" i="7"/>
  <c r="L161" i="9"/>
  <c r="L156" i="9"/>
  <c r="L159" i="9"/>
  <c r="M520" i="3"/>
  <c r="M517" i="3"/>
  <c r="D14" i="48"/>
  <c r="E407" i="3"/>
  <c r="C5" i="397"/>
  <c r="G184" i="376"/>
  <c r="G181" i="376"/>
  <c r="G113" i="424"/>
  <c r="F8" i="452"/>
  <c r="F307" i="381"/>
  <c r="F312" i="381"/>
  <c r="F288" i="381"/>
  <c r="C50" i="435"/>
  <c r="C106" i="435"/>
  <c r="M4" i="7"/>
  <c r="M62" i="375"/>
  <c r="N74" i="9"/>
  <c r="H465" i="3"/>
  <c r="K137" i="442"/>
  <c r="E140" i="442"/>
  <c r="E143" i="442"/>
  <c r="AR74" i="473"/>
  <c r="AR72" i="473"/>
  <c r="I131" i="9"/>
  <c r="S58" i="48"/>
  <c r="I32" i="48"/>
  <c r="N117" i="48"/>
  <c r="N118" i="48"/>
  <c r="K27" i="473"/>
  <c r="E88" i="424"/>
  <c r="M43" i="375"/>
  <c r="I113" i="424"/>
  <c r="J46" i="6"/>
  <c r="B113" i="424"/>
  <c r="F67" i="2"/>
  <c r="K58" i="392"/>
  <c r="B7" i="48"/>
  <c r="I78" i="452"/>
  <c r="I53" i="452"/>
  <c r="P155" i="3"/>
  <c r="I338" i="3"/>
  <c r="H167" i="426"/>
  <c r="H181" i="426"/>
  <c r="C28" i="435"/>
  <c r="T112" i="391"/>
  <c r="B16" i="464"/>
  <c r="B14" i="464"/>
  <c r="D109" i="391"/>
  <c r="G11" i="481"/>
  <c r="BJ27" i="473"/>
  <c r="D124" i="424"/>
  <c r="G5" i="481"/>
  <c r="C109" i="9"/>
  <c r="F74" i="2"/>
  <c r="P100" i="3"/>
  <c r="G125" i="376"/>
  <c r="X117" i="424"/>
  <c r="J49" i="6"/>
  <c r="F78" i="2"/>
  <c r="AU96" i="473"/>
  <c r="C95" i="391"/>
  <c r="AO141" i="424"/>
  <c r="F5" i="397"/>
  <c r="D141" i="424"/>
  <c r="R141" i="424"/>
  <c r="AH141" i="424"/>
  <c r="C4" i="480"/>
  <c r="M158" i="3"/>
  <c r="AM141" i="424"/>
  <c r="G190" i="376"/>
  <c r="AG141" i="424"/>
  <c r="F18" i="452"/>
  <c r="AB141" i="424"/>
  <c r="B141" i="424"/>
  <c r="AI141" i="424"/>
  <c r="I5" i="397"/>
  <c r="M100" i="375"/>
  <c r="J88" i="375"/>
  <c r="F100" i="375"/>
  <c r="F88" i="375"/>
  <c r="B29" i="375"/>
  <c r="Q98" i="375"/>
  <c r="Q92" i="375"/>
  <c r="AE141" i="424"/>
  <c r="F23" i="452"/>
  <c r="D156" i="49"/>
  <c r="F51" i="375"/>
  <c r="M189" i="3"/>
  <c r="C35" i="435"/>
  <c r="C32" i="426"/>
  <c r="C34" i="435"/>
  <c r="F24" i="392"/>
  <c r="F27" i="392"/>
  <c r="H85" i="435"/>
  <c r="C100" i="487"/>
  <c r="J118" i="454"/>
  <c r="K193" i="392"/>
  <c r="I67" i="48"/>
  <c r="D101" i="48"/>
  <c r="C192" i="426"/>
  <c r="J6" i="448" s="1"/>
  <c r="C107" i="9"/>
  <c r="D112" i="48"/>
  <c r="K188" i="392"/>
  <c r="C37" i="426"/>
  <c r="C108" i="435"/>
  <c r="C64" i="424"/>
  <c r="H16" i="473"/>
  <c r="B64" i="424"/>
  <c r="H15" i="473"/>
  <c r="I60" i="424"/>
  <c r="H14" i="473"/>
  <c r="C60" i="424"/>
  <c r="H8" i="473"/>
  <c r="B60" i="424"/>
  <c r="H7" i="473"/>
  <c r="H60" i="424"/>
  <c r="H13" i="473"/>
  <c r="D60" i="424"/>
  <c r="H9" i="473"/>
  <c r="B48" i="424"/>
  <c r="B49" i="473"/>
  <c r="B40" i="424"/>
  <c r="B34" i="473"/>
  <c r="B32" i="424"/>
  <c r="E17" i="473"/>
  <c r="C28" i="424"/>
  <c r="E11" i="473"/>
  <c r="F28" i="424"/>
  <c r="E14" i="473"/>
  <c r="D28" i="424"/>
  <c r="E12" i="473"/>
  <c r="E24" i="424"/>
  <c r="E8" i="473"/>
  <c r="B20" i="424"/>
  <c r="B27" i="473"/>
  <c r="J16" i="424"/>
  <c r="B26" i="473"/>
  <c r="D16" i="424"/>
  <c r="B20" i="473"/>
  <c r="B16" i="424"/>
  <c r="B18" i="473"/>
  <c r="E16" i="424"/>
  <c r="B21" i="473"/>
  <c r="F12" i="424"/>
  <c r="B15" i="473"/>
  <c r="M70" i="375"/>
  <c r="AI36" i="473"/>
  <c r="I116" i="424"/>
  <c r="G66" i="481"/>
  <c r="C50" i="487"/>
  <c r="D98" i="487"/>
  <c r="D92" i="487"/>
  <c r="D52" i="487"/>
  <c r="H117" i="435"/>
  <c r="C8" i="362"/>
  <c r="H60" i="435"/>
  <c r="D57" i="487"/>
  <c r="H64" i="435"/>
  <c r="H70" i="392"/>
  <c r="AR69" i="473"/>
  <c r="E140" i="424"/>
  <c r="D81" i="424"/>
  <c r="C203" i="426"/>
  <c r="I80" i="435"/>
  <c r="L237" i="489" s="1"/>
  <c r="I75" i="435"/>
  <c r="L232" i="489" s="1"/>
  <c r="I74" i="435"/>
  <c r="L231" i="489" s="1"/>
  <c r="F9" i="489"/>
  <c r="C117" i="9"/>
  <c r="C55" i="435"/>
  <c r="I68" i="452"/>
  <c r="H62" i="451"/>
  <c r="D43" i="48"/>
  <c r="I55" i="48"/>
  <c r="I46" i="48"/>
  <c r="M16" i="3"/>
  <c r="F62" i="375"/>
  <c r="H148" i="442"/>
  <c r="I45" i="9"/>
  <c r="L4" i="9"/>
  <c r="H3" i="435"/>
  <c r="K73" i="442"/>
  <c r="H115" i="442"/>
  <c r="H34" i="442"/>
  <c r="H112" i="442"/>
  <c r="K98" i="442"/>
  <c r="K118" i="442"/>
  <c r="K70" i="442"/>
  <c r="C170" i="442"/>
  <c r="K95" i="442"/>
  <c r="M65" i="375"/>
  <c r="M46" i="375"/>
  <c r="M51" i="375"/>
  <c r="Q76" i="375"/>
  <c r="B140" i="392"/>
  <c r="I129" i="9"/>
  <c r="C151" i="9"/>
  <c r="D97" i="487"/>
  <c r="C88" i="487"/>
  <c r="C49" i="487"/>
  <c r="J34" i="6"/>
  <c r="N58" i="48"/>
  <c r="N32" i="48"/>
  <c r="E28" i="442"/>
  <c r="E504" i="3"/>
  <c r="C36" i="362"/>
  <c r="K257" i="376"/>
  <c r="J60" i="454"/>
  <c r="M73" i="375"/>
  <c r="C96" i="391"/>
  <c r="B81" i="375"/>
  <c r="B106" i="375"/>
  <c r="B20" i="375"/>
  <c r="L95" i="9"/>
  <c r="L69" i="9"/>
  <c r="L41" i="9"/>
  <c r="L38" i="9"/>
  <c r="L147" i="9"/>
  <c r="L63" i="9"/>
  <c r="I85" i="9"/>
  <c r="L70" i="9"/>
  <c r="L72" i="9"/>
  <c r="I60" i="9"/>
  <c r="I51" i="9"/>
  <c r="L66" i="9"/>
  <c r="H438" i="3"/>
  <c r="C8" i="426"/>
  <c r="I127" i="9"/>
  <c r="I137" i="9"/>
  <c r="M491" i="3"/>
  <c r="M507" i="3"/>
  <c r="M510" i="3"/>
  <c r="M190" i="3"/>
  <c r="E215" i="3"/>
  <c r="F46" i="392"/>
  <c r="F43" i="392"/>
  <c r="F37" i="392"/>
  <c r="F25" i="392"/>
  <c r="K130" i="392"/>
  <c r="F42" i="392"/>
  <c r="F41" i="392"/>
  <c r="F38" i="392"/>
  <c r="F39" i="392"/>
  <c r="F47" i="392"/>
  <c r="F44" i="392"/>
  <c r="J162" i="392"/>
  <c r="H84" i="392"/>
  <c r="D20" i="2"/>
  <c r="J10" i="2"/>
  <c r="C102" i="435"/>
  <c r="F137" i="424"/>
  <c r="F99" i="2"/>
  <c r="G137" i="424"/>
  <c r="H137" i="424"/>
  <c r="B9" i="424"/>
  <c r="K136" i="392"/>
  <c r="J150" i="392"/>
  <c r="F91" i="375"/>
  <c r="BD51" i="473"/>
  <c r="S156" i="424"/>
  <c r="BD42" i="473"/>
  <c r="O156" i="424"/>
  <c r="BD60" i="473"/>
  <c r="W156" i="424"/>
  <c r="J318" i="489"/>
  <c r="J316" i="489"/>
  <c r="I268" i="489"/>
  <c r="BD46" i="473"/>
  <c r="BD11" i="473"/>
  <c r="D156" i="424"/>
  <c r="BD57" i="473"/>
  <c r="BD48" i="473"/>
  <c r="BD39" i="473"/>
  <c r="BD32" i="473"/>
  <c r="K109" i="424"/>
  <c r="P163" i="3"/>
  <c r="L109" i="424"/>
  <c r="N109" i="424"/>
  <c r="J109" i="424"/>
  <c r="J94" i="454"/>
  <c r="C103" i="391"/>
  <c r="T99" i="391"/>
  <c r="T109" i="391"/>
  <c r="X149" i="424"/>
  <c r="W149" i="424"/>
  <c r="F53" i="452"/>
  <c r="F149" i="424"/>
  <c r="C152" i="424"/>
  <c r="J161" i="392"/>
  <c r="B137" i="392"/>
  <c r="J38" i="454"/>
  <c r="M500" i="3"/>
  <c r="M476" i="3"/>
  <c r="H467" i="3"/>
  <c r="R19" i="3"/>
  <c r="R21" i="3"/>
  <c r="I240" i="489"/>
  <c r="J210" i="489"/>
  <c r="I236" i="489"/>
  <c r="I233" i="489"/>
  <c r="I238" i="489"/>
  <c r="L40" i="49"/>
  <c r="G40" i="489"/>
  <c r="I239" i="489"/>
  <c r="I234" i="489"/>
  <c r="J151" i="49"/>
  <c r="J151" i="489"/>
  <c r="J150" i="489"/>
  <c r="J148" i="489"/>
  <c r="J149" i="489"/>
  <c r="J147" i="489"/>
  <c r="F9" i="424"/>
  <c r="E9" i="424"/>
  <c r="C9" i="424"/>
  <c r="I49" i="48"/>
  <c r="C106" i="9"/>
  <c r="I54" i="452"/>
  <c r="D111" i="48"/>
  <c r="H68" i="451"/>
  <c r="C24" i="435"/>
  <c r="C13" i="435"/>
  <c r="G137" i="376"/>
  <c r="H110" i="451"/>
  <c r="C16" i="435"/>
  <c r="H100" i="451"/>
  <c r="E338" i="3"/>
  <c r="H40" i="473"/>
  <c r="C36" i="435"/>
  <c r="I382" i="3"/>
  <c r="H470" i="3"/>
  <c r="H466" i="3"/>
  <c r="B462" i="3"/>
  <c r="BA10" i="473"/>
  <c r="AR73" i="473"/>
  <c r="BJ21" i="473"/>
  <c r="K152" i="424"/>
  <c r="BA8" i="473"/>
  <c r="M152" i="424"/>
  <c r="C140" i="424"/>
  <c r="AR71" i="473"/>
  <c r="J164" i="424"/>
  <c r="E152" i="424"/>
  <c r="B24" i="424"/>
  <c r="Q152" i="424"/>
  <c r="BA26" i="473"/>
  <c r="BJ13" i="473"/>
  <c r="BA23" i="473"/>
  <c r="BA18" i="473"/>
  <c r="BA21" i="473"/>
  <c r="BA11" i="473"/>
  <c r="G92" i="424"/>
  <c r="BA4" i="473"/>
  <c r="BA13" i="473"/>
  <c r="L152" i="424"/>
  <c r="BA17" i="473"/>
  <c r="P152" i="424"/>
  <c r="X152" i="424"/>
  <c r="BJ17" i="473"/>
  <c r="D152" i="424"/>
  <c r="BA12" i="473"/>
  <c r="B68" i="424"/>
  <c r="D6" i="435"/>
  <c r="L18" i="489" s="1"/>
  <c r="AR70" i="473"/>
  <c r="BD7" i="473"/>
  <c r="BJ15" i="473"/>
  <c r="BJ19" i="473"/>
  <c r="BA24" i="473"/>
  <c r="AR49" i="473"/>
  <c r="C16" i="424"/>
  <c r="G150" i="376"/>
  <c r="D80" i="424"/>
  <c r="J156" i="376"/>
  <c r="G27" i="376"/>
  <c r="G149" i="376"/>
  <c r="J157" i="376"/>
  <c r="K203" i="376"/>
  <c r="C54" i="435"/>
  <c r="C59" i="435"/>
  <c r="C172" i="442"/>
  <c r="D188" i="382"/>
  <c r="S47" i="48"/>
  <c r="I56" i="48"/>
  <c r="S56" i="48" s="1"/>
  <c r="I47" i="48"/>
  <c r="A30" i="460"/>
  <c r="A29" i="460"/>
  <c r="C78" i="435"/>
  <c r="C75" i="435"/>
  <c r="C51" i="435"/>
  <c r="C67" i="435"/>
  <c r="D181" i="382"/>
  <c r="C58" i="435"/>
  <c r="C69" i="435"/>
  <c r="C72" i="435"/>
  <c r="C60" i="435"/>
  <c r="I58" i="48"/>
  <c r="D108" i="48"/>
  <c r="I11" i="452"/>
  <c r="E76" i="424"/>
  <c r="D76" i="424"/>
  <c r="G134" i="376"/>
  <c r="F24" i="452"/>
  <c r="F26" i="452"/>
  <c r="D24" i="424"/>
  <c r="B28" i="424"/>
  <c r="E28" i="424"/>
  <c r="J14" i="2"/>
  <c r="D3" i="435" s="1"/>
  <c r="L14" i="489" s="1"/>
  <c r="D19" i="435"/>
  <c r="L31" i="489" s="1"/>
  <c r="M94" i="375"/>
  <c r="C13" i="451"/>
  <c r="D9" i="424"/>
  <c r="G16" i="424"/>
  <c r="L165" i="9"/>
  <c r="O92" i="424"/>
  <c r="D59" i="487"/>
  <c r="L149" i="9"/>
  <c r="C7" i="426"/>
  <c r="H2" i="435"/>
  <c r="A27" i="460"/>
  <c r="A28" i="460"/>
  <c r="O16" i="397"/>
  <c r="E12" i="424"/>
  <c r="G40" i="49"/>
  <c r="C24" i="424"/>
  <c r="E20" i="424"/>
  <c r="H16" i="424"/>
  <c r="F164" i="424"/>
  <c r="B164" i="424"/>
  <c r="D164" i="424"/>
  <c r="H164" i="424"/>
  <c r="C72" i="424"/>
  <c r="F60" i="424"/>
  <c r="I16" i="424"/>
  <c r="J80" i="424"/>
  <c r="K80" i="424"/>
  <c r="B56" i="424"/>
  <c r="B88" i="424"/>
  <c r="Q22" i="473"/>
  <c r="H26" i="473"/>
  <c r="F160" i="424"/>
  <c r="M96" i="424"/>
  <c r="I160" i="424"/>
  <c r="D160" i="424"/>
  <c r="C110" i="9"/>
  <c r="H24" i="473"/>
  <c r="G60" i="424"/>
  <c r="K36" i="473"/>
  <c r="E72" i="424"/>
  <c r="J92" i="424"/>
  <c r="C20" i="424"/>
  <c r="E80" i="424"/>
  <c r="H39" i="473"/>
  <c r="H49" i="473"/>
  <c r="E60" i="424"/>
  <c r="L151" i="49"/>
  <c r="I69" i="452"/>
  <c r="F80" i="424"/>
  <c r="I80" i="424"/>
  <c r="J164" i="392"/>
  <c r="F52" i="375"/>
  <c r="Q11" i="473"/>
  <c r="J88" i="424"/>
  <c r="M92" i="424"/>
  <c r="K31" i="473"/>
  <c r="N25" i="473"/>
  <c r="D48" i="424"/>
  <c r="AB120" i="424"/>
  <c r="C56" i="424"/>
  <c r="M17" i="3"/>
  <c r="C76" i="391"/>
  <c r="C48" i="424"/>
  <c r="AB148" i="391"/>
  <c r="AI23" i="473"/>
  <c r="J72" i="2"/>
  <c r="D12" i="424"/>
  <c r="BD16" i="473"/>
  <c r="C144" i="424"/>
  <c r="B27" i="394"/>
  <c r="B14" i="394"/>
  <c r="Q7" i="103"/>
  <c r="Q17" i="396"/>
  <c r="J100" i="2"/>
  <c r="D11" i="435" s="1"/>
  <c r="L23" i="489" s="1"/>
  <c r="J51" i="2"/>
  <c r="K201" i="376"/>
  <c r="AJ144" i="424"/>
  <c r="Q43" i="473"/>
  <c r="H32" i="473"/>
  <c r="H33" i="473"/>
  <c r="AA120" i="424"/>
  <c r="J112" i="424"/>
  <c r="O112" i="424"/>
  <c r="I112" i="424"/>
  <c r="D112" i="424"/>
  <c r="E45" i="32"/>
  <c r="B19" i="487"/>
  <c r="J91" i="6"/>
  <c r="D89" i="487"/>
  <c r="I18" i="32"/>
  <c r="M90" i="454"/>
  <c r="D61" i="487"/>
  <c r="D62" i="487"/>
  <c r="M87" i="454"/>
  <c r="C98" i="487"/>
  <c r="K259" i="376"/>
  <c r="C43" i="487"/>
  <c r="C45" i="487"/>
  <c r="C44" i="487"/>
  <c r="C42" i="362"/>
  <c r="K200" i="376"/>
  <c r="K199" i="376"/>
  <c r="D99" i="487"/>
  <c r="D100" i="487"/>
  <c r="C34" i="362"/>
  <c r="C16" i="32"/>
  <c r="K22" i="473"/>
  <c r="F92" i="424"/>
  <c r="N92" i="424"/>
  <c r="C116" i="424"/>
  <c r="I88" i="424"/>
  <c r="H96" i="424"/>
  <c r="I120" i="424"/>
  <c r="B112" i="424"/>
  <c r="D120" i="424"/>
  <c r="AU19" i="473"/>
  <c r="G160" i="424"/>
  <c r="I139" i="9"/>
  <c r="C116" i="9"/>
  <c r="C7" i="362"/>
  <c r="F9" i="49"/>
  <c r="I23" i="32"/>
  <c r="C48" i="487"/>
  <c r="N31" i="473"/>
  <c r="Q92" i="424"/>
  <c r="N23" i="473"/>
  <c r="I92" i="424"/>
  <c r="O96" i="424"/>
  <c r="K96" i="424"/>
  <c r="G96" i="424"/>
  <c r="N38" i="473"/>
  <c r="Q24" i="473"/>
  <c r="F100" i="424"/>
  <c r="AI37" i="473"/>
  <c r="AI33" i="473"/>
  <c r="G116" i="424"/>
  <c r="AO27" i="473"/>
  <c r="F120" i="424"/>
  <c r="AL34" i="473"/>
  <c r="K167" i="392"/>
  <c r="C47" i="487"/>
  <c r="N4" i="473"/>
  <c r="N30" i="473"/>
  <c r="P92" i="424"/>
  <c r="N26" i="473"/>
  <c r="L92" i="424"/>
  <c r="N22" i="473"/>
  <c r="H92" i="424"/>
  <c r="P96" i="424"/>
  <c r="Q44" i="473"/>
  <c r="G100" i="424"/>
  <c r="L112" i="424"/>
  <c r="AF9" i="473"/>
  <c r="AC19" i="473"/>
  <c r="F112" i="424"/>
  <c r="AI28" i="473"/>
  <c r="D116" i="424"/>
  <c r="AO31" i="473"/>
  <c r="X120" i="424"/>
  <c r="AL144" i="424"/>
  <c r="AX35" i="473"/>
  <c r="AE144" i="424"/>
  <c r="AU86" i="473"/>
  <c r="Q144" i="424"/>
  <c r="J160" i="424"/>
  <c r="C160" i="424"/>
  <c r="C111" i="9"/>
  <c r="D16" i="479"/>
  <c r="C108" i="9"/>
  <c r="C112" i="9"/>
  <c r="K190" i="392"/>
  <c r="D96" i="424"/>
  <c r="L96" i="424"/>
  <c r="J96" i="424"/>
  <c r="D88" i="424"/>
  <c r="N96" i="424"/>
  <c r="F96" i="424"/>
  <c r="C104" i="424"/>
  <c r="M51" i="454"/>
  <c r="D104" i="424"/>
  <c r="T43" i="473"/>
  <c r="T39" i="473"/>
  <c r="B104" i="424"/>
  <c r="AF5" i="473"/>
  <c r="K112" i="424"/>
  <c r="H112" i="424"/>
  <c r="AC21" i="473"/>
  <c r="Q120" i="424"/>
  <c r="E195" i="426"/>
  <c r="D83" i="457"/>
  <c r="C105" i="9"/>
  <c r="D72" i="457" s="1"/>
  <c r="L36" i="394"/>
  <c r="P14" i="394"/>
  <c r="BD6" i="473"/>
  <c r="BD12" i="473"/>
  <c r="L14" i="394"/>
  <c r="F14" i="394"/>
  <c r="D14" i="394"/>
  <c r="J188" i="2" s="1"/>
  <c r="N14" i="394"/>
  <c r="J14" i="394"/>
  <c r="H21" i="451" s="1"/>
  <c r="F280" i="381" s="1"/>
  <c r="T144" i="424"/>
  <c r="AN144" i="424"/>
  <c r="BD55" i="473"/>
  <c r="BD17" i="473"/>
  <c r="F16" i="2"/>
  <c r="G16" i="2"/>
  <c r="C25" i="482"/>
  <c r="U22" i="396"/>
  <c r="F16" i="424"/>
  <c r="J318" i="49"/>
  <c r="L229" i="49"/>
  <c r="L230" i="49"/>
  <c r="L228" i="49"/>
  <c r="L240" i="49"/>
  <c r="I240" i="49"/>
  <c r="L210" i="49"/>
  <c r="J210" i="49"/>
  <c r="L236" i="49"/>
  <c r="I236" i="49"/>
  <c r="AU51" i="473"/>
  <c r="R155" i="3"/>
  <c r="I233" i="49"/>
  <c r="L233" i="49"/>
  <c r="J79" i="2"/>
  <c r="R100" i="3"/>
  <c r="H116" i="424"/>
  <c r="AC11" i="473"/>
  <c r="N144" i="424"/>
  <c r="AX31" i="473"/>
  <c r="J64" i="2"/>
  <c r="J44" i="2"/>
  <c r="H113" i="442"/>
  <c r="K96" i="442"/>
  <c r="K99" i="442" s="1"/>
  <c r="K102" i="442" s="1"/>
  <c r="L238" i="49"/>
  <c r="I238" i="49"/>
  <c r="I239" i="49"/>
  <c r="L239" i="49"/>
  <c r="AX65" i="473"/>
  <c r="AX61" i="473"/>
  <c r="J316" i="49"/>
  <c r="AU78" i="473"/>
  <c r="AX67" i="473"/>
  <c r="L234" i="49"/>
  <c r="I234" i="49"/>
  <c r="W22" i="396"/>
  <c r="S17" i="396"/>
  <c r="G12" i="424"/>
  <c r="C12" i="424"/>
  <c r="H63" i="451"/>
  <c r="F28" i="452"/>
  <c r="I40" i="452" s="1"/>
  <c r="F57" i="9"/>
  <c r="L25" i="9"/>
  <c r="A10" i="482"/>
  <c r="D20" i="424"/>
  <c r="J147" i="49"/>
  <c r="L147" i="49"/>
  <c r="N6" i="473"/>
  <c r="D92" i="424"/>
  <c r="T48" i="473"/>
  <c r="G104" i="424"/>
  <c r="AC20" i="473"/>
  <c r="G112" i="424"/>
  <c r="AC14" i="473"/>
  <c r="R120" i="424"/>
  <c r="AL52" i="473"/>
  <c r="L120" i="424"/>
  <c r="B80" i="458"/>
  <c r="B54" i="473" s="1"/>
  <c r="C113" i="9"/>
  <c r="C115" i="9"/>
  <c r="C114" i="9"/>
  <c r="AL53" i="473"/>
  <c r="AH144" i="424"/>
  <c r="AX38" i="473"/>
  <c r="L10" i="9"/>
  <c r="K102" i="392"/>
  <c r="AX37" i="473"/>
  <c r="AX34" i="473"/>
  <c r="AD144" i="424"/>
  <c r="D11" i="462"/>
  <c r="D79" i="457"/>
  <c r="D229" i="426"/>
  <c r="C229" i="426" s="1"/>
  <c r="D126" i="468"/>
  <c r="B79" i="458"/>
  <c r="B53" i="473" s="1"/>
  <c r="J150" i="49"/>
  <c r="L150" i="49"/>
  <c r="L149" i="49"/>
  <c r="J149" i="49"/>
  <c r="J148" i="49"/>
  <c r="L148" i="49"/>
  <c r="E172" i="426"/>
  <c r="D230" i="426"/>
  <c r="C230" i="426" s="1"/>
  <c r="L45" i="49" l="1"/>
  <c r="H58" i="451"/>
  <c r="B430" i="3"/>
  <c r="B64" i="7"/>
  <c r="G132" i="376"/>
  <c r="B9" i="492"/>
  <c r="B460" i="3"/>
  <c r="B37" i="7"/>
  <c r="J54" i="7"/>
  <c r="F101" i="375"/>
  <c r="D107" i="391" s="1"/>
  <c r="E188" i="3"/>
  <c r="I413" i="3"/>
  <c r="G45" i="489"/>
  <c r="M93" i="375"/>
  <c r="G45" i="49"/>
  <c r="D23" i="435"/>
  <c r="L35" i="489" s="1"/>
  <c r="M96" i="375"/>
  <c r="H177" i="489"/>
  <c r="H177" i="49"/>
  <c r="L177" i="49"/>
  <c r="D2" i="435"/>
  <c r="D15" i="435"/>
  <c r="L27" i="489" s="1"/>
  <c r="I22" i="435"/>
  <c r="D14" i="435"/>
  <c r="L26" i="489" s="1"/>
  <c r="I78" i="435"/>
  <c r="L235" i="489" s="1"/>
  <c r="I50" i="435"/>
  <c r="L189" i="489" s="1"/>
  <c r="R136" i="3"/>
  <c r="R213" i="3" s="1"/>
  <c r="N158" i="382"/>
  <c r="M104" i="7"/>
  <c r="M128" i="7"/>
  <c r="M97" i="375"/>
  <c r="K97" i="426"/>
  <c r="E123" i="426" s="1"/>
  <c r="K100" i="426"/>
  <c r="K101" i="426" s="1"/>
  <c r="K102" i="426" s="1"/>
  <c r="K103" i="426" s="1"/>
  <c r="K104" i="426" s="1"/>
  <c r="K105" i="426" s="1"/>
  <c r="K106" i="426" s="1"/>
  <c r="K107" i="426" s="1"/>
  <c r="K108" i="426" s="1"/>
  <c r="K109" i="426" s="1"/>
  <c r="K110" i="426" s="1"/>
  <c r="K111" i="426" s="1"/>
  <c r="K112" i="426" s="1"/>
  <c r="K113" i="426" s="1"/>
  <c r="K114" i="426" s="1"/>
  <c r="K115" i="426" s="1"/>
  <c r="K116" i="426" s="1"/>
  <c r="K117" i="426" s="1"/>
  <c r="K118" i="426" s="1"/>
  <c r="K119" i="426" s="1"/>
  <c r="K120" i="426" s="1"/>
  <c r="K121" i="426" s="1"/>
  <c r="K122" i="426" s="1"/>
  <c r="K123" i="426" s="1"/>
  <c r="K124" i="426" s="1"/>
  <c r="K96" i="426"/>
  <c r="D240" i="49"/>
  <c r="I70" i="435"/>
  <c r="L227" i="489" s="1"/>
  <c r="D22" i="435"/>
  <c r="L34" i="489" s="1"/>
  <c r="L40" i="394"/>
  <c r="L42" i="394" s="1"/>
  <c r="J42" i="394"/>
  <c r="E66" i="457"/>
  <c r="AS66" i="457"/>
  <c r="I66" i="457"/>
  <c r="AX66" i="457"/>
  <c r="J55" i="2"/>
  <c r="D7" i="435" s="1"/>
  <c r="L19" i="489" s="1"/>
  <c r="D29" i="435"/>
  <c r="L44" i="489" s="1"/>
  <c r="W12" i="473"/>
  <c r="AI22" i="473"/>
  <c r="W13" i="473"/>
  <c r="W14" i="473"/>
  <c r="AI24" i="473"/>
  <c r="D91" i="468"/>
  <c r="C2" i="478"/>
  <c r="G22" i="489"/>
  <c r="C73" i="49"/>
  <c r="K110" i="392"/>
  <c r="K143" i="392" s="1"/>
  <c r="L22" i="49"/>
  <c r="G22" i="49"/>
  <c r="D9" i="435"/>
  <c r="L21" i="489" s="1"/>
  <c r="G18" i="2"/>
  <c r="F18" i="2"/>
  <c r="G22" i="376"/>
  <c r="F57" i="381"/>
  <c r="F176" i="381" s="1"/>
  <c r="C16" i="390"/>
  <c r="D93" i="468"/>
  <c r="E1" i="426"/>
  <c r="D5" i="445"/>
  <c r="L3" i="450"/>
  <c r="D90" i="468"/>
  <c r="D130" i="468"/>
  <c r="D44" i="463"/>
  <c r="D10" i="83"/>
  <c r="D56" i="464"/>
  <c r="D125" i="468"/>
  <c r="D91" i="462"/>
  <c r="L10" i="80"/>
  <c r="B61" i="391"/>
  <c r="D217" i="463"/>
  <c r="D89" i="468"/>
  <c r="D16" i="477"/>
  <c r="B87" i="474"/>
  <c r="D40" i="468"/>
  <c r="D90" i="462"/>
  <c r="D130" i="463"/>
  <c r="D99" i="468"/>
  <c r="D104" i="468"/>
  <c r="D103" i="468"/>
  <c r="D109" i="468"/>
  <c r="Q4" i="450"/>
  <c r="D49" i="450"/>
  <c r="C9" i="489"/>
  <c r="C9" i="49"/>
  <c r="D152" i="463"/>
  <c r="D108" i="468"/>
  <c r="D124" i="468"/>
  <c r="D88" i="457"/>
  <c r="H22" i="92"/>
  <c r="D128" i="463"/>
  <c r="D58" i="468"/>
  <c r="D97" i="468"/>
  <c r="D6" i="386"/>
  <c r="B58" i="454" s="1"/>
  <c r="H9" i="386"/>
  <c r="D1" i="362"/>
  <c r="D23" i="464"/>
  <c r="D52" i="132"/>
  <c r="D102" i="468"/>
  <c r="D49" i="468"/>
  <c r="D98" i="468"/>
  <c r="L7" i="450"/>
  <c r="N32" i="9"/>
  <c r="D67" i="468"/>
  <c r="H11" i="83"/>
  <c r="B3" i="474"/>
  <c r="I16" i="477"/>
  <c r="D210" i="49"/>
  <c r="D11" i="74"/>
  <c r="D14" i="468"/>
  <c r="D62" i="468"/>
  <c r="D71" i="464"/>
  <c r="K20" i="83"/>
  <c r="D210" i="489"/>
  <c r="G19" i="390"/>
  <c r="H87" i="4"/>
  <c r="E50" i="442"/>
  <c r="T33" i="492"/>
  <c r="I7" i="489"/>
  <c r="B63" i="458"/>
  <c r="B153" i="463"/>
  <c r="K108" i="424" s="1"/>
  <c r="I21" i="435"/>
  <c r="T47" i="473"/>
  <c r="T46" i="473"/>
  <c r="S59" i="48"/>
  <c r="S28" i="48"/>
  <c r="S33" i="48" s="1"/>
  <c r="I33" i="48"/>
  <c r="H97" i="392"/>
  <c r="I442" i="3"/>
  <c r="A32" i="460"/>
  <c r="H155" i="49"/>
  <c r="H155" i="489"/>
  <c r="D240" i="489"/>
  <c r="D30" i="32"/>
  <c r="H52" i="450"/>
  <c r="B3" i="424"/>
  <c r="C40" i="362"/>
  <c r="G40" i="362"/>
  <c r="M91" i="375"/>
  <c r="D15" i="2"/>
  <c r="M95" i="375"/>
  <c r="B24" i="464"/>
  <c r="I59" i="48"/>
  <c r="B218" i="463"/>
  <c r="B57" i="464"/>
  <c r="I232" i="49"/>
  <c r="I232" i="489"/>
  <c r="I231" i="49"/>
  <c r="I231" i="489"/>
  <c r="F14" i="49"/>
  <c r="F14" i="489"/>
  <c r="L18" i="49"/>
  <c r="G18" i="489"/>
  <c r="G32" i="489"/>
  <c r="L31" i="49"/>
  <c r="G31" i="489"/>
  <c r="I7" i="49"/>
  <c r="I237" i="49"/>
  <c r="I237" i="489"/>
  <c r="G32" i="49"/>
  <c r="B217" i="463"/>
  <c r="I142" i="9"/>
  <c r="L145" i="9" s="1"/>
  <c r="L148" i="9" s="1"/>
  <c r="B23" i="464"/>
  <c r="E116" i="424" s="1"/>
  <c r="L14" i="49"/>
  <c r="L232" i="49"/>
  <c r="J82" i="2"/>
  <c r="G18" i="49"/>
  <c r="L231" i="49"/>
  <c r="B56" i="464"/>
  <c r="D17" i="435"/>
  <c r="L29" i="489" s="1"/>
  <c r="G31" i="49"/>
  <c r="L32" i="49"/>
  <c r="M191" i="3"/>
  <c r="J32" i="6"/>
  <c r="L237" i="49"/>
  <c r="G138" i="376"/>
  <c r="Q20" i="396"/>
  <c r="D18" i="435"/>
  <c r="L30" i="489" s="1"/>
  <c r="G147" i="376"/>
  <c r="H133" i="426"/>
  <c r="I133" i="426" s="1"/>
  <c r="I79" i="452"/>
  <c r="I445" i="3"/>
  <c r="H69" i="451"/>
  <c r="K113" i="442"/>
  <c r="H116" i="442"/>
  <c r="K116" i="442" s="1"/>
  <c r="I25" i="435"/>
  <c r="G135" i="376"/>
  <c r="E339" i="3"/>
  <c r="I339" i="3" s="1"/>
  <c r="D16" i="435"/>
  <c r="L28" i="489" s="1"/>
  <c r="D90" i="457"/>
  <c r="B6" i="32"/>
  <c r="H14" i="386"/>
  <c r="B71" i="32"/>
  <c r="C19" i="390"/>
  <c r="H25" i="386"/>
  <c r="D9" i="386"/>
  <c r="B85" i="454" s="1"/>
  <c r="D105" i="457"/>
  <c r="D64" i="468"/>
  <c r="D92" i="457"/>
  <c r="D22" i="477"/>
  <c r="G35" i="49" l="1"/>
  <c r="J167" i="489"/>
  <c r="I168" i="489"/>
  <c r="H167" i="489"/>
  <c r="G168" i="489"/>
  <c r="I68" i="48"/>
  <c r="I96" i="48" s="1"/>
  <c r="I119" i="48" s="1"/>
  <c r="F117" i="375"/>
  <c r="F36" i="381"/>
  <c r="F126" i="375"/>
  <c r="F49" i="381"/>
  <c r="F296" i="381" s="1"/>
  <c r="G35" i="489"/>
  <c r="L35" i="49"/>
  <c r="G27" i="489"/>
  <c r="G27" i="49"/>
  <c r="L27" i="49"/>
  <c r="L26" i="49"/>
  <c r="G26" i="49"/>
  <c r="K125" i="426"/>
  <c r="M100" i="426" s="1"/>
  <c r="M101" i="426" s="1"/>
  <c r="M102" i="426" s="1"/>
  <c r="M103" i="426" s="1"/>
  <c r="M104" i="426" s="1"/>
  <c r="M105" i="426" s="1"/>
  <c r="M106" i="426" s="1"/>
  <c r="M107" i="426" s="1"/>
  <c r="M108" i="426" s="1"/>
  <c r="M109" i="426" s="1"/>
  <c r="M110" i="426" s="1"/>
  <c r="M111" i="426" s="1"/>
  <c r="M112" i="426" s="1"/>
  <c r="M113" i="426" s="1"/>
  <c r="M114" i="426" s="1"/>
  <c r="M115" i="426" s="1"/>
  <c r="M116" i="426" s="1"/>
  <c r="M117" i="426" s="1"/>
  <c r="M118" i="426" s="1"/>
  <c r="M119" i="426" s="1"/>
  <c r="M120" i="426" s="1"/>
  <c r="M121" i="426" s="1"/>
  <c r="M122" i="426" s="1"/>
  <c r="M123" i="426" s="1"/>
  <c r="M124" i="426" s="1"/>
  <c r="M125" i="426" s="1"/>
  <c r="M126" i="426" s="1"/>
  <c r="N126" i="426" s="1"/>
  <c r="F116" i="424"/>
  <c r="L44" i="49"/>
  <c r="H228" i="49"/>
  <c r="S119" i="48"/>
  <c r="L97" i="426"/>
  <c r="I227" i="489"/>
  <c r="H228" i="489"/>
  <c r="I227" i="49"/>
  <c r="L227" i="49"/>
  <c r="D26" i="435"/>
  <c r="L41" i="489" s="1"/>
  <c r="G44" i="49"/>
  <c r="G44" i="489"/>
  <c r="I66" i="491"/>
  <c r="H120" i="424"/>
  <c r="AF16" i="473"/>
  <c r="N112" i="424"/>
  <c r="Z61" i="473"/>
  <c r="AL37" i="473"/>
  <c r="AI32" i="473"/>
  <c r="B124" i="424"/>
  <c r="C124" i="424"/>
  <c r="G21" i="489"/>
  <c r="G26" i="489"/>
  <c r="K97" i="392"/>
  <c r="I54" i="435"/>
  <c r="F20" i="2"/>
  <c r="J21" i="2" s="1"/>
  <c r="J31" i="2" s="1"/>
  <c r="L21" i="49"/>
  <c r="G21" i="49"/>
  <c r="D8" i="435"/>
  <c r="L20" i="489" s="1"/>
  <c r="G28" i="376"/>
  <c r="K118" i="376" s="1"/>
  <c r="D39" i="48"/>
  <c r="F41" i="375"/>
  <c r="M44" i="375" s="1"/>
  <c r="G34" i="49"/>
  <c r="D27" i="435"/>
  <c r="D36" i="435"/>
  <c r="L55" i="489" s="1"/>
  <c r="D37" i="435"/>
  <c r="L56" i="489" s="1"/>
  <c r="I72" i="435"/>
  <c r="B37" i="473"/>
  <c r="D36" i="424"/>
  <c r="M101" i="375"/>
  <c r="F302" i="381"/>
  <c r="I69" i="491"/>
  <c r="D65" i="48"/>
  <c r="H100" i="392"/>
  <c r="K113" i="392"/>
  <c r="BJ26" i="473"/>
  <c r="I235" i="489"/>
  <c r="L235" i="49"/>
  <c r="I235" i="49"/>
  <c r="X80" i="391"/>
  <c r="X83" i="391" s="1"/>
  <c r="I104" i="435" s="1"/>
  <c r="F104" i="424"/>
  <c r="AF17" i="473"/>
  <c r="AL38" i="473"/>
  <c r="L34" i="49"/>
  <c r="G34" i="489"/>
  <c r="G30" i="49"/>
  <c r="G30" i="489"/>
  <c r="G19" i="489"/>
  <c r="G28" i="489"/>
  <c r="L29" i="49"/>
  <c r="G29" i="489"/>
  <c r="M112" i="424"/>
  <c r="AI31" i="473"/>
  <c r="G120" i="424"/>
  <c r="E104" i="424"/>
  <c r="G29" i="49"/>
  <c r="D21" i="362"/>
  <c r="G151" i="376"/>
  <c r="K161" i="376" s="1"/>
  <c r="L30" i="49"/>
  <c r="J35" i="6"/>
  <c r="J90" i="6" s="1"/>
  <c r="J132" i="426"/>
  <c r="D44" i="48"/>
  <c r="D102" i="48"/>
  <c r="I5" i="435"/>
  <c r="I4" i="435"/>
  <c r="L153" i="489" s="1"/>
  <c r="D13" i="435"/>
  <c r="L25" i="489" s="1"/>
  <c r="I168" i="49"/>
  <c r="J167" i="49"/>
  <c r="G168" i="49"/>
  <c r="H167" i="49"/>
  <c r="G19" i="49"/>
  <c r="L19" i="49"/>
  <c r="K119" i="442"/>
  <c r="K122" i="442" s="1"/>
  <c r="L28" i="49"/>
  <c r="G28" i="49"/>
  <c r="L262" i="489" l="1"/>
  <c r="L275" i="489"/>
  <c r="L254" i="489"/>
  <c r="L253" i="489"/>
  <c r="L252" i="489"/>
  <c r="L264" i="489"/>
  <c r="L263" i="489"/>
  <c r="E315" i="3"/>
  <c r="I321" i="3" s="1"/>
  <c r="D32" i="435" s="1"/>
  <c r="N96" i="48"/>
  <c r="J184" i="2"/>
  <c r="C43" i="49"/>
  <c r="J22" i="397"/>
  <c r="D100" i="391"/>
  <c r="I367" i="3"/>
  <c r="D4" i="435"/>
  <c r="D5" i="435"/>
  <c r="I55" i="435"/>
  <c r="K134" i="392"/>
  <c r="K100" i="392"/>
  <c r="K103" i="392" s="1"/>
  <c r="K119" i="392"/>
  <c r="F13" i="49"/>
  <c r="F20" i="396"/>
  <c r="G41" i="489"/>
  <c r="L41" i="49"/>
  <c r="G41" i="49"/>
  <c r="I73" i="435"/>
  <c r="I44" i="435"/>
  <c r="D32" i="362"/>
  <c r="K164" i="376"/>
  <c r="K204" i="376" s="1"/>
  <c r="F13" i="489"/>
  <c r="N59" i="48"/>
  <c r="J33" i="381" s="1"/>
  <c r="G56" i="489"/>
  <c r="H229" i="489"/>
  <c r="G42" i="49"/>
  <c r="G42" i="489"/>
  <c r="C43" i="489"/>
  <c r="H229" i="49"/>
  <c r="G55" i="49"/>
  <c r="L56" i="49"/>
  <c r="G56" i="49"/>
  <c r="G55" i="489"/>
  <c r="L55" i="49"/>
  <c r="K125" i="442"/>
  <c r="J22" i="454"/>
  <c r="I59" i="435"/>
  <c r="I56" i="435"/>
  <c r="I86" i="435"/>
  <c r="L255" i="489" s="1"/>
  <c r="J82" i="454"/>
  <c r="AB88" i="391"/>
  <c r="G20" i="49"/>
  <c r="L20" i="49"/>
  <c r="G20" i="489"/>
  <c r="J153" i="49"/>
  <c r="J153" i="489"/>
  <c r="L25" i="49"/>
  <c r="G25" i="489"/>
  <c r="H153" i="489"/>
  <c r="L23" i="49"/>
  <c r="G23" i="489"/>
  <c r="G23" i="49"/>
  <c r="G25" i="49"/>
  <c r="H153" i="49"/>
  <c r="L153" i="49"/>
  <c r="D226" i="426"/>
  <c r="L15" i="489" l="1"/>
  <c r="L13" i="489"/>
  <c r="L17" i="489"/>
  <c r="L16" i="489"/>
  <c r="L48" i="489"/>
  <c r="L47" i="489"/>
  <c r="L13" i="49"/>
  <c r="G48" i="49"/>
  <c r="G47" i="489"/>
  <c r="G48" i="489"/>
  <c r="I370" i="3"/>
  <c r="I376" i="3" s="1"/>
  <c r="I379" i="3" s="1"/>
  <c r="L47" i="49"/>
  <c r="L48" i="49"/>
  <c r="G47" i="49"/>
  <c r="F15" i="489"/>
  <c r="L15" i="49"/>
  <c r="C16" i="489"/>
  <c r="F15" i="49"/>
  <c r="K128" i="392"/>
  <c r="G255" i="49"/>
  <c r="I230" i="489"/>
  <c r="G182" i="49"/>
  <c r="G262" i="49"/>
  <c r="G262" i="489"/>
  <c r="L263" i="49"/>
  <c r="L264" i="49"/>
  <c r="L262" i="49"/>
  <c r="L254" i="49"/>
  <c r="L275" i="49"/>
  <c r="I230" i="49"/>
  <c r="G182" i="489"/>
  <c r="L255" i="49"/>
  <c r="M125" i="7"/>
  <c r="F199" i="381"/>
  <c r="D40" i="362"/>
  <c r="D12" i="362"/>
  <c r="D227" i="426"/>
  <c r="K192" i="392" s="1"/>
  <c r="N45" i="381"/>
  <c r="G255" i="489"/>
  <c r="I87" i="435"/>
  <c r="I57" i="435"/>
  <c r="D23" i="362"/>
  <c r="M88" i="454"/>
  <c r="I84" i="435" s="1"/>
  <c r="L242" i="489" l="1"/>
  <c r="L226" i="489"/>
  <c r="L241" i="489"/>
  <c r="H149" i="442"/>
  <c r="K152" i="442" s="1"/>
  <c r="F63" i="375"/>
  <c r="M63" i="375" s="1"/>
  <c r="D46" i="435"/>
  <c r="I383" i="3"/>
  <c r="H74" i="4" s="1"/>
  <c r="D40" i="435"/>
  <c r="G17" i="489"/>
  <c r="K131" i="392"/>
  <c r="J25" i="454"/>
  <c r="I45" i="435"/>
  <c r="L17" i="49"/>
  <c r="G17" i="49"/>
  <c r="G16" i="49"/>
  <c r="G16" i="489"/>
  <c r="L16" i="49"/>
  <c r="K223" i="376"/>
  <c r="I255" i="489"/>
  <c r="M495" i="3"/>
  <c r="I255" i="49"/>
  <c r="D202" i="489"/>
  <c r="L74" i="489" l="1"/>
  <c r="L71" i="489"/>
  <c r="L66" i="489"/>
  <c r="L73" i="489"/>
  <c r="L72" i="489"/>
  <c r="L70" i="489"/>
  <c r="L68" i="489"/>
  <c r="L67" i="489"/>
  <c r="L69" i="489"/>
  <c r="L76" i="489"/>
  <c r="L64" i="489"/>
  <c r="L75" i="489"/>
  <c r="L63" i="489"/>
  <c r="L65" i="489"/>
  <c r="L76" i="49"/>
  <c r="L75" i="49"/>
  <c r="K155" i="442"/>
  <c r="K158" i="442" s="1"/>
  <c r="L65" i="49"/>
  <c r="C71" i="489"/>
  <c r="H132" i="426"/>
  <c r="I132" i="426" s="1"/>
  <c r="J131" i="426" s="1"/>
  <c r="C69" i="49"/>
  <c r="L72" i="49"/>
  <c r="L74" i="49"/>
  <c r="L73" i="49"/>
  <c r="L63" i="49"/>
  <c r="L70" i="49"/>
  <c r="V8" i="381"/>
  <c r="N116" i="381" s="1"/>
  <c r="M511" i="3"/>
  <c r="T113" i="391"/>
  <c r="E25" i="442"/>
  <c r="AL8" i="381"/>
  <c r="D42" i="435" s="1"/>
  <c r="C63" i="49" s="1"/>
  <c r="I395" i="3"/>
  <c r="L66" i="49"/>
  <c r="C71" i="49"/>
  <c r="L68" i="49"/>
  <c r="C69" i="489"/>
  <c r="L71" i="49"/>
  <c r="L69" i="49"/>
  <c r="L67" i="49"/>
  <c r="L64" i="49"/>
  <c r="I46" i="435"/>
  <c r="J183" i="49"/>
  <c r="J47" i="454"/>
  <c r="K137" i="392"/>
  <c r="K140" i="392" s="1"/>
  <c r="K158" i="392" s="1"/>
  <c r="J183" i="489"/>
  <c r="K226" i="376"/>
  <c r="K258" i="376" s="1"/>
  <c r="K236" i="376"/>
  <c r="K239" i="376" s="1"/>
  <c r="K277" i="376" s="1"/>
  <c r="C14" i="390" s="1"/>
  <c r="D34" i="362"/>
  <c r="L241" i="49"/>
  <c r="L226" i="49"/>
  <c r="L242" i="49"/>
  <c r="J241" i="489"/>
  <c r="J241" i="49"/>
  <c r="D202" i="49"/>
  <c r="G200" i="489"/>
  <c r="G199" i="489"/>
  <c r="G197" i="489"/>
  <c r="I200" i="489"/>
  <c r="I200" i="49"/>
  <c r="G199" i="49"/>
  <c r="G197" i="49"/>
  <c r="G200" i="49"/>
  <c r="K162" i="442" l="1"/>
  <c r="C63" i="489"/>
  <c r="C65" i="49"/>
  <c r="C67" i="489"/>
  <c r="C65" i="489"/>
  <c r="H134" i="426"/>
  <c r="I134" i="426" s="1"/>
  <c r="J133" i="426" s="1"/>
  <c r="H135" i="426"/>
  <c r="I135" i="426" s="1"/>
  <c r="J134" i="426" s="1"/>
  <c r="C67" i="49"/>
  <c r="C73" i="489"/>
  <c r="I38" i="435"/>
  <c r="L179" i="489" s="1"/>
  <c r="J170" i="7"/>
  <c r="J184" i="489"/>
  <c r="J184" i="49"/>
  <c r="I24" i="32"/>
  <c r="BJ9" i="473"/>
  <c r="I60" i="435"/>
  <c r="G8" i="390"/>
  <c r="D8" i="362"/>
  <c r="K166" i="392"/>
  <c r="J39" i="454" s="1"/>
  <c r="J64" i="454"/>
  <c r="D36" i="362"/>
  <c r="D54" i="362"/>
  <c r="I199" i="489"/>
  <c r="I197" i="489"/>
  <c r="I199" i="49"/>
  <c r="I197" i="49"/>
  <c r="J179" i="489" l="1"/>
  <c r="M101" i="7"/>
  <c r="I18" i="435"/>
  <c r="L162" i="489" s="1"/>
  <c r="L179" i="49"/>
  <c r="J179" i="49"/>
  <c r="D24" i="362"/>
  <c r="I203" i="49"/>
  <c r="I203" i="489"/>
  <c r="I65" i="435"/>
  <c r="L214" i="489" s="1"/>
  <c r="BJ7" i="473"/>
  <c r="D10" i="362"/>
  <c r="J61" i="454"/>
  <c r="D42" i="362"/>
  <c r="C11" i="390"/>
  <c r="I58" i="435"/>
  <c r="G5" i="390"/>
  <c r="BJ8" i="473"/>
  <c r="M52" i="454"/>
  <c r="D7" i="362"/>
  <c r="F58" i="9"/>
  <c r="L162" i="49" l="1"/>
  <c r="J162" i="489"/>
  <c r="J162" i="49"/>
  <c r="J214" i="489"/>
  <c r="L214" i="49"/>
  <c r="J214" i="49"/>
  <c r="I61" i="435"/>
  <c r="I64" i="435"/>
  <c r="BJ6" i="473"/>
  <c r="D9" i="362"/>
  <c r="I201" i="49"/>
  <c r="I201" i="489"/>
  <c r="L223" i="489" l="1"/>
  <c r="L221" i="489"/>
  <c r="L217" i="489"/>
  <c r="L219" i="489"/>
  <c r="L203" i="489"/>
  <c r="L220" i="489"/>
  <c r="L202" i="489"/>
  <c r="L201" i="489"/>
  <c r="L218" i="489"/>
  <c r="L199" i="489"/>
  <c r="L198" i="489"/>
  <c r="L209" i="489"/>
  <c r="L206" i="489"/>
  <c r="L204" i="489"/>
  <c r="L200" i="489"/>
  <c r="L197" i="489"/>
  <c r="L205" i="489"/>
  <c r="L222" i="489"/>
  <c r="L225" i="489"/>
  <c r="L224" i="489"/>
  <c r="L212" i="489"/>
  <c r="L213" i="489"/>
  <c r="L211" i="489"/>
  <c r="L221" i="49"/>
  <c r="L219" i="49"/>
  <c r="L217" i="49"/>
  <c r="L224" i="49"/>
  <c r="L223" i="49"/>
  <c r="L222" i="49"/>
  <c r="L218" i="49"/>
  <c r="L220" i="49"/>
  <c r="L225" i="49"/>
  <c r="L202" i="49"/>
  <c r="L209" i="49"/>
  <c r="L206" i="49"/>
  <c r="L205" i="49"/>
  <c r="L204" i="49"/>
  <c r="L213" i="49"/>
  <c r="J213" i="489"/>
  <c r="J213" i="49"/>
  <c r="L197" i="49"/>
  <c r="L200" i="49"/>
  <c r="L203" i="49"/>
  <c r="L201" i="49"/>
  <c r="C311" i="489"/>
  <c r="C250" i="489"/>
  <c r="J205" i="489"/>
  <c r="J206" i="489"/>
  <c r="L199" i="49"/>
  <c r="L198" i="49"/>
  <c r="J204" i="489"/>
  <c r="J205" i="49"/>
  <c r="J204" i="49"/>
  <c r="J206" i="49"/>
  <c r="J211" i="489"/>
  <c r="J211" i="49"/>
  <c r="L211" i="49"/>
  <c r="J212" i="49"/>
  <c r="J212" i="489"/>
  <c r="L212" i="49"/>
  <c r="D51" i="489" l="1"/>
  <c r="D51" i="49"/>
  <c r="B65" i="468"/>
  <c r="BD66" i="473" s="1"/>
  <c r="B8" i="468" l="1"/>
  <c r="B156" i="424" s="1"/>
  <c r="B30" i="468"/>
  <c r="BD31" i="473" s="1"/>
  <c r="BD9" i="473" l="1"/>
  <c r="D28" i="362" l="1"/>
  <c r="G17" i="390"/>
  <c r="B3" i="466" l="1"/>
  <c r="AU5" i="473" s="1"/>
  <c r="B144" i="424" l="1"/>
  <c r="L253" i="49" l="1"/>
  <c r="L252" i="49"/>
  <c r="D12" i="435" l="1"/>
  <c r="L24" i="489" s="1"/>
  <c r="E408" i="3" l="1"/>
  <c r="M418" i="3" s="1"/>
  <c r="H87" i="451"/>
  <c r="J190" i="7" s="1"/>
  <c r="D15" i="48"/>
  <c r="L24" i="49"/>
  <c r="G24" i="49"/>
  <c r="G24" i="489"/>
  <c r="I30" i="435" l="1"/>
  <c r="Q233" i="375"/>
  <c r="D24" i="435"/>
  <c r="H101" i="451"/>
  <c r="L174" i="489" l="1"/>
  <c r="L175" i="489"/>
  <c r="L174" i="49"/>
  <c r="L175" i="49"/>
  <c r="J174" i="489"/>
  <c r="J175" i="489"/>
  <c r="J175" i="49"/>
  <c r="J174" i="49"/>
  <c r="H111" i="451"/>
  <c r="E201" i="3" s="1"/>
  <c r="H36" i="49"/>
  <c r="H36" i="489"/>
  <c r="E204" i="3" l="1"/>
  <c r="M207" i="3" s="1"/>
  <c r="M210" i="3" l="1"/>
  <c r="E216" i="3" s="1"/>
  <c r="I347" i="3" l="1"/>
  <c r="I350" i="3" s="1"/>
  <c r="I354" i="3" s="1"/>
  <c r="I401" i="3" s="1"/>
  <c r="D28" i="435"/>
  <c r="L42" i="489" l="1"/>
  <c r="L43" i="489"/>
  <c r="L43" i="49"/>
  <c r="L42" i="49"/>
  <c r="G43" i="489"/>
  <c r="G43" i="49"/>
  <c r="N33" i="48"/>
  <c r="F17" i="381" s="1"/>
  <c r="N119" i="48" l="1"/>
  <c r="F338" i="381" s="1"/>
  <c r="I63" i="491"/>
  <c r="AP43" i="381"/>
  <c r="F114" i="375"/>
  <c r="E508" i="3" l="1"/>
  <c r="M37" i="375"/>
  <c r="N49" i="381"/>
  <c r="F149" i="381"/>
  <c r="M47" i="375" l="1"/>
  <c r="F174" i="375" s="1"/>
  <c r="F177" i="375" s="1"/>
  <c r="N118" i="381"/>
  <c r="N120" i="381" s="1"/>
  <c r="N139" i="381"/>
  <c r="J23" i="476"/>
  <c r="I46" i="9"/>
  <c r="I52" i="9" s="1"/>
  <c r="I55" i="9" s="1"/>
  <c r="L5" i="9"/>
  <c r="L11" i="9" s="1"/>
  <c r="L18" i="9" s="1"/>
  <c r="L26" i="9" s="1"/>
  <c r="V49" i="381"/>
  <c r="I435" i="3" l="1"/>
  <c r="M448" i="3" s="1"/>
  <c r="J29" i="476"/>
  <c r="J32" i="476" s="1"/>
  <c r="J38" i="476" s="1"/>
  <c r="J41" i="476" s="1"/>
  <c r="F61" i="9"/>
  <c r="I61" i="9" s="1"/>
  <c r="L64" i="9" s="1"/>
  <c r="L67" i="9" s="1"/>
  <c r="L74" i="9" s="1"/>
  <c r="I90" i="9" s="1"/>
  <c r="L93" i="9" s="1"/>
  <c r="L96" i="9" s="1"/>
  <c r="L164" i="9" s="1"/>
  <c r="AH42" i="381"/>
  <c r="AH44" i="381" s="1"/>
  <c r="AH46" i="381" s="1"/>
  <c r="AH49" i="381" s="1"/>
  <c r="AL49" i="381" s="1"/>
  <c r="AP47" i="381" s="1"/>
  <c r="D34" i="435" l="1"/>
  <c r="F195" i="375"/>
  <c r="J167" i="7"/>
  <c r="I37" i="435" s="1"/>
  <c r="L178" i="489" s="1"/>
  <c r="J51" i="7"/>
  <c r="I473" i="3" s="1"/>
  <c r="R232" i="381"/>
  <c r="H51" i="49" l="1"/>
  <c r="G50" i="489"/>
  <c r="H52" i="49"/>
  <c r="G49" i="489"/>
  <c r="G50" i="49"/>
  <c r="H52" i="489"/>
  <c r="G49" i="49"/>
  <c r="H51" i="489"/>
  <c r="J57" i="7"/>
  <c r="M57" i="7" s="1"/>
  <c r="I2" i="435"/>
  <c r="L152" i="489" s="1"/>
  <c r="I3" i="435"/>
  <c r="J152" i="489" s="1"/>
  <c r="J178" i="49"/>
  <c r="J178" i="489"/>
  <c r="D35" i="435"/>
  <c r="L178" i="49"/>
  <c r="M477" i="3"/>
  <c r="M484" i="3" s="1"/>
  <c r="M488" i="3" s="1"/>
  <c r="I72" i="491"/>
  <c r="I75" i="491" s="1"/>
  <c r="L84" i="491" s="1"/>
  <c r="L54" i="489" l="1"/>
  <c r="L53" i="489"/>
  <c r="H152" i="49"/>
  <c r="F49" i="375"/>
  <c r="F8" i="381"/>
  <c r="J78" i="7"/>
  <c r="M78" i="7" s="1"/>
  <c r="H152" i="489"/>
  <c r="L152" i="49"/>
  <c r="J152" i="49"/>
  <c r="G53" i="489"/>
  <c r="H54" i="49"/>
  <c r="H54" i="489"/>
  <c r="G53" i="49"/>
  <c r="M502" i="3" l="1"/>
  <c r="D38" i="435" s="1"/>
  <c r="F214" i="375"/>
  <c r="Q244" i="375" s="1"/>
  <c r="M518" i="3"/>
  <c r="M524" i="3" s="1"/>
  <c r="M527" i="3" s="1"/>
  <c r="M521" i="3"/>
  <c r="M508" i="3"/>
  <c r="M613" i="3" s="1"/>
  <c r="I9" i="435"/>
  <c r="N123" i="381"/>
  <c r="J134" i="381"/>
  <c r="I10" i="435"/>
  <c r="N133" i="381"/>
  <c r="J36" i="381"/>
  <c r="BB338" i="381"/>
  <c r="H198" i="442" s="1"/>
  <c r="L156" i="489" l="1"/>
  <c r="L155" i="489"/>
  <c r="L52" i="489"/>
  <c r="L57" i="489"/>
  <c r="L51" i="489"/>
  <c r="L39" i="489"/>
  <c r="L50" i="489"/>
  <c r="L38" i="489"/>
  <c r="L49" i="489"/>
  <c r="H156" i="49"/>
  <c r="E590" i="3"/>
  <c r="M52" i="375"/>
  <c r="M117" i="375" s="1"/>
  <c r="M126" i="375" s="1"/>
  <c r="M132" i="375" s="1"/>
  <c r="Q132" i="375" s="1"/>
  <c r="Q168" i="375" s="1"/>
  <c r="F218" i="375"/>
  <c r="M256" i="375" s="1"/>
  <c r="Q259" i="375" s="1"/>
  <c r="F262" i="375" s="1"/>
  <c r="M628" i="3"/>
  <c r="M639" i="3" s="1"/>
  <c r="AT102" i="381"/>
  <c r="H156" i="489"/>
  <c r="L155" i="49"/>
  <c r="L156" i="49"/>
  <c r="L38" i="49"/>
  <c r="L54" i="49"/>
  <c r="L53" i="49"/>
  <c r="K198" i="442"/>
  <c r="M530" i="3"/>
  <c r="M533" i="3" s="1"/>
  <c r="M536" i="3" s="1"/>
  <c r="J155" i="49"/>
  <c r="J156" i="489"/>
  <c r="J156" i="49"/>
  <c r="J155" i="489"/>
  <c r="L52" i="49"/>
  <c r="H57" i="489"/>
  <c r="L50" i="49"/>
  <c r="H57" i="49"/>
  <c r="L39" i="49"/>
  <c r="L57" i="49"/>
  <c r="L51" i="49"/>
  <c r="L49" i="49"/>
  <c r="E32" i="442"/>
  <c r="E47" i="442" s="1"/>
  <c r="E53" i="442" s="1"/>
  <c r="D39" i="435"/>
  <c r="D93" i="391"/>
  <c r="T100" i="391" s="1"/>
  <c r="T107" i="391" s="1"/>
  <c r="T110" i="391" s="1"/>
  <c r="T116" i="391" s="1"/>
  <c r="T119" i="391" s="1"/>
  <c r="L60" i="489" l="1"/>
  <c r="L59" i="489"/>
  <c r="F180" i="375"/>
  <c r="F183" i="375" s="1"/>
  <c r="F186" i="375" s="1"/>
  <c r="F189" i="375" s="1"/>
  <c r="Q117" i="375"/>
  <c r="F120" i="375" s="1"/>
  <c r="M55" i="375"/>
  <c r="M66" i="375" s="1"/>
  <c r="M71" i="375" s="1"/>
  <c r="Q71" i="375" s="1"/>
  <c r="Q114" i="375"/>
  <c r="F141" i="375" s="1"/>
  <c r="F135" i="375"/>
  <c r="Q126" i="375"/>
  <c r="Q218" i="375"/>
  <c r="T137" i="391"/>
  <c r="T140" i="391" s="1"/>
  <c r="AB140" i="391" s="1"/>
  <c r="T131" i="391"/>
  <c r="M539" i="3"/>
  <c r="M560" i="3" s="1"/>
  <c r="M542" i="3"/>
  <c r="M545" i="3" s="1"/>
  <c r="I92" i="435"/>
  <c r="E38" i="442"/>
  <c r="E44" i="442" s="1"/>
  <c r="E35" i="442"/>
  <c r="H35" i="442" s="1"/>
  <c r="H38" i="442" s="1"/>
  <c r="E56" i="442"/>
  <c r="E62" i="442" s="1"/>
  <c r="I35" i="435"/>
  <c r="N30" i="381"/>
  <c r="N33" i="381" s="1"/>
  <c r="N36" i="381" s="1"/>
  <c r="V36" i="381" s="1"/>
  <c r="J132" i="381"/>
  <c r="J136" i="381" s="1"/>
  <c r="J138" i="381" s="1"/>
  <c r="H135" i="489"/>
  <c r="J164" i="7"/>
  <c r="H60" i="49"/>
  <c r="L59" i="49"/>
  <c r="H60" i="489"/>
  <c r="D102" i="435"/>
  <c r="L60" i="49"/>
  <c r="H59" i="489"/>
  <c r="H59" i="49"/>
  <c r="H135" i="49"/>
  <c r="AP30" i="381"/>
  <c r="M43" i="4"/>
  <c r="M74" i="375" l="1"/>
  <c r="Q74" i="375" s="1"/>
  <c r="Q77" i="375" s="1"/>
  <c r="F192" i="375"/>
  <c r="F144" i="375"/>
  <c r="Q120" i="375"/>
  <c r="Q123" i="375" s="1"/>
  <c r="Q221" i="375"/>
  <c r="Q129" i="375"/>
  <c r="F138" i="375" s="1"/>
  <c r="Q138" i="375" s="1"/>
  <c r="M224" i="375"/>
  <c r="Q224" i="375" s="1"/>
  <c r="F227" i="375" s="1"/>
  <c r="I94" i="435"/>
  <c r="L257" i="489" s="1"/>
  <c r="M563" i="3"/>
  <c r="M566" i="3" s="1"/>
  <c r="M569" i="3"/>
  <c r="M572" i="3" s="1"/>
  <c r="R568" i="3"/>
  <c r="R571" i="3" s="1"/>
  <c r="M548" i="3"/>
  <c r="M551" i="3" s="1"/>
  <c r="M554" i="3" s="1"/>
  <c r="I93" i="435"/>
  <c r="I177" i="489"/>
  <c r="G256" i="489" a="1"/>
  <c r="G256" i="489" s="1"/>
  <c r="G256" i="49" a="1"/>
  <c r="G256" i="49" s="1"/>
  <c r="L256" i="49"/>
  <c r="I36" i="435"/>
  <c r="I95" i="435"/>
  <c r="K35" i="442"/>
  <c r="H44" i="442"/>
  <c r="K44" i="442" s="1"/>
  <c r="I177" i="49"/>
  <c r="AH30" i="381"/>
  <c r="AH33" i="381" s="1"/>
  <c r="AH36" i="381" s="1"/>
  <c r="AL36" i="381" s="1"/>
  <c r="L257" i="49" l="1"/>
  <c r="G257" i="489"/>
  <c r="Q227" i="375"/>
  <c r="Q247" i="375" s="1"/>
  <c r="F150" i="375"/>
  <c r="F156" i="375" s="1"/>
  <c r="G257" i="49"/>
  <c r="M250" i="375"/>
  <c r="Q250" i="375" s="1"/>
  <c r="Q253" i="375" s="1"/>
  <c r="F268" i="375" s="1"/>
  <c r="F147" i="375"/>
  <c r="Q147" i="375" s="1"/>
  <c r="I257" i="49"/>
  <c r="I256" i="49"/>
  <c r="M590" i="3"/>
  <c r="M557" i="3"/>
  <c r="U574" i="3"/>
  <c r="R574" i="3"/>
  <c r="M575" i="3" s="1"/>
  <c r="M578" i="3" s="1"/>
  <c r="I590" i="3" s="1"/>
  <c r="N149" i="381"/>
  <c r="I256" i="489"/>
  <c r="I257" i="489"/>
  <c r="J177" i="49"/>
  <c r="J177" i="489"/>
  <c r="I96" i="435"/>
  <c r="L258" i="489" s="1"/>
  <c r="AB131" i="391"/>
  <c r="I100" i="435"/>
  <c r="L260" i="489" s="1"/>
  <c r="T134" i="391"/>
  <c r="T143" i="391"/>
  <c r="J140" i="381"/>
  <c r="H47" i="442"/>
  <c r="H53" i="442" s="1"/>
  <c r="H56" i="442" s="1"/>
  <c r="H62" i="442" s="1"/>
  <c r="H65" i="442" s="1"/>
  <c r="AP34" i="381"/>
  <c r="AP36" i="381" s="1"/>
  <c r="AT81" i="381" s="1"/>
  <c r="AT83" i="381" s="1"/>
  <c r="AT85" i="381" s="1"/>
  <c r="AT89" i="381" s="1"/>
  <c r="I97" i="435" l="1"/>
  <c r="I258" i="489" s="1"/>
  <c r="Q230" i="375"/>
  <c r="F277" i="375"/>
  <c r="F283" i="375" s="1"/>
  <c r="F153" i="375"/>
  <c r="Q153" i="375" s="1"/>
  <c r="AB143" i="391"/>
  <c r="R590" i="3"/>
  <c r="N190" i="381"/>
  <c r="N164" i="381"/>
  <c r="N166" i="381" s="1"/>
  <c r="L258" i="49"/>
  <c r="G258" i="49"/>
  <c r="G258" i="489"/>
  <c r="L260" i="49"/>
  <c r="I98" i="435"/>
  <c r="L259" i="489" s="1"/>
  <c r="AB134" i="391"/>
  <c r="I99" i="435" s="1"/>
  <c r="G260" i="489"/>
  <c r="G260" i="49"/>
  <c r="I101" i="435"/>
  <c r="I102" i="435"/>
  <c r="L261" i="489" s="1"/>
  <c r="AT36" i="381"/>
  <c r="K53" i="442"/>
  <c r="K62" i="442"/>
  <c r="AP49" i="381"/>
  <c r="AT49" i="381" s="1"/>
  <c r="F274" i="375"/>
  <c r="M274" i="375" s="1"/>
  <c r="M268" i="375"/>
  <c r="I258" i="49" l="1"/>
  <c r="AB146" i="391"/>
  <c r="AB155" i="391" s="1"/>
  <c r="R86" i="381"/>
  <c r="F159" i="375"/>
  <c r="Q159" i="375" s="1"/>
  <c r="J75" i="7"/>
  <c r="M75" i="7" s="1"/>
  <c r="I7" i="435" s="1"/>
  <c r="I259" i="49"/>
  <c r="G259" i="49"/>
  <c r="N168" i="381"/>
  <c r="N170" i="381"/>
  <c r="H41" i="132"/>
  <c r="H47" i="132"/>
  <c r="L259" i="49"/>
  <c r="I259" i="489"/>
  <c r="G259" i="489"/>
  <c r="G261" i="49"/>
  <c r="L261" i="49"/>
  <c r="G261" i="489"/>
  <c r="I260" i="49"/>
  <c r="I260" i="489"/>
  <c r="I103" i="435"/>
  <c r="K65" i="442"/>
  <c r="K68" i="442" s="1"/>
  <c r="AX115" i="381"/>
  <c r="F280" i="375"/>
  <c r="M280" i="375" s="1"/>
  <c r="F162" i="375" l="1"/>
  <c r="Q162" i="375" s="1"/>
  <c r="Q165" i="375" s="1"/>
  <c r="Q171" i="375" s="1"/>
  <c r="G142" i="7"/>
  <c r="N172" i="381"/>
  <c r="I6" i="435"/>
  <c r="L154" i="489" s="1"/>
  <c r="I105" i="435"/>
  <c r="J154" i="489"/>
  <c r="J154" i="49"/>
  <c r="I261" i="489"/>
  <c r="I261" i="49"/>
  <c r="I108" i="435"/>
  <c r="E141" i="442"/>
  <c r="K71" i="442"/>
  <c r="E144" i="442" s="1"/>
  <c r="F286" i="375"/>
  <c r="M286" i="375" s="1"/>
  <c r="I23" i="435" l="1"/>
  <c r="I169" i="489" s="1"/>
  <c r="N176" i="381"/>
  <c r="N187" i="381" s="1"/>
  <c r="N193" i="381" s="1"/>
  <c r="N199" i="381" s="1"/>
  <c r="H154" i="489"/>
  <c r="H154" i="49"/>
  <c r="L154" i="49"/>
  <c r="I264" i="489"/>
  <c r="I264" i="49"/>
  <c r="I267" i="49"/>
  <c r="I267" i="489"/>
  <c r="I31" i="435"/>
  <c r="I32" i="435"/>
  <c r="K74" i="442"/>
  <c r="K138" i="442" s="1"/>
  <c r="F289" i="375"/>
  <c r="L176" i="489" l="1"/>
  <c r="I169" i="49"/>
  <c r="J161" i="7"/>
  <c r="I33" i="435" s="1"/>
  <c r="L176" i="49"/>
  <c r="D176" i="489"/>
  <c r="D176" i="49"/>
  <c r="M289" i="375"/>
  <c r="M296" i="375" s="1"/>
  <c r="F305" i="375"/>
  <c r="M299" i="375"/>
  <c r="BJ11" i="473" l="1"/>
  <c r="J176" i="489"/>
  <c r="J176" i="49"/>
  <c r="M302" i="375"/>
  <c r="M305" i="375" s="1"/>
  <c r="M308" i="375" s="1"/>
  <c r="J11" i="7" l="1"/>
  <c r="N205" i="381"/>
  <c r="R234" i="381" s="1"/>
  <c r="D108" i="435" l="1"/>
  <c r="L146" i="489" s="1"/>
  <c r="R75" i="381"/>
  <c r="R77" i="381" s="1"/>
  <c r="R79" i="381" s="1"/>
  <c r="R133" i="381" s="1"/>
  <c r="R236" i="381"/>
  <c r="R238" i="381" s="1"/>
  <c r="R240" i="381" s="1"/>
  <c r="L146" i="49" l="1"/>
  <c r="J146" i="489"/>
  <c r="J146" i="49"/>
  <c r="R88" i="381"/>
  <c r="R149" i="381" s="1"/>
  <c r="R209" i="381"/>
  <c r="R220" i="381" s="1"/>
  <c r="AD170" i="381" l="1"/>
  <c r="AD172" i="381" s="1"/>
  <c r="R242" i="381"/>
  <c r="R250" i="381" s="1"/>
  <c r="R203" i="381"/>
  <c r="R205" i="381" s="1"/>
  <c r="R211" i="381" s="1"/>
  <c r="R222" i="381"/>
  <c r="R197" i="381"/>
  <c r="R199" i="381" s="1"/>
  <c r="AH133" i="381"/>
  <c r="R224" i="381" l="1"/>
  <c r="R292" i="381" s="1"/>
  <c r="R252" i="381"/>
  <c r="R254" i="381" s="1"/>
  <c r="R244" i="381"/>
  <c r="R246" i="381" s="1"/>
  <c r="R248" i="381" s="1"/>
  <c r="R256" i="381"/>
  <c r="R258" i="381" s="1"/>
  <c r="R260" i="381" s="1"/>
  <c r="R262" i="381" s="1"/>
  <c r="R280" i="381"/>
  <c r="R282" i="381" s="1"/>
  <c r="R284" i="381" s="1"/>
  <c r="R226" i="381" l="1"/>
  <c r="R228" i="381" s="1"/>
  <c r="R266" i="381" s="1"/>
  <c r="R268" i="381" s="1"/>
  <c r="R270" i="381" s="1"/>
  <c r="R272" i="381" s="1"/>
  <c r="R274" i="381" s="1"/>
  <c r="R276" i="381" s="1"/>
  <c r="R278" i="381" s="1"/>
  <c r="V221" i="381"/>
  <c r="V235" i="381" s="1"/>
  <c r="R294" i="381"/>
  <c r="R296" i="381" s="1"/>
  <c r="R298" i="381" s="1"/>
  <c r="R300" i="381" s="1"/>
  <c r="R264" i="381"/>
  <c r="R310" i="381"/>
  <c r="R286" i="381"/>
  <c r="R314" i="381" s="1"/>
  <c r="R312" i="381"/>
  <c r="R320" i="381" l="1"/>
  <c r="R288" i="381"/>
  <c r="R316" i="381" s="1"/>
  <c r="R302" i="381"/>
  <c r="R304" i="381" s="1"/>
  <c r="R306" i="381" s="1"/>
  <c r="R308" i="381" s="1"/>
  <c r="R322" i="381" s="1"/>
  <c r="R290" i="381" l="1"/>
  <c r="R318" i="381" l="1"/>
  <c r="R324" i="381" s="1"/>
  <c r="R330" i="381" s="1"/>
  <c r="V274" i="381" l="1"/>
  <c r="Z187" i="381"/>
  <c r="V219" i="381"/>
  <c r="V223" i="381" s="1"/>
  <c r="V225" i="381" s="1"/>
  <c r="V227" i="381" s="1"/>
  <c r="V231" i="381" s="1"/>
  <c r="Z181" i="381"/>
  <c r="V237" i="381" l="1"/>
  <c r="V239" i="381" s="1"/>
  <c r="V241" i="381" s="1"/>
  <c r="V243" i="381" s="1"/>
  <c r="V257" i="381" s="1"/>
  <c r="Z72" i="381"/>
  <c r="V229" i="381"/>
  <c r="V233" i="381" s="1"/>
  <c r="V245" i="381" l="1"/>
  <c r="V247" i="381" s="1"/>
  <c r="V249" i="381" s="1"/>
  <c r="V251" i="381" s="1"/>
  <c r="V263" i="381" s="1"/>
  <c r="V265" i="381" s="1"/>
  <c r="V271" i="381" s="1"/>
  <c r="V276" i="381" l="1"/>
  <c r="V280" i="381" s="1"/>
  <c r="Z209" i="381" s="1"/>
  <c r="Z66" i="381"/>
  <c r="Z70" i="381" s="1"/>
  <c r="Z74" i="381"/>
  <c r="Z129" i="381" s="1"/>
  <c r="Z193" i="381"/>
  <c r="Z76" i="381" l="1"/>
  <c r="Z147" i="381" s="1"/>
  <c r="Z117" i="381"/>
  <c r="Z68" i="381"/>
  <c r="Z78" i="381" l="1"/>
  <c r="Z80" i="381" s="1"/>
  <c r="Z82" i="381" s="1"/>
  <c r="Z88" i="381"/>
  <c r="Z90" i="381" s="1"/>
  <c r="Z92" i="381" s="1"/>
  <c r="Z101" i="381"/>
  <c r="Z103" i="381" s="1"/>
  <c r="Z157" i="381"/>
  <c r="Z159" i="381" s="1"/>
  <c r="Z161" i="381" s="1"/>
  <c r="Z119" i="381"/>
  <c r="Z131" i="381"/>
  <c r="Z133" i="381" s="1"/>
  <c r="Z135" i="381" s="1"/>
  <c r="Z273" i="381"/>
  <c r="Z149" i="381"/>
  <c r="Z121" i="381" l="1"/>
  <c r="Z123" i="381" s="1"/>
  <c r="Z125" i="381" s="1"/>
  <c r="Z84" i="381"/>
  <c r="Z86" i="381" s="1"/>
  <c r="Z195" i="381" s="1"/>
  <c r="AA300" i="381" s="1"/>
  <c r="Z94" i="381"/>
  <c r="Z97" i="381" s="1"/>
  <c r="Z99" i="381" s="1"/>
  <c r="Z163" i="381"/>
  <c r="Z167" i="381" s="1"/>
  <c r="Z105" i="381"/>
  <c r="Z137" i="381"/>
  <c r="Z139" i="381" s="1"/>
  <c r="Z141" i="381" s="1"/>
  <c r="Z151" i="381"/>
  <c r="Z153" i="381" s="1"/>
  <c r="Z127" i="381" l="1"/>
  <c r="Z171" i="381" s="1"/>
  <c r="Z107" i="381"/>
  <c r="Z143" i="381"/>
  <c r="Z145" i="381" s="1"/>
  <c r="Z155" i="381"/>
  <c r="Z197" i="381"/>
  <c r="Z173" i="381" l="1"/>
  <c r="AA298" i="381" s="1"/>
  <c r="Z110" i="381"/>
  <c r="Z112" i="381" s="1"/>
  <c r="Z114" i="381" s="1"/>
  <c r="Z175" i="381" l="1"/>
  <c r="Z199" i="381" s="1"/>
  <c r="Z206" i="381" s="1"/>
  <c r="Z302" i="381" l="1"/>
  <c r="Z304" i="381" s="1"/>
  <c r="Z219" i="381"/>
  <c r="Z225" i="381" s="1"/>
  <c r="Z227" i="381" s="1"/>
  <c r="Z229" i="381" s="1"/>
  <c r="Z215" i="381"/>
  <c r="Z217" i="381" s="1"/>
  <c r="Z221" i="381" s="1"/>
  <c r="Z223" i="381"/>
  <c r="Z231" i="381" l="1"/>
  <c r="Z234" i="381" s="1"/>
  <c r="Z238" i="381"/>
  <c r="Z271" i="381"/>
  <c r="Z275" i="381" s="1"/>
  <c r="Z253" i="381"/>
  <c r="Z255" i="381" s="1"/>
  <c r="Z281" i="381"/>
  <c r="Z240" i="381" l="1"/>
  <c r="Z242" i="381" s="1"/>
  <c r="Z257" i="381"/>
  <c r="Z259" i="381" s="1"/>
  <c r="Z261" i="381" s="1"/>
  <c r="Z283" i="381"/>
  <c r="Z285" i="381" s="1"/>
  <c r="Z277" i="381"/>
  <c r="Z279" i="381" s="1"/>
  <c r="Z244" i="381" l="1"/>
  <c r="Z247" i="381" s="1"/>
  <c r="Z236" i="381"/>
  <c r="Z263" i="381"/>
  <c r="Z265" i="381" s="1"/>
  <c r="Z267" i="381" s="1"/>
  <c r="Z269" i="381" s="1"/>
  <c r="Z294" i="381" s="1"/>
  <c r="Z287" i="381"/>
  <c r="Z290" i="381" l="1"/>
  <c r="Z292" i="381" s="1"/>
  <c r="Z296" i="381" s="1"/>
  <c r="Z306" i="381" s="1"/>
  <c r="Z249" i="381"/>
  <c r="Z251" i="381" s="1"/>
  <c r="Z312" i="381" l="1"/>
  <c r="AD176" i="381" l="1"/>
  <c r="AD269" i="381" l="1"/>
  <c r="AD280" i="381" s="1"/>
  <c r="AH137" i="381" l="1"/>
  <c r="AH140" i="381" s="1"/>
  <c r="AH149" i="381" s="1"/>
  <c r="AH174" i="381" l="1"/>
  <c r="AH176" i="381" s="1"/>
  <c r="AL133" i="381"/>
  <c r="AL137" i="381" l="1"/>
  <c r="AL149" i="381" s="1"/>
  <c r="AL176" i="381" l="1"/>
  <c r="AP133" i="381"/>
  <c r="AL193" i="381"/>
  <c r="AL199" i="381" l="1"/>
  <c r="AL269" i="381" l="1"/>
  <c r="AL280" i="381" s="1"/>
  <c r="AT93" i="381" s="1"/>
  <c r="AP137" i="381" l="1"/>
  <c r="AP149" i="381" s="1"/>
  <c r="AP174" i="381" l="1"/>
  <c r="AP176" i="381" s="1"/>
  <c r="AX176" i="381" s="1"/>
  <c r="BB176" i="381" s="1"/>
  <c r="AT98" i="381"/>
  <c r="AT73" i="381"/>
  <c r="AT87" i="381" s="1"/>
  <c r="AT199" i="381" l="1"/>
  <c r="AT75" i="381" s="1"/>
  <c r="AT77" i="381"/>
  <c r="AT79" i="381" l="1"/>
  <c r="AT95" i="381" s="1"/>
  <c r="AT124" i="381" s="1"/>
  <c r="AT91" i="381" l="1"/>
  <c r="AT100" i="381" s="1"/>
  <c r="AT122" i="381" s="1"/>
  <c r="AX64" i="381" l="1"/>
  <c r="AT110" i="381"/>
  <c r="AT104" i="381"/>
  <c r="AT106" i="381" s="1"/>
  <c r="AT108" i="381" s="1"/>
  <c r="AT114" i="381" s="1"/>
  <c r="AT116" i="381" s="1"/>
  <c r="AX66" i="381" l="1"/>
  <c r="AX68" i="381" s="1"/>
  <c r="AX80" i="381" s="1"/>
  <c r="AT112" i="381"/>
  <c r="AT118" i="381"/>
  <c r="AT120" i="381" s="1"/>
  <c r="AX70" i="381" l="1"/>
  <c r="AX72" i="381" s="1"/>
  <c r="AX76" i="381" s="1"/>
  <c r="AX82" i="381"/>
  <c r="AX84" i="381" s="1"/>
  <c r="AX86" i="381" l="1"/>
  <c r="AX74" i="381"/>
  <c r="AX78" i="381" s="1"/>
  <c r="AX91" i="381" l="1"/>
  <c r="AX100" i="381" s="1"/>
  <c r="AX103" i="381" l="1"/>
  <c r="AX105" i="381"/>
  <c r="AX107" i="381" l="1"/>
  <c r="AX127" i="381" l="1"/>
  <c r="AX129" i="381" s="1"/>
  <c r="AX109" i="381"/>
  <c r="AX111" i="381" s="1"/>
  <c r="AX113" i="381" s="1"/>
  <c r="AX121" i="381"/>
  <c r="AX123" i="381" s="1"/>
  <c r="AX125" i="381" s="1"/>
  <c r="AX117" i="381" l="1"/>
  <c r="AX119" i="381" l="1"/>
  <c r="AX132" i="381" s="1"/>
  <c r="AX139" i="381" s="1"/>
  <c r="AX146" i="381" s="1"/>
  <c r="AX149" i="381" l="1"/>
  <c r="AX199" i="381" l="1"/>
  <c r="BB199" i="381" s="1"/>
  <c r="M14" i="4" s="1"/>
  <c r="BB149" i="381"/>
  <c r="E23" i="47" l="1"/>
  <c r="H23" i="47" s="1"/>
  <c r="J23" i="453"/>
  <c r="J27" i="453" s="1"/>
  <c r="I49" i="435" s="1"/>
  <c r="AX280" i="381"/>
  <c r="AX288" i="381" s="1"/>
  <c r="AX292" i="381" s="1"/>
  <c r="L193" i="489" l="1"/>
  <c r="L188" i="489"/>
  <c r="L195" i="489"/>
  <c r="L193" i="49"/>
  <c r="L195" i="49"/>
  <c r="E26" i="47"/>
  <c r="H26" i="47" s="1"/>
  <c r="J188" i="489"/>
  <c r="J188" i="49"/>
  <c r="L188" i="49"/>
  <c r="BB280" i="381"/>
  <c r="BB288" i="381"/>
  <c r="BB292" i="381"/>
  <c r="AX302" i="381"/>
  <c r="G9" i="453" l="1"/>
  <c r="G12" i="453" s="1"/>
  <c r="R14" i="4"/>
  <c r="R47" i="4" s="1"/>
  <c r="AX307" i="381"/>
  <c r="BB302" i="381"/>
  <c r="G57" i="453" l="1"/>
  <c r="J57" i="453" s="1"/>
  <c r="AB14" i="4"/>
  <c r="D53" i="382"/>
  <c r="H53" i="382" s="1"/>
  <c r="AX312" i="381"/>
  <c r="BB312" i="381" s="1"/>
  <c r="BB307" i="381"/>
  <c r="I51" i="435" l="1"/>
  <c r="L190" i="489" s="1"/>
  <c r="E35" i="47"/>
  <c r="W14" i="4"/>
  <c r="E55" i="47"/>
  <c r="H14" i="4"/>
  <c r="H108" i="4" l="1"/>
  <c r="W17" i="4"/>
  <c r="W21" i="4"/>
  <c r="M30" i="4"/>
  <c r="M33" i="4" s="1"/>
  <c r="M36" i="4" s="1"/>
  <c r="AB30" i="4"/>
  <c r="AB33" i="4" s="1"/>
  <c r="R59" i="4"/>
  <c r="H17" i="4"/>
  <c r="R70" i="4" l="1"/>
  <c r="R62" i="4"/>
  <c r="W66" i="4"/>
  <c r="AB36" i="4"/>
  <c r="G67" i="481"/>
  <c r="D32" i="382"/>
  <c r="M59" i="4"/>
  <c r="M47" i="4"/>
  <c r="D8" i="382"/>
  <c r="H66" i="4"/>
  <c r="D71" i="382"/>
  <c r="M107" i="7" l="1"/>
  <c r="H71" i="382"/>
  <c r="D80" i="435"/>
  <c r="D74" i="382"/>
  <c r="D71" i="435"/>
  <c r="R66" i="4"/>
  <c r="M62" i="4"/>
  <c r="D35" i="382"/>
  <c r="H35" i="382" s="1"/>
  <c r="AB43" i="4"/>
  <c r="AB47" i="4" s="1"/>
  <c r="D11" i="382"/>
  <c r="H55" i="47"/>
  <c r="H70" i="4"/>
  <c r="W24" i="4" s="1"/>
  <c r="W74" i="4" s="1"/>
  <c r="M70" i="4"/>
  <c r="W70" i="4"/>
  <c r="D48" i="435"/>
  <c r="H8" i="382"/>
  <c r="D60" i="435"/>
  <c r="H32" i="382"/>
  <c r="D95" i="382"/>
  <c r="AB59" i="4"/>
  <c r="AB70" i="4" s="1"/>
  <c r="L104" i="489" l="1"/>
  <c r="M114" i="7"/>
  <c r="I14" i="435" s="1"/>
  <c r="L159" i="489" s="1"/>
  <c r="G177" i="7"/>
  <c r="R87" i="4"/>
  <c r="R91" i="4" s="1"/>
  <c r="D81" i="435"/>
  <c r="H115" i="489"/>
  <c r="H115" i="49"/>
  <c r="AB62" i="4"/>
  <c r="K55" i="47"/>
  <c r="E59" i="47"/>
  <c r="H59" i="47" s="1"/>
  <c r="K59" i="47" s="1"/>
  <c r="H82" i="49"/>
  <c r="H82" i="489"/>
  <c r="H104" i="49"/>
  <c r="H104" i="489"/>
  <c r="L104" i="49"/>
  <c r="H95" i="382"/>
  <c r="D92" i="435"/>
  <c r="H74" i="382"/>
  <c r="D82" i="435"/>
  <c r="W77" i="4"/>
  <c r="D61" i="435"/>
  <c r="H96" i="489"/>
  <c r="H96" i="49"/>
  <c r="D63" i="435"/>
  <c r="M66" i="4"/>
  <c r="M87" i="4" s="1"/>
  <c r="H11" i="382"/>
  <c r="D50" i="435"/>
  <c r="D49" i="435"/>
  <c r="H77" i="4"/>
  <c r="G32" i="481"/>
  <c r="D56" i="382"/>
  <c r="L97" i="489" l="1"/>
  <c r="J159" i="49"/>
  <c r="L159" i="49"/>
  <c r="J159" i="489"/>
  <c r="J115" i="489"/>
  <c r="D51" i="435"/>
  <c r="D74" i="435"/>
  <c r="L106" i="489" s="1"/>
  <c r="W88" i="4"/>
  <c r="W95" i="4" s="1"/>
  <c r="M91" i="4"/>
  <c r="J115" i="49"/>
  <c r="H85" i="489"/>
  <c r="R89" i="4"/>
  <c r="R95" i="4" s="1"/>
  <c r="D77" i="435"/>
  <c r="L108" i="489" s="1"/>
  <c r="H95" i="4"/>
  <c r="D98" i="382"/>
  <c r="AB66" i="4"/>
  <c r="J69" i="453"/>
  <c r="D77" i="382"/>
  <c r="J82" i="489"/>
  <c r="J82" i="49"/>
  <c r="D83" i="435"/>
  <c r="D38" i="382"/>
  <c r="H129" i="489"/>
  <c r="H129" i="49"/>
  <c r="D93" i="435"/>
  <c r="D14" i="382"/>
  <c r="D72" i="435"/>
  <c r="H56" i="382"/>
  <c r="H84" i="49"/>
  <c r="H83" i="489"/>
  <c r="H85" i="49"/>
  <c r="H83" i="49"/>
  <c r="H84" i="489"/>
  <c r="L97" i="49"/>
  <c r="H97" i="489"/>
  <c r="H97" i="49"/>
  <c r="J96" i="489"/>
  <c r="J96" i="49"/>
  <c r="H116" i="489"/>
  <c r="H117" i="49"/>
  <c r="H116" i="49"/>
  <c r="H117" i="489"/>
  <c r="H118" i="49"/>
  <c r="H118" i="489"/>
  <c r="J85" i="489" l="1"/>
  <c r="F17" i="441"/>
  <c r="F21" i="441" s="1"/>
  <c r="J84" i="489"/>
  <c r="H106" i="489"/>
  <c r="J83" i="489"/>
  <c r="J85" i="49"/>
  <c r="J83" i="49"/>
  <c r="J84" i="49"/>
  <c r="L106" i="49"/>
  <c r="H106" i="49"/>
  <c r="D66" i="435"/>
  <c r="H98" i="382"/>
  <c r="AB87" i="4"/>
  <c r="AB89" i="4" s="1"/>
  <c r="W101" i="4"/>
  <c r="W104" i="4" s="1"/>
  <c r="H100" i="4"/>
  <c r="H104" i="4" s="1"/>
  <c r="H108" i="489"/>
  <c r="H108" i="49"/>
  <c r="L108" i="49"/>
  <c r="D59" i="382"/>
  <c r="E86" i="47"/>
  <c r="R108" i="4"/>
  <c r="M89" i="4"/>
  <c r="M95" i="4" s="1"/>
  <c r="D17" i="382"/>
  <c r="D101" i="382"/>
  <c r="D94" i="435"/>
  <c r="D84" i="435"/>
  <c r="H77" i="382"/>
  <c r="H14" i="382"/>
  <c r="D52" i="435"/>
  <c r="D73" i="435"/>
  <c r="H105" i="489"/>
  <c r="H105" i="49"/>
  <c r="D64" i="435"/>
  <c r="H38" i="382"/>
  <c r="J129" i="489"/>
  <c r="J129" i="49"/>
  <c r="J116" i="49"/>
  <c r="J118" i="489"/>
  <c r="J118" i="49"/>
  <c r="J116" i="489"/>
  <c r="J117" i="49"/>
  <c r="J117" i="489"/>
  <c r="L130" i="489" l="1"/>
  <c r="L99" i="489"/>
  <c r="F41" i="441"/>
  <c r="K21" i="441"/>
  <c r="F26" i="441"/>
  <c r="H99" i="49"/>
  <c r="H99" i="489"/>
  <c r="L99" i="49"/>
  <c r="H101" i="382"/>
  <c r="H59" i="382"/>
  <c r="E80" i="47"/>
  <c r="H83" i="47" s="1"/>
  <c r="E89" i="47" s="1"/>
  <c r="H89" i="47" s="1"/>
  <c r="K89" i="47" s="1"/>
  <c r="D20" i="382"/>
  <c r="D54" i="435"/>
  <c r="H17" i="382"/>
  <c r="D80" i="382"/>
  <c r="L130" i="49"/>
  <c r="R112" i="4"/>
  <c r="D75" i="435"/>
  <c r="G6" i="481"/>
  <c r="J6" i="481" s="1"/>
  <c r="G20" i="481" s="1"/>
  <c r="J20" i="481" s="1"/>
  <c r="D62" i="382"/>
  <c r="D95" i="435"/>
  <c r="H130" i="489"/>
  <c r="H130" i="49"/>
  <c r="AB91" i="4"/>
  <c r="G46" i="481"/>
  <c r="D41" i="382"/>
  <c r="M108" i="4"/>
  <c r="J105" i="49"/>
  <c r="J105" i="489"/>
  <c r="H86" i="49"/>
  <c r="H86" i="489"/>
  <c r="D53" i="435"/>
  <c r="D65" i="435"/>
  <c r="D85" i="435"/>
  <c r="H98" i="49"/>
  <c r="H98" i="489"/>
  <c r="H119" i="489"/>
  <c r="H119" i="49"/>
  <c r="F44" i="441" l="1"/>
  <c r="K44" i="441" s="1"/>
  <c r="G12" i="481"/>
  <c r="H89" i="49"/>
  <c r="H20" i="382"/>
  <c r="D76" i="435"/>
  <c r="H62" i="382"/>
  <c r="D79" i="435" s="1"/>
  <c r="H80" i="382"/>
  <c r="D55" i="435"/>
  <c r="D96" i="435"/>
  <c r="K83" i="47"/>
  <c r="H92" i="47" s="1"/>
  <c r="K92" i="47" s="1"/>
  <c r="D56" i="435"/>
  <c r="D83" i="382"/>
  <c r="W108" i="4"/>
  <c r="H87" i="489"/>
  <c r="H87" i="49"/>
  <c r="H88" i="489"/>
  <c r="H88" i="49"/>
  <c r="H89" i="489"/>
  <c r="H112" i="4"/>
  <c r="D23" i="382"/>
  <c r="D86" i="435"/>
  <c r="H131" i="489"/>
  <c r="H107" i="489"/>
  <c r="H107" i="49"/>
  <c r="D78" i="435"/>
  <c r="L109" i="489" s="1"/>
  <c r="H131" i="49"/>
  <c r="D104" i="382"/>
  <c r="AB95" i="4"/>
  <c r="M112" i="4"/>
  <c r="G40" i="481"/>
  <c r="J40" i="481" s="1"/>
  <c r="D44" i="382"/>
  <c r="D67" i="435"/>
  <c r="D186" i="382"/>
  <c r="H41" i="382"/>
  <c r="M20" i="481"/>
  <c r="G23" i="481"/>
  <c r="E22" i="482"/>
  <c r="J86" i="489"/>
  <c r="J86" i="49"/>
  <c r="J119" i="489"/>
  <c r="J119" i="49"/>
  <c r="J98" i="49"/>
  <c r="J98" i="489"/>
  <c r="E14" i="482"/>
  <c r="M6" i="481"/>
  <c r="G9" i="481"/>
  <c r="L103" i="489" l="1"/>
  <c r="L105" i="489"/>
  <c r="L107" i="489"/>
  <c r="M98" i="7"/>
  <c r="I19" i="435" s="1"/>
  <c r="L163" i="489" s="1"/>
  <c r="F85" i="441"/>
  <c r="F55" i="441"/>
  <c r="F66" i="441"/>
  <c r="J12" i="481"/>
  <c r="E13" i="482" s="1"/>
  <c r="J89" i="489"/>
  <c r="H120" i="489"/>
  <c r="H65" i="382"/>
  <c r="J88" i="49"/>
  <c r="J88" i="489"/>
  <c r="J87" i="49"/>
  <c r="J89" i="49"/>
  <c r="J87" i="489"/>
  <c r="D97" i="435"/>
  <c r="D87" i="435"/>
  <c r="J131" i="49"/>
  <c r="J131" i="489"/>
  <c r="J107" i="489"/>
  <c r="J107" i="49"/>
  <c r="H23" i="382"/>
  <c r="D59" i="435" s="1"/>
  <c r="D57" i="435"/>
  <c r="H90" i="49"/>
  <c r="H90" i="489"/>
  <c r="W112" i="4"/>
  <c r="H83" i="382"/>
  <c r="D88" i="435"/>
  <c r="H121" i="489"/>
  <c r="H121" i="49"/>
  <c r="D58" i="435"/>
  <c r="L90" i="489" s="1"/>
  <c r="H122" i="49"/>
  <c r="H120" i="49"/>
  <c r="H122" i="489"/>
  <c r="D86" i="382"/>
  <c r="H35" i="47"/>
  <c r="L107" i="49"/>
  <c r="L105" i="49"/>
  <c r="H109" i="489"/>
  <c r="H109" i="49"/>
  <c r="L109" i="49"/>
  <c r="L103" i="49"/>
  <c r="H104" i="382"/>
  <c r="D107" i="382"/>
  <c r="AB108" i="4"/>
  <c r="D68" i="435"/>
  <c r="H100" i="489"/>
  <c r="H100" i="49"/>
  <c r="D69" i="435"/>
  <c r="L101" i="489" s="1"/>
  <c r="D193" i="382"/>
  <c r="H44" i="382"/>
  <c r="G43" i="481"/>
  <c r="E7" i="482"/>
  <c r="M40" i="481"/>
  <c r="G7" i="482" s="1"/>
  <c r="J109" i="49"/>
  <c r="J109" i="489"/>
  <c r="E28" i="482"/>
  <c r="G14" i="482"/>
  <c r="G22" i="482"/>
  <c r="L78" i="489" l="1"/>
  <c r="L81" i="489"/>
  <c r="L93" i="489"/>
  <c r="L92" i="489"/>
  <c r="L91" i="489"/>
  <c r="L89" i="489"/>
  <c r="L82" i="489"/>
  <c r="L87" i="489"/>
  <c r="L88" i="489"/>
  <c r="L84" i="489"/>
  <c r="L79" i="489"/>
  <c r="L83" i="489"/>
  <c r="L85" i="489"/>
  <c r="L80" i="489"/>
  <c r="L86" i="489"/>
  <c r="L95" i="489"/>
  <c r="L102" i="489"/>
  <c r="L132" i="489"/>
  <c r="L96" i="489"/>
  <c r="L98" i="489"/>
  <c r="L100" i="489"/>
  <c r="H123" i="489"/>
  <c r="F70" i="441"/>
  <c r="K70" i="441" s="1"/>
  <c r="G26" i="481"/>
  <c r="J26" i="481" s="1"/>
  <c r="G29" i="481" s="1"/>
  <c r="J32" i="481" s="1"/>
  <c r="E20" i="482" s="1"/>
  <c r="M12" i="481"/>
  <c r="M15" i="481" s="1"/>
  <c r="L79" i="49"/>
  <c r="L80" i="49"/>
  <c r="L86" i="49"/>
  <c r="L78" i="49"/>
  <c r="L88" i="49"/>
  <c r="L90" i="49"/>
  <c r="L82" i="49"/>
  <c r="L81" i="49"/>
  <c r="L84" i="49"/>
  <c r="H132" i="489"/>
  <c r="L92" i="49"/>
  <c r="H132" i="49"/>
  <c r="J163" i="489"/>
  <c r="L163" i="49"/>
  <c r="J163" i="49"/>
  <c r="L132" i="49"/>
  <c r="D98" i="435"/>
  <c r="D89" i="435"/>
  <c r="J90" i="489"/>
  <c r="J90" i="49"/>
  <c r="D70" i="435"/>
  <c r="H26" i="382"/>
  <c r="J122" i="49"/>
  <c r="J121" i="49"/>
  <c r="J122" i="489"/>
  <c r="J121" i="489"/>
  <c r="J120" i="49"/>
  <c r="J120" i="489"/>
  <c r="E38" i="47"/>
  <c r="L87" i="49"/>
  <c r="H92" i="49"/>
  <c r="H93" i="489"/>
  <c r="L93" i="49"/>
  <c r="L89" i="49"/>
  <c r="H92" i="489"/>
  <c r="H91" i="49"/>
  <c r="H93" i="49"/>
  <c r="L91" i="49"/>
  <c r="H123" i="49"/>
  <c r="L83" i="49"/>
  <c r="H91" i="489"/>
  <c r="L85" i="49"/>
  <c r="K35" i="47"/>
  <c r="H86" i="382"/>
  <c r="D90" i="435"/>
  <c r="L117" i="489" s="1"/>
  <c r="D110" i="382"/>
  <c r="J91" i="49"/>
  <c r="J93" i="49"/>
  <c r="J91" i="489"/>
  <c r="J92" i="49"/>
  <c r="J93" i="489"/>
  <c r="J92" i="489"/>
  <c r="G49" i="481"/>
  <c r="G55" i="481" s="1"/>
  <c r="H107" i="382"/>
  <c r="AB112" i="4"/>
  <c r="L100" i="49"/>
  <c r="L102" i="49"/>
  <c r="L98" i="49"/>
  <c r="H101" i="49"/>
  <c r="L95" i="49"/>
  <c r="H101" i="489"/>
  <c r="L96" i="49"/>
  <c r="L101" i="49"/>
  <c r="H47" i="382"/>
  <c r="J100" i="489"/>
  <c r="J100" i="49"/>
  <c r="G28" i="482"/>
  <c r="G13" i="482"/>
  <c r="E12" i="482"/>
  <c r="L123" i="489" l="1"/>
  <c r="L126" i="489"/>
  <c r="L125" i="489"/>
  <c r="L124" i="489"/>
  <c r="L120" i="489"/>
  <c r="L118" i="489"/>
  <c r="L116" i="489"/>
  <c r="L114" i="489"/>
  <c r="L111" i="489"/>
  <c r="L110" i="489"/>
  <c r="L115" i="489"/>
  <c r="L122" i="489"/>
  <c r="L113" i="489"/>
  <c r="L121" i="489"/>
  <c r="L119" i="489"/>
  <c r="L112" i="489"/>
  <c r="L112" i="49"/>
  <c r="F74" i="441"/>
  <c r="F89" i="441" s="1"/>
  <c r="K89" i="441" s="1"/>
  <c r="M32" i="481"/>
  <c r="G20" i="482" s="1"/>
  <c r="E21" i="482"/>
  <c r="E27" i="482" s="1"/>
  <c r="M26" i="481"/>
  <c r="G21" i="482" s="1"/>
  <c r="H133" i="489"/>
  <c r="L121" i="49"/>
  <c r="L123" i="49"/>
  <c r="L115" i="49"/>
  <c r="L117" i="49"/>
  <c r="L114" i="49"/>
  <c r="L113" i="49"/>
  <c r="L111" i="49"/>
  <c r="L110" i="49"/>
  <c r="L119" i="49"/>
  <c r="J123" i="49"/>
  <c r="H133" i="49"/>
  <c r="J101" i="489"/>
  <c r="J101" i="49"/>
  <c r="J123" i="489"/>
  <c r="H89" i="382"/>
  <c r="D100" i="435"/>
  <c r="L133" i="489" s="1"/>
  <c r="H38" i="47"/>
  <c r="K38" i="47" s="1"/>
  <c r="H124" i="489"/>
  <c r="L125" i="49"/>
  <c r="L116" i="49"/>
  <c r="H125" i="489"/>
  <c r="L126" i="49"/>
  <c r="L122" i="49"/>
  <c r="L118" i="49"/>
  <c r="H126" i="489"/>
  <c r="L120" i="49"/>
  <c r="L124" i="49"/>
  <c r="H126" i="49"/>
  <c r="H125" i="49"/>
  <c r="H124" i="49"/>
  <c r="D91" i="435"/>
  <c r="H110" i="382"/>
  <c r="D99" i="435"/>
  <c r="G52" i="481"/>
  <c r="J55" i="481" s="1"/>
  <c r="M55" i="481" s="1"/>
  <c r="G61" i="481"/>
  <c r="E15" i="482"/>
  <c r="E26" i="482"/>
  <c r="G12" i="482"/>
  <c r="L131" i="489" l="1"/>
  <c r="L127" i="489"/>
  <c r="L134" i="489"/>
  <c r="L128" i="489"/>
  <c r="L129" i="489"/>
  <c r="L94" i="489"/>
  <c r="K94" i="441"/>
  <c r="E23" i="482"/>
  <c r="E29" i="482" s="1"/>
  <c r="G23" i="482"/>
  <c r="M35" i="481"/>
  <c r="L94" i="49"/>
  <c r="L127" i="49"/>
  <c r="H134" i="49"/>
  <c r="L133" i="49"/>
  <c r="L129" i="49"/>
  <c r="L128" i="49"/>
  <c r="L134" i="49"/>
  <c r="L131" i="49"/>
  <c r="H134" i="489"/>
  <c r="D101" i="435"/>
  <c r="E41" i="47"/>
  <c r="J124" i="489"/>
  <c r="J125" i="489"/>
  <c r="J124" i="49"/>
  <c r="J125" i="49"/>
  <c r="J126" i="49"/>
  <c r="J126" i="489"/>
  <c r="J133" i="49"/>
  <c r="H113" i="382"/>
  <c r="J133" i="489"/>
  <c r="G27" i="482"/>
  <c r="G58" i="481"/>
  <c r="J61" i="481" s="1"/>
  <c r="E6" i="482"/>
  <c r="G26" i="482"/>
  <c r="G15" i="482"/>
  <c r="G16" i="482"/>
  <c r="G30" i="482" s="1"/>
  <c r="G6" i="482"/>
  <c r="J8" i="7" l="1"/>
  <c r="J134" i="489"/>
  <c r="J134" i="49"/>
  <c r="H41" i="47"/>
  <c r="K41" i="47" s="1"/>
  <c r="O146" i="382"/>
  <c r="H146" i="382"/>
  <c r="G17" i="482"/>
  <c r="G29" i="482"/>
  <c r="G31" i="482" s="1"/>
  <c r="M61" i="481"/>
  <c r="E5" i="482"/>
  <c r="G64" i="481"/>
  <c r="J67" i="481" s="1"/>
  <c r="M30" i="7" l="1"/>
  <c r="D107" i="435"/>
  <c r="L145" i="489" s="1"/>
  <c r="H150" i="382"/>
  <c r="D105" i="435" s="1"/>
  <c r="E44" i="47"/>
  <c r="D103" i="435"/>
  <c r="G5" i="482"/>
  <c r="E4" i="482"/>
  <c r="E8" i="482" s="1"/>
  <c r="M67" i="481"/>
  <c r="G4" i="482" s="1"/>
  <c r="L145" i="49" l="1"/>
  <c r="J145" i="489"/>
  <c r="J145" i="49"/>
  <c r="H153" i="382"/>
  <c r="O169" i="382"/>
  <c r="H44" i="47"/>
  <c r="K44" i="47" s="1"/>
  <c r="J137" i="49"/>
  <c r="J138" i="49"/>
  <c r="J137" i="489"/>
  <c r="J138" i="489"/>
  <c r="J140" i="49"/>
  <c r="J140" i="489"/>
  <c r="G8" i="482"/>
  <c r="G35" i="482" s="1"/>
  <c r="M70" i="481"/>
  <c r="M73" i="481" s="1"/>
  <c r="J202" i="7" s="1"/>
  <c r="D106" i="435" l="1"/>
  <c r="M5" i="7"/>
  <c r="M118" i="7" s="1"/>
  <c r="H176" i="382"/>
  <c r="E47" i="47"/>
  <c r="H47" i="47" s="1"/>
  <c r="K47" i="47" s="1"/>
  <c r="G33" i="482"/>
  <c r="I16" i="435"/>
  <c r="J143" i="489" l="1"/>
  <c r="J142" i="489"/>
  <c r="J142" i="49"/>
  <c r="J143" i="49"/>
  <c r="D161" i="489"/>
  <c r="D161" i="49"/>
  <c r="J177" i="7"/>
  <c r="I28" i="435" s="1"/>
  <c r="G148" i="7"/>
  <c r="E51" i="47"/>
  <c r="H51" i="47" s="1"/>
  <c r="K51" i="47" s="1"/>
  <c r="J82" i="453" s="1"/>
  <c r="J160" i="489"/>
  <c r="J160" i="49"/>
  <c r="L173" i="489" l="1"/>
  <c r="L196" i="489"/>
  <c r="L173" i="49"/>
  <c r="L196" i="49"/>
  <c r="J173" i="49"/>
  <c r="J173" i="489"/>
  <c r="I52" i="435"/>
  <c r="L191" i="489" s="1"/>
  <c r="K64" i="47"/>
  <c r="M131" i="7"/>
  <c r="G151" i="7" s="1"/>
  <c r="J158" i="7" s="1"/>
  <c r="J94" i="453"/>
  <c r="J193" i="7" l="1"/>
  <c r="I26" i="435"/>
  <c r="I171" i="489" s="1"/>
  <c r="J196" i="7" l="1"/>
  <c r="J205" i="7" s="1"/>
  <c r="I27" i="435"/>
  <c r="I171" i="49"/>
  <c r="L194" i="489" l="1"/>
  <c r="L169" i="489"/>
  <c r="L168" i="489"/>
  <c r="L192" i="489"/>
  <c r="L167" i="489"/>
  <c r="L187" i="489"/>
  <c r="L172" i="489"/>
  <c r="L171" i="489"/>
  <c r="L194" i="49"/>
  <c r="J172" i="489"/>
  <c r="L192" i="49"/>
  <c r="L172" i="49"/>
  <c r="L168" i="49"/>
  <c r="L167" i="49"/>
  <c r="J208" i="7"/>
  <c r="AB162" i="391" s="1"/>
  <c r="AB165" i="391" s="1"/>
  <c r="L187" i="49"/>
  <c r="L171" i="49"/>
  <c r="J172" i="49"/>
  <c r="L169" i="49"/>
  <c r="I111" i="435" l="1"/>
  <c r="L273" i="489" s="1"/>
  <c r="AB168" i="391"/>
  <c r="AB181" i="391" s="1"/>
  <c r="I110" i="435"/>
  <c r="I17" i="435"/>
  <c r="J211" i="7"/>
  <c r="L269" i="489" l="1"/>
  <c r="L268" i="489"/>
  <c r="L161" i="489"/>
  <c r="L160" i="489"/>
  <c r="L269" i="49"/>
  <c r="AB177" i="391"/>
  <c r="J95" i="454" s="1"/>
  <c r="I113" i="435" s="1"/>
  <c r="I270" i="49"/>
  <c r="L273" i="49"/>
  <c r="I270" i="489"/>
  <c r="I269" i="489"/>
  <c r="I269" i="49"/>
  <c r="L268" i="49"/>
  <c r="J214" i="7"/>
  <c r="J5" i="454" s="1"/>
  <c r="M32" i="454" s="1"/>
  <c r="M36" i="454" s="1"/>
  <c r="D4" i="362" s="1"/>
  <c r="I20" i="435"/>
  <c r="J161" i="489"/>
  <c r="L161" i="49"/>
  <c r="L160" i="49"/>
  <c r="J161" i="49"/>
  <c r="L189" i="49"/>
  <c r="J189" i="49"/>
  <c r="J189" i="489"/>
  <c r="I114" i="435"/>
  <c r="L274" i="489" s="1"/>
  <c r="L166" i="489" l="1"/>
  <c r="L165" i="489"/>
  <c r="L164" i="489"/>
  <c r="G11" i="390"/>
  <c r="BJ10" i="473"/>
  <c r="D6" i="362"/>
  <c r="I48" i="435"/>
  <c r="J186" i="49" s="1"/>
  <c r="J165" i="489"/>
  <c r="L164" i="49"/>
  <c r="J164" i="49"/>
  <c r="L165" i="49"/>
  <c r="L166" i="49"/>
  <c r="J164" i="489"/>
  <c r="J165" i="49"/>
  <c r="L191" i="49"/>
  <c r="J272" i="489"/>
  <c r="J273" i="49"/>
  <c r="I274" i="49"/>
  <c r="L274" i="49"/>
  <c r="G273" i="489"/>
  <c r="J186" i="489" l="1"/>
  <c r="J191" i="49"/>
  <c r="J191" i="489"/>
  <c r="L190" i="49"/>
  <c r="J190" i="489"/>
  <c r="J190" i="49"/>
  <c r="D16" i="362"/>
  <c r="I53" i="435" l="1"/>
  <c r="M55" i="454"/>
  <c r="M79" i="454" s="1"/>
  <c r="M91" i="454" s="1"/>
  <c r="J194" i="49" l="1"/>
  <c r="J195" i="489"/>
  <c r="J194" i="489"/>
  <c r="J195" i="49"/>
  <c r="I69" i="435"/>
  <c r="J192" i="49"/>
  <c r="J193" i="49"/>
  <c r="J192" i="489"/>
  <c r="J193" i="489"/>
  <c r="L321" i="489" l="1"/>
  <c r="L302" i="489"/>
  <c r="L311" i="489"/>
  <c r="L308" i="489"/>
  <c r="L305" i="489"/>
  <c r="L323" i="489"/>
  <c r="L248" i="489"/>
  <c r="L246" i="489"/>
  <c r="L244" i="489"/>
  <c r="L250" i="489"/>
  <c r="L303" i="489"/>
  <c r="L243" i="489"/>
  <c r="L301" i="489"/>
  <c r="L324" i="489"/>
  <c r="L312" i="489"/>
  <c r="L251" i="489"/>
  <c r="L322" i="489"/>
  <c r="L310" i="489"/>
  <c r="L309" i="489"/>
  <c r="L249" i="489"/>
  <c r="L320" i="489"/>
  <c r="L319" i="489"/>
  <c r="L307" i="489"/>
  <c r="L247" i="489"/>
  <c r="L318" i="489"/>
  <c r="L306" i="489"/>
  <c r="L317" i="489"/>
  <c r="L245" i="489"/>
  <c r="L316" i="489"/>
  <c r="L304" i="489"/>
  <c r="L323" i="49"/>
  <c r="L246" i="49"/>
  <c r="L321" i="49"/>
  <c r="L311" i="49"/>
  <c r="L250" i="49"/>
  <c r="L248" i="49"/>
  <c r="L244" i="49"/>
  <c r="L308" i="49"/>
  <c r="L305" i="49"/>
  <c r="L302" i="49"/>
  <c r="L324" i="49"/>
  <c r="L249" i="49"/>
  <c r="L245" i="49"/>
  <c r="L306" i="49"/>
  <c r="L322" i="49"/>
  <c r="L310" i="49"/>
  <c r="L309" i="49"/>
  <c r="L304" i="49"/>
  <c r="L303" i="49"/>
  <c r="L251" i="49"/>
  <c r="L312" i="49"/>
  <c r="L247" i="49"/>
  <c r="L307" i="49"/>
  <c r="J220" i="489"/>
  <c r="J224" i="489"/>
  <c r="J222" i="489"/>
  <c r="J218" i="489"/>
  <c r="L320" i="49"/>
  <c r="J218" i="49"/>
  <c r="L301" i="49"/>
  <c r="J220" i="49"/>
  <c r="J224" i="49"/>
  <c r="J222" i="49"/>
  <c r="I85" i="435"/>
  <c r="AB184" i="391"/>
  <c r="AB191" i="391" s="1"/>
  <c r="J217" i="489"/>
  <c r="J221" i="489"/>
  <c r="L317" i="49"/>
  <c r="J221" i="49"/>
  <c r="L243" i="49"/>
  <c r="J217" i="49"/>
  <c r="L316" i="49"/>
  <c r="J223" i="489"/>
  <c r="J219" i="49"/>
  <c r="L319" i="49"/>
  <c r="J223" i="49"/>
  <c r="L318" i="49"/>
  <c r="J219" i="489"/>
  <c r="J249" i="49" l="1"/>
  <c r="J251" i="489"/>
  <c r="J247" i="489"/>
  <c r="J245" i="489"/>
  <c r="J249" i="489"/>
  <c r="J247" i="49"/>
  <c r="J251" i="49"/>
  <c r="J250" i="49"/>
  <c r="J245" i="49"/>
  <c r="J244" i="49"/>
  <c r="AB187" i="391"/>
  <c r="M101" i="454" s="1"/>
  <c r="J98" i="454"/>
  <c r="I115" i="435" s="1"/>
  <c r="I118" i="435"/>
  <c r="J248" i="489"/>
  <c r="J243" i="489"/>
  <c r="J243" i="49"/>
  <c r="J244" i="489"/>
  <c r="J246" i="489"/>
  <c r="J248" i="49"/>
  <c r="J250" i="489"/>
  <c r="J246" i="49"/>
  <c r="L315" i="489" l="1"/>
  <c r="L314" i="489"/>
  <c r="L313" i="489"/>
  <c r="J281" i="489"/>
  <c r="J286" i="489"/>
  <c r="J284" i="489"/>
  <c r="J278" i="489"/>
  <c r="J278" i="49"/>
  <c r="J281" i="49"/>
  <c r="J286" i="49"/>
  <c r="J284" i="49"/>
  <c r="I116" i="435"/>
  <c r="J279" i="489"/>
  <c r="L314" i="49"/>
  <c r="L315" i="49"/>
  <c r="I314" i="489"/>
  <c r="J314" i="49"/>
  <c r="L313" i="49"/>
  <c r="J282" i="489"/>
  <c r="J285" i="489"/>
  <c r="J276" i="489"/>
  <c r="J285" i="49"/>
  <c r="J276" i="49"/>
  <c r="J282" i="49"/>
  <c r="J279" i="49"/>
  <c r="D14" i="362"/>
  <c r="M104" i="454"/>
  <c r="M107" i="454" s="1"/>
  <c r="L295" i="489" l="1"/>
  <c r="L282" i="489"/>
  <c r="L279" i="489"/>
  <c r="L298" i="489"/>
  <c r="L292" i="489"/>
  <c r="L276" i="489"/>
  <c r="L285" i="489"/>
  <c r="L289" i="489"/>
  <c r="L286" i="49"/>
  <c r="L300" i="489"/>
  <c r="L288" i="489"/>
  <c r="L287" i="489"/>
  <c r="L297" i="489"/>
  <c r="L296" i="489"/>
  <c r="L294" i="489"/>
  <c r="L293" i="489"/>
  <c r="L291" i="489"/>
  <c r="L286" i="489"/>
  <c r="L290" i="489"/>
  <c r="L281" i="489"/>
  <c r="L278" i="489"/>
  <c r="L284" i="489"/>
  <c r="L280" i="489"/>
  <c r="L299" i="489"/>
  <c r="L277" i="489"/>
  <c r="L283" i="489"/>
  <c r="L295" i="49"/>
  <c r="L285" i="49"/>
  <c r="L292" i="49"/>
  <c r="L289" i="49"/>
  <c r="L298" i="49"/>
  <c r="L282" i="49"/>
  <c r="L276" i="49"/>
  <c r="L279" i="49"/>
  <c r="L296" i="49"/>
  <c r="L297" i="49"/>
  <c r="L277" i="49"/>
  <c r="L281" i="49"/>
  <c r="L294" i="49"/>
  <c r="L299" i="49"/>
  <c r="L290" i="49"/>
  <c r="L284" i="49"/>
  <c r="L280" i="49"/>
  <c r="L293" i="49"/>
  <c r="L283" i="49"/>
  <c r="L291" i="49"/>
  <c r="L278" i="49"/>
  <c r="J294" i="489"/>
  <c r="J291" i="489"/>
  <c r="J299" i="489"/>
  <c r="J297" i="489"/>
  <c r="J119" i="454"/>
  <c r="BJ4" i="473"/>
  <c r="J294" i="49"/>
  <c r="J297" i="49"/>
  <c r="J299" i="49"/>
  <c r="J291" i="49"/>
  <c r="J298" i="489"/>
  <c r="J295" i="489"/>
  <c r="L300" i="49"/>
  <c r="J289" i="49"/>
  <c r="J289" i="489"/>
  <c r="L287" i="49"/>
  <c r="J298" i="49"/>
  <c r="J295" i="49"/>
  <c r="J292" i="489"/>
  <c r="J292" i="49"/>
  <c r="L288" i="49"/>
  <c r="C5" i="390"/>
  <c r="BJ5" i="473"/>
  <c r="I117" i="435"/>
  <c r="C8" i="390"/>
  <c r="J310" i="489" l="1"/>
  <c r="J307" i="489"/>
  <c r="J304" i="489"/>
  <c r="J312" i="489"/>
  <c r="J304" i="49"/>
  <c r="J312" i="49"/>
  <c r="J311" i="49"/>
  <c r="J310" i="49"/>
  <c r="J307" i="49"/>
  <c r="J305" i="49"/>
  <c r="J311" i="489"/>
  <c r="J301" i="489"/>
  <c r="J308" i="489"/>
  <c r="J302" i="489"/>
  <c r="J308" i="49"/>
  <c r="J302" i="49"/>
  <c r="J305" i="489"/>
  <c r="J301" i="49"/>
  <c r="I19" i="32"/>
  <c r="I121" i="435"/>
  <c r="L143" i="489" l="1"/>
  <c r="L142" i="489"/>
  <c r="L138" i="489"/>
  <c r="L137" i="489"/>
  <c r="J322" i="489"/>
  <c r="J324" i="489"/>
  <c r="J322" i="49"/>
  <c r="L137" i="49"/>
  <c r="J324" i="49"/>
  <c r="L138" i="49"/>
  <c r="I32" i="32"/>
  <c r="I27" i="32"/>
  <c r="J321" i="49"/>
  <c r="J323" i="489"/>
  <c r="J321" i="489"/>
  <c r="J320" i="489"/>
  <c r="J323" i="49"/>
  <c r="L143" i="49"/>
  <c r="L142" i="49"/>
  <c r="J320" i="49"/>
  <c r="I42" i="32" l="1"/>
  <c r="I48" i="32" s="1"/>
  <c r="I36" i="32"/>
  <c r="I39" i="32" s="1"/>
  <c r="I51" i="32" l="1"/>
  <c r="I61" i="32"/>
  <c r="I58" i="32"/>
  <c r="I71" i="32" l="1"/>
  <c r="I75" i="32" s="1"/>
  <c r="B278" i="474"/>
  <c r="B272" i="474"/>
  <c r="B271" i="4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9" authorId="0" shapeId="0" xr:uid="{00000000-0006-0000-0900-000001000000}">
      <text>
        <r>
          <rPr>
            <b/>
            <sz val="9"/>
            <color indexed="81"/>
            <rFont val="Tahoma"/>
            <family val="2"/>
          </rPr>
          <t>1 = rUK; 2 = STp; 3 = W</t>
        </r>
      </text>
    </comment>
    <comment ref="D69" authorId="0" shapeId="0" xr:uid="{00000000-0006-0000-0900-000002000000}">
      <text>
        <r>
          <rPr>
            <b/>
            <sz val="9"/>
            <color indexed="81"/>
            <rFont val="Tahoma"/>
            <family val="2"/>
          </rPr>
          <t>a) must be a valid date DDMMYYYY
b) must be within the return year
c) if present CBC1 &amp; CBC2 must be present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T31" authorId="0" shapeId="0" xr:uid="{00000000-0006-0000-0B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JT60" authorId="0" shapeId="0" xr:uid="{00000000-0006-0000-0B00-000002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D94" authorId="0" shapeId="0" xr:uid="{00000000-0006-0000-0B00-00000300000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T2" authorId="0" shapeId="0" xr:uid="{00000000-0006-0000-0C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D130" authorId="0" shapeId="0" xr:uid="{00000000-0006-0000-0C00-000002000000}">
      <text>
        <r>
          <rPr>
            <b/>
            <sz val="9"/>
            <color indexed="81"/>
            <rFont val="Tahoma"/>
            <family val="2"/>
          </rPr>
          <t>If present, must be less than or equal to FSE77.
 If FSE10 = 'Y' then FSE78 must be zero or absent.</t>
        </r>
      </text>
    </comment>
    <comment ref="JT157" authorId="0" shapeId="0" xr:uid="{00000000-0006-0000-0C00-000003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T31" authorId="0" shapeId="0" xr:uid="{00000000-0006-0000-0D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4" authorId="0" shapeId="0" xr:uid="{00000000-0006-0000-0F00-000001000000}">
      <text>
        <r>
          <rPr>
            <b/>
            <sz val="9"/>
            <color indexed="81"/>
            <rFont val="Tahoma"/>
            <family val="2"/>
          </rPr>
          <t>Column A, Row 1</t>
        </r>
      </text>
    </comment>
    <comment ref="C10" authorId="0" shapeId="0" xr:uid="{00000000-0006-0000-0F00-000002000000}">
      <text>
        <r>
          <rPr>
            <b/>
            <sz val="9"/>
            <color indexed="81"/>
            <rFont val="Tahoma"/>
            <family val="2"/>
          </rPr>
          <t>Column A, Row 2</t>
        </r>
      </text>
    </comment>
    <comment ref="C16" authorId="0" shapeId="0" xr:uid="{00000000-0006-0000-0F00-000003000000}">
      <text>
        <r>
          <rPr>
            <b/>
            <sz val="9"/>
            <color indexed="81"/>
            <rFont val="Tahoma"/>
            <family val="2"/>
          </rPr>
          <t>Column D Total</t>
        </r>
      </text>
    </comment>
    <comment ref="C17" authorId="0" shapeId="0" xr:uid="{00000000-0006-0000-0F00-000004000000}">
      <text>
        <r>
          <rPr>
            <b/>
            <sz val="9"/>
            <color indexed="81"/>
            <rFont val="Tahoma"/>
            <family val="2"/>
          </rPr>
          <t>Column F Total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V1" authorId="0" shapeId="0" xr:uid="{00000000-0006-0000-1100-000001000000}">
      <text>
        <r>
          <rPr>
            <sz val="8"/>
            <color indexed="81"/>
            <rFont val="Tahoma"/>
            <family val="2"/>
          </rPr>
          <t>The "Value validation" column is used to constrain the value of the current item.
For more detailed help, press the "Syntax Help" button.</t>
        </r>
      </text>
    </comment>
    <comment ref="JV2" authorId="0" shapeId="0" xr:uid="{00000000-0006-0000-1100-000002000000}">
      <text>
        <r>
          <rPr>
            <sz val="8"/>
            <color indexed="81"/>
            <rFont val="Tahoma"/>
            <family val="2"/>
          </rPr>
          <t>The "Value validation" column is used to constrain the value of the current item.
For more detailed help, press the "Syntax Help" button.</t>
        </r>
      </text>
    </comment>
    <comment ref="JS54" authorId="0" shapeId="0" xr:uid="{00000000-0006-0000-1100-000003000000}">
      <text>
        <r>
          <rPr>
            <b/>
            <sz val="8"/>
            <color indexed="81"/>
            <rFont val="Tahoma"/>
            <family val="2"/>
          </rPr>
          <t>not in JAR</t>
        </r>
      </text>
    </comment>
    <comment ref="D117" authorId="0" shapeId="0" xr:uid="{00000000-0006-0000-1100-000004000000}">
      <text>
        <r>
          <rPr>
            <b/>
            <sz val="9"/>
            <color indexed="81"/>
            <rFont val="Tahoma"/>
            <family val="2"/>
          </rPr>
          <t>If 'Y' NRD23 must be 'Y'</t>
        </r>
      </text>
    </comment>
    <comment ref="D120" authorId="0" shapeId="0" xr:uid="{00000000-0006-0000-1100-000005000000}">
      <text>
        <r>
          <rPr>
            <b/>
            <sz val="9"/>
            <color indexed="81"/>
            <rFont val="Tahoma"/>
            <family val="2"/>
          </rPr>
          <t>a) If present NRD23 must be present 
b) If present NRD26 must be absent</t>
        </r>
      </text>
    </comment>
    <comment ref="D121" authorId="0" shapeId="0" xr:uid="{00000000-0006-0000-1100-000006000000}">
      <text>
        <r>
          <rPr>
            <b/>
            <sz val="9"/>
            <color indexed="81"/>
            <rFont val="Tahoma"/>
            <family val="2"/>
          </rPr>
          <t xml:space="preserve"> If present, NRD23 must be present</t>
        </r>
      </text>
    </comment>
    <comment ref="D128" authorId="0" shapeId="0" xr:uid="{00000000-0006-0000-1100-000007000000}">
      <text>
        <r>
          <rPr>
            <b/>
            <sz val="9"/>
            <color indexed="81"/>
            <rFont val="Tahoma"/>
            <family val="2"/>
          </rPr>
          <t>If NRD28 = 'Y' and (NRD30 = 'Y' or NRD31 = 'Y' or NRD32 = 'Y') and NRD29 = 'N' and NRD33 = 'N' then
NRD34 + NRD35 must be greater than zero.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7" authorId="0" shapeId="0" xr:uid="{00000000-0006-0000-1A00-000001000000}">
      <text>
        <r>
          <rPr>
            <b/>
            <sz val="9"/>
            <color indexed="81"/>
            <rFont val="Tahoma"/>
            <family val="2"/>
          </rPr>
          <t>Pseudo Box - not on paper SA Return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3" authorId="0" shapeId="0" xr:uid="{00000000-0006-0000-1D00-000001000000}">
      <text>
        <r>
          <rPr>
            <b/>
            <sz val="9"/>
            <color indexed="81"/>
            <rFont val="Tahoma"/>
            <family val="2"/>
          </rPr>
          <t>Pseudo Box not on paper SA Return. 
Select 3 for post graduate loan only
Select 4 if the customer has plan type 1 and post graduate loan
Select 5 if the customer has plan type 2 and post graduate loan</t>
        </r>
      </text>
    </comment>
    <comment ref="C39" authorId="0" shapeId="0" xr:uid="{00000000-0006-0000-1D00-000002000000}">
      <text>
        <r>
          <rPr>
            <b/>
            <sz val="9"/>
            <color indexed="81"/>
            <rFont val="Tahoma"/>
            <family val="2"/>
          </rPr>
          <t>Pseudo Box not on paper SA Return</t>
        </r>
      </text>
    </comment>
    <comment ref="C45" authorId="0" shapeId="0" xr:uid="{00000000-0006-0000-1D00-000003000000}">
      <text>
        <r>
          <rPr>
            <b/>
            <sz val="9"/>
            <color indexed="81"/>
            <rFont val="Tahoma"/>
            <family val="2"/>
          </rPr>
          <t>Pseudo Box not on paper SA Return</t>
        </r>
      </text>
    </comment>
    <comment ref="G45" authorId="0" shapeId="0" xr:uid="{00000000-0006-0000-1D00-000004000000}">
      <text>
        <r>
          <rPr>
            <b/>
            <sz val="9"/>
            <color indexed="81"/>
            <rFont val="Tahoma"/>
            <family val="2"/>
          </rPr>
          <t>Pseudo Box not on paper SA Return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B1" authorId="0" shapeId="0" xr:uid="{00000000-0006-0000-2D00-000001000000}">
      <text>
        <r>
          <rPr>
            <b/>
            <sz val="8"/>
            <color indexed="81"/>
            <rFont val="Tahoma"/>
            <family val="2"/>
          </rPr>
          <t>S = There is a ‘subject to tax’ condition</t>
        </r>
      </text>
    </comment>
    <comment ref="AC1" authorId="0" shapeId="0" xr:uid="{00000000-0006-0000-2D00-000002000000}">
      <text>
        <r>
          <rPr>
            <b/>
            <sz val="8"/>
            <color indexed="81"/>
            <rFont val="Tahoma"/>
            <family val="2"/>
          </rPr>
          <t>S = There is a ‘subject to tax’ condition</t>
        </r>
      </text>
    </comment>
    <comment ref="AD1" authorId="0" shapeId="0" xr:uid="{00000000-0006-0000-2D00-000003000000}">
      <text>
        <r>
          <rPr>
            <b/>
            <sz val="8"/>
            <color indexed="81"/>
            <rFont val="Tahoma"/>
            <family val="2"/>
          </rPr>
          <t>S = There is a ‘subject to tax’ condition</t>
        </r>
      </text>
    </comment>
    <comment ref="M8" authorId="0" shapeId="0" xr:uid="{00000000-0006-0000-2D00-00000400000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ref="E9" authorId="0" shapeId="0" xr:uid="{00000000-0006-0000-2D00-000005000000}">
      <text>
        <r>
          <rPr>
            <b/>
            <sz val="9"/>
            <color indexed="81"/>
            <rFont val="Tahoma"/>
            <family val="2"/>
          </rPr>
          <t>Optional - for use with 'Savings and gains' and 'Dividends that qualify for UK tax credits'</t>
        </r>
      </text>
    </comment>
    <comment ref="K11" authorId="0" shapeId="0" xr:uid="{00000000-0006-0000-2D00-000006000000}">
      <text>
        <r>
          <rPr>
            <b/>
            <sz val="8"/>
            <color indexed="81"/>
            <rFont val="Tahoma"/>
            <family val="2"/>
          </rPr>
          <t>(S) = There is a ‘subject to tax’ condition. Check what that is before proceeding.</t>
        </r>
      </text>
    </comment>
    <comment ref="K15" authorId="0" shapeId="0" xr:uid="{00000000-0006-0000-2D00-000007000000}">
      <text>
        <r>
          <rPr>
            <b/>
            <sz val="8"/>
            <color indexed="81"/>
            <rFont val="Tahoma"/>
            <family val="2"/>
          </rPr>
          <t>(S) = There is a ‘subject to tax’ condition. Check what that is before proceeding.</t>
        </r>
      </text>
    </comment>
    <comment ref="K19" authorId="0" shapeId="0" xr:uid="{00000000-0006-0000-2D00-000008000000}">
      <text>
        <r>
          <rPr>
            <b/>
            <sz val="8"/>
            <color indexed="81"/>
            <rFont val="Tahoma"/>
            <family val="2"/>
          </rPr>
          <t>(S) = There is a ‘subject to tax’ condition. Check what that is before proceeding.</t>
        </r>
      </text>
    </comment>
    <comment ref="K23" authorId="0" shapeId="0" xr:uid="{00000000-0006-0000-2D00-000009000000}">
      <text>
        <r>
          <rPr>
            <b/>
            <sz val="8"/>
            <color indexed="81"/>
            <rFont val="Tahoma"/>
            <family val="2"/>
          </rPr>
          <t>(S) = There is a ‘subject to tax’ condition. Check what that is before proceeding.</t>
        </r>
      </text>
    </comment>
    <comment ref="K27" authorId="0" shapeId="0" xr:uid="{00000000-0006-0000-2D00-00000A000000}">
      <text>
        <r>
          <rPr>
            <b/>
            <sz val="8"/>
            <color indexed="81"/>
            <rFont val="Tahoma"/>
            <family val="2"/>
          </rPr>
          <t>(S) = There is a ‘subject to tax’ condition. Check what that is before proceeding.</t>
        </r>
      </text>
    </comment>
    <comment ref="K31" authorId="0" shapeId="0" xr:uid="{00000000-0006-0000-2D00-00000B000000}">
      <text>
        <r>
          <rPr>
            <b/>
            <sz val="8"/>
            <color indexed="81"/>
            <rFont val="Tahoma"/>
            <family val="2"/>
          </rPr>
          <t>(S) = There is a ‘subject to tax’ condition. Check what that is before proceeding.</t>
        </r>
      </text>
    </comment>
    <comment ref="K35" authorId="0" shapeId="0" xr:uid="{00000000-0006-0000-2D00-00000C000000}">
      <text>
        <r>
          <rPr>
            <b/>
            <sz val="8"/>
            <color indexed="81"/>
            <rFont val="Tahoma"/>
            <family val="2"/>
          </rPr>
          <t>(S) = There is a ‘subject to tax’ condition. Check what that is before proceeding.</t>
        </r>
      </text>
    </comment>
    <comment ref="K39" authorId="0" shapeId="0" xr:uid="{00000000-0006-0000-2D00-00000D000000}">
      <text>
        <r>
          <rPr>
            <b/>
            <sz val="8"/>
            <color indexed="81"/>
            <rFont val="Tahoma"/>
            <family val="2"/>
          </rPr>
          <t>(S) = There is a ‘subject to tax’ condition. Check what that is before proceeding.</t>
        </r>
      </text>
    </comment>
    <comment ref="K43" authorId="0" shapeId="0" xr:uid="{00000000-0006-0000-2D00-00000E000000}">
      <text>
        <r>
          <rPr>
            <b/>
            <sz val="8"/>
            <color indexed="81"/>
            <rFont val="Tahoma"/>
            <family val="2"/>
          </rPr>
          <t>(S) = There is a ‘subject to tax’ condition. Check what that is before proceeding.</t>
        </r>
      </text>
    </comment>
    <comment ref="K47" authorId="0" shapeId="0" xr:uid="{00000000-0006-0000-2D00-00000F000000}">
      <text>
        <r>
          <rPr>
            <b/>
            <sz val="8"/>
            <color indexed="81"/>
            <rFont val="Tahoma"/>
            <family val="2"/>
          </rPr>
          <t>(S) = There is a ‘subject to tax’ condition. Check what that is before proceeding.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<sst xmlns="http://schemas.openxmlformats.org/spreadsheetml/2006/main" count="23226" uniqueCount="9778">
  <si>
    <t>YPD</t>
  </si>
  <si>
    <t>INC-A</t>
  </si>
  <si>
    <t>INC-B</t>
  </si>
  <si>
    <t>INC-C</t>
  </si>
  <si>
    <t>REL-A</t>
  </si>
  <si>
    <t>REL-B</t>
  </si>
  <si>
    <t>REL-C</t>
  </si>
  <si>
    <t>SLR</t>
  </si>
  <si>
    <t>CBC</t>
  </si>
  <si>
    <t>WFP</t>
  </si>
  <si>
    <t>MAT</t>
  </si>
  <si>
    <t>FIN</t>
  </si>
  <si>
    <t>AOI-A</t>
  </si>
  <si>
    <t>AOI-B</t>
  </si>
  <si>
    <t>AOI-C</t>
  </si>
  <si>
    <t>ASE-A</t>
  </si>
  <si>
    <t>ASE-B</t>
  </si>
  <si>
    <t>ASE-C</t>
  </si>
  <si>
    <t>AOR</t>
  </si>
  <si>
    <t>MCA</t>
  </si>
  <si>
    <t>AIL</t>
  </si>
  <si>
    <t>Emp-A</t>
  </si>
  <si>
    <t>Emp-B</t>
  </si>
  <si>
    <t>MOR</t>
  </si>
  <si>
    <t>SSE</t>
  </si>
  <si>
    <t>FSE</t>
  </si>
  <si>
    <t>LUN</t>
  </si>
  <si>
    <t>SPS</t>
  </si>
  <si>
    <t>FPS</t>
  </si>
  <si>
    <t>NI2</t>
  </si>
  <si>
    <t>NI1</t>
  </si>
  <si>
    <t>NIC2Vol</t>
  </si>
  <si>
    <t>NicEx</t>
  </si>
  <si>
    <t>PRO</t>
  </si>
  <si>
    <t>FOR</t>
  </si>
  <si>
    <t>TCR</t>
  </si>
  <si>
    <t>TRU</t>
  </si>
  <si>
    <t>CGT</t>
  </si>
  <si>
    <t>NRD</t>
  </si>
  <si>
    <t>CAL</t>
  </si>
  <si>
    <t>NS income (c1)</t>
  </si>
  <si>
    <t xml:space="preserve">Overview of the tax calculation process </t>
  </si>
  <si>
    <t>Savings (c2)</t>
  </si>
  <si>
    <r>
      <t>The main body of the calculation is contained within stages 1 to 12</t>
    </r>
    <r>
      <rPr>
        <sz val="10"/>
        <color rgb="FFFF0000"/>
        <rFont val="Arial"/>
        <family val="2"/>
      </rPr>
      <t xml:space="preserve">. </t>
    </r>
    <r>
      <rPr>
        <sz val="10"/>
        <rFont val="Arial"/>
        <family val="2"/>
      </rPr>
      <t>Stages 14 to 29 may be required,</t>
    </r>
  </si>
  <si>
    <t>Divs (c3)</t>
  </si>
  <si>
    <t xml:space="preserve">depending on the taxpayer’s circumstances.  They are cross-referenced with various points within stages </t>
  </si>
  <si>
    <t>Status (c3a)</t>
  </si>
  <si>
    <t xml:space="preserve">1 to 12. Only the end result of processing in stages 14 to 28 (13 is not currently used) are used within </t>
  </si>
  <si>
    <t>Deductions (c4)</t>
  </si>
  <si>
    <t xml:space="preserve">stages 1 to 12 but all boxes leading to the end result need to be calculated. </t>
  </si>
  <si>
    <t>Taxable (c5)</t>
  </si>
  <si>
    <t>tax it (c6)</t>
  </si>
  <si>
    <t>CDR (c7)</t>
  </si>
  <si>
    <t>tax it (c8)</t>
  </si>
  <si>
    <t>Tax adj (c9)</t>
  </si>
  <si>
    <t>Div Cr (c10)</t>
  </si>
  <si>
    <t>The annexes contain associated processing that is dependant on the calculation stages.</t>
  </si>
  <si>
    <t>tax paid (c11)</t>
  </si>
  <si>
    <t>Tax due (c12)</t>
  </si>
  <si>
    <t>Note where a box contains all instances then the rounding should be done on each instances.</t>
  </si>
  <si>
    <t>POAs (c13)</t>
  </si>
  <si>
    <t>allowances (c14c15)</t>
  </si>
  <si>
    <t>If NON UK RESIDENT (box NRD1 = Y)</t>
  </si>
  <si>
    <t>Class 4 NIC (c16)</t>
  </si>
  <si>
    <t>set calculation type = resident</t>
  </si>
  <si>
    <t>TSR (c17)</t>
  </si>
  <si>
    <t>CG (c18)</t>
  </si>
  <si>
    <t>RBC (c19)</t>
  </si>
  <si>
    <t>set calculation type = non-resident</t>
  </si>
  <si>
    <t>RBC &amp; Cap (C20a)</t>
  </si>
  <si>
    <t>Notional (c21c23)</t>
  </si>
  <si>
    <t>LLIR (c24)</t>
  </si>
  <si>
    <t>Pensions (c25c26)</t>
  </si>
  <si>
    <t>If resident-result &lt;= non-resident-result</t>
  </si>
  <si>
    <t>S loans(c27)</t>
  </si>
  <si>
    <t>end if</t>
  </si>
  <si>
    <t>CBC(c28)</t>
  </si>
  <si>
    <t>non-res (c91)</t>
  </si>
  <si>
    <t>EMP</t>
  </si>
  <si>
    <t>Format SA302 and view screens (see Annex A)</t>
  </si>
  <si>
    <t>SE</t>
  </si>
  <si>
    <t xml:space="preserve">If a digital Marriage Allowance transfer claim is in place and they are a Transferor or a Recipient the MAT_OUT </t>
  </si>
  <si>
    <t>PS</t>
  </si>
  <si>
    <t>NI</t>
  </si>
  <si>
    <t>MAT_OUT amount will be set to "Y"</t>
  </si>
  <si>
    <t>Larger of all instances (SSECL2 OR FSECL2 OR SPSCL2 OR FPSCL2) OR LUNCL2 OR Total of centralised box</t>
  </si>
  <si>
    <t>AOI</t>
  </si>
  <si>
    <t>For Class 4 there are no boxes for Class 1 earnings on the Return for the Reg100 Class 4 calculation.</t>
  </si>
  <si>
    <t>ASE</t>
  </si>
  <si>
    <t xml:space="preserve">Tax rates </t>
  </si>
  <si>
    <t>Reviewed</t>
  </si>
  <si>
    <t>Swiss Tax Credit</t>
  </si>
  <si>
    <t>Employees' rate between threshold and upper earnings limit</t>
  </si>
  <si>
    <t>NIC1_rate</t>
  </si>
  <si>
    <t>not for requirements</t>
  </si>
  <si>
    <t>Class 4 rate between lower profits limit and upper profits limit</t>
  </si>
  <si>
    <t>NIC_rate</t>
  </si>
  <si>
    <t>used as</t>
  </si>
  <si>
    <t>C0</t>
  </si>
  <si>
    <t>Class 4 rate above upper profits limit</t>
  </si>
  <si>
    <t>NIC_supp_rate</t>
  </si>
  <si>
    <t>Grossing up factors</t>
  </si>
  <si>
    <t>D</t>
  </si>
  <si>
    <t>F</t>
  </si>
  <si>
    <t>*100/</t>
  </si>
  <si>
    <t>P</t>
  </si>
  <si>
    <t>C1</t>
  </si>
  <si>
    <t>Student Loan deduction rate</t>
  </si>
  <si>
    <t>Sloan_rate</t>
  </si>
  <si>
    <t>Dividend old net to gross factor</t>
  </si>
  <si>
    <t>old_gross</t>
  </si>
  <si>
    <t>100/90</t>
  </si>
  <si>
    <t>C2</t>
  </si>
  <si>
    <t>Postgraduate loan rate</t>
  </si>
  <si>
    <t>PGL_rate</t>
  </si>
  <si>
    <t>Dividend net to gross factor</t>
  </si>
  <si>
    <t>divs_gross</t>
  </si>
  <si>
    <t>100/91.25</t>
  </si>
  <si>
    <t>C3</t>
  </si>
  <si>
    <t>Starting rate for savings</t>
  </si>
  <si>
    <t>SR_rate</t>
  </si>
  <si>
    <t>Savings net to gross factor</t>
  </si>
  <si>
    <t>savings_gross</t>
  </si>
  <si>
    <t>100/80</t>
  </si>
  <si>
    <t>C4</t>
  </si>
  <si>
    <t>Savings Nil rate</t>
  </si>
  <si>
    <t>SNil_rate</t>
  </si>
  <si>
    <t>Non-savings net to gross factor</t>
  </si>
  <si>
    <t>NS_gross</t>
  </si>
  <si>
    <t>C5</t>
  </si>
  <si>
    <t>Old Basic Rate</t>
  </si>
  <si>
    <t>OLD_BR</t>
  </si>
  <si>
    <t>Higher rate net to gross factor</t>
  </si>
  <si>
    <t>HR_gross</t>
  </si>
  <si>
    <t>100/60</t>
  </si>
  <si>
    <t>used in calc?</t>
  </si>
  <si>
    <t>C6</t>
  </si>
  <si>
    <t>Basic rate for savings</t>
  </si>
  <si>
    <t>SAVBR_rate</t>
  </si>
  <si>
    <t>Non-savings net to gross old factor</t>
  </si>
  <si>
    <t>Gross_By_22</t>
  </si>
  <si>
    <t>100/78</t>
  </si>
  <si>
    <t>C7</t>
  </si>
  <si>
    <t>Higher rate for savings</t>
  </si>
  <si>
    <t>SAVHR_rate</t>
  </si>
  <si>
    <t>Trust rate net to gross factor</t>
  </si>
  <si>
    <t>trust_gross</t>
  </si>
  <si>
    <t>100/55</t>
  </si>
  <si>
    <t>C8C9C10</t>
  </si>
  <si>
    <t>Additional rate for savings</t>
  </si>
  <si>
    <t>SAVAHR_rate</t>
  </si>
  <si>
    <t>Trust dividend rate net to gross factor</t>
  </si>
  <si>
    <t>trust_div_gross</t>
  </si>
  <si>
    <t>100/60.65</t>
  </si>
  <si>
    <t>Basic rate UK rate for England Northern Ireland</t>
  </si>
  <si>
    <t>BR_rate</t>
  </si>
  <si>
    <t>Gift aid</t>
  </si>
  <si>
    <t>gift_aid</t>
  </si>
  <si>
    <t>Higher rate UK rate for England Northern Ireland</t>
  </si>
  <si>
    <t>HR_rate</t>
  </si>
  <si>
    <t>Dividend old 7.5 net to gross</t>
  </si>
  <si>
    <t>divs_gross_old</t>
  </si>
  <si>
    <t>100/92.5</t>
  </si>
  <si>
    <t>Additional Rate UK rate for England and Northern Ireland</t>
  </si>
  <si>
    <t>AHR_rate</t>
  </si>
  <si>
    <t>Starter rate for Scotland</t>
  </si>
  <si>
    <t>SSR_rate</t>
  </si>
  <si>
    <t>Basic rate UK rate for Scotland</t>
  </si>
  <si>
    <t>SBR_rate</t>
  </si>
  <si>
    <t>Intermediate rate for Scotland</t>
  </si>
  <si>
    <t>SIR_rate</t>
  </si>
  <si>
    <t>Higher rate UK rate for Scotland</t>
  </si>
  <si>
    <t>SHR_rate</t>
  </si>
  <si>
    <t>Advanced rate for Scotland</t>
  </si>
  <si>
    <t>SAR_rate</t>
  </si>
  <si>
    <t>Additional Rate UK rate for Scotland</t>
  </si>
  <si>
    <t>SAHR_rate</t>
  </si>
  <si>
    <t>Basic rate for Wales</t>
  </si>
  <si>
    <t>WBR_rate</t>
  </si>
  <si>
    <t>Higher rate for Wales</t>
  </si>
  <si>
    <t>WHR_rate</t>
  </si>
  <si>
    <t>Additional Rate rate for Wales</t>
  </si>
  <si>
    <t>WAHR_rate</t>
  </si>
  <si>
    <t>Old Dividend rate</t>
  </si>
  <si>
    <t>Old_DIV_rate</t>
  </si>
  <si>
    <t>Lower Dividend rate</t>
  </si>
  <si>
    <t>Ldiv_rate</t>
  </si>
  <si>
    <t>Dividend Nil rate</t>
  </si>
  <si>
    <t>DivNil_rate</t>
  </si>
  <si>
    <t>Dividend Investment rate</t>
  </si>
  <si>
    <t>DivBR_rate</t>
  </si>
  <si>
    <t>Dividend Higher rate</t>
  </si>
  <si>
    <t>DivHR_rate</t>
  </si>
  <si>
    <t>Dividend Additional rate</t>
  </si>
  <si>
    <t>DivAR_rate</t>
  </si>
  <si>
    <t>Venture Capital Trust shares rate</t>
  </si>
  <si>
    <t>VCT_rate</t>
  </si>
  <si>
    <t>Enterprise Investment Scheme rate</t>
  </si>
  <si>
    <t>EIS_rate</t>
  </si>
  <si>
    <t>Seed Enterprise Investment Scheme Relief rate</t>
  </si>
  <si>
    <t>SEIS_rate</t>
  </si>
  <si>
    <t>Community Investment Tax Relief rate</t>
  </si>
  <si>
    <t>CITR_rate</t>
  </si>
  <si>
    <t xml:space="preserve">Social Investment Tax Relief rate </t>
  </si>
  <si>
    <t>SITR_rate</t>
  </si>
  <si>
    <t>Reducing Allowances rate for MCA, Alimony etc</t>
  </si>
  <si>
    <t>A_rate</t>
  </si>
  <si>
    <t>Capital Gains Entrepreneurs rate</t>
  </si>
  <si>
    <t>ER_CGT_rate</t>
  </si>
  <si>
    <t>Capital Gains Lower rate</t>
  </si>
  <si>
    <t>Lower_CGT_rate</t>
  </si>
  <si>
    <t>Capital Gains Higher rate</t>
  </si>
  <si>
    <t>Upper_CGT_rate</t>
  </si>
  <si>
    <t>Capital Gains Lower rate Residential Property</t>
  </si>
  <si>
    <t>Lower_CGT_rate_RP</t>
  </si>
  <si>
    <t>Capital Gains Higher rate Residential Property</t>
  </si>
  <si>
    <t>Upper_CGT_rate_RP</t>
  </si>
  <si>
    <t>Carried Interest</t>
  </si>
  <si>
    <t>Lower_CGT_rate_CI</t>
  </si>
  <si>
    <t>Upper_CGT_rate_CI</t>
  </si>
  <si>
    <t>Overpaid SEISS and CJRS charge rate</t>
  </si>
  <si>
    <t>Charge_rate</t>
  </si>
  <si>
    <t>week 1</t>
  </si>
  <si>
    <t>week 52</t>
  </si>
  <si>
    <t>Rate Bands</t>
  </si>
  <si>
    <t>week 53</t>
  </si>
  <si>
    <t>Savings Starting rate band</t>
  </si>
  <si>
    <t>SR_band</t>
  </si>
  <si>
    <t>last day</t>
  </si>
  <si>
    <t>Scottish starter rate band</t>
  </si>
  <si>
    <t>SSR_band</t>
  </si>
  <si>
    <t>Band between Savings rate &amp; Basic rate</t>
  </si>
  <si>
    <t>SavBR_band</t>
  </si>
  <si>
    <t>=BR_band-SR_band</t>
  </si>
  <si>
    <t>Basic rate band</t>
  </si>
  <si>
    <t>BR_band</t>
  </si>
  <si>
    <t>Scottish Basic rate band</t>
  </si>
  <si>
    <t>SBR_band</t>
  </si>
  <si>
    <t>Ratified rate</t>
  </si>
  <si>
    <t>Announced December/Ratified March</t>
  </si>
  <si>
    <t>Scottish intermediate rate band</t>
  </si>
  <si>
    <t>SIR_band</t>
  </si>
  <si>
    <t>Band between Basic Rate &amp; Higher rate</t>
  </si>
  <si>
    <t>HR_band</t>
  </si>
  <si>
    <t>=AHR_band-BR_band</t>
  </si>
  <si>
    <t>Scottish Band between Basic Rate &amp; Higher rate</t>
  </si>
  <si>
    <t>SHR_band</t>
  </si>
  <si>
    <t>=SAHR_band-SBR_band</t>
  </si>
  <si>
    <t>Scottish Advanced rate band</t>
  </si>
  <si>
    <t>SAR_band</t>
  </si>
  <si>
    <t>Additional rate band</t>
  </si>
  <si>
    <t>AHR_band</t>
  </si>
  <si>
    <t>Scottish Additional rate band</t>
  </si>
  <si>
    <t>SAHR_band</t>
  </si>
  <si>
    <t>Class 1 Primary Threshold (employee)</t>
  </si>
  <si>
    <t>Class1_PT</t>
  </si>
  <si>
    <t>Class 1 Upper Earnings Limit</t>
  </si>
  <si>
    <t>Class1_UEL</t>
  </si>
  <si>
    <t>Class 2 amount, per week</t>
  </si>
  <si>
    <t>NIC2_weekamt</t>
  </si>
  <si>
    <t>'Ordinary' rate</t>
  </si>
  <si>
    <t>Class 2 annual limit</t>
  </si>
  <si>
    <t>NIC2_annual_limit</t>
  </si>
  <si>
    <t>=NIC2_weekamt*53</t>
  </si>
  <si>
    <t>Class 2 amount, per week for Share fishermen</t>
  </si>
  <si>
    <t>NIC2SF_weekamt</t>
  </si>
  <si>
    <t>Share Fisherman</t>
  </si>
  <si>
    <t>Class 2 annual limit for Share fishermen</t>
  </si>
  <si>
    <t>NIC2SF_annual_limit</t>
  </si>
  <si>
    <t>=NIC2SF_weekamt*53</t>
  </si>
  <si>
    <t>Class 2 NIC small profit theshhold</t>
  </si>
  <si>
    <t>NIC2_SPT</t>
  </si>
  <si>
    <t>Class 2 Lower Profit Threshold</t>
  </si>
  <si>
    <t>NIC2_LPT</t>
  </si>
  <si>
    <t>Upper earnings limit (weekly)</t>
  </si>
  <si>
    <t>NIC_UEL_Wk</t>
  </si>
  <si>
    <t>Not for requirements</t>
  </si>
  <si>
    <t>Primary earnings threshold (weekly)</t>
  </si>
  <si>
    <t>NIC_PT_Wk</t>
  </si>
  <si>
    <t>Class 4 NIC upper profit limit</t>
  </si>
  <si>
    <t>NIC_UEL</t>
  </si>
  <si>
    <t>Class 4 NIC lower profit limit</t>
  </si>
  <si>
    <t>NIC_LEL</t>
  </si>
  <si>
    <t>NIC rate band</t>
  </si>
  <si>
    <t>NIC_Band</t>
  </si>
  <si>
    <t>=NIC_UEL-NIC_LEL</t>
  </si>
  <si>
    <t>Max Class 4 NIC charge</t>
  </si>
  <si>
    <t>max_NIC</t>
  </si>
  <si>
    <t>=NIC_Band*NIC_rate</t>
  </si>
  <si>
    <t>Count Contribution weeks</t>
  </si>
  <si>
    <t>Max NIC2 weeks</t>
  </si>
  <si>
    <t>NOT FOR REQUIREMENTS</t>
  </si>
  <si>
    <t>Student Loan Threshold Plan 1</t>
  </si>
  <si>
    <t>SL_limit1</t>
  </si>
  <si>
    <t>Student Loan Threshold Plan 2</t>
  </si>
  <si>
    <t>SL_limit2</t>
  </si>
  <si>
    <t>Student Loan Threshold Plan 4</t>
  </si>
  <si>
    <t>SL_limit4</t>
  </si>
  <si>
    <t>Postgraduate Loan Threshold</t>
  </si>
  <si>
    <t>PGL_limit</t>
  </si>
  <si>
    <t>Student Loan Unearned Income Threshold</t>
  </si>
  <si>
    <t>SL_UIT</t>
  </si>
  <si>
    <t>Misc</t>
  </si>
  <si>
    <t>BPA claimed</t>
  </si>
  <si>
    <t>POA threshold</t>
  </si>
  <si>
    <t>POA_limit</t>
  </si>
  <si>
    <t>ppr</t>
  </si>
  <si>
    <t>Resident Non-domicile Lower charge</t>
  </si>
  <si>
    <t>Res_non_dom_ch</t>
  </si>
  <si>
    <t>gift aid</t>
  </si>
  <si>
    <t>Resident Non-domicile Higher charge</t>
  </si>
  <si>
    <t>Res_non_dom_High_ch</t>
  </si>
  <si>
    <t>extended BR</t>
  </si>
  <si>
    <t>Non-domicile remittance basis allowance limit</t>
  </si>
  <si>
    <t>ND_limit</t>
  </si>
  <si>
    <t>HR limit</t>
  </si>
  <si>
    <t>coded out limit</t>
  </si>
  <si>
    <t>coded_out_limit</t>
  </si>
  <si>
    <t>SR band</t>
  </si>
  <si>
    <t>Child Benefit Higher Rate Threshold</t>
  </si>
  <si>
    <t>CBC_HR_threshold</t>
  </si>
  <si>
    <t xml:space="preserve">Child Benefit Taper </t>
  </si>
  <si>
    <t>CBC_taper</t>
  </si>
  <si>
    <t>Child Benefit rate</t>
  </si>
  <si>
    <t>CBC_rate</t>
  </si>
  <si>
    <t>Temporary repatriation facility</t>
  </si>
  <si>
    <t>TRF_rate</t>
  </si>
  <si>
    <t>Winter Fuel Payment Threshold</t>
  </si>
  <si>
    <t>WFP_threshold</t>
  </si>
  <si>
    <t>Allowances</t>
  </si>
  <si>
    <t>Personal Allowance</t>
  </si>
  <si>
    <t>P_A</t>
  </si>
  <si>
    <t>Age Allowance Income limit</t>
  </si>
  <si>
    <t>AA_limit</t>
  </si>
  <si>
    <t>Tapered PA limit</t>
  </si>
  <si>
    <t>PA_taper_limit</t>
  </si>
  <si>
    <t>Age Allowance Income limit excess</t>
  </si>
  <si>
    <t>AA_excess</t>
  </si>
  <si>
    <t>Personal Savings Allowance Basic Rate</t>
  </si>
  <si>
    <t>PSA_BR</t>
  </si>
  <si>
    <t>Personal Savings Allowance Higher Rate</t>
  </si>
  <si>
    <t>PSA_HR</t>
  </si>
  <si>
    <t>Personal Savings Allowance Additional Higher Rate</t>
  </si>
  <si>
    <t>PSA_AHR</t>
  </si>
  <si>
    <t>Dividend Allowance</t>
  </si>
  <si>
    <t>DA</t>
  </si>
  <si>
    <t>Transferable personal allowance</t>
  </si>
  <si>
    <t>T_P_A</t>
  </si>
  <si>
    <t>Minimum MCA</t>
  </si>
  <si>
    <t>Half MCA</t>
  </si>
  <si>
    <t>MCA_2</t>
  </si>
  <si>
    <t>Higher MCA</t>
  </si>
  <si>
    <t>H_MCA</t>
  </si>
  <si>
    <t>Blind Person's Allowance</t>
  </si>
  <si>
    <t>BPA</t>
  </si>
  <si>
    <t>Maintenance &amp; Alimony</t>
  </si>
  <si>
    <t>SMP</t>
  </si>
  <si>
    <t>=MCA</t>
  </si>
  <si>
    <t>Capital Gains annual exempt amount</t>
  </si>
  <si>
    <t>CG_exempt</t>
  </si>
  <si>
    <t>Deductions Cap</t>
  </si>
  <si>
    <t>Dedn_cap</t>
  </si>
  <si>
    <t>Deductions taper</t>
  </si>
  <si>
    <t>Dedn_taper</t>
  </si>
  <si>
    <t>Dates</t>
  </si>
  <si>
    <t>Date stuff</t>
  </si>
  <si>
    <t>January</t>
  </si>
  <si>
    <t>Year MCA due</t>
  </si>
  <si>
    <t>MCA_year</t>
  </si>
  <si>
    <t>February</t>
  </si>
  <si>
    <t>Tax year start</t>
  </si>
  <si>
    <t>Tax_year_start</t>
  </si>
  <si>
    <t>March</t>
  </si>
  <si>
    <t>Tax year end</t>
  </si>
  <si>
    <t>Tax_year_end</t>
  </si>
  <si>
    <t>April</t>
  </si>
  <si>
    <t>BCD year</t>
  </si>
  <si>
    <t>BCD_year</t>
  </si>
  <si>
    <t>May</t>
  </si>
  <si>
    <t>Taxpayer Age</t>
  </si>
  <si>
    <t>June</t>
  </si>
  <si>
    <t>July</t>
  </si>
  <si>
    <t>August</t>
  </si>
  <si>
    <t>Tax Year</t>
  </si>
  <si>
    <t>Tax_year</t>
  </si>
  <si>
    <t>September</t>
  </si>
  <si>
    <t>Next tax year</t>
  </si>
  <si>
    <t>next_year</t>
  </si>
  <si>
    <t>October</t>
  </si>
  <si>
    <t>Wife's Age</t>
  </si>
  <si>
    <t>Last tax year</t>
  </si>
  <si>
    <t>last_year</t>
  </si>
  <si>
    <t>November</t>
  </si>
  <si>
    <t>December</t>
  </si>
  <si>
    <t>Pension Charges</t>
  </si>
  <si>
    <t>LTA charge - Lump sum</t>
  </si>
  <si>
    <t>LTA_lump</t>
  </si>
  <si>
    <t>LTA charge - Pension</t>
  </si>
  <si>
    <t>LTA_pension</t>
  </si>
  <si>
    <t>Welsh Date stuff</t>
  </si>
  <si>
    <t>Ionawr</t>
  </si>
  <si>
    <t>Annual Allowance charge threshold</t>
  </si>
  <si>
    <t>Pen_AA_limit</t>
  </si>
  <si>
    <t>Chwefror</t>
  </si>
  <si>
    <t>Money Purchase Annual Allowance charge threshold (lower allowance)</t>
  </si>
  <si>
    <t>Pen_MPAA_limit</t>
  </si>
  <si>
    <t>Mawrth</t>
  </si>
  <si>
    <t>Annual Allowance charge Rate</t>
  </si>
  <si>
    <t>Pen_AA_rate</t>
  </si>
  <si>
    <t>Ebrill</t>
  </si>
  <si>
    <t xml:space="preserve">Unauthorised payments </t>
  </si>
  <si>
    <t>Pen_Upayts</t>
  </si>
  <si>
    <t>Mai</t>
  </si>
  <si>
    <t>Unauthorised payments -surcharge</t>
  </si>
  <si>
    <t>Upayts_surcharge</t>
  </si>
  <si>
    <t>Mehefin</t>
  </si>
  <si>
    <t>Short service refund Lower Rate</t>
  </si>
  <si>
    <t>SSR_lower_rate</t>
  </si>
  <si>
    <t>Gorffennaf</t>
  </si>
  <si>
    <t>Short service refund Lower Rate band</t>
  </si>
  <si>
    <t>SSR_lower_band</t>
  </si>
  <si>
    <t>Awst</t>
  </si>
  <si>
    <t>Short service refund charge Higher Rate</t>
  </si>
  <si>
    <t>SSR_higher_rate</t>
  </si>
  <si>
    <t>Medi</t>
  </si>
  <si>
    <t>Special lump sum death benefit Rate</t>
  </si>
  <si>
    <t>SLSDB_rate</t>
  </si>
  <si>
    <t>Hydref</t>
  </si>
  <si>
    <t>Overseas Transfer Charge</t>
  </si>
  <si>
    <t>OTC_rate</t>
  </si>
  <si>
    <t>Tachwedd</t>
  </si>
  <si>
    <t>Minimum relevant earnings</t>
  </si>
  <si>
    <t>min_relevant_earns</t>
  </si>
  <si>
    <t>Rhagfyr</t>
  </si>
  <si>
    <t>NIC</t>
  </si>
  <si>
    <t>MCA Age</t>
  </si>
  <si>
    <t>Class 4 Exempt</t>
  </si>
  <si>
    <t>Class 2 Voluntary Deductions</t>
  </si>
  <si>
    <t>MCA Claim Type</t>
  </si>
  <si>
    <t>1) Not Claimed</t>
  </si>
  <si>
    <t>Older_spouse</t>
  </si>
  <si>
    <t>months not married</t>
  </si>
  <si>
    <t>Class 4</t>
  </si>
  <si>
    <t>exempt</t>
  </si>
  <si>
    <t>Class 2</t>
  </si>
  <si>
    <t>Voluntary Class 2</t>
  </si>
  <si>
    <t>Key</t>
  </si>
  <si>
    <t>Version change Prime colours per change log</t>
  </si>
  <si>
    <t>Roll forward annual changes OE</t>
  </si>
  <si>
    <t>Furnished Holiday lettings Regime Repeal</t>
  </si>
  <si>
    <t>ORIP Repeal</t>
  </si>
  <si>
    <t>Non UK Domicile reform</t>
  </si>
  <si>
    <t>SA Data Gaps Start and End dates</t>
  </si>
  <si>
    <t>SA Data Gaps Dividends</t>
  </si>
  <si>
    <t>CGT rate changes</t>
  </si>
  <si>
    <t xml:space="preserve">Green First year Capital Allowances </t>
  </si>
  <si>
    <t>Pensions programme - Low Earners Anomaly</t>
  </si>
  <si>
    <t>SRIT</t>
  </si>
  <si>
    <t>WRIT</t>
  </si>
  <si>
    <t>Change Reason</t>
  </si>
  <si>
    <t>Worksheet changed</t>
  </si>
  <si>
    <t>What was changed</t>
  </si>
  <si>
    <t>Notes</t>
  </si>
  <si>
    <t>Changes v0.0.1</t>
  </si>
  <si>
    <t>v0.0.1 created</t>
  </si>
  <si>
    <t>NONE</t>
  </si>
  <si>
    <t>Taken from MTR_Tester-2024-25-V-2.4.0</t>
  </si>
  <si>
    <t>This is the baseline 13/01/2025</t>
  </si>
  <si>
    <t>roll forward</t>
  </si>
  <si>
    <t>Changes Log</t>
  </si>
  <si>
    <t>Version change Prime colours per change log updated</t>
  </si>
  <si>
    <t>Previous Year PY changes removed</t>
  </si>
  <si>
    <t>Test Case index</t>
  </si>
  <si>
    <t>Previous Year PY changes highlighting removed</t>
  </si>
  <si>
    <t>tc_template</t>
  </si>
  <si>
    <t>Changes v0.1.0</t>
  </si>
  <si>
    <t>Taken from MTR_Tester-2025-26 - V0.0.1</t>
  </si>
  <si>
    <t>Data tab</t>
  </si>
  <si>
    <t xml:space="preserve">Previous Year PY changes/highlighting removed </t>
  </si>
  <si>
    <r>
      <t>NIC2_weekamt changed from "</t>
    </r>
    <r>
      <rPr>
        <b/>
        <sz val="10"/>
        <color rgb="FFFF0000"/>
        <rFont val="Arial"/>
        <family val="2"/>
      </rPr>
      <t>3.45</t>
    </r>
    <r>
      <rPr>
        <sz val="10"/>
        <color theme="1"/>
        <rFont val="Arial"/>
        <family val="2"/>
      </rPr>
      <t>" to "</t>
    </r>
    <r>
      <rPr>
        <b/>
        <sz val="10"/>
        <color rgb="FF00B050"/>
        <rFont val="Arial"/>
        <family val="2"/>
      </rPr>
      <t>3.50</t>
    </r>
    <r>
      <rPr>
        <sz val="10"/>
        <color theme="1"/>
        <rFont val="Arial"/>
        <family val="2"/>
      </rPr>
      <t>"</t>
    </r>
  </si>
  <si>
    <r>
      <t>NIC2_annual_limit changed from "</t>
    </r>
    <r>
      <rPr>
        <b/>
        <sz val="10"/>
        <color rgb="FFFF0000"/>
        <rFont val="Arial"/>
        <family val="2"/>
      </rPr>
      <t>182.85</t>
    </r>
    <r>
      <rPr>
        <sz val="10"/>
        <color theme="1"/>
        <rFont val="Arial"/>
        <family val="2"/>
      </rPr>
      <t>" to "</t>
    </r>
    <r>
      <rPr>
        <b/>
        <sz val="10"/>
        <color rgb="FF00B050"/>
        <rFont val="Arial"/>
        <family val="2"/>
      </rPr>
      <t>185.50</t>
    </r>
    <r>
      <rPr>
        <sz val="10"/>
        <color theme="1"/>
        <rFont val="Arial"/>
        <family val="2"/>
      </rPr>
      <t>"</t>
    </r>
  </si>
  <si>
    <r>
      <t>NIC2SF_weekamt changed from "</t>
    </r>
    <r>
      <rPr>
        <b/>
        <sz val="10"/>
        <color rgb="FF00B050"/>
        <rFont val="Arial"/>
        <family val="2"/>
      </rPr>
      <t>4.10</t>
    </r>
    <r>
      <rPr>
        <sz val="10"/>
        <color theme="1"/>
        <rFont val="Arial"/>
        <family val="2"/>
      </rPr>
      <t>" to "</t>
    </r>
    <r>
      <rPr>
        <b/>
        <sz val="10"/>
        <color rgb="FF00B050"/>
        <rFont val="Arial"/>
        <family val="2"/>
      </rPr>
      <t>4.15</t>
    </r>
    <r>
      <rPr>
        <sz val="10"/>
        <color theme="1"/>
        <rFont val="Arial"/>
        <family val="2"/>
      </rPr>
      <t>"</t>
    </r>
  </si>
  <si>
    <r>
      <t>NIC2SF_annual_limit changed from "</t>
    </r>
    <r>
      <rPr>
        <b/>
        <sz val="10"/>
        <color rgb="FFFF0000"/>
        <rFont val="Arial"/>
        <family val="2"/>
      </rPr>
      <t>217.30</t>
    </r>
    <r>
      <rPr>
        <sz val="10"/>
        <color theme="1"/>
        <rFont val="Arial"/>
        <family val="2"/>
      </rPr>
      <t>" to "</t>
    </r>
    <r>
      <rPr>
        <b/>
        <sz val="10"/>
        <color rgb="FF00B050"/>
        <rFont val="Arial"/>
        <family val="2"/>
      </rPr>
      <t>219.95</t>
    </r>
    <r>
      <rPr>
        <sz val="10"/>
        <color theme="1"/>
        <rFont val="Arial"/>
        <family val="2"/>
      </rPr>
      <t>"</t>
    </r>
  </si>
  <si>
    <r>
      <t>NIC2_SPT changed from "</t>
    </r>
    <r>
      <rPr>
        <b/>
        <sz val="10"/>
        <color rgb="FFFF0000"/>
        <rFont val="Arial"/>
        <family val="2"/>
      </rPr>
      <t>6725</t>
    </r>
    <r>
      <rPr>
        <sz val="10"/>
        <color theme="1"/>
        <rFont val="Arial"/>
        <family val="2"/>
      </rPr>
      <t>" to "</t>
    </r>
    <r>
      <rPr>
        <b/>
        <sz val="10"/>
        <color rgb="FF00B050"/>
        <rFont val="Arial"/>
        <family val="2"/>
      </rPr>
      <t>6845</t>
    </r>
    <r>
      <rPr>
        <sz val="10"/>
        <color theme="1"/>
        <rFont val="Arial"/>
        <family val="2"/>
      </rPr>
      <t>"</t>
    </r>
  </si>
  <si>
    <r>
      <t>SSR_band changed from "</t>
    </r>
    <r>
      <rPr>
        <b/>
        <sz val="10"/>
        <color rgb="FFFF0000"/>
        <rFont val="Arial"/>
        <family val="2"/>
      </rPr>
      <t>2,306</t>
    </r>
    <r>
      <rPr>
        <sz val="10"/>
        <rFont val="Arial"/>
        <family val="2"/>
      </rPr>
      <t>" to "</t>
    </r>
    <r>
      <rPr>
        <b/>
        <sz val="10"/>
        <color rgb="FF00B050"/>
        <rFont val="Arial"/>
        <family val="2"/>
      </rPr>
      <t>2,827</t>
    </r>
    <r>
      <rPr>
        <sz val="10"/>
        <rFont val="Arial"/>
        <family val="2"/>
      </rPr>
      <t>"</t>
    </r>
  </si>
  <si>
    <r>
      <t>SBR_band changed from "</t>
    </r>
    <r>
      <rPr>
        <b/>
        <sz val="10"/>
        <color rgb="FFFF0000"/>
        <rFont val="Arial"/>
        <family val="2"/>
      </rPr>
      <t>11,685</t>
    </r>
    <r>
      <rPr>
        <sz val="10"/>
        <rFont val="Arial"/>
        <family val="2"/>
      </rPr>
      <t>" to "</t>
    </r>
    <r>
      <rPr>
        <b/>
        <sz val="10"/>
        <color rgb="FF00B050"/>
        <rFont val="Arial"/>
        <family val="2"/>
      </rPr>
      <t>12,094</t>
    </r>
    <r>
      <rPr>
        <sz val="10"/>
        <rFont val="Arial"/>
        <family val="2"/>
      </rPr>
      <t>"</t>
    </r>
  </si>
  <si>
    <r>
      <t>SIR_band changed from "</t>
    </r>
    <r>
      <rPr>
        <b/>
        <sz val="10"/>
        <color rgb="FFFF0000"/>
        <rFont val="Arial"/>
        <family val="2"/>
      </rPr>
      <t>17,101"</t>
    </r>
    <r>
      <rPr>
        <sz val="10"/>
        <rFont val="Arial"/>
        <family val="2"/>
      </rPr>
      <t xml:space="preserve"> to "</t>
    </r>
    <r>
      <rPr>
        <b/>
        <sz val="10"/>
        <color rgb="FF00B050"/>
        <rFont val="Arial"/>
        <family val="2"/>
      </rPr>
      <t>16,171</t>
    </r>
    <r>
      <rPr>
        <sz val="10"/>
        <rFont val="Arial"/>
        <family val="2"/>
      </rPr>
      <t>"</t>
    </r>
  </si>
  <si>
    <r>
      <t>SL_limit1 changed from "</t>
    </r>
    <r>
      <rPr>
        <b/>
        <sz val="10"/>
        <color rgb="FFFF0000"/>
        <rFont val="Arial"/>
        <family val="2"/>
      </rPr>
      <t>24,990</t>
    </r>
    <r>
      <rPr>
        <sz val="10"/>
        <rFont val="Arial"/>
        <family val="2"/>
      </rPr>
      <t>" to "</t>
    </r>
    <r>
      <rPr>
        <b/>
        <sz val="10"/>
        <color rgb="FF00B050"/>
        <rFont val="Arial"/>
        <family val="2"/>
      </rPr>
      <t>26,065</t>
    </r>
    <r>
      <rPr>
        <sz val="10"/>
        <rFont val="Arial"/>
        <family val="2"/>
      </rPr>
      <t>"</t>
    </r>
  </si>
  <si>
    <r>
      <t>SL_limit1 changed from "</t>
    </r>
    <r>
      <rPr>
        <b/>
        <sz val="10"/>
        <color rgb="FFFF0000"/>
        <rFont val="Arial"/>
        <family val="2"/>
      </rPr>
      <t>27,295</t>
    </r>
    <r>
      <rPr>
        <sz val="10"/>
        <rFont val="Arial"/>
        <family val="2"/>
      </rPr>
      <t>" to "</t>
    </r>
    <r>
      <rPr>
        <b/>
        <sz val="10"/>
        <color rgb="FF00B050"/>
        <rFont val="Arial"/>
        <family val="2"/>
      </rPr>
      <t>28,470</t>
    </r>
    <r>
      <rPr>
        <sz val="10"/>
        <rFont val="Arial"/>
        <family val="2"/>
      </rPr>
      <t>"</t>
    </r>
  </si>
  <si>
    <r>
      <t>SL_limit1 changed from "</t>
    </r>
    <r>
      <rPr>
        <b/>
        <sz val="10"/>
        <color rgb="FFFF0000"/>
        <rFont val="Arial"/>
        <family val="2"/>
      </rPr>
      <t>31,395</t>
    </r>
    <r>
      <rPr>
        <sz val="10"/>
        <rFont val="Arial"/>
        <family val="2"/>
      </rPr>
      <t>" to "</t>
    </r>
    <r>
      <rPr>
        <b/>
        <sz val="10"/>
        <color rgb="FF00B050"/>
        <rFont val="Arial"/>
        <family val="2"/>
      </rPr>
      <t>32,745</t>
    </r>
    <r>
      <rPr>
        <sz val="10"/>
        <rFont val="Arial"/>
        <family val="2"/>
      </rPr>
      <t>"</t>
    </r>
  </si>
  <si>
    <r>
      <t>MCA changed from "</t>
    </r>
    <r>
      <rPr>
        <b/>
        <sz val="10"/>
        <color rgb="FFFF0000"/>
        <rFont val="Arial"/>
        <family val="2"/>
      </rPr>
      <t>4,280</t>
    </r>
    <r>
      <rPr>
        <sz val="10"/>
        <rFont val="Arial"/>
        <family val="2"/>
      </rPr>
      <t>" to "</t>
    </r>
    <r>
      <rPr>
        <b/>
        <sz val="10"/>
        <color rgb="FF00B050"/>
        <rFont val="Arial"/>
        <family val="2"/>
      </rPr>
      <t>4,360</t>
    </r>
    <r>
      <rPr>
        <sz val="10"/>
        <rFont val="Arial"/>
        <family val="2"/>
      </rPr>
      <t>"</t>
    </r>
  </si>
  <si>
    <r>
      <t>MCA_2 changed from "</t>
    </r>
    <r>
      <rPr>
        <b/>
        <sz val="10"/>
        <color rgb="FFFF0000"/>
        <rFont val="Arial"/>
        <family val="2"/>
      </rPr>
      <t>2,140</t>
    </r>
    <r>
      <rPr>
        <sz val="10"/>
        <rFont val="Arial"/>
        <family val="2"/>
      </rPr>
      <t>" to</t>
    </r>
    <r>
      <rPr>
        <b/>
        <sz val="10"/>
        <color theme="9" tint="-0.249977111117893"/>
        <rFont val="Arial"/>
        <family val="2"/>
      </rPr>
      <t xml:space="preserve"> "</t>
    </r>
    <r>
      <rPr>
        <b/>
        <sz val="10"/>
        <color rgb="FF00B050"/>
        <rFont val="Arial"/>
        <family val="2"/>
      </rPr>
      <t>2,180</t>
    </r>
    <r>
      <rPr>
        <sz val="10"/>
        <rFont val="Arial"/>
        <family val="2"/>
      </rPr>
      <t>"</t>
    </r>
  </si>
  <si>
    <r>
      <t>H_MCA  changed from "</t>
    </r>
    <r>
      <rPr>
        <b/>
        <sz val="10"/>
        <color rgb="FFFF0000"/>
        <rFont val="Arial"/>
        <family val="2"/>
      </rPr>
      <t>11,080</t>
    </r>
    <r>
      <rPr>
        <sz val="10"/>
        <rFont val="Arial"/>
        <family val="2"/>
      </rPr>
      <t>" to "</t>
    </r>
    <r>
      <rPr>
        <b/>
        <sz val="10"/>
        <color rgb="FF00B050"/>
        <rFont val="Arial"/>
        <family val="2"/>
      </rPr>
      <t>11,270</t>
    </r>
    <r>
      <rPr>
        <sz val="10"/>
        <rFont val="Arial"/>
        <family val="2"/>
      </rPr>
      <t>"</t>
    </r>
  </si>
  <si>
    <r>
      <t>BPA  changed from "</t>
    </r>
    <r>
      <rPr>
        <b/>
        <sz val="10"/>
        <color rgb="FFFF0000"/>
        <rFont val="Arial"/>
        <family val="2"/>
      </rPr>
      <t>3,070</t>
    </r>
    <r>
      <rPr>
        <sz val="10"/>
        <rFont val="Arial"/>
        <family val="2"/>
      </rPr>
      <t>" to "</t>
    </r>
    <r>
      <rPr>
        <b/>
        <sz val="10"/>
        <color rgb="FF00B050"/>
        <rFont val="Arial"/>
        <family val="2"/>
      </rPr>
      <t>3,130</t>
    </r>
    <r>
      <rPr>
        <sz val="10"/>
        <rFont val="Arial"/>
        <family val="2"/>
      </rPr>
      <t>"</t>
    </r>
  </si>
  <si>
    <r>
      <t>SMP  changed from</t>
    </r>
    <r>
      <rPr>
        <b/>
        <sz val="10"/>
        <color rgb="FFFF0000"/>
        <rFont val="Arial"/>
        <family val="2"/>
      </rPr>
      <t xml:space="preserve"> "4,280</t>
    </r>
    <r>
      <rPr>
        <sz val="10"/>
        <rFont val="Arial"/>
        <family val="2"/>
      </rPr>
      <t>" to</t>
    </r>
    <r>
      <rPr>
        <b/>
        <sz val="10"/>
        <color theme="9" tint="-0.249977111117893"/>
        <rFont val="Arial"/>
        <family val="2"/>
      </rPr>
      <t xml:space="preserve"> "</t>
    </r>
    <r>
      <rPr>
        <b/>
        <sz val="10"/>
        <color rgb="FF00B050"/>
        <rFont val="Arial"/>
        <family val="2"/>
      </rPr>
      <t>4,360</t>
    </r>
    <r>
      <rPr>
        <sz val="10"/>
        <rFont val="Arial"/>
        <family val="2"/>
      </rPr>
      <t>"</t>
    </r>
  </si>
  <si>
    <r>
      <t>Lower_CGT_rate changed from "</t>
    </r>
    <r>
      <rPr>
        <b/>
        <sz val="10"/>
        <color rgb="FFFF0000"/>
        <rFont val="Arial"/>
        <family val="2"/>
      </rPr>
      <t>10%</t>
    </r>
    <r>
      <rPr>
        <sz val="10"/>
        <rFont val="Arial"/>
        <family val="2"/>
      </rPr>
      <t>" to "</t>
    </r>
    <r>
      <rPr>
        <b/>
        <sz val="10"/>
        <color rgb="FF00B050"/>
        <rFont val="Arial"/>
        <family val="2"/>
      </rPr>
      <t>18</t>
    </r>
    <r>
      <rPr>
        <sz val="10"/>
        <rFont val="Arial"/>
        <family val="2"/>
      </rPr>
      <t>%"</t>
    </r>
  </si>
  <si>
    <r>
      <t>Upper_CGT_rate changed from "</t>
    </r>
    <r>
      <rPr>
        <b/>
        <sz val="10"/>
        <color rgb="FFFF0000"/>
        <rFont val="Arial"/>
        <family val="2"/>
      </rPr>
      <t>20%</t>
    </r>
    <r>
      <rPr>
        <sz val="10"/>
        <rFont val="Arial"/>
        <family val="2"/>
      </rPr>
      <t>" to "</t>
    </r>
    <r>
      <rPr>
        <b/>
        <sz val="10"/>
        <color rgb="FF00B050"/>
        <rFont val="Arial"/>
        <family val="2"/>
      </rPr>
      <t>24%</t>
    </r>
    <r>
      <rPr>
        <sz val="10"/>
        <rFont val="Arial"/>
        <family val="2"/>
      </rPr>
      <t>"</t>
    </r>
  </si>
  <si>
    <r>
      <t>ER_CGT_rate changed from "</t>
    </r>
    <r>
      <rPr>
        <b/>
        <sz val="10"/>
        <color rgb="FFFF0000"/>
        <rFont val="Arial"/>
        <family val="2"/>
      </rPr>
      <t>10%</t>
    </r>
    <r>
      <rPr>
        <sz val="10"/>
        <rFont val="Arial"/>
        <family val="2"/>
      </rPr>
      <t>" to "</t>
    </r>
    <r>
      <rPr>
        <b/>
        <sz val="10"/>
        <color rgb="FF00B050"/>
        <rFont val="Arial"/>
        <family val="2"/>
      </rPr>
      <t>14%</t>
    </r>
    <r>
      <rPr>
        <sz val="10"/>
        <rFont val="Arial"/>
        <family val="2"/>
      </rPr>
      <t>"</t>
    </r>
  </si>
  <si>
    <t>Changes v1.0.0</t>
  </si>
  <si>
    <t>test case enhancements and FHL</t>
  </si>
  <si>
    <t>component sheets</t>
  </si>
  <si>
    <t>changes made for a large number of test cases</t>
  </si>
  <si>
    <t>Furnished holiday lettings</t>
  </si>
  <si>
    <t>Enhancements</t>
  </si>
  <si>
    <t>Formula in cell F101 (c17.21) changed to only calculate when resident</t>
  </si>
  <si>
    <r>
      <t>c1.28 changed from "</t>
    </r>
    <r>
      <rPr>
        <b/>
        <sz val="9"/>
        <color rgb="FFFF0000"/>
        <rFont val="Arial"/>
        <family val="2"/>
      </rPr>
      <t>Total all instances (lower of PRO13 and PRO14)</t>
    </r>
    <r>
      <rPr>
        <sz val="9"/>
        <rFont val="Arial"/>
        <family val="2"/>
      </rPr>
      <t>" to "</t>
    </r>
    <r>
      <rPr>
        <b/>
        <sz val="9"/>
        <color rgb="FF00B050"/>
        <rFont val="Arial"/>
        <family val="2"/>
      </rPr>
      <t>Set to zero</t>
    </r>
    <r>
      <rPr>
        <sz val="9"/>
        <rFont val="Arial"/>
        <family val="2"/>
      </rPr>
      <t>"</t>
    </r>
  </si>
  <si>
    <r>
      <t>c1.29 changed from "</t>
    </r>
    <r>
      <rPr>
        <b/>
        <sz val="9"/>
        <color rgb="FFFF0000"/>
        <rFont val="Arial"/>
        <family val="2"/>
      </rPr>
      <t>Total all instances (PRO15)</t>
    </r>
    <r>
      <rPr>
        <sz val="9"/>
        <rFont val="Arial"/>
        <family val="2"/>
      </rPr>
      <t>" to "</t>
    </r>
    <r>
      <rPr>
        <b/>
        <sz val="9"/>
        <color rgb="FF00B050"/>
        <rFont val="Arial"/>
        <family val="2"/>
      </rPr>
      <t>Set to zero</t>
    </r>
    <r>
      <rPr>
        <sz val="9"/>
        <rFont val="Arial"/>
        <family val="2"/>
      </rPr>
      <t>"</t>
    </r>
  </si>
  <si>
    <r>
      <t>c1.30 changed from "</t>
    </r>
    <r>
      <rPr>
        <b/>
        <sz val="9"/>
        <color rgb="FFFF0000"/>
        <rFont val="Arial"/>
        <family val="2"/>
      </rPr>
      <t>c1.29 + c1.28</t>
    </r>
    <r>
      <rPr>
        <sz val="9"/>
        <rFont val="Arial"/>
        <family val="2"/>
      </rPr>
      <t>" to "</t>
    </r>
    <r>
      <rPr>
        <b/>
        <sz val="9"/>
        <color rgb="FF00B050"/>
        <rFont val="Arial"/>
        <family val="2"/>
      </rPr>
      <t>Set to zero</t>
    </r>
    <r>
      <rPr>
        <sz val="9"/>
        <rFont val="Arial"/>
        <family val="2"/>
      </rPr>
      <t>"</t>
    </r>
  </si>
  <si>
    <r>
      <t>c1.34 changed from "</t>
    </r>
    <r>
      <rPr>
        <b/>
        <sz val="9"/>
        <color rgb="FFFF0000"/>
        <rFont val="Arial"/>
        <family val="2"/>
      </rPr>
      <t>c1.30 + c1.33</t>
    </r>
    <r>
      <rPr>
        <sz val="9"/>
        <rFont val="Arial"/>
        <family val="2"/>
      </rPr>
      <t>" to "</t>
    </r>
    <r>
      <rPr>
        <b/>
        <sz val="9"/>
        <color rgb="FF00B050"/>
        <rFont val="Arial"/>
        <family val="2"/>
      </rPr>
      <t>Set to zero</t>
    </r>
    <r>
      <rPr>
        <sz val="9"/>
        <rFont val="Arial"/>
        <family val="2"/>
      </rPr>
      <t>"</t>
    </r>
  </si>
  <si>
    <r>
      <t>c1.57 changed from "c1.9 + c1.10 + c1.17 + c1.20 + c1.27 +</t>
    </r>
    <r>
      <rPr>
        <b/>
        <sz val="9"/>
        <color rgb="FFFF0000"/>
        <rFont val="Arial"/>
        <family val="2"/>
      </rPr>
      <t xml:space="preserve"> c1.34</t>
    </r>
    <r>
      <rPr>
        <sz val="9"/>
        <rFont val="Arial"/>
        <family val="2"/>
      </rPr>
      <t xml:space="preserve"> + c1.35a + c1.40 + c1.44 + c1.51 + c1.52 + c1.56" to "c1.9 + c1.10 + c1.17 + c1.20 + c1.27 + </t>
    </r>
    <r>
      <rPr>
        <b/>
        <sz val="9"/>
        <color rgb="FF00B050"/>
        <rFont val="Arial"/>
        <family val="2"/>
      </rPr>
      <t>c1.33</t>
    </r>
    <r>
      <rPr>
        <sz val="9"/>
        <rFont val="Arial"/>
        <family val="2"/>
      </rPr>
      <t xml:space="preserve"> + c1.35a + c1.40 + c1.44 + c1.51 + c1.52 + c1.56"</t>
    </r>
  </si>
  <si>
    <r>
      <t>c4.27 changed from "</t>
    </r>
    <r>
      <rPr>
        <b/>
        <sz val="9"/>
        <color rgb="FFFF0000"/>
        <rFont val="Arial"/>
        <family val="2"/>
      </rPr>
      <t>from c1.28</t>
    </r>
    <r>
      <rPr>
        <sz val="9"/>
        <rFont val="Arial"/>
        <family val="2"/>
      </rPr>
      <t>" to "</t>
    </r>
    <r>
      <rPr>
        <b/>
        <sz val="9"/>
        <color rgb="FF00B050"/>
        <rFont val="Arial"/>
        <family val="2"/>
      </rPr>
      <t>Set to zero</t>
    </r>
    <r>
      <rPr>
        <sz val="9"/>
        <rFont val="Arial"/>
        <family val="2"/>
      </rPr>
      <t>"</t>
    </r>
  </si>
  <si>
    <r>
      <t>c4.39 changed from "c4.1 + c4.4 + c4.5 + c4.6 + c4.7 + c4.8 + c4.13 + c4.14 + c4.19 + c4.20 + c4.24.1 +</t>
    </r>
    <r>
      <rPr>
        <b/>
        <sz val="9"/>
        <color rgb="FFFF0000"/>
        <rFont val="Arial"/>
        <family val="2"/>
      </rPr>
      <t xml:space="preserve"> c4.27 +</t>
    </r>
    <r>
      <rPr>
        <sz val="9"/>
        <rFont val="Arial"/>
        <family val="2"/>
      </rPr>
      <t xml:space="preserve"> c4.28 + c4.31 + c4.33 + c4.34 + c4.35 + c4.36 + c4.37 + c4.38 + c4.37.1" to "c4.1 + c4.4 + c4.5 + c4.6 + c4.7 + c4.8 + c4.13 + c4.14 + c4.19 + c4.20 + c4.24.1 + c4.28 + c4.31 + c4.33 + c4.34 + c4.35 + c4.36 + c4.37 + c4.38 + c4.37.1"</t>
    </r>
  </si>
  <si>
    <r>
      <t xml:space="preserve">c4.46 changed from "c4.2 + c4.4 + c4.26 + </t>
    </r>
    <r>
      <rPr>
        <b/>
        <sz val="9"/>
        <color rgb="FFFF0000"/>
        <rFont val="Arial"/>
        <family val="2"/>
      </rPr>
      <t>c4.27 +</t>
    </r>
    <r>
      <rPr>
        <sz val="9"/>
        <rFont val="Arial"/>
        <family val="2"/>
      </rPr>
      <t xml:space="preserve"> c4.28 + c4.33 + c4.35 + c4.37.1" to "c4.2 + c4.4 + c4.26 + c4.28 + c4.33 + c4.35 + c4.37.1"</t>
    </r>
  </si>
  <si>
    <r>
      <t xml:space="preserve">c4.63b changed from "c4.5 + c4.7 + c4.13 + c4.19 + </t>
    </r>
    <r>
      <rPr>
        <b/>
        <sz val="9"/>
        <color rgb="FFFF0000"/>
        <rFont val="Arial"/>
        <family val="2"/>
      </rPr>
      <t>c4.27 +</t>
    </r>
    <r>
      <rPr>
        <sz val="9"/>
        <rFont val="Arial"/>
        <family val="2"/>
      </rPr>
      <t xml:space="preserve"> c4.28 + c4.33 + c4.35" to "c4.5 + c4.7 + c4.13 + c4.19 + c4.28 + c4.33 + c4.35"</t>
    </r>
  </si>
  <si>
    <t>S loans (c27)</t>
  </si>
  <si>
    <r>
      <t>c27.15 changed from "</t>
    </r>
    <r>
      <rPr>
        <b/>
        <sz val="10"/>
        <color rgb="FFFF0000"/>
        <rFont val="Arial"/>
        <family val="2"/>
      </rPr>
      <t>Total all instances of PRO15</t>
    </r>
    <r>
      <rPr>
        <sz val="10"/>
        <color theme="1"/>
        <rFont val="Arial"/>
        <family val="2"/>
      </rPr>
      <t>" to "</t>
    </r>
    <r>
      <rPr>
        <b/>
        <sz val="10"/>
        <color rgb="FF00B050"/>
        <rFont val="Arial"/>
        <family val="2"/>
      </rPr>
      <t>Set to zero</t>
    </r>
    <r>
      <rPr>
        <sz val="10"/>
        <color theme="1"/>
        <rFont val="Arial"/>
        <family val="2"/>
      </rPr>
      <t>"</t>
    </r>
  </si>
  <si>
    <t>IRCX_template</t>
  </si>
  <si>
    <r>
      <t>L10 income-IFP MTR Calculation box changed from "</t>
    </r>
    <r>
      <rPr>
        <b/>
        <sz val="9"/>
        <color rgb="FFFF0000"/>
        <rFont val="Arial"/>
        <family val="2"/>
      </rPr>
      <t>c1.34</t>
    </r>
    <r>
      <rPr>
        <sz val="9"/>
        <rFont val="Arial"/>
        <family val="2"/>
      </rPr>
      <t>" to "</t>
    </r>
    <r>
      <rPr>
        <b/>
        <sz val="9"/>
        <color rgb="FF00B050"/>
        <rFont val="Arial"/>
        <family val="2"/>
      </rPr>
      <t>c1.33</t>
    </r>
    <r>
      <rPr>
        <sz val="9"/>
        <rFont val="Arial"/>
        <family val="2"/>
      </rPr>
      <t>"</t>
    </r>
  </si>
  <si>
    <t>c5 boxes 5 - 19 struck through</t>
  </si>
  <si>
    <t>target</t>
  </si>
  <si>
    <t>updated</t>
  </si>
  <si>
    <r>
      <t>c1.8.1 changed from "</t>
    </r>
    <r>
      <rPr>
        <b/>
        <sz val="9"/>
        <color rgb="FFFF0000"/>
        <rFont val="Arial"/>
        <family val="2"/>
      </rPr>
      <t>Total all instances (EMP3.1)</t>
    </r>
    <r>
      <rPr>
        <sz val="9"/>
        <rFont val="Arial"/>
        <family val="2"/>
      </rPr>
      <t>" to "</t>
    </r>
    <r>
      <rPr>
        <b/>
        <sz val="9"/>
        <color rgb="FF00B050"/>
        <rFont val="Arial"/>
        <family val="2"/>
      </rPr>
      <t>Set to zero</t>
    </r>
    <r>
      <rPr>
        <sz val="9"/>
        <rFont val="Arial"/>
        <family val="2"/>
      </rPr>
      <t>"</t>
    </r>
  </si>
  <si>
    <r>
      <t xml:space="preserve">c1.9 changed from "(c1.4 + c1.5 </t>
    </r>
    <r>
      <rPr>
        <b/>
        <sz val="9"/>
        <color rgb="FFFF0000"/>
        <rFont val="Arial"/>
        <family val="2"/>
      </rPr>
      <t>+ c1.8.1</t>
    </r>
    <r>
      <rPr>
        <sz val="9"/>
        <rFont val="Arial"/>
        <family val="2"/>
      </rPr>
      <t>) minus c1.8" to "(c1.4 + c1.5) minus c1.8"</t>
    </r>
  </si>
  <si>
    <r>
      <t>c3.21.1 changed from "</t>
    </r>
    <r>
      <rPr>
        <b/>
        <sz val="9"/>
        <color rgb="FFFF0000"/>
        <rFont val="Arial"/>
        <family val="2"/>
      </rPr>
      <t>(c1.57 + c1.58 + c2.19 + c3.15 + c3.18 + c3.19 + c3.20) minus c1.8.1</t>
    </r>
    <r>
      <rPr>
        <sz val="9"/>
        <rFont val="Arial"/>
        <family val="2"/>
      </rPr>
      <t>" to "</t>
    </r>
    <r>
      <rPr>
        <b/>
        <sz val="9"/>
        <color rgb="FF00B050"/>
        <rFont val="Arial"/>
        <family val="2"/>
      </rPr>
      <t>Set to zero</t>
    </r>
    <r>
      <rPr>
        <sz val="9"/>
        <rFont val="Arial"/>
        <family val="2"/>
      </rPr>
      <t>"</t>
    </r>
  </si>
  <si>
    <t>C2 7.1-7.5 added</t>
  </si>
  <si>
    <t>C3 5.1 &amp; 6.1 added (FSE)</t>
  </si>
  <si>
    <t>C3 4.1 &amp; 5.1 added (SSE)</t>
  </si>
  <si>
    <t>C4 2.1 &amp; 3.1 added (FPS)</t>
  </si>
  <si>
    <t>C4 2.1 &amp; 3.1 added (SPS)</t>
  </si>
  <si>
    <t xml:space="preserve">TC8 &amp; TC21 updated </t>
  </si>
  <si>
    <t>new box "c4.57.1" "from REL1"</t>
  </si>
  <si>
    <t>new box "c4.57.2" "c1.9 + c1.10 + c1.17 + c1.20 + c1.27 + c1.53 + c1.58 + c4.40.1 + c4.40.2"</t>
  </si>
  <si>
    <t>new box "c4.57.3" "higher of min_relevant_earns (£3,600) and c4.57.2"</t>
  </si>
  <si>
    <r>
      <t>c4.58 changed from "</t>
    </r>
    <r>
      <rPr>
        <b/>
        <sz val="10"/>
        <color rgb="FFFF0000"/>
        <rFont val="Arial"/>
        <family val="2"/>
      </rPr>
      <t>from REL1</t>
    </r>
    <r>
      <rPr>
        <sz val="10"/>
        <rFont val="Arial"/>
        <family val="2"/>
      </rPr>
      <t>" to "</t>
    </r>
    <r>
      <rPr>
        <b/>
        <sz val="10"/>
        <color rgb="FF00B050"/>
        <rFont val="Arial"/>
        <family val="2"/>
      </rPr>
      <t>lower of c4.57.1 and c4.57.4</t>
    </r>
    <r>
      <rPr>
        <sz val="10"/>
        <rFont val="Arial"/>
        <family val="2"/>
      </rPr>
      <t>"</t>
    </r>
  </si>
  <si>
    <t>Components, input sheet, tc_template and target updated</t>
  </si>
  <si>
    <r>
      <t>c19.1 changed from 
“</t>
    </r>
    <r>
      <rPr>
        <b/>
        <sz val="10"/>
        <color rgb="FFFF0000"/>
        <rFont val="Arial"/>
        <family val="2"/>
      </rPr>
      <t>if (box_NRD28 = Y, box_NRD29 = N, and box_NRD = N)
and (NRD + NRD is greater than 0 (zero))
 if box_NRD = Y then c19.1 = Res_non_dom_High_ch (£60,000)
else
 if box_NRD = Y then c19.1 = Res_non_dom_ch (£30,000)
else
c19.1 = 0 (zero)
end if
end if
end if</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Set to zero</t>
    </r>
    <r>
      <rPr>
        <sz val="10"/>
        <rFont val="Arial"/>
        <family val="2"/>
      </rPr>
      <t>”</t>
    </r>
  </si>
  <si>
    <r>
      <t>L93d MTR calculation box for "non-dom-charge-amount" changed from 
"</t>
    </r>
    <r>
      <rPr>
        <b/>
        <sz val="10"/>
        <color rgb="FFFF0000"/>
        <rFont val="Arial"/>
        <family val="2"/>
      </rPr>
      <t>c19.1</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not in use</t>
    </r>
    <r>
      <rPr>
        <sz val="10"/>
        <rFont val="Arial"/>
        <family val="2"/>
      </rPr>
      <t>"</t>
    </r>
  </si>
  <si>
    <t>"Res_non_dom_ch" struck through - no longer used</t>
  </si>
  <si>
    <t>"Res_non_dom_High_ch" struck through - no longer used</t>
  </si>
  <si>
    <t>"ND_limit" struck through - no longer used</t>
  </si>
  <si>
    <t>TRF_rate 12% added</t>
  </si>
  <si>
    <t>L83d - TRF_amount added</t>
  </si>
  <si>
    <t>L83d - TRF_charge added</t>
  </si>
  <si>
    <r>
      <t>First If above c4.64 changed from
“if (box_NRD28 = Y</t>
    </r>
    <r>
      <rPr>
        <b/>
        <sz val="10"/>
        <color rgb="FFFF0000"/>
        <rFont val="Arial"/>
        <family val="2"/>
      </rPr>
      <t xml:space="preserve"> and box_NRD29 = N and box_NRD16 = N</t>
    </r>
    <r>
      <rPr>
        <sz val="10"/>
        <rFont val="Arial"/>
        <family val="2"/>
      </rPr>
      <t xml:space="preserve">)
or (box_NRD1 = Y and box_NRD15 = N and box_NRD16 = N)
or (Calculation type = non-resident)
set boxes c4.64 to c4.69 to 0 (zero)
else”
</t>
    </r>
    <r>
      <rPr>
        <b/>
        <sz val="10"/>
        <rFont val="Arial"/>
        <family val="2"/>
      </rPr>
      <t>to</t>
    </r>
    <r>
      <rPr>
        <sz val="10"/>
        <rFont val="Arial"/>
        <family val="2"/>
      </rPr>
      <t xml:space="preserve">
“if (box_NRD28 = Y </t>
    </r>
    <r>
      <rPr>
        <b/>
        <sz val="10"/>
        <color rgb="FF00B050"/>
        <rFont val="Arial"/>
        <family val="2"/>
      </rPr>
      <t>or box_NRD29 = Y or box_NRD40 = Y</t>
    </r>
    <r>
      <rPr>
        <sz val="10"/>
        <rFont val="Arial"/>
        <family val="2"/>
      </rPr>
      <t>)
or (box_NRD1 = Y and box_NRD15 = N and box_NRD16 = N)
or (Calculation type = non-resident)
set boxes c4.64 to c4.69 to 0 (zero)”</t>
    </r>
  </si>
  <si>
    <r>
      <t xml:space="preserve">Overarching If above c4.68 changed from
“if (box_NRD1 = Y and box_NRD15 = Y and box_NRD16 = N)
c4.68 = 0 (zero)
else”
</t>
    </r>
    <r>
      <rPr>
        <b/>
        <sz val="10"/>
        <rFont val="Arial"/>
        <family val="2"/>
      </rPr>
      <t>to</t>
    </r>
    <r>
      <rPr>
        <sz val="10"/>
        <rFont val="Arial"/>
        <family val="2"/>
      </rPr>
      <t xml:space="preserve">
“if (box_NRD1 = Y and box_NRD15 = Y and box_NRD16 = N)
</t>
    </r>
    <r>
      <rPr>
        <b/>
        <sz val="10"/>
        <color rgb="FF00B050"/>
        <rFont val="Arial"/>
        <family val="2"/>
      </rPr>
      <t>or (box_NRD28 = Y or box_NRD29 = Y or box_NRD40 = Y)</t>
    </r>
    <r>
      <rPr>
        <sz val="10"/>
        <rFont val="Arial"/>
        <family val="2"/>
      </rPr>
      <t xml:space="preserve">
c4.68 = 0 (zero)”</t>
    </r>
  </si>
  <si>
    <r>
      <t xml:space="preserve">c4.4 changed from 
“If calculation type = non-resident
c4.4 = 0 (zero)
else
c4.4 = AOR8
end if”
</t>
    </r>
    <r>
      <rPr>
        <b/>
        <sz val="10"/>
        <rFont val="Arial"/>
        <family val="2"/>
      </rPr>
      <t>to</t>
    </r>
    <r>
      <rPr>
        <sz val="10"/>
        <rFont val="Arial"/>
        <family val="2"/>
      </rPr>
      <t xml:space="preserve">
“If calculation type = non-resident
</t>
    </r>
    <r>
      <rPr>
        <b/>
        <sz val="10"/>
        <color rgb="FF00B050"/>
        <rFont val="Arial"/>
        <family val="2"/>
      </rPr>
      <t>or (box_NRD28 = Y or box_NRD29 = Y or box_NRD40 = Y)</t>
    </r>
    <r>
      <rPr>
        <sz val="10"/>
        <rFont val="Arial"/>
        <family val="2"/>
      </rPr>
      <t xml:space="preserve">
c4.4 = 0 (zero)
else
c4.4 = AOR8
end if”</t>
    </r>
  </si>
  <si>
    <r>
      <t xml:space="preserve">Overarching If above c9.16 changed from
“If (box_NRD28 = Y and </t>
    </r>
    <r>
      <rPr>
        <b/>
        <sz val="10"/>
        <color rgb="FFFF0000"/>
        <rFont val="Arial"/>
        <family val="2"/>
      </rPr>
      <t>box_NRD29 = N and box_NRD16 = N</t>
    </r>
    <r>
      <rPr>
        <sz val="10"/>
        <rFont val="Arial"/>
        <family val="2"/>
      </rPr>
      <t xml:space="preserve">)
or (box_NRD1 = Y and box_NRD15 and box_NRD16 = N)
or Calculation type = non-resident
set boxes c9.16 to c9.17 to 0 (zero)
else”
</t>
    </r>
    <r>
      <rPr>
        <b/>
        <sz val="10"/>
        <rFont val="Arial"/>
        <family val="2"/>
      </rPr>
      <t xml:space="preserve">to </t>
    </r>
    <r>
      <rPr>
        <sz val="10"/>
        <rFont val="Arial"/>
        <family val="2"/>
      </rPr>
      <t xml:space="preserve">
“If (box_NRD28 = Y </t>
    </r>
    <r>
      <rPr>
        <b/>
        <sz val="10"/>
        <color rgb="FF00B050"/>
        <rFont val="Arial"/>
        <family val="2"/>
      </rPr>
      <t>or box_NRD29 = Y or box_NRD40 = Y</t>
    </r>
    <r>
      <rPr>
        <sz val="10"/>
        <rFont val="Arial"/>
        <family val="2"/>
      </rPr>
      <t xml:space="preserve">)
or (box_NRD1 = Y and box_NRD15 and box_NRD16 = N)
or Calculation type = non-resident
set boxes c9.16 to c9.17 to 0 (zero)
else”	</t>
    </r>
  </si>
  <si>
    <r>
      <t xml:space="preserve">Overarching If above c9.20 changed from
“If (box_NRD28 = Y and </t>
    </r>
    <r>
      <rPr>
        <b/>
        <sz val="10"/>
        <color rgb="FFFF0000"/>
        <rFont val="Arial"/>
        <family val="2"/>
      </rPr>
      <t>box_NRD29 = N and box_NRD16 = N</t>
    </r>
    <r>
      <rPr>
        <sz val="10"/>
        <rFont val="Arial"/>
        <family val="2"/>
      </rPr>
      <t xml:space="preserve">)
or (box_NRD1 = Y and box_NRD15 and box_NRD16 = N)
or Calculation type = non-resident
set boxes c9.16 to c9.17 to 0 (zero)
else”
</t>
    </r>
    <r>
      <rPr>
        <b/>
        <sz val="10"/>
        <rFont val="Arial"/>
        <family val="2"/>
      </rPr>
      <t xml:space="preserve">to </t>
    </r>
    <r>
      <rPr>
        <sz val="10"/>
        <rFont val="Arial"/>
        <family val="2"/>
      </rPr>
      <t xml:space="preserve">
“If (box_NRD28 = Y </t>
    </r>
    <r>
      <rPr>
        <b/>
        <sz val="10"/>
        <color rgb="FF00B050"/>
        <rFont val="Arial"/>
        <family val="2"/>
      </rPr>
      <t>or box_NRD29 = Y or box_NRD40 = Y</t>
    </r>
    <r>
      <rPr>
        <sz val="10"/>
        <rFont val="Arial"/>
        <family val="2"/>
      </rPr>
      <t xml:space="preserve">)
or (box_NRD1 = Y and box_NRD15 and box_NRD16 = N)
or Calculation type = non-resident
set boxes c9.20 to c9.21 to 0 (zero)
else”	</t>
    </r>
  </si>
  <si>
    <r>
      <t>c1.35 changed from 
"</t>
    </r>
    <r>
      <rPr>
        <b/>
        <sz val="10"/>
        <color rgb="FFFF0000"/>
        <rFont val="Arial"/>
        <family val="2"/>
      </rPr>
      <t>FOR7.2 + FOR7.4 + FOR9 + FOR13 + FOR41 + FOR42</t>
    </r>
    <r>
      <rPr>
        <sz val="10"/>
        <rFont val="Arial"/>
        <family val="2"/>
      </rPr>
      <t>" 
to 
"</t>
    </r>
    <r>
      <rPr>
        <b/>
        <sz val="10"/>
        <color rgb="FF00B050"/>
        <rFont val="Arial"/>
        <family val="2"/>
      </rPr>
      <t>c1.35a + c1.35b + c1.35c + c1.35d c10.3.2</t>
    </r>
    <r>
      <rPr>
        <sz val="10"/>
        <rFont val="Arial"/>
        <family val="2"/>
      </rPr>
      <t>"</t>
    </r>
  </si>
  <si>
    <r>
      <t>c1.35a changed from 
"</t>
    </r>
    <r>
      <rPr>
        <b/>
        <sz val="10"/>
        <color rgb="FFFF0000"/>
        <rFont val="Arial"/>
        <family val="2"/>
      </rPr>
      <t>c1.35 + c10.3.2</t>
    </r>
    <r>
      <rPr>
        <sz val="10"/>
        <rFont val="Arial"/>
        <family val="2"/>
      </rPr>
      <t>" 
to 
"</t>
    </r>
    <r>
      <rPr>
        <b/>
        <sz val="10"/>
        <color rgb="FF00B050"/>
        <rFont val="Arial"/>
        <family val="2"/>
      </rPr>
      <t>from FOR7.2</t>
    </r>
    <r>
      <rPr>
        <sz val="10"/>
        <rFont val="Arial"/>
        <family val="2"/>
      </rPr>
      <t>"</t>
    </r>
  </si>
  <si>
    <t>new box c1.35b "from FOR4"</t>
  </si>
  <si>
    <t>new box c1.35c "from FOR9"</t>
  </si>
  <si>
    <t>new box c1.35d "from FOR13</t>
  </si>
  <si>
    <r>
      <t>c1.41 changed from 
"</t>
    </r>
    <r>
      <rPr>
        <b/>
        <sz val="10"/>
        <color rgb="FFFF0000"/>
        <rFont val="Arial"/>
        <family val="2"/>
      </rPr>
      <t>from INC6</t>
    </r>
    <r>
      <rPr>
        <sz val="10"/>
        <rFont val="Arial"/>
        <family val="2"/>
      </rPr>
      <t xml:space="preserve">" 
</t>
    </r>
    <r>
      <rPr>
        <b/>
        <sz val="10"/>
        <rFont val="Arial"/>
        <family val="2"/>
      </rPr>
      <t>to</t>
    </r>
    <r>
      <rPr>
        <sz val="10"/>
        <rFont val="Arial"/>
        <family val="2"/>
      </rPr>
      <t xml:space="preserve"> 
"</t>
    </r>
    <r>
      <rPr>
        <b/>
        <sz val="10"/>
        <color rgb="FF00B050"/>
        <rFont val="Arial"/>
        <family val="2"/>
      </rPr>
      <t>from FOR48</t>
    </r>
    <r>
      <rPr>
        <sz val="10"/>
        <rFont val="Arial"/>
        <family val="2"/>
      </rPr>
      <t>"</t>
    </r>
  </si>
  <si>
    <t>If surrounding c1.41 to c1.43a struck though</t>
  </si>
  <si>
    <r>
      <t>c1.42 changed from 
“</t>
    </r>
    <r>
      <rPr>
        <b/>
        <sz val="10"/>
        <color rgb="FFFF0000"/>
        <rFont val="Arial"/>
        <family val="2"/>
      </rPr>
      <t>from FOR4</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from FOR54</t>
    </r>
    <r>
      <rPr>
        <sz val="10"/>
        <rFont val="Arial"/>
        <family val="2"/>
      </rPr>
      <t xml:space="preserve">”
</t>
    </r>
  </si>
  <si>
    <r>
      <t>c1.43 changed from 
“</t>
    </r>
    <r>
      <rPr>
        <b/>
        <sz val="10"/>
        <color rgb="FFFF0000"/>
        <rFont val="Arial"/>
        <family val="2"/>
      </rPr>
      <t>from FOR6</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from FOR55</t>
    </r>
    <r>
      <rPr>
        <sz val="10"/>
        <rFont val="Arial"/>
        <family val="2"/>
      </rPr>
      <t>”</t>
    </r>
  </si>
  <si>
    <r>
      <t>c1.43a changed from 
“</t>
    </r>
    <r>
      <rPr>
        <b/>
        <sz val="10"/>
        <color rgb="FFFF0000"/>
        <rFont val="Arial"/>
        <family val="2"/>
      </rPr>
      <t>from FOR11</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from FOR56</t>
    </r>
    <r>
      <rPr>
        <sz val="10"/>
        <rFont val="Arial"/>
        <family val="2"/>
      </rPr>
      <t>”</t>
    </r>
  </si>
  <si>
    <t>new box c1.43b "from FOR57"</t>
  </si>
  <si>
    <t>new box c1.43c "from FOR58"</t>
  </si>
  <si>
    <t>new box c1.43d "from FOR59"</t>
  </si>
  <si>
    <t>new box c1.43e "from FOR60"</t>
  </si>
  <si>
    <t>new box c1.43f  "from FOR61"</t>
  </si>
  <si>
    <t>new box c1.43g "from FOR62"</t>
  </si>
  <si>
    <t>new box c1.43h "from FOR63"</t>
  </si>
  <si>
    <t>new box c1.43i "from FOR64"</t>
  </si>
  <si>
    <r>
      <t xml:space="preserve">c1.44 changed from 
“c1.41 + c1.42 + c1.43 + c1.43a”
</t>
    </r>
    <r>
      <rPr>
        <b/>
        <sz val="10"/>
        <rFont val="Arial"/>
        <family val="2"/>
      </rPr>
      <t>to</t>
    </r>
    <r>
      <rPr>
        <sz val="10"/>
        <rFont val="Arial"/>
        <family val="2"/>
      </rPr>
      <t xml:space="preserve">
“c1.41 + c1.42 + c1.43 + c1.43a </t>
    </r>
    <r>
      <rPr>
        <b/>
        <sz val="10"/>
        <color rgb="FF00B050"/>
        <rFont val="Arial"/>
        <family val="2"/>
      </rPr>
      <t>+ c1.43b + c1.43c + c1.43d + c1.43e + c1.43f + c1.43g + c1.43h + c1.43i</t>
    </r>
    <r>
      <rPr>
        <sz val="10"/>
        <rFont val="Arial"/>
        <family val="2"/>
      </rPr>
      <t>”</t>
    </r>
  </si>
  <si>
    <t>new box c1.51.1 "from TRU22.1"</t>
  </si>
  <si>
    <r>
      <t xml:space="preserve">c1.57 changed from 
"c1.9 + c1.10 + c1.17 + c1.20 + c1.27 + </t>
    </r>
    <r>
      <rPr>
        <b/>
        <sz val="10"/>
        <color rgb="FFFF0000"/>
        <rFont val="Arial"/>
        <family val="2"/>
      </rPr>
      <t>c1.34</t>
    </r>
    <r>
      <rPr>
        <sz val="10"/>
        <rFont val="Arial"/>
        <family val="2"/>
      </rPr>
      <t xml:space="preserve"> + </t>
    </r>
    <r>
      <rPr>
        <b/>
        <sz val="10"/>
        <color rgb="FFFF0000"/>
        <rFont val="Arial"/>
        <family val="2"/>
      </rPr>
      <t>c1.35a</t>
    </r>
    <r>
      <rPr>
        <sz val="10"/>
        <rFont val="Arial"/>
        <family val="2"/>
      </rPr>
      <t xml:space="preserve"> + c1.40 + c1.44 + c1.51 + c1.52 + c1.56" 
</t>
    </r>
    <r>
      <rPr>
        <b/>
        <sz val="10"/>
        <rFont val="Arial"/>
        <family val="2"/>
      </rPr>
      <t xml:space="preserve">to </t>
    </r>
    <r>
      <rPr>
        <sz val="10"/>
        <rFont val="Arial"/>
        <family val="2"/>
      </rPr>
      <t xml:space="preserve">
"c1.9 + c1.10 + c1.17 + c1.20 + c1.27 + </t>
    </r>
    <r>
      <rPr>
        <b/>
        <sz val="10"/>
        <color rgb="FF00B050"/>
        <rFont val="Arial"/>
        <family val="2"/>
      </rPr>
      <t>c1.33</t>
    </r>
    <r>
      <rPr>
        <sz val="10"/>
        <rFont val="Arial"/>
        <family val="2"/>
      </rPr>
      <t xml:space="preserve"> + </t>
    </r>
    <r>
      <rPr>
        <b/>
        <sz val="10"/>
        <color rgb="FF00B050"/>
        <rFont val="Arial"/>
        <family val="2"/>
      </rPr>
      <t>c1.35</t>
    </r>
    <r>
      <rPr>
        <sz val="10"/>
        <rFont val="Arial"/>
        <family val="2"/>
      </rPr>
      <t xml:space="preserve"> + c1.40 + c1.44 + c1.51 + c1.52 + c1.56"</t>
    </r>
  </si>
  <si>
    <r>
      <t>c2.7 changed from 
“</t>
    </r>
    <r>
      <rPr>
        <b/>
        <sz val="10"/>
        <color rgb="FFFF0000"/>
        <rFont val="Arial"/>
        <family val="2"/>
      </rPr>
      <t>If NRD28 = N
c2.7= FOR4
else c2.7 = 0
end if</t>
    </r>
    <r>
      <rPr>
        <sz val="10"/>
        <rFont val="Arial"/>
        <family val="2"/>
      </rPr>
      <t xml:space="preserve">”
</t>
    </r>
    <r>
      <rPr>
        <b/>
        <sz val="10"/>
        <rFont val="Arial"/>
        <family val="2"/>
      </rPr>
      <t>to</t>
    </r>
    <r>
      <rPr>
        <sz val="10"/>
        <rFont val="Arial"/>
        <family val="2"/>
      </rPr>
      <t xml:space="preserve">
“</t>
    </r>
    <r>
      <rPr>
        <b/>
        <sz val="10"/>
        <color rgb="FF00B050"/>
        <rFont val="Arial"/>
        <family val="2"/>
      </rPr>
      <t>FOR4</t>
    </r>
    <r>
      <rPr>
        <sz val="10"/>
        <rFont val="Arial"/>
        <family val="2"/>
      </rPr>
      <t>”</t>
    </r>
  </si>
  <si>
    <t>new box c2.7.1 "from FOR51"</t>
  </si>
  <si>
    <r>
      <t xml:space="preserve">c2.9 changed from 
"c2.6 + c2.7 + c2.8" 
</t>
    </r>
    <r>
      <rPr>
        <b/>
        <sz val="10"/>
        <rFont val="Arial"/>
        <family val="2"/>
      </rPr>
      <t>to</t>
    </r>
    <r>
      <rPr>
        <sz val="10"/>
        <rFont val="Arial"/>
        <family val="2"/>
      </rPr>
      <t xml:space="preserve"> 
"c2.6 + c2.7 + </t>
    </r>
    <r>
      <rPr>
        <b/>
        <sz val="10"/>
        <color rgb="FF00B050"/>
        <rFont val="Arial"/>
        <family val="2"/>
      </rPr>
      <t>c2.7.1 +</t>
    </r>
    <r>
      <rPr>
        <sz val="10"/>
        <rFont val="Arial"/>
        <family val="2"/>
      </rPr>
      <t xml:space="preserve"> c2.8"</t>
    </r>
  </si>
  <si>
    <t>If surrounding c3.2 to c3.4 struck through.</t>
  </si>
  <si>
    <t>new box c3.4.1 "from FOR53"</t>
  </si>
  <si>
    <r>
      <t xml:space="preserve">c3.5 changed from 
“c3.2 + c3.3 + c3.4”
</t>
    </r>
    <r>
      <rPr>
        <b/>
        <sz val="10"/>
        <rFont val="Arial"/>
        <family val="2"/>
      </rPr>
      <t>to</t>
    </r>
    <r>
      <rPr>
        <sz val="10"/>
        <rFont val="Arial"/>
        <family val="2"/>
      </rPr>
      <t xml:space="preserve">
“c3.2 + c3.3 + c3.4 </t>
    </r>
    <r>
      <rPr>
        <b/>
        <sz val="10"/>
        <color rgb="FF00B050"/>
        <rFont val="Arial"/>
        <family val="2"/>
      </rPr>
      <t>+ c3.4.1</t>
    </r>
    <r>
      <rPr>
        <sz val="10"/>
        <rFont val="Arial"/>
        <family val="2"/>
      </rPr>
      <t>”</t>
    </r>
  </si>
  <si>
    <r>
      <t>c9.39g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NRD51</t>
    </r>
    <r>
      <rPr>
        <sz val="10"/>
        <rFont val="Arial"/>
        <family val="2"/>
      </rPr>
      <t>"</t>
    </r>
  </si>
  <si>
    <t>new box c9.39g1 "from NRD53"</t>
  </si>
  <si>
    <r>
      <t>c9.39h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(c9.39g + c9.39g1) × TRF_rate (12%)</t>
    </r>
    <r>
      <rPr>
        <sz val="10"/>
        <rFont val="Arial"/>
        <family val="2"/>
      </rPr>
      <t>"</t>
    </r>
  </si>
  <si>
    <t>CG (18)</t>
  </si>
  <si>
    <t>new box c18.4.1</t>
  </si>
  <si>
    <t>new box c18.4.2</t>
  </si>
  <si>
    <t>new box c18.4.3</t>
  </si>
  <si>
    <t>new box c18.4.4</t>
  </si>
  <si>
    <t>new box c18.4.5</t>
  </si>
  <si>
    <t>new box c18.4.6</t>
  </si>
  <si>
    <t>new box c18.4.7</t>
  </si>
  <si>
    <t>new box c18.4.8</t>
  </si>
  <si>
    <t>new box c18.4.9</t>
  </si>
  <si>
    <t>new box c18.4.10</t>
  </si>
  <si>
    <r>
      <t xml:space="preserve">c18.5a changed from 
"c18.5 minus </t>
    </r>
    <r>
      <rPr>
        <b/>
        <sz val="10"/>
        <color rgb="FFFF0000"/>
        <rFont val="Arial"/>
        <family val="2"/>
      </rPr>
      <t>c18.1</t>
    </r>
    <r>
      <rPr>
        <sz val="10"/>
        <rFont val="Arial"/>
        <family val="2"/>
      </rPr>
      <t xml:space="preserve">" 
</t>
    </r>
    <r>
      <rPr>
        <b/>
        <sz val="10"/>
        <rFont val="Arial"/>
        <family val="2"/>
      </rPr>
      <t>to</t>
    </r>
    <r>
      <rPr>
        <sz val="10"/>
        <rFont val="Arial"/>
        <family val="2"/>
      </rPr>
      <t xml:space="preserve"> 
"c18.5 minus </t>
    </r>
    <r>
      <rPr>
        <b/>
        <sz val="10"/>
        <color rgb="FF00B050"/>
        <rFont val="Arial"/>
        <family val="2"/>
      </rPr>
      <t>c18.4.6</t>
    </r>
    <r>
      <rPr>
        <sz val="10"/>
        <rFont val="Arial"/>
        <family val="2"/>
      </rPr>
      <t>"</t>
    </r>
  </si>
  <si>
    <r>
      <t>c18.7 changed from 
"c18.5 minus (</t>
    </r>
    <r>
      <rPr>
        <b/>
        <sz val="10"/>
        <color rgb="FFFF0000"/>
        <rFont val="Arial"/>
        <family val="2"/>
      </rPr>
      <t>c18.1</t>
    </r>
    <r>
      <rPr>
        <sz val="10"/>
        <rFont val="Arial"/>
        <family val="2"/>
      </rPr>
      <t xml:space="preserve"> + </t>
    </r>
    <r>
      <rPr>
        <b/>
        <sz val="10"/>
        <color rgb="FFFF0000"/>
        <rFont val="Arial"/>
        <family val="2"/>
      </rPr>
      <t>c18.1a</t>
    </r>
    <r>
      <rPr>
        <sz val="10"/>
        <rFont val="Arial"/>
        <family val="2"/>
      </rPr>
      <t xml:space="preserve">)" 
</t>
    </r>
    <r>
      <rPr>
        <b/>
        <sz val="10"/>
        <rFont val="Arial"/>
        <family val="2"/>
      </rPr>
      <t xml:space="preserve">to </t>
    </r>
    <r>
      <rPr>
        <sz val="10"/>
        <rFont val="Arial"/>
        <family val="2"/>
      </rPr>
      <t xml:space="preserve">
"c18.5 minus (</t>
    </r>
    <r>
      <rPr>
        <b/>
        <sz val="10"/>
        <color rgb="FF00B050"/>
        <rFont val="Arial"/>
        <family val="2"/>
      </rPr>
      <t>c18.4.6</t>
    </r>
    <r>
      <rPr>
        <sz val="10"/>
        <rFont val="Arial"/>
        <family val="2"/>
      </rPr>
      <t xml:space="preserve"> + </t>
    </r>
    <r>
      <rPr>
        <b/>
        <sz val="10"/>
        <color rgb="FF00B050"/>
        <rFont val="Arial"/>
        <family val="2"/>
      </rPr>
      <t>c18.4.7</t>
    </r>
    <r>
      <rPr>
        <sz val="10"/>
        <rFont val="Arial"/>
        <family val="2"/>
      </rPr>
      <t>)"</t>
    </r>
  </si>
  <si>
    <r>
      <t>c18.8 changed from 
"c18.5 minus (</t>
    </r>
    <r>
      <rPr>
        <b/>
        <sz val="10"/>
        <color rgb="FFFF0000"/>
        <rFont val="Arial"/>
        <family val="2"/>
      </rPr>
      <t>c18.1</t>
    </r>
    <r>
      <rPr>
        <sz val="10"/>
        <rFont val="Arial"/>
        <family val="2"/>
      </rPr>
      <t xml:space="preserve"> + </t>
    </r>
    <r>
      <rPr>
        <b/>
        <sz val="10"/>
        <color rgb="FFFF0000"/>
        <rFont val="Arial"/>
        <family val="2"/>
      </rPr>
      <t>c18.1a</t>
    </r>
    <r>
      <rPr>
        <sz val="10"/>
        <rFont val="Arial"/>
        <family val="2"/>
      </rPr>
      <t xml:space="preserve"> + </t>
    </r>
    <r>
      <rPr>
        <b/>
        <sz val="10"/>
        <color rgb="FFFF0000"/>
        <rFont val="Arial"/>
        <family val="2"/>
      </rPr>
      <t>c18.3</t>
    </r>
    <r>
      <rPr>
        <sz val="10"/>
        <rFont val="Arial"/>
        <family val="2"/>
      </rPr>
      <t xml:space="preserve">)" 
</t>
    </r>
    <r>
      <rPr>
        <b/>
        <sz val="10"/>
        <rFont val="Arial"/>
        <family val="2"/>
      </rPr>
      <t>to</t>
    </r>
    <r>
      <rPr>
        <sz val="10"/>
        <rFont val="Arial"/>
        <family val="2"/>
      </rPr>
      <t xml:space="preserve"> 
"c18.5 minus (</t>
    </r>
    <r>
      <rPr>
        <b/>
        <sz val="10"/>
        <color rgb="FF00B050"/>
        <rFont val="Arial"/>
        <family val="2"/>
      </rPr>
      <t>c18.4.6</t>
    </r>
    <r>
      <rPr>
        <sz val="10"/>
        <rFont val="Arial"/>
        <family val="2"/>
      </rPr>
      <t xml:space="preserve"> + </t>
    </r>
    <r>
      <rPr>
        <b/>
        <sz val="10"/>
        <color rgb="FF00B050"/>
        <rFont val="Arial"/>
        <family val="2"/>
      </rPr>
      <t>c18.4.7</t>
    </r>
    <r>
      <rPr>
        <sz val="10"/>
        <rFont val="Arial"/>
        <family val="2"/>
      </rPr>
      <t xml:space="preserve"> + </t>
    </r>
    <r>
      <rPr>
        <b/>
        <sz val="10"/>
        <color rgb="FF00B050"/>
        <rFont val="Arial"/>
        <family val="2"/>
      </rPr>
      <t>c18.4.8</t>
    </r>
    <r>
      <rPr>
        <sz val="10"/>
        <rFont val="Arial"/>
        <family val="2"/>
      </rPr>
      <t>)"</t>
    </r>
  </si>
  <si>
    <r>
      <t>c18.9 changed from 
"</t>
    </r>
    <r>
      <rPr>
        <b/>
        <sz val="10"/>
        <color rgb="FFFF0000"/>
        <rFont val="Arial"/>
        <family val="2"/>
      </rPr>
      <t>c18.1</t>
    </r>
    <r>
      <rPr>
        <sz val="10"/>
        <rFont val="Arial"/>
        <family val="2"/>
      </rPr>
      <t xml:space="preserve"> minus c18.5" 
</t>
    </r>
    <r>
      <rPr>
        <b/>
        <sz val="10"/>
        <rFont val="Arial"/>
        <family val="2"/>
      </rPr>
      <t>to</t>
    </r>
    <r>
      <rPr>
        <sz val="10"/>
        <rFont val="Arial"/>
        <family val="2"/>
      </rPr>
      <t xml:space="preserve"> 
"</t>
    </r>
    <r>
      <rPr>
        <b/>
        <sz val="10"/>
        <color rgb="FF00B050"/>
        <rFont val="Arial"/>
        <family val="2"/>
      </rPr>
      <t>c18.4.6</t>
    </r>
    <r>
      <rPr>
        <sz val="10"/>
        <rFont val="Arial"/>
        <family val="2"/>
      </rPr>
      <t xml:space="preserve"> minus c18.5"</t>
    </r>
  </si>
  <si>
    <r>
      <t>c18.9a changed from 
"</t>
    </r>
    <r>
      <rPr>
        <b/>
        <sz val="10"/>
        <color rgb="FFFF0000"/>
        <rFont val="Arial"/>
        <family val="2"/>
      </rPr>
      <t>c18.1a</t>
    </r>
    <r>
      <rPr>
        <sz val="10"/>
        <rFont val="Arial"/>
        <family val="2"/>
      </rPr>
      <t xml:space="preserve"> minus c18.5a" 
</t>
    </r>
    <r>
      <rPr>
        <b/>
        <sz val="10"/>
        <rFont val="Arial"/>
        <family val="2"/>
      </rPr>
      <t>to</t>
    </r>
    <r>
      <rPr>
        <sz val="10"/>
        <rFont val="Arial"/>
        <family val="2"/>
      </rPr>
      <t xml:space="preserve"> 
"</t>
    </r>
    <r>
      <rPr>
        <b/>
        <sz val="10"/>
        <color rgb="FF00B050"/>
        <rFont val="Arial"/>
        <family val="2"/>
      </rPr>
      <t>c18.4.7</t>
    </r>
    <r>
      <rPr>
        <sz val="10"/>
        <rFont val="Arial"/>
        <family val="2"/>
      </rPr>
      <t xml:space="preserve"> minus c18.5a"</t>
    </r>
  </si>
  <si>
    <r>
      <t>c18.11 changed from 
"</t>
    </r>
    <r>
      <rPr>
        <b/>
        <sz val="10"/>
        <color rgb="FFFF0000"/>
        <rFont val="Arial"/>
        <family val="2"/>
      </rPr>
      <t>c18.3</t>
    </r>
    <r>
      <rPr>
        <sz val="10"/>
        <rFont val="Arial"/>
        <family val="2"/>
      </rPr>
      <t xml:space="preserve"> minus c18.7" 
</t>
    </r>
    <r>
      <rPr>
        <b/>
        <sz val="10"/>
        <rFont val="Arial"/>
        <family val="2"/>
      </rPr>
      <t xml:space="preserve">to </t>
    </r>
    <r>
      <rPr>
        <sz val="10"/>
        <rFont val="Arial"/>
        <family val="2"/>
      </rPr>
      <t xml:space="preserve">
"</t>
    </r>
    <r>
      <rPr>
        <b/>
        <sz val="10"/>
        <color rgb="FF00B050"/>
        <rFont val="Arial"/>
        <family val="2"/>
      </rPr>
      <t>c18.4.8</t>
    </r>
    <r>
      <rPr>
        <sz val="10"/>
        <rFont val="Arial"/>
        <family val="2"/>
      </rPr>
      <t xml:space="preserve"> minus c18.7"</t>
    </r>
  </si>
  <si>
    <r>
      <t>c18.12 changed from 
"</t>
    </r>
    <r>
      <rPr>
        <b/>
        <sz val="10"/>
        <color rgb="FFFF0000"/>
        <rFont val="Arial"/>
        <family val="2"/>
      </rPr>
      <t>c18.4</t>
    </r>
    <r>
      <rPr>
        <sz val="10"/>
        <rFont val="Arial"/>
        <family val="2"/>
      </rPr>
      <t xml:space="preserve"> minus c18.8" 
</t>
    </r>
    <r>
      <rPr>
        <b/>
        <sz val="10"/>
        <rFont val="Arial"/>
        <family val="2"/>
      </rPr>
      <t xml:space="preserve">to </t>
    </r>
    <r>
      <rPr>
        <sz val="10"/>
        <rFont val="Arial"/>
        <family val="2"/>
      </rPr>
      <t xml:space="preserve">
"</t>
    </r>
    <r>
      <rPr>
        <b/>
        <sz val="10"/>
        <color rgb="FF00B050"/>
        <rFont val="Arial"/>
        <family val="2"/>
      </rPr>
      <t>c18.4.10</t>
    </r>
    <r>
      <rPr>
        <sz val="10"/>
        <rFont val="Arial"/>
        <family val="2"/>
      </rPr>
      <t xml:space="preserve"> minus c18.8"</t>
    </r>
  </si>
  <si>
    <r>
      <t xml:space="preserve">c18.24 changed from 
"If (box_NRD28 = Y </t>
    </r>
    <r>
      <rPr>
        <b/>
        <sz val="10"/>
        <color rgb="FFFF0000"/>
        <rFont val="Arial"/>
        <family val="2"/>
      </rPr>
      <t>and box_NRD29 = N and box_NRD16 = N</t>
    </r>
    <r>
      <rPr>
        <sz val="10"/>
        <rFont val="Arial"/>
        <family val="2"/>
      </rPr>
      <t xml:space="preserve">)
c18.24 = 0 (zero)
Else
c18.24 = CG_exempt (£3,000)
end if" 
</t>
    </r>
    <r>
      <rPr>
        <b/>
        <sz val="10"/>
        <rFont val="Arial"/>
        <family val="2"/>
      </rPr>
      <t>to</t>
    </r>
    <r>
      <rPr>
        <sz val="10"/>
        <rFont val="Arial"/>
        <family val="2"/>
      </rPr>
      <t xml:space="preserve"> 
"If (box_NRD28 = Y </t>
    </r>
    <r>
      <rPr>
        <b/>
        <sz val="10"/>
        <color rgb="FF00B050"/>
        <rFont val="Arial"/>
        <family val="2"/>
      </rPr>
      <t>or box_NRD29 = Y or box_NRD40 = Y</t>
    </r>
    <r>
      <rPr>
        <sz val="10"/>
        <rFont val="Arial"/>
        <family val="2"/>
      </rPr>
      <t>)
c18.24 = 0 (zero)
Else
c18.24 = CG_exempt (£3,000)
end if"</t>
    </r>
  </si>
  <si>
    <t>LLIR (24)</t>
  </si>
  <si>
    <t>new box c24.9.1</t>
  </si>
  <si>
    <r>
      <t xml:space="preserve">c24.15a changed from 
"c24.1 + c24.3a + c24.4a + c24.6 + c24.9 + c24.10" 
</t>
    </r>
    <r>
      <rPr>
        <b/>
        <sz val="10"/>
        <rFont val="Arial"/>
        <family val="2"/>
      </rPr>
      <t xml:space="preserve">to </t>
    </r>
    <r>
      <rPr>
        <sz val="10"/>
        <rFont val="Arial"/>
        <family val="2"/>
      </rPr>
      <t xml:space="preserve">
"c24.1 + c24.3a + c24.4a + c24.6 + c24.9 + </t>
    </r>
    <r>
      <rPr>
        <b/>
        <sz val="10"/>
        <color rgb="FF00B050"/>
        <rFont val="Arial"/>
        <family val="2"/>
      </rPr>
      <t>c24.9.1 +</t>
    </r>
    <r>
      <rPr>
        <sz val="10"/>
        <rFont val="Arial"/>
        <family val="2"/>
      </rPr>
      <t xml:space="preserve"> c24.10"</t>
    </r>
  </si>
  <si>
    <r>
      <t xml:space="preserve">c24.16 changed from 
"c24.3 + c24.4 + c24.5 + c24.8 + c24.9 + c24.10" 
</t>
    </r>
    <r>
      <rPr>
        <b/>
        <sz val="10"/>
        <rFont val="Arial"/>
        <family val="2"/>
      </rPr>
      <t xml:space="preserve">to </t>
    </r>
    <r>
      <rPr>
        <sz val="10"/>
        <rFont val="Arial"/>
        <family val="2"/>
      </rPr>
      <t xml:space="preserve">
"c24.3 + c24.4 + c24.5 + c24.8 + c24.9 + </t>
    </r>
    <r>
      <rPr>
        <b/>
        <sz val="10"/>
        <color rgb="FF00B050"/>
        <rFont val="Arial"/>
        <family val="2"/>
      </rPr>
      <t>c24.9.1 +</t>
    </r>
    <r>
      <rPr>
        <sz val="10"/>
        <rFont val="Arial"/>
        <family val="2"/>
      </rPr>
      <t xml:space="preserve"> c24.10"</t>
    </r>
  </si>
  <si>
    <t>SA302_template</t>
  </si>
  <si>
    <t>new line L27.1 added</t>
  </si>
  <si>
    <t>new line L27.2 and L27.2 Or added</t>
  </si>
  <si>
    <t>L85 2 new Or lines added</t>
  </si>
  <si>
    <t>L85 print condition for 1st line and 1st Or updated to include TRF_charge</t>
  </si>
  <si>
    <t>L94 - four new Or lines added</t>
  </si>
  <si>
    <t>L94 - 1st four lines updated to include TRF_charge</t>
  </si>
  <si>
    <t>L111 - four new Or lines added</t>
  </si>
  <si>
    <t>L111 - 1st four Or lines updated to include TRF_charge</t>
  </si>
  <si>
    <t>L120e - four new Or lines added</t>
  </si>
  <si>
    <t>L120e - 1st four lines updated to include TRF_charge</t>
  </si>
  <si>
    <t>L120h - four new Or lines added</t>
  </si>
  <si>
    <t>L120h - 1st for lines updated to include TRF_charge</t>
  </si>
  <si>
    <t>L121 - four new Or lines added</t>
  </si>
  <si>
    <t>L121 - 1st four Or lines updated to include TRF_charge</t>
  </si>
  <si>
    <t>L126 - two new Or lines</t>
  </si>
  <si>
    <t>L126 - 1st two lines updated</t>
  </si>
  <si>
    <r>
      <t xml:space="preserve">c13.11 changed from 
"c12.16 minus (c12.3 + c12.7 + c12.7b + c13.8 </t>
    </r>
    <r>
      <rPr>
        <b/>
        <sz val="10"/>
        <color rgb="FFFF0000"/>
        <rFont val="Arial"/>
        <family val="2"/>
      </rPr>
      <t>+ NRD36</t>
    </r>
    <r>
      <rPr>
        <sz val="10"/>
        <rFont val="Arial"/>
        <family val="2"/>
      </rPr>
      <t xml:space="preserve">)" 
</t>
    </r>
    <r>
      <rPr>
        <b/>
        <sz val="10"/>
        <rFont val="Arial"/>
        <family val="2"/>
      </rPr>
      <t>to</t>
    </r>
    <r>
      <rPr>
        <sz val="10"/>
        <rFont val="Arial"/>
        <family val="2"/>
      </rPr>
      <t xml:space="preserve"> 
"c12.16 minus (c12.3 + c12.7 + c12.7b + c13.8)</t>
    </r>
  </si>
  <si>
    <r>
      <t xml:space="preserve">c13.12 changed from 
"c9.25 + c9.27 + c12.1e + c12.2 + c12.9 + c12.11 </t>
    </r>
    <r>
      <rPr>
        <b/>
        <sz val="10"/>
        <color rgb="FFFF0000"/>
        <rFont val="Arial"/>
        <family val="2"/>
      </rPr>
      <t>minus NRD36</t>
    </r>
    <r>
      <rPr>
        <sz val="10"/>
        <rFont val="Arial"/>
        <family val="2"/>
      </rPr>
      <t xml:space="preserve">" 
</t>
    </r>
    <r>
      <rPr>
        <b/>
        <sz val="10"/>
        <rFont val="Arial"/>
        <family val="2"/>
      </rPr>
      <t xml:space="preserve">to </t>
    </r>
    <r>
      <rPr>
        <sz val="10"/>
        <rFont val="Arial"/>
        <family val="2"/>
      </rPr>
      <t xml:space="preserve">
"c9.25 + c9.27 + c12.1e + c12.2 + c12.9 + c12.11"</t>
    </r>
  </si>
  <si>
    <r>
      <t>c18.41 changed from 
"</t>
    </r>
    <r>
      <rPr>
        <b/>
        <sz val="10"/>
        <color rgb="FFFF0000"/>
        <rFont val="Arial"/>
        <family val="2"/>
      </rPr>
      <t>Lower of c18.27 and c18.40</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Set to zero</t>
    </r>
    <r>
      <rPr>
        <sz val="10"/>
        <rFont val="Arial"/>
        <family val="2"/>
      </rPr>
      <t>"</t>
    </r>
  </si>
  <si>
    <r>
      <t>c18.42 changed from 
"</t>
    </r>
    <r>
      <rPr>
        <b/>
        <sz val="10"/>
        <color rgb="FFFF0000"/>
        <rFont val="Arial"/>
        <family val="2"/>
      </rPr>
      <t>c18.41 × Lower_CGT_rate_CI (32%)</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Set to zero</t>
    </r>
    <r>
      <rPr>
        <sz val="10"/>
        <rFont val="Arial"/>
        <family val="2"/>
      </rPr>
      <t>"</t>
    </r>
  </si>
  <si>
    <r>
      <t>c18.43 changed from 
"</t>
    </r>
    <r>
      <rPr>
        <b/>
        <sz val="10"/>
        <color rgb="FFFF0000"/>
        <rFont val="Arial"/>
        <family val="2"/>
      </rPr>
      <t>c18.27 minus c18.41</t>
    </r>
    <r>
      <rPr>
        <sz val="10"/>
        <rFont val="Arial"/>
        <family val="2"/>
      </rPr>
      <t xml:space="preserve">" 
</t>
    </r>
    <r>
      <rPr>
        <b/>
        <sz val="10"/>
        <rFont val="Arial"/>
        <family val="2"/>
      </rPr>
      <t>to</t>
    </r>
    <r>
      <rPr>
        <sz val="10"/>
        <rFont val="Arial"/>
        <family val="2"/>
      </rPr>
      <t xml:space="preserve"> 
"</t>
    </r>
    <r>
      <rPr>
        <b/>
        <sz val="10"/>
        <color rgb="FF00B050"/>
        <rFont val="Arial"/>
        <family val="2"/>
      </rPr>
      <t>c18.27</t>
    </r>
    <r>
      <rPr>
        <sz val="10"/>
        <rFont val="Arial"/>
        <family val="2"/>
      </rPr>
      <t>"</t>
    </r>
  </si>
  <si>
    <r>
      <t>c18.45 changed from 
"</t>
    </r>
    <r>
      <rPr>
        <b/>
        <sz val="10"/>
        <color rgb="FFFF0000"/>
        <rFont val="Arial"/>
        <family val="2"/>
      </rPr>
      <t>c18.40 minus c18.27</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Set to zero</t>
    </r>
    <r>
      <rPr>
        <sz val="10"/>
        <rFont val="Arial"/>
        <family val="2"/>
      </rPr>
      <t>"</t>
    </r>
  </si>
  <si>
    <r>
      <t>c18.45.1 changed from 
"</t>
    </r>
    <r>
      <rPr>
        <b/>
        <sz val="10"/>
        <color rgb="FFFF0000"/>
        <rFont val="Arial"/>
        <family val="2"/>
      </rPr>
      <t>Lower of c18.27.1 and c18.45</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Lower of c18.27.1 and c18.40</t>
    </r>
    <r>
      <rPr>
        <sz val="10"/>
        <rFont val="Arial"/>
        <family val="2"/>
      </rPr>
      <t>"</t>
    </r>
  </si>
  <si>
    <r>
      <t>c18.45.5 changed from 
"</t>
    </r>
    <r>
      <rPr>
        <b/>
        <sz val="10"/>
        <color rgb="FFFF0000"/>
        <rFont val="Arial"/>
        <family val="2"/>
      </rPr>
      <t>c18.45 minus c18.27.1</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c18.40 minus c18.27.1</t>
    </r>
    <r>
      <rPr>
        <sz val="10"/>
        <rFont val="Arial"/>
        <family val="2"/>
      </rPr>
      <t>"</t>
    </r>
  </si>
  <si>
    <t>new box c4.57.2</t>
  </si>
  <si>
    <t>new box c4.47.1</t>
  </si>
  <si>
    <t>new box c4.47.2</t>
  </si>
  <si>
    <t>new box c4.47.3</t>
  </si>
  <si>
    <t>new box c4.47.4</t>
  </si>
  <si>
    <t>new box c4.47.5</t>
  </si>
  <si>
    <t>new box c4.47.6</t>
  </si>
  <si>
    <t>new box c4.47.7</t>
  </si>
  <si>
    <t>new box c4.47.8</t>
  </si>
  <si>
    <t>new box c4.47.9</t>
  </si>
  <si>
    <t>new box c4.47.10</t>
  </si>
  <si>
    <t>new box c4.47.11</t>
  </si>
  <si>
    <t>new box c4.47.12</t>
  </si>
  <si>
    <t>new box c4.47.13</t>
  </si>
  <si>
    <t>new box c4.47.14</t>
  </si>
  <si>
    <t>new box c4.47.15</t>
  </si>
  <si>
    <t>new box c4.47.16</t>
  </si>
  <si>
    <t>new box c4.47.17</t>
  </si>
  <si>
    <t>new box c4.47.18</t>
  </si>
  <si>
    <t>new box c4.47.19</t>
  </si>
  <si>
    <t>new box c4.47.20</t>
  </si>
  <si>
    <t>new box c4.47.21</t>
  </si>
  <si>
    <t>new box c4.47.22</t>
  </si>
  <si>
    <t>new box c4.47.23</t>
  </si>
  <si>
    <t>new box c4.47.24</t>
  </si>
  <si>
    <t>new box c4.47.25</t>
  </si>
  <si>
    <t>new box c4.47.26</t>
  </si>
  <si>
    <t>new box c4.47.27</t>
  </si>
  <si>
    <t>new box c4.47.28</t>
  </si>
  <si>
    <t>new box c4.47.29</t>
  </si>
  <si>
    <t>new box c4.47.30</t>
  </si>
  <si>
    <t>new box 4.57.3</t>
  </si>
  <si>
    <t>new box 4.57.4</t>
  </si>
  <si>
    <r>
      <t xml:space="preserve">box 4.63b changed from 
c4.5 + c4.7 + c4.13 + c4.19 + </t>
    </r>
    <r>
      <rPr>
        <b/>
        <sz val="10"/>
        <color rgb="FFFF0000"/>
        <rFont val="Arial"/>
        <family val="2"/>
      </rPr>
      <t>c4.27</t>
    </r>
    <r>
      <rPr>
        <sz val="10"/>
        <color theme="1"/>
        <rFont val="Arial"/>
        <family val="2"/>
      </rPr>
      <t xml:space="preserve"> + c4.28 + c4.33 + c4.35 
to
c4.5 + c4.7 + c4.13 + c4.19 + c4.28 + c4.33 + c4.35</t>
    </r>
  </si>
  <si>
    <r>
      <t xml:space="preserve">box 4.63c changed from
c4.63a minus c4.63b
to
c4.63a minus </t>
    </r>
    <r>
      <rPr>
        <b/>
        <sz val="10"/>
        <color rgb="FF00B050"/>
        <rFont val="Arial"/>
        <family val="2"/>
      </rPr>
      <t>c4.47.19 + c4.47.30</t>
    </r>
    <r>
      <rPr>
        <sz val="10"/>
        <color theme="1"/>
        <rFont val="Arial"/>
        <family val="2"/>
      </rPr>
      <t xml:space="preserve"> </t>
    </r>
    <r>
      <rPr>
        <b/>
        <sz val="10"/>
        <color rgb="FF00B050"/>
        <rFont val="Arial"/>
        <family val="2"/>
      </rPr>
      <t>+</t>
    </r>
    <r>
      <rPr>
        <sz val="10"/>
        <color theme="1"/>
        <rFont val="Arial"/>
        <family val="2"/>
      </rPr>
      <t>c4.63b</t>
    </r>
  </si>
  <si>
    <r>
      <t xml:space="preserve">box c4.70 changed from
c4.47 + c4.48 + c4.49 + c4.51 + c4.54 + c4.69 
to
c4.47 + </t>
    </r>
    <r>
      <rPr>
        <b/>
        <sz val="10"/>
        <color rgb="FF00B050"/>
        <rFont val="Arial"/>
        <family val="2"/>
      </rPr>
      <t xml:space="preserve">c4.47.19 + c4.47.23 + c4.47.27 + c4.47.30 </t>
    </r>
    <r>
      <rPr>
        <sz val="10"/>
        <color theme="1"/>
        <rFont val="Arial"/>
        <family val="2"/>
      </rPr>
      <t>+ c4.48 + c4.49 + c4.51 + c4.54 + c4.69</t>
    </r>
  </si>
  <si>
    <r>
      <t>box 4.70a changed from
c4.70 minus c4.63b 
to
c4.70 minus</t>
    </r>
    <r>
      <rPr>
        <b/>
        <sz val="10"/>
        <color rgb="FF00B050"/>
        <rFont val="Arial"/>
        <family val="2"/>
      </rPr>
      <t xml:space="preserve"> (c4.47.19 + c4.47.23 + c4.47.27 + c4.47.30 +</t>
    </r>
    <r>
      <rPr>
        <sz val="10"/>
        <color theme="1"/>
        <rFont val="Arial"/>
        <family val="2"/>
      </rPr>
      <t xml:space="preserve"> c4.63b)</t>
    </r>
  </si>
  <si>
    <r>
      <t xml:space="preserve">box 5.1 changed from
c4.70 minus c4.63b 
to
c4.70 minus </t>
    </r>
    <r>
      <rPr>
        <b/>
        <sz val="10"/>
        <color rgb="FF00B050"/>
        <rFont val="Arial"/>
        <family val="2"/>
      </rPr>
      <t>(c4.47.19 + c4.47.23 + c4.47.27 + c4.47.30 +</t>
    </r>
    <r>
      <rPr>
        <sz val="10"/>
        <color theme="1"/>
        <rFont val="Arial"/>
        <family val="2"/>
      </rPr>
      <t xml:space="preserve"> c4.63b)</t>
    </r>
  </si>
  <si>
    <r>
      <t xml:space="preserve">box 5.3 changed from
If calculation type = non-resident
c5.3 = c91.6 minus c4.63b
else
c5.3 = c4.63c
end if 
to
If calculation type = non-resident
c5.3 = c91.6 minus </t>
    </r>
    <r>
      <rPr>
        <b/>
        <sz val="10"/>
        <color rgb="FF00B050"/>
        <rFont val="Arial"/>
        <family val="2"/>
      </rPr>
      <t>(c4.47.19 + c4.47.30 +</t>
    </r>
    <r>
      <rPr>
        <sz val="10"/>
        <color theme="1"/>
        <rFont val="Arial"/>
        <family val="2"/>
      </rPr>
      <t xml:space="preserve"> c4.63b)
else
c5.3 = c4.63c
end if</t>
    </r>
  </si>
  <si>
    <r>
      <t xml:space="preserve">c5.11 changed from 
"If calculation type = non-resident
c5.11 = c91.14
else
c5.11 = c2.19 minus c4.63.24
end if"  
to 
If calculation type = non-resident
c5.11 = c91.14
else
c5.11 = c2.19 minus </t>
    </r>
    <r>
      <rPr>
        <b/>
        <sz val="10"/>
        <color rgb="FF00B050"/>
        <rFont val="Arial"/>
        <family val="2"/>
      </rPr>
      <t>c4.47.23</t>
    </r>
  </si>
  <si>
    <r>
      <t xml:space="preserve">c5.22 changed from 
"If calculation type = non-resident
c5.22 = c91.23
else
c5.22 = c3.15 </t>
    </r>
    <r>
      <rPr>
        <sz val="10"/>
        <color theme="1"/>
        <rFont val="Arial"/>
        <family val="2"/>
      </rPr>
      <t>minus c4.63.28</t>
    </r>
    <r>
      <rPr>
        <b/>
        <sz val="10"/>
        <color theme="1"/>
        <rFont val="Arial"/>
        <family val="2"/>
      </rPr>
      <t xml:space="preserve">
</t>
    </r>
    <r>
      <rPr>
        <sz val="10"/>
        <rFont val="Arial"/>
        <family val="2"/>
      </rPr>
      <t xml:space="preserve">end if"
to
"If calculation type = non-resident
c5.22 = c91.23
else
c5.22 = c3.15 minus </t>
    </r>
    <r>
      <rPr>
        <b/>
        <sz val="10"/>
        <color rgb="FF00B050"/>
        <rFont val="Arial"/>
        <family val="2"/>
      </rPr>
      <t>c4.47.27</t>
    </r>
    <r>
      <rPr>
        <sz val="10"/>
        <rFont val="Arial"/>
        <family val="2"/>
      </rPr>
      <t xml:space="preserve">
end if"</t>
    </r>
  </si>
  <si>
    <r>
      <t>c5.40 changed from 
"If calculation type = non-resident
c5.40 = c91.23
else
c5.40 = c3.15 minus (c5.38 + c5.39 + c4.63.28)
end if"
to
"If calculation type = non-resident
c5.40 = c91.23
else
c5.40 = c3.15 minus (</t>
    </r>
    <r>
      <rPr>
        <b/>
        <sz val="10"/>
        <color rgb="FF00B050"/>
        <rFont val="Arial"/>
        <family val="2"/>
      </rPr>
      <t>c4.47.27 + c5.38 + c5.39</t>
    </r>
    <r>
      <rPr>
        <sz val="10"/>
        <color theme="1"/>
        <rFont val="Arial"/>
        <family val="2"/>
      </rPr>
      <t>)
end if"</t>
    </r>
  </si>
  <si>
    <r>
      <t>c5.85 changed from  
"If calculation type = non-resident
c5.85 = c91.28 minus (c4.63.19 + c4.63.24 + c4.63.28 + c4.63.31 + c4.63b)
else
c5.85 = c3.21 minus (c4.63.19 + c4.63.24 + c4.63.28 + c4.63.31 + c4.63b)
end if"
to
If calculation type = non-resident
c5.85 = c91.28 minus (</t>
    </r>
    <r>
      <rPr>
        <b/>
        <sz val="10"/>
        <color rgb="FF00B050"/>
        <rFont val="Arial"/>
        <family val="2"/>
      </rPr>
      <t>c4.47.19 + c4.47.23 + c4.47.27 + c4.47.30 +</t>
    </r>
    <r>
      <rPr>
        <sz val="10"/>
        <color theme="1"/>
        <rFont val="Arial"/>
        <family val="2"/>
      </rPr>
      <t xml:space="preserve"> c4.63b)
else
c5.85 = c3.21 minus</t>
    </r>
    <r>
      <rPr>
        <b/>
        <sz val="10"/>
        <color rgb="FF00B050"/>
        <rFont val="Arial"/>
        <family val="2"/>
      </rPr>
      <t xml:space="preserve"> (c4.47.19 + c4.47.23 + c4.47.27 + c4.47.30 + c4.63b</t>
    </r>
    <r>
      <rPr>
        <sz val="10"/>
        <color theme="1"/>
        <rFont val="Arial"/>
        <family val="2"/>
      </rPr>
      <t xml:space="preserve">)
end if
</t>
    </r>
  </si>
  <si>
    <r>
      <t xml:space="preserve">c17.6 changed from 
c4.70 minus c4.63b 
to
c4.70 minus </t>
    </r>
    <r>
      <rPr>
        <b/>
        <sz val="10"/>
        <color rgb="FF00B050"/>
        <rFont val="Arial"/>
        <family val="2"/>
      </rPr>
      <t xml:space="preserve">(c4.47.19 + c4.47.23 + c4.47.27 + c4.47.30 + </t>
    </r>
    <r>
      <rPr>
        <sz val="10"/>
        <color theme="1"/>
        <rFont val="Arial"/>
        <family val="2"/>
      </rPr>
      <t>c4.63b)</t>
    </r>
  </si>
  <si>
    <r>
      <t xml:space="preserve">c17.22c changed from 
c2.19 minus (c2.6 + c2.18)
to
c2.19 minus c2.6 + c2.18 + </t>
    </r>
    <r>
      <rPr>
        <b/>
        <sz val="10"/>
        <color rgb="FF00B050"/>
        <rFont val="Arial"/>
        <family val="2"/>
      </rPr>
      <t>c4.47.23</t>
    </r>
    <r>
      <rPr>
        <sz val="10"/>
        <color theme="1"/>
        <rFont val="Arial"/>
        <family val="2"/>
      </rPr>
      <t>)</t>
    </r>
  </si>
  <si>
    <r>
      <t xml:space="preserve">c17.22f changed from
'from c3.15' 
to
</t>
    </r>
    <r>
      <rPr>
        <b/>
        <sz val="10"/>
        <color rgb="FF00B050"/>
        <rFont val="Arial"/>
        <family val="2"/>
      </rPr>
      <t>c3.15 minus c4.47.27</t>
    </r>
  </si>
  <si>
    <r>
      <t>above c17.38.1 changed from 
c17.38.1 = c4.70 minus c4.63b	
set c4.41 to c3.26 + c4.40.1 + c4.40.2	
set c4.55 to c4.54.2 minus c4.54.3	
else	
Calculate c17.38.1
to 
c17.38.1 = c4.70 minus</t>
    </r>
    <r>
      <rPr>
        <b/>
        <sz val="10"/>
        <color rgb="FF00B050"/>
        <rFont val="Arial"/>
        <family val="2"/>
      </rPr>
      <t xml:space="preserve"> (c4.47.19 + c4.47.23 + c4.47.27 + c4.47.30 + </t>
    </r>
    <r>
      <rPr>
        <sz val="10"/>
        <color theme="1"/>
        <rFont val="Arial"/>
        <family val="2"/>
      </rPr>
      <t xml:space="preserve">c4.63b)	
set c4.41 to c3.26 + c4.40.1 + c4.40.2	
set c4.55 to c4.54.2 minus c4.54.3	
else	
Calculate c17.38.1	</t>
    </r>
  </si>
  <si>
    <t>The Tester</t>
  </si>
  <si>
    <t xml:space="preserve">The Test Case Generator (Tester) supports the testing of the tax calculation, resulting from the successful capture of </t>
  </si>
  <si>
    <t xml:space="preserve">1. As a stand-alone tax calculator. </t>
  </si>
  <si>
    <t>Select the sheets on 'Add pages' that correspond to questions on the Return.</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</si>
  <si>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</si>
  <si>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</si>
  <si>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</si>
  <si>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</si>
  <si>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</si>
  <si>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</si>
  <si>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</si>
  <si>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</si>
  <si>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</si>
  <si>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</si>
  <si>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</si>
  <si>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</si>
  <si>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 xml:space="preserve">Each case is numbered and can be selected by inputting the case number in the box </t>
  </si>
  <si>
    <t>marked ‘Select test case number to be replayed’ on the 'Test Case index' sheet.</t>
  </si>
  <si>
    <t>The selected test case can be activated by pressing 'Replay selected case' button on the 'Test Case index' sheet.</t>
  </si>
  <si>
    <t xml:space="preserve">This auto-populates the input sheets from the test components that make up the test case, and generates outputs </t>
  </si>
  <si>
    <t>(see below) based on the selection.</t>
  </si>
  <si>
    <t>The 'Test case' sheet</t>
  </si>
  <si>
    <t>When the TCG is used in modes 2 or 3 it will pull together all the data needed for a full Tax Return.</t>
  </si>
  <si>
    <t>The data appear on the 'Test case' sheet (to the right of the 'Add pages' sheet).</t>
  </si>
  <si>
    <t>It is important to note that there are differences between the test case and the components used to create it.</t>
  </si>
  <si>
    <t xml:space="preserve">Most of the data is supplied by the test components, but some are modified, either to add boxes that are dependant </t>
  </si>
  <si>
    <t>on other components/data selected, or remove inconstistancies in the selection.</t>
  </si>
  <si>
    <t>(See 'Adjustments made to produce more realistic cases' for more detail.)</t>
  </si>
  <si>
    <t>About test components</t>
  </si>
  <si>
    <t xml:space="preserve">The Tester is based on a number of pre-fabricated components. </t>
  </si>
  <si>
    <t xml:space="preserve">Each component relates to a question or part question on the Main Tax Return. </t>
  </si>
  <si>
    <t>There are a number of instances of each component, giving a variety of valid MTR entries.</t>
  </si>
  <si>
    <t>Component</t>
  </si>
  <si>
    <t>Description</t>
  </si>
  <si>
    <t>Instances</t>
  </si>
  <si>
    <t>Worksheet</t>
  </si>
  <si>
    <t>Income boxes INC1 to INC6 (Interest and Dividends)</t>
  </si>
  <si>
    <t>Income boxes INC7 to INC14 (UK pensions etc. received)</t>
  </si>
  <si>
    <t>Income boxes INC15 to INC19 (Other UK income)</t>
  </si>
  <si>
    <t>Tax reliefs boxes REL1 to REL4 (Pension contributions)</t>
  </si>
  <si>
    <t>Tax reliefs boxes REL5 to REL10 (Charitable giving)</t>
  </si>
  <si>
    <t>Tax reliefs boxes REL11 to REL14 (Blind Person's Allowance)</t>
  </si>
  <si>
    <t>Student Loans</t>
  </si>
  <si>
    <t>Child Benefit payments</t>
  </si>
  <si>
    <t>Marriage Allowance Transfer</t>
  </si>
  <si>
    <t>Additional Information boxes AOI1 to AOI3 (Interest from UK securities)</t>
  </si>
  <si>
    <t>Additional Information boxes AOI4 to AOI11 (Life insurance gains)</t>
  </si>
  <si>
    <t>Additional Information boxes AOI12 to AOI15 (Stock dividends etc.)</t>
  </si>
  <si>
    <t>Additional Information boxes ASE1 to ASE2 (Share schemes)</t>
  </si>
  <si>
    <t>Additional Information boxes ASE3 to ASE10 (Lump sum payments)</t>
  </si>
  <si>
    <t>Additional Information boxes ASE11 to ASE15 (Other deductions)</t>
  </si>
  <si>
    <t>Additional Information boxes AOR1 to AOR10 (Other tax reliefs)</t>
  </si>
  <si>
    <t>Additional Information boxes MCA1 to MCA11 (Married Couple's Allowance)</t>
  </si>
  <si>
    <t>Additional Information boxes AIL1 to AIL19 (Other Information)</t>
  </si>
  <si>
    <t>Employment</t>
  </si>
  <si>
    <t>Ministers of religion</t>
  </si>
  <si>
    <t>Short self-employment  (excluding class 4 NIC)</t>
  </si>
  <si>
    <t>Full self-employment  (excluding class 4 NIC)</t>
  </si>
  <si>
    <t>Lloyd's underwriters (excluding class 4 NIC)</t>
  </si>
  <si>
    <t>Short partnership income (excluding class 4 NIC)</t>
  </si>
  <si>
    <t>Full partnership income (excluding class 4 NIC)</t>
  </si>
  <si>
    <t>Income from property</t>
  </si>
  <si>
    <t>Trust income</t>
  </si>
  <si>
    <t>Capital gains</t>
  </si>
  <si>
    <t>C8</t>
  </si>
  <si>
    <t>Residence, Remittance Basis etc.</t>
  </si>
  <si>
    <t>C9</t>
  </si>
  <si>
    <t>Tax calculation summary</t>
  </si>
  <si>
    <t>Class 2 NIC</t>
  </si>
  <si>
    <t>Class 1 NIC</t>
  </si>
  <si>
    <t>Instances of different components can be selected together to produce complete test cases.</t>
  </si>
  <si>
    <t xml:space="preserve">In addition to selecting different components, multiple instances of some components can be selected. </t>
  </si>
  <si>
    <t xml:space="preserve">(Up to 2 employments, 2 self-employments (1 short &amp; 1 full) and 2 partnerships  (1 short &amp; 1 full) .) </t>
  </si>
  <si>
    <t>Some questions on the core Tax Return and Additional Information pages would require a large number</t>
  </si>
  <si>
    <t>of components, so have been split (into A, B &amp; C ranges). These can be selected individually or together.</t>
  </si>
  <si>
    <t xml:space="preserve">[Whilst all the combinations of components that can be selected will be ‘valid’ in terms of the system, not all will </t>
  </si>
  <si>
    <t>be ‘realistic’. The generator makes some adjustments to make the case more realistic, but they aren’t</t>
  </si>
  <si>
    <t xml:space="preserve"> comprehensive.]</t>
  </si>
  <si>
    <t xml:space="preserve">The components can be viewed at any time using the ‘Show/Hide Components’ button on the ‘Test’ </t>
  </si>
  <si>
    <t>and ‘More test’ worksheets.</t>
  </si>
  <si>
    <t>The business specified test cases</t>
  </si>
  <si>
    <t xml:space="preserve">Details of these can be found on the ‘Test Case index’ worksheet. </t>
  </si>
  <si>
    <t>Each case is numbered and can be selected by inputting the case number in the box marked</t>
  </si>
  <si>
    <t>Select test case number to be replayed’. [N.B. After the case number is entered press the 'Enter' key.]</t>
  </si>
  <si>
    <t>The selected test case can be activated by pressing 'Replay selected case' button on the 'Test case index' sheet.</t>
  </si>
  <si>
    <t xml:space="preserve">Test cases 1 to 25 use identical data to STR test cases 1 to 25, and should produce identical results. </t>
  </si>
  <si>
    <t>Recording new test cases</t>
  </si>
  <si>
    <t>New test cases can be quickly added to the existing business test cases.</t>
  </si>
  <si>
    <t>All new cases will comply with the business validation rules, but may not 'realistic' examples of actual MTRs.</t>
  </si>
  <si>
    <t>To create a new test case:</t>
  </si>
  <si>
    <t>1. Select the required components on the 'Selector' and 'More Select' sheets</t>
  </si>
  <si>
    <t>2. Select any required ‘case variable data’ (e.g. date of birth - see note a).</t>
  </si>
  <si>
    <t>3. Press the ‘Test this case’ button.</t>
  </si>
  <si>
    <t>4. Press the 'Record this case' button on the 'Selector' and 'More Select' sheets</t>
  </si>
  <si>
    <t xml:space="preserve">The summary of test components and case specific data needed to re-run this case will be stored in the next </t>
  </si>
  <si>
    <t>vacant row on the Test Case index' sheet. Once the case is stored it can be 'replayed' as any other test</t>
  </si>
  <si>
    <t>case.</t>
  </si>
  <si>
    <t xml:space="preserve">Note a: The test case generator does not have true date processing capability. There are 5 pre-set dates of birth </t>
  </si>
  <si>
    <t>and these are the only dates the spreadsheet will recognise.</t>
  </si>
  <si>
    <t>Amending test cases</t>
  </si>
  <si>
    <t xml:space="preserve">Test case data will remain in the input sheets until the ‘Reset calculation’ button on the ‘Add pages’ sheet is </t>
  </si>
  <si>
    <t>pressed. That data can be amended, by going to the input sheet and over-typing the box entries.</t>
  </si>
  <si>
    <t>The 'Calculate Now' button on the 'Add pages' sheet will cause certain outputs to be regenerated using the</t>
  </si>
  <si>
    <t>amended figures.</t>
  </si>
  <si>
    <t xml:space="preserve">Note: Where components are being used, amending the input sheets will not change the figures on the </t>
  </si>
  <si>
    <t>component. The 'test case' sheet is generated from components and will not show the amended figures.</t>
  </si>
  <si>
    <t xml:space="preserve"> If the test case is recorded the original figures (not amendments) will be stored.</t>
  </si>
  <si>
    <t>'Test this case' will remove the amendments and restore the original figures.</t>
  </si>
  <si>
    <t>Outputs from the Tester</t>
  </si>
  <si>
    <t xml:space="preserve">Whatever mode the Tester is used in, the following worksheets are always produced: </t>
  </si>
  <si>
    <t xml:space="preserve">SA302 - This is the tax calculation formatted in the style of pages 3/4 of form SA302 </t>
  </si>
  <si>
    <t xml:space="preserve">Liability - SA110 boxes CAL1 to CAL8 </t>
  </si>
  <si>
    <t>Additionally, when components are used, the following worksheets appear:</t>
  </si>
  <si>
    <t xml:space="preserve">Test case - This combines all the data from the selected components into a complete 'MTR'. </t>
  </si>
  <si>
    <t>The identities of components used appear on all outputs.</t>
  </si>
  <si>
    <t>All output sheets appear between the 'Add pages' and 'INC(1)' worksheets.</t>
  </si>
  <si>
    <t>Adjustments made to produce more realistic cases</t>
  </si>
  <si>
    <t xml:space="preserve">1. On the ‘More select’ worksheet there is a tick box to indicate the taxpayer is exempt from paying Class 4 NIC. </t>
  </si>
  <si>
    <t xml:space="preserve">This will be set to 'Y' automatically if the taxpayer is aged over 65 or is non-resident. </t>
  </si>
  <si>
    <t>It will be ignored if no component SSE, FSE, LUN, SPS or FPS is selected.</t>
  </si>
  <si>
    <t xml:space="preserve">2. The value for box FOR2 (Foreign Tax Credit Relief) is not stored in the FOR component. It is calculated for each </t>
  </si>
  <si>
    <t>test case that uses this component.</t>
  </si>
  <si>
    <t>3. Coded underpayment will be ignored if the is no PAYE source (EMP or MOR) selected.</t>
  </si>
  <si>
    <t>Problem &amp; query reporting</t>
  </si>
  <si>
    <t xml:space="preserve">If you have a problem or query you want to refer to HMRC CDIO please quote the </t>
  </si>
  <si>
    <t>case number (if it involves a business supplied test case) or the components used.</t>
  </si>
  <si>
    <t>Accessing &amp; Navigating SEES – SA Tax Calculator</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</si>
  <si>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</si>
  <si>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</si>
  <si>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</si>
  <si>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</si>
  <si>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</si>
  <si>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</si>
  <si>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</si>
  <si>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</si>
  <si>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</si>
  <si>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</si>
  <si>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</si>
  <si>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</si>
  <si>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</si>
  <si>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</si>
  <si>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</si>
  <si>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</si>
  <si>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</si>
  <si>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</si>
  <si>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</si>
  <si>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</si>
  <si>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</si>
  <si>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</si>
  <si>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</si>
  <si>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From 2016-17 the P11ws and P60 were changed so that the columns for 1c and 1d are combined into one column that has earnings from PT to UEL.</t>
  </si>
  <si>
    <t>On NPS &gt; Employment &gt; P14 Summary take the figures from column 1c and 1d</t>
  </si>
  <si>
    <t>Select the 'Calculate Now' button to reveal the SA302 tax calculation</t>
  </si>
  <si>
    <t>The SA302 Calculation – here you can see what the customers SA302 looks like based on the entries you have made</t>
  </si>
  <si>
    <t>On the 'Add pages' worksheet select the Reset calculation button to clear all entries and close pages before</t>
  </si>
  <si>
    <t>entering the details for another case</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</si>
  <si>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</si>
  <si>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</si>
  <si>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</si>
  <si>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FTCR - see the guidance at</t>
  </si>
  <si>
    <t>http://bg.inrev.gov.uk/tax/actionguides/40100/tax40072_main.htm</t>
  </si>
  <si>
    <t>http://bg.inrev.gov.uk/tax/helpcards/tax50104.pdf</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</si>
  <si>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</si>
  <si>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</si>
  <si>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</si>
  <si>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</si>
  <si>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</si>
  <si>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</si>
  <si>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</si>
  <si>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</si>
  <si>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From 2015-16 changes were made to:</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</si>
  <si>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</si>
  <si>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</si>
  <si>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</si>
  <si>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</si>
  <si>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</si>
  <si>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Savings Income</t>
  </si>
  <si>
    <t>From 06 April 2016 the Personal Savings Allowance (PSA) introduces a new 0% band for Income Tax on income from savings interest.</t>
  </si>
  <si>
    <t xml:space="preserve">This will apply up to a maximum of </t>
  </si>
  <si>
    <t>£1000 for basic rate customers (20%)</t>
  </si>
  <si>
    <t>£500 for higher rate customers (40%)</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</si>
  <si>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</si>
  <si>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</si>
  <si>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</si>
  <si>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</si>
  <si>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</si>
  <si>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</si>
  <si>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</si>
  <si>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Dividends</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</si>
  <si>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</si>
  <si>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</si>
  <si>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</si>
  <si>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</si>
  <si>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</si>
  <si>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</si>
  <si>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</si>
  <si>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</si>
  <si>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</si>
  <si>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The Dividend Allowance nil rate is omitted when establishing the tax rate on income; the Personal Savings  Allowance nil rate is applied when establishing the tax rate on income</t>
  </si>
  <si>
    <t>Age related allowances</t>
  </si>
  <si>
    <t>2016/17 - The age allowance ceases to exist.</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</si>
  <si>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</si>
  <si>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</si>
  <si>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Student Loan changes</t>
  </si>
  <si>
    <t>From 6 April 2016 there will be 2 Student Loan thresholds known as Plan 1 and Plan 2. Previously there was only 1. Each plan will have a different threshold and employers will need to deduct student loan repayments using the appropriate plan type.</t>
  </si>
  <si>
    <t>2017-18</t>
  </si>
  <si>
    <t>Plan 1</t>
  </si>
  <si>
    <t>The threshold will be £17,775 for employees who are :</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</si>
  <si>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</si>
  <si>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</si>
  <si>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</si>
  <si>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</si>
  <si>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</si>
  <si>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Capital Gains tax</t>
  </si>
  <si>
    <t>Each year, individuals have an annual exemption amount that allows them to receive some gains tax-free. Above this, you pay capital gains tax on all gains.</t>
  </si>
  <si>
    <t>Capital gains tax in 2017/18</t>
  </si>
  <si>
    <t>Annual exemption amount</t>
  </si>
  <si>
    <t>£11,300 for individuals</t>
  </si>
  <si>
    <t>Standard capital gains tax rate</t>
  </si>
  <si>
    <t>18% on residential property, 10% on other assets</t>
  </si>
  <si>
    <t>Higher capital gains tax rate</t>
  </si>
  <si>
    <t>28% on residential property, 20% on other assets</t>
  </si>
  <si>
    <t>Further Scottish Income Tax Powers</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</si>
  <si>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</si>
  <si>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</si>
  <si>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</si>
  <si>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</si>
  <si>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</si>
  <si>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</si>
  <si>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</si>
  <si>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</si>
  <si>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</si>
  <si>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</si>
  <si>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</si>
  <si>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</si>
  <si>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t>Scottish income tax rates 2017-18</t>
  </si>
  <si>
    <t>Scottish income tax bands 2017-18</t>
  </si>
  <si>
    <t>UK rate paid in Scotland</t>
  </si>
  <si>
    <t>Scottish rate</t>
  </si>
  <si>
    <t>Total rate for Scottish taxpayers</t>
  </si>
  <si>
    <t>Scottish basic rate - 20%</t>
  </si>
  <si>
    <t>£11,501 - £43,000 (£31,500)</t>
  </si>
  <si>
    <t>Scottish higher rate - 40%</t>
  </si>
  <si>
    <t>£43,001 - £150,000</t>
  </si>
  <si>
    <t>Scottish addittional rate - 45%</t>
  </si>
  <si>
    <t>£150,001 and above</t>
  </si>
  <si>
    <t>Election to reduce the personal allowance or entitlement to receive a tax reduction (Marriage Allowance transfer)</t>
  </si>
  <si>
    <t>Calculate if, after the personal allowance is reduced or tax reduction received, you are liable to tax at a rate other than the</t>
  </si>
  <si>
    <r>
      <t xml:space="preserve">basic rate, the </t>
    </r>
    <r>
      <rPr>
        <b/>
        <sz val="9"/>
        <rFont val="Arial"/>
        <family val="2"/>
      </rPr>
      <t>Scottish basic rate</t>
    </r>
    <r>
      <rPr>
        <sz val="9"/>
        <rFont val="Arial"/>
        <family val="2"/>
      </rPr>
      <t>, the dividend nil rate, the savings nil rate, the dividend ordinary rate or the starting rate for savings</t>
    </r>
  </si>
  <si>
    <t>Personal savings allowance</t>
  </si>
  <si>
    <t>HR Case</t>
  </si>
  <si>
    <t>s12B (8) (b) ITA 2007 - each of the following is “higher-rate income”—</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</si>
  <si>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</si>
  <si>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</si>
  <si>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</si>
  <si>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</si>
  <si>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t>AHR Case</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</si>
  <si>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</si>
  <si>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</si>
  <si>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</si>
  <si>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</si>
  <si>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Used for</t>
  </si>
  <si>
    <t>Test reason</t>
  </si>
  <si>
    <t>Components used</t>
  </si>
  <si>
    <t>Calc figure</t>
  </si>
  <si>
    <t>HMRC Portal</t>
  </si>
  <si>
    <t>Comments</t>
  </si>
  <si>
    <t xml:space="preserve">Scottish customer with income from property, loss b/f and LLIR reduced to zero, savings, dividends. MAT out. Allces to non-savings and dividends (STR 1) </t>
  </si>
  <si>
    <t xml:space="preserve">Components: YPD INC-A REL-A MAT Emp-A PRO </t>
  </si>
  <si>
    <t>YES</t>
  </si>
  <si>
    <t>Basic rate employment, savings and property, loss b/f and LLIR reduced. MAT in digital claim in place, but disallowed because HR. Small Debt Coded with PAYE Tax to cover (STR 2)</t>
  </si>
  <si>
    <t xml:space="preserve">Components: YPD INC-A MAT Emp-A PRO CAL </t>
  </si>
  <si>
    <t>Scottish customer with Higher rate non-savings; basic rate savings; higher rate dividends; PPR; Gift Aid; Digital claim to Marriage Allowance Transfer (MAT) in place where customer is recipient, but disallowed because HR; Class 4 NIC + Class 2 NIC treated as paid (STR 3)</t>
  </si>
  <si>
    <t xml:space="preserve">Components: YPD INC-A REL-A REL-B MAT FIN Emp-A FSE NI2 NI1 CAL </t>
  </si>
  <si>
    <t>Welsh customer with Non-Savings, Savings and Dividends where more beneficial to have some of PA against Savings to position Savings in nil band that would otherwise be in HR, SL repayment case PT02 &amp; PGL03 (STR 4)</t>
  </si>
  <si>
    <t xml:space="preserve">Components: YPD INC-A SLR Emp-A </t>
  </si>
  <si>
    <t>Scottish Customer with self employment profit, Savings starter rate,  Digital claim to Marriage Allowance Transfer (MAT) in place where customer is recipient, Class 4 NIC + Class 2 NIC treated as paid  (STR 5)</t>
  </si>
  <si>
    <t xml:space="preserve">Components: YPD INC-A REL-A MAT FSE NI2 </t>
  </si>
  <si>
    <t>Welsh customer with Non-Savings, Savings and Dividends where more beneficial to have some of PA against Dividends before Non-Savings/Savings (STR 6)</t>
  </si>
  <si>
    <t xml:space="preserve">Components: YPD INC-A INC-B MAT </t>
  </si>
  <si>
    <t>Employment, RAR, Lower income spouse claiming Married Couples Allowance MCA, in year marriage (STR 7)</t>
  </si>
  <si>
    <t xml:space="preserve">Components: YPD INC-B REL-A MCA Emp-A CAL </t>
  </si>
  <si>
    <t>Self employed, state pension (DOB spouse post 1935) MCA in year marriage (STR 8)</t>
  </si>
  <si>
    <t xml:space="preserve">Components: YPD INC-A INC-B MCA FSE NicEx </t>
  </si>
  <si>
    <t>Scottish customer with Self employment, property, savings, dividends, gift aid. Non savings income 'covered' by PA, Savings Starting rate, PSA, Dividend Allowance (DA), Gift Aid, Landlords Loan Interest Relief LLIR reduced to max allowable, additional tax due on gift aid, Class 2 NICs, SL repayment case PT 01 &amp; PGL 03. (STR 9)</t>
  </si>
  <si>
    <t xml:space="preserve">Components: YPD INC-A INC-C REL-B SLR SSE NI2 NI1 NIC2Vol NicEx PRO </t>
  </si>
  <si>
    <t>BR Non savings, Savings BR, Dividends HR, Gift Aid. Beneficial ordering of reliefs and allowances considered - PA set against pension in preference to dividends at HR. This introduced more savings starting rate. (STR 10)</t>
  </si>
  <si>
    <t xml:space="preserve">Components: YPD INC-A INC-B REL-B </t>
  </si>
  <si>
    <t>Scottish customer with Starter, basic &amp; Intermediate rate. PA to Non savings. PSA and DA. Divs in BR, PPR, Gift Aid, LLIR, (STR11)</t>
  </si>
  <si>
    <t xml:space="preserve">Components: YPD INC-A INC-B REL-A REL-B Emp-A PRO CAL </t>
  </si>
  <si>
    <t>Allowances to savings, dividends and non savings. Divs in HR (STR 12)</t>
  </si>
  <si>
    <t xml:space="preserve">Components: YPD INC-A INC-B INC-C </t>
  </si>
  <si>
    <t xml:space="preserve">Kitchen sink with in year MCA to wife (reduced to minimum amount); NIC exempt (STR 13) </t>
  </si>
  <si>
    <t xml:space="preserve">Components: YPD INC-A INC-B INC-C REL-A REL-B FIN MCA Emp-A SSE NI1 NicEx PRO CAL </t>
  </si>
  <si>
    <t>Employment, savings, dividends. PA to non-savings up to basic rate limit and savings to ensure Savings in nil band would otherwise be in higher rate band. Student Loan SL repayment case Plan 02, Basic rate employment, DA, DOR, (STR 14)</t>
  </si>
  <si>
    <t xml:space="preserve">Components: YPD INC-A SLR Emp-A CAL </t>
  </si>
  <si>
    <t>Student Loan SL repayment case Plan 01, RAR, BR self employment, SAV BR, DA, DOR, Class 4 NIC + Class 2 NIC (STR 15)</t>
  </si>
  <si>
    <t xml:space="preserve">Components: YPD INC-A REL-A SLR FSE NI2 </t>
  </si>
  <si>
    <t>Scottish Customer with PRO loss B/F. Reduced PA. SSR, SBR, SIR, SHR, Pension/PRO income, PSA (HR), SAV HR, DA, Dividend Upper Rate DUR, LLIR reduced</t>
  </si>
  <si>
    <t xml:space="preserve">Components: YPD INC-A INC-B REL-C PRO </t>
  </si>
  <si>
    <t>Welsh, Student Loan SL repayment case PGL Plan 03, PPR, BR Employment/PRO, PSA (HR), DA, DUR, LLIR to max allowable,  Small Debt Coded with PAYE Tax to cover (STR 17)</t>
  </si>
  <si>
    <t xml:space="preserve">Components: YPD INC-A REL-A SLR Emp-A PRO CAL </t>
  </si>
  <si>
    <t>Welsh. Allcs set against NS, Sav &amp; Div. BR Employment. Underpaid Tax for earlier years, Underpaid tax included in CY tax code. (STR 18)</t>
  </si>
  <si>
    <t xml:space="preserve">Components: YPD INC-A Emp-A CAL </t>
  </si>
  <si>
    <t>BR/Employment/ Pension, SAV SR, PSA (HR), SAV BR, DA, DOR, DUR, Small debt coded no PAYE Tax (STR19)</t>
  </si>
  <si>
    <t xml:space="preserve">Components: YPD INC-A INC-B REL-B Emp-A </t>
  </si>
  <si>
    <t>SAV SR, PSA (HR), SAV BR, DA, DOR, DUR, Tax deducted on interest ( STR 20)</t>
  </si>
  <si>
    <t xml:space="preserve">Components: YPD INC-A REL-A MAT Emp-A </t>
  </si>
  <si>
    <t>BR employment, SAV SR, PSA (HR), SAV BR, SAV HR,  DA, DUR, Tax deducted on interest ( STR 21)</t>
  </si>
  <si>
    <t>BR Self employment, PSA, SAV AR, DA, Class 4 NIC + Class 2 NIC, Tax deducted on interest ( STR 22)</t>
  </si>
  <si>
    <t xml:space="preserve">Components: YPD INC-A Emp-A SSE NI2 NI1 </t>
  </si>
  <si>
    <t>Higher Rate (HR)BR employment/PRO, PSA (HR), DA, DOR, DUR,  Marriage Allowance Transfer (MAT) Digital Claim (out) not allowed as HR,  Small Debt Coded with PAYE Tax to cover (STR 23)</t>
  </si>
  <si>
    <t xml:space="preserve">Components: YPD INC-A REL-A MAT Emp-A FSE NI2 PRO CAL </t>
  </si>
  <si>
    <t xml:space="preserve">Scottish customer with BPR, Pension/OI, SSR, SBR, SIR, PSA (HR), DA, DOR, DUR,  Tax deducted on interest (STR 24) </t>
  </si>
  <si>
    <t xml:space="preserve">Components: YPD INC-A INC-B INC-C REL-C </t>
  </si>
  <si>
    <t>BR Employment/self employment/PRO/Pension/OI, PSA (HR), DA, DOR, DUR ,LLIR reduced to max allowable, Class 4 NIC + Class 2 NIC (STR 25)</t>
  </si>
  <si>
    <t xml:space="preserve">Components: YPD INC-A INC-B INC-C MAT Emp-A SSE FSE NI2 NI1 PRO </t>
  </si>
  <si>
    <t>Welsh, MAT_IN with Gift Aid payments where beneficial to allocate PA £997 to dividends which is less beneficial than set against non-savings but retains MAT_IN (STR26)</t>
  </si>
  <si>
    <t xml:space="preserve">Components: YPD INC-A REL-B MAT Emp-A </t>
  </si>
  <si>
    <t>Scottish, PA + BPR, MAT_IN with Gift Aid payments where taxable at SIR_band rate (STR27)</t>
  </si>
  <si>
    <t xml:space="preserve">Components: YPD INC-A REL-B REL-C MAT Emp-A FSE PRO </t>
  </si>
  <si>
    <t>PA to non-savings and savings but no different if all PA to non-savings (STR28)</t>
  </si>
  <si>
    <t>Scottish Additional Rate, Top Rate customer (STR29)</t>
  </si>
  <si>
    <t xml:space="preserve">Components: YPD INC-A INC-C REL-A SLR Emp-A </t>
  </si>
  <si>
    <t>Welsh Additional Rate customer (STR30)</t>
  </si>
  <si>
    <t xml:space="preserve">Components: YPD INC-A REL-A Emp-A FSE NI2 NI1 CAL </t>
  </si>
  <si>
    <t>Scottish customer (STR31)</t>
  </si>
  <si>
    <t xml:space="preserve">Components: YPD INC-B REL-A SLR Emp-A SSE NI2 </t>
  </si>
  <si>
    <t>rUK customer with SSL</t>
  </si>
  <si>
    <t xml:space="preserve">Components: YPD INC-A REL-A REL-B SLR AOR Emp-A FSE NI2 NI1 </t>
  </si>
  <si>
    <t>Welsh customer with SSL, PGL</t>
  </si>
  <si>
    <t xml:space="preserve">Components: YPD INC-A SLR Emp-A FSE NI2 PRO </t>
  </si>
  <si>
    <t>Scottish customer, Employment, Int, Divs, RAR, coded debt</t>
  </si>
  <si>
    <t xml:space="preserve">Components: YPD INC-A REL-A Emp-A CAL </t>
  </si>
  <si>
    <t>Employment, self-employment, other inc, savings in SR band</t>
  </si>
  <si>
    <t xml:space="preserve">Components: YPD INC-A INC-C AOI-B Emp-A FSE NI2 NIC2Vol </t>
  </si>
  <si>
    <t>Property income, savings, pension , MCA</t>
  </si>
  <si>
    <t xml:space="preserve">Components: YPD INC-A INC-B MCA FSE PRO </t>
  </si>
  <si>
    <t>Property income, savings dividends, pensions, MAT, gift aid charge</t>
  </si>
  <si>
    <t xml:space="preserve">Components: YPD INC-A INC-B INC-C REL-B MAT PRO </t>
  </si>
  <si>
    <t>Employment, self-employment, Div, Class 2 NICs treated as paid</t>
  </si>
  <si>
    <t xml:space="preserve">Components: YPD INC-A REL-B FIN Emp-A FSE NI2 </t>
  </si>
  <si>
    <t>Employment, RAR, reduced PA, SAV, DIV</t>
  </si>
  <si>
    <t xml:space="preserve">Components: YPD INC-A REL-A Emp-A PRO </t>
  </si>
  <si>
    <t>Employment, savings, dividends,pensions, reduced PA, gift aid</t>
  </si>
  <si>
    <t xml:space="preserve">Components: YPD INC-A INC-B REL-B Emp-A PRO </t>
  </si>
  <si>
    <t xml:space="preserve">Employment, Other income, Savings, Student Loan repayment (plan 01) SL, Chargeable Event Gains CEG, Top Slicing Relief TSR, Additional rate  </t>
  </si>
  <si>
    <t xml:space="preserve">Components: YPD INC-A INC-C REL-A SLR AOI-B Emp-A Emp-B PRO </t>
  </si>
  <si>
    <t>employment, Savings, Dividends, Losses from SSE set against other income + Marriage Allowance Transfer transferred  (MAT_OUT) Voluntary Class 2</t>
  </si>
  <si>
    <t xml:space="preserve">Components: YPD INC-A MAT Emp-A SSE NI2 NI1 NIC2Vol </t>
  </si>
  <si>
    <t>Employment income over £100,000, Savings and dividends, no PA, Blind Person Relief BPR due, CGT</t>
  </si>
  <si>
    <t xml:space="preserve">Components: YPD INC-A REL-C MAT Emp-A CGT </t>
  </si>
  <si>
    <t xml:space="preserve">Self employed, Trusts, Student Loan repayment SL (Plan 01), S/E Losses set against other income. CIS deductions, </t>
  </si>
  <si>
    <t xml:space="preserve">Components: YPD SLR MAT SSE FSE NI2 TRU </t>
  </si>
  <si>
    <t>NO</t>
  </si>
  <si>
    <t>Property income, Relief for Finance Costs (Landlord Loan Savings Relief), UK and Foreign Chargeable Event Gains CEG, Top Slicing Relief TSR due; Notional tax; Basic  MCA , 50% to partner.</t>
  </si>
  <si>
    <t xml:space="preserve">Components: YPD AOI-B MCA PRO FOR </t>
  </si>
  <si>
    <t>Pension, Savings and dividends. Non-UK Resident, 'normal' s23 calculation more beneficial (s811)</t>
  </si>
  <si>
    <t xml:space="preserve">Components: YPD INC-A INC-B NRD </t>
  </si>
  <si>
    <t>Propert Income, Pensions, Dividends. Non-UK Resident, non resident calculation more beneficial (s811 disregarded income).Relief for Finance Costs (Landlord Loan Savings Relief)</t>
  </si>
  <si>
    <t xml:space="preserve">Components: YPD INC-A INC-B PRO CGT NRD </t>
  </si>
  <si>
    <t>Property Income, Pensions and Dividends.Non-UK Resident, non resident calculation more beneficial (s811 disregarded income); MAT_IN but removed from calculation; Relief for Finance Costs (Landlord Loan Savings Relief)</t>
  </si>
  <si>
    <t xml:space="preserve">Components: YPD INC-A INC-B MAT PRO NRD </t>
  </si>
  <si>
    <t>Multiple employment and share scheme. Box Fin1, CAL7/8 completed, Income over £100,000 PA reduced to Nil, Enterprise Investment Scheme relief EIS, &amp; Social Investment Tax Relief SITR</t>
  </si>
  <si>
    <t xml:space="preserve">Components: YPD FIN ASE-A AOR Emp-A Emp-B CAL </t>
  </si>
  <si>
    <t>Employment, Foreign and Partnership income. Losses from FPS20 set against other income; balance BR to CGT; FPS Relief for Finance Costs (Landlord Loan Savings Relief).Voluntary Class 2, CGT.</t>
  </si>
  <si>
    <t xml:space="preserve">Components: YPD Emp-A Emp-B FPS NI2 NI1 NIC2Vol FOR TCR CGT </t>
  </si>
  <si>
    <t xml:space="preserve">Partnership, Foreign Income, Foreign Dividends, Trust Income, RAR, Annuities, trade union death benefit, widows and orphan relief.Class 2. FOR Relief for Finance Costs (Landlord Loan Savings Relief). </t>
  </si>
  <si>
    <t xml:space="preserve">Components: YPD REL-A SLR ASE-B AOR Emp-A SPS FPS NI2 FOR TCR TRU </t>
  </si>
  <si>
    <t>Kitchen sink, multiple sources, PA reduced to Nil,Losses, RAR, TRU &amp; FOR Relief for Finance Costs (Landlord Loan Savings Relief), CEG, MCA, CGT</t>
  </si>
  <si>
    <t xml:space="preserve">Components: YPD INC-A INC-B INC-C REL-A REL-B FIN AOI-A AOI-B AOI-C ASE-A ASE-B ASE-C AOR MCA Emp-A Emp-B SSE SPS FPS NI2 NI1 PRO FOR TCR TRU CGT </t>
  </si>
  <si>
    <t>Self employment, Savings, Dividends, Lump Sum income. Class 2, No Class 4 due. Student Loan Undergraduate and Postgraduate Loans Plan Types 02 and 03.</t>
  </si>
  <si>
    <t xml:space="preserve">Components: YPD INC-A SLR ASE-B Emp-A SSE NI2 </t>
  </si>
  <si>
    <t>Higher rate Scottish taxpayer with non-savings and savings income with pension payments with relief at source increasing Scottish and English &amp; NI basic rates</t>
  </si>
  <si>
    <t xml:space="preserve">Components: YPD INC-A REL-A SLR Emp-A Emp-B </t>
  </si>
  <si>
    <t>Pension, savings, and dividend income with Chargeable Event Gain, Stock Dividends and taxable short service refund (overseas schemes) and Capital Gains. More beneficial to have CEG in HRNilBand than savings in BRNilBand</t>
  </si>
  <si>
    <t xml:space="preserve">Components: YPD INC-A INC-B REL-B AOI-B CGT </t>
  </si>
  <si>
    <t>Pay, Dividends and Chargeable Event Gains ensuring no Allcs allocated to CEG</t>
  </si>
  <si>
    <t xml:space="preserve">Components: YPD INC-A AOI-B Emp-A NicEx </t>
  </si>
  <si>
    <t>EX121 Employment, Savings and Dividend income and Qualifying Loan Interest Payments</t>
  </si>
  <si>
    <t xml:space="preserve">Components: YPD INC-A REL-B AOR Emp-A Emp-B NI2 </t>
  </si>
  <si>
    <t>Self employment, Foreign income and Foreign Dividends. Class 4 and Class 2 NIC,  Reduced PA and Losses. FOR Relief for Finance Costs (Landlord Loan Savings Relief)</t>
  </si>
  <si>
    <t xml:space="preserve">Components: YPD FSE NI2 FOR TCR </t>
  </si>
  <si>
    <t>Non-UK resident with Taxed Savings, Property income, and Venture Capital Trust subcriptions</t>
  </si>
  <si>
    <t xml:space="preserve">Components: YPD INC-A AOR PRO NRD </t>
  </si>
  <si>
    <t>Trust, Savings, Dividends and CEG,TSR not due</t>
  </si>
  <si>
    <t xml:space="preserve">Components: YPD INC-A REL-B AOI-B TRU </t>
  </si>
  <si>
    <t>Employment, Pension Savings and CEG, top slicing relief due, State pension lump sum.</t>
  </si>
  <si>
    <t xml:space="preserve">Components: YPD INC-A INC-B AOI-B Emp-A </t>
  </si>
  <si>
    <t>Pension Foreign Dividends and Savings. In year MCA claim and gift aid.</t>
  </si>
  <si>
    <t xml:space="preserve">Components: YPD INC-A INC-B REL-B MCA </t>
  </si>
  <si>
    <t>Employment, Savings and Dividends. PA reduced to nil BPA claim, FIN1 entry, Deficiency relief, EIS, relief for qualifying distribution.</t>
  </si>
  <si>
    <t xml:space="preserve">Components: YPD INC-A REL-C FIN AOI-B AOR Emp-A </t>
  </si>
  <si>
    <t>Self employed, Pension and other income. Gift aid, CGT chargeable at more than one CGT rate</t>
  </si>
  <si>
    <t xml:space="preserve">Components: YPD INC-B INC-C REL-B COV FSE NicEx CGT </t>
  </si>
  <si>
    <t>Pension, Other income, Savings and Dividends.</t>
  </si>
  <si>
    <t xml:space="preserve">Components: YPD INC-A INC-B INC-C COV </t>
  </si>
  <si>
    <t>Pension, Other income, Savings, Dividends and Gift Aid</t>
  </si>
  <si>
    <t xml:space="preserve">Components: YPD INC-A INC-B INC-C REL-B </t>
  </si>
  <si>
    <t>Employment, Pension, Other income, Dividends, Foreign Dividends and Savings.</t>
  </si>
  <si>
    <t xml:space="preserve">Components: YPD INC-A INC-B INC-C AOI-C Emp-A </t>
  </si>
  <si>
    <t>EX121 Property income, Dividends and CGT.</t>
  </si>
  <si>
    <t xml:space="preserve">Components: YPD INC-A PRO CGT </t>
  </si>
  <si>
    <t>Pension, Other income, Savings, Dividends, Gift Aid and CGT</t>
  </si>
  <si>
    <t xml:space="preserve">Components: YPD INC-A INC-B INC-C REL-B AOI-A CGT </t>
  </si>
  <si>
    <t>Self employment, Pension, Property income and Savings. MCA. Beneficial ordering</t>
  </si>
  <si>
    <t xml:space="preserve">Components: YPD INC-A INC-B MCA SSE NicEx PRO </t>
  </si>
  <si>
    <t>Savings and Dividends. MCA. CGT</t>
  </si>
  <si>
    <t xml:space="preserve">Components: YPD INC-A MCA CGT </t>
  </si>
  <si>
    <t>Property income, Other income, Pension, Savings and Dividends. Losses and MCA reduced due to Age related income limits.</t>
  </si>
  <si>
    <t xml:space="preserve">Components: YPD INC-A INC-B INC-C MCA PRO </t>
  </si>
  <si>
    <t>Pension, Savings, Dividends and Gift Aid, Tax due on Gift Aid more than tax paid by individual</t>
  </si>
  <si>
    <t xml:space="preserve">Components: YPD INC-A INC-B REL-B MCA FSE </t>
  </si>
  <si>
    <t xml:space="preserve">Pension and CGT including entreprenueral gains </t>
  </si>
  <si>
    <t xml:space="preserve">Components: YPD INC-A INC-B REL-B CGT </t>
  </si>
  <si>
    <t>Pension, Savings, Dividends and In year MCA claim.</t>
  </si>
  <si>
    <t xml:space="preserve">Components: YPD INC-A INC-B MCA </t>
  </si>
  <si>
    <t>Employment, Savings and Dividend income and Qualifying Loan Interest Payments &amp; Qualifying loan interest payable in the year</t>
  </si>
  <si>
    <t xml:space="preserve">Components: YPD INC-A REL-B AOR SSE FSE FPS NI2 PRO FOR </t>
  </si>
  <si>
    <t>Property income, Trust and CEG. Losses, Relief for Finance Costs (Landlord Loan Savings Relief) and CITR claimed.</t>
  </si>
  <si>
    <t xml:space="preserve">Components: YPD REL-A AOI-B AOR FPS PRO TRU </t>
  </si>
  <si>
    <t>Employment, Pension and Property income. Gift Aid including carry back gift aid, MCA and CGT.</t>
  </si>
  <si>
    <t xml:space="preserve">, </t>
  </si>
  <si>
    <t xml:space="preserve">Components: YPD INC-B REL-B Emp-A FSE FPS PRO CGT </t>
  </si>
  <si>
    <t>Employment income, PPR</t>
  </si>
  <si>
    <t xml:space="preserve">Components: YPD REL-A AIL Emp-A Emp-B FPS </t>
  </si>
  <si>
    <t>Employment, Self employment, Pension, Savings and Dividends. RAR, in year MCA reduced due to income limits.</t>
  </si>
  <si>
    <t xml:space="preserve">Components: YPD INC-A INC-B REL-A MCA Emp-A FSE NI1 NicEx </t>
  </si>
  <si>
    <t>Incapacity Benefit, BPA. Gift Aid with no tax paid.</t>
  </si>
  <si>
    <t xml:space="preserve">Components: YPD INC-A INC-B REL-B REL-C FPS </t>
  </si>
  <si>
    <t xml:space="preserve">Employment, Self employment, Pension, Property and Dividends income. In year MCA claimed reduced due to income limits and RAR. </t>
  </si>
  <si>
    <t xml:space="preserve">Components: YPD INC-A INC-B INC-C REL-A REL-B FIN MCA Emp-A FSE FPS NI1 NicEx PRO </t>
  </si>
  <si>
    <t>Employment, Partnership, Pension, Property and Dividends income with state pension Lump Sum. Losses, Relief for Finance Costs (Landlord Loan Savings Relief) and Community investment relief.</t>
  </si>
  <si>
    <t xml:space="preserve">Components: YPD INC-A INC-B REL-B AOI-A AOR MOR SSE SPS FPS NicEx PRO CAL </t>
  </si>
  <si>
    <t>Foreign Income, Foreign Dividends, Divenden and Savings. CEG, Non-Resident, Remittance basis charge for Non Dom and TSR = 0 (previously incorrectly £0.02)</t>
  </si>
  <si>
    <t xml:space="preserve">Components: YPD INC-A AOI-B FOR NRD </t>
  </si>
  <si>
    <t>Partnership, Pension, Savings and Dividend income. In year Repayment results in underpaid amount on SA302. Beneficial ordering in calc with transition profit</t>
  </si>
  <si>
    <t xml:space="preserve">Components: YPD INC-A INC-B COV FIN FSE FPS </t>
  </si>
  <si>
    <t>Self employment, Savings and Dividends. RAR, PPR Losses, Gifts of property to charity, Disguised Remuneration DR AIL22.</t>
  </si>
  <si>
    <t xml:space="preserve">Components: YPD INC-A REL-A REL-B AIL FSE NI2 </t>
  </si>
  <si>
    <t>Pension, Other income and State Pension lump sum. RAR, Gift Aid  and gift aid relief backdated (REL8)</t>
  </si>
  <si>
    <t xml:space="preserve">Components: YPD INC-B INC-C REL-A REL-B FSE </t>
  </si>
  <si>
    <t xml:space="preserve">Employment and Dividend income. RAR and Pension taxable short service refund, stock dividends </t>
  </si>
  <si>
    <t xml:space="preserve">Components: YPD REL-A AOI-C AIL Emp-A Emp-B FSE </t>
  </si>
  <si>
    <t>Employment income, Self employment Losses set off against other income + no digital claim to Marriage Allowance Transfer (MAT_OUT) but MAT claimed on Return. Class 2 NIC</t>
  </si>
  <si>
    <t xml:space="preserve">Components: YPD MAT Emp-A SSE FSE NI2 NI1 NIC2Vol </t>
  </si>
  <si>
    <t>Self employment, Pension and other Income. State pension lump sum.</t>
  </si>
  <si>
    <t xml:space="preserve">Components: YPD INC-A INC-B INC-C SSE FSE FPS NicEx </t>
  </si>
  <si>
    <t>Scottish, Employment and Property income. Seafarers deduction ASE11. Pension taxf charge AIL10. Relief for Finance Costs (Landlord Loan Savings Relief).</t>
  </si>
  <si>
    <t xml:space="preserve">Components: YPD REL-B ASE-B ASE-C AIL Emp-A PRO CGT </t>
  </si>
  <si>
    <t>Scottish Customer, Self employment, Property income, Savings and Dividends. Property losses from FL to c/f to lettings inc (PRO17), Deficiency relief on both savings and dividends.</t>
  </si>
  <si>
    <t xml:space="preserve">Components: YPD INC-A REL-A REL-B AOI-B AOR FSE NI2 PRO </t>
  </si>
  <si>
    <t>Self employment, Property income, Savings and Dividends. RAR, S/E Losses, Annuity, Gift Aid to charity.Deficiency relief on both savings and dividends. Class 4 and Class 2 NIC.</t>
  </si>
  <si>
    <t>MOR, Property income, Foreign income, Foreign Dividends Other income, CEG, Savings and Dividens. RAR. PPR, Gift Aid. CGT. Tests TSR change</t>
  </si>
  <si>
    <t xml:space="preserve">Components: YPD INC-A INC-C REL-A REL-B FIN AOI-B AOI-C MOR PRO FOR TCR CGT CAL </t>
  </si>
  <si>
    <t>Self employment, Savings and Dividends. RAR, S/E Losses. Cash basis adjustment FSE70 and Class 4 NIC adjustment FSE101, Class 2 NIC</t>
  </si>
  <si>
    <t xml:space="preserve">Components: YPD REL-A FIN AOI-A AOI-C FSE NI2 </t>
  </si>
  <si>
    <t>Employment, Self employment, Pension, Savings and Dividend income, RAR, Property Losses and Relief for Finance Costs (Landlord Loan Savings Relief), including AOR12. Class 2 and 4 NIC.</t>
  </si>
  <si>
    <t xml:space="preserve">Components: YPD INC-B REL-A REL-B FIN AOI-A AOI-C ASE-C AOR Emp-A FSE NI2 NI1 PRO </t>
  </si>
  <si>
    <t>Partnership, Other income and Savings. Basis adjustment SPS9, tax deducted partnerships SPS27 and SPS29. EIS releif. Class 2 and 4 NIC.</t>
  </si>
  <si>
    <t xml:space="preserve">Components: YPD INC-C REL-A REL-B FIN AOI-A AOR SPS NI2 </t>
  </si>
  <si>
    <t>Partnership, Other income, Pension, CEG, Savings and Dividends. State Pension Lump Sum. Voluntary Class 2 NIC</t>
  </si>
  <si>
    <t xml:space="preserve">Components: YPD INC-A INC-B INC-C AOI-A AOI-B SPS NI2 NIC2Vol </t>
  </si>
  <si>
    <t>Partnership, Intersest and Foreign Dividends. RAR, Losses from property on partnerships,  Deficiency Relief. Gift Aid to Charity and BPA.</t>
  </si>
  <si>
    <t xml:space="preserve">Components: YPD INC-A REL-A REL-B REL-C AOI-B FPS NI2 </t>
  </si>
  <si>
    <t>Partnership, Property and Dividend income. Partnership and Property Losses. FPS Relief for Finance Costs (Landlord Loan Savings Relief). No PA.</t>
  </si>
  <si>
    <t xml:space="preserve">Components: YPD INC-A REL-B FPS NI2 PRO </t>
  </si>
  <si>
    <t>Partnership, Property, Dividends and CEG. Gift Aid, Losses, FPS Relief for Finance Costs (Landlord Loan Savings Relief). Class 2 and 4 NIC. CGT.</t>
  </si>
  <si>
    <t xml:space="preserve">Components: YPD INC-A REL-B AOI-B AOI-C AOR FPS NI2 PRO CGT </t>
  </si>
  <si>
    <t>Employment income, Savings, Divendends and Foreign Dividends. Student Loan SL (plan 1).</t>
  </si>
  <si>
    <t xml:space="preserve">Components: YPD INC-A REL-B SLR Emp-A Emp-B CAL </t>
  </si>
  <si>
    <t>Self employment, Property income and CEG. Income over £150,000, Property and S/E losses, Gift Aid.CGT, VCT, EIS and SEIS</t>
  </si>
  <si>
    <t xml:space="preserve">Components: YPD REL-B FIN AOI-B AOR FSE NI2 PRO CGT </t>
  </si>
  <si>
    <t>Employment, Self employment, Partnership income and CEG. TSR and gift aid</t>
  </si>
  <si>
    <t xml:space="preserve">Components: YPD REL-B AOI-B Emp-A SSE SPS NI2 </t>
  </si>
  <si>
    <t>Employment, Pension, Property, Savings and CEG. Relief for Finance Costs (Landlord Loan Savings Relief).</t>
  </si>
  <si>
    <t xml:space="preserve">Components: YPD INC-A INC-B COV AOI-B Emp-A </t>
  </si>
  <si>
    <t>Employment income, Redundancy Lump sum, Dividends and CEG.</t>
  </si>
  <si>
    <t xml:space="preserve">Components: YPD INC-A AOI-B ASE-B Emp-A </t>
  </si>
  <si>
    <t>Partnership, Savings, Dividends and CEG income. CGT and PPR. Class 2 and 4 NIC.</t>
  </si>
  <si>
    <t xml:space="preserve">Components: YPD INC-A REL-A AOI-B SPS NI2 CGT </t>
  </si>
  <si>
    <t>Property income, Trust income, Pension, Savings and Dividends. Losses,  Relief for Finance Costs (Landlord Loan Savings Relief) and CITR. Test TSR change</t>
  </si>
  <si>
    <t xml:space="preserve">Components: YPD INC-B AOI-A AOI-B AOI-C AOR FPS NicEx TRU </t>
  </si>
  <si>
    <t>Employment, Pension, Dividends, Foreign income and Foreign dividends. Losses, Relief for Finance Costs (Landlord Loan Savings Relief) and Community investment relief.</t>
  </si>
  <si>
    <t xml:space="preserve">Components: YPD INC-B AOI-C AOR Emp-A Emp-B PRO FOR TCR </t>
  </si>
  <si>
    <t>Self employment, Partnership and Trust income. Student Loan (plan2) SL, CGT, Income over £100000 with losses, RAR, PPR and Gift Aid. VCT, SEISR and EIS</t>
  </si>
  <si>
    <t xml:space="preserve">Components: YPD REL-A REL-B SLR FIN AOR FSE FPS NI2 TRU CGT </t>
  </si>
  <si>
    <t xml:space="preserve">MOR, Employments and Trusts income. </t>
  </si>
  <si>
    <t xml:space="preserve">Components: YPD Emp-A MOR TRU CAL </t>
  </si>
  <si>
    <t xml:space="preserve">Employment income, Savings.  Relief for Finance Costs (Landlord Loan Savings Relief). Lump sum, CAL7/8, PA reduced to Nil </t>
  </si>
  <si>
    <t xml:space="preserve">Components: YPD INC-A ASE-B Emp-A Emp-B PRO CAL </t>
  </si>
  <si>
    <t>Partnership, Property, Trusts, Other income, Savings, Dividends, Foreign income and Foreign Dividends. Losses, PA reduced to Nil, gifts to charity,  Relief for Finance Costs (Landlord Loan Savings Relief), CGT. Class 2 and 4 NIC.</t>
  </si>
  <si>
    <t xml:space="preserve">Components: YPD INC-A INC-C REL-B SPS FPS NI2 PRO FOR TCR TRU CGT </t>
  </si>
  <si>
    <t>Self Employment and Share Schemes. Class 2 and 4 NIC.</t>
  </si>
  <si>
    <t xml:space="preserve">Components: YPD ASE-A SSE NI2 </t>
  </si>
  <si>
    <t xml:space="preserve">Pension income, S/E Losses. CGT. </t>
  </si>
  <si>
    <t xml:space="preserve">Components: YPD INC-B SSE FSE NI2 CGT </t>
  </si>
  <si>
    <t>Employment income, Lloyds Underwriters, Lump Sums, savings and Dividends. Losses and Class 2 NIC.</t>
  </si>
  <si>
    <t xml:space="preserve">Components: YPD INC-A INC-B AOI-B </t>
  </si>
  <si>
    <t>Lloyds Underwriters, Trust and savings. Foreign tax on estates. Class 2 and 4 NIC. CIS deductions.</t>
  </si>
  <si>
    <t xml:space="preserve">Components: YPD INC-A INC-C AOI-B </t>
  </si>
  <si>
    <t>Foreign Tax on Estates, income from Property, Trusts, savings and Dividends. AHR and Ahdiv rates PA reduced to Nil. Relief for Finance Costs (Landlord Loan savings Relief)</t>
  </si>
  <si>
    <t xml:space="preserve">Components: YPD INC-A PRO TRU </t>
  </si>
  <si>
    <t>savings and Dividends. Remittance basis for non-dom. BPA and MCA not due as taxpayer is Non resident</t>
  </si>
  <si>
    <t xml:space="preserve">Components: YPD INC-A REL-C MCA NRD </t>
  </si>
  <si>
    <t>Employment, Dividends, Foreign Income. Remitted Basis - income less than £2000 tick box.</t>
  </si>
  <si>
    <t xml:space="preserve">Components: YPD INC-A Emp-A FOR TCR NRD </t>
  </si>
  <si>
    <t>Employment, Partnership savings income. Student Loan (Plan 1) SL box EMP8 entry, eligible income below £15795</t>
  </si>
  <si>
    <t xml:space="preserve">Components: YPD INC-A SLR Emp-A SPS NI2 CAL </t>
  </si>
  <si>
    <t xml:space="preserve">Employment, Pension and Share Schemes. Student Loan (plan 1). </t>
  </si>
  <si>
    <t xml:space="preserve">Components: YPD INC-B SLR ASE-A Emp-A SSE </t>
  </si>
  <si>
    <t>Pension, savings and Dividends. State pension lump sum 0%. MCA claimed husband, Relief for Finance Costs (Landlord Loan savings Relief). Losses</t>
  </si>
  <si>
    <t xml:space="preserve">Components: YPD INC-A INC-B REL-B MCA AIL PRO </t>
  </si>
  <si>
    <t>Self employment, savings, Dividends and Foreign Dividends. MCA ( half basic to wife ).</t>
  </si>
  <si>
    <t xml:space="preserve">Components: YPD INC-A MCA SSE NicEx </t>
  </si>
  <si>
    <t>savings and Dividends. In year MCA claim.</t>
  </si>
  <si>
    <t xml:space="preserve">Components: YPD INC-A AOI-C MCA </t>
  </si>
  <si>
    <t xml:space="preserve">Pension, Other and shares income, MCA claim with basic MCA to wife   </t>
  </si>
  <si>
    <t xml:space="preserve">Components: YPD INC-B INC-C ASE-A MCA </t>
  </si>
  <si>
    <t>Ministers of Religion, Employment and Self Employment.</t>
  </si>
  <si>
    <t xml:space="preserve">Components: YPD INC-B Emp-A MOR </t>
  </si>
  <si>
    <t xml:space="preserve">Ministers of Religion employment, savings and Dividends, Gift Aid. </t>
  </si>
  <si>
    <t xml:space="preserve">Components: YPD INC-A REL-B MOR </t>
  </si>
  <si>
    <t>Ministers of Religion employment, Other income and Dividends AHR.</t>
  </si>
  <si>
    <t xml:space="preserve">Components: YPD INC-A INC-C MOR </t>
  </si>
  <si>
    <t>Employment and Self Employment. CGT</t>
  </si>
  <si>
    <t xml:space="preserve">Components: YPD Emp-A SSE NI1 NicEx CGT </t>
  </si>
  <si>
    <t>Employment, Other income. S/E losses reduced PA , CEG and Class 2 NIC.</t>
  </si>
  <si>
    <t xml:space="preserve">Components: YPD INC-C Emp-A Emp-B SSE NI2 NI1 NIC2Vol CGT </t>
  </si>
  <si>
    <t xml:space="preserve">Self Employment, Foreign Dividends, savings and Dividends. Class 4 and 2 NIC. </t>
  </si>
  <si>
    <t xml:space="preserve">Components: YPD INC-A FSE NI2 </t>
  </si>
  <si>
    <t>Employment income and voluntary Class 2 NIC. CGT.</t>
  </si>
  <si>
    <t xml:space="preserve">Components: YPD Emp-A FSE NI2 NI1 NIC2Vol FOR CGT </t>
  </si>
  <si>
    <t>Employment, Partnership income, savings and Dividends. Losses, Class 1 NIC contributions reducing Class 4 NIC due and voluntary Class 2.</t>
  </si>
  <si>
    <t xml:space="preserve">Components: YPD INC-A FIN Emp-A FPS NI2 NI1 CGT </t>
  </si>
  <si>
    <t>Employment, Self employment and Partnership. Losses. PA reduced to nil.</t>
  </si>
  <si>
    <t xml:space="preserve">Components: YPD Emp-A FSE FPS NI1 NicEx </t>
  </si>
  <si>
    <t>Partnership, COV1/2, Scottish Customer, Employment, Income from Property and CEG.</t>
  </si>
  <si>
    <t xml:space="preserve">Components: YPD COV AOI-B Emp-A SPS PRO </t>
  </si>
  <si>
    <t xml:space="preserve">Partnership, COV1/2, Employment and Dividend income. Student Loan (plan 1) SL.  investment income &gt;2000, SL repayments via empt </t>
  </si>
  <si>
    <t xml:space="preserve">Components: YPD INC-A SLR COV Emp-A SPS </t>
  </si>
  <si>
    <t>Scottish Customer, Employment, and other income. Interest and dividends. Pension tax charges (AIL10)</t>
  </si>
  <si>
    <t xml:space="preserve">Components: YPD INC-A INC-C SLR AIL Emp-A </t>
  </si>
  <si>
    <t>Scottish Customer. Self employment. Losses, Class 2 and 4 NIC. Pension tax charges (AIL10)</t>
  </si>
  <si>
    <t xml:space="preserve">Components: YPD AIL FSE NI2 </t>
  </si>
  <si>
    <t>Scottish Customer. Self employment and Income from Property. Losses, Relief for Finance Costs (Landlord Loan savings Relief), Pension tax charges (AIL10) and Voluntary Class 2 NIC.</t>
  </si>
  <si>
    <t xml:space="preserve">Components: YPD AIL SSE NI2 NIC2Vol PRO </t>
  </si>
  <si>
    <t>Scottish Customer. Employment, Foreign income and Foreign Dividends. Overseas pension charge; Relief for Finance Costs (Landlord Loan savings Relief). PA reduced to nil.</t>
  </si>
  <si>
    <t xml:space="preserve">Components: YPD AIL Emp-A FOR </t>
  </si>
  <si>
    <t>Scottish Customer. Employment. Reduced PA. Pension tax charges for AIL 7,8 and 9</t>
  </si>
  <si>
    <t xml:space="preserve">Components: YPD AIL Emp-A </t>
  </si>
  <si>
    <t>Lloyds underwriter and savings.</t>
  </si>
  <si>
    <t xml:space="preserve">Components: YPD INC-A LUN NI2 </t>
  </si>
  <si>
    <t>Scottish Customer, Lloyds underwriter, Losses, class 4 NIC, voluntary Class 2 NIC and CGT.</t>
  </si>
  <si>
    <t xml:space="preserve">Components: YPD LUN NI2 CGT </t>
  </si>
  <si>
    <t xml:space="preserve">Scottish customer, Lloyds underwriter. Losses, aged over 65 Nic exempt </t>
  </si>
  <si>
    <t xml:space="preserve">Components: YPD LUN NicEx </t>
  </si>
  <si>
    <t xml:space="preserve">Scottish Customer. Lloyds underwriter, Pension and CEG with TSR </t>
  </si>
  <si>
    <t xml:space="preserve">Components: YPD INC-B AOI-B LUN NicEx </t>
  </si>
  <si>
    <t>Scottish Customer, Lloyds underwriter losses set off against income from property and Voluntary Class 2</t>
  </si>
  <si>
    <t xml:space="preserve">Components: YPD LUN NI2 NIC2Vol PRO </t>
  </si>
  <si>
    <t>Lloyds underwriter, Losses income with pension savings and capital gains, balance BR to gains</t>
  </si>
  <si>
    <t xml:space="preserve">Components: YPD AIL LUN NicEx CGT </t>
  </si>
  <si>
    <t xml:space="preserve">Lloyds underwriter with Trust income and Student Loan (plan 1) repayments </t>
  </si>
  <si>
    <t xml:space="preserve">Components: YPD SLR LUN NI2 TRU </t>
  </si>
  <si>
    <t>Lloyds underwriter with Foreign Income and Foreign Dividends. Losses. Class 2 and 4 NIC</t>
  </si>
  <si>
    <t xml:space="preserve">Components: YPD REL-B LUN NI2 FOR TCR </t>
  </si>
  <si>
    <t>Lloyds underwriter with Self Employment Income. Losses Class 2 and 4 NIC. CGT</t>
  </si>
  <si>
    <t xml:space="preserve">Components: YPD FSE LUN NI2 CGT </t>
  </si>
  <si>
    <t>Lloyds underwriter with employment income. Losses and voluntary Class 2 NIC.</t>
  </si>
  <si>
    <t xml:space="preserve">Components: YPD Emp-A LUN NI2 </t>
  </si>
  <si>
    <t xml:space="preserve">Lloyds underwriter, employment income with Lump Sum , Partnership, savings, Dividends and Other Income, PA reduced to Nil. PPR  </t>
  </si>
  <si>
    <t xml:space="preserve">Components: YPD INC-A INC-C REL-A ASE-B LUN FPS NI2 CGT </t>
  </si>
  <si>
    <t xml:space="preserve">Scottish Customer, Minister of Religion, Pension income. In year marriage. </t>
  </si>
  <si>
    <t xml:space="preserve">Components: YPD INC-B MCA MOR </t>
  </si>
  <si>
    <t>Scottish Customer, Employment, Other Income, savings and Foreign income.</t>
  </si>
  <si>
    <t xml:space="preserve">Components: YPD INC-A INC-C ASE-B AOR Emp-A </t>
  </si>
  <si>
    <t>Scottish Customer. Employment income, Partnership Foreign Income savings and other income. Reduced PA. Voluntary Class 2 NIC</t>
  </si>
  <si>
    <t xml:space="preserve">Components: YPD INC-A INC-C Emp-A SPS NI2 NI1 NIC2Vol </t>
  </si>
  <si>
    <t>Self employment, savings and Dividends below Personal Alowance.  CGT and Voluntary Class 2</t>
  </si>
  <si>
    <t xml:space="preserve">Components: YPD INC-A SSE NI2 NIC2Vol CGT </t>
  </si>
  <si>
    <t>Scottish Customer. Self emaployment, Partnership, Property Income, Other income, savings and Dividends. CGT, Class 2 and 4 NIC.</t>
  </si>
  <si>
    <t xml:space="preserve">Components: YPD INC-A INC-C FSE SPS NI2 PRO CGT </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</si>
  <si>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</si>
  <si>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</si>
  <si>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 xml:space="preserve">Components: YPD INC-A FIN SSE FSE NI2 CGT </t>
  </si>
  <si>
    <t xml:space="preserve">Partnership, Voluntary Class 2, CGT. </t>
  </si>
  <si>
    <t xml:space="preserve">Components: YPD SPS NI2 NIC2Vol CGT </t>
  </si>
  <si>
    <t>Scottish customer, Partnership, Gift Aid charge. CGT.</t>
  </si>
  <si>
    <t xml:space="preserve">Components: YPD REL-B SPS NI2 NicEx CGT </t>
  </si>
  <si>
    <t>Scottish Customer, Partnership. Losses, FPS Relief for Finance Costs (Landlord Loan savings Relief). Class 2 and 4 NIC. CGT</t>
  </si>
  <si>
    <t xml:space="preserve">Components: YPD FPS NI2 CGT </t>
  </si>
  <si>
    <t>CEG and other income. CGT.</t>
  </si>
  <si>
    <t xml:space="preserve">Components: YPD INC-C AOI-B CGT </t>
  </si>
  <si>
    <t>Employment income, CEG and CGT. Reduced PA. Ex115</t>
  </si>
  <si>
    <t xml:space="preserve">Components: YPD INC-A REL-B AOI-B Emp-A CGT </t>
  </si>
  <si>
    <t>Employment income. CGT with Deficiency Relief</t>
  </si>
  <si>
    <t xml:space="preserve">Components: YPD AOI-B Emp-A CGT </t>
  </si>
  <si>
    <t xml:space="preserve">Scottish Customer. Employment income. CGT with Deficiency Relief. </t>
  </si>
  <si>
    <t>Scottish, Employment income, Savings income &amp; loss relief. CGT without deficiency.</t>
  </si>
  <si>
    <t xml:space="preserve">Components: YPD INC-A AOR Emp-A SSE CGT </t>
  </si>
  <si>
    <t xml:space="preserve">Employment, savings and dividend income. AIL 16. </t>
  </si>
  <si>
    <t xml:space="preserve">Components: YPD INC-A AIL Emp-A </t>
  </si>
  <si>
    <t>Employment income including Lump Sum and Chargeable event gain.</t>
  </si>
  <si>
    <t xml:space="preserve">Components: YPD AOI-B ASE-B </t>
  </si>
  <si>
    <t>Gift aid charge reduced by notional tax</t>
  </si>
  <si>
    <t xml:space="preserve">Components: YPD INC-B REL-A REL-B AOI-B </t>
  </si>
  <si>
    <t xml:space="preserve">Property Income, Dividends and Pension. Losses. Relief for Finance Costs (Landlord Loan savings Relief). Non Resident with AOI12 </t>
  </si>
  <si>
    <t xml:space="preserve">Components: YPD INC-A INC-B AOI-C PRO NRD </t>
  </si>
  <si>
    <t>Property Income, Dividends and Pension. Losses. Relief for Finance Costs (Landlord Loan savings Relief). Non resident with AOI13</t>
  </si>
  <si>
    <t>Non resident, Partnership, Pension, Property, savings and Dividend income.</t>
  </si>
  <si>
    <t xml:space="preserve">Components: YPD INC-A INC-B FPS NI2 NicEx PRO NRD </t>
  </si>
  <si>
    <t>Employment, Trust, savings and Dividend income. Test for TRU18.</t>
  </si>
  <si>
    <t xml:space="preserve">Components: YPD INC-A AOI-B Emp-A TRU </t>
  </si>
  <si>
    <t>Proerty Income, savings and  Dividends. AIL16 over £20,000</t>
  </si>
  <si>
    <t xml:space="preserve">Components: YPD INC-A AIL PRO </t>
  </si>
  <si>
    <t>Pension, Other income and savings. MCA</t>
  </si>
  <si>
    <t xml:space="preserve">Components: YPD INC-A INC-B INC-C AOI-C MCA CAL </t>
  </si>
  <si>
    <t>Pension, Other income and savings. MCA1, half basic  to partner</t>
  </si>
  <si>
    <t xml:space="preserve">Components: YPD INC-A INC-B INC-C MCA </t>
  </si>
  <si>
    <t>Pension, Other income and savings. MCA, all basic to partner</t>
  </si>
  <si>
    <t>Pension, Other income and savings. MCA claim lower income partner</t>
  </si>
  <si>
    <t>Employment, Foreign Income and savings. Student Loan repayments (plan 1) SL, CAL7 and CAL 8 entries.</t>
  </si>
  <si>
    <t xml:space="preserve">Components: YPD INC-A SLR AOR Emp-A Emp-B CAL </t>
  </si>
  <si>
    <t>Employment income, Student loan repayments (plan 1) SL, EMP8 entry, PT Teacher earnings &gt; SL limit but PT teacher earnings on own &lt; SL limit</t>
  </si>
  <si>
    <t xml:space="preserve">Components: YPD Emp-A Emp-B FSE </t>
  </si>
  <si>
    <t>Property Income from both EEA and UK lettings. Pension CEG, savings and Dividends.</t>
  </si>
  <si>
    <t xml:space="preserve">Components: YPD INC-A INC-B AOI-B PRO </t>
  </si>
  <si>
    <t>Employment income, Property Income from EEA and UK lettings, Foreign land and property income and Foreign Dividends. FOR Relief for Finance Costs (Landlord Loan savings Relief). PA reduced to Nil.</t>
  </si>
  <si>
    <t xml:space="preserve">Components: YPD Emp-A PRO FOR TCR </t>
  </si>
  <si>
    <t xml:space="preserve">Property and Trust income, savings and Dividends, CEG. Income over £100,000 reduced PA. Student Loan repayments (plan 1)   </t>
  </si>
  <si>
    <t xml:space="preserve">Components: YPD INC-A SLR AOI-B PRO TRU </t>
  </si>
  <si>
    <t>Pension, savings, Dividends and Foreign Dividends. Lifetime allowance charge (lump sum amount)</t>
  </si>
  <si>
    <t xml:space="preserve">Components: YPD INC-A INC-B AOI-C AIL </t>
  </si>
  <si>
    <t>Self employment, Pension. Lifetime allowance charge -further tax due  (lump sum and pension amounts)</t>
  </si>
  <si>
    <t xml:space="preserve">Components: YPD INC-B AIL SSE NI2 NicEx </t>
  </si>
  <si>
    <t>Self employment, Property Income, Other income, savings and Dividends, CRG. Annual allowance charge and unauthorised payment charge (@40% and 55%). Reduced PA</t>
  </si>
  <si>
    <t xml:space="preserve">Components: YPD INC-A INC-C AOI-B AOI-C AIL FSE NI2 NicEx PRO </t>
  </si>
  <si>
    <t>Employment income. Small Debt coded but not enough PAYE tax to cover. CEG.</t>
  </si>
  <si>
    <t xml:space="preserve">Components: YPD Emp-A CGT CAL </t>
  </si>
  <si>
    <t>Partnership, Other income and savings. PPR and Gift Aid. Losses. Class 4 and Voluntary Class 2. AOR9</t>
  </si>
  <si>
    <t xml:space="preserve">Components: YPD INC-C REL-A REL-B AOI-A AOR SPS NI2 </t>
  </si>
  <si>
    <t>Partnership, Other income and savings. PPR and Gift Aid. Losses. Class 4 and Voluntary Class 2. EIS and AOR9.</t>
  </si>
  <si>
    <t>Self employment adjusted loss reduced by transition profit, savings, dividneds and HICBC. Voluntary Class 2.</t>
  </si>
  <si>
    <t xml:space="preserve">Components: YPD INC-A CBC FSE NI2 </t>
  </si>
  <si>
    <t>Employment, Self employment and savings. Losses. HICBC. Class 4 and Voluntary Class 2 NIC.</t>
  </si>
  <si>
    <t xml:space="preserve">Components: YPD INC-A CBC Emp-A SSE NI2 NI1 </t>
  </si>
  <si>
    <t>Employment, savings and Dividends. HICBC. AOR6.1</t>
  </si>
  <si>
    <t xml:space="preserve">Components: YPD INC-A CBC AOR Emp-A </t>
  </si>
  <si>
    <t>Employment, Self employment. Losses. HICBC. Gift Aid. Class 4 and Voluntary Class 2 NIC.</t>
  </si>
  <si>
    <t xml:space="preserve">Components: YPD REL-B CBC Emp-A SSE NI2 NI1 </t>
  </si>
  <si>
    <t>Employment income, savings and Dividends. PPR. HICBC.</t>
  </si>
  <si>
    <t xml:space="preserve">Components: YPD INC-A REL-A CBC AOI-C Emp-A CAL </t>
  </si>
  <si>
    <t xml:space="preserve">Employment, Other income, savings and Dividends. PA reduced to Nil. Gift Aid to charity. Unauthorised payments charge. VCT relief maintenance payments </t>
  </si>
  <si>
    <t xml:space="preserve">Components: YPD INC-A INC-C REL-B AOR AIL Emp-A </t>
  </si>
  <si>
    <t>Scottish customer with Pension, Savings, Dividends and Foreign Dividends. Overseas short service refund charge and overseas Lump sum death benefit , State Pension Lump Sum SBR20%. BPA.</t>
  </si>
  <si>
    <t xml:space="preserve">Components: YPD INC-A INC-B REL-C AOI-A AIL </t>
  </si>
  <si>
    <t>Pension, savings, and dividend income with Chargeable Event Gain, Stock Dividends and taxable short service refund (overseas schemes) and Capital Gains (inc Investor's Relief). More beneficial to have CEG in HRNilBand than savings in BRNilBand</t>
  </si>
  <si>
    <t xml:space="preserve">Components: YPD INC-A INC-B SLR AOI-B AOI-C AIL FSE CGT </t>
  </si>
  <si>
    <t>Scottish customer with Pension, Other income, State PensionLump Sum 0%</t>
  </si>
  <si>
    <t xml:space="preserve">Components: YPD INC-B INC-C FIN Emp-A </t>
  </si>
  <si>
    <t>Scottish customer with Employment, Self employment, Partnership, Property income, Trusts,Other income, CEG, Interst and Dividends.  PA reduced to nil. Class 4 and Voluntary Class 2. HICBC.</t>
  </si>
  <si>
    <t xml:space="preserve">Components: YPD INC-A INC-C CBC AOI-B AOI-C Emp-A Emp-B SSE FPS NI2 NI1 PRO TRU </t>
  </si>
  <si>
    <t>Employment and Property Income. Capped loan and losses with payroll giving. Relief for Finance Costs (Landlord Loan savings Relief).</t>
  </si>
  <si>
    <t xml:space="preserve">Components: YPD AOR AIL Emp-A Emp-B FSE NI2 NI1 NIC2Vol PRO </t>
  </si>
  <si>
    <t>Partnership income and savings. Partnership losses Capped.  PPR, Gift Aid and Voluntary Class 2.</t>
  </si>
  <si>
    <t xml:space="preserve">Components: YPD INC-A REL-A REL-B FPS NI2 NIC2Vol </t>
  </si>
  <si>
    <t>Employment income, savings and Dividends. Capped Partnership losses with pension savings charges and royalty payments. Voluntary Class 2.</t>
  </si>
  <si>
    <t xml:space="preserve">Components: YPD INC-A ASE-C AIL Emp-A SPS NI2 NI1 NIC2Vol </t>
  </si>
  <si>
    <t>Claim for remittance basis (NRD 28) resident claim for 12 of 14 years (NRD 31),Partnership Losses SPS22 reduced to maximum allowable, BR pay, CL2 NIC, remitance basis charge</t>
  </si>
  <si>
    <t xml:space="preserve">Components: YPD AIL Emp-A SPS NI2 NI1 NIC2Vol NRD </t>
  </si>
  <si>
    <t>Scottish customer with multiple source losses with total exceeding £50k where 25% &gt; £50k, AHR Pay, No PSA (AHR), SAV AHR, relief for finance costs reduced to max allowable, CG, minus tax on gains already charged</t>
  </si>
  <si>
    <t xml:space="preserve">Components: YPD Emp-A Emp-B SSE FSE SPS NI2 NI1 PRO CGT </t>
  </si>
  <si>
    <t>Restricted loan interest (AOR 5), BPR surplus, HR profit, CL4 NIC (adjusted FSE 102), CL2 NIC</t>
  </si>
  <si>
    <t xml:space="preserve">Components: YPD FIN AOR FSE NI2 CAL </t>
  </si>
  <si>
    <t>Non-UK resident, PRO loss B/F and set off, income excluded,  Gift Aid payments, BR pay, Tax excluded, 7.5% tax treated as paid on dividends, non-UK resident calculation used as lower.</t>
  </si>
  <si>
    <t xml:space="preserve">Components: YPD INC-A INC-B REL-B PRO NRD </t>
  </si>
  <si>
    <t>Partnership Losses (PS 39) reduced to maximum allowable. AHR profit, CL4 NIC, CL2 NIC</t>
  </si>
  <si>
    <t xml:space="preserve">Components: YPD FPS NI2 </t>
  </si>
  <si>
    <t xml:space="preserve">Non-UK resident, income potentially excluded from  tax calc under s128 FA 1995 for Annual Allowance Charge, BR pay, pension savings charge, non-Uk resident liability accepted as lower, </t>
  </si>
  <si>
    <t xml:space="preserve">Components: YPD INC-A ASE-C AIL Emp-A PRO NRD </t>
  </si>
  <si>
    <t>Non-UK resident, income potentially excluded from  tax calc under s128 FA 1995 for Annual Allowance Charge &amp; for Capital Gains, BR pay, pension savings charge, non-Uk resident liability accepted as lower, CG</t>
  </si>
  <si>
    <t xml:space="preserve">Components: YPD INC-A ASE-C AIL Emp-A PRO CGT NRD </t>
  </si>
  <si>
    <t>Resident with multiple FTCR items claimed, tax due on gift aid payments</t>
  </si>
  <si>
    <t xml:space="preserve">Components: YPD INC-A REL-B FOR TCR </t>
  </si>
  <si>
    <t>Claim for remittance basis (NRD 28) resident claim for 12 of 14 years (NRD 31), Gift aid 250,000 (net) , BR pay, remitance basis charge, CG, CG tax adjustment, Liability from off-shore trust</t>
  </si>
  <si>
    <t xml:space="preserve">Components: YPD REL-B CBC Emp-A CGT NRD </t>
  </si>
  <si>
    <t>Scottish customer claiming remittance basis and unremitted income below deminimus, savings and dividend income</t>
  </si>
  <si>
    <t xml:space="preserve">Components: YPD INC-A INC-B FOR TCR CGT NRD </t>
  </si>
  <si>
    <t>Double taxation agreement income (NRD 20), claim for remittance basis (NRD 28) resident claim for 7 of 9 years (NRD 32), FOR prop loss offset against income, AHR pay/pension, FTCR, remitance basis charge, CG residential property, FTCR on CG</t>
  </si>
  <si>
    <t xml:space="preserve">Components: YPD INC-B FOR TCR CGT NRD </t>
  </si>
  <si>
    <t>The calc figure should be test case 209 + Remittance Basis Charge RBC for 7 of 9 years</t>
  </si>
  <si>
    <t>Double taxation agreement income (NRD 20), claim for remittance basis (NRD 28) resident claim for 12 of 14 years (NRD 31) following FB2 of 2017-18, FOR prop loss offset against income, AHR pay/pension, FTCR, remitance basis charge, CG residential property, FTCR on CG</t>
  </si>
  <si>
    <t>The calc figure should be test case 209 + Remittance Basis Charge RBC for 12 of 14 years</t>
  </si>
  <si>
    <t>Double taxation agreement income (NRD 20), deemed domicile claim (NRD 30), FOR prop loss offset against income, AHR pay/pension, FTCR, CG residential property, FTCR on CG, Test for NRD36 POA Adjustment (changed from NRD35 for 2015-16)</t>
  </si>
  <si>
    <t>Remittance Basis (NRD 28) - Age under 18 tick box NRD33 test. SAV SR, PSA (HR), SAV BR,SAV HR, EIS Relief, Seed EIS Relief.</t>
  </si>
  <si>
    <t xml:space="preserve">Components: YPD INC-A AOI-A AOR NRD </t>
  </si>
  <si>
    <t>Case to check CL2 and CL4 NIC calculations. SBR profit/pay, PSA (BR), Class 4 calculation taking into account Class 1 NICable earnings.</t>
  </si>
  <si>
    <t xml:space="preserve">Components: YPD INC-A REL-B Emp-A FSE NI2 NI1 </t>
  </si>
  <si>
    <t>non-UK resident claiming PA under DTA (NRD1 = Y and NRD15 = Y) SAV SR, PSA (BR), DA, DOR, FCTR, 7.5% tax treated as paid, UK IT liability used as lower CG, CG tax adjustment, Liability from off-shore trust</t>
  </si>
  <si>
    <t xml:space="preserve">Components: YPD INC-A INC-B REL-B FOR TCR CGT NRD </t>
  </si>
  <si>
    <t>MAT transfer out where income greater than PA, income covered by SAV SR and DA</t>
  </si>
  <si>
    <t>Welsh customer Lump sum, Emp, DIVs. Tests exclusion 122</t>
  </si>
  <si>
    <t xml:space="preserve">Components: YPD INC-A ASE-B Emp-A Emp-B </t>
  </si>
  <si>
    <t>Scottish customer, SIR profit/pension, Savings SR PSA (BR), SAV BR, Lump sum CG</t>
  </si>
  <si>
    <t xml:space="preserve">Components: YPD INC-A INC-B PRO CGT </t>
  </si>
  <si>
    <t>Scottish customer profit/ pension below PA, PSA (BR), SAV BR, DA (nil rate hr), DOR, Lump sum</t>
  </si>
  <si>
    <t xml:space="preserve">Components: YPD INC-A INC-B SSE </t>
  </si>
  <si>
    <t>Scottish customer SE DIVS Lump sum (Advanced rate)</t>
  </si>
  <si>
    <t xml:space="preserve">Components: YPD INC-A SSE NRD </t>
  </si>
  <si>
    <t>Profit under losses relief of £62,547 (sps20), dividends £828,319. SAV SR, DA, DOR, DUR, DAR. No tax paid</t>
  </si>
  <si>
    <t xml:space="preserve">Components: YPD INC-A REL-B SSE SPS </t>
  </si>
  <si>
    <t>BR pension, SAV SR, PSA (BR), SAV BR, DA, DOR. Beneficial ordering - PA allocated against pension to release SAV SR</t>
  </si>
  <si>
    <t xml:space="preserve">Components: YPD INC-A INC-B FSE NI2 NI1 </t>
  </si>
  <si>
    <t>BR Pension, PSA (HR), SAV HR, DA, DUR. Beneficial ordering - Part PA allocated to Pension so that PSA given against SAV HR.</t>
  </si>
  <si>
    <t xml:space="preserve">Components: YPD INC-A INC-B </t>
  </si>
  <si>
    <t>BR employment, PSA (HR), SAV HR, DA, DUR. Beneficial ordering - Full PA allocated to employment so that PSA given against SAV HR.</t>
  </si>
  <si>
    <t xml:space="preserve">Components: YPD INC-A Emp-A </t>
  </si>
  <si>
    <t>179,999 gift of inv and PRO to charity, No taxable income, Tax due on gift aid payments</t>
  </si>
  <si>
    <t>No earned income, INT and gains on Life insurance,  SAV SR, PSA (HR), BR, HR, DA, DOR, DUR. TSR and notional tax. Beneficial ordering</t>
  </si>
  <si>
    <t xml:space="preserve">Components: YPD INC-A AOI-B </t>
  </si>
  <si>
    <t>BR Employment/Pension, PSA (HR), DA, DOR, DUR. Beneficial ordering</t>
  </si>
  <si>
    <t xml:space="preserve">Components: YPD INC-A INC-B ASE-B </t>
  </si>
  <si>
    <t>Scottish customer, Gift aid, Int/FOR int, SAV SR, PSA (HR), SAV BR, DA, DOR, DUR. Beneficial ordering</t>
  </si>
  <si>
    <t xml:space="preserve">Components: YPD INC-A INC-B INC-C REL-B FOR </t>
  </si>
  <si>
    <t>Scottish Customer, SIR pension, PSA (BR), SAV BR, DA, DOR. Beneficial ordering</t>
  </si>
  <si>
    <t>Scottish Customer with pension payments (RAS) and gift aid contributions increasing basic rate band</t>
  </si>
  <si>
    <t xml:space="preserve">Components: YPD INC-A INC-B REL-A REL-B Emp-A </t>
  </si>
  <si>
    <t>Scottish customer, 256421 gift of inv and prop to charity, Gift aid, Int/FOR Int SAV SR, PSA (BR), DA, DOR, FTCR, CG</t>
  </si>
  <si>
    <t xml:space="preserve">Components: YPD INC-A INC-B INC-C REL-B AOI-A Emp-A FOR TCR CGT </t>
  </si>
  <si>
    <t>Scottish customer,  PPR, SSR Employment, SAV SR, PSA (HR), SAV BR, DA, DOR, DUR. Beneficial ordering</t>
  </si>
  <si>
    <t xml:space="preserve">Components: YPD INC-A REL-A Emp-A </t>
  </si>
  <si>
    <t>More beneficial to set all allowances against non-savings income to reduce income in SR_band than setting allowances against savings. CGT due at 10%.</t>
  </si>
  <si>
    <t xml:space="preserve">Components: YPD INC-A INC-B AOI-A Emp-A FOR CGT </t>
  </si>
  <si>
    <t>Scottish customer, SHR Employment(including redundancy lump sum), SAV SR, PSA (BR) SAV BR Beneficial ordering</t>
  </si>
  <si>
    <t xml:space="preserve">Components: YPD INC-A ASE-B Emp-A </t>
  </si>
  <si>
    <t>HR redundancy lump sum, Chargeable gains, SAV SR, PSA (HR), SAV BR, SAV HR, DA, DOR. Notional tax from gains. Beneficial ordering</t>
  </si>
  <si>
    <t xml:space="preserve">Components: YPD INC-A INC-B CBC AOI-B ASE-B AOR </t>
  </si>
  <si>
    <t>HR employment (inc redundancy lump sum), SAV SR, PSA (HR), SAV BR, DA, DOR, DUR. Beneficial ordering</t>
  </si>
  <si>
    <t>HR OI/Employment ( inc redundancy lump sum), SAV SR, PSA (HR), BR, DA, DOR. Beneficial ordering</t>
  </si>
  <si>
    <t xml:space="preserve">Components: YPD INC-A INC-C ASE-B </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</si>
  <si>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</si>
  <si>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</si>
  <si>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</si>
  <si>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 xml:space="preserve">Components: YPD INC-A ASE-B Emp-A FPS NI2 NIC2Vol PRO </t>
  </si>
  <si>
    <t>Non-UK resident where s399 ITTOIA 2005 applies to INC4, INC5, TRU5, TRU9 &amp; TRU12</t>
  </si>
  <si>
    <t xml:space="preserve">Components: YPD INC-A PRO TRU NRD </t>
  </si>
  <si>
    <t>Non-UK resident where s399 ITTOIA 2005 applies to INC4, INC5, &amp; FPS70</t>
  </si>
  <si>
    <t xml:space="preserve">Components: YPD AOR FPS NicEx NRD </t>
  </si>
  <si>
    <t>As a non-UK resident with Chargeable Event Gains no Top Slicing Relief due</t>
  </si>
  <si>
    <t xml:space="preserve">Components: YPD INC-A INC-B AOI-B NRD </t>
  </si>
  <si>
    <t>Pension, Property, Savings and NRCGT</t>
  </si>
  <si>
    <t xml:space="preserve">Components: YPD INC-A INC-B CBC Emp-A PRO CGT </t>
  </si>
  <si>
    <t>Non-UK resident, Property, Savings, Dividends and NRCGT</t>
  </si>
  <si>
    <t xml:space="preserve">Components: YPD INC-A FPS NI2 PRO CGT NRD </t>
  </si>
  <si>
    <t>Pension, Property, Savings and Dividends</t>
  </si>
  <si>
    <t xml:space="preserve">Components: YPD INC-B PRO CGT </t>
  </si>
  <si>
    <t>Non-UK resident, Property, Savings and NRCGT</t>
  </si>
  <si>
    <t xml:space="preserve">Components: YPD INC-A PRO CGT NRD </t>
  </si>
  <si>
    <t xml:space="preserve">Scottish customer with State pension Lump sum (starter rate), Minister of Religion, CGT. Balance of Basic rate to CGT </t>
  </si>
  <si>
    <t xml:space="preserve">Components: YPD INC-B Emp-A MOR CGT </t>
  </si>
  <si>
    <t>State pension Lump sum HR, Lloyds Underwriters and Self Employment , Enterprise Investment Scheme relief EISR, &amp; Social Investment Tax Relief SITR</t>
  </si>
  <si>
    <t xml:space="preserve">Components: YPD INC-A INC-B REL-B AOR Emp-A Emp-B FSE LUN SPS NI2 NI1 PRO </t>
  </si>
  <si>
    <t>Scottish customer SSR, SBR, SIR, SHR, SAV HR , DA Nil rate, DAR, CGT.</t>
  </si>
  <si>
    <t xml:space="preserve">Components: YPD INC-A ASE-A Emp-A CGT </t>
  </si>
  <si>
    <t>Scottish customer, Self employment Deficiency Relief DR reduces dividends only. Class 4 and voluntary Class 2.</t>
  </si>
  <si>
    <t xml:space="preserve">Components: YPD INC-A REL-A AOI-B FSE NI2 </t>
  </si>
  <si>
    <t>Partnership and pensions. Corresponding Deficiency Relief CDR reduces dividends and savings. Class 4</t>
  </si>
  <si>
    <t xml:space="preserve">Components: YPD INC-A INC-B AOI-B FPS CGT </t>
  </si>
  <si>
    <t>Pension, Savings and Divs. Corresponding Deficiency Relief CDR reduces dividends, no HR liability on non-savings income</t>
  </si>
  <si>
    <t>Scottish customer, self employment, pensions Savings and dividends, Gift Aid. MAT_IN. Insufficient tax paid to cover tax repaid to charity.</t>
  </si>
  <si>
    <t xml:space="preserve">Components: YPD INC-A INC-B REL-B MAT AOI-C SSE CGT </t>
  </si>
  <si>
    <t>Employment, Lump sum,  foreign income and Foreign dividends. Student Loan repayment Plan 1 SL, FOR Relief for Finance Costs (Landlord Loan Savings Relief)</t>
  </si>
  <si>
    <t xml:space="preserve">Components: YPD SLR ASE-B Emp-A FOR TCR </t>
  </si>
  <si>
    <t>Employment, Foreign income, Foreign dividends, Trust income, Savings, Dividends, VCT/Alimony claim.</t>
  </si>
  <si>
    <t xml:space="preserve">Components: YPD INC-A AOR Emp-A FOR TCR TRU </t>
  </si>
  <si>
    <t>Property income, Pension, Savings, Dividends, Chargeable Event Gains CEG with Top Slicing Relief TSR due</t>
  </si>
  <si>
    <t xml:space="preserve">Components: YPD INC-A INC-B INC-C PRO FOR CGT </t>
  </si>
  <si>
    <t xml:space="preserve">Components: YPD INC-A INC-B CGT NRD </t>
  </si>
  <si>
    <t>Non-UK resident, Pension, Dividends and NRCGT</t>
  </si>
  <si>
    <t xml:space="preserve">Components: YPD INC-A INC-B FIN CGT NRD </t>
  </si>
  <si>
    <t>Non-UK resident, Pension, Property, Savings and NRCGT</t>
  </si>
  <si>
    <t xml:space="preserve">Components: YPD INC-A INC-B SPS FPS PRO CGT NRD </t>
  </si>
  <si>
    <t>Non-UK resident Partnership and dividend income with annuity</t>
  </si>
  <si>
    <t xml:space="preserve">Components: YPD INC-A AOR FPS NicEx NRD </t>
  </si>
  <si>
    <t>Non-UK resident with s399 tax treated as paid on dividends and Gift Aid charge</t>
  </si>
  <si>
    <t xml:space="preserve">Components: YPD INC-A REL-B Emp-A NRD </t>
  </si>
  <si>
    <t>Welsh customer Employment and self-employment large dividend income with  large Gift Aid payment, Gift Aid charge and HICBC</t>
  </si>
  <si>
    <t xml:space="preserve">Components: YPD INC-A REL-B CBC Emp-A SSE </t>
  </si>
  <si>
    <t>UK &amp; Foreign Dividends with tax franking Gift Aid. FTCR does not create Gift Aid charge.</t>
  </si>
  <si>
    <t xml:space="preserve">Components: YPD INC-A REL-B Emp-A FOR </t>
  </si>
  <si>
    <t>Non-UK resident with Dividends franking Gift Aid in s811 calculation.</t>
  </si>
  <si>
    <t xml:space="preserve">Components: YPD INC-A REL-B ASE-B ASE-C Emp-A PRO NRD </t>
  </si>
  <si>
    <t>-</t>
  </si>
  <si>
    <t>Select the components from the Core Tax Return and Additional Information pages to test</t>
  </si>
  <si>
    <t>Core Tax Return</t>
  </si>
  <si>
    <t>Taxpayer's date of birth</t>
  </si>
  <si>
    <t>Test case reference</t>
  </si>
  <si>
    <t>Income</t>
  </si>
  <si>
    <t>UK interest and dividends</t>
  </si>
  <si>
    <t>UK pensions received</t>
  </si>
  <si>
    <t>Other UK income</t>
  </si>
  <si>
    <t>Tax Reliefs</t>
  </si>
  <si>
    <t>Paying personal pensions</t>
  </si>
  <si>
    <t>Charitable giving</t>
  </si>
  <si>
    <t>Student Loan Repayments</t>
  </si>
  <si>
    <t>High Income Child Benefit Charge</t>
  </si>
  <si>
    <t>Child Benefit</t>
  </si>
  <si>
    <t>Allowance Transfer</t>
  </si>
  <si>
    <t>Additional information</t>
  </si>
  <si>
    <t>Gilt edged securities</t>
  </si>
  <si>
    <t>Life insurance gains</t>
  </si>
  <si>
    <t>Stock dividends</t>
  </si>
  <si>
    <t>DoB</t>
  </si>
  <si>
    <t>not present</t>
  </si>
  <si>
    <t>Components Visible</t>
  </si>
  <si>
    <t>Select the components from the additional pages to test</t>
  </si>
  <si>
    <t>Employment 1</t>
  </si>
  <si>
    <t>Employment 2</t>
  </si>
  <si>
    <t>Ministers</t>
  </si>
  <si>
    <t>EMP-B</t>
  </si>
  <si>
    <t>of Religion</t>
  </si>
  <si>
    <t>Self Employment</t>
  </si>
  <si>
    <t>Short Self Employment</t>
  </si>
  <si>
    <t>Full Self Employment</t>
  </si>
  <si>
    <t>Lloyds Underwriter</t>
  </si>
  <si>
    <t>Short Partnership</t>
  </si>
  <si>
    <t>Full Partnership</t>
  </si>
  <si>
    <t>Income from Property</t>
  </si>
  <si>
    <t>Foreign income</t>
  </si>
  <si>
    <t>Capital Gains</t>
  </si>
  <si>
    <t>Residence etc.</t>
  </si>
  <si>
    <t>NIC exempt set</t>
  </si>
  <si>
    <t>NIC2_Vol</t>
  </si>
  <si>
    <t>Remit set</t>
  </si>
  <si>
    <t>SA100</t>
  </si>
  <si>
    <t>SA101</t>
  </si>
  <si>
    <t>SA102</t>
  </si>
  <si>
    <t>SA102M</t>
  </si>
  <si>
    <t>SA103S</t>
  </si>
  <si>
    <t>SA103F</t>
  </si>
  <si>
    <t>SA103L</t>
  </si>
  <si>
    <t>SA104S</t>
  </si>
  <si>
    <t>SA104F</t>
  </si>
  <si>
    <t>SA105</t>
  </si>
  <si>
    <t>SA106</t>
  </si>
  <si>
    <t>SA107</t>
  </si>
  <si>
    <t>SA108</t>
  </si>
  <si>
    <t>SA109</t>
  </si>
  <si>
    <t>SA110</t>
  </si>
  <si>
    <t>REL</t>
  </si>
  <si>
    <t>EMP-A</t>
  </si>
  <si>
    <t>1</t>
  </si>
  <si>
    <t>53</t>
  </si>
  <si>
    <t>51</t>
  </si>
  <si>
    <t>52</t>
  </si>
  <si>
    <t>2</t>
  </si>
  <si>
    <t>1.1</t>
  </si>
  <si>
    <t>53.1</t>
  </si>
  <si>
    <t>Box not in use</t>
  </si>
  <si>
    <t>3</t>
  </si>
  <si>
    <t>2.1</t>
  </si>
  <si>
    <t>54</t>
  </si>
  <si>
    <t>3Q</t>
  </si>
  <si>
    <t>A_1</t>
  </si>
  <si>
    <t>4</t>
  </si>
  <si>
    <t>55</t>
  </si>
  <si>
    <t>B_1</t>
  </si>
  <si>
    <t>3.1</t>
  </si>
  <si>
    <t>TR</t>
  </si>
  <si>
    <t>5</t>
  </si>
  <si>
    <t>5Q</t>
  </si>
  <si>
    <t>56</t>
  </si>
  <si>
    <t>4Q</t>
  </si>
  <si>
    <t>55.1</t>
  </si>
  <si>
    <t>C_1</t>
  </si>
  <si>
    <t>6</t>
  </si>
  <si>
    <t>4.1</t>
  </si>
  <si>
    <t>6Q</t>
  </si>
  <si>
    <t>57</t>
  </si>
  <si>
    <t>5.1</t>
  </si>
  <si>
    <t>3D_1</t>
  </si>
  <si>
    <t>INC</t>
  </si>
  <si>
    <t>7</t>
  </si>
  <si>
    <t>58</t>
  </si>
  <si>
    <t>5.2</t>
  </si>
  <si>
    <t>E_1</t>
  </si>
  <si>
    <t>6.1</t>
  </si>
  <si>
    <t>8</t>
  </si>
  <si>
    <t>7Q</t>
  </si>
  <si>
    <t>59</t>
  </si>
  <si>
    <t>4F_1</t>
  </si>
  <si>
    <t>9</t>
  </si>
  <si>
    <t>60</t>
  </si>
  <si>
    <t>A_2</t>
  </si>
  <si>
    <t>10</t>
  </si>
  <si>
    <t>61</t>
  </si>
  <si>
    <t>B_2</t>
  </si>
  <si>
    <t>11</t>
  </si>
  <si>
    <t>7.1</t>
  </si>
  <si>
    <t>62</t>
  </si>
  <si>
    <t>60.1</t>
  </si>
  <si>
    <t>C_2</t>
  </si>
  <si>
    <t>12</t>
  </si>
  <si>
    <t>7.2</t>
  </si>
  <si>
    <t>63</t>
  </si>
  <si>
    <t>9.1</t>
  </si>
  <si>
    <t>3D_2</t>
  </si>
  <si>
    <t>13</t>
  </si>
  <si>
    <t>7.3</t>
  </si>
  <si>
    <t>10.1</t>
  </si>
  <si>
    <t>64</t>
  </si>
  <si>
    <t>E_2</t>
  </si>
  <si>
    <t>11.1</t>
  </si>
  <si>
    <t>13.1</t>
  </si>
  <si>
    <t>7.4</t>
  </si>
  <si>
    <t>65</t>
  </si>
  <si>
    <t>4F_2</t>
  </si>
  <si>
    <t>14</t>
  </si>
  <si>
    <t>66</t>
  </si>
  <si>
    <t>63.1</t>
  </si>
  <si>
    <t>11.2</t>
  </si>
  <si>
    <t>15</t>
  </si>
  <si>
    <t>13A</t>
  </si>
  <si>
    <t>8.1</t>
  </si>
  <si>
    <t>67</t>
  </si>
  <si>
    <t>63.2</t>
  </si>
  <si>
    <t>16</t>
  </si>
  <si>
    <t>13B</t>
  </si>
  <si>
    <t>68</t>
  </si>
  <si>
    <t>AF2</t>
  </si>
  <si>
    <t>17</t>
  </si>
  <si>
    <t>13C</t>
  </si>
  <si>
    <t>69</t>
  </si>
  <si>
    <t>18</t>
  </si>
  <si>
    <t>16.1</t>
  </si>
  <si>
    <t>70</t>
  </si>
  <si>
    <t>18.1</t>
  </si>
  <si>
    <t>13.2</t>
  </si>
  <si>
    <t>70.1</t>
  </si>
  <si>
    <t>19</t>
  </si>
  <si>
    <t>13.3</t>
  </si>
  <si>
    <t>N</t>
  </si>
  <si>
    <t>71</t>
  </si>
  <si>
    <t>16.2</t>
  </si>
  <si>
    <t>5D_1</t>
  </si>
  <si>
    <t>22</t>
  </si>
  <si>
    <t>13.4</t>
  </si>
  <si>
    <t>20</t>
  </si>
  <si>
    <t>72</t>
  </si>
  <si>
    <t>16.3</t>
  </si>
  <si>
    <t>25B_1</t>
  </si>
  <si>
    <t>22.1</t>
  </si>
  <si>
    <t>13.5</t>
  </si>
  <si>
    <t>21</t>
  </si>
  <si>
    <t>73</t>
  </si>
  <si>
    <t>16.4</t>
  </si>
  <si>
    <t>6F_1</t>
  </si>
  <si>
    <t>28C_1</t>
  </si>
  <si>
    <t>23</t>
  </si>
  <si>
    <t>13.6</t>
  </si>
  <si>
    <t>CL2</t>
  </si>
  <si>
    <t>73.1</t>
  </si>
  <si>
    <t>29D_1</t>
  </si>
  <si>
    <t>24</t>
  </si>
  <si>
    <t>13.7</t>
  </si>
  <si>
    <t>CL2wkamt_Type</t>
  </si>
  <si>
    <t>73.2</t>
  </si>
  <si>
    <t>25</t>
  </si>
  <si>
    <t>13.8</t>
  </si>
  <si>
    <t>73.3</t>
  </si>
  <si>
    <t>30F_1</t>
  </si>
  <si>
    <t>25.1</t>
  </si>
  <si>
    <t>23.1</t>
  </si>
  <si>
    <t>73.4</t>
  </si>
  <si>
    <t>5D_2</t>
  </si>
  <si>
    <t>23.2</t>
  </si>
  <si>
    <t>Class 1</t>
  </si>
  <si>
    <t>26</t>
  </si>
  <si>
    <t>24.1</t>
  </si>
  <si>
    <t>74</t>
  </si>
  <si>
    <t>20.1</t>
  </si>
  <si>
    <t>23.3</t>
  </si>
  <si>
    <t>Total Cl1</t>
  </si>
  <si>
    <t>27</t>
  </si>
  <si>
    <t>75</t>
  </si>
  <si>
    <t>6F_2</t>
  </si>
  <si>
    <t>28</t>
  </si>
  <si>
    <t>75.1</t>
  </si>
  <si>
    <t>21.1</t>
  </si>
  <si>
    <t>A_3</t>
  </si>
  <si>
    <t>17.0</t>
  </si>
  <si>
    <t>29</t>
  </si>
  <si>
    <t>25.2</t>
  </si>
  <si>
    <t>76</t>
  </si>
  <si>
    <t>B_3</t>
  </si>
  <si>
    <t>17.1</t>
  </si>
  <si>
    <t>PT</t>
  </si>
  <si>
    <t>30</t>
  </si>
  <si>
    <t>76.1</t>
  </si>
  <si>
    <t>C_3</t>
  </si>
  <si>
    <t>17.2</t>
  </si>
  <si>
    <t>31</t>
  </si>
  <si>
    <t>77</t>
  </si>
  <si>
    <t>5D_3</t>
  </si>
  <si>
    <t>17.3</t>
  </si>
  <si>
    <t>32</t>
  </si>
  <si>
    <t>27.1</t>
  </si>
  <si>
    <t>77.1</t>
  </si>
  <si>
    <t>E_3</t>
  </si>
  <si>
    <t>17.4</t>
  </si>
  <si>
    <t>33</t>
  </si>
  <si>
    <t>78</t>
  </si>
  <si>
    <t>6F_3</t>
  </si>
  <si>
    <t>34</t>
  </si>
  <si>
    <t>79</t>
  </si>
  <si>
    <t>A_4</t>
  </si>
  <si>
    <t>35</t>
  </si>
  <si>
    <t>80</t>
  </si>
  <si>
    <t>B_4</t>
  </si>
  <si>
    <t>Andrea Gail</t>
  </si>
  <si>
    <t>36</t>
  </si>
  <si>
    <t>81</t>
  </si>
  <si>
    <t>C_4</t>
  </si>
  <si>
    <t>37</t>
  </si>
  <si>
    <t>82</t>
  </si>
  <si>
    <t>5D_4</t>
  </si>
  <si>
    <t>F_1</t>
  </si>
  <si>
    <t>38</t>
  </si>
  <si>
    <t>83</t>
  </si>
  <si>
    <t>E_4</t>
  </si>
  <si>
    <t>39</t>
  </si>
  <si>
    <t>84</t>
  </si>
  <si>
    <t>6F_4</t>
  </si>
  <si>
    <t>Y</t>
  </si>
  <si>
    <t>CL1</t>
  </si>
  <si>
    <t>85</t>
  </si>
  <si>
    <t>40</t>
  </si>
  <si>
    <t>A_5</t>
  </si>
  <si>
    <t>86</t>
  </si>
  <si>
    <t>41</t>
  </si>
  <si>
    <t>B_5</t>
  </si>
  <si>
    <t>F_2</t>
  </si>
  <si>
    <t>87</t>
  </si>
  <si>
    <t>42</t>
  </si>
  <si>
    <t>34.1</t>
  </si>
  <si>
    <t>C_5</t>
  </si>
  <si>
    <t>26.1</t>
  </si>
  <si>
    <t>88</t>
  </si>
  <si>
    <t>43</t>
  </si>
  <si>
    <t>20.2</t>
  </si>
  <si>
    <t>5D_5</t>
  </si>
  <si>
    <t>0</t>
  </si>
  <si>
    <t>89</t>
  </si>
  <si>
    <t>44</t>
  </si>
  <si>
    <t>35.1</t>
  </si>
  <si>
    <t>E_5</t>
  </si>
  <si>
    <t>90</t>
  </si>
  <si>
    <t>45</t>
  </si>
  <si>
    <t>6F_5</t>
  </si>
  <si>
    <t>F_3</t>
  </si>
  <si>
    <t>91</t>
  </si>
  <si>
    <t>46</t>
  </si>
  <si>
    <t>92</t>
  </si>
  <si>
    <t>47</t>
  </si>
  <si>
    <t>93</t>
  </si>
  <si>
    <t>48</t>
  </si>
  <si>
    <t>94</t>
  </si>
  <si>
    <t>49</t>
  </si>
  <si>
    <t>F_4</t>
  </si>
  <si>
    <t>-OUT</t>
  </si>
  <si>
    <t>95</t>
  </si>
  <si>
    <t>50</t>
  </si>
  <si>
    <t>-IN</t>
  </si>
  <si>
    <t>96</t>
  </si>
  <si>
    <t>41.1</t>
  </si>
  <si>
    <t>97</t>
  </si>
  <si>
    <t>41.2</t>
  </si>
  <si>
    <t>D_1</t>
  </si>
  <si>
    <t>98</t>
  </si>
  <si>
    <t>AF1</t>
  </si>
  <si>
    <t>52.1</t>
  </si>
  <si>
    <t>99</t>
  </si>
  <si>
    <t>100</t>
  </si>
  <si>
    <t>101</t>
  </si>
  <si>
    <t>102</t>
  </si>
  <si>
    <t>33.1</t>
  </si>
  <si>
    <t>103</t>
  </si>
  <si>
    <t>33.2</t>
  </si>
  <si>
    <t>50.1</t>
  </si>
  <si>
    <t>8D_1</t>
  </si>
  <si>
    <t>9F_1</t>
  </si>
  <si>
    <t>52.2</t>
  </si>
  <si>
    <t>52.3</t>
  </si>
  <si>
    <t>52.4</t>
  </si>
  <si>
    <t>52.5</t>
  </si>
  <si>
    <t>52EG</t>
  </si>
  <si>
    <t>52EG.1</t>
  </si>
  <si>
    <t>10D_1</t>
  </si>
  <si>
    <t>52QG</t>
  </si>
  <si>
    <t>52QG.1</t>
  </si>
  <si>
    <t>11F_1</t>
  </si>
  <si>
    <t>52QL</t>
  </si>
  <si>
    <t>13D</t>
  </si>
  <si>
    <t>13E</t>
  </si>
  <si>
    <t>13F</t>
  </si>
  <si>
    <t>If this goes beyond this line you will need to change the Range at the end of the 'Sub test_this_case()' as shown below</t>
  </si>
  <si>
    <t>'Write Test case sheet</t>
  </si>
  <si>
    <t>Sheets("tc_template").Range("A1:BJ120").Copy</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</si>
  <si>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</si>
  <si>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</si>
  <si>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</si>
  <si>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</si>
  <si>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</si>
  <si>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</si>
  <si>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</si>
  <si>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</si>
  <si>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</si>
  <si>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SCH D case</t>
  </si>
  <si>
    <t>SCH E case</t>
  </si>
  <si>
    <t>Coding</t>
  </si>
  <si>
    <t>INC(1)</t>
  </si>
  <si>
    <t>I5</t>
  </si>
  <si>
    <t>I8</t>
  </si>
  <si>
    <t>D16</t>
  </si>
  <si>
    <t>D19</t>
  </si>
  <si>
    <t>D22</t>
  </si>
  <si>
    <t>J16</t>
  </si>
  <si>
    <t>J19</t>
  </si>
  <si>
    <t>J22</t>
  </si>
  <si>
    <t>c</t>
  </si>
  <si>
    <t>INC(2)</t>
  </si>
  <si>
    <t>D5</t>
  </si>
  <si>
    <t>D8</t>
  </si>
  <si>
    <t>D11</t>
  </si>
  <si>
    <t>D14</t>
  </si>
  <si>
    <t>H5</t>
  </si>
  <si>
    <t>H8</t>
  </si>
  <si>
    <t>H11</t>
  </si>
  <si>
    <t>H14</t>
  </si>
  <si>
    <t>H17</t>
  </si>
  <si>
    <t>D23</t>
  </si>
  <si>
    <t>D26</t>
  </si>
  <si>
    <t>D29</t>
  </si>
  <si>
    <t>H23</t>
  </si>
  <si>
    <t>REL(1)</t>
  </si>
  <si>
    <t>D7</t>
  </si>
  <si>
    <t>D10</t>
  </si>
  <si>
    <t>I7</t>
  </si>
  <si>
    <t>I10</t>
  </si>
  <si>
    <t>D17</t>
  </si>
  <si>
    <t>I17</t>
  </si>
  <si>
    <t>I20</t>
  </si>
  <si>
    <t>I23</t>
  </si>
  <si>
    <t>REL(2)</t>
  </si>
  <si>
    <t>N5</t>
  </si>
  <si>
    <t>N12</t>
  </si>
  <si>
    <t>N13</t>
  </si>
  <si>
    <t>H12</t>
  </si>
  <si>
    <t>H16</t>
  </si>
  <si>
    <t>N25</t>
  </si>
  <si>
    <t>D33</t>
  </si>
  <si>
    <t>D53</t>
  </si>
  <si>
    <t>D6</t>
  </si>
  <si>
    <t>D20</t>
  </si>
  <si>
    <t>H20</t>
  </si>
  <si>
    <t>H29</t>
  </si>
  <si>
    <t>H32</t>
  </si>
  <si>
    <t>D9</t>
  </si>
  <si>
    <t>D12</t>
  </si>
  <si>
    <t>D15</t>
  </si>
  <si>
    <t>D18</t>
  </si>
  <si>
    <t>H15</t>
  </si>
  <si>
    <t>H18</t>
  </si>
  <si>
    <t>H21</t>
  </si>
  <si>
    <t>D21</t>
  </si>
  <si>
    <t>D24</t>
  </si>
  <si>
    <t>H6</t>
  </si>
  <si>
    <t>H9</t>
  </si>
  <si>
    <t>F5</t>
  </si>
  <si>
    <t>F9</t>
  </si>
  <si>
    <t>F13</t>
  </si>
  <si>
    <t>F17</t>
  </si>
  <si>
    <t>H24</t>
  </si>
  <si>
    <t>H26</t>
  </si>
  <si>
    <t>D31</t>
  </si>
  <si>
    <t>D34</t>
  </si>
  <si>
    <t>H31</t>
  </si>
  <si>
    <t>H34</t>
  </si>
  <si>
    <t>L5</t>
  </si>
  <si>
    <t>P5</t>
  </si>
  <si>
    <t>L8</t>
  </si>
  <si>
    <t>L11</t>
  </si>
  <si>
    <t>P11</t>
  </si>
  <si>
    <t>L17</t>
  </si>
  <si>
    <t>L20</t>
  </si>
  <si>
    <t>L23</t>
  </si>
  <si>
    <t>L26</t>
  </si>
  <si>
    <t>P17</t>
  </si>
  <si>
    <t>P20</t>
  </si>
  <si>
    <t>P23</t>
  </si>
  <si>
    <t>P26</t>
  </si>
  <si>
    <t>L31</t>
  </si>
  <si>
    <t>L34</t>
  </si>
  <si>
    <t>P31</t>
  </si>
  <si>
    <t>P34</t>
  </si>
  <si>
    <t>L21</t>
  </si>
  <si>
    <t>H27</t>
  </si>
  <si>
    <t>M20</t>
  </si>
  <si>
    <t>M21</t>
  </si>
  <si>
    <t>H36</t>
  </si>
  <si>
    <t>P19</t>
  </si>
  <si>
    <t>R19</t>
  </si>
  <si>
    <t>R20</t>
  </si>
  <si>
    <t>FPS41</t>
  </si>
  <si>
    <t>FPS41.1</t>
  </si>
  <si>
    <t>FPS41.2</t>
  </si>
  <si>
    <t>FPS60</t>
  </si>
  <si>
    <t>FPS63.1</t>
  </si>
  <si>
    <t>FPS63.2</t>
  </si>
  <si>
    <t>K5</t>
  </si>
  <si>
    <t>K8</t>
  </si>
  <si>
    <t>S19</t>
  </si>
  <si>
    <t>S20</t>
  </si>
  <si>
    <t>N15</t>
  </si>
  <si>
    <t>K18</t>
  </si>
  <si>
    <t>K21</t>
  </si>
  <si>
    <t>K24</t>
  </si>
  <si>
    <t>N24</t>
  </si>
  <si>
    <t>H30</t>
  </si>
  <si>
    <t>H33</t>
  </si>
  <si>
    <t>K36</t>
  </si>
  <si>
    <t>N36</t>
  </si>
  <si>
    <t>H43</t>
  </si>
  <si>
    <t>K43</t>
  </si>
  <si>
    <t>K53</t>
  </si>
  <si>
    <t>H46</t>
  </si>
  <si>
    <t>H49</t>
  </si>
  <si>
    <t>H53</t>
  </si>
  <si>
    <t>H56</t>
  </si>
  <si>
    <t>K56</t>
  </si>
  <si>
    <t>N27</t>
  </si>
  <si>
    <t>N39</t>
  </si>
  <si>
    <t>CL2A</t>
  </si>
  <si>
    <t>CL2amt</t>
  </si>
  <si>
    <t>CL2wkamt</t>
  </si>
  <si>
    <t>O23</t>
  </si>
  <si>
    <t>EMPCL1</t>
  </si>
  <si>
    <t>MORCL1</t>
  </si>
  <si>
    <t>D27</t>
  </si>
  <si>
    <t>NI2_Vol</t>
  </si>
  <si>
    <t>O24</t>
  </si>
  <si>
    <t>NI4_Ex</t>
  </si>
  <si>
    <t>O25</t>
  </si>
  <si>
    <t>Swiss</t>
  </si>
  <si>
    <t>H19</t>
  </si>
  <si>
    <t>H22</t>
  </si>
  <si>
    <t>D25</t>
  </si>
  <si>
    <t>H25</t>
  </si>
  <si>
    <t>H28</t>
  </si>
  <si>
    <t>H38</t>
  </si>
  <si>
    <t>D41</t>
  </si>
  <si>
    <t>H41</t>
  </si>
  <si>
    <t>H44</t>
  </si>
  <si>
    <t>D47</t>
  </si>
  <si>
    <t>H47</t>
  </si>
  <si>
    <t>H50</t>
  </si>
  <si>
    <t>D59</t>
  </si>
  <si>
    <t>H59</t>
  </si>
  <si>
    <t>L6</t>
  </si>
  <si>
    <t>P6</t>
  </si>
  <si>
    <t>P9</t>
  </si>
  <si>
    <t>P12</t>
  </si>
  <si>
    <t>L16</t>
  </si>
  <si>
    <t>P16</t>
  </si>
  <si>
    <t>L22</t>
  </si>
  <si>
    <t>P22</t>
  </si>
  <si>
    <t>L28</t>
  </si>
  <si>
    <t>P28</t>
  </si>
  <si>
    <t>L36</t>
  </si>
  <si>
    <t>L40</t>
  </si>
  <si>
    <t>L43</t>
  </si>
  <si>
    <t>P36</t>
  </si>
  <si>
    <t>P40</t>
  </si>
  <si>
    <t>L48</t>
  </si>
  <si>
    <t>P48</t>
  </si>
  <si>
    <t>P51</t>
  </si>
  <si>
    <t>L54</t>
  </si>
  <si>
    <t>P54</t>
  </si>
  <si>
    <t>L59</t>
  </si>
  <si>
    <t>P59</t>
  </si>
  <si>
    <t>P62</t>
  </si>
  <si>
    <t>S8</t>
  </si>
  <si>
    <t>W8</t>
  </si>
  <si>
    <t>W11</t>
  </si>
  <si>
    <t>S14</t>
  </si>
  <si>
    <t>W14</t>
  </si>
  <si>
    <t>S17</t>
  </si>
  <si>
    <t>W17</t>
  </si>
  <si>
    <t>W20</t>
  </si>
  <si>
    <t>S23</t>
  </si>
  <si>
    <t>W23</t>
  </si>
  <si>
    <t>S26</t>
  </si>
  <si>
    <t>W26</t>
  </si>
  <si>
    <t>S29</t>
  </si>
  <si>
    <t>W29</t>
  </si>
  <si>
    <t>S32</t>
  </si>
  <si>
    <t>W32</t>
  </si>
  <si>
    <t>S35</t>
  </si>
  <si>
    <t>W35</t>
  </si>
  <si>
    <t>S38</t>
  </si>
  <si>
    <t>W38</t>
  </si>
  <si>
    <t>S41</t>
  </si>
  <si>
    <t>W41</t>
  </si>
  <si>
    <t>S44</t>
  </si>
  <si>
    <t>W44</t>
  </si>
  <si>
    <t>Z20</t>
  </si>
  <si>
    <t>item 1 country</t>
  </si>
  <si>
    <t>item 1 type</t>
  </si>
  <si>
    <t>item 1 rate</t>
  </si>
  <si>
    <t>item 1 inc</t>
  </si>
  <si>
    <t>item 1 tax</t>
  </si>
  <si>
    <t>item 1 dedn</t>
  </si>
  <si>
    <t>item 1 ftcr</t>
  </si>
  <si>
    <t>item 2 country</t>
  </si>
  <si>
    <t>item 2 type</t>
  </si>
  <si>
    <t>item 2 rate</t>
  </si>
  <si>
    <t>item 2 inc</t>
  </si>
  <si>
    <t>item 2 tax</t>
  </si>
  <si>
    <t>item 2 dedn</t>
  </si>
  <si>
    <t>item 2 ftcr</t>
  </si>
  <si>
    <t>item 3 country</t>
  </si>
  <si>
    <t>item 3 type</t>
  </si>
  <si>
    <t>item 3 rate</t>
  </si>
  <si>
    <t>item 3 inc</t>
  </si>
  <si>
    <t>item 3 tax</t>
  </si>
  <si>
    <t>item 3 dedn</t>
  </si>
  <si>
    <t>item 3 ftcr</t>
  </si>
  <si>
    <t>item 4 country</t>
  </si>
  <si>
    <t>item 4 type</t>
  </si>
  <si>
    <t>item 4 rate</t>
  </si>
  <si>
    <t>item 4 inc</t>
  </si>
  <si>
    <t>item 4 tax</t>
  </si>
  <si>
    <t>item 4 dedn</t>
  </si>
  <si>
    <t>item 4 ftcr</t>
  </si>
  <si>
    <t>item 5 country</t>
  </si>
  <si>
    <t>item 5 type</t>
  </si>
  <si>
    <t>item 5 rate</t>
  </si>
  <si>
    <t>item 5 inc</t>
  </si>
  <si>
    <t>item 5 tax</t>
  </si>
  <si>
    <t>item 5 dedn</t>
  </si>
  <si>
    <t>item 5 ftcr</t>
  </si>
  <si>
    <t>item 6 country</t>
  </si>
  <si>
    <t>item 6 type</t>
  </si>
  <si>
    <t>item 6 rate</t>
  </si>
  <si>
    <t>item 6 inc</t>
  </si>
  <si>
    <t>item 6 tax</t>
  </si>
  <si>
    <t>item 6 dedn</t>
  </si>
  <si>
    <t>item 6 ftcr</t>
  </si>
  <si>
    <t>item 7 country</t>
  </si>
  <si>
    <t>item 7 type</t>
  </si>
  <si>
    <t>item 7 rate</t>
  </si>
  <si>
    <t>item 7 inc</t>
  </si>
  <si>
    <t>item 7 tax</t>
  </si>
  <si>
    <t>item 7 dedn</t>
  </si>
  <si>
    <t>item 7 ftcr</t>
  </si>
  <si>
    <t>item 8 country</t>
  </si>
  <si>
    <t>item 8 type</t>
  </si>
  <si>
    <t>item 8 rate</t>
  </si>
  <si>
    <t>item 8 inc</t>
  </si>
  <si>
    <t>item 8 tax</t>
  </si>
  <si>
    <t>item 8 dedn</t>
  </si>
  <si>
    <t>item 8 ftcr</t>
  </si>
  <si>
    <t>item 9 country</t>
  </si>
  <si>
    <t>item 9 type</t>
  </si>
  <si>
    <t>item 9 rate</t>
  </si>
  <si>
    <t>item 9 inc</t>
  </si>
  <si>
    <t>item 9 tax</t>
  </si>
  <si>
    <t>item 9 dedn</t>
  </si>
  <si>
    <t>item 9 ftcr</t>
  </si>
  <si>
    <t>item 10 country</t>
  </si>
  <si>
    <t>item 10 type</t>
  </si>
  <si>
    <t>item 10 rate</t>
  </si>
  <si>
    <t>item 10 inc</t>
  </si>
  <si>
    <t>item 10 tax</t>
  </si>
  <si>
    <t>item 10 dedn</t>
  </si>
  <si>
    <t>item 10 ftcr</t>
  </si>
  <si>
    <t>FTCR</t>
  </si>
  <si>
    <t>E10</t>
  </si>
  <si>
    <t>R11</t>
  </si>
  <si>
    <t>T11</t>
  </si>
  <si>
    <t>G10</t>
  </si>
  <si>
    <t>M10</t>
  </si>
  <si>
    <t>I12</t>
  </si>
  <si>
    <t>E14</t>
  </si>
  <si>
    <t>R12</t>
  </si>
  <si>
    <t>T12</t>
  </si>
  <si>
    <t>G14</t>
  </si>
  <si>
    <t>I14</t>
  </si>
  <si>
    <t>M14</t>
  </si>
  <si>
    <t>I16</t>
  </si>
  <si>
    <t>E18</t>
  </si>
  <si>
    <t>R13</t>
  </si>
  <si>
    <t>T13</t>
  </si>
  <si>
    <t>G18</t>
  </si>
  <si>
    <t>I18</t>
  </si>
  <si>
    <t>M18</t>
  </si>
  <si>
    <t>E22</t>
  </si>
  <si>
    <t>R14</t>
  </si>
  <si>
    <t>T14</t>
  </si>
  <si>
    <t>G22</t>
  </si>
  <si>
    <t>I22</t>
  </si>
  <si>
    <t>M22</t>
  </si>
  <si>
    <t>I24</t>
  </si>
  <si>
    <t>E26</t>
  </si>
  <si>
    <t>R15</t>
  </si>
  <si>
    <t>T15</t>
  </si>
  <si>
    <t>G26</t>
  </si>
  <si>
    <t>I26</t>
  </si>
  <si>
    <t>M26</t>
  </si>
  <si>
    <t>I28</t>
  </si>
  <si>
    <t>E30</t>
  </si>
  <si>
    <t>R16</t>
  </si>
  <si>
    <t>T16</t>
  </si>
  <si>
    <t>G30</t>
  </si>
  <si>
    <t>I30</t>
  </si>
  <si>
    <t>M30</t>
  </si>
  <si>
    <t>I32</t>
  </si>
  <si>
    <t>E34</t>
  </si>
  <si>
    <t>R17</t>
  </si>
  <si>
    <t>T17</t>
  </si>
  <si>
    <t>G34</t>
  </si>
  <si>
    <t>I34</t>
  </si>
  <si>
    <t>M34</t>
  </si>
  <si>
    <t>I36</t>
  </si>
  <si>
    <t>E38</t>
  </si>
  <si>
    <t>R18</t>
  </si>
  <si>
    <t>T18</t>
  </si>
  <si>
    <t>G38</t>
  </si>
  <si>
    <t>I38</t>
  </si>
  <si>
    <t>M38</t>
  </si>
  <si>
    <t>I40</t>
  </si>
  <si>
    <t>E42</t>
  </si>
  <si>
    <t>T19</t>
  </si>
  <si>
    <t>G42</t>
  </si>
  <si>
    <t>I42</t>
  </si>
  <si>
    <t>M42</t>
  </si>
  <si>
    <t>I44</t>
  </si>
  <si>
    <t>E46</t>
  </si>
  <si>
    <t>T20</t>
  </si>
  <si>
    <t>G46</t>
  </si>
  <si>
    <t>I46</t>
  </si>
  <si>
    <t>M46</t>
  </si>
  <si>
    <t>I48</t>
  </si>
  <si>
    <t>TRU25</t>
  </si>
  <si>
    <t>TRU25.1</t>
  </si>
  <si>
    <t>H7</t>
  </si>
  <si>
    <t>H37</t>
  </si>
  <si>
    <t>L7</t>
  </si>
  <si>
    <t>L12</t>
  </si>
  <si>
    <t>P7</t>
  </si>
  <si>
    <t>L25</t>
  </si>
  <si>
    <t>L29</t>
  </si>
  <si>
    <t>P25</t>
  </si>
  <si>
    <t>L41</t>
  </si>
  <si>
    <t>P44</t>
  </si>
  <si>
    <t>D30</t>
  </si>
  <si>
    <t>D37</t>
  </si>
  <si>
    <t>D40</t>
  </si>
  <si>
    <t>H40</t>
  </si>
  <si>
    <t>D44</t>
  </si>
  <si>
    <t>D50</t>
  </si>
  <si>
    <t>M5</t>
  </si>
  <si>
    <t>Q5</t>
  </si>
  <si>
    <t>Q9</t>
  </si>
  <si>
    <t>Q12</t>
  </si>
  <si>
    <t>Q16</t>
  </si>
  <si>
    <t>M19</t>
  </si>
  <si>
    <t>Q19</t>
  </si>
  <si>
    <t>M27</t>
  </si>
  <si>
    <t>M35</t>
  </si>
  <si>
    <t>W24</t>
  </si>
  <si>
    <t>Q31</t>
  </si>
  <si>
    <t>Q35</t>
  </si>
  <si>
    <t>NRCAL</t>
  </si>
  <si>
    <t>Q4</t>
  </si>
  <si>
    <t>Q8</t>
  </si>
  <si>
    <t>E17</t>
  </si>
  <si>
    <t>E20</t>
  </si>
  <si>
    <t>E23</t>
  </si>
  <si>
    <t>Q6</t>
  </si>
  <si>
    <t>Q10</t>
  </si>
  <si>
    <t>Q11</t>
  </si>
  <si>
    <t>Q18</t>
  </si>
  <si>
    <t>H10</t>
  </si>
  <si>
    <t>K15</t>
  </si>
  <si>
    <t>SA151</t>
  </si>
  <si>
    <t>In-Year</t>
  </si>
  <si>
    <t>Add pages</t>
  </si>
  <si>
    <t>G5</t>
  </si>
  <si>
    <t>M24</t>
  </si>
  <si>
    <t>N7</t>
  </si>
  <si>
    <t>N8</t>
  </si>
  <si>
    <t>N9</t>
  </si>
  <si>
    <t>N10</t>
  </si>
  <si>
    <t>N11</t>
  </si>
  <si>
    <t>P8</t>
  </si>
  <si>
    <t>P10</t>
  </si>
  <si>
    <t>R7</t>
  </si>
  <si>
    <t>R8</t>
  </si>
  <si>
    <t>R9</t>
  </si>
  <si>
    <t>R10</t>
  </si>
  <si>
    <t>View</t>
  </si>
  <si>
    <t>TC ref</t>
  </si>
  <si>
    <t>FIN1</t>
  </si>
  <si>
    <t>Selector</t>
  </si>
  <si>
    <t>A24</t>
  </si>
  <si>
    <t>A34</t>
  </si>
  <si>
    <t>F4</t>
  </si>
  <si>
    <t>H4</t>
  </si>
  <si>
    <t>Nic X</t>
  </si>
  <si>
    <t>NIC2 Vol</t>
  </si>
  <si>
    <t>More Select</t>
  </si>
  <si>
    <t>A21</t>
  </si>
  <si>
    <t>A23</t>
  </si>
  <si>
    <t> Validation</t>
  </si>
  <si>
    <t>Type</t>
  </si>
  <si>
    <t>Your personal details</t>
  </si>
  <si>
    <t>row</t>
  </si>
  <si>
    <t>YPD1</t>
  </si>
  <si>
    <t>Your date of birth</t>
  </si>
  <si>
    <t>17/11/1980</t>
  </si>
  <si>
    <t>03/01/1957</t>
  </si>
  <si>
    <t>05/03/1945</t>
  </si>
  <si>
    <t>If present must be earlier than 6 April next after the end of the return year.</t>
  </si>
  <si>
    <t>SA MTR date</t>
  </si>
  <si>
    <t>YPD2</t>
  </si>
  <si>
    <t>Your name and address - date of change</t>
  </si>
  <si>
    <t>must be valid date DDMMYYYY</t>
  </si>
  <si>
    <t>YPD3</t>
  </si>
  <si>
    <t>Your phone number</t>
  </si>
  <si>
    <t>a) 0-9 and space only. b) Enter as STD CODE followed by space followed by number.</t>
  </si>
  <si>
    <t>SA string</t>
  </si>
  <si>
    <t>YPD4</t>
  </si>
  <si>
    <t>Your National Insurance number</t>
  </si>
  <si>
    <t>Must be in format AA999999A or AA999999 or 99A99999</t>
  </si>
  <si>
    <t>YPDTR</t>
  </si>
  <si>
    <t>Tax regime indicator (BOX NOT ON RETURN)</t>
  </si>
  <si>
    <t>Interest and dividends from UK banks, building societies etc.</t>
  </si>
  <si>
    <t>INC1</t>
  </si>
  <si>
    <t>Taxed UK interest etc</t>
  </si>
  <si>
    <t>SA Monetary value (2dp) &gt;= 0.00</t>
  </si>
  <si>
    <t>INC2</t>
  </si>
  <si>
    <t>Untaxed UK interest etc</t>
  </si>
  <si>
    <t>INC3</t>
  </si>
  <si>
    <t>Untaxed foreign interest (up to £2,000)</t>
  </si>
  <si>
    <t>If present, must be less than or equal to £2000</t>
  </si>
  <si>
    <t>INC4</t>
  </si>
  <si>
    <t>Dividends from UK companies</t>
  </si>
  <si>
    <t>INC5</t>
  </si>
  <si>
    <t>Other dividends</t>
  </si>
  <si>
    <t>INC6</t>
  </si>
  <si>
    <t>INC7</t>
  </si>
  <si>
    <t>Tax taken off foreign dividends</t>
  </si>
  <si>
    <t>If present, must be less than or equal to INC6 + £1</t>
  </si>
  <si>
    <t>UK pensions, annuities and other state benefits received</t>
  </si>
  <si>
    <t>INC8</t>
  </si>
  <si>
    <t>State Pension</t>
  </si>
  <si>
    <t>If present, must be less than £99,999</t>
  </si>
  <si>
    <t>SA Monetary value (2dp) &gt; 0.00</t>
  </si>
  <si>
    <t>INC9</t>
  </si>
  <si>
    <t>State Pension lump sum</t>
  </si>
  <si>
    <t>INC10</t>
  </si>
  <si>
    <t>Tax taken off box 9</t>
  </si>
  <si>
    <t>If present, must be less than or equal to (INC9 x 45%) + £1</t>
  </si>
  <si>
    <t>INC11</t>
  </si>
  <si>
    <t>Pensions</t>
  </si>
  <si>
    <t>INC12</t>
  </si>
  <si>
    <t>Tax taken off box 11</t>
  </si>
  <si>
    <t>If present, must be less than or equal to INC11</t>
  </si>
  <si>
    <t>SA Monetary value (2dp)</t>
  </si>
  <si>
    <t>INC13</t>
  </si>
  <si>
    <t>Taxable Incapacity Benefit etc</t>
  </si>
  <si>
    <t>INC14</t>
  </si>
  <si>
    <t>Tax taken off box 13</t>
  </si>
  <si>
    <t>If present, must be less than or equal to INC13</t>
  </si>
  <si>
    <t>INC15</t>
  </si>
  <si>
    <t>Jobseeker’s Allowance</t>
  </si>
  <si>
    <t>INC16</t>
  </si>
  <si>
    <t>Taxable State Pensions and benefits</t>
  </si>
  <si>
    <t>Other UK income not included on supplementary pages</t>
  </si>
  <si>
    <t>INC17</t>
  </si>
  <si>
    <t>Other taxable income</t>
  </si>
  <si>
    <t>INC18</t>
  </si>
  <si>
    <t>Total amount of allowable expenses</t>
  </si>
  <si>
    <t>INC19</t>
  </si>
  <si>
    <t>Any tax taken off box 17</t>
  </si>
  <si>
    <t>If present, must be less than or equal to INC17</t>
  </si>
  <si>
    <t>INC20</t>
  </si>
  <si>
    <t>Benefit from pre-owned assets</t>
  </si>
  <si>
    <t>INC21</t>
  </si>
  <si>
    <t>Description of income in boxes 17 and 20</t>
  </si>
  <si>
    <t>bee keeper</t>
  </si>
  <si>
    <t xml:space="preserve">tv extra </t>
  </si>
  <si>
    <t>Published articles</t>
  </si>
  <si>
    <t>Examiner fees</t>
  </si>
  <si>
    <t>Writing</t>
  </si>
  <si>
    <t>Brewing</t>
  </si>
  <si>
    <t>Distilling</t>
  </si>
  <si>
    <t>accounts</t>
  </si>
  <si>
    <t>book sales</t>
  </si>
  <si>
    <t>dancing</t>
  </si>
  <si>
    <t>internet sales</t>
  </si>
  <si>
    <t>Proof reading</t>
  </si>
  <si>
    <t>pallet furniture</t>
  </si>
  <si>
    <t>leaflet distribution</t>
  </si>
  <si>
    <t>financier</t>
  </si>
  <si>
    <t>extra</t>
  </si>
  <si>
    <t>SA non-empty string</t>
  </si>
  <si>
    <t>Paying into registered pension schemes and overseas pension schemes</t>
  </si>
  <si>
    <t>REL1</t>
  </si>
  <si>
    <t>Payments to registered pension schemes - basic rate tax relief claimed</t>
  </si>
  <si>
    <t>REL1.1</t>
  </si>
  <si>
    <t>total of any 'one off' payments in box 1</t>
  </si>
  <si>
    <t>REL2</t>
  </si>
  <si>
    <t>Payments to a retirement annuity contract - basic rate tax relief not claimed</t>
  </si>
  <si>
    <t>REL3</t>
  </si>
  <si>
    <t>Payments to employer’s scheme not deducted from pay before tax</t>
  </si>
  <si>
    <t>REL4</t>
  </si>
  <si>
    <t>Payments to an overseas pension scheme - eligible for tax relief not deducted from pay before tax</t>
  </si>
  <si>
    <t>REL5</t>
  </si>
  <si>
    <t>Gift Aid payments</t>
  </si>
  <si>
    <t>REL6</t>
  </si>
  <si>
    <t>Total of any ‘one-off’ payments in box 5</t>
  </si>
  <si>
    <t>If present, must be less than or equal to REL5</t>
  </si>
  <si>
    <t>REL7</t>
  </si>
  <si>
    <t>Gift Aid payments treated as made in PY</t>
  </si>
  <si>
    <t>REL8</t>
  </si>
  <si>
    <t>Gift Aid payments treated as made in CY</t>
  </si>
  <si>
    <t>REL9</t>
  </si>
  <si>
    <t>Qualifying shares or securities gifted to charity</t>
  </si>
  <si>
    <t>REL10</t>
  </si>
  <si>
    <t>Qualifying land and buildings gifted to charity</t>
  </si>
  <si>
    <t>Blind Person’s Allowance</t>
  </si>
  <si>
    <t>REL13</t>
  </si>
  <si>
    <t>Registered blind, or severely sight impaired</t>
  </si>
  <si>
    <t>"yes"</t>
  </si>
  <si>
    <t>REL14</t>
  </si>
  <si>
    <t>Name of the local authority or other register</t>
  </si>
  <si>
    <t>Edinburgh</t>
  </si>
  <si>
    <t>Inverness</t>
  </si>
  <si>
    <t>Liverpool</t>
  </si>
  <si>
    <t>REL15</t>
  </si>
  <si>
    <t>If you want your spouse’s, or civil partner’s, surplus allowance, put ‘X’ in the box</t>
  </si>
  <si>
    <t>REL16</t>
  </si>
  <si>
    <t>If you want your spouse, or civil partner, to have your surplus allowance, put ‘X’ in the box</t>
  </si>
  <si>
    <t>Student Loan repayments</t>
  </si>
  <si>
    <t>N.B. SLR2 amounts relate to EMP amounts e.g. EMP=1 relates to SLR=1 (up to EMP=11 &amp; SLR=11)</t>
  </si>
  <si>
    <t>SLR1</t>
  </si>
  <si>
    <t>Notification repayment of Student Loan began</t>
  </si>
  <si>
    <t>SLRPT</t>
  </si>
  <si>
    <t>Student Loan Plan Type (N.B. BOX NOT ON RETURN)</t>
  </si>
  <si>
    <t>02</t>
  </si>
  <si>
    <t>01</t>
  </si>
  <si>
    <t>04</t>
  </si>
  <si>
    <t>PGLRPT</t>
  </si>
  <si>
    <t>Post Graduate Loan Plan Type (N.B. BOX NOT ON RETURN)</t>
  </si>
  <si>
    <t>03</t>
  </si>
  <si>
    <t>SLR2</t>
  </si>
  <si>
    <t>Enter the amount deducted (U)</t>
  </si>
  <si>
    <t>SLR3</t>
  </si>
  <si>
    <t>Enter the amount deducted (P)</t>
  </si>
  <si>
    <t>CBC1</t>
  </si>
  <si>
    <t>total amount of Child Benefit</t>
  </si>
  <si>
    <t>Monetary value (2dp) &gt;= 0.00</t>
  </si>
  <si>
    <t>CBC2</t>
  </si>
  <si>
    <t>number of children</t>
  </si>
  <si>
    <t>a) CBC2 must not exceed 99
b) If CBC2 present and greater than zero, then CBC1 must be present.</t>
  </si>
  <si>
    <t>Integer value &gt;= 0</t>
  </si>
  <si>
    <t>CBC3</t>
  </si>
  <si>
    <t>date stopped getting Child Benefit payments</t>
  </si>
  <si>
    <t>a) must be a valid date DDMMYYYY
b) must be within the return year
c) if present CBC1 &amp; CBC2 must be present</t>
  </si>
  <si>
    <t>Winter Fuel Payment</t>
  </si>
  <si>
    <t>Transfer of Married Allowance</t>
  </si>
  <si>
    <t>MAT1-5</t>
  </si>
  <si>
    <t>MAT1-5 completed (N.B. BOX NOT ON RETURN)</t>
  </si>
  <si>
    <t>MAT1</t>
  </si>
  <si>
    <t>spouse or civil partner's first name</t>
  </si>
  <si>
    <t>Dave</t>
  </si>
  <si>
    <t>Matt</t>
  </si>
  <si>
    <t>MAT2</t>
  </si>
  <si>
    <t>spouse or civil partner's last name</t>
  </si>
  <si>
    <t>Munnsarena</t>
  </si>
  <si>
    <t>Barbarena</t>
  </si>
  <si>
    <t>MAT3</t>
  </si>
  <si>
    <t>spouse or civil partner's NINo</t>
  </si>
  <si>
    <t>AA999999A</t>
  </si>
  <si>
    <t>a) Must be in format AA999999A or AA999999 or 99A99999</t>
  </si>
  <si>
    <t>MAT4</t>
  </si>
  <si>
    <t>spouse or civil partner's DoB</t>
  </si>
  <si>
    <t>a) Must be a valid date DDMMYYYY</t>
  </si>
  <si>
    <t>MAT5</t>
  </si>
  <si>
    <t>Date of marriage or civil partnership</t>
  </si>
  <si>
    <t>a) If any of MAT1, MAT2, MAT3, MAT4 or MAT5 are present then all must be present.
b) Must be a valid date DDMMYYYY
c) If present must be a date in the return year or before the return year</t>
  </si>
  <si>
    <t>MAT_OUT</t>
  </si>
  <si>
    <t>[Digital Claim for MAT to spouse/civil partner]</t>
  </si>
  <si>
    <t>MAT_IN</t>
  </si>
  <si>
    <t>[Digital Claim for MAT from spouse/civil partner]</t>
  </si>
  <si>
    <t>Finishing your tax return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</si>
  <si>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</si>
  <si>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</si>
  <si>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</si>
  <si>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</si>
  <si>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</si>
  <si>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</si>
  <si>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</si>
  <si>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</si>
  <si>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</si>
  <si>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</si>
  <si>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</si>
  <si>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</si>
  <si>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</si>
  <si>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</si>
  <si>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</si>
  <si>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</si>
  <si>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</si>
  <si>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</si>
  <si>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</si>
  <si>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</si>
  <si>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</si>
  <si>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</si>
  <si>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</si>
  <si>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</si>
  <si>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</si>
  <si>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Interest Gilt edged, UK Securities</t>
  </si>
  <si>
    <t>selected</t>
  </si>
  <si>
    <t>AOI1</t>
  </si>
  <si>
    <t>Gilt etc interest after tax taken off</t>
  </si>
  <si>
    <t>AOI2</t>
  </si>
  <si>
    <t>Tax taken off</t>
  </si>
  <si>
    <t>AOI3</t>
  </si>
  <si>
    <t>Gross amount before tax</t>
  </si>
  <si>
    <t>Life Insurance Gains</t>
  </si>
  <si>
    <t>AOI4</t>
  </si>
  <si>
    <t>UK life insurance policy etc gains on which tax was treated as paid</t>
  </si>
  <si>
    <t>AOI5</t>
  </si>
  <si>
    <t>Number of years the policy has been held or since the last gain</t>
  </si>
  <si>
    <t>Note: See 'cross-schedules' tab. If Box 1A present, boxes AOI5, AOI7, AOI9 and FOR44 must be absent</t>
  </si>
  <si>
    <t>AOI6</t>
  </si>
  <si>
    <t>UK life insurance policy etc gains where no tax was treated as paid</t>
  </si>
  <si>
    <t>AOI7</t>
  </si>
  <si>
    <t>AOI8</t>
  </si>
  <si>
    <t>UK life insurance policy etc gains from voided ISAs</t>
  </si>
  <si>
    <t>AOI9</t>
  </si>
  <si>
    <t>Number of years the policy was held</t>
  </si>
  <si>
    <t>AOI10</t>
  </si>
  <si>
    <t>Tax taken off box 8</t>
  </si>
  <si>
    <t>AOI11</t>
  </si>
  <si>
    <t>Deficiency relief</t>
  </si>
  <si>
    <t>Stock divs  and non qualifying distributions</t>
  </si>
  <si>
    <t>AOI12</t>
  </si>
  <si>
    <t>AOI13</t>
  </si>
  <si>
    <t>Non-qualifying distributions</t>
  </si>
  <si>
    <t>AOI13.1</t>
  </si>
  <si>
    <t>Close company loans written off or released</t>
  </si>
  <si>
    <t>AOI14</t>
  </si>
  <si>
    <t>The amount of post-cessation or other business receipts</t>
  </si>
  <si>
    <t>AOI15</t>
  </si>
  <si>
    <t>Tax year income to be taxed</t>
  </si>
  <si>
    <t>2020-21</t>
  </si>
  <si>
    <t>a) If AOI14 present then AOI15 must also be present.
B) If AOI15 present then AOI14 must also be present</t>
  </si>
  <si>
    <t>Share schemes</t>
  </si>
  <si>
    <t>ASE1</t>
  </si>
  <si>
    <t>Share schemes – the taxable amount</t>
  </si>
  <si>
    <t>ASE2</t>
  </si>
  <si>
    <t>Box 2 is not in use</t>
  </si>
  <si>
    <t>Lump Sums</t>
  </si>
  <si>
    <t>ASE3</t>
  </si>
  <si>
    <t>Taxable lump sums and certain income after the end of your job</t>
  </si>
  <si>
    <t>ASE4</t>
  </si>
  <si>
    <t>Lump sums or benefits received from an Employer Financed Retirement Benefits Scheme excluding pensions</t>
  </si>
  <si>
    <t>ASE5</t>
  </si>
  <si>
    <t>Redundancy, other lump sums and compensation payments</t>
  </si>
  <si>
    <t>ASE6</t>
  </si>
  <si>
    <t>Tax taken off boxes 3 to 5</t>
  </si>
  <si>
    <t>ASE7</t>
  </si>
  <si>
    <t>f you have left box 6 blank because the tax is included in box 2 on the ‘Employment’ page, put ‘X’ in the box</t>
  </si>
  <si>
    <t>Must be N if there is an entry greater than zero in box ASE6</t>
  </si>
  <si>
    <t>ASE8</t>
  </si>
  <si>
    <t>Exemptions for amounts entered in box 4</t>
  </si>
  <si>
    <t>ASE9</t>
  </si>
  <si>
    <t>Compensation and lump sums up to £30,000 exemption</t>
  </si>
  <si>
    <t>If present, must be less than or equal to £30,000</t>
  </si>
  <si>
    <t>ASE10</t>
  </si>
  <si>
    <t>Disability and foreign service deduction</t>
  </si>
  <si>
    <t>Other deductions</t>
  </si>
  <si>
    <t>ASE11</t>
  </si>
  <si>
    <t>Seafarers’ Earnings Deduction</t>
  </si>
  <si>
    <t>ASE12</t>
  </si>
  <si>
    <t>Foreign earnings not taxable in the UK</t>
  </si>
  <si>
    <t>ASE13</t>
  </si>
  <si>
    <t>Foreign tax for which tax credit relief not claimed</t>
  </si>
  <si>
    <t>ASE14</t>
  </si>
  <si>
    <t>Exempt employers’ contributions to an overseas pension scheme</t>
  </si>
  <si>
    <t>ASE15</t>
  </si>
  <si>
    <t>UK patent royalty payments made</t>
  </si>
  <si>
    <t>Other tax reliefs</t>
  </si>
  <si>
    <t>AOR1</t>
  </si>
  <si>
    <t>Subscriptions for Venture Capital Trust shares</t>
  </si>
  <si>
    <t>If present, must be less than or equal to £200,000</t>
  </si>
  <si>
    <t>AOR2</t>
  </si>
  <si>
    <t>Subscriptions for shares under the Enterprise Investment Scheme</t>
  </si>
  <si>
    <t>If present, must be less than or equal to £1,000,000</t>
  </si>
  <si>
    <t>AOR3</t>
  </si>
  <si>
    <t>Community Investment Tax Relief</t>
  </si>
  <si>
    <t>AOR4</t>
  </si>
  <si>
    <t>Annual payments made</t>
  </si>
  <si>
    <t>AOR5</t>
  </si>
  <si>
    <t>Qualifying loan interest payable in the year</t>
  </si>
  <si>
    <t>Consider OTRSA validation</t>
  </si>
  <si>
    <t>AOR6</t>
  </si>
  <si>
    <t>Post-cessation trade relief and certain other losses</t>
  </si>
  <si>
    <t>AOR6.1</t>
  </si>
  <si>
    <t>Pre-incorporation losses</t>
  </si>
  <si>
    <t>AOR7</t>
  </si>
  <si>
    <t>If present, must be less than or equal to £3,360</t>
  </si>
  <si>
    <t>AOR8</t>
  </si>
  <si>
    <t>Payments to a trade union etc. for death benefits</t>
  </si>
  <si>
    <t>If present, must be less than or equal to £100</t>
  </si>
  <si>
    <t>AOR9</t>
  </si>
  <si>
    <t>Relief claimed on a qualifying distribution on the redemption of bonus shares or securities</t>
  </si>
  <si>
    <t>AOR10</t>
  </si>
  <si>
    <t>Subscriptions for shares under the Seed Enterprise Investment Scheme</t>
  </si>
  <si>
    <t>If present, must be less than or equal to £100,000</t>
  </si>
  <si>
    <t>AOR12</t>
  </si>
  <si>
    <t>Loan Interest from investments relief</t>
  </si>
  <si>
    <t>MCA Control data</t>
  </si>
  <si>
    <t>MCA claim</t>
  </si>
  <si>
    <t>Wife age ind</t>
  </si>
  <si>
    <t>alloc to wife</t>
  </si>
  <si>
    <t>1 = None to spouse/partner</t>
  </si>
  <si>
    <t>2 = 50% to spouse/partner (3 or 6)</t>
  </si>
  <si>
    <t>3 = All to spouse/partner (4 or 7)</t>
  </si>
  <si>
    <t>months married</t>
  </si>
  <si>
    <t>Married Couple’s Allowance</t>
  </si>
  <si>
    <t>MCA1</t>
  </si>
  <si>
    <t>Your spouse’s or civil partner’s full name</t>
  </si>
  <si>
    <t>Brenda</t>
  </si>
  <si>
    <t>Jean</t>
  </si>
  <si>
    <t>Joan</t>
  </si>
  <si>
    <t>Julie</t>
  </si>
  <si>
    <t xml:space="preserve">If MAT1 present MCA1 must be absent </t>
  </si>
  <si>
    <t>MCA2</t>
  </si>
  <si>
    <t>Their date of birth if older than you</t>
  </si>
  <si>
    <t>01/02/1932</t>
  </si>
  <si>
    <t>03/02/1927</t>
  </si>
  <si>
    <t>If present, must be before 06/04/1935</t>
  </si>
  <si>
    <t>MCA3</t>
  </si>
  <si>
    <t>If you have already agreed that half the minimum allowance is to go to your spouse or civil partner, put ‘X’ in the box</t>
  </si>
  <si>
    <t>If 'Y' MCA1 must be present</t>
  </si>
  <si>
    <t>MCA4</t>
  </si>
  <si>
    <t>If you have already agreed that all of the minimum allowance is to go to your spouse or civil partner, put ‘X’ in the box</t>
  </si>
  <si>
    <t>a) If 'Y' MCA3 must be 'N'.
b) If 'Y' MCA1 must be present</t>
  </si>
  <si>
    <t>MCA5</t>
  </si>
  <si>
    <t>MCA6</t>
  </si>
  <si>
    <t>If you have already agreed that half of the minimum allowance is to be given to you, put ‘X’ in the box</t>
  </si>
  <si>
    <t>If MCA1 present MCA6 must be 'N'</t>
  </si>
  <si>
    <t>MCA7</t>
  </si>
  <si>
    <t>If you have already agreed that all of the minimum allowance is to be given to you, put ‘X’ in the box</t>
  </si>
  <si>
    <t>a) If 'Y' MCA3 must be 'N'.
b) If MCA1 present MCA7 must be 'N'</t>
  </si>
  <si>
    <t>MCA8</t>
  </si>
  <si>
    <t>Fred</t>
  </si>
  <si>
    <t xml:space="preserve">a) If MCA6 or MCA7 equals Y, MCA8 must be present.
b) If MCA8 is present, one of MCA6 or MCA7 must be Y
c) If MAT1 present MCA8 must be absent                        </t>
  </si>
  <si>
    <t>MCA9</t>
  </si>
  <si>
    <t>a) Must be a date in the return year.
b) If present either MCA1 or MCA8 must be present.</t>
  </si>
  <si>
    <t>MCA10</t>
  </si>
  <si>
    <t>If you want to have your spouse’s or civil partner’s surplus allowance, put ‘X’ in the box</t>
  </si>
  <si>
    <t>MCA11</t>
  </si>
  <si>
    <t>If you want your spouse or civil partner to have your surplus allowance, put ‘X’ in the box</t>
  </si>
  <si>
    <t>Either Boxes MCA1 to MCA5 and, if appropriate MCA9, MCA10 or MCA11 should be completed 
or boxes MCA6 to MCA8 and, if appropriate MCA9, MCA10 or MCA11 should be completed</t>
  </si>
  <si>
    <t>Other information</t>
  </si>
  <si>
    <t>AIL1</t>
  </si>
  <si>
    <t>AIL2</t>
  </si>
  <si>
    <t>Total unused losses carried forward</t>
  </si>
  <si>
    <t>AIL3</t>
  </si>
  <si>
    <t>AIL4</t>
  </si>
  <si>
    <t>Enter the amount of relief shown in box 3 which is not subject to the limit on Income Tax reliefs</t>
  </si>
  <si>
    <t>If present AIL4 cannot exceed AIL3</t>
  </si>
  <si>
    <t>AIL5</t>
  </si>
  <si>
    <t>Must be a valid pair of consecutive years in the format YYYY YY</t>
  </si>
  <si>
    <t>AIL6</t>
  </si>
  <si>
    <t>Amount of payroll giving</t>
  </si>
  <si>
    <t>AIL10</t>
  </si>
  <si>
    <t>Amount saved towards your pension, in the period covered by this tax return, in excess of the Annual Allowance</t>
  </si>
  <si>
    <t>AIL11</t>
  </si>
  <si>
    <t>Annual Allowance tax paid or payable by your pension scheme</t>
  </si>
  <si>
    <t>If present, must be less than AIL10</t>
  </si>
  <si>
    <t>AIL11.1</t>
  </si>
  <si>
    <t>Value of pension benefits transferred subject to the overseas transfer charge</t>
  </si>
  <si>
    <t>AIL11.2</t>
  </si>
  <si>
    <t>Tax paid or payable by your pension scheme</t>
  </si>
  <si>
    <t>AIL12</t>
  </si>
  <si>
    <t>Pension scheme tax reference number</t>
  </si>
  <si>
    <t>Allows a combination of letters and numbers up to a maximum of 10 characters</t>
  </si>
  <si>
    <t>AIL13</t>
  </si>
  <si>
    <t>Amount of unauthorised payment from a pension scheme, not subject to surcharge</t>
  </si>
  <si>
    <t>AIL14</t>
  </si>
  <si>
    <t>Amount of unauthorised payment from a pension scheme, subject to surcharge</t>
  </si>
  <si>
    <t>AIL15</t>
  </si>
  <si>
    <t>Foreign tax paid on an unauthorised payment (in £ sterling)</t>
  </si>
  <si>
    <t>AIL16</t>
  </si>
  <si>
    <t>Taxable short service refund of contributions (overseas pension schemes only)</t>
  </si>
  <si>
    <t>AIL18</t>
  </si>
  <si>
    <t>Foreign tax paid (in £ sterling) on boxes 16 and 17</t>
  </si>
  <si>
    <t>AIL19</t>
  </si>
  <si>
    <t>The scheme reference number or promoter reference number</t>
  </si>
  <si>
    <t>Maximum 8 digits</t>
  </si>
  <si>
    <t>AIL20</t>
  </si>
  <si>
    <t>Must be a valid year in the format YYYY YY</t>
  </si>
  <si>
    <t>EMP1</t>
  </si>
  <si>
    <t>Pay from this employment – the total from your P45 or P6</t>
  </si>
  <si>
    <t>EMP1.1</t>
  </si>
  <si>
    <t>Payrolled benefits</t>
  </si>
  <si>
    <t>EMP2</t>
  </si>
  <si>
    <t>UK tax taken off pay in box 1</t>
  </si>
  <si>
    <t>EMP3</t>
  </si>
  <si>
    <t>Tips and other payments not on your P60</t>
  </si>
  <si>
    <t>EMP3.1</t>
  </si>
  <si>
    <t>Pension contribution - Payment from HMRC</t>
  </si>
  <si>
    <t>EMP4</t>
  </si>
  <si>
    <t>PAYE tax reference of your employer (on your P45/P60)</t>
  </si>
  <si>
    <t>326/429</t>
  </si>
  <si>
    <t>213/A3</t>
  </si>
  <si>
    <t>581/R10</t>
  </si>
  <si>
    <t>726/732</t>
  </si>
  <si>
    <t>354/112</t>
  </si>
  <si>
    <t>325/78</t>
  </si>
  <si>
    <t>120/E720</t>
  </si>
  <si>
    <t>951/U2</t>
  </si>
  <si>
    <t>915/M15</t>
  </si>
  <si>
    <t>120/J90</t>
  </si>
  <si>
    <t>126/126</t>
  </si>
  <si>
    <t>126/57</t>
  </si>
  <si>
    <t>007/A123</t>
  </si>
  <si>
    <t>626/431</t>
  </si>
  <si>
    <t>526/530</t>
  </si>
  <si>
    <t>525/236</t>
  </si>
  <si>
    <t>750/451</t>
  </si>
  <si>
    <t>475/UB40</t>
  </si>
  <si>
    <t>335/A54</t>
  </si>
  <si>
    <t>455/225</t>
  </si>
  <si>
    <t>120/226</t>
  </si>
  <si>
    <t>120/P2000</t>
  </si>
  <si>
    <t>120/GE36804</t>
  </si>
  <si>
    <t>961/0005020</t>
  </si>
  <si>
    <t>106/FA46479</t>
  </si>
  <si>
    <t>525/444</t>
  </si>
  <si>
    <t>000/EMP</t>
  </si>
  <si>
    <t>120/UB28395</t>
  </si>
  <si>
    <t>581/S1582</t>
  </si>
  <si>
    <t>000/N</t>
  </si>
  <si>
    <t>961/3916619</t>
  </si>
  <si>
    <t>581/MR2646</t>
  </si>
  <si>
    <t>581/mw788</t>
  </si>
  <si>
    <t>586/a1450</t>
  </si>
  <si>
    <t>335/A55</t>
  </si>
  <si>
    <t>914/m4226</t>
  </si>
  <si>
    <t>362/BA13263</t>
  </si>
  <si>
    <t>951/T2</t>
  </si>
  <si>
    <t>120/BE19128</t>
  </si>
  <si>
    <t>581/xz14720</t>
  </si>
  <si>
    <t>190/VZ38574</t>
  </si>
  <si>
    <t>581/MT3300</t>
  </si>
  <si>
    <t>951/LP9472</t>
  </si>
  <si>
    <t>846/LL3</t>
  </si>
  <si>
    <t>267/HG493</t>
  </si>
  <si>
    <t>303/113</t>
  </si>
  <si>
    <t>671/RC94810</t>
  </si>
  <si>
    <t>932/93U</t>
  </si>
  <si>
    <t>929/0398</t>
  </si>
  <si>
    <t>383/2937</t>
  </si>
  <si>
    <t>000/j</t>
  </si>
  <si>
    <t>102/3948</t>
  </si>
  <si>
    <t>914/G5</t>
  </si>
  <si>
    <t>007/1881</t>
  </si>
  <si>
    <t>510/200</t>
  </si>
  <si>
    <t>028/309DN</t>
  </si>
  <si>
    <t>039/32099J</t>
  </si>
  <si>
    <t>007/123</t>
  </si>
  <si>
    <t>477/WA4668</t>
  </si>
  <si>
    <t>477/WA4669</t>
  </si>
  <si>
    <t>120/VA111</t>
  </si>
  <si>
    <t>477/WA4671</t>
  </si>
  <si>
    <t>325/300</t>
  </si>
  <si>
    <t>325/X98</t>
  </si>
  <si>
    <t>007/A125</t>
  </si>
  <si>
    <t>007/P99</t>
  </si>
  <si>
    <t>910/S1</t>
  </si>
  <si>
    <t>Must be present</t>
  </si>
  <si>
    <t>EMP5</t>
  </si>
  <si>
    <t xml:space="preserve">Your employer’s name
</t>
  </si>
  <si>
    <t>Birmingham Boys</t>
  </si>
  <si>
    <t xml:space="preserve">Wrekin Housing </t>
  </si>
  <si>
    <t>Oxford Algorithms Ltd</t>
  </si>
  <si>
    <t>Where There's a Will</t>
  </si>
  <si>
    <t>uni of aberdeen</t>
  </si>
  <si>
    <t>MICHAEL SOHOR AND CO</t>
  </si>
  <si>
    <t>building property</t>
  </si>
  <si>
    <t>GMK SPORTING SERVICES LTD</t>
  </si>
  <si>
    <t>solomon associates ltd</t>
  </si>
  <si>
    <t>STARLING BANK</t>
  </si>
  <si>
    <t>CAR SHOP</t>
  </si>
  <si>
    <t>hillhouse estates ltd</t>
  </si>
  <si>
    <t>ROTHKO LTD</t>
  </si>
  <si>
    <t>MARSTON PROPERTIES LTD</t>
  </si>
  <si>
    <t>amg consultancy services ltd</t>
  </si>
  <si>
    <t>SERAPHIM SPACE MANAGER LLP</t>
  </si>
  <si>
    <t>IGLASEAS PLC</t>
  </si>
  <si>
    <t>GTG BYE LTD</t>
  </si>
  <si>
    <t xml:space="preserve">rose capital </t>
  </si>
  <si>
    <t>MR W</t>
  </si>
  <si>
    <t>MR PATTISON</t>
  </si>
  <si>
    <t>CKQ LTD</t>
  </si>
  <si>
    <t xml:space="preserve"> PRIVATE EQUINE</t>
  </si>
  <si>
    <t>ACME INC</t>
  </si>
  <si>
    <t>LAST</t>
  </si>
  <si>
    <t>rosetta</t>
  </si>
  <si>
    <t>STICK</t>
  </si>
  <si>
    <t>corbs</t>
  </si>
  <si>
    <t>mr corbs</t>
  </si>
  <si>
    <t>keith</t>
  </si>
  <si>
    <t xml:space="preserve">CORBY </t>
  </si>
  <si>
    <t>MUNNY</t>
  </si>
  <si>
    <t>International Trading</t>
  </si>
  <si>
    <t>Import Ant Software</t>
  </si>
  <si>
    <t>Family Life</t>
  </si>
  <si>
    <t>Logistical Analysis</t>
  </si>
  <si>
    <t>Sales</t>
  </si>
  <si>
    <t>Environmental Adviser</t>
  </si>
  <si>
    <t>EMP6</t>
  </si>
  <si>
    <t xml:space="preserve"> If you were a company director, put ‘X’ in the box</t>
  </si>
  <si>
    <t>y</t>
  </si>
  <si>
    <t>"yes" or "no"</t>
  </si>
  <si>
    <t>EMP6.1</t>
  </si>
  <si>
    <t>a) must be within the return year
b) must be valid date DDMMYYYY
c) if present EMP6 must be Y</t>
  </si>
  <si>
    <t>EMP7</t>
  </si>
  <si>
    <t xml:space="preserve">And, if the company was a close company, put ‘X’ in the box </t>
  </si>
  <si>
    <t>EMP7.1</t>
  </si>
  <si>
    <t>Name of this close company</t>
  </si>
  <si>
    <t>CORBS &amp; CO</t>
  </si>
  <si>
    <t>PEAR &amp; SON</t>
  </si>
  <si>
    <t>CORBSY BOY FOOTBALL</t>
  </si>
  <si>
    <t>BEC LTD</t>
  </si>
  <si>
    <t>MUNKEY</t>
  </si>
  <si>
    <t>KEITHY CO</t>
  </si>
  <si>
    <t>PADDYS</t>
  </si>
  <si>
    <t>JEPJEP</t>
  </si>
  <si>
    <t>PATRICKO</t>
  </si>
  <si>
    <t>FARMING CO</t>
  </si>
  <si>
    <t>MAISMOO</t>
  </si>
  <si>
    <t>LUNA CO</t>
  </si>
  <si>
    <t>Cakes</t>
  </si>
  <si>
    <t>D&amp;munny</t>
  </si>
  <si>
    <t>EMP7.2</t>
  </si>
  <si>
    <t>Registration number for this close company</t>
  </si>
  <si>
    <t>VV222222</t>
  </si>
  <si>
    <t>AA123555</t>
  </si>
  <si>
    <t>EMP7.3</t>
  </si>
  <si>
    <t>Dividends recieved from this close company</t>
  </si>
  <si>
    <t>EMP7.4</t>
  </si>
  <si>
    <t>Percentage shareholding in this close company</t>
  </si>
  <si>
    <t>EMP8</t>
  </si>
  <si>
    <t>If this employment income is from inside off-payroll working engagements, put ‘X’ in the box</t>
  </si>
  <si>
    <t>No longer in use</t>
  </si>
  <si>
    <t>EMP9</t>
  </si>
  <si>
    <t>Company cars and vans</t>
  </si>
  <si>
    <t>EMP10</t>
  </si>
  <si>
    <t>Fuel for company cars and vans</t>
  </si>
  <si>
    <t>EMP11</t>
  </si>
  <si>
    <t>Private medical and dental insurance</t>
  </si>
  <si>
    <t>EMP12</t>
  </si>
  <si>
    <t>Vouchers, credit cards and excess mileage allowance</t>
  </si>
  <si>
    <t>EMP13</t>
  </si>
  <si>
    <t xml:space="preserve">Goods and other assets provided by your employer </t>
  </si>
  <si>
    <t>EMP14</t>
  </si>
  <si>
    <t xml:space="preserve">Accommodation provided by your employer </t>
  </si>
  <si>
    <t>EMP15</t>
  </si>
  <si>
    <t>Other benefits (including interest-free and low interest loans)</t>
  </si>
  <si>
    <t>EMP16</t>
  </si>
  <si>
    <t>Expenses payments received and balancing charges</t>
  </si>
  <si>
    <t>EMP17</t>
  </si>
  <si>
    <t>Business travel and subsistence expenses</t>
  </si>
  <si>
    <t>EMP18</t>
  </si>
  <si>
    <t>Fixed deductions for expenses</t>
  </si>
  <si>
    <t>EMP19</t>
  </si>
  <si>
    <t xml:space="preserve">Professional fees and subscriptions </t>
  </si>
  <si>
    <t>EMP20</t>
  </si>
  <si>
    <t xml:space="preserve"> Other expenses and capital allowances </t>
  </si>
  <si>
    <t>245/BA12956</t>
  </si>
  <si>
    <t>245/jz24956</t>
  </si>
  <si>
    <t>120/AA98009</t>
  </si>
  <si>
    <t>000/J</t>
  </si>
  <si>
    <t>325/T1</t>
  </si>
  <si>
    <t>477/200</t>
  </si>
  <si>
    <t>393/ABCDE2</t>
  </si>
  <si>
    <t>524/A4</t>
  </si>
  <si>
    <t xml:space="preserve">HELLO CO </t>
  </si>
  <si>
    <t>Oh</t>
  </si>
  <si>
    <t>GABES CARS</t>
  </si>
  <si>
    <t>ADVENTURE FOREST LTD</t>
  </si>
  <si>
    <t>SUPPORT</t>
  </si>
  <si>
    <t>WILSON LTD</t>
  </si>
  <si>
    <t>ARTIFICIAL LABS LTD</t>
  </si>
  <si>
    <t>CAULIFLOWERS FLUFFY</t>
  </si>
  <si>
    <t>CAR PARTS</t>
  </si>
  <si>
    <t>COMPANY1</t>
  </si>
  <si>
    <t>COMPANY2</t>
  </si>
  <si>
    <t>MOR1</t>
  </si>
  <si>
    <t>Nature of your post or appointment</t>
  </si>
  <si>
    <t>Rabbi</t>
  </si>
  <si>
    <t>Reverend</t>
  </si>
  <si>
    <t>Vicar</t>
  </si>
  <si>
    <t>Priest</t>
  </si>
  <si>
    <t>MOR2</t>
  </si>
  <si>
    <t>Salary or stipend</t>
  </si>
  <si>
    <t>MOR2.1</t>
  </si>
  <si>
    <t>Payrolled benefits included in box 2</t>
  </si>
  <si>
    <t>MOR3</t>
  </si>
  <si>
    <t>Tax taken off box 2</t>
  </si>
  <si>
    <t>MOR4</t>
  </si>
  <si>
    <t>Fees and offerings</t>
  </si>
  <si>
    <t>MOR4.1</t>
  </si>
  <si>
    <t>MOR5</t>
  </si>
  <si>
    <t>Vicarage expenses paid for you</t>
  </si>
  <si>
    <t>MOR6</t>
  </si>
  <si>
    <t>Personal expenses paid for you,</t>
  </si>
  <si>
    <t>MOR7</t>
  </si>
  <si>
    <t>Excess mileage allowance and passenger payments</t>
  </si>
  <si>
    <t>MOR8</t>
  </si>
  <si>
    <t>Round-sum expenses and rent allowances</t>
  </si>
  <si>
    <t>MOR9</t>
  </si>
  <si>
    <t>MOR10</t>
  </si>
  <si>
    <t>Other income from your post or appointment</t>
  </si>
  <si>
    <t>MOR11</t>
  </si>
  <si>
    <t>Tax taken off box 10</t>
  </si>
  <si>
    <t>Equal to MOR2 + MOR4 + MOR5 + MOR6 + MOR7 + MOR8 + MOR10</t>
  </si>
  <si>
    <t>MOR12</t>
  </si>
  <si>
    <t>Total income as a minister of religion (box 2 + boxes 4 to 8 + box 10)</t>
  </si>
  <si>
    <t>MOR13</t>
  </si>
  <si>
    <t>Vicarage services benefits received</t>
  </si>
  <si>
    <t>MOR14</t>
  </si>
  <si>
    <t>Car provided for you</t>
  </si>
  <si>
    <t>MOR15</t>
  </si>
  <si>
    <t>Fuel for car provided for you</t>
  </si>
  <si>
    <t>MOR16</t>
  </si>
  <si>
    <t>Interest-free and low interest loans</t>
  </si>
  <si>
    <t>MOR17</t>
  </si>
  <si>
    <t>Expenses payments made to you</t>
  </si>
  <si>
    <t>MOR18</t>
  </si>
  <si>
    <t>Other benefits</t>
  </si>
  <si>
    <t>MOR19</t>
  </si>
  <si>
    <t>Total benefits and expenses (total of boxes 13 to 18)</t>
  </si>
  <si>
    <t>Equal to MOR13 + MOR14 + MOR15 + MOR16 + MOR17 + MOR18</t>
  </si>
  <si>
    <t>MOR20</t>
  </si>
  <si>
    <t>Taxable income, benefits and expenses received</t>
  </si>
  <si>
    <t>MOR21</t>
  </si>
  <si>
    <t>Travelling expenses and capital allowances</t>
  </si>
  <si>
    <t>MOR22</t>
  </si>
  <si>
    <t>Maintenance, repairs and insurance of vicarage etc.</t>
  </si>
  <si>
    <t>MOR23</t>
  </si>
  <si>
    <t>Rent</t>
  </si>
  <si>
    <t>MOR24</t>
  </si>
  <si>
    <t>Secretarial assistance</t>
  </si>
  <si>
    <t>MOR25</t>
  </si>
  <si>
    <t>Other expenses</t>
  </si>
  <si>
    <t>MOR26</t>
  </si>
  <si>
    <t>Total expenses paid (total of boxes 21 to 25)</t>
  </si>
  <si>
    <t>Equal to MOR21 + MOR22 + MOR23 + MOR24 + MOR25</t>
  </si>
  <si>
    <t>MOR27</t>
  </si>
  <si>
    <t>Gross income (box 20 minus (box 5 + box 13))</t>
  </si>
  <si>
    <t>MOR28</t>
  </si>
  <si>
    <t>MOR29</t>
  </si>
  <si>
    <t>MOR30</t>
  </si>
  <si>
    <t>Payments</t>
  </si>
  <si>
    <t>MOR31</t>
  </si>
  <si>
    <t>Net income (box 27 + box 28 minus (box 26 + box 29 + box 30))</t>
  </si>
  <si>
    <t>If present, MOR31 equals MOR27 + MOR28 minus (MOR26 + MOR29 + MOR30)</t>
  </si>
  <si>
    <t>MOR32</t>
  </si>
  <si>
    <t>10% of net income in box 31</t>
  </si>
  <si>
    <t>If MOR31 present, MOR32 must be less than or equal to (MOR31 x 10%) + £1</t>
  </si>
  <si>
    <t>MOR33</t>
  </si>
  <si>
    <t>Amount you paid toward service benefit received</t>
  </si>
  <si>
    <t>MOR34</t>
  </si>
  <si>
    <t>Payments made for you and service benefit received for your vicarage (box 5 + box 13)</t>
  </si>
  <si>
    <t>If present, MOR34 equals MOR5 + MOR13</t>
  </si>
  <si>
    <t>MOR35</t>
  </si>
  <si>
    <t>Service benefit cap (box 33 + box 34 minus box 32)</t>
  </si>
  <si>
    <t>a) If MOR33 + MOR34 minus MOR32 is positive MOR35 is the value of that sum. 
b) If negative MOR35 = zero</t>
  </si>
  <si>
    <t>MOR36</t>
  </si>
  <si>
    <t>Chaplaincy and other income as a minister</t>
  </si>
  <si>
    <t>MOR37</t>
  </si>
  <si>
    <t>Tax taken off box 36</t>
  </si>
  <si>
    <t>If present, must be less than or equal to MOR36</t>
  </si>
  <si>
    <t>MOR38</t>
  </si>
  <si>
    <t>Taxable income minus expenses (box 20 + box 36 minus (box 26 + box 35))</t>
  </si>
  <si>
    <t>Equal to MOR20 + MOR36 minus (MOR26 + MOR35)</t>
  </si>
  <si>
    <t>MOR39</t>
  </si>
  <si>
    <t>Total tax taken off (box 3 + box 9 + box 11 + box 37)</t>
  </si>
  <si>
    <t>Equal to MOR3 + MOR9 + MOR11 + MOR37</t>
  </si>
  <si>
    <t>SA Monetary value (2dp) except 0.00</t>
  </si>
  <si>
    <t>EMPCL1_A</t>
  </si>
  <si>
    <t>EMPCL1_B</t>
  </si>
  <si>
    <t>TotalCL1</t>
  </si>
  <si>
    <t>NI1_MOR</t>
  </si>
  <si>
    <t>SSE1</t>
  </si>
  <si>
    <t>Description of Business</t>
  </si>
  <si>
    <t>Courier</t>
  </si>
  <si>
    <t>Consultancy</t>
  </si>
  <si>
    <t>carpenter</t>
  </si>
  <si>
    <t>labourer</t>
  </si>
  <si>
    <t>florist</t>
  </si>
  <si>
    <t>Plumbing</t>
  </si>
  <si>
    <t>golf instructor</t>
  </si>
  <si>
    <t>CONSULT</t>
  </si>
  <si>
    <t>Sewerage</t>
  </si>
  <si>
    <t>construction</t>
  </si>
  <si>
    <t>window cleaner</t>
  </si>
  <si>
    <t>hair dresser</t>
  </si>
  <si>
    <t>locum optometrist</t>
  </si>
  <si>
    <t>musical performing</t>
  </si>
  <si>
    <t>TRAINING</t>
  </si>
  <si>
    <t>cattle</t>
  </si>
  <si>
    <t>caterer</t>
  </si>
  <si>
    <t>gifts</t>
  </si>
  <si>
    <t>Property Management</t>
  </si>
  <si>
    <t>SSE2</t>
  </si>
  <si>
    <t>Postcode of Business</t>
  </si>
  <si>
    <t>sw10 9qu</t>
  </si>
  <si>
    <t>B90 9UU</t>
  </si>
  <si>
    <t>n83 9hb</t>
  </si>
  <si>
    <t>SSE3</t>
  </si>
  <si>
    <t>Tick if details have changed</t>
  </si>
  <si>
    <t>SSE4</t>
  </si>
  <si>
    <t>Foster Carer or adult placement carer</t>
  </si>
  <si>
    <t>SSE5Q</t>
  </si>
  <si>
    <t>Did your business start in the return year</t>
  </si>
  <si>
    <t>SSE5</t>
  </si>
  <si>
    <t>Date of Commencement</t>
  </si>
  <si>
    <t>must be within the current return year.</t>
  </si>
  <si>
    <t>SSE6Q</t>
  </si>
  <si>
    <t>Did your business cease in the return year</t>
  </si>
  <si>
    <t>SSE6</t>
  </si>
  <si>
    <t>Date of Cessation</t>
  </si>
  <si>
    <t>05/04/2026</t>
  </si>
  <si>
    <t xml:space="preserve"> </t>
  </si>
  <si>
    <t>a) must be within return year.
b) If SSE5 is present, SSE6 must be the same as or later than SSE5</t>
  </si>
  <si>
    <t>SSE7</t>
  </si>
  <si>
    <t>Accounting period end</t>
  </si>
  <si>
    <t>SSE8</t>
  </si>
  <si>
    <t>If you used the traditional accounting, put ‘X’ in the box</t>
  </si>
  <si>
    <t>SSE9</t>
  </si>
  <si>
    <t>Sales/business income</t>
  </si>
  <si>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</si>
  <si>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SSE10</t>
  </si>
  <si>
    <t>Other income/profits</t>
  </si>
  <si>
    <t>SSE10.1</t>
  </si>
  <si>
    <t>Trading income allowance</t>
  </si>
  <si>
    <t>a) If present must be less than or equal to TRADING-ALLOWANCE (£1000)</t>
  </si>
  <si>
    <t>SSE11</t>
  </si>
  <si>
    <t>Cost of sales</t>
  </si>
  <si>
    <t>If present, SSE10.1 must be absent</t>
  </si>
  <si>
    <t>SSE12</t>
  </si>
  <si>
    <t>Motor expenses</t>
  </si>
  <si>
    <t>SSE13</t>
  </si>
  <si>
    <t>Employee costs</t>
  </si>
  <si>
    <t>SSE14</t>
  </si>
  <si>
    <t>Premises costs</t>
  </si>
  <si>
    <t>SSE15</t>
  </si>
  <si>
    <t>Repairs</t>
  </si>
  <si>
    <t>SSE16</t>
  </si>
  <si>
    <t>Legal and professional costs</t>
  </si>
  <si>
    <t>SSE17</t>
  </si>
  <si>
    <t>Other finance charges</t>
  </si>
  <si>
    <t>SSE18</t>
  </si>
  <si>
    <t>General administrative expenses</t>
  </si>
  <si>
    <t>SSE19</t>
  </si>
  <si>
    <t>SSE20</t>
  </si>
  <si>
    <t>Total expenses</t>
  </si>
  <si>
    <t>a) If SSE20 is present and greater than zero and SSE9 is equal to or greater than RRUL-SMALL-TURNOVER-LIMIT (£85,000), there must be an entry in at least one of SSE11 to SSE19 and SSE20 must equal the total of those boxes. 
b) If present, SSE10.1 must be absent</t>
  </si>
  <si>
    <t>Monetary value (2dp)</t>
  </si>
  <si>
    <t>SSE21</t>
  </si>
  <si>
    <t>Net profit</t>
  </si>
  <si>
    <t>If SSE9 + SSE10 minus SSE20 is positive or zero, SSE21 is mandatory and must equal that sum
Cannot be negative.</t>
  </si>
  <si>
    <t>SSE22</t>
  </si>
  <si>
    <t>Net loss</t>
  </si>
  <si>
    <t>a) If SSE20 minus (SSE9 + SSE10) is positive or zero, SSE22 is mandatory and must equal that sum
b) If present, SSE10.1 must be absent
Cannot be negative.</t>
  </si>
  <si>
    <t>SSE23</t>
  </si>
  <si>
    <t>Annual Investment Allowance</t>
  </si>
  <si>
    <t>a) If present, must be less than or equal to TRAL-CA-ANNULA-INV-ALLCE (£1307946)
b) If present, SSE10.1 must be absent</t>
  </si>
  <si>
    <t>SSE24</t>
  </si>
  <si>
    <t>Unrelieved expenditure</t>
  </si>
  <si>
    <t>SSE24.1</t>
  </si>
  <si>
    <t>Zero-emission car allowance</t>
  </si>
  <si>
    <t>SSE25</t>
  </si>
  <si>
    <t>Other capital allowances</t>
  </si>
  <si>
    <t>SSE25.1</t>
  </si>
  <si>
    <t>The Structures and Buildings Allowance</t>
  </si>
  <si>
    <t>SSE25.2</t>
  </si>
  <si>
    <t>Freeport Structures and Buildings Allowance</t>
  </si>
  <si>
    <t>SSE26</t>
  </si>
  <si>
    <t>Total balancing charges</t>
  </si>
  <si>
    <t>SSE27</t>
  </si>
  <si>
    <t>Personal Use</t>
  </si>
  <si>
    <t>SSE10.1 must be less than or equal to SSE21 + SSE26 + SSE27</t>
  </si>
  <si>
    <t>SSE28</t>
  </si>
  <si>
    <t>Net profit for tax purposes</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</si>
  <si>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</si>
  <si>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t>SSE29</t>
  </si>
  <si>
    <t>Losses used this year</t>
  </si>
  <si>
    <t>If present, must be less than or equal to SSE28</t>
  </si>
  <si>
    <t>SSE30</t>
  </si>
  <si>
    <t>Any other business income</t>
  </si>
  <si>
    <t>SSE31</t>
  </si>
  <si>
    <t>Total taxable profits from this business</t>
  </si>
  <si>
    <t>If SSE28 + SSE30 minus SSE29 is positive or zero SSE31 must equal that sum.
Cannot be negative.</t>
  </si>
  <si>
    <t>SSE32</t>
  </si>
  <si>
    <t>Allowable loss for year</t>
  </si>
  <si>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</si>
  <si>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SSE33</t>
  </si>
  <si>
    <t>Loss offset against other income for year</t>
  </si>
  <si>
    <t>If present, must be less than or equal to SSE32. 
If SSE8 = 'Y' then SSE33 must be zero or absent.</t>
  </si>
  <si>
    <t>SSE34</t>
  </si>
  <si>
    <t>Loss to carry back</t>
  </si>
  <si>
    <t>If present, must be less than or equal to SSE32 minus SSE33</t>
  </si>
  <si>
    <t>SSE35</t>
  </si>
  <si>
    <t>Losses brought forward from last year</t>
  </si>
  <si>
    <t>SSE36</t>
  </si>
  <si>
    <t>SSE37</t>
  </si>
  <si>
    <t>If you are excepted from paying Class 4 NICs, put ‘X’ in the box</t>
  </si>
  <si>
    <t>SSE38</t>
  </si>
  <si>
    <t>Deductions made by contractors on account of tax</t>
  </si>
  <si>
    <t>FSE1</t>
  </si>
  <si>
    <t>Name of Business</t>
  </si>
  <si>
    <t>Trade5</t>
  </si>
  <si>
    <t>Larks</t>
  </si>
  <si>
    <t>Trade1</t>
  </si>
  <si>
    <t>Shearer</t>
  </si>
  <si>
    <t xml:space="preserve">Trade1 </t>
  </si>
  <si>
    <t>Gifts</t>
  </si>
  <si>
    <t>Trade4</t>
  </si>
  <si>
    <t>Stamps</t>
  </si>
  <si>
    <t>Farming</t>
  </si>
  <si>
    <t>Chem</t>
  </si>
  <si>
    <t>Trade2</t>
  </si>
  <si>
    <t>Infinity</t>
  </si>
  <si>
    <t>Reds</t>
  </si>
  <si>
    <t>Roadmap</t>
  </si>
  <si>
    <t>Spices</t>
  </si>
  <si>
    <t>Trade6</t>
  </si>
  <si>
    <t>WILL</t>
  </si>
  <si>
    <t>Vinylz</t>
  </si>
  <si>
    <t>Trade7</t>
  </si>
  <si>
    <t>Trade8</t>
  </si>
  <si>
    <t>Trade3</t>
  </si>
  <si>
    <t>Garage</t>
  </si>
  <si>
    <t>Join</t>
  </si>
  <si>
    <t>Trade9</t>
  </si>
  <si>
    <t>Keith&amp;Pads Ltd</t>
  </si>
  <si>
    <t>Munny&amp; Pears</t>
  </si>
  <si>
    <t>CONSULTANCY</t>
  </si>
  <si>
    <t>Mint</t>
  </si>
  <si>
    <t>Shanez</t>
  </si>
  <si>
    <t>Maismoo</t>
  </si>
  <si>
    <t>Gabe Lend</t>
  </si>
  <si>
    <t>FSE2</t>
  </si>
  <si>
    <t>trader</t>
  </si>
  <si>
    <t>mudlark</t>
  </si>
  <si>
    <t>collector</t>
  </si>
  <si>
    <t>captain</t>
  </si>
  <si>
    <t>glazier</t>
  </si>
  <si>
    <t>Cleaning</t>
  </si>
  <si>
    <t>Gift shop</t>
  </si>
  <si>
    <t>Toy maker</t>
  </si>
  <si>
    <t>Philatalist</t>
  </si>
  <si>
    <t>farmer</t>
  </si>
  <si>
    <t>Shooting</t>
  </si>
  <si>
    <t>Chemist</t>
  </si>
  <si>
    <t>Dentist</t>
  </si>
  <si>
    <t>Math</t>
  </si>
  <si>
    <t>Casino</t>
  </si>
  <si>
    <t>GPS design</t>
  </si>
  <si>
    <t>Takeaway</t>
  </si>
  <si>
    <t>lawyer</t>
  </si>
  <si>
    <t>FARM</t>
  </si>
  <si>
    <t>Records</t>
  </si>
  <si>
    <t>Butcher</t>
  </si>
  <si>
    <t>Baker</t>
  </si>
  <si>
    <t>Plumber</t>
  </si>
  <si>
    <t>management</t>
  </si>
  <si>
    <t>Mechanic</t>
  </si>
  <si>
    <t>Carpentry</t>
  </si>
  <si>
    <t>Accountants</t>
  </si>
  <si>
    <t>Finance</t>
  </si>
  <si>
    <t>Hair</t>
  </si>
  <si>
    <t>farming</t>
  </si>
  <si>
    <t>Roofing</t>
  </si>
  <si>
    <t>FSE3</t>
  </si>
  <si>
    <t>Address of Business</t>
  </si>
  <si>
    <t>Stone Rd</t>
  </si>
  <si>
    <t>Bridge St</t>
  </si>
  <si>
    <t>Beyond St</t>
  </si>
  <si>
    <t>Black St</t>
  </si>
  <si>
    <t>Lost Ave</t>
  </si>
  <si>
    <t>Chilli Lane</t>
  </si>
  <si>
    <t>Cabby Rd</t>
  </si>
  <si>
    <t>King Street</t>
  </si>
  <si>
    <t>Telford St</t>
  </si>
  <si>
    <t>Star Rd</t>
  </si>
  <si>
    <t>Yate Rd</t>
  </si>
  <si>
    <t>2 lines in total, 2 lines of 14</t>
  </si>
  <si>
    <t>FSE4</t>
  </si>
  <si>
    <t>DR1 UDD</t>
  </si>
  <si>
    <t>M1 6FQ</t>
  </si>
  <si>
    <t>NE1 4AT</t>
  </si>
  <si>
    <t>CH3 1AT</t>
  </si>
  <si>
    <t>WH3 1RU</t>
  </si>
  <si>
    <t>NA1 4NN</t>
  </si>
  <si>
    <t>OA5 1SS</t>
  </si>
  <si>
    <t>TF3 4ER</t>
  </si>
  <si>
    <t>TF3 0BB</t>
  </si>
  <si>
    <t>CH2 0TT</t>
  </si>
  <si>
    <t>HA9 8AN</t>
  </si>
  <si>
    <t>HE1 1LO</t>
  </si>
  <si>
    <t>NE88UK</t>
  </si>
  <si>
    <t>ME5 1AH</t>
  </si>
  <si>
    <t>GR1 0TS</t>
  </si>
  <si>
    <t>1 line in total, 8 for postcode</t>
  </si>
  <si>
    <t>FSE5</t>
  </si>
  <si>
    <t>FSE6Q</t>
  </si>
  <si>
    <t>FSE6</t>
  </si>
  <si>
    <t>Date of commencement</t>
  </si>
  <si>
    <t>must be within the current return year</t>
  </si>
  <si>
    <t>FSE7Q</t>
  </si>
  <si>
    <t>FSE7</t>
  </si>
  <si>
    <t>Date of cessation</t>
  </si>
  <si>
    <t>a) must be within return year.
b) If FSE6 is present, FSE7 must be the same as or later than FSE6</t>
  </si>
  <si>
    <t>FSE8</t>
  </si>
  <si>
    <t>Accounting period start</t>
  </si>
  <si>
    <t>FSE9</t>
  </si>
  <si>
    <t>a) If FSE9 is present FSE8 must be present
b) If FSE8 is present FSE9 must be present
c) If FSE8 present, FSE9 must be the same as or later than FSE8</t>
  </si>
  <si>
    <t>FSE10</t>
  </si>
  <si>
    <t>FSE11</t>
  </si>
  <si>
    <t>Tick Box - Accounting Date has changed</t>
  </si>
  <si>
    <t>FSE12</t>
  </si>
  <si>
    <t>Tick Box - Second or further change</t>
  </si>
  <si>
    <t>FSE13</t>
  </si>
  <si>
    <t>If special arrangements apply, put ‘X’ in the box</t>
  </si>
  <si>
    <t>LDC only</t>
  </si>
  <si>
    <t>Number (2dp)</t>
  </si>
  <si>
    <t>FSE14</t>
  </si>
  <si>
    <t>Entered Details elsewhere</t>
  </si>
  <si>
    <t>FSE15</t>
  </si>
  <si>
    <t>FSE16</t>
  </si>
  <si>
    <t>If FSE15 or FSE16 is present then FSE8 must also be present</t>
  </si>
  <si>
    <t>FSE16.1</t>
  </si>
  <si>
    <t>FSE17</t>
  </si>
  <si>
    <t>If present, FSE16.1 must be absent</t>
  </si>
  <si>
    <t>FSE18</t>
  </si>
  <si>
    <t>Construction industry sub contractor costs</t>
  </si>
  <si>
    <t>FSE19</t>
  </si>
  <si>
    <t>FSE20</t>
  </si>
  <si>
    <t>FSE21</t>
  </si>
  <si>
    <t>FSE22</t>
  </si>
  <si>
    <t>FSE23</t>
  </si>
  <si>
    <t>FSE24</t>
  </si>
  <si>
    <t>Advertising etc</t>
  </si>
  <si>
    <t>FSE25</t>
  </si>
  <si>
    <t>Interest and alternative finance payments</t>
  </si>
  <si>
    <t>FSE26</t>
  </si>
  <si>
    <t>FSE27</t>
  </si>
  <si>
    <t>Bad debts</t>
  </si>
  <si>
    <t>FSE28</t>
  </si>
  <si>
    <t>FSE29</t>
  </si>
  <si>
    <t>Depreciation etc</t>
  </si>
  <si>
    <t>FSE30</t>
  </si>
  <si>
    <t>FSE31</t>
  </si>
  <si>
    <t>a) If entry in any of FSE17, FSE18, FSE19, FSE20, FSE21, FSE22, FSE23, FSE24, FSE25, FSE26, FSE27, FSE28, FSE29 or FSE30 total of all boxes must = FSE31 &amp; FSE31 is mandatory
b) If present, FSE16.1 must be absent</t>
  </si>
  <si>
    <t>FSE32</t>
  </si>
  <si>
    <t>Disallowable cost of sales</t>
  </si>
  <si>
    <t>FSE33</t>
  </si>
  <si>
    <t>Disallowable construction industry sub contractor costs</t>
  </si>
  <si>
    <t>FSE34</t>
  </si>
  <si>
    <t>Disallowable employee costs</t>
  </si>
  <si>
    <t>FSE35</t>
  </si>
  <si>
    <t>Disallowable motor expenses</t>
  </si>
  <si>
    <t>FSE36</t>
  </si>
  <si>
    <t>Disallowable premises costs</t>
  </si>
  <si>
    <t>FSE37</t>
  </si>
  <si>
    <t>Disallowable repairs</t>
  </si>
  <si>
    <t>FSE38</t>
  </si>
  <si>
    <t>Disallowable General administrative expenses</t>
  </si>
  <si>
    <t>FSE39</t>
  </si>
  <si>
    <t>Disallowable advertising etc</t>
  </si>
  <si>
    <t>FSE40</t>
  </si>
  <si>
    <t>Disallowable Interest and alternative finance payments</t>
  </si>
  <si>
    <t>FSE41</t>
  </si>
  <si>
    <t>Disallowable other finance charges</t>
  </si>
  <si>
    <t>FSE42</t>
  </si>
  <si>
    <t>Disallowable bad debts</t>
  </si>
  <si>
    <t>FSE43</t>
  </si>
  <si>
    <t>Disallowable legal and professional costs</t>
  </si>
  <si>
    <t>FSE44</t>
  </si>
  <si>
    <t>Disallowable depreciation etc</t>
  </si>
  <si>
    <t>FSE45</t>
  </si>
  <si>
    <t>Disallowable other expenses</t>
  </si>
  <si>
    <t>FSE46</t>
  </si>
  <si>
    <t>Disallowable expenses</t>
  </si>
  <si>
    <t>FSE47</t>
  </si>
  <si>
    <t>If FSE15 + FSE16 minus FSE31 is positive or zero, FSE47 is mandatory &amp; must equal that sum
Cannot be negative.</t>
  </si>
  <si>
    <t>FSE48</t>
  </si>
  <si>
    <t>If FSE31 minus (FSE15 + FSE16) is positive or zero, FSE48 is mandatory &amp; must equal that sum
Cannot be negative.</t>
  </si>
  <si>
    <t>FSE49</t>
  </si>
  <si>
    <t>a) If present, must be less than or equal to TRAL-CA-ANNUAL-INV-ALLCE (£1307946)
b) If present, FSE16.1 must be absent</t>
  </si>
  <si>
    <t>FSE50</t>
  </si>
  <si>
    <t>Annual allowances at higher rate</t>
  </si>
  <si>
    <t>FSE51</t>
  </si>
  <si>
    <t>Annual allowances at lower rate</t>
  </si>
  <si>
    <t>FSE52</t>
  </si>
  <si>
    <t>Motor cars costing more than £12000</t>
  </si>
  <si>
    <t>FSE52.1</t>
  </si>
  <si>
    <t>Zero-emission goods vehicle allowance</t>
  </si>
  <si>
    <t>FSE53</t>
  </si>
  <si>
    <t>FSE53.1</t>
  </si>
  <si>
    <t>FSE54</t>
  </si>
  <si>
    <t>Electric charge-point allowance</t>
  </si>
  <si>
    <t>FSE55</t>
  </si>
  <si>
    <t>Other capital allowances claimed this year</t>
  </si>
  <si>
    <t>FSE56</t>
  </si>
  <si>
    <t>Allowances on sale of cessation of business</t>
  </si>
  <si>
    <t>FSE57</t>
  </si>
  <si>
    <t>Total allowances</t>
  </si>
  <si>
    <t>a)Equal to FSE49 + FSE50 + FSE51 + FSE52 + FSE53 + FSE54 + FSE55 + FSE56 
b)If present, FSE16.1 must be absent</t>
  </si>
  <si>
    <t>FSE59</t>
  </si>
  <si>
    <t>Total charges on sale or cessation</t>
  </si>
  <si>
    <t>FSE60</t>
  </si>
  <si>
    <t>FSE61</t>
  </si>
  <si>
    <t>Total additions to net profit</t>
  </si>
  <si>
    <t>Equal to FSE46 + FSE59 + FSE60</t>
  </si>
  <si>
    <t>FSE62</t>
  </si>
  <si>
    <t>Other Deductions</t>
  </si>
  <si>
    <t>FSE63</t>
  </si>
  <si>
    <t>Deductions from net profit</t>
  </si>
  <si>
    <t>Equal to FSE57 + FSE62</t>
  </si>
  <si>
    <t>FSE64</t>
  </si>
  <si>
    <t>Net business profit</t>
  </si>
  <si>
    <t>If FSE47 + FSE61 minus (FSE48 + FSE63) is positive or zero FSE64 is mandatory &amp; must equal that sum.
Cannot be negative.</t>
  </si>
  <si>
    <t>FSE65</t>
  </si>
  <si>
    <t>Net business loss for tax purposes (if box 48 + box 63 minus (box 47 + box 61) is positive)</t>
  </si>
  <si>
    <t>If FSE48 + FSE63 minus (FSE47 + FSE61) is positive or zero FSE65 is mandatory &amp; must equal that sum.
Cannot be negative.
At least one of FSE64 or FSE65 must be present</t>
  </si>
  <si>
    <t>FSE68</t>
  </si>
  <si>
    <t xml:space="preserve">Adjustment to arrive at profit or loss. </t>
  </si>
  <si>
    <t>FSE71</t>
  </si>
  <si>
    <t>This years instalment of adjustment on withdrawal of cash basis, or adjustment on other change of basis</t>
  </si>
  <si>
    <t>FSE72</t>
  </si>
  <si>
    <t>Adjustment for farmers' and literary/artistic averaging</t>
  </si>
  <si>
    <t>FSE73</t>
  </si>
  <si>
    <t>Net Profit for year</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</si>
  <si>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</si>
  <si>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FSE73.3</t>
  </si>
  <si>
    <t>Spread of transition profit arising</t>
  </si>
  <si>
    <t>FSE73.4</t>
  </si>
  <si>
    <t>Loss brought forward from earlier years</t>
  </si>
  <si>
    <t>FSE74</t>
  </si>
  <si>
    <t>Less than or equal to (the larger of FSE64 and FSE73)</t>
  </si>
  <si>
    <t>FSE75</t>
  </si>
  <si>
    <t xml:space="preserve"> `</t>
  </si>
  <si>
    <t>FSE76</t>
  </si>
  <si>
    <t>Equal to FSE73 minus FSE74 + FSE75 + FSE75.1</t>
  </si>
  <si>
    <t>FSE76.1</t>
  </si>
  <si>
    <t>Amount claimed under FIG</t>
  </si>
  <si>
    <t>FSE77</t>
  </si>
  <si>
    <t>a. If (FSE64 minus FSE65 + FSE68 minus FSE69) is negative, then FSE77 equals the positive equivalent of that sum
b. if (FSE64 minus FSE65 + FSE68 minus FSE69) is greater than or equal to zero, then FSE77 equals zero or absent</t>
  </si>
  <si>
    <t>FSE77.1</t>
  </si>
  <si>
    <t>Adjustment to losses as a result of FIG claim</t>
  </si>
  <si>
    <t>FSE78</t>
  </si>
  <si>
    <t>If present, must be less than or equal to FSE77.
 If FSE10 = 'Y' then FSE78 must be zero or absent.</t>
  </si>
  <si>
    <t>FSE79</t>
  </si>
  <si>
    <t>Losses carried back to previous year</t>
  </si>
  <si>
    <t>If present, must be less than or equal to (FSE77 minus FSE78)</t>
  </si>
  <si>
    <t>FSE80</t>
  </si>
  <si>
    <t>Total loss to carry forward after all other set offs</t>
  </si>
  <si>
    <t>FSE81</t>
  </si>
  <si>
    <t>FSE82</t>
  </si>
  <si>
    <t>Tax deducted from trading income (excluding  CIS25)</t>
  </si>
  <si>
    <t>FSE83</t>
  </si>
  <si>
    <t>Plant machinery and motor vehicles</t>
  </si>
  <si>
    <t>FSE84</t>
  </si>
  <si>
    <t>Other fixed assets</t>
  </si>
  <si>
    <t>FSE85</t>
  </si>
  <si>
    <t>Stock and work in progress</t>
  </si>
  <si>
    <t>FSE86</t>
  </si>
  <si>
    <t>Trade debtors</t>
  </si>
  <si>
    <t>FSE87</t>
  </si>
  <si>
    <t>Bank/building society balances</t>
  </si>
  <si>
    <t>FSE88</t>
  </si>
  <si>
    <t>Cash in hand</t>
  </si>
  <si>
    <t>FSE89</t>
  </si>
  <si>
    <t>Other current assets and prepayments</t>
  </si>
  <si>
    <t>FSE90</t>
  </si>
  <si>
    <t>Total Assets</t>
  </si>
  <si>
    <t>Equal to FSE83 + FSE84 + FSE85 + FSE86 + FSE87 + FSE88 + FSE89</t>
  </si>
  <si>
    <t>FSE91</t>
  </si>
  <si>
    <t>Trade creditors and accruals</t>
  </si>
  <si>
    <t>FSE92</t>
  </si>
  <si>
    <t>Loans and overdrawn bank accounts</t>
  </si>
  <si>
    <t>FSE93</t>
  </si>
  <si>
    <t>Other liabilities</t>
  </si>
  <si>
    <t>FSE94</t>
  </si>
  <si>
    <t>Net Business Assets</t>
  </si>
  <si>
    <t>Equal to FSE90 minus (FSE91 + FSE92 + FSE93)</t>
  </si>
  <si>
    <t>FSE95</t>
  </si>
  <si>
    <t>Balance at start of period</t>
  </si>
  <si>
    <t>FSE96</t>
  </si>
  <si>
    <t>Net profit or loss (box 47 or box 48)</t>
  </si>
  <si>
    <t xml:space="preserve">If FSE96 is present, FSE96 = FSE47, if FSE47 is greater than or equal to 0 (and FSE48 is absent or zero), 
else FSE96 = ‘negative equivalent of’ FSE48 if FSE48 is greater than or equal 0 (and FSE47 is absent or zero). </t>
  </si>
  <si>
    <t>FSE97</t>
  </si>
  <si>
    <t>Capital introduced</t>
  </si>
  <si>
    <t>FSE98</t>
  </si>
  <si>
    <t>Drawings</t>
  </si>
  <si>
    <t>FSE99</t>
  </si>
  <si>
    <t>Capital Account - Balance At End of Period</t>
  </si>
  <si>
    <t>Equal to FSE95 + FSE96 + FSE97 minus FSE98</t>
  </si>
  <si>
    <t>FSE100</t>
  </si>
  <si>
    <t>FSE101</t>
  </si>
  <si>
    <t>FSE102</t>
  </si>
  <si>
    <t>Adjustment to profits chargeable to Class 4 NICs</t>
  </si>
  <si>
    <t>If FSE101 is 'Y', FSE102 must be zero or absent</t>
  </si>
  <si>
    <t>FSE103</t>
  </si>
  <si>
    <t>Please give any other information in this space</t>
  </si>
  <si>
    <t>LUN1</t>
  </si>
  <si>
    <t>Interest on gilts and from UK banks or building societies</t>
  </si>
  <si>
    <t>LUN2</t>
  </si>
  <si>
    <t>Profits from Accrued Income Scheme and deeply discounted securities</t>
  </si>
  <si>
    <t>LUN3</t>
  </si>
  <si>
    <t>Interest from UK banks, building societies, unit trusts etc. and any other income from UK savings and investments – after tax taken off</t>
  </si>
  <si>
    <t>LUN4</t>
  </si>
  <si>
    <t>If present, must be less than LUN3</t>
  </si>
  <si>
    <t>LUN5</t>
  </si>
  <si>
    <t>Total UK interest and tax taken off (total of boxes 1 to 4)</t>
  </si>
  <si>
    <t>Equal to LUN1 + LUN2 + LUN3 + LUN4</t>
  </si>
  <si>
    <t>LUN6</t>
  </si>
  <si>
    <t>Stock dividends from UK companies – the amount of dividend received</t>
  </si>
  <si>
    <t>LUN8</t>
  </si>
  <si>
    <t>Non-qualifying distributions – the amount received</t>
  </si>
  <si>
    <t>LUN9</t>
  </si>
  <si>
    <t>Other dividends and qualifying distributions from UK companies – the amount received (Property Income Distributions (PIDs) go in box 3 above)</t>
  </si>
  <si>
    <t>LUN11</t>
  </si>
  <si>
    <t>Total UK company dividends and distributions (total of boxes 6 to 10)</t>
  </si>
  <si>
    <t>Equal to LUN6 + LUN8 + LUN9</t>
  </si>
  <si>
    <t>LUN12</t>
  </si>
  <si>
    <t>Net amount received</t>
  </si>
  <si>
    <t>LUN13</t>
  </si>
  <si>
    <t>Amount of foreign tax taken off</t>
  </si>
  <si>
    <t>LUN14</t>
  </si>
  <si>
    <t>Amount of UK tax taken off</t>
  </si>
  <si>
    <t>LUN15</t>
  </si>
  <si>
    <t>Amount received including dividend tax credit</t>
  </si>
  <si>
    <t>LUN16</t>
  </si>
  <si>
    <t>LUN17</t>
  </si>
  <si>
    <t>LUN18</t>
  </si>
  <si>
    <t>Total non-UK income (total of boxes 12 to 17)</t>
  </si>
  <si>
    <t>Equal to LUN12 + LUN13 + LUN14 + LUN15 + LUN16 + LUN17</t>
  </si>
  <si>
    <t>LUN20</t>
  </si>
  <si>
    <t>Aggregate syndicate profits</t>
  </si>
  <si>
    <t>LUN21</t>
  </si>
  <si>
    <t>Net withdrawal/release from Special Reserve Fund</t>
  </si>
  <si>
    <t>LUN22</t>
  </si>
  <si>
    <t>Stop loss recoveries</t>
  </si>
  <si>
    <t>LUN23</t>
  </si>
  <si>
    <t>Compensation receipts</t>
  </si>
  <si>
    <t>LUN24</t>
  </si>
  <si>
    <t>Repayments of foreign tax previously allowed by deduction</t>
  </si>
  <si>
    <t>LUN25</t>
  </si>
  <si>
    <t>Other Lloyd’s non-syndicate income</t>
  </si>
  <si>
    <t>LUN26</t>
  </si>
  <si>
    <t>Total of other Lloyd’s receipts (total of boxes 20 to 25)</t>
  </si>
  <si>
    <t>Equal to LUN20 + LUN21 + LUN22 + LUN23 + LUN24 + LUN25</t>
  </si>
  <si>
    <t>LUN27</t>
  </si>
  <si>
    <t>Total Lloyd’s income (box 5 + box 11 + box 18 + box 26)</t>
  </si>
  <si>
    <t>Equal to LUN5 + LUN11 + LUN18 + LUN26</t>
  </si>
  <si>
    <t>LUN28</t>
  </si>
  <si>
    <t>If you have received a repayment of foreign tax on which Foreign Tax Credit Relief was given</t>
  </si>
  <si>
    <t>LUN29</t>
  </si>
  <si>
    <t>Aggregate syndicate losses</t>
  </si>
  <si>
    <t>If LUN29 is present then LUN20 must be zero or space</t>
  </si>
  <si>
    <t>LUN30</t>
  </si>
  <si>
    <t>Net transfer to Special Reserve Fund</t>
  </si>
  <si>
    <t>LUN31</t>
  </si>
  <si>
    <t>Stop loss premiums paid</t>
  </si>
  <si>
    <t>LUN32</t>
  </si>
  <si>
    <t>Personal Quota Share and Exeat premiums paid</t>
  </si>
  <si>
    <t>LUN33</t>
  </si>
  <si>
    <t>Estate Protection Plan premiums paid</t>
  </si>
  <si>
    <t>LUN34</t>
  </si>
  <si>
    <t>Interest paid on loans to fund underwriting</t>
  </si>
  <si>
    <t>LUN35</t>
  </si>
  <si>
    <t>Lloyd’s Members’ associations expenses paid</t>
  </si>
  <si>
    <t>LUN36</t>
  </si>
  <si>
    <t>Members’ Agent profit commission and salaries</t>
  </si>
  <si>
    <t>LUN37</t>
  </si>
  <si>
    <t>Fees for bank guarantees/letters of credit</t>
  </si>
  <si>
    <t>LUN38</t>
  </si>
  <si>
    <t>Accountancy fees</t>
  </si>
  <si>
    <t>LUN39</t>
  </si>
  <si>
    <t>Other Lloyd’s expenses</t>
  </si>
  <si>
    <t>LUN40</t>
  </si>
  <si>
    <t>Total losses and expenses (total of boxes 29 to 39)</t>
  </si>
  <si>
    <t>Equal to LUN29 + LUN30 + LUN31 + LUN32 + LUN33 + LUN34 + LUN35 + LUN36 + LUN37 + LUN38 + LUN39</t>
  </si>
  <si>
    <t>LUN41</t>
  </si>
  <si>
    <t>Amount of profit (if box 27 minus box 40 is a positive amount)</t>
  </si>
  <si>
    <t>If (LUN27 minus LUN40) is positive or zero, then LUN41 equals that sum.
Cannot be negative.</t>
  </si>
  <si>
    <t>LUN42</t>
  </si>
  <si>
    <t>Amount of loss (if box 27 minus box 40 is a negative amount)</t>
  </si>
  <si>
    <t>If (LUN40 minus LUN27) is positive or zero, then LUN42 equals that sum.
Cannot be negative.</t>
  </si>
  <si>
    <t>LUN43</t>
  </si>
  <si>
    <t>Foreign tax on personal fund income (box 13 + box 16)</t>
  </si>
  <si>
    <t>Equal to LUN13 + LUN16</t>
  </si>
  <si>
    <t>LUN44</t>
  </si>
  <si>
    <t>US income tax paid</t>
  </si>
  <si>
    <t>LUN45</t>
  </si>
  <si>
    <t>Canadian tax paid</t>
  </si>
  <si>
    <t>LUN46</t>
  </si>
  <si>
    <t>Syndicate foreign tax</t>
  </si>
  <si>
    <t>LUN47</t>
  </si>
  <si>
    <t>Additional payments of foreign tax</t>
  </si>
  <si>
    <t>LUN48</t>
  </si>
  <si>
    <t>Total foreign tax (total of boxes 43 to 47)</t>
  </si>
  <si>
    <t>Equal to LUN43 + LUN44 + LUN45 + LUN46 + LUN47</t>
  </si>
  <si>
    <t>LUN49</t>
  </si>
  <si>
    <t>Profit from box 41</t>
  </si>
  <si>
    <t>Equal to LUN41 
LDC Only</t>
  </si>
  <si>
    <t>LUN50</t>
  </si>
  <si>
    <t>Foreign tax claimed as a deduction – only if Foreign Tax Credit Relief has not been claimed on the ‘Foreign’ pages</t>
  </si>
  <si>
    <t>If LUN50 is present and greater than zero, LUN41 must also be present and greater than zero</t>
  </si>
  <si>
    <t>LUN51</t>
  </si>
  <si>
    <t>Lloyd’s losses brought forward from earlier years used against this year’s profits – copy this amount to box 60 below</t>
  </si>
  <si>
    <t>If LUN51 is present and greater than zero, LUN41 must also be present and greater than zero</t>
  </si>
  <si>
    <t>LUN52</t>
  </si>
  <si>
    <t>Total taxable profits from Lloyd’s (box 49 minus (box 50 + box 51))</t>
  </si>
  <si>
    <t>If (LUN41 minus (LUN50 + LUN51)) is positive or zero, then LUN52 equals that sum.
Cannot be negative.</t>
  </si>
  <si>
    <t>LUN53</t>
  </si>
  <si>
    <t>Loss from box 42</t>
  </si>
  <si>
    <t>Equal to LUN42</t>
  </si>
  <si>
    <t>LUN54</t>
  </si>
  <si>
    <t>Foreign tax claimed as a deduction – from box 48</t>
  </si>
  <si>
    <t>If LUN42 is present and greater than zero, LUN54 is less than or equal to LUN48 
If LUN54 is present and greater than zero, LUN42 must be present and greater than zero.</t>
  </si>
  <si>
    <t>LUN55</t>
  </si>
  <si>
    <t>Loss for the year 2015–16 (box 53 + box 54)</t>
  </si>
  <si>
    <t>Equal to LUN53 + LUN54</t>
  </si>
  <si>
    <t>LUN56</t>
  </si>
  <si>
    <t>Loss set off against other income for 2015–16</t>
  </si>
  <si>
    <t>Less than or equal to LUN55</t>
  </si>
  <si>
    <t>LUN57</t>
  </si>
  <si>
    <t>Loss carried back to set against earlier years</t>
  </si>
  <si>
    <t>Less than or equal to LUN55 minus LUN56</t>
  </si>
  <si>
    <t>LUN58</t>
  </si>
  <si>
    <t>Unused loss available to carry forward after allother set-offs</t>
  </si>
  <si>
    <t>LUN59</t>
  </si>
  <si>
    <t>Losses brought forward from earlier years</t>
  </si>
  <si>
    <t>LUN60</t>
  </si>
  <si>
    <t>Losses brought forward used against this year’s profits – the amount from box 51</t>
  </si>
  <si>
    <t>Equal to LUN51</t>
  </si>
  <si>
    <t>LUN61</t>
  </si>
  <si>
    <t>Unused loss from 2015–16 – from box 58</t>
  </si>
  <si>
    <t>Equal to LUN58</t>
  </si>
  <si>
    <t>LUN62</t>
  </si>
  <si>
    <t>Total loss available to carry forward (box 59 minus box 60) or (box 59 + box 61)</t>
  </si>
  <si>
    <t>If (LUN59 + LUN61 minus LUN60) is positive or zero, then LUN62 equals that sum.
Cannot be negative.</t>
  </si>
  <si>
    <t>LUN63</t>
  </si>
  <si>
    <t>LUN64</t>
  </si>
  <si>
    <t>LUN65</t>
  </si>
  <si>
    <t>If LUN64 is 'Y', LUN65 must be zero or absent</t>
  </si>
  <si>
    <t>LUN66</t>
  </si>
  <si>
    <t>SPS1</t>
  </si>
  <si>
    <t>Partnership reference number</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</si>
  <si>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</si>
  <si>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UTR</t>
  </si>
  <si>
    <t>SPS2</t>
  </si>
  <si>
    <t>Partnership Trade or profession</t>
  </si>
  <si>
    <t>baker</t>
  </si>
  <si>
    <t>builder</t>
  </si>
  <si>
    <t>finance</t>
  </si>
  <si>
    <t>glaziers</t>
  </si>
  <si>
    <t>bakers</t>
  </si>
  <si>
    <t>music touring</t>
  </si>
  <si>
    <t>dormant</t>
  </si>
  <si>
    <t>INVESTMENT PSHIP</t>
  </si>
  <si>
    <t>holiday tours</t>
  </si>
  <si>
    <t>PARTNERSHIP</t>
  </si>
  <si>
    <t>THE FORCE</t>
  </si>
  <si>
    <t>BAKER</t>
  </si>
  <si>
    <t>consultant</t>
  </si>
  <si>
    <t>golf cart manufacture</t>
  </si>
  <si>
    <t>Band T Shirts</t>
  </si>
  <si>
    <t>Nails</t>
  </si>
  <si>
    <t>film partnership</t>
  </si>
  <si>
    <t>Pet Food</t>
  </si>
  <si>
    <t>SPS3Q</t>
  </si>
  <si>
    <t>Did you join the partnership during the return year</t>
  </si>
  <si>
    <t>SPS3</t>
  </si>
  <si>
    <t>Date started as a partner (If during year of Return)</t>
  </si>
  <si>
    <t>must be within the return period</t>
  </si>
  <si>
    <t>SPS4Q</t>
  </si>
  <si>
    <t>Did you leave the partnership during the return year</t>
  </si>
  <si>
    <t>SPS4</t>
  </si>
  <si>
    <t>Date stopped being a partner  (If during year of Return)</t>
  </si>
  <si>
    <t>a) must be within return year.
b) If SPS3 is present, SPS4 must be the same as or later than SPS3</t>
  </si>
  <si>
    <t>SPS8</t>
  </si>
  <si>
    <t>Your share of the profit or loss</t>
  </si>
  <si>
    <t/>
  </si>
  <si>
    <t>SPS9</t>
  </si>
  <si>
    <t>Adjustment to arrive at profit or loss for this basis period</t>
  </si>
  <si>
    <t>SPS10</t>
  </si>
  <si>
    <t>This year's instalment of adjustment on withdrawal of cash basis, or other adjustment for change of basis</t>
  </si>
  <si>
    <t>SPS11</t>
  </si>
  <si>
    <t>Adjustment for farmers’ averaging</t>
  </si>
  <si>
    <t>SPS12</t>
  </si>
  <si>
    <t>Foreign tax claimed as a deduction</t>
  </si>
  <si>
    <t>SPS16</t>
  </si>
  <si>
    <t>Adjusted profit</t>
  </si>
  <si>
    <t xml:space="preserve">  </t>
  </si>
  <si>
    <t>a) If (SPS8 + SPS9 minus (SPS12 + SPS13)) is positive, then SPS16 equals (SPS8 + SPS9 minus (SPS12 + SPS13) + SPS10 + SPS11)
b) if (SPS8 + SPS9 minus (SPS12 + SPS13)) is negative or zero, then if SPS10 + SPS11 &gt; 0, SPS16 = SPS10 + SPS11 else SPS16 must be zero or absent</t>
  </si>
  <si>
    <t>SPS17</t>
  </si>
  <si>
    <t>Losses brought forward from last year used this year</t>
  </si>
  <si>
    <t>If present, must be less than or equal to SPS16</t>
  </si>
  <si>
    <t>SPS18</t>
  </si>
  <si>
    <t>Taxable profit after losses brought forward</t>
  </si>
  <si>
    <t>Equal to SPS16 minus SPS17</t>
  </si>
  <si>
    <t>SPS19</t>
  </si>
  <si>
    <t>Add amounts not included in the partnership accounts</t>
  </si>
  <si>
    <t>SPS20</t>
  </si>
  <si>
    <t>Equal to SPS18 + SPS19</t>
  </si>
  <si>
    <t>SPS21</t>
  </si>
  <si>
    <t>Allowable loss</t>
  </si>
  <si>
    <t>a) If (SPS8 + SPS9 minus (SPS12 + SPS13)) is negative, then SPS21 equals the positive equivalent of that sum.
b) if (SPS8 + SPS9 minus (SPS12 + SPS13))is greater than or equal to zero, then SPS21 = zero or absent
c) Cannot be negative</t>
  </si>
  <si>
    <t>SPS22</t>
  </si>
  <si>
    <t>Loss offset against other income</t>
  </si>
  <si>
    <t>If present, must be less than or equal to SPS21                                If SPS5 = 'Y' then SPS 22 must be zero or absent</t>
  </si>
  <si>
    <t>SPS23</t>
  </si>
  <si>
    <t>If present, must be less than or equal to SPS21 minus SPS22.</t>
  </si>
  <si>
    <t>SPS24</t>
  </si>
  <si>
    <t>Loss to carry forward</t>
  </si>
  <si>
    <t>SPS25</t>
  </si>
  <si>
    <t>SPS26</t>
  </si>
  <si>
    <t>If you are excempt from paying Class 4 NICs, put ‘X’ in the box</t>
  </si>
  <si>
    <t>SPS27</t>
  </si>
  <si>
    <t>Adjustment to profit chargeable to Class 4 NICs</t>
  </si>
  <si>
    <t>If SPS26 is 'Y', SPS27 must be zero or absent</t>
  </si>
  <si>
    <t>SPS28</t>
  </si>
  <si>
    <t>Your share of untaxed interest etc - from box 13 on the Partership Statement</t>
  </si>
  <si>
    <t>SPS30</t>
  </si>
  <si>
    <t>Your share of CIS deductions made by contractors</t>
  </si>
  <si>
    <t>SPS31</t>
  </si>
  <si>
    <t>Share of any tax taken off trading income (not contractor deductions)</t>
  </si>
  <si>
    <t>SPS32</t>
  </si>
  <si>
    <t>Any other information</t>
  </si>
  <si>
    <t>FPS1</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</si>
  <si>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</si>
  <si>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FPS2</t>
  </si>
  <si>
    <t>Partnership 2</t>
  </si>
  <si>
    <t>Partnership 1</t>
  </si>
  <si>
    <t>Public House</t>
  </si>
  <si>
    <t>Mining</t>
  </si>
  <si>
    <t>Forestry</t>
  </si>
  <si>
    <t>Bread delivery</t>
  </si>
  <si>
    <t>Grocers</t>
  </si>
  <si>
    <t>Livery</t>
  </si>
  <si>
    <t>Italian classic cars</t>
  </si>
  <si>
    <t>Brewers</t>
  </si>
  <si>
    <t>Solicitors</t>
  </si>
  <si>
    <t>Partnership 3</t>
  </si>
  <si>
    <t>Partnership 4</t>
  </si>
  <si>
    <t>Partnership9</t>
  </si>
  <si>
    <t>Partnership5</t>
  </si>
  <si>
    <t>Partnership6</t>
  </si>
  <si>
    <t>NO TRADE</t>
  </si>
  <si>
    <t>Partnership7</t>
  </si>
  <si>
    <t>Partnership8</t>
  </si>
  <si>
    <t>Partnership11</t>
  </si>
  <si>
    <t>Partnership12</t>
  </si>
  <si>
    <t>investment</t>
  </si>
  <si>
    <t>estate agents</t>
  </si>
  <si>
    <t>land agents</t>
  </si>
  <si>
    <t>Wind Farm</t>
  </si>
  <si>
    <t>FPS3Q</t>
  </si>
  <si>
    <t>FPS3</t>
  </si>
  <si>
    <t xml:space="preserve"> If present must be within the return period</t>
  </si>
  <si>
    <t>FPS4Q</t>
  </si>
  <si>
    <t>FPS4</t>
  </si>
  <si>
    <t>a) If present must be within return year.
b) If FPS3 is present, FPS4 must be the same as or later than FPS3</t>
  </si>
  <si>
    <t>FPS8</t>
  </si>
  <si>
    <t>FPS9</t>
  </si>
  <si>
    <t>Adjustment to arrive at profit or loss</t>
  </si>
  <si>
    <t>FPS10</t>
  </si>
  <si>
    <t>FPS11</t>
  </si>
  <si>
    <t>FPS12</t>
  </si>
  <si>
    <t>Total tax credit relief on your income</t>
  </si>
  <si>
    <t>FPS16</t>
  </si>
  <si>
    <t>Adjusted Profit</t>
  </si>
  <si>
    <t>a) If (FPS8 + FPS9 minus (FPS12 + FPS13)) is positive, then FPS16 equals (FPS8 + FPS9 minus (FPS12 + FPS13) + FPS10 + FPS11)
b) if (FPS8 + FPS9 minus (FPS12 + FPS13)) is negative or zero, then if FPS10 + FPS11 &gt; 0, FPS16 = FPS10 + FPS11 else FPS16 must be zero or absent</t>
  </si>
  <si>
    <t>FPS16.3</t>
  </si>
  <si>
    <t>Spread of transition profit treated as arising</t>
  </si>
  <si>
    <t>FPS16.4</t>
  </si>
  <si>
    <t>Loss brought forward from earlier years  set off against transition profit</t>
  </si>
  <si>
    <t>FPS17</t>
  </si>
  <si>
    <t>If present, must be less than or equal to FPS16</t>
  </si>
  <si>
    <t>FPS18</t>
  </si>
  <si>
    <t>Equal to FPS16 minus FPS17</t>
  </si>
  <si>
    <t>FPS19</t>
  </si>
  <si>
    <t>FPS20</t>
  </si>
  <si>
    <t>Equal to FPS18 + FPS19</t>
  </si>
  <si>
    <t>FPS20.1</t>
  </si>
  <si>
    <t>FPS21</t>
  </si>
  <si>
    <t>a) If (FPS8 + FPS9 minus (FPS12 + FPS13)) is negative, then FPS21 equals the positive equivalent of that sum.
b) if (FPS8 + FPS9 minus (FPS12 + FPS13))is greater than or equal to zero, then FPS21 = zero or absent
c) Cannot be negative</t>
  </si>
  <si>
    <t>FPS21.1</t>
  </si>
  <si>
    <t>FPS22</t>
  </si>
  <si>
    <t xml:space="preserve">If present, must be less than or equal to FPS21
If FPS5 = 'Y' then FPS22 must be zero or absent
</t>
  </si>
  <si>
    <t>FPS23</t>
  </si>
  <si>
    <t xml:space="preserve">If present, must be less than or equal to FPS21 minus FPS22
</t>
  </si>
  <si>
    <t>FPS24</t>
  </si>
  <si>
    <t>FPS25</t>
  </si>
  <si>
    <t>FPS26</t>
  </si>
  <si>
    <t>FPS27</t>
  </si>
  <si>
    <t>adjustment to Class 4 NIC profits</t>
  </si>
  <si>
    <t>If FPS26 is 'Y', FPS27 must be zero or absent</t>
  </si>
  <si>
    <t>FPS28</t>
  </si>
  <si>
    <t>UK untaxed savings income share</t>
  </si>
  <si>
    <t>FPS29</t>
  </si>
  <si>
    <t>UK untaxed savings adjustment</t>
  </si>
  <si>
    <t>FPS30</t>
  </si>
  <si>
    <t>adjusted UK savings income</t>
  </si>
  <si>
    <t>Equal to FPS28 + FPS29</t>
  </si>
  <si>
    <t>FPS31</t>
  </si>
  <si>
    <t>foreign untaxed savings income share</t>
  </si>
  <si>
    <t>FPS32</t>
  </si>
  <si>
    <t>foreign untaxed savings adjustment</t>
  </si>
  <si>
    <t>FPS33</t>
  </si>
  <si>
    <t>total foreign tax taken off</t>
  </si>
  <si>
    <t>FPS34</t>
  </si>
  <si>
    <t>adjusted foreign savings income</t>
  </si>
  <si>
    <t>Equal to FPS31 + FPS32 minus FPS33</t>
  </si>
  <si>
    <t>FPS35</t>
  </si>
  <si>
    <t xml:space="preserve">total untaxed savings income </t>
  </si>
  <si>
    <t>Equal to FPS30 + FPS34</t>
  </si>
  <si>
    <t>FPS35.1</t>
  </si>
  <si>
    <t>FPS36</t>
  </si>
  <si>
    <t>Share of profit or loss from UK land &amp; property</t>
  </si>
  <si>
    <t>FPS37</t>
  </si>
  <si>
    <t>Adjustment to UK property income</t>
  </si>
  <si>
    <t>FPS38</t>
  </si>
  <si>
    <t>UK Land &amp; Property - Loss Brought Forward</t>
  </si>
  <si>
    <t>If present, must be less than or equal to FPS36 + FPS37 where that sum is positive</t>
  </si>
  <si>
    <t>FPS39</t>
  </si>
  <si>
    <t xml:space="preserve">If the sum of FPS36 + FPS37 is negative, FPS39 is less than or equal to the positive equivalent of that sum. 
</t>
  </si>
  <si>
    <t>FPS40</t>
  </si>
  <si>
    <t>UK Land &amp; Property - Loss Carried Forward</t>
  </si>
  <si>
    <t>Taxable profit after losses (UK land and property)</t>
  </si>
  <si>
    <t>a) If (FPS36 + FPS37 minus FPS38) is positive or zero FPS41 equals that sum.
b) If (FPS36 + FPS37 minus FPS38) is negative FPS41 equals zero.</t>
  </si>
  <si>
    <t>Relief for residential finance costs</t>
  </si>
  <si>
    <t>Unused reflief for finance costs brought forward</t>
  </si>
  <si>
    <t>FPSAF1</t>
  </si>
  <si>
    <t>Allowable finance costs</t>
  </si>
  <si>
    <t>FPS42</t>
  </si>
  <si>
    <t>Share of FHL profit</t>
  </si>
  <si>
    <t>FPS43</t>
  </si>
  <si>
    <t>Adjustments to FHL profit</t>
  </si>
  <si>
    <t>Can be negative</t>
  </si>
  <si>
    <t>FPS44</t>
  </si>
  <si>
    <t>Taxable FHL profit</t>
  </si>
  <si>
    <t>If FPS42 or FPS43 present, 
if FPS42 + FPS43 is greater than zero FPS44 must equal FPS42 + FPS43 
else FPS44 must equal zero.
Cannot be negative.</t>
  </si>
  <si>
    <t>FPS45</t>
  </si>
  <si>
    <t>Other Untaxed UK Income - Allocated income</t>
  </si>
  <si>
    <t>FPS46</t>
  </si>
  <si>
    <t>Other Untaxed UK Income - Adjustment to income</t>
  </si>
  <si>
    <t>FPS47</t>
  </si>
  <si>
    <t>Other Untaxed UK Income - Loss Brought Forward</t>
  </si>
  <si>
    <t>If present, must be less than or equal to FPS45 + FPS46</t>
  </si>
  <si>
    <t>FPS48</t>
  </si>
  <si>
    <t>Taxable profit after adjustment and losses (other untaxed UK income)</t>
  </si>
  <si>
    <t>If present, must be less than or equal to FPS45 + FPS46 minus FPS47</t>
  </si>
  <si>
    <t>FPS49</t>
  </si>
  <si>
    <t>Other  Untaxed UK Income - Allocated Loss</t>
  </si>
  <si>
    <t>FPS50</t>
  </si>
  <si>
    <t>Adjustment to Loss For Other Untaxed UK Income</t>
  </si>
  <si>
    <t>FPS51</t>
  </si>
  <si>
    <t>Other Untaxed UK Income - Loss Carried Forward</t>
  </si>
  <si>
    <t>FPS52</t>
  </si>
  <si>
    <t>Allocated income</t>
  </si>
  <si>
    <t>FPS53</t>
  </si>
  <si>
    <t>Offshore Funds Income Adjustment</t>
  </si>
  <si>
    <t>FPS54</t>
  </si>
  <si>
    <t>Total Foreign Tax Deducted If Tax Credit Relief Not Claimed</t>
  </si>
  <si>
    <t>FPS55</t>
  </si>
  <si>
    <t>Taxable profit after adjustments (offshore funds)</t>
  </si>
  <si>
    <t>Equal to FPS52 + FPS53 minus FPS54</t>
  </si>
  <si>
    <t>FPS55.1</t>
  </si>
  <si>
    <t>FPS56</t>
  </si>
  <si>
    <t>Other Untaxed Foreign Income - Allocated Profit</t>
  </si>
  <si>
    <t>FPS57</t>
  </si>
  <si>
    <t>Adjustment to Income For Other Untaxed Foreign Income</t>
  </si>
  <si>
    <t>FPS58</t>
  </si>
  <si>
    <t>Loss brought forward from earlier years  set off against income</t>
  </si>
  <si>
    <t>If present, must be less than or equal to FPS56 + FPS57</t>
  </si>
  <si>
    <t>FPS59</t>
  </si>
  <si>
    <t>Taxable profit after adjustments and losses (other untaxed foreign income)</t>
  </si>
  <si>
    <t>a) If (FPS56 + FPS57) minus (FPS58 + FPS59) is greater than or equal to zero then FPS60 equals that sum.
b) If (FPS56 + FPS57) minus (FPS58 + FPS59) is negative then FPS60 equals zero.</t>
  </si>
  <si>
    <t>FPS60.1</t>
  </si>
  <si>
    <t>FPS61</t>
  </si>
  <si>
    <t>Other Untaxed Foreign Income - Allocated Loss</t>
  </si>
  <si>
    <t>FPS62</t>
  </si>
  <si>
    <t>Adjustment to Loss For Other Untaxed Foreign Income</t>
  </si>
  <si>
    <t>FPS63</t>
  </si>
  <si>
    <t>Other Untaxed Foreign Income - Loss Carried Forward</t>
  </si>
  <si>
    <t>FPSAF2</t>
  </si>
  <si>
    <t>FPS67</t>
  </si>
  <si>
    <t>Untaxed income from this business (other than that liable at 20%)</t>
  </si>
  <si>
    <t>Equal to FPS41 + FPS44 + FPS48 + FPS55 + FPS60</t>
  </si>
  <si>
    <t>FPS68</t>
  </si>
  <si>
    <t>Dividend income - from boxes 14A and 22A on the Partnership Statement</t>
  </si>
  <si>
    <t>FPS69</t>
  </si>
  <si>
    <t xml:space="preserve">Foreign tax deducted </t>
  </si>
  <si>
    <t>FPS70</t>
  </si>
  <si>
    <t>Total dividend income (box 68 minus box 69)</t>
  </si>
  <si>
    <t>Equal to FPS68 minus FPS69</t>
  </si>
  <si>
    <t>FPS70.1</t>
  </si>
  <si>
    <t>FPS71</t>
  </si>
  <si>
    <t>Share of Taxed income (income taxed at 20%)</t>
  </si>
  <si>
    <t>FPS72</t>
  </si>
  <si>
    <t xml:space="preserve">Foreign Tax Deducted </t>
  </si>
  <si>
    <t>FPS73</t>
  </si>
  <si>
    <t>Taxed income (taxed at 20%)</t>
  </si>
  <si>
    <t>Equal to FPS71 minus FPS72</t>
  </si>
  <si>
    <t>FPS74</t>
  </si>
  <si>
    <t>Share of other taxed income</t>
  </si>
  <si>
    <t>FPS75</t>
  </si>
  <si>
    <t>Share of income tax</t>
  </si>
  <si>
    <t>FPS75.1</t>
  </si>
  <si>
    <t>FPS76</t>
  </si>
  <si>
    <t>Share of taxed and untaxed income (other than liable at 10% and 20%)</t>
  </si>
  <si>
    <t>Equal to FPS20 + FPS67 + FPS74 minus FPS75</t>
  </si>
  <si>
    <t>FPS76.1</t>
  </si>
  <si>
    <t>FPS77</t>
  </si>
  <si>
    <t>FPS78</t>
  </si>
  <si>
    <t>Share of /CIS25 deductions</t>
  </si>
  <si>
    <t>FPS79</t>
  </si>
  <si>
    <t>Share of tax deducted from trading income (not /CIS25)</t>
  </si>
  <si>
    <t>FPS80</t>
  </si>
  <si>
    <t>Share of total tax taken off (boxes 77 to 79)</t>
  </si>
  <si>
    <t>Equal to FPS77 + FPS78 + FPS79</t>
  </si>
  <si>
    <t>PRO1</t>
  </si>
  <si>
    <t>How many properties do you rent out</t>
  </si>
  <si>
    <t>Integer value greater &gt; 0</t>
  </si>
  <si>
    <t>PRO2</t>
  </si>
  <si>
    <t>Property income ceased in year</t>
  </si>
  <si>
    <t>PRO3</t>
  </si>
  <si>
    <t>Property let jointly</t>
  </si>
  <si>
    <t>PRO4</t>
  </si>
  <si>
    <t>Claiming Rent a Room relief</t>
  </si>
  <si>
    <t>PRO5</t>
  </si>
  <si>
    <t>Income from furnished holiday lettings</t>
  </si>
  <si>
    <t>PRO5.1</t>
  </si>
  <si>
    <t xml:space="preserve">Property income allowance </t>
  </si>
  <si>
    <t>a)If present, must be less than or equal to £1000 (Property allowance)
b)If present, PRO6,PRO7,PRO8,PRO9,PRO10, PRO12 &amp; PRO16 must be absent</t>
  </si>
  <si>
    <t>PRO5.2</t>
  </si>
  <si>
    <t>If you've used traditional accounting rather than cash basis</t>
  </si>
  <si>
    <t>PRO6</t>
  </si>
  <si>
    <t>Rent rates insurances and ground rents etc.</t>
  </si>
  <si>
    <t>PRO7</t>
  </si>
  <si>
    <t>Finance charges including interest</t>
  </si>
  <si>
    <t>PRO8</t>
  </si>
  <si>
    <t>PRO9</t>
  </si>
  <si>
    <t>PRO10</t>
  </si>
  <si>
    <t>Private use proportions</t>
  </si>
  <si>
    <t>If present, must be less than or equal to PRO6 + PRO7 + PRO8 + PRO9</t>
  </si>
  <si>
    <t>PRO11</t>
  </si>
  <si>
    <t>Balancing charges</t>
  </si>
  <si>
    <t>PRO5.1 must be less than or equal to the sum of PRO5 &amp; PRO11</t>
  </si>
  <si>
    <t>PRO11.1</t>
  </si>
  <si>
    <t>PRO11.2</t>
  </si>
  <si>
    <t>PRO12</t>
  </si>
  <si>
    <t>Capital allowances</t>
  </si>
  <si>
    <t>PRO13</t>
  </si>
  <si>
    <t>Adjusted profit for the period</t>
  </si>
  <si>
    <t>a) If PRO5 + PRO10 + PRO11 minus (PRO6 + PRO7 + PRO8 + PRO9 + PRO12) is positive or zero PRO13 equals that sum.
b) Cannot be negative.</t>
  </si>
  <si>
    <t>PRO14</t>
  </si>
  <si>
    <t>furnished holiday lettings losses brought forward</t>
  </si>
  <si>
    <t>PRO15</t>
  </si>
  <si>
    <t>furnished holiday lettings taxable profit for year</t>
  </si>
  <si>
    <t>a) If PRO13 minus PRO14 is positive or zero PRO15 equals that sum.
b) Cannot be negative.</t>
  </si>
  <si>
    <t>PRO16</t>
  </si>
  <si>
    <t>furnished holiday lettings loss for year</t>
  </si>
  <si>
    <t>a) If PRO6 + PRO7 + PRO8 + PRO9 + PRO12 minus (PRO5 + PRO10 + PRO11) is positive or zero  equals that sum.
b) Cannot be negative.
c) If entries in any of PRO6,PRO7,PRO8,PRO9,PRO10, PRO12 &amp; PRO16 then PRO5.1 must be absent</t>
  </si>
  <si>
    <t>PRO17</t>
  </si>
  <si>
    <t>furnished holiday lettings loss to carry forward</t>
  </si>
  <si>
    <t>PRO18</t>
  </si>
  <si>
    <t>FHL in EEA</t>
  </si>
  <si>
    <t xml:space="preserve">a) Only one instance of PRO18 can be Y
b) If absent, PRO5.2 &amp; PRO20.2 must be the same value
</t>
  </si>
  <si>
    <t>PRO19</t>
  </si>
  <si>
    <t>Furnished lets period of grace election</t>
  </si>
  <si>
    <t>PRO20</t>
  </si>
  <si>
    <t>Total rents and other income from property</t>
  </si>
  <si>
    <t>PRO20.1</t>
  </si>
  <si>
    <r>
      <t xml:space="preserve">a) If present, must be less than or equal to £1000 (Property Allowance)
</t>
    </r>
    <r>
      <rPr>
        <strike/>
        <sz val="8"/>
        <rFont val="Arial"/>
        <family val="2"/>
      </rPr>
      <t>b) If both PRO5.2 &amp; PRO20.1 are present the total of both must be less than or equal to £1000 (Property Allowance)</t>
    </r>
    <r>
      <rPr>
        <sz val="8"/>
        <rFont val="Arial"/>
        <family val="2"/>
      </rPr>
      <t xml:space="preserve">
c) If present, PRO24, PRO25, PRO26, PRO27,PRO28, PRO29, PRO30, PRO32, PRO33,PRO34, PRO35,PRO36,PRO37, BPR41, PRO42 &amp; PRO44 must be absent.</t>
    </r>
  </si>
  <si>
    <t>PRO20.2</t>
  </si>
  <si>
    <t>PRO21</t>
  </si>
  <si>
    <t>PRO22</t>
  </si>
  <si>
    <t>Chargeable premium</t>
  </si>
  <si>
    <t>PRO23</t>
  </si>
  <si>
    <t>Reverse Premiums</t>
  </si>
  <si>
    <t>PRO24</t>
  </si>
  <si>
    <t>Rent rates insurance ground rents etc.</t>
  </si>
  <si>
    <t>PRO25</t>
  </si>
  <si>
    <t>Repairs and maintenance</t>
  </si>
  <si>
    <t>PRO26</t>
  </si>
  <si>
    <t>PRO27</t>
  </si>
  <si>
    <t>PRO28</t>
  </si>
  <si>
    <t>Cost of services provided including wages</t>
  </si>
  <si>
    <t>PRO29</t>
  </si>
  <si>
    <t>PRO30</t>
  </si>
  <si>
    <t>PRO31</t>
  </si>
  <si>
    <r>
      <t xml:space="preserve">a) Total of PRO20, PRO22, PRO23, PRO31 must not exceed £150,000 (Cash basis threshold) if PRO20.2 absent
</t>
    </r>
    <r>
      <rPr>
        <strike/>
        <sz val="8"/>
        <rFont val="Arial"/>
        <family val="2"/>
      </rPr>
      <t>b) Total of PRO20, PRO22, PRO23, PRO31 must not exceed £150,000 (Cash basis threshold) if PRO5.2 is absent but PRO18 is present</t>
    </r>
    <r>
      <rPr>
        <sz val="8"/>
        <rFont val="Arial"/>
        <family val="2"/>
      </rPr>
      <t xml:space="preserve">
c) PRO20.1 must be less than or equal to the sum of PRO20, PRO22, PRO23 &amp; PRO31</t>
    </r>
  </si>
  <si>
    <t>PRO32</t>
  </si>
  <si>
    <t>Investment allowance</t>
  </si>
  <si>
    <t>a) If present, must be less than or equal to £400,000*b) If present, PRO5.2, PRO20.2 &amp; PRO18 must be absent
c)  If present, PRO20.1 must be absent</t>
  </si>
  <si>
    <t>PRO33</t>
  </si>
  <si>
    <t>PRO33.1</t>
  </si>
  <si>
    <t>PRO33.2</t>
  </si>
  <si>
    <t xml:space="preserve"> Freeport Structures and Buildings Allowance</t>
  </si>
  <si>
    <t>PRO34</t>
  </si>
  <si>
    <t>PRO34.1</t>
  </si>
  <si>
    <t>PRO35</t>
  </si>
  <si>
    <t>All other capital allowances</t>
  </si>
  <si>
    <t>PRO36</t>
  </si>
  <si>
    <t>Costs of replacing domestic items – for residential lettings only</t>
  </si>
  <si>
    <t>If present, must be less than or equal to (PRO20 x 10%) + £1</t>
  </si>
  <si>
    <t>PRO37</t>
  </si>
  <si>
    <t>Rent a room exempt amount</t>
  </si>
  <si>
    <t>a) If present PRO4 must be 'N'.
b) If present, must be less than or equal to £7,500</t>
  </si>
  <si>
    <t>PRO38</t>
  </si>
  <si>
    <t>Adjusted Profit for year</t>
  </si>
  <si>
    <t>a) If (PRO20 + PRO22 + PRO23 + PRO30 + PRO31 minus (PRO15 + PRO24 + PRO25 + PRO26 + PRO27 + PRO28 + PRO29 + PRO32 + PRO33 + PRO34 + PRO36 + PRO37)) is positive, then PRO38 equals that sum.
b) cannot be negative</t>
  </si>
  <si>
    <t>PRO39</t>
  </si>
  <si>
    <t>Loss B/F from P/Y</t>
  </si>
  <si>
    <t>If present, must be less than or equal to PRO38</t>
  </si>
  <si>
    <t>PRO40</t>
  </si>
  <si>
    <t>Taxable Profit</t>
  </si>
  <si>
    <t>a) Equal to PRO38 minus PRO39
b) cannot be negative</t>
  </si>
  <si>
    <t>PRO41</t>
  </si>
  <si>
    <t>Adjusted loss</t>
  </si>
  <si>
    <t>a) If (PRO24 + PRO25 + PRO26 + PRO27 + PRO28 + PRO29 + PRO32 + PRO33 + PRO34 + PRO36 + PRO37 minus (PRO20 + PRO22 + PRO23 + PRO30 + PRO31)) is positive, then PRO41 equals that sum.
b) cannot be negative</t>
  </si>
  <si>
    <t>PRO42</t>
  </si>
  <si>
    <t>Loss set off against total income of the year</t>
  </si>
  <si>
    <r>
      <t>a)</t>
    </r>
    <r>
      <rPr>
        <sz val="8"/>
        <color theme="1"/>
        <rFont val="Arial"/>
        <family val="2"/>
      </rPr>
      <t xml:space="preserve"> If present, PRO20.2 must be absent</t>
    </r>
  </si>
  <si>
    <t>PRO43</t>
  </si>
  <si>
    <t>Loss to carry forward to following year</t>
  </si>
  <si>
    <t>PRO44</t>
  </si>
  <si>
    <t>Residential property finance costs</t>
  </si>
  <si>
    <t>a) Prohibited if PRO20.1 is present 
b) If present PRO26 or PRO29 or both must be present
c) If present must be less than or equal to PRO26 + PRO29</t>
  </si>
  <si>
    <t>PRO45</t>
  </si>
  <si>
    <t>Unused residential property finance costs brought forward</t>
  </si>
  <si>
    <t>SA Monetary value (2dp) &gt; = 0.00</t>
  </si>
  <si>
    <t>Where both an occurrence of [FOR14] and a [PRO5-19] with [PRO5] and [PRO18] present, the value of [FOR14.2] and the value of [PRO5.2] from that occurrence of [PRO5-19] must be the same.' (validation constraint {{1029}})</t>
  </si>
  <si>
    <t>Pre-calculation rule</t>
  </si>
  <si>
    <t>FOR1</t>
  </si>
  <si>
    <t>If you were unable to transfer any of your overseas income to the UK, put ‘X’ in the box</t>
  </si>
  <si>
    <t>FOR2</t>
  </si>
  <si>
    <t>If you are calculating your tax, enter the total Foreign Tax Credit Relief on your income</t>
  </si>
  <si>
    <t>FOR_INT_A_1</t>
  </si>
  <si>
    <t>Country or territory code</t>
  </si>
  <si>
    <t>USA</t>
  </si>
  <si>
    <t>CAN</t>
  </si>
  <si>
    <t>FRA</t>
  </si>
  <si>
    <t>DNK</t>
  </si>
  <si>
    <t>ARG</t>
  </si>
  <si>
    <t>GGY</t>
  </si>
  <si>
    <t>GBR</t>
  </si>
  <si>
    <t>AUS</t>
  </si>
  <si>
    <t>BEL</t>
  </si>
  <si>
    <t>ITA</t>
  </si>
  <si>
    <t>IRL</t>
  </si>
  <si>
    <t>MUS</t>
  </si>
  <si>
    <t>SRB</t>
  </si>
  <si>
    <t>LUX</t>
  </si>
  <si>
    <t>FOR_INT_B_1</t>
  </si>
  <si>
    <t>Amount of income arising or received before any tax taken off</t>
  </si>
  <si>
    <t>FOR_INT_C_1</t>
  </si>
  <si>
    <t>Foreign tax taken off or paid</t>
  </si>
  <si>
    <t>FOR3_INT_D_1</t>
  </si>
  <si>
    <t>Special Withholding Tax and any UK tax taken off</t>
  </si>
  <si>
    <t>FOR_INT_E_1</t>
  </si>
  <si>
    <t>To claim Foreign Tax Credit Relief, put ‘X’ in the box</t>
  </si>
  <si>
    <t>FOR4_INT_F_1</t>
  </si>
  <si>
    <t>Taxable amount</t>
  </si>
  <si>
    <t>FOR_INT_A_2</t>
  </si>
  <si>
    <t>ZAF</t>
  </si>
  <si>
    <t>HKG</t>
  </si>
  <si>
    <t>JEY</t>
  </si>
  <si>
    <t>JPN</t>
  </si>
  <si>
    <t>FOR_INT_B_2</t>
  </si>
  <si>
    <t>FOR_INT_C_2</t>
  </si>
  <si>
    <t>FOR3_INT_D_2</t>
  </si>
  <si>
    <t>FOR_INT_E_2</t>
  </si>
  <si>
    <t>FOR4_INT_F_2</t>
  </si>
  <si>
    <t>FOR3_TOT</t>
  </si>
  <si>
    <t>Total of column above</t>
  </si>
  <si>
    <t>FOR4_TOT</t>
  </si>
  <si>
    <t>FOR4.1</t>
  </si>
  <si>
    <t>Total claimed under FIG regime</t>
  </si>
  <si>
    <t>FOR_DIV_A_1</t>
  </si>
  <si>
    <t>TCA</t>
  </si>
  <si>
    <t>DEU</t>
  </si>
  <si>
    <t>NAM</t>
  </si>
  <si>
    <t>BMU</t>
  </si>
  <si>
    <t>BRN</t>
  </si>
  <si>
    <t>SGP</t>
  </si>
  <si>
    <t>CYM</t>
  </si>
  <si>
    <t>FOR_DIV_B_1</t>
  </si>
  <si>
    <t>FOR_DIV_C_1</t>
  </si>
  <si>
    <t>FOR5_DIV_D_1</t>
  </si>
  <si>
    <t>FOR_DIV_E_1</t>
  </si>
  <si>
    <t>FOR6_DIV_F_1</t>
  </si>
  <si>
    <t>FOR_DIV_A_2</t>
  </si>
  <si>
    <t>CHE</t>
  </si>
  <si>
    <t>FOR_DIV_B_2</t>
  </si>
  <si>
    <t>FOR_DIV_C_2</t>
  </si>
  <si>
    <t>FOR5_DIV_D_2</t>
  </si>
  <si>
    <t>FOR_DIV_E_2</t>
  </si>
  <si>
    <t>FOR6_DIV_F_2</t>
  </si>
  <si>
    <t>FOR_DIV_A_3</t>
  </si>
  <si>
    <t>FOR_DIV_B_3</t>
  </si>
  <si>
    <t>FOR_DIV_C_3</t>
  </si>
  <si>
    <t>FOR5_DIV_D_3</t>
  </si>
  <si>
    <t>FOR_DIV_E_3</t>
  </si>
  <si>
    <t>FOR6_DIV_F_3</t>
  </si>
  <si>
    <t>FOR_DIV_A_4</t>
  </si>
  <si>
    <t>NOR</t>
  </si>
  <si>
    <t>FOR_DIV_B_4</t>
  </si>
  <si>
    <t>FOR_DIV_C_4</t>
  </si>
  <si>
    <t>FOR5_DIV_D_4</t>
  </si>
  <si>
    <t>FOR_DIV_E_4</t>
  </si>
  <si>
    <t>FOR6_DIV_F_4</t>
  </si>
  <si>
    <t>FOR_DIV_A_5</t>
  </si>
  <si>
    <t xml:space="preserve">FIN </t>
  </si>
  <si>
    <t>FOR_DIV_B_5</t>
  </si>
  <si>
    <t>FOR_DIV_C_5</t>
  </si>
  <si>
    <t>FOR5_DIV_D_5</t>
  </si>
  <si>
    <t>FOR_DIV_E_5</t>
  </si>
  <si>
    <t>FOR6_DIV_F_5</t>
  </si>
  <si>
    <t>FOR5_TOT</t>
  </si>
  <si>
    <t>FOR6_TOT</t>
  </si>
  <si>
    <t>FOR6.1</t>
  </si>
  <si>
    <t>FOR_R_INT_A_1</t>
  </si>
  <si>
    <t>FOR_R_INT_B_1</t>
  </si>
  <si>
    <t>FOR_R_INT_C_1</t>
  </si>
  <si>
    <t>FOR7.1_R_INT_D_1</t>
  </si>
  <si>
    <t>FOR_R_INT_E_1</t>
  </si>
  <si>
    <t>FOR7.2_R_INT_F_1</t>
  </si>
  <si>
    <t>FOR7.1_TOT</t>
  </si>
  <si>
    <t>FOR7.2_TOT</t>
  </si>
  <si>
    <t>FOR_R_DIV_A_1</t>
  </si>
  <si>
    <t>FOR_R_DIV_B_1</t>
  </si>
  <si>
    <t>FOR_R_DIV_C_1</t>
  </si>
  <si>
    <t>FOR7.3_R_DIV_D_1</t>
  </si>
  <si>
    <t>FOR_R_DIV_E_1</t>
  </si>
  <si>
    <t>FOR7.4_R_DIV_F_1</t>
  </si>
  <si>
    <t>FOR7.3_TOT</t>
  </si>
  <si>
    <t>FOR7.4_TOT</t>
  </si>
  <si>
    <t>FOR7.5_TOT</t>
  </si>
  <si>
    <t>Amount in box 7.4 subject to dividend tax credit</t>
  </si>
  <si>
    <t>FOR_OVE_A_1</t>
  </si>
  <si>
    <t>SLV</t>
  </si>
  <si>
    <t>FOR_OVE_B_1</t>
  </si>
  <si>
    <t>FOR_OVE_C_1</t>
  </si>
  <si>
    <t>FOR8_OVE_D_1</t>
  </si>
  <si>
    <t>FOR_OVE_E_1</t>
  </si>
  <si>
    <t>FOR9_OVE_F_1</t>
  </si>
  <si>
    <t>FOR8_TOT</t>
  </si>
  <si>
    <t>FOR9_TOT</t>
  </si>
  <si>
    <t>FOR9.1</t>
  </si>
  <si>
    <t>FOR_DIV_A</t>
  </si>
  <si>
    <t>IND</t>
  </si>
  <si>
    <t>FOR_DIV_B</t>
  </si>
  <si>
    <t>FOR_DIV_C</t>
  </si>
  <si>
    <t>FOR10_DIV_D</t>
  </si>
  <si>
    <t>FOR_DIV_E</t>
  </si>
  <si>
    <t>FOR11_DIV_F</t>
  </si>
  <si>
    <t>FOR10_TOT</t>
  </si>
  <si>
    <t>Total</t>
  </si>
  <si>
    <t>FOR11_TOT</t>
  </si>
  <si>
    <t>FOR11.1</t>
  </si>
  <si>
    <t>FOR_ALO_A</t>
  </si>
  <si>
    <t>FOR_ALO_B</t>
  </si>
  <si>
    <t>FOR_ALO_C</t>
  </si>
  <si>
    <t>FOR12_ALO_D</t>
  </si>
  <si>
    <t>FOR_ALO_E</t>
  </si>
  <si>
    <t>FOR13_ALO_F</t>
  </si>
  <si>
    <t>FOR12_TOT</t>
  </si>
  <si>
    <t>FOR13_TOT</t>
  </si>
  <si>
    <t>FOR13.0</t>
  </si>
  <si>
    <t>FOR13.1</t>
  </si>
  <si>
    <t>Property inc or finance costs</t>
  </si>
  <si>
    <t>FOR13.2</t>
  </si>
  <si>
    <t>Unused residential finance costs</t>
  </si>
  <si>
    <t>FOR14</t>
  </si>
  <si>
    <t>Total rents and other receipts (excluding taxable premiums for the grant of a lease)</t>
  </si>
  <si>
    <t>FOR14.1</t>
  </si>
  <si>
    <t>Property income allowance</t>
  </si>
  <si>
    <t>FOR14.2</t>
  </si>
  <si>
    <t>FOR15</t>
  </si>
  <si>
    <t>Number of overseas let properties</t>
  </si>
  <si>
    <t>FOR16</t>
  </si>
  <si>
    <t>Premiums paid for the grant of a lease</t>
  </si>
  <si>
    <t>FOR17</t>
  </si>
  <si>
    <t>Property expenses (rent, repairs, legal fees, cost of services provided) – enter the total amount</t>
  </si>
  <si>
    <t>FOR18</t>
  </si>
  <si>
    <t>Net profit or loss (box 14 + box 16 minus box 17)  – if this is a negative figure (a loss) put a minus sign in the box</t>
  </si>
  <si>
    <t>FOR19</t>
  </si>
  <si>
    <t>Private use adjustment</t>
  </si>
  <si>
    <t>FOR20</t>
  </si>
  <si>
    <t>FOR21</t>
  </si>
  <si>
    <t>Capital allowances for equipment and vehicles (but not for furnished residential lettings)</t>
  </si>
  <si>
    <t>FOR21.1</t>
  </si>
  <si>
    <t>FOR22</t>
  </si>
  <si>
    <t>FOR22.1</t>
  </si>
  <si>
    <t>FOR22.2</t>
  </si>
  <si>
    <t>FOR23</t>
  </si>
  <si>
    <t>Costs of replacing domestic items (for furnished residential lettings only)</t>
  </si>
  <si>
    <t>FOR24</t>
  </si>
  <si>
    <t>Adjusted profit or loss for the year (box 18 + box 19 + box 20 minus (boxes 21 to 23))</t>
  </si>
  <si>
    <t>FOR24.1</t>
  </si>
  <si>
    <t>Relief for residential finance costs not included in box 17</t>
  </si>
  <si>
    <t>FOR24.2</t>
  </si>
  <si>
    <t>FOR_L&amp;P_A_1</t>
  </si>
  <si>
    <t>HUN</t>
  </si>
  <si>
    <t>PRT</t>
  </si>
  <si>
    <t>FOR25_L&amp;P_B_1</t>
  </si>
  <si>
    <t>FOR28_L&amp;P_C_1</t>
  </si>
  <si>
    <t>FOR29_L&amp;P_D_1</t>
  </si>
  <si>
    <t>FOR_L&amp;P_E_1</t>
  </si>
  <si>
    <t>FOR30_L&amp;P_F_1</t>
  </si>
  <si>
    <t>FOR25_TOT</t>
  </si>
  <si>
    <t>FOR26</t>
  </si>
  <si>
    <t>Total loss brought forward from earlier years</t>
  </si>
  <si>
    <t>FOR27</t>
  </si>
  <si>
    <t>Total taxable profits (if box 25 minus box 26 is a positive amount)</t>
  </si>
  <si>
    <t>FOR28_TOT</t>
  </si>
  <si>
    <t>Total foreign tax</t>
  </si>
  <si>
    <t>FOR29_TOT</t>
  </si>
  <si>
    <t>FOR30_TOT</t>
  </si>
  <si>
    <t>Total taxable amount</t>
  </si>
  <si>
    <t>FOR30.1</t>
  </si>
  <si>
    <t>FOR31</t>
  </si>
  <si>
    <t>Loss set off against total income</t>
  </si>
  <si>
    <t>FOR32</t>
  </si>
  <si>
    <t>Total loss to carry forward to the following year</t>
  </si>
  <si>
    <t>FOR A_1</t>
  </si>
  <si>
    <t xml:space="preserve">LBY </t>
  </si>
  <si>
    <t>LBY</t>
  </si>
  <si>
    <t>FORC_1</t>
  </si>
  <si>
    <t>Foreign tax paid</t>
  </si>
  <si>
    <t>FORE_1</t>
  </si>
  <si>
    <t>To claim Foreign Tax Credit Relief put ‘X’ in the box</t>
  </si>
  <si>
    <t>FORF_1</t>
  </si>
  <si>
    <t>FOR A_2</t>
  </si>
  <si>
    <t>FORC_2</t>
  </si>
  <si>
    <t>FORE_2</t>
  </si>
  <si>
    <t>FORF_2</t>
  </si>
  <si>
    <t>FOR A_3</t>
  </si>
  <si>
    <t>FORC_3</t>
  </si>
  <si>
    <t>FORE_3</t>
  </si>
  <si>
    <t>FORF_3</t>
  </si>
  <si>
    <t>FOR A_4</t>
  </si>
  <si>
    <t>FORC_4</t>
  </si>
  <si>
    <t>FORE_4</t>
  </si>
  <si>
    <t>FORF_4</t>
  </si>
  <si>
    <t>FOR33</t>
  </si>
  <si>
    <t>Amount of chargeable gain under UK rules</t>
  </si>
  <si>
    <t>FOR34</t>
  </si>
  <si>
    <t>Number of days over which UK gain accrued</t>
  </si>
  <si>
    <t>FOR35</t>
  </si>
  <si>
    <t>Amount of chargeable gain under foreign tax rules</t>
  </si>
  <si>
    <t>FOR36</t>
  </si>
  <si>
    <t>Number of days over which foreign gain accrued</t>
  </si>
  <si>
    <t>FOR37</t>
  </si>
  <si>
    <t>FOR38</t>
  </si>
  <si>
    <t>FOR39</t>
  </si>
  <si>
    <t>Total Foreign Tax Credit Relief on gains</t>
  </si>
  <si>
    <t>FOR40</t>
  </si>
  <si>
    <t>Special Withholding Tax</t>
  </si>
  <si>
    <t>FOR41</t>
  </si>
  <si>
    <t>Gains on disposals of holdings in offshore funds (excluding the amounts entered in box 13) and discretionary income from non-resident trusts – enter the amount of the gain or payment</t>
  </si>
  <si>
    <t>FOR42</t>
  </si>
  <si>
    <t>If you have received a benefit from a person abroad, enter the value or payment received – if you are omitting income from this section because you are claiming an exemption, see box 46</t>
  </si>
  <si>
    <t>FOR43</t>
  </si>
  <si>
    <t>Gains on foreign life insurance policies, etc (excluding the amounts entered in box 13) – enter the amount of the gain</t>
  </si>
  <si>
    <t>FOR44</t>
  </si>
  <si>
    <t>Number of years</t>
  </si>
  <si>
    <t>FOR45</t>
  </si>
  <si>
    <t>Tax treated as paid</t>
  </si>
  <si>
    <t>FOR46</t>
  </si>
  <si>
    <t>If you have omitted income from boxes 11, 13 or 58 to 61 and because you are claiming an exemption in relation to a transfer of assets, enter the total amount omitted (and give full details in the ‘Any other information’ box on your tax return)</t>
  </si>
  <si>
    <t>FOR_NSIT_A</t>
  </si>
  <si>
    <t>FOR_NSIT_B</t>
  </si>
  <si>
    <t>FOR_NSIT_C</t>
  </si>
  <si>
    <t>FOR47_NSIT_D</t>
  </si>
  <si>
    <t>FOR_NSIT_E</t>
  </si>
  <si>
    <t>FOR48_NSIT_F</t>
  </si>
  <si>
    <t>FOR47</t>
  </si>
  <si>
    <t>FOR48</t>
  </si>
  <si>
    <t>FOR48.1</t>
  </si>
  <si>
    <t>FOR49</t>
  </si>
  <si>
    <t>FOR49.1</t>
  </si>
  <si>
    <t>FOR_SSIT_A</t>
  </si>
  <si>
    <t>FOR_SSIT_B</t>
  </si>
  <si>
    <t>FOR_SSIT_C</t>
  </si>
  <si>
    <t>FOR50_SSIT_D</t>
  </si>
  <si>
    <t>FOR_SSIT_E</t>
  </si>
  <si>
    <t>FOR51_SSIT_F</t>
  </si>
  <si>
    <t>FOR50</t>
  </si>
  <si>
    <t>FOR51</t>
  </si>
  <si>
    <t>FOR51.1</t>
  </si>
  <si>
    <t>FOR_DSIT_A</t>
  </si>
  <si>
    <t>FOR_DSIT_B</t>
  </si>
  <si>
    <t>FOR_DSIT_C</t>
  </si>
  <si>
    <t>FOR52_DSIT_D</t>
  </si>
  <si>
    <t>FOR_DSIT_E</t>
  </si>
  <si>
    <t>FOR53_DSIT_F</t>
  </si>
  <si>
    <t>FOR52</t>
  </si>
  <si>
    <t>FOR53</t>
  </si>
  <si>
    <t>FOR53.1</t>
  </si>
  <si>
    <t>FOR54</t>
  </si>
  <si>
    <t>Discretionary income arising from non-settlor-interested non UK resident trusts</t>
  </si>
  <si>
    <t>FOR54.1</t>
  </si>
  <si>
    <t>FOR55</t>
  </si>
  <si>
    <t xml:space="preserve">Capital sums paid to settlor by trustees of non resident settlements </t>
  </si>
  <si>
    <t>FOR55.1</t>
  </si>
  <si>
    <t>FOR56</t>
  </si>
  <si>
    <t xml:space="preserve">Gains on disposal of holdings in offshore fund (excluding amounts in box 13) </t>
  </si>
  <si>
    <t>FOR56.1</t>
  </si>
  <si>
    <t>FOR57</t>
  </si>
  <si>
    <t>Non trade income (excluding the amounts in box 13)</t>
  </si>
  <si>
    <t>FOR57.1</t>
  </si>
  <si>
    <t>FOR58</t>
  </si>
  <si>
    <t xml:space="preserve"> Benefits received by non-tranferors</t>
  </si>
  <si>
    <t>FOR58.1</t>
  </si>
  <si>
    <t>FOR59</t>
  </si>
  <si>
    <t>Benefits received by transferor</t>
  </si>
  <si>
    <t>FOR59.1</t>
  </si>
  <si>
    <t>FOR60</t>
  </si>
  <si>
    <t>Benefits chargeable on you under the Close family</t>
  </si>
  <si>
    <t>FOR60.1</t>
  </si>
  <si>
    <t>FOR61</t>
  </si>
  <si>
    <t>Benefits chargeable on you under the Onward Gifts Rules</t>
  </si>
  <si>
    <t>FOR61.1</t>
  </si>
  <si>
    <t>FOR62</t>
  </si>
  <si>
    <t>Benefits received by settlor in the year</t>
  </si>
  <si>
    <t>FOR62.1</t>
  </si>
  <si>
    <t>FOR63</t>
  </si>
  <si>
    <t>Benefits received by close family member</t>
  </si>
  <si>
    <t>FOR63.1</t>
  </si>
  <si>
    <t>FOR64</t>
  </si>
  <si>
    <t>FOR64.1</t>
  </si>
  <si>
    <t>FTCR claim</t>
  </si>
  <si>
    <t>Item 1 type</t>
  </si>
  <si>
    <t>Item 1 % max</t>
  </si>
  <si>
    <t>Item 1 Country</t>
  </si>
  <si>
    <t>Item 1 Income</t>
  </si>
  <si>
    <t>Item 1 tax</t>
  </si>
  <si>
    <t>Item 2 type</t>
  </si>
  <si>
    <t>Item 2 % max</t>
  </si>
  <si>
    <t>Item 2 Country</t>
  </si>
  <si>
    <t>Item 2 Income</t>
  </si>
  <si>
    <t>Item 2 tax</t>
  </si>
  <si>
    <t>Item 3 type</t>
  </si>
  <si>
    <t>Item 3 % max</t>
  </si>
  <si>
    <t>Item 3 Country</t>
  </si>
  <si>
    <t>Item 3 Income</t>
  </si>
  <si>
    <t>Item 3 tax</t>
  </si>
  <si>
    <t>Item 4 type</t>
  </si>
  <si>
    <t>Item 4 % max</t>
  </si>
  <si>
    <t>Item 4 Country</t>
  </si>
  <si>
    <t>Item 4 Income</t>
  </si>
  <si>
    <t>Item 4 tax</t>
  </si>
  <si>
    <t>Item 5 type</t>
  </si>
  <si>
    <t>Item 5 % max</t>
  </si>
  <si>
    <t>Item 5 Country</t>
  </si>
  <si>
    <t>Item 5 Income</t>
  </si>
  <si>
    <t>Item 5 tax</t>
  </si>
  <si>
    <t>Item 6 type</t>
  </si>
  <si>
    <t>Item 6 % max</t>
  </si>
  <si>
    <t>Item 6 Country</t>
  </si>
  <si>
    <t>NLD</t>
  </si>
  <si>
    <t>Item 6 Income</t>
  </si>
  <si>
    <t>Item 6 tax</t>
  </si>
  <si>
    <t>Item 7 type</t>
  </si>
  <si>
    <t>Item 7 % max</t>
  </si>
  <si>
    <t>Item 7 Country</t>
  </si>
  <si>
    <t>Item 7 Income</t>
  </si>
  <si>
    <t>Item 7 tax</t>
  </si>
  <si>
    <t>Item 8 type</t>
  </si>
  <si>
    <t>Item 8 % max</t>
  </si>
  <si>
    <t>Item 8 Country</t>
  </si>
  <si>
    <t>Item 8 Income</t>
  </si>
  <si>
    <t>Item 8 tax</t>
  </si>
  <si>
    <t>Item 9 type</t>
  </si>
  <si>
    <t>Item 9 % max</t>
  </si>
  <si>
    <t>Item 9 Country</t>
  </si>
  <si>
    <t>Item 9 Income</t>
  </si>
  <si>
    <t>Item 9 tax</t>
  </si>
  <si>
    <t>Item 10 type</t>
  </si>
  <si>
    <t>Item 10 % max</t>
  </si>
  <si>
    <t>Item 10 Country</t>
  </si>
  <si>
    <t>Item 10 Income</t>
  </si>
  <si>
    <t>Item 10 tax</t>
  </si>
  <si>
    <t>TRU1</t>
  </si>
  <si>
    <t>Discretionary income payment from a trust. Net amount</t>
  </si>
  <si>
    <t>TRU2</t>
  </si>
  <si>
    <t>Total payments in tax year from settlor interested trusts</t>
  </si>
  <si>
    <t>TRU3</t>
  </si>
  <si>
    <t>Non-discretionary income taxed at basic rate. Net Amount</t>
  </si>
  <si>
    <t>TRU4</t>
  </si>
  <si>
    <t>Non-discretionary income taxed at lower rate. Net amount</t>
  </si>
  <si>
    <t>TRU5</t>
  </si>
  <si>
    <t>Non-discretionary income taxed at non-payable dividend rate. Net amount</t>
  </si>
  <si>
    <t>TRU6</t>
  </si>
  <si>
    <t>Tick box - trust or settlement income with non-resident trustees included elsewhere on the return</t>
  </si>
  <si>
    <t>TRU7</t>
  </si>
  <si>
    <t xml:space="preserve">Income on settlors taxed at basic rate. Net amount </t>
  </si>
  <si>
    <t>TRU8</t>
  </si>
  <si>
    <t>Income on settlors taxed at lower rate. Net amount</t>
  </si>
  <si>
    <t>TRU9</t>
  </si>
  <si>
    <t>Income on settlors taxed at dividend rate. Net amount</t>
  </si>
  <si>
    <t>TRU10</t>
  </si>
  <si>
    <t>Income on settlors taxed at special trust rate. Net amount</t>
  </si>
  <si>
    <t>TRU11</t>
  </si>
  <si>
    <t>savings income on settlor at trust rate</t>
  </si>
  <si>
    <t>TRU12</t>
  </si>
  <si>
    <t>Income on settlors taxed at dividend trust rate. Net amount</t>
  </si>
  <si>
    <t>TRU13</t>
  </si>
  <si>
    <t>Nonsavings income at basic rate</t>
  </si>
  <si>
    <t>TRU14</t>
  </si>
  <si>
    <t>Non savings income paid gross</t>
  </si>
  <si>
    <t>TRU15</t>
  </si>
  <si>
    <t>amount of UK life insurance policy</t>
  </si>
  <si>
    <t>TRU16</t>
  </si>
  <si>
    <t>Income from estates taxed at Basic Rate Tax. Net amount</t>
  </si>
  <si>
    <t>TRU17</t>
  </si>
  <si>
    <t>Income from estates taxed at lower rate. Net amount</t>
  </si>
  <si>
    <t>TRU18</t>
  </si>
  <si>
    <t>Income from estates taxed at dividend rate. Net amount</t>
  </si>
  <si>
    <t>TRU18.1</t>
  </si>
  <si>
    <t>Dividend income taxed at 7.5%</t>
  </si>
  <si>
    <t>TRU19</t>
  </si>
  <si>
    <t xml:space="preserve">Income from estates taxed at  non repayable Basic Rate </t>
  </si>
  <si>
    <t>TRU22</t>
  </si>
  <si>
    <t xml:space="preserve">Income from estates taxed at non repayable lower rate. Net amount </t>
  </si>
  <si>
    <t>TRU22.1</t>
  </si>
  <si>
    <t>TRU23</t>
  </si>
  <si>
    <t>Income from estates taxed at non-payable dividend rate. Net amount</t>
  </si>
  <si>
    <t>TRU24</t>
  </si>
  <si>
    <t>Total foreign tax for which tax credit relief not claimed</t>
  </si>
  <si>
    <t>Residential propery income or restricted finance costs</t>
  </si>
  <si>
    <t>TRU26</t>
  </si>
  <si>
    <t>Additional Information</t>
  </si>
  <si>
    <t>If Present</t>
  </si>
  <si>
    <t>Value validation</t>
  </si>
  <si>
    <t>CGT1</t>
  </si>
  <si>
    <t>Your name</t>
  </si>
  <si>
    <t>CGT2</t>
  </si>
  <si>
    <t>Your Unique Taxpayer Reference (UTR)</t>
  </si>
  <si>
    <t>Max 10 characters</t>
  </si>
  <si>
    <t>CGT3</t>
  </si>
  <si>
    <t>Number of disposals</t>
  </si>
  <si>
    <t>CGT4</t>
  </si>
  <si>
    <t>Disposal proceeds</t>
  </si>
  <si>
    <t>CGT5</t>
  </si>
  <si>
    <t>Allowable costs (including purchase price)</t>
  </si>
  <si>
    <t>CGT6</t>
  </si>
  <si>
    <t>Gains in the year, before losses - do not include any gains subject to non-resident Capital Gains Tax</t>
  </si>
  <si>
    <t>CGT6.1</t>
  </si>
  <si>
    <t>CGT7</t>
  </si>
  <si>
    <t>Losses in the year - do not include any losses incurred on the disposal of a property subject to non-resident Capital Gains tax</t>
  </si>
  <si>
    <t>CGT8</t>
  </si>
  <si>
    <t>If you are making any claim or election, put the relevant code in the box</t>
  </si>
  <si>
    <t>OTH</t>
  </si>
  <si>
    <t>PRR</t>
  </si>
  <si>
    <t>LET</t>
  </si>
  <si>
    <t>Must be in the format AAA</t>
  </si>
  <si>
    <t>SA CGT Relief Code (3 upper case letters)</t>
  </si>
  <si>
    <t>CGT9</t>
  </si>
  <si>
    <t>Gain or loss reported via PDD</t>
  </si>
  <si>
    <t>If CGT3 present then at least one of CGT6, CGT7, or CGT9 must be present</t>
  </si>
  <si>
    <t>CGT10</t>
  </si>
  <si>
    <t>Tax on gains in box 9 already charged</t>
  </si>
  <si>
    <t>CGT11</t>
  </si>
  <si>
    <t>If CGT11 is positive then CGT6 must be present
If CGT11 is positive it must be less than or equal to CGT6
IfCGT11 is negative then VGT7 must be present
If CGT11 is negative then its absolute value must be less than or equal to CGT7</t>
  </si>
  <si>
    <t>CGT12</t>
  </si>
  <si>
    <t>Tax on gains in box 11 already charged</t>
  </si>
  <si>
    <t>CGT13</t>
  </si>
  <si>
    <t>Carried interest (arising basis)</t>
  </si>
  <si>
    <t>CGT13A</t>
  </si>
  <si>
    <t>Carried interest (accruals basis)</t>
  </si>
  <si>
    <t>CGT13B</t>
  </si>
  <si>
    <t xml:space="preserve">Gains on carried interest </t>
  </si>
  <si>
    <t>CGT13C</t>
  </si>
  <si>
    <t>CGT13.1</t>
  </si>
  <si>
    <t>CGT13.2</t>
  </si>
  <si>
    <t>CGT13.3</t>
  </si>
  <si>
    <t>CGT13.4</t>
  </si>
  <si>
    <t>Gains in the year, before losses</t>
  </si>
  <si>
    <t>CGT13.5</t>
  </si>
  <si>
    <t>Losses in the year</t>
  </si>
  <si>
    <t>CGT13.6</t>
  </si>
  <si>
    <t>If you're making a claim or election</t>
  </si>
  <si>
    <t>CGT13.7</t>
  </si>
  <si>
    <t>Total gains or losses reported on RTT returns</t>
  </si>
  <si>
    <t>CGT13.8</t>
  </si>
  <si>
    <t>Tax on gains already paid</t>
  </si>
  <si>
    <t>CGT14</t>
  </si>
  <si>
    <t>CGT15</t>
  </si>
  <si>
    <t>CGT16</t>
  </si>
  <si>
    <t>Positive only</t>
  </si>
  <si>
    <t>CGT17</t>
  </si>
  <si>
    <t>Gains in the year, before losses - do not include attributed gains included in box 18</t>
  </si>
  <si>
    <t>CGT17.0</t>
  </si>
  <si>
    <t>CGT17.1</t>
  </si>
  <si>
    <t>Amount relating to disposals of non-residential land and buildings</t>
  </si>
  <si>
    <t>CGT17.2</t>
  </si>
  <si>
    <t>Amount of box 17 where BADR is claimed (residential property and non-residential land and buildings)</t>
  </si>
  <si>
    <t>CGT17.3</t>
  </si>
  <si>
    <t>Amount of box 17 where BADR is claimed (listed and unlisted shares and securities)</t>
  </si>
  <si>
    <t>CGT17.4</t>
  </si>
  <si>
    <t>Amount of box 17 where BADR is claimed (other assets)</t>
  </si>
  <si>
    <t>CGT18</t>
  </si>
  <si>
    <t>Attributed gains where personal losses cannot be set off</t>
  </si>
  <si>
    <t>CGT19</t>
  </si>
  <si>
    <t>If CGT14 is present then at least one of CGT17 and CGT19 must be present</t>
  </si>
  <si>
    <t>CGT20</t>
  </si>
  <si>
    <t>ERL</t>
  </si>
  <si>
    <t>BAD</t>
  </si>
  <si>
    <t>SIR</t>
  </si>
  <si>
    <t>INV</t>
  </si>
  <si>
    <t>CGT21</t>
  </si>
  <si>
    <t>If CGT21 is positive then CGT17 must be present
If CGT21 is positive it must be less than or equal to CGT17
If CGT21 is negative then CGT19 must be present
If CGT21 is negative then its absolute value must be less than or equal to CGT19</t>
  </si>
  <si>
    <t>CGT22</t>
  </si>
  <si>
    <t>Tax on gains in box 21 already charged</t>
  </si>
  <si>
    <t>CGT23</t>
  </si>
  <si>
    <t>CGT24</t>
  </si>
  <si>
    <t>CGT25</t>
  </si>
  <si>
    <t>CGT26</t>
  </si>
  <si>
    <t>{{419}}CGT23</t>
  </si>
  <si>
    <t>CGT26.1</t>
  </si>
  <si>
    <t>CGT27</t>
  </si>
  <si>
    <t>If CGT23 is present then at least one of CGT26 and CGT27 must be present</t>
  </si>
  <si>
    <t>CGT28</t>
  </si>
  <si>
    <t>NVC</t>
  </si>
  <si>
    <t>CGT29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</si>
  <si>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</si>
  <si>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CGT30</t>
  </si>
  <si>
    <t>Tax on gains in box 29 already charged</t>
  </si>
  <si>
    <t>CGT31</t>
  </si>
  <si>
    <t>CGT32</t>
  </si>
  <si>
    <t>CGT33</t>
  </si>
  <si>
    <t>CGT34</t>
  </si>
  <si>
    <t>If CGT34 is present, CGT31 and CGT32 must be present</t>
  </si>
  <si>
    <t>CGT34.1</t>
  </si>
  <si>
    <t>CGT35</t>
  </si>
  <si>
    <t>If CGT31 is present then at least one of CGT34 and CGT35 must be present</t>
  </si>
  <si>
    <t>CGT36</t>
  </si>
  <si>
    <t>MUL</t>
  </si>
  <si>
    <t>CGT37</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</si>
  <si>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</si>
  <si>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CGT38</t>
  </si>
  <si>
    <t>Tax on gains in box 37 already charged</t>
  </si>
  <si>
    <t>If CGT38 present, CGT37 must be present</t>
  </si>
  <si>
    <t>CGT39</t>
  </si>
  <si>
    <t>Gains exceeding the lifetime limit for Employee Shareholder Status shares</t>
  </si>
  <si>
    <t>CGT40</t>
  </si>
  <si>
    <t>Gains invested under Seed Enterprise Investment Scheme and qualifying for relief</t>
  </si>
  <si>
    <t xml:space="preserve">If CGT40 present, must be less than or equal to £50,000 </t>
  </si>
  <si>
    <t>{{674}} &lt;= [TRAB-SEED-EIS-RELIEF-LIMIT]</t>
  </si>
  <si>
    <t>CGT41</t>
  </si>
  <si>
    <t>If CGT41 presnt, CGT35 must be present</t>
  </si>
  <si>
    <t>CGT42</t>
  </si>
  <si>
    <t>Amount in box 41 relating to share loss relief to which Enterprise Investment Scheme/Seed Enterprise Investment Scheme relief is attributable</t>
  </si>
  <si>
    <t>If CGT42 present, then must be equal to or less than CGT41</t>
  </si>
  <si>
    <t>{{697}} &lt;= CGT41</t>
  </si>
  <si>
    <t>CGT43</t>
  </si>
  <si>
    <t xml:space="preserve">If CGT43 present, then CGT41 + CGT43 must be equal to or less than CGT35   
</t>
  </si>
  <si>
    <t>CGT44</t>
  </si>
  <si>
    <t>Amount in box 45 relating to shares to which Enterprise Investment Scheme/Seed Enterprise Investment Scheme relief is attributable</t>
  </si>
  <si>
    <t>If CGT44 present, then must be equal to or less than CGT43</t>
  </si>
  <si>
    <t>{{698}} &lt;= CGT43</t>
  </si>
  <si>
    <t>CGT45</t>
  </si>
  <si>
    <t>Losses brought forward and used in the year</t>
  </si>
  <si>
    <t>CGT46</t>
  </si>
  <si>
    <t>CGT47</t>
  </si>
  <si>
    <t>Losses available to be carried forward</t>
  </si>
  <si>
    <t xml:space="preserve">If CGT47 present,  must be greater than CGT7, CGT19, CGT27 + (CGT35 - CGT41 + CGT43)
</t>
  </si>
  <si>
    <t>CGT48</t>
  </si>
  <si>
    <t>Losses used against an earlier year’s gain</t>
  </si>
  <si>
    <t>If CGT48 present, must be less than or equal to (CGT7 + absolute value CGT9 (if negative) + CGT19 + CGT27 + (CGT35 - (CGT41 + CGT43) + CGT46)</t>
  </si>
  <si>
    <t>CGT49</t>
  </si>
  <si>
    <t xml:space="preserve">Gains qualifying for Investors’ Relief </t>
  </si>
  <si>
    <t>If CGT49 present, must be less than or equal to £1,000,000</t>
  </si>
  <si>
    <t>{{418}} &lt;= [TRAL-CG-INVESTORS-RELIEF]</t>
  </si>
  <si>
    <t>CGT50</t>
  </si>
  <si>
    <t>Gains qualifying for Entrepreneurs’ Relief - Gains on or after 23 June 2010</t>
  </si>
  <si>
    <t>If CGT50 present, must be less than or equal to £1,000,000</t>
  </si>
  <si>
    <t>{{416}} &lt;= [TRAL-CG-BUS-ASSET-DISP-REL]</t>
  </si>
  <si>
    <t>CGT50.1</t>
  </si>
  <si>
    <t>Lifetime allowance of Business Asset Disposal Relief and Entrepreneurs' Relief claimed</t>
  </si>
  <si>
    <t>CGT51</t>
  </si>
  <si>
    <t>Adjustment to Capital Gains tax</t>
  </si>
  <si>
    <t>CGT52</t>
  </si>
  <si>
    <t>Additional liability for non-resident or dual resident trusts</t>
  </si>
  <si>
    <t>CGT52.1</t>
  </si>
  <si>
    <t>Direct disposals residential - total gain NRCGT chargeable</t>
  </si>
  <si>
    <t>CGT52.2</t>
  </si>
  <si>
    <t>Direct disposals non-residential - total gain NRCGT chargeable</t>
  </si>
  <si>
    <t>CGT52.3</t>
  </si>
  <si>
    <t>Any gains in CGT52.2 indirect disposals?</t>
  </si>
  <si>
    <t>CGT52.4</t>
  </si>
  <si>
    <t>CGT52.5</t>
  </si>
  <si>
    <t>Allowable losses</t>
  </si>
  <si>
    <t>CGT52EG</t>
  </si>
  <si>
    <t>Total gains from the disposal of excluded indexed securities</t>
  </si>
  <si>
    <t>CGT52EG.1</t>
  </si>
  <si>
    <t>CGT52QG</t>
  </si>
  <si>
    <t xml:space="preserve">Total gains from QAHC share repurchases and security redemptions </t>
  </si>
  <si>
    <t>CGT52QG.1</t>
  </si>
  <si>
    <t>CGT52QL</t>
  </si>
  <si>
    <t>CGT53</t>
  </si>
  <si>
    <t>If your computations include any estimates or valuations, put ‘X’ in the box</t>
  </si>
  <si>
    <t>CGT54</t>
  </si>
  <si>
    <t>computation</t>
  </si>
  <si>
    <t>CGT losses to carry forward of -GBP9,685.83</t>
  </si>
  <si>
    <t>NRD1</t>
  </si>
  <si>
    <t>NRD2</t>
  </si>
  <si>
    <t>NRD3</t>
  </si>
  <si>
    <t>Prohibited if NRD1 = Y</t>
  </si>
  <si>
    <t>NRD3.1</t>
  </si>
  <si>
    <t>If more than 1 case of split year treatment applies, put ‘X’ in the box</t>
  </si>
  <si>
    <t>If present NRD3 must be present</t>
  </si>
  <si>
    <t>NRD4</t>
  </si>
  <si>
    <t>NRD5</t>
  </si>
  <si>
    <t>If you have made an entry in box 2 and any of your foreign earnings are for an earlier year, put ‘X’ in the box</t>
  </si>
  <si>
    <t>NRD6</t>
  </si>
  <si>
    <t>If you have an entry in box 3 enter the date from which the UK part of the year begins or ends DD MM YYYY</t>
  </si>
  <si>
    <t>a) must be within the return year
b) must be a valid date DDMMYYYY
c) If either NRD3 or NRD6 present then both must be present</t>
  </si>
  <si>
    <t>NRD7</t>
  </si>
  <si>
    <t>If you meet the third automatic overseas test, put ‘X’ in the box</t>
  </si>
  <si>
    <t>If present NRD1 must be present</t>
  </si>
  <si>
    <t>NRD8</t>
  </si>
  <si>
    <t>If present NRD7 must be present</t>
  </si>
  <si>
    <t>NRD9</t>
  </si>
  <si>
    <t>NRD10</t>
  </si>
  <si>
    <t>Must be present if NRD1= 'Y'</t>
  </si>
  <si>
    <t>NRD11</t>
  </si>
  <si>
    <t>Number of days in box 10 attributed to exceptional circumstances</t>
  </si>
  <si>
    <t>a) If present, must be less than or equal to NRD10
b) If present NRD10 must be present</t>
  </si>
  <si>
    <t>NRD11.1</t>
  </si>
  <si>
    <t>Number of days when you were in the UK at midnight during the return year, but you were in transit.</t>
  </si>
  <si>
    <t>NRD12</t>
  </si>
  <si>
    <t>NRD13</t>
  </si>
  <si>
    <t>NRD14</t>
  </si>
  <si>
    <t>Integer value &gt; 0</t>
  </si>
  <si>
    <t>NRD15</t>
  </si>
  <si>
    <t>If you are entitled to claim personal allowances as a non-resident because of the terms of a Double Taxation Agreement, put ‘X’ in the box</t>
  </si>
  <si>
    <t>NRD16</t>
  </si>
  <si>
    <t>If you are entitled to claim personal allowances as a non-resident on some other basis, or as a dual resident remittance basis user under the terms of certain Double Taxation Agreements (read the notes), put ‘X’ in the box</t>
  </si>
  <si>
    <t>NRD17</t>
  </si>
  <si>
    <t>Enter the code(s) for the country or countries of which you are a national and/or resident – read the notes</t>
  </si>
  <si>
    <t>SWE</t>
  </si>
  <si>
    <t>SAU</t>
  </si>
  <si>
    <t>BHS</t>
  </si>
  <si>
    <t>PHL</t>
  </si>
  <si>
    <t>3 Iterations</t>
  </si>
  <si>
    <t>SA Country Code (3 upper case letters)</t>
  </si>
  <si>
    <t>NRD18</t>
  </si>
  <si>
    <t>2 Iterations</t>
  </si>
  <si>
    <t>NRD19</t>
  </si>
  <si>
    <t xml:space="preserve">2 Iterations. </t>
  </si>
  <si>
    <t>NRD20</t>
  </si>
  <si>
    <t>Amount of Double Taxation Agreement income for which partial relief is being claimed</t>
  </si>
  <si>
    <t>NRD21</t>
  </si>
  <si>
    <t>Relief under Double Taxation Agreements between the UK and other countries</t>
  </si>
  <si>
    <t>NRD22</t>
  </si>
  <si>
    <t>Relief claimed because of other provisions of the relevant Double Taxation Agreements</t>
  </si>
  <si>
    <t>NRD23</t>
  </si>
  <si>
    <t>What was your date of arrival</t>
  </si>
  <si>
    <t>NRD23.1</t>
  </si>
  <si>
    <t>If you were deemed UK domicle under Condition A, put 'X' in the box</t>
  </si>
  <si>
    <t>NRD23.2</t>
  </si>
  <si>
    <t>If you were deemed UK domicle under Condition B, put 'X' in the box</t>
  </si>
  <si>
    <t>NRD23.3</t>
  </si>
  <si>
    <t>Enter the number of years you’ve been resident in the UK in the previous 20 years</t>
  </si>
  <si>
    <t>NRD24</t>
  </si>
  <si>
    <t>If you were UK resident in a tax year prior to your 
most recent arrival enter the year</t>
  </si>
  <si>
    <t>If 'Y' NRD23 must be 'Y'</t>
  </si>
  <si>
    <t>NRD25</t>
  </si>
  <si>
    <t>If you have put ‘X’ in box 23 and have a domicile of origin within the UK, enter the date on which your domicile changed DD MM YYYY</t>
  </si>
  <si>
    <t>If present NRD23 must be 'Y'</t>
  </si>
  <si>
    <t>NRD26</t>
  </si>
  <si>
    <t>If you were born in the UK but have never been domiciled here, put ‘X’ in the box</t>
  </si>
  <si>
    <t>a) If present NRD23 must be present 
b) If present NRD25 must be absent</t>
  </si>
  <si>
    <t>NRD27</t>
  </si>
  <si>
    <t>If you have put ‘X’ in box 23 and you were born outside the UK, enter the date that you first came to live in the UK</t>
  </si>
  <si>
    <t>a) If present NRD23 must be present 
b) If present NRD26 must be absent</t>
  </si>
  <si>
    <t>NRD28</t>
  </si>
  <si>
    <t xml:space="preserve">If you are making a claim for relief in foreign income 
under the FIG regime, put 'X' in the box </t>
  </si>
  <si>
    <t>If NRD28 present then NRD23.1 and NRD23.2 must NOT be present
If present, NRD23 must be present</t>
  </si>
  <si>
    <t>NRD29</t>
  </si>
  <si>
    <t>If you are making a claim for relief on foreign gains 
under the FIG regime, put 'X' in the box</t>
  </si>
  <si>
    <t>If NRD28 present then NRD23.1 and NRD23.2 must NOT be present unless NRD29 is also present
If present, NRD23 must be present</t>
  </si>
  <si>
    <t>NRD30</t>
  </si>
  <si>
    <t>f you have UK income or gains deemed to be foreign 
under qualifying asset holding company rules, 
put ‘X’ in the box</t>
  </si>
  <si>
    <t>If NRD30 present then NRD28 and NRD29 must NOT be present
If NRD30 present then NRD23.1 or NRD23.2 must be present</t>
  </si>
  <si>
    <t>NRD31</t>
  </si>
  <si>
    <t>If NRD31 = 'Y' then NRD28 = 'Y' and/or NRD29 = 'Y' 
If NRD31 present then NRD32 must NOT be present</t>
  </si>
  <si>
    <t>NRD32</t>
  </si>
  <si>
    <t>If NRD32 = 'Y' then NRD28 = 'Y' and/or NRD29 = 'Y' 
If NRD32 present then NRD31 must NOT be present</t>
  </si>
  <si>
    <t>NRD33</t>
  </si>
  <si>
    <t>NRD34</t>
  </si>
  <si>
    <t>Amount of income you are nominating</t>
  </si>
  <si>
    <t>NRD35</t>
  </si>
  <si>
    <t>Amount of capital gains you are nominating</t>
  </si>
  <si>
    <t>If NRD28 = 'Y' and (NRD30 = 'Y' or NRD31 = 'Y' or NRD32 = 'Y') and NRD29 = 'N' and NRD33 = 'N' then
NRD34 + NRD35 must be greater than zero.</t>
  </si>
  <si>
    <t>NRD36</t>
  </si>
  <si>
    <t>Adjustment to payments on account for capital gains</t>
  </si>
  <si>
    <t>a) If present NRD35 must be present 
b) If NRD36 present, must be less than or equal to £30,000 if NRD32 = Y
c) If NRD36 present, must be less than or equal to £60,000 if NRD31 = Y</t>
  </si>
  <si>
    <t>NRD37</t>
  </si>
  <si>
    <t>NRD38</t>
  </si>
  <si>
    <t>If you are claiming relief from UK tax for foreign income or gains invested in a qualifying business, enter the total amount invested and the Company Registration Number(s) below</t>
  </si>
  <si>
    <t>NRD39</t>
  </si>
  <si>
    <t>If you have previously claimed relief for a qualifying investment and the investment no longer qualifies for relief, put ‘X’ in the box</t>
  </si>
  <si>
    <t>NRD40</t>
  </si>
  <si>
    <t xml:space="preserve"> If you are making an election for Overseas Workday 
Relief, put 'X' in the box</t>
  </si>
  <si>
    <t>NRD41</t>
  </si>
  <si>
    <t>If you are making a claim for Overseas Workday
Relief, put 'X' in the box</t>
  </si>
  <si>
    <t>NRD43</t>
  </si>
  <si>
    <t xml:space="preserve">If you qualify for the OWR transitional provisions in 
any year for which you are making a claim, put 'X' in
the box </t>
  </si>
  <si>
    <t>NRD44</t>
  </si>
  <si>
    <t>Qualifying employment income after 
deductions</t>
  </si>
  <si>
    <t>NRD46</t>
  </si>
  <si>
    <t>Qualifying foreign employment income after deductions</t>
  </si>
  <si>
    <t>NRD47</t>
  </si>
  <si>
    <t>Maximum relief available under the financial limit</t>
  </si>
  <si>
    <t>NRD48</t>
  </si>
  <si>
    <t xml:space="preserve">OWR claimed on the qualifying employment income </t>
  </si>
  <si>
    <t>NRD49</t>
  </si>
  <si>
    <t>If you are making one or more claims for OWR, put 
the total amount of relief claimed for this tax year</t>
  </si>
  <si>
    <t>NRD50</t>
  </si>
  <si>
    <t>If you are making an election under the Temporary
Repatriation Facility (TRF), put 'X' in the box</t>
  </si>
  <si>
    <t>NRD51</t>
  </si>
  <si>
    <t>Amount that relates to Personal TRF Designations</t>
  </si>
  <si>
    <t>NRD52</t>
  </si>
  <si>
    <t>Amount that relates to Personal TRF designations remitted in this tax year</t>
  </si>
  <si>
    <t>NRD53</t>
  </si>
  <si>
    <t>Amount that relates to capital payments and benefits received from Trusts</t>
  </si>
  <si>
    <t>NRD54</t>
  </si>
  <si>
    <t>CAL1</t>
  </si>
  <si>
    <t>Total tax due for Return year</t>
  </si>
  <si>
    <t>CAL2</t>
  </si>
  <si>
    <t>Total tax overpaid for Return year</t>
  </si>
  <si>
    <t>a)If CAL1 greater than zero then CAL2 must be zero or absent
b) If CAL2 greater than zero then CAL1 must be zero or absent.
CAL1 and CAL2 can be zero.</t>
  </si>
  <si>
    <t>CAL3</t>
  </si>
  <si>
    <t>Student loan repayment due (U)</t>
  </si>
  <si>
    <t>CAL3.1</t>
  </si>
  <si>
    <t>Student loan repayment due (P)</t>
  </si>
  <si>
    <t>CAL4</t>
  </si>
  <si>
    <t>Class 4 NIC Due</t>
  </si>
  <si>
    <t>CAL4.1</t>
  </si>
  <si>
    <t>Class 2 NICs due</t>
  </si>
  <si>
    <t>If present, must be less than or equal to £182.85 (see note)</t>
  </si>
  <si>
    <t>CAL5</t>
  </si>
  <si>
    <t>Capital Gains tax due</t>
  </si>
  <si>
    <t>CAL6</t>
  </si>
  <si>
    <t>Pension charges due(enter amount from SA125 Working Sheet</t>
  </si>
  <si>
    <t>CAL7</t>
  </si>
  <si>
    <t>Unpaid tax for earlier years included in PAYE code for the Return year</t>
  </si>
  <si>
    <t>CAL8</t>
  </si>
  <si>
    <t>Tax due for the Return year included in PAYE code for later year</t>
  </si>
  <si>
    <t>If present, must be less than or equal to 9999</t>
  </si>
  <si>
    <t>CAL9</t>
  </si>
  <si>
    <t>Outstanding debt included in your tax code for the year</t>
  </si>
  <si>
    <t>CAL10</t>
  </si>
  <si>
    <t>Claim to reduce your payments on account</t>
  </si>
  <si>
    <t>CAL11</t>
  </si>
  <si>
    <t>Your first payment on account</t>
  </si>
  <si>
    <t>If CAL10 is present CAL11 must be present 
Entry may be zero.</t>
  </si>
  <si>
    <t>CAL12</t>
  </si>
  <si>
    <t>Blind person’s surplus allowance</t>
  </si>
  <si>
    <t>If present, must be less than or equal to £2,290 for the year.</t>
  </si>
  <si>
    <t>CAL13</t>
  </si>
  <si>
    <t>Married couple’s surplus allowance</t>
  </si>
  <si>
    <t>If present, must be less than or equal to £8,355 for the year.</t>
  </si>
  <si>
    <t>CAL14</t>
  </si>
  <si>
    <t>Tax due calculated by reference to earlier years</t>
  </si>
  <si>
    <t>CAL15</t>
  </si>
  <si>
    <t>Reduction in tax due calculated by reference to earlier years.</t>
  </si>
  <si>
    <t>CAL16</t>
  </si>
  <si>
    <t>Overpaid tax for following year</t>
  </si>
  <si>
    <t>CAL17</t>
  </si>
  <si>
    <t>Class 4 Excepted</t>
  </si>
  <si>
    <t>Class 2 Amount</t>
  </si>
  <si>
    <t>NIC2 Voluntary</t>
  </si>
  <si>
    <t>NIC4Ex</t>
  </si>
  <si>
    <t>NIC4 Exempt</t>
  </si>
  <si>
    <t>Best displayed in 1024 x 768 mode</t>
  </si>
  <si>
    <t>Taxpayer name and address</t>
  </si>
  <si>
    <t>Unique Taxpayer Reference (UTR)</t>
  </si>
  <si>
    <r>
      <t xml:space="preserve">Date of issue: </t>
    </r>
    <r>
      <rPr>
        <sz val="9"/>
        <color indexed="21"/>
        <rFont val="Arial"/>
        <family val="2"/>
      </rPr>
      <t>dd/mm/yy format</t>
    </r>
  </si>
  <si>
    <t>Additional Information:</t>
  </si>
  <si>
    <t>tick</t>
  </si>
  <si>
    <t>Additional Pages:</t>
  </si>
  <si>
    <t>(Gilt Edge Securities, Life Insurance Gains)</t>
  </si>
  <si>
    <t>Show/Hide calculations worksheets</t>
  </si>
  <si>
    <t xml:space="preserve">The Tax Calculation Guide style </t>
  </si>
  <si>
    <t>In-Year calculation</t>
  </si>
  <si>
    <t xml:space="preserve">Self Assessment: Tax Calculation </t>
  </si>
  <si>
    <t xml:space="preserve">Date </t>
  </si>
  <si>
    <t>Income received (before tax taken off)</t>
  </si>
  <si>
    <t>Pay from all employments</t>
  </si>
  <si>
    <t>minus</t>
  </si>
  <si>
    <t>Allowable expenses</t>
  </si>
  <si>
    <t>Total from all employments</t>
  </si>
  <si>
    <t>Interest from UK banks, building societies and securities etc.</t>
  </si>
  <si>
    <t>Total income received</t>
  </si>
  <si>
    <t>Total income on which tax is due</t>
  </si>
  <si>
    <t>How I have worked out your Income Tax</t>
  </si>
  <si>
    <t xml:space="preserve"> This reduces the amount of income charged to higher rates of tax.</t>
  </si>
  <si>
    <t>Pay, pensions, profit etc. (Welsh income tax rate)</t>
  </si>
  <si>
    <t>Basic rate</t>
  </si>
  <si>
    <t>x 20% =</t>
  </si>
  <si>
    <t>Savings interest from banks or building societies, securities etc.</t>
  </si>
  <si>
    <t>Starting rate</t>
  </si>
  <si>
    <t>x 0% =</t>
  </si>
  <si>
    <t>Basic rate band at nil rate</t>
  </si>
  <si>
    <t>Higher rate band at nil rate</t>
  </si>
  <si>
    <t>Total income on which tax has been charged</t>
  </si>
  <si>
    <t>Income Tax charged after allowances and reliefs</t>
  </si>
  <si>
    <t>Income Tax due after tax reductions</t>
  </si>
  <si>
    <t>Tax deducted</t>
  </si>
  <si>
    <t>From all employments, UK pensions and state benefits</t>
  </si>
  <si>
    <t>Total tax deducted</t>
  </si>
  <si>
    <t>Income Tax overpaid</t>
  </si>
  <si>
    <t>Total tax, Student Loan repayment &amp; class 4 NIC due</t>
  </si>
  <si>
    <t>Class 4 NICs due</t>
  </si>
  <si>
    <t>Total tax, Student Loan repayment &amp; class 4 NIC overpaid</t>
  </si>
  <si>
    <t>Student Loan repayment due</t>
  </si>
  <si>
    <t>Capital Gains Tax due</t>
  </si>
  <si>
    <t>Postgraduate loan repayment due</t>
  </si>
  <si>
    <t>Pension charges due</t>
  </si>
  <si>
    <t>Create Return Charge field entries</t>
  </si>
  <si>
    <t>2025-26</t>
  </si>
  <si>
    <t>c96.1</t>
  </si>
  <si>
    <t>Income Tax due after reliefs</t>
  </si>
  <si>
    <t>c96.2</t>
  </si>
  <si>
    <t>Recoverable tax on charges</t>
  </si>
  <si>
    <t xml:space="preserve">Not Used </t>
  </si>
  <si>
    <t>c96.3</t>
  </si>
  <si>
    <t>Capital Gains Tax</t>
  </si>
  <si>
    <t>c96.4</t>
  </si>
  <si>
    <t>Class 4 National Insurance</t>
  </si>
  <si>
    <t>c12.2</t>
  </si>
  <si>
    <t>c96.5</t>
  </si>
  <si>
    <t>Class 2 National Insurance</t>
  </si>
  <si>
    <t>c12.3</t>
  </si>
  <si>
    <t>c96.6</t>
  </si>
  <si>
    <t>Student Loan Repayment</t>
  </si>
  <si>
    <t>c12.7</t>
  </si>
  <si>
    <t>c96.6a</t>
  </si>
  <si>
    <t>Postgraduate Loan Repayment</t>
  </si>
  <si>
    <t>c12.7b</t>
  </si>
  <si>
    <t>c96.7</t>
  </si>
  <si>
    <t>Unpaid tax for earlier years in PAYE</t>
  </si>
  <si>
    <t>c96.8</t>
  </si>
  <si>
    <t>Tax deducted at source</t>
  </si>
  <si>
    <t>c12.13</t>
  </si>
  <si>
    <t>c96.9</t>
  </si>
  <si>
    <t>Tax due included in later PAYE code</t>
  </si>
  <si>
    <t>c96.10</t>
  </si>
  <si>
    <t>Capital Gains Tax reducing tax and NICs</t>
  </si>
  <si>
    <t>c12.17b</t>
  </si>
  <si>
    <t>c96.11</t>
  </si>
  <si>
    <t>Underpayments for earlier years</t>
  </si>
  <si>
    <t>c96.12</t>
  </si>
  <si>
    <t>Notional tax</t>
  </si>
  <si>
    <t>c10.3.2 + c10.7 + c10.20</t>
  </si>
  <si>
    <t>c96.13</t>
  </si>
  <si>
    <t>Tax already refunded</t>
  </si>
  <si>
    <t>c96.14</t>
  </si>
  <si>
    <t>Later year tax reclaimed now</t>
  </si>
  <si>
    <t>Not Used</t>
  </si>
  <si>
    <t>c96.15</t>
  </si>
  <si>
    <t>CODA Partnership Tax Due</t>
  </si>
  <si>
    <t>c96.16</t>
  </si>
  <si>
    <t>CODA Partnership NIC Due</t>
  </si>
  <si>
    <t>c96.17</t>
  </si>
  <si>
    <t>Amount collected against small debt</t>
  </si>
  <si>
    <t>c11.7</t>
  </si>
  <si>
    <t>Voluntary Class 2 NICs via SA</t>
  </si>
  <si>
    <t>No Collection of Class 2 NICs via SA</t>
  </si>
  <si>
    <t>Between SPT/LPT</t>
  </si>
  <si>
    <t>Current Class 2 NICs Charge held on NPS</t>
  </si>
  <si>
    <t>Pension savings charge</t>
  </si>
  <si>
    <t>Interface to S/L Diary</t>
  </si>
  <si>
    <t>c97.1</t>
  </si>
  <si>
    <t xml:space="preserve">Student loan PAYE income </t>
  </si>
  <si>
    <t>c27.5 + c27.9</t>
  </si>
  <si>
    <t>c97.2</t>
  </si>
  <si>
    <t xml:space="preserve">Student loan Total income </t>
  </si>
  <si>
    <t>c27.40</t>
  </si>
  <si>
    <t>c97.3</t>
  </si>
  <si>
    <t xml:space="preserve">Student loan gross repayment </t>
  </si>
  <si>
    <t>c27.42</t>
  </si>
  <si>
    <t>c97.4</t>
  </si>
  <si>
    <t xml:space="preserve">Student loan PAYE repayment </t>
  </si>
  <si>
    <t>c27.43</t>
  </si>
  <si>
    <t>c97.5</t>
  </si>
  <si>
    <t xml:space="preserve">Student loan SA income </t>
  </si>
  <si>
    <t>c27.29 minus (c27.5 + c27.9)</t>
  </si>
  <si>
    <t>c97.6</t>
  </si>
  <si>
    <t xml:space="preserve">Student Loan Repayment </t>
  </si>
  <si>
    <t>c27.44</t>
  </si>
  <si>
    <t>c97.6a</t>
  </si>
  <si>
    <t>Postgraduate loan PAYE income</t>
  </si>
  <si>
    <t>Not used</t>
  </si>
  <si>
    <t>c97.6b</t>
  </si>
  <si>
    <t xml:space="preserve">Postgraduate loan Total income </t>
  </si>
  <si>
    <t>c97.6c</t>
  </si>
  <si>
    <t xml:space="preserve">Postgraduate loan gross repayment </t>
  </si>
  <si>
    <t>c27.43b</t>
  </si>
  <si>
    <t>c97.6d</t>
  </si>
  <si>
    <t xml:space="preserve">Postgraduate loan PAYE repayment </t>
  </si>
  <si>
    <t>c27.43c</t>
  </si>
  <si>
    <t>c97.6e</t>
  </si>
  <si>
    <t xml:space="preserve">Postgraduate loan SA income </t>
  </si>
  <si>
    <t>c97.6f</t>
  </si>
  <si>
    <t xml:space="preserve">Postgraduate Loan Repayment </t>
  </si>
  <si>
    <t>c27.45</t>
  </si>
  <si>
    <t>How the Swiss tax credit is calculated</t>
  </si>
  <si>
    <t>Taxed</t>
  </si>
  <si>
    <t>@ 10% =</t>
  </si>
  <si>
    <t>@ 20% =</t>
  </si>
  <si>
    <t>@ 40% =</t>
  </si>
  <si>
    <t>@ 50% =</t>
  </si>
  <si>
    <t>@ 7.5% =</t>
  </si>
  <si>
    <t>@ 32.5% =</t>
  </si>
  <si>
    <t>@ 38.1% =</t>
  </si>
  <si>
    <t>minus 10% UK tax credit</t>
  </si>
  <si>
    <t>@ 38.5% =</t>
  </si>
  <si>
    <t>Total tax credit on dividends</t>
  </si>
  <si>
    <t>Total tax credit on interest</t>
  </si>
  <si>
    <t>Total Swiss Tax credit</t>
  </si>
  <si>
    <t>(Shows as foreign tax credit relief)</t>
  </si>
  <si>
    <t>Line</t>
  </si>
  <si>
    <t>Data name</t>
  </si>
  <si>
    <t xml:space="preserve">MTR Calculation </t>
  </si>
  <si>
    <t>Value</t>
  </si>
  <si>
    <t>L3</t>
  </si>
  <si>
    <t>Pay-E</t>
  </si>
  <si>
    <t>c1.4</t>
  </si>
  <si>
    <t>L64</t>
  </si>
  <si>
    <t>MCA-amount</t>
  </si>
  <si>
    <t>c9.16</t>
  </si>
  <si>
    <t>L4</t>
  </si>
  <si>
    <t>Benefits-E</t>
  </si>
  <si>
    <t>c1.5</t>
  </si>
  <si>
    <t>MCA-relief</t>
  </si>
  <si>
    <t>c9.16 x 10%</t>
  </si>
  <si>
    <t>Exps-E</t>
  </si>
  <si>
    <t>c1.8</t>
  </si>
  <si>
    <t>L65</t>
  </si>
  <si>
    <t>spare-MCA-amount</t>
  </si>
  <si>
    <t>c9.17</t>
  </si>
  <si>
    <t>income-E</t>
  </si>
  <si>
    <t>c1.9</t>
  </si>
  <si>
    <t>spare-MCA-relief</t>
  </si>
  <si>
    <t>c9.17 x 10%</t>
  </si>
  <si>
    <t>income-Shares</t>
  </si>
  <si>
    <t>c1.10</t>
  </si>
  <si>
    <t>L66</t>
  </si>
  <si>
    <t>AllceIn-TPA</t>
  </si>
  <si>
    <t>c9.20</t>
  </si>
  <si>
    <t>income-D</t>
  </si>
  <si>
    <t>c1.17 + c1.20</t>
  </si>
  <si>
    <t>AllceIn-TPA-relief</t>
  </si>
  <si>
    <t>c9.21</t>
  </si>
  <si>
    <t>L9</t>
  </si>
  <si>
    <t>income-D-(PTR)</t>
  </si>
  <si>
    <t>c1.27</t>
  </si>
  <si>
    <t>L67</t>
  </si>
  <si>
    <t>Llir-amount</t>
  </si>
  <si>
    <t>c24.15a</t>
  </si>
  <si>
    <t>L9a</t>
  </si>
  <si>
    <t>income-S-(PTR)</t>
  </si>
  <si>
    <t>c2.3</t>
  </si>
  <si>
    <t>Llir-amount-restricted</t>
  </si>
  <si>
    <t>c9.22</t>
  </si>
  <si>
    <t>L9b</t>
  </si>
  <si>
    <t>income-DV-(PTR)</t>
  </si>
  <si>
    <t>c3.1</t>
  </si>
  <si>
    <t>Llir-relief</t>
  </si>
  <si>
    <t>c9.23</t>
  </si>
  <si>
    <t>L10</t>
  </si>
  <si>
    <t>income-IFP</t>
  </si>
  <si>
    <t>c1.33</t>
  </si>
  <si>
    <t>L67a</t>
  </si>
  <si>
    <t>LFI-amount</t>
  </si>
  <si>
    <t>c9.23a</t>
  </si>
  <si>
    <t>income-Foreign</t>
  </si>
  <si>
    <t>c1.35 + c1.40 + c1.44</t>
  </si>
  <si>
    <t>LFI-relief</t>
  </si>
  <si>
    <t>c9.23b</t>
  </si>
  <si>
    <t>L11A</t>
  </si>
  <si>
    <t>Foreign-dividends</t>
  </si>
  <si>
    <t>c3.5</t>
  </si>
  <si>
    <t>L68</t>
  </si>
  <si>
    <t>rel-tax-acct-for</t>
  </si>
  <si>
    <t>c9.28</t>
  </si>
  <si>
    <t>L11B</t>
  </si>
  <si>
    <t>Foreign-savings</t>
  </si>
  <si>
    <t>c2.9</t>
  </si>
  <si>
    <t>L69</t>
  </si>
  <si>
    <t>BRD-reduction</t>
  </si>
  <si>
    <t>c9.30c</t>
  </si>
  <si>
    <t>L11c</t>
  </si>
  <si>
    <t>Foreign-CEG-dedn</t>
  </si>
  <si>
    <t>c3.16</t>
  </si>
  <si>
    <t>L70</t>
  </si>
  <si>
    <t>Tax-credits-on-FOR-divs</t>
  </si>
  <si>
    <t>set to zero</t>
  </si>
  <si>
    <t>income-Trust</t>
  </si>
  <si>
    <t>c1.51 + c2.13 + c3.9 + c3.19 + c3.20</t>
  </si>
  <si>
    <t>L72</t>
  </si>
  <si>
    <t>c9.41</t>
  </si>
  <si>
    <t>L13</t>
  </si>
  <si>
    <t>income-Case3</t>
  </si>
  <si>
    <t>c2.17</t>
  </si>
  <si>
    <t>FTCR-restricted</t>
  </si>
  <si>
    <t>c9.41c</t>
  </si>
  <si>
    <t>L14</t>
  </si>
  <si>
    <t>income-F</t>
  </si>
  <si>
    <t>c3.14</t>
  </si>
  <si>
    <t>L73</t>
  </si>
  <si>
    <t>pens-tax-rel-due</t>
  </si>
  <si>
    <t>c25.57</t>
  </si>
  <si>
    <t>L15</t>
  </si>
  <si>
    <t>income-Pensions</t>
  </si>
  <si>
    <t>c1.52</t>
  </si>
  <si>
    <t>L74</t>
  </si>
  <si>
    <t>relief-on-qual-distn</t>
  </si>
  <si>
    <t>c9.29</t>
  </si>
  <si>
    <t>income-CEG</t>
  </si>
  <si>
    <t>c2.18</t>
  </si>
  <si>
    <t>L76</t>
  </si>
  <si>
    <t>IT-after-allces</t>
  </si>
  <si>
    <t>c9.42</t>
  </si>
  <si>
    <t>L16a</t>
  </si>
  <si>
    <t>income-CEG-dedn</t>
  </si>
  <si>
    <t>c3.17</t>
  </si>
  <si>
    <t>L78</t>
  </si>
  <si>
    <t>Gift-aid-amount</t>
  </si>
  <si>
    <t>c9.33</t>
  </si>
  <si>
    <t>income-Other</t>
  </si>
  <si>
    <t>c1.56</t>
  </si>
  <si>
    <t>Gift-aid-tax-due</t>
  </si>
  <si>
    <t>c9.34</t>
  </si>
  <si>
    <t>L17a</t>
  </si>
  <si>
    <t>income-Termination</t>
  </si>
  <si>
    <t>c1.58</t>
  </si>
  <si>
    <t>L79</t>
  </si>
  <si>
    <t>CGTax</t>
  </si>
  <si>
    <t>c9.35</t>
  </si>
  <si>
    <t>L18</t>
  </si>
  <si>
    <t>income-Total</t>
  </si>
  <si>
    <t>c3.21</t>
  </si>
  <si>
    <t>total-CG-due</t>
  </si>
  <si>
    <t>dedn-RAR</t>
  </si>
  <si>
    <t>c4.48</t>
  </si>
  <si>
    <t>L79A</t>
  </si>
  <si>
    <t>non-dom-charge-amount</t>
  </si>
  <si>
    <t>not used</t>
  </si>
  <si>
    <t>dedn-Trust</t>
  </si>
  <si>
    <t>c4.54</t>
  </si>
  <si>
    <t>L79B</t>
  </si>
  <si>
    <t>income-tax-gift-aid</t>
  </si>
  <si>
    <t>c9.38</t>
  </si>
  <si>
    <t>ded-Loss</t>
  </si>
  <si>
    <t>c4.39</t>
  </si>
  <si>
    <t>L80</t>
  </si>
  <si>
    <t>Gift-aid-tax-reduced</t>
  </si>
  <si>
    <t>c9.39</t>
  </si>
  <si>
    <t>ded-loss-restricted</t>
  </si>
  <si>
    <t>c4.47</t>
  </si>
  <si>
    <t>L80a</t>
  </si>
  <si>
    <t>BRD-charge</t>
  </si>
  <si>
    <t>c9.39f</t>
  </si>
  <si>
    <t>dedn-Annuity</t>
  </si>
  <si>
    <t>c4.51</t>
  </si>
  <si>
    <t>L83</t>
  </si>
  <si>
    <t>Pension-charges-gross</t>
  </si>
  <si>
    <t>c25.51</t>
  </si>
  <si>
    <t>L27</t>
  </si>
  <si>
    <t>dedn-Gift</t>
  </si>
  <si>
    <t>c4.49</t>
  </si>
  <si>
    <t>Pension-charges-tax-paid</t>
  </si>
  <si>
    <t>c25.52</t>
  </si>
  <si>
    <t>L27.1</t>
  </si>
  <si>
    <t>Fi-Rel</t>
  </si>
  <si>
    <t>c4.47.19 + c4.47.23 + c4.47.27</t>
  </si>
  <si>
    <t>Pension-charges</t>
  </si>
  <si>
    <t>c9.39a</t>
  </si>
  <si>
    <t>L27.2</t>
  </si>
  <si>
    <t>Fe-Rel-restricted</t>
  </si>
  <si>
    <t>c4.47.30</t>
  </si>
  <si>
    <t>L83a</t>
  </si>
  <si>
    <t>Pension-lump-sum-amount</t>
  </si>
  <si>
    <t>c26.1</t>
  </si>
  <si>
    <t>c4.47.29</t>
  </si>
  <si>
    <t>Pension-lump-sum-rate</t>
  </si>
  <si>
    <t>c26.2</t>
  </si>
  <si>
    <t>Allce-PA</t>
  </si>
  <si>
    <t>c4.64</t>
  </si>
  <si>
    <t>Pension-lump-sum-tax</t>
  </si>
  <si>
    <t>c9.39b</t>
  </si>
  <si>
    <t>L30</t>
  </si>
  <si>
    <t>AllceOut-TPA</t>
  </si>
  <si>
    <t>c4.68</t>
  </si>
  <si>
    <t>L83b</t>
  </si>
  <si>
    <t>Child-Benefit-tax-charge</t>
  </si>
  <si>
    <t>c9.39c</t>
  </si>
  <si>
    <t>Allce-BPA</t>
  </si>
  <si>
    <t>c4.65</t>
  </si>
  <si>
    <t>L83c</t>
  </si>
  <si>
    <t>pens-tax-due</t>
  </si>
  <si>
    <t>c25.56</t>
  </si>
  <si>
    <t>L32</t>
  </si>
  <si>
    <t>Allce-BPA-Spare</t>
  </si>
  <si>
    <t>c4.66</t>
  </si>
  <si>
    <t>L83d</t>
  </si>
  <si>
    <t>Allce-dedn-total</t>
  </si>
  <si>
    <t>c4.72</t>
  </si>
  <si>
    <t>taxable-income</t>
  </si>
  <si>
    <t>c5.86</t>
  </si>
  <si>
    <t>L83e</t>
  </si>
  <si>
    <t>SEISS-incorrectly-claimed-amount</t>
  </si>
  <si>
    <t>L39</t>
  </si>
  <si>
    <t>ppr-extender</t>
  </si>
  <si>
    <t>c4.58</t>
  </si>
  <si>
    <t>SEISS-charge</t>
  </si>
  <si>
    <t>gift-extender</t>
  </si>
  <si>
    <t>c4.57</t>
  </si>
  <si>
    <t>c9.39i</t>
  </si>
  <si>
    <t>extended-BR</t>
  </si>
  <si>
    <t>c5.2a</t>
  </si>
  <si>
    <t>L84a</t>
  </si>
  <si>
    <t>total-tax-NIC-nonresS23</t>
  </si>
  <si>
    <t>c12.1a</t>
  </si>
  <si>
    <t>L39s</t>
  </si>
  <si>
    <t>ppr-gift-extender-STp</t>
  </si>
  <si>
    <t>L84aa</t>
  </si>
  <si>
    <t>Income-Excluded</t>
  </si>
  <si>
    <t>c91.27</t>
  </si>
  <si>
    <t>L84ab</t>
  </si>
  <si>
    <t>tax-on-excluded-inc</t>
  </si>
  <si>
    <t>c12.1c</t>
  </si>
  <si>
    <t>extended-BR-STp</t>
  </si>
  <si>
    <t>L84ac</t>
  </si>
  <si>
    <t>tax-on-non-excluded-inc</t>
  </si>
  <si>
    <t>c12.1d</t>
  </si>
  <si>
    <t>c4.60</t>
  </si>
  <si>
    <t>L84b</t>
  </si>
  <si>
    <t>total-tax-NIC-nonresS811</t>
  </si>
  <si>
    <t>c12.1b</t>
  </si>
  <si>
    <t>L42a</t>
  </si>
  <si>
    <t>taxable-pay-SSR</t>
  </si>
  <si>
    <t>c8.1</t>
  </si>
  <si>
    <t>L84c</t>
  </si>
  <si>
    <t>total-tax-NIC-nonres</t>
  </si>
  <si>
    <t>c12.1e</t>
  </si>
  <si>
    <t>tax-on-pay-SSR</t>
  </si>
  <si>
    <t>c8.1a</t>
  </si>
  <si>
    <t>L84e</t>
  </si>
  <si>
    <t>div-tax-credits</t>
  </si>
  <si>
    <t>c10.4</t>
  </si>
  <si>
    <t>taxable-pay-BR</t>
  </si>
  <si>
    <t>c8.1b</t>
  </si>
  <si>
    <t>L84f</t>
  </si>
  <si>
    <t>div-tax-credits-s399</t>
  </si>
  <si>
    <t>c10.5</t>
  </si>
  <si>
    <t>tax-on-pay-BR</t>
  </si>
  <si>
    <t>c8.2</t>
  </si>
  <si>
    <t>L84g</t>
  </si>
  <si>
    <t>notional-CEG</t>
  </si>
  <si>
    <t>c10.9</t>
  </si>
  <si>
    <t>L43a</t>
  </si>
  <si>
    <t>taxable-pay-SIR</t>
  </si>
  <si>
    <t>c8.2a</t>
  </si>
  <si>
    <t>L84h</t>
  </si>
  <si>
    <t>notional-other</t>
  </si>
  <si>
    <t>c10.13 + c10.17</t>
  </si>
  <si>
    <t>tax-on-pay-SIR</t>
  </si>
  <si>
    <t>c8.2b</t>
  </si>
  <si>
    <t>L85</t>
  </si>
  <si>
    <t>IT-after-div-tax-credits</t>
  </si>
  <si>
    <t>c12.1f</t>
  </si>
  <si>
    <t>L44</t>
  </si>
  <si>
    <t>taxable-pay-HR</t>
  </si>
  <si>
    <t>c8.3</t>
  </si>
  <si>
    <t>L88</t>
  </si>
  <si>
    <t>NIC-amount</t>
  </si>
  <si>
    <t>c16.15</t>
  </si>
  <si>
    <t>tax-on-pay-HR</t>
  </si>
  <si>
    <t>c8.4</t>
  </si>
  <si>
    <t>NIC-charge</t>
  </si>
  <si>
    <t>c16.16</t>
  </si>
  <si>
    <t>L44aa</t>
  </si>
  <si>
    <t>taxable-pay-SAR</t>
  </si>
  <si>
    <t>c8.4a</t>
  </si>
  <si>
    <t>L89</t>
  </si>
  <si>
    <t>NIC-sup-amount</t>
  </si>
  <si>
    <t>c16.17</t>
  </si>
  <si>
    <t>tax-on-pay-SAR</t>
  </si>
  <si>
    <t>c8.4b</t>
  </si>
  <si>
    <t>NIC-sup-charge</t>
  </si>
  <si>
    <t>c16.18</t>
  </si>
  <si>
    <t>L44A</t>
  </si>
  <si>
    <t>taxable-pay-AHR</t>
  </si>
  <si>
    <t>c8.5</t>
  </si>
  <si>
    <t>L89A</t>
  </si>
  <si>
    <t>NIC4-amount</t>
  </si>
  <si>
    <t>tax-on-pay-AHR</t>
  </si>
  <si>
    <t>c8.6</t>
  </si>
  <si>
    <t>L89B</t>
  </si>
  <si>
    <t>NIC1-amount</t>
  </si>
  <si>
    <t>c16.21</t>
  </si>
  <si>
    <t>L46a</t>
  </si>
  <si>
    <t>taxable-int-SR</t>
  </si>
  <si>
    <t>c8.7</t>
  </si>
  <si>
    <t>L89C</t>
  </si>
  <si>
    <t>NIC2-amount</t>
  </si>
  <si>
    <t>tax-on-int-SR</t>
  </si>
  <si>
    <t>c8.8</t>
  </si>
  <si>
    <t>L90</t>
  </si>
  <si>
    <t>NIC-total</t>
  </si>
  <si>
    <t>c12.4</t>
  </si>
  <si>
    <t>L46b</t>
  </si>
  <si>
    <t>income-Savings-taxfree</t>
  </si>
  <si>
    <t>NIC2-thrshld</t>
  </si>
  <si>
    <t>c16.33</t>
  </si>
  <si>
    <t>income-Savings-taxfree-BR</t>
  </si>
  <si>
    <t>c6.17c</t>
  </si>
  <si>
    <t>L92</t>
  </si>
  <si>
    <t>unpaid-tax-in-code</t>
  </si>
  <si>
    <t>c12.6</t>
  </si>
  <si>
    <t>L47</t>
  </si>
  <si>
    <t>taxable-int-BR</t>
  </si>
  <si>
    <t>c8.11</t>
  </si>
  <si>
    <t>L93</t>
  </si>
  <si>
    <t>Student-loan</t>
  </si>
  <si>
    <t>tax-on-int-BR</t>
  </si>
  <si>
    <t>c8.12</t>
  </si>
  <si>
    <t>L93a1</t>
  </si>
  <si>
    <t>Post-grad-loan</t>
  </si>
  <si>
    <t>L47A</t>
  </si>
  <si>
    <t>income-Savings-taxfree-HR</t>
  </si>
  <si>
    <t>c6.20b</t>
  </si>
  <si>
    <t>L93a</t>
  </si>
  <si>
    <t>annuity-amount</t>
  </si>
  <si>
    <t>c12.8</t>
  </si>
  <si>
    <t>taxable-int-HR</t>
  </si>
  <si>
    <t>c8.13</t>
  </si>
  <si>
    <t>annuity-tax</t>
  </si>
  <si>
    <t>c12.9</t>
  </si>
  <si>
    <t>tax-on-int-HR</t>
  </si>
  <si>
    <t>c8.14</t>
  </si>
  <si>
    <t>L93d</t>
  </si>
  <si>
    <t>L48A</t>
  </si>
  <si>
    <t>taxable-int-AHR</t>
  </si>
  <si>
    <t>c8.15</t>
  </si>
  <si>
    <t>TRF_amount</t>
  </si>
  <si>
    <t>c9.39g</t>
  </si>
  <si>
    <t>tax-on-int-AHR</t>
  </si>
  <si>
    <t>c8.16</t>
  </si>
  <si>
    <t>TRF_charge</t>
  </si>
  <si>
    <t>L50a</t>
  </si>
  <si>
    <t>divs-taxfree-BR</t>
  </si>
  <si>
    <t>c6.27</t>
  </si>
  <si>
    <t>L94</t>
  </si>
  <si>
    <t>IT-plus-class4</t>
  </si>
  <si>
    <t>c12.12</t>
  </si>
  <si>
    <t>L50b</t>
  </si>
  <si>
    <t>taxable-divs-BR</t>
  </si>
  <si>
    <t>c8.19</t>
  </si>
  <si>
    <t>L97</t>
  </si>
  <si>
    <t>tax-paid-E</t>
  </si>
  <si>
    <t>c11.5</t>
  </si>
  <si>
    <t>tax-on-divs-BR</t>
  </si>
  <si>
    <t>c8.20</t>
  </si>
  <si>
    <t>L97a</t>
  </si>
  <si>
    <t>debt-coded</t>
  </si>
  <si>
    <t>c11.6</t>
  </si>
  <si>
    <t>L50c</t>
  </si>
  <si>
    <t>divs-taxfree-HR</t>
  </si>
  <si>
    <t>c6.32</t>
  </si>
  <si>
    <t>debt-collected</t>
  </si>
  <si>
    <t>L51</t>
  </si>
  <si>
    <t>taxable-divs-HR</t>
  </si>
  <si>
    <t>c8.21</t>
  </si>
  <si>
    <t>L97b</t>
  </si>
  <si>
    <t>SA-E-tax</t>
  </si>
  <si>
    <t>c11.8</t>
  </si>
  <si>
    <t>tax-on-divs-HR</t>
  </si>
  <si>
    <t>c8.22</t>
  </si>
  <si>
    <t>L98</t>
  </si>
  <si>
    <t>tax-paid-D</t>
  </si>
  <si>
    <t>c11.9 + c11.10 + c11.11</t>
  </si>
  <si>
    <t>L51a</t>
  </si>
  <si>
    <t>divs-taxfree-AHR</t>
  </si>
  <si>
    <t>c6.25 minus (c6.27 + c6.32)</t>
  </si>
  <si>
    <t>L99</t>
  </si>
  <si>
    <t>tax-paid-D(PTR)</t>
  </si>
  <si>
    <t>c11.12 + c11.13</t>
  </si>
  <si>
    <t>L51b</t>
  </si>
  <si>
    <t>taxable-divs-AHR</t>
  </si>
  <si>
    <t>c8.23</t>
  </si>
  <si>
    <t>L100</t>
  </si>
  <si>
    <t>tax-paid-IFP</t>
  </si>
  <si>
    <t>c11.14</t>
  </si>
  <si>
    <t>tax-on-divs-AHR</t>
  </si>
  <si>
    <t>c8.24</t>
  </si>
  <si>
    <t>L101</t>
  </si>
  <si>
    <t>tax-paid-Foreign</t>
  </si>
  <si>
    <t>c11.15</t>
  </si>
  <si>
    <t>L52a</t>
  </si>
  <si>
    <t>taxable-redundancy-SSR</t>
  </si>
  <si>
    <t>c8.24b</t>
  </si>
  <si>
    <t>L102</t>
  </si>
  <si>
    <t>tax-paid-Trust</t>
  </si>
  <si>
    <t>c11.25</t>
  </si>
  <si>
    <t>tax-on-redundancy-SSR</t>
  </si>
  <si>
    <t>c8.24c</t>
  </si>
  <si>
    <t>L103</t>
  </si>
  <si>
    <t>tax-paid-Overseas</t>
  </si>
  <si>
    <t>c11.26</t>
  </si>
  <si>
    <t>L52b</t>
  </si>
  <si>
    <t>taxable-redundancy-BR</t>
  </si>
  <si>
    <t>c8.24d</t>
  </si>
  <si>
    <t>L104</t>
  </si>
  <si>
    <t>tax-paid-Case3</t>
  </si>
  <si>
    <t>c11.27 + c11.28</t>
  </si>
  <si>
    <t>tax-on-redundancy-BR</t>
  </si>
  <si>
    <t>c8.24e</t>
  </si>
  <si>
    <t>L106</t>
  </si>
  <si>
    <t>tax-paid-CEG</t>
  </si>
  <si>
    <t>c11.29</t>
  </si>
  <si>
    <t>L52c</t>
  </si>
  <si>
    <t>taxable-redundancy-SIR</t>
  </si>
  <si>
    <t>c8.24f</t>
  </si>
  <si>
    <t>L107</t>
  </si>
  <si>
    <t>tax-paid-Other</t>
  </si>
  <si>
    <t>c11.30</t>
  </si>
  <si>
    <t>tax-on-redundancy-SIR</t>
  </si>
  <si>
    <t>c8.24g</t>
  </si>
  <si>
    <t>L108</t>
  </si>
  <si>
    <t>coded-in-later-year</t>
  </si>
  <si>
    <t>c12.14</t>
  </si>
  <si>
    <t>L52d</t>
  </si>
  <si>
    <t>taxable-redundancy-HR</t>
  </si>
  <si>
    <t>c8.24h</t>
  </si>
  <si>
    <t>L109</t>
  </si>
  <si>
    <t>total-tax-paid</t>
  </si>
  <si>
    <t>c12.15</t>
  </si>
  <si>
    <t>tax-on-redundancy-HR</t>
  </si>
  <si>
    <t>c8.24i</t>
  </si>
  <si>
    <t>L111</t>
  </si>
  <si>
    <t>Total-IT-class4-due</t>
  </si>
  <si>
    <t>c12.16 (Absolute value)</t>
  </si>
  <si>
    <t>L52dd</t>
  </si>
  <si>
    <t>taxable-redundancy-SAR</t>
  </si>
  <si>
    <t>c8.24ia</t>
  </si>
  <si>
    <t>L114</t>
  </si>
  <si>
    <t>CG-at-ER-rate</t>
  </si>
  <si>
    <t>c18.29</t>
  </si>
  <si>
    <t>tax-on-redundancy-SAR</t>
  </si>
  <si>
    <t>c8.24ib</t>
  </si>
  <si>
    <t>ER-rate-CGT</t>
  </si>
  <si>
    <t>c18.30</t>
  </si>
  <si>
    <t>L52e</t>
  </si>
  <si>
    <t>taxable-redundancy-AHR</t>
  </si>
  <si>
    <t>c8.24j</t>
  </si>
  <si>
    <t>L115</t>
  </si>
  <si>
    <t>CG-at-lower-rate-RP-CI</t>
  </si>
  <si>
    <t>tax-on-redundancy-AHR</t>
  </si>
  <si>
    <t>c8.24k</t>
  </si>
  <si>
    <t>Lower-rate-CGT-RP-CI</t>
  </si>
  <si>
    <t>L53b</t>
  </si>
  <si>
    <t>taxable-CEG-SR</t>
  </si>
  <si>
    <t>c8.24m</t>
  </si>
  <si>
    <t>L115a</t>
  </si>
  <si>
    <t>CG-at-higher-rate-RP-CI</t>
  </si>
  <si>
    <t>tax-on-CEG-SR</t>
  </si>
  <si>
    <t>c8.24n</t>
  </si>
  <si>
    <t>Higher-rate-CGT-RP-CI</t>
  </si>
  <si>
    <t>L53c</t>
  </si>
  <si>
    <t>income-CEG-taxfree-BR</t>
  </si>
  <si>
    <t>c8.24o</t>
  </si>
  <si>
    <t>CG-at-lower-rate-CI</t>
  </si>
  <si>
    <t>c18.41</t>
  </si>
  <si>
    <t>L53d</t>
  </si>
  <si>
    <t>taxable-CEG-BR</t>
  </si>
  <si>
    <t>c8.24q</t>
  </si>
  <si>
    <t>Lower-rate-CGT-CI</t>
  </si>
  <si>
    <t>c18.42</t>
  </si>
  <si>
    <t>tax-on-CEG-BR</t>
  </si>
  <si>
    <t>c8.24r</t>
  </si>
  <si>
    <t>CG-at-higher-rate-CI</t>
  </si>
  <si>
    <t>c18.43</t>
  </si>
  <si>
    <t>L53e</t>
  </si>
  <si>
    <t>income-CEG-taxfree-HR</t>
  </si>
  <si>
    <t>c8.24s</t>
  </si>
  <si>
    <t>Higher-rate-CGT-CI</t>
  </si>
  <si>
    <t>c18.44</t>
  </si>
  <si>
    <t>L53f</t>
  </si>
  <si>
    <t>taxable-CEG-HR</t>
  </si>
  <si>
    <t>c8.24u</t>
  </si>
  <si>
    <t>L115b</t>
  </si>
  <si>
    <t>CG-at-lower-rate-RP</t>
  </si>
  <si>
    <t>c18.45.1</t>
  </si>
  <si>
    <t>tax-on-CEG-HR</t>
  </si>
  <si>
    <t>c8.24v</t>
  </si>
  <si>
    <t>Lower-rate-CGT-RP</t>
  </si>
  <si>
    <t>c18.45.2</t>
  </si>
  <si>
    <t>L53g</t>
  </si>
  <si>
    <t>taxable-CEG-AHR</t>
  </si>
  <si>
    <t>c8.24w</t>
  </si>
  <si>
    <t>L115c</t>
  </si>
  <si>
    <t>CG-at-higher-rate-RP</t>
  </si>
  <si>
    <t>c18.45.3</t>
  </si>
  <si>
    <t>tax-on-CEG-AHR</t>
  </si>
  <si>
    <t>c8.24x</t>
  </si>
  <si>
    <t>Higher-rate-CGT-RP</t>
  </si>
  <si>
    <t>c18.45.4</t>
  </si>
  <si>
    <t>L116</t>
  </si>
  <si>
    <t>CG-at-lower-rate</t>
  </si>
  <si>
    <t>c18.46</t>
  </si>
  <si>
    <t>L55a</t>
  </si>
  <si>
    <t>pre-TP-tax-charged</t>
  </si>
  <si>
    <t>c8.25b</t>
  </si>
  <si>
    <t>Lower-rate-CGT</t>
  </si>
  <si>
    <t>c18.47</t>
  </si>
  <si>
    <t>L55c</t>
  </si>
  <si>
    <t>transition-profit</t>
  </si>
  <si>
    <t>c4.40.1 + c4.40.2</t>
  </si>
  <si>
    <t>L116a</t>
  </si>
  <si>
    <t>CG-at-higher-rate</t>
  </si>
  <si>
    <t>c18.48</t>
  </si>
  <si>
    <t>tax-on-transition-prft</t>
  </si>
  <si>
    <t>c8.25c</t>
  </si>
  <si>
    <t>Higher-rate-CGT</t>
  </si>
  <si>
    <t>c18.49</t>
  </si>
  <si>
    <t>L56</t>
  </si>
  <si>
    <t>tax-charged</t>
  </si>
  <si>
    <t>c8.26</t>
  </si>
  <si>
    <t>L117a</t>
  </si>
  <si>
    <t>Taxable-CG</t>
  </si>
  <si>
    <t>c18.27 + c18.27.1 + c18.28 + c18.29</t>
  </si>
  <si>
    <t>L57A</t>
  </si>
  <si>
    <t>deficiency-relief</t>
  </si>
  <si>
    <t>c9.2</t>
  </si>
  <si>
    <t>L117c</t>
  </si>
  <si>
    <t>Total-CGT-tax</t>
  </si>
  <si>
    <t>c18.50</t>
  </si>
  <si>
    <t>L58</t>
  </si>
  <si>
    <t>TSR</t>
  </si>
  <si>
    <t>c9.3</t>
  </si>
  <si>
    <t>L117d</t>
  </si>
  <si>
    <t>CGT-adjustment</t>
  </si>
  <si>
    <t>c18.51</t>
  </si>
  <si>
    <t>VCT</t>
  </si>
  <si>
    <t>c9.5</t>
  </si>
  <si>
    <t>L117e</t>
  </si>
  <si>
    <t>CG-trust-tax</t>
  </si>
  <si>
    <t>c18.51a</t>
  </si>
  <si>
    <t>L60</t>
  </si>
  <si>
    <t>EIS</t>
  </si>
  <si>
    <t>c9.7</t>
  </si>
  <si>
    <t>L117f</t>
  </si>
  <si>
    <t>Total-CG-tax-due</t>
  </si>
  <si>
    <t>c18.52</t>
  </si>
  <si>
    <t>L60A</t>
  </si>
  <si>
    <t>SEIS-relief</t>
  </si>
  <si>
    <t>c9.9</t>
  </si>
  <si>
    <t>L118</t>
  </si>
  <si>
    <t>CG-FTCR</t>
  </si>
  <si>
    <t>c18.53</t>
  </si>
  <si>
    <t>L61</t>
  </si>
  <si>
    <t>CITR</t>
  </si>
  <si>
    <t>c9.11</t>
  </si>
  <si>
    <t>CG-FTCR-restricted</t>
  </si>
  <si>
    <t>c18.54</t>
  </si>
  <si>
    <t>L62</t>
  </si>
  <si>
    <t>SITR</t>
  </si>
  <si>
    <t>L119</t>
  </si>
  <si>
    <t>CG-tax-due-pre-tax</t>
  </si>
  <si>
    <t>c18.52 minus c18.54</t>
  </si>
  <si>
    <t>L63</t>
  </si>
  <si>
    <t>Alimony</t>
  </si>
  <si>
    <t>c9.15 x 10%</t>
  </si>
  <si>
    <t>L120a</t>
  </si>
  <si>
    <t>tax-on-gains-already-charged</t>
  </si>
  <si>
    <t>c18.56 + c18.57</t>
  </si>
  <si>
    <t>L120b</t>
  </si>
  <si>
    <t>c12.17</t>
  </si>
  <si>
    <t>L120c</t>
  </si>
  <si>
    <t>total-CG-overpaid</t>
  </si>
  <si>
    <t>c18.59</t>
  </si>
  <si>
    <t>L120e</t>
  </si>
  <si>
    <t>Total-IT-CG-class4-due-pre</t>
  </si>
  <si>
    <t>c12.17a (Absolute value)</t>
  </si>
  <si>
    <t>L120h</t>
  </si>
  <si>
    <t>CG-repayable</t>
  </si>
  <si>
    <t>c18.61</t>
  </si>
  <si>
    <t>L121</t>
  </si>
  <si>
    <t>Total-IT-CG-class4-due</t>
  </si>
  <si>
    <t>c12.18 (Absolute value)</t>
  </si>
  <si>
    <t>L122a</t>
  </si>
  <si>
    <t>CG-not-repayable</t>
  </si>
  <si>
    <t>c18.62</t>
  </si>
  <si>
    <t>L123</t>
  </si>
  <si>
    <t>tax-already-refunded</t>
  </si>
  <si>
    <t>c12.19</t>
  </si>
  <si>
    <t>L124</t>
  </si>
  <si>
    <t>unpaid-tax-bf</t>
  </si>
  <si>
    <t>c12.20</t>
  </si>
  <si>
    <t>L126</t>
  </si>
  <si>
    <t>Total-tax-NIC-due</t>
  </si>
  <si>
    <t>c12.21 (Absolute value)</t>
  </si>
  <si>
    <t>Select from drop-down</t>
  </si>
  <si>
    <t>or box below</t>
  </si>
  <si>
    <t>Used where MCA claim</t>
  </si>
  <si>
    <t>STp</t>
  </si>
  <si>
    <t>Taxpayer status</t>
  </si>
  <si>
    <t>1) U = rUK rest of UK status</t>
  </si>
  <si>
    <t>2) S = STp Scottish taxpayer status</t>
  </si>
  <si>
    <t>RS Dropdown</t>
  </si>
  <si>
    <t>3) C = WTp Welsh taxpayer status</t>
  </si>
  <si>
    <t>U</t>
  </si>
  <si>
    <t>S</t>
  </si>
  <si>
    <t>C</t>
  </si>
  <si>
    <t>UK interest &amp; dividends</t>
  </si>
  <si>
    <t>Taxed UK Interest etc.</t>
  </si>
  <si>
    <t>Dividends from UK companies - the amount received</t>
  </si>
  <si>
    <t>.</t>
  </si>
  <si>
    <t>00</t>
  </si>
  <si>
    <t>Untaxed UK interest etc.</t>
  </si>
  <si>
    <t>Other Dividends - the amount received</t>
  </si>
  <si>
    <t>Foreign dividends (up to £300)</t>
  </si>
  <si>
    <t>State pension</t>
  </si>
  <si>
    <t>State pension lump sum</t>
  </si>
  <si>
    <t>Taxable Incapacity Benefit</t>
  </si>
  <si>
    <t>Other pensions, retirement annuities and lump sums treated as pensions</t>
  </si>
  <si>
    <t>Jobseekers Allowance</t>
  </si>
  <si>
    <t>Other State pensions &amp; benefits</t>
  </si>
  <si>
    <t>Other income before tax &amp; expenses</t>
  </si>
  <si>
    <t>Pension Payments with basic rate tax relief at source</t>
  </si>
  <si>
    <t>Payments to an employer's scheme</t>
  </si>
  <si>
    <t>Retirement Annuity payments</t>
  </si>
  <si>
    <t>Payments to an overseas scheme</t>
  </si>
  <si>
    <t>Shares or securities gifted to charity</t>
  </si>
  <si>
    <t>Land or property gifted to charity</t>
  </si>
  <si>
    <t>Rel</t>
  </si>
  <si>
    <t>BPA_claimed</t>
  </si>
  <si>
    <t>Student Loan repayments deducted by employer</t>
  </si>
  <si>
    <t>SL_case</t>
  </si>
  <si>
    <t>Student Loan Plan type</t>
  </si>
  <si>
    <t>SL_type</t>
  </si>
  <si>
    <t>SL</t>
  </si>
  <si>
    <t>Post graduate loan repayments</t>
  </si>
  <si>
    <t>dropdown</t>
  </si>
  <si>
    <t>deducted by employer</t>
  </si>
  <si>
    <t>Post graduate Loan Plan type</t>
  </si>
  <si>
    <t>PGLR</t>
  </si>
  <si>
    <t>PGL</t>
  </si>
  <si>
    <t>Child benefit</t>
  </si>
  <si>
    <t>The total amount of Child Benefit received</t>
  </si>
  <si>
    <t>PGL_type</t>
  </si>
  <si>
    <t>Winter Fuel Payment (WFP) and Pension Age Winter Heating Payment (PAWHP)</t>
  </si>
  <si>
    <t>Election to transfer personal allowance (box MAT_1 to MAT_5 all completed)</t>
  </si>
  <si>
    <t>Marriage Allowance Transfer - Digital Claim in place</t>
  </si>
  <si>
    <t>1-5</t>
  </si>
  <si>
    <t>M_O</t>
  </si>
  <si>
    <t>M_I</t>
  </si>
  <si>
    <t>Tax refunded</t>
  </si>
  <si>
    <t>MA_transfer</t>
  </si>
  <si>
    <t>Digital Claim</t>
  </si>
  <si>
    <t>Life insurance gains with tax treated as paid</t>
  </si>
  <si>
    <t>Gains from void ISAs</t>
  </si>
  <si>
    <t xml:space="preserve">Life insurance gains with no tax </t>
  </si>
  <si>
    <t>flag to temporarily switch to calculating value that is an alternative to c17.6</t>
  </si>
  <si>
    <t>Stock dividends - the amount received</t>
  </si>
  <si>
    <t>Bonus issues of securities and redeemable shares</t>
  </si>
  <si>
    <t>value that was thereby calculated then stashed here for future use</t>
  </si>
  <si>
    <t>flag to use preceding value in c17.38.1 (instead of c17.6)</t>
  </si>
  <si>
    <t>Multiple UK life insurance gains</t>
  </si>
  <si>
    <r>
      <t xml:space="preserve">UK life insurance gains </t>
    </r>
    <r>
      <rPr>
        <u/>
        <sz val="10"/>
        <rFont val="Arial"/>
        <family val="2"/>
      </rPr>
      <t>without</t>
    </r>
    <r>
      <rPr>
        <sz val="10"/>
        <rFont val="Arial"/>
        <family val="2"/>
      </rPr>
      <t xml:space="preserve"> tax treated as paid</t>
    </r>
  </si>
  <si>
    <r>
      <t xml:space="preserve">Gains on UK life policies </t>
    </r>
    <r>
      <rPr>
        <u/>
        <sz val="10"/>
        <rFont val="Arial"/>
        <family val="2"/>
      </rPr>
      <t>with</t>
    </r>
    <r>
      <rPr>
        <sz val="10"/>
        <rFont val="Arial"/>
        <family val="2"/>
      </rPr>
      <t xml:space="preserve"> tax treated as paid</t>
    </r>
  </si>
  <si>
    <t>Years</t>
  </si>
  <si>
    <t>Amount of Gain</t>
  </si>
  <si>
    <t>Without</t>
  </si>
  <si>
    <t>With</t>
  </si>
  <si>
    <t>No of Gains</t>
  </si>
  <si>
    <t>No of years</t>
  </si>
  <si>
    <t>sliced gain</t>
  </si>
  <si>
    <t>LDC 'CEG Amount'</t>
  </si>
  <si>
    <t>1A</t>
  </si>
  <si>
    <t xml:space="preserve"> You must update 'life</t>
  </si>
  <si>
    <t xml:space="preserve"> insurance gains' boxes for</t>
  </si>
  <si>
    <t xml:space="preserve"> the Calculation to give </t>
  </si>
  <si>
    <t xml:space="preserve"> the correct result.</t>
  </si>
  <si>
    <t>Share schemes and lump sums</t>
  </si>
  <si>
    <t>Shares schemes - taxable amount</t>
  </si>
  <si>
    <t>Lump sums - contract payments</t>
  </si>
  <si>
    <t>Lump sums - EFURBS</t>
  </si>
  <si>
    <t>Lump sums - redundancy/compensation</t>
  </si>
  <si>
    <t>Royalty payments made</t>
  </si>
  <si>
    <t xml:space="preserve">Additional information </t>
  </si>
  <si>
    <t>Married - all year</t>
  </si>
  <si>
    <t>Single</t>
  </si>
  <si>
    <t>Venture Capital Trust subcriptions</t>
  </si>
  <si>
    <t>Maintenance/alimony payments</t>
  </si>
  <si>
    <t>APA Claimed</t>
  </si>
  <si>
    <t>APA Not Claimed</t>
  </si>
  <si>
    <t>Enterprise Investment Scheme subscriptions</t>
  </si>
  <si>
    <t>Trade Union death benefit payments</t>
  </si>
  <si>
    <t>WBA Claimed</t>
  </si>
  <si>
    <t>WBA Not Claimed</t>
  </si>
  <si>
    <t>Community Investment Tax relief</t>
  </si>
  <si>
    <t>Relief on redemption of bonus shares etc.</t>
  </si>
  <si>
    <t>Annuities and annual payments</t>
  </si>
  <si>
    <t>SEED Enterprise Investment Scheme subscriptions</t>
  </si>
  <si>
    <t>Qualifying loan interest payments</t>
  </si>
  <si>
    <t xml:space="preserve">Investment into property partnerships loan Interest </t>
  </si>
  <si>
    <t>Married couple's allowance</t>
  </si>
  <si>
    <t>or boxes below</t>
  </si>
  <si>
    <t xml:space="preserve">Claimed by </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</si>
  <si>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</si>
  <si>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</si>
  <si>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</si>
  <si>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</si>
  <si>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</si>
  <si>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</si>
  <si>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</si>
  <si>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</si>
  <si>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</si>
  <si>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Other Income Tax losses</t>
  </si>
  <si>
    <t>Payroll giving</t>
  </si>
  <si>
    <t xml:space="preserve">Pension tax charges </t>
  </si>
  <si>
    <t>Amount in excess of Annual Allowance</t>
  </si>
  <si>
    <t>Unauthorised payments - not subject to Surcharge</t>
  </si>
  <si>
    <t>Unauthorised payments - subject to Surcharge</t>
  </si>
  <si>
    <t>Value of pension benefits transferred subject to OTC</t>
  </si>
  <si>
    <t>Taxable short service refund (overseas schemes)</t>
  </si>
  <si>
    <t>Employment (1)</t>
  </si>
  <si>
    <t>Employment (2)</t>
  </si>
  <si>
    <t>PAY</t>
  </si>
  <si>
    <t>Pay from this employment</t>
  </si>
  <si>
    <t>c1.1.n</t>
  </si>
  <si>
    <t>Tips and other payments</t>
  </si>
  <si>
    <t>PT Teacher</t>
  </si>
  <si>
    <t>Benefits (1)</t>
  </si>
  <si>
    <t>Benefits (2)</t>
  </si>
  <si>
    <t>Benefits</t>
  </si>
  <si>
    <t>Cars and vans</t>
  </si>
  <si>
    <t>Goods and assets</t>
  </si>
  <si>
    <t>c1.5.n</t>
  </si>
  <si>
    <t>Fuel for cars etc.</t>
  </si>
  <si>
    <t>Accommodation</t>
  </si>
  <si>
    <t>Top up</t>
  </si>
  <si>
    <t>Medical insurance</t>
  </si>
  <si>
    <t>Vouchers etc.</t>
  </si>
  <si>
    <t>Expenses received</t>
  </si>
  <si>
    <t>Deductions (1)</t>
  </si>
  <si>
    <t>Deductions (2)</t>
  </si>
  <si>
    <t>Travel and substistence</t>
  </si>
  <si>
    <t>Fees and subscriptions</t>
  </si>
  <si>
    <t>c1.6.n</t>
  </si>
  <si>
    <t>Fixed deductions</t>
  </si>
  <si>
    <t xml:space="preserve"> Ministers of Religion</t>
  </si>
  <si>
    <t>Expenses payments received</t>
  </si>
  <si>
    <t>Living accomodation</t>
  </si>
  <si>
    <t>Total benefits and expenses</t>
  </si>
  <si>
    <t>Total taxable income</t>
  </si>
  <si>
    <t>Total tax taken off</t>
  </si>
  <si>
    <t>Calculating your taxable profits</t>
  </si>
  <si>
    <t>Total taxable transition profits</t>
  </si>
  <si>
    <t>Total taxable profits or net business loss</t>
  </si>
  <si>
    <t>Total taxable profits</t>
  </si>
  <si>
    <t>Loss brought forward from earlier years against transition profits</t>
  </si>
  <si>
    <t>Losses</t>
  </si>
  <si>
    <t>Class 2 and Class 4 National Insurance contributions (NICs)</t>
  </si>
  <si>
    <t>You choose to pay Class 2 NICs voluntarily</t>
  </si>
  <si>
    <t>CIS deductions</t>
  </si>
  <si>
    <t>Subcontractor tax paid</t>
  </si>
  <si>
    <t>Class 2 Vol</t>
  </si>
  <si>
    <t>CIS deductions and tax taken off</t>
  </si>
  <si>
    <t>Other tax taken off trading income</t>
  </si>
  <si>
    <t>Class 4 NIC profit adjustment</t>
  </si>
  <si>
    <t>Lloyd's Underwriters</t>
  </si>
  <si>
    <t>UK interest</t>
  </si>
  <si>
    <t>Non-UK interest and other foreign sources</t>
  </si>
  <si>
    <t>Calculating Lloyd’s taxable profits or allowable losses</t>
  </si>
  <si>
    <t>Tax taken off - UK interest</t>
  </si>
  <si>
    <t>Tax taken off - Foreign interest</t>
  </si>
  <si>
    <t>UK dividends</t>
  </si>
  <si>
    <t>Stock Dividends</t>
  </si>
  <si>
    <t>Net non-UK dividends</t>
  </si>
  <si>
    <t>Foreign tax taken off - Foreign dividends</t>
  </si>
  <si>
    <t>Class 2 and Class 4 National Insurance contributions</t>
  </si>
  <si>
    <t>UK tax taken off - Foreign dividends</t>
  </si>
  <si>
    <t>Other dividends and distributions from UK companies</t>
  </si>
  <si>
    <t>Class2 Voluntarily</t>
  </si>
  <si>
    <t>Class4 NIC Exempt</t>
  </si>
  <si>
    <t>Cl2</t>
  </si>
  <si>
    <t>Cell</t>
  </si>
  <si>
    <t>Your share of the partnership's trading or professional profits</t>
  </si>
  <si>
    <t xml:space="preserve">Transition profit arising </t>
  </si>
  <si>
    <t>O19</t>
  </si>
  <si>
    <t>Share of total taxable profits</t>
  </si>
  <si>
    <t>Loss brought forward against transition profit</t>
  </si>
  <si>
    <t>O29</t>
  </si>
  <si>
    <t>Your share of the partnership’s trading or professional losses</t>
  </si>
  <si>
    <t>D32</t>
  </si>
  <si>
    <t>D35</t>
  </si>
  <si>
    <t>D38</t>
  </si>
  <si>
    <t>Your share of the partnership’s untaxed income</t>
  </si>
  <si>
    <t>Share of untaxed interest</t>
  </si>
  <si>
    <t>Amount claimed under the Foreign Income and 
Gains (FIG) Regime</t>
  </si>
  <si>
    <t>Income from UK property</t>
  </si>
  <si>
    <t>Class2 Voluntary</t>
  </si>
  <si>
    <t>Your share of untaxed interest etc.</t>
  </si>
  <si>
    <t>Taxable profit after adjustment and losses</t>
  </si>
  <si>
    <t>Unsused finance costs brought forward</t>
  </si>
  <si>
    <t>Your share of the partnership’s tax paid and deductions</t>
  </si>
  <si>
    <t>K17</t>
  </si>
  <si>
    <t>Share of Income Tax deducted</t>
  </si>
  <si>
    <t>Complete boxes FPS41, FPS41.1 &amp; FPS41.2 OR FPSAF1</t>
  </si>
  <si>
    <t>For multiple pages calculate for each page the lower of Box 41</t>
  </si>
  <si>
    <t xml:space="preserve"> and Box 41.1 + Box 41.2</t>
  </si>
  <si>
    <t>K23</t>
  </si>
  <si>
    <t>Other untaxed UK income</t>
  </si>
  <si>
    <t>Other untaxed foreign income</t>
  </si>
  <si>
    <t>K32</t>
  </si>
  <si>
    <t>H35</t>
  </si>
  <si>
    <t>Taxable profit</t>
  </si>
  <si>
    <t>Complete boxes FPS60, FPS63.1 &amp; FPS63.2 OR FPSAF2</t>
  </si>
  <si>
    <t>For multiple pages calculate for each page the lower of Box 60</t>
  </si>
  <si>
    <t xml:space="preserve"> and Box 63.1 + Box 63.2</t>
  </si>
  <si>
    <t>K38</t>
  </si>
  <si>
    <t>Your share of the partnership’s taxed income</t>
  </si>
  <si>
    <t>Your share of the partnership’s total taxed and untaxed income</t>
  </si>
  <si>
    <t>Share of total taxed and untaxed income</t>
  </si>
  <si>
    <t>National Insurance</t>
  </si>
  <si>
    <t>This is the reduced Class 2 calculation</t>
  </si>
  <si>
    <t>Do not complete these boxes - complete the page opposite to calculate the adjusted Class 2 amount</t>
  </si>
  <si>
    <t>Step 1</t>
  </si>
  <si>
    <t>Enter the full amount of Class 2</t>
  </si>
  <si>
    <t>This is the adjusted Class 2 from</t>
  </si>
  <si>
    <t>that would have been payable</t>
  </si>
  <si>
    <t>CL2B</t>
  </si>
  <si>
    <t>Step 2</t>
  </si>
  <si>
    <t>Complete the boxes below to update the reduced Class 2 calculation and CL2B above,</t>
  </si>
  <si>
    <t>Step 3</t>
  </si>
  <si>
    <t>Class 1 Earnings from P60 (earnings from PT to UEL)</t>
  </si>
  <si>
    <t>and then enter lower of CL2A and CL2B</t>
  </si>
  <si>
    <t>Step 4</t>
  </si>
  <si>
    <t>Step 3 minus Step 1</t>
  </si>
  <si>
    <t>if you pay the maximum amount of annual NIC by way of Class 1 and Class 2,</t>
  </si>
  <si>
    <t>you may not need to pay the full amount of Class 4 NIC. Complete the following boxes.</t>
  </si>
  <si>
    <t>This will enable the reduced Class 2 and Class 4 calculations.</t>
  </si>
  <si>
    <t>Step 5</t>
  </si>
  <si>
    <t>Step 4 x 2%</t>
  </si>
  <si>
    <t xml:space="preserve">Earnings above the PT, up to and including the UEL. From col.1c on P60/NPS.
</t>
  </si>
  <si>
    <t>Step 6</t>
  </si>
  <si>
    <t>No NIC2</t>
  </si>
  <si>
    <t>Step 7</t>
  </si>
  <si>
    <t>Step 6 x 2%</t>
  </si>
  <si>
    <t>Selected</t>
  </si>
  <si>
    <t>Class 2 Voluntary</t>
  </si>
  <si>
    <t>Step 8</t>
  </si>
  <si>
    <t>Individual annual maximum Step 2 + Step 5 + Step 7</t>
  </si>
  <si>
    <t>Class 4 NIC exempt</t>
  </si>
  <si>
    <t>Class 2 weekly amount</t>
  </si>
  <si>
    <t>This is required for the Reg 100 Class 4 calculation</t>
  </si>
  <si>
    <t>Adj CL2</t>
  </si>
  <si>
    <t>This populates box CL2B</t>
  </si>
  <si>
    <t>UK Property</t>
  </si>
  <si>
    <t>Property Income</t>
  </si>
  <si>
    <t>Premiums for the grant of a lease</t>
  </si>
  <si>
    <t>Calculating your taxable profit or loss</t>
  </si>
  <si>
    <t>Adjusted profit for the year</t>
  </si>
  <si>
    <t>Loss brought forward used against this year’s profits</t>
  </si>
  <si>
    <t>Taxable profit for the year</t>
  </si>
  <si>
    <t>Unused finance costs brought forward</t>
  </si>
  <si>
    <t>Capital Gains Summary</t>
  </si>
  <si>
    <t>Losses and adjustments</t>
  </si>
  <si>
    <t>Residential property and carried interest</t>
  </si>
  <si>
    <t>Gains in the year, before losses - excluding NRCGT gains</t>
  </si>
  <si>
    <t>Tax on gains in box 6 already charged (PPD)</t>
  </si>
  <si>
    <t>Losses brought forward and used in-year</t>
  </si>
  <si>
    <t>Amount claimed under the Foreign Income and Gains (FIG) Regime</t>
  </si>
  <si>
    <t>Losses used against an earlier year's gains</t>
  </si>
  <si>
    <t>Losses in the year excluding NRCGT losses</t>
  </si>
  <si>
    <t>Tax on gains in box 11 already paid (RTT)</t>
  </si>
  <si>
    <t>Investors' Relief</t>
  </si>
  <si>
    <t>Gains that qualify for Investors' Relief</t>
  </si>
  <si>
    <t>Gains on carried interest in the year</t>
  </si>
  <si>
    <t>Entrepreneurs' Relief</t>
  </si>
  <si>
    <t xml:space="preserve">Gains qualifying for Business Asset Disposal Relief </t>
  </si>
  <si>
    <t>`</t>
  </si>
  <si>
    <t>Cryptoassets</t>
  </si>
  <si>
    <t>Tax adjustments to 2016-17 capital gains</t>
  </si>
  <si>
    <t>Tax on gains in box 13.7 already paid</t>
  </si>
  <si>
    <t>Adjustments to Capital Gains tax</t>
  </si>
  <si>
    <t xml:space="preserve">Losses in the year </t>
  </si>
  <si>
    <t>Non-resident Capital Gains Tax (NRCGT) on UK land &amp; property and indirect disposals</t>
  </si>
  <si>
    <t>Ind_disp</t>
  </si>
  <si>
    <t>Other property, assets and gains</t>
  </si>
  <si>
    <t>UK residential properties</t>
  </si>
  <si>
    <t>Gains in the year, before losses excluding attributed gains</t>
  </si>
  <si>
    <t>Total gain chargeable to NRCGT</t>
  </si>
  <si>
    <t>Any gains in box 52.2 from indirect disposals?</t>
  </si>
  <si>
    <t>Tax on gains in box 21 already paid (RTT)</t>
  </si>
  <si>
    <t>Non-residential UK properties</t>
  </si>
  <si>
    <t>Total available NRCGT losses in the year</t>
  </si>
  <si>
    <t>Listed shares and securities</t>
  </si>
  <si>
    <t xml:space="preserve">Amount claimed under the </t>
  </si>
  <si>
    <t>Foreign Income and Gains (FIG) Regime</t>
  </si>
  <si>
    <t>Tax on gains in box 29 already paid (RTT)</t>
  </si>
  <si>
    <t>Unlisted shares and securities</t>
  </si>
  <si>
    <t>Tax on gains in box 37 already paid (RTT)</t>
  </si>
  <si>
    <t xml:space="preserve">Foreign </t>
  </si>
  <si>
    <t>Income from land and property abroad</t>
  </si>
  <si>
    <t>Other income cont'</t>
  </si>
  <si>
    <t>D. Special Withholding Tax</t>
  </si>
  <si>
    <t>F. Taxable amount</t>
  </si>
  <si>
    <t>Div inc in non-res</t>
  </si>
  <si>
    <t>settlor interested trusts</t>
  </si>
  <si>
    <t>Unsused residential finance costs</t>
  </si>
  <si>
    <t>Tax Credit Relief on income</t>
  </si>
  <si>
    <t>Discretionary income arising from</t>
  </si>
  <si>
    <t xml:space="preserve"> non-settlor-interested non UK resident trusts</t>
  </si>
  <si>
    <t>Income from overseas sources</t>
  </si>
  <si>
    <t>Overseas property</t>
  </si>
  <si>
    <t xml:space="preserve"> trustees of non resident settlements</t>
  </si>
  <si>
    <t>Savings and interest</t>
  </si>
  <si>
    <t>Gains on disposal of holdings in offshore fund</t>
  </si>
  <si>
    <t>Loss offset against income</t>
  </si>
  <si>
    <t>Total loss to carry forward</t>
  </si>
  <si>
    <t>Non trade income</t>
  </si>
  <si>
    <t>Tax Credit Relief on gains</t>
  </si>
  <si>
    <t>Special withholding tax</t>
  </si>
  <si>
    <t>Remitted foreign savings income</t>
  </si>
  <si>
    <t>Other income</t>
  </si>
  <si>
    <t xml:space="preserve">the Close family member rules under ToAA
</t>
  </si>
  <si>
    <t>Remitted foreign dividends income</t>
  </si>
  <si>
    <t xml:space="preserve"> Benefits chargeable on you under</t>
  </si>
  <si>
    <t>box not in use</t>
  </si>
  <si>
    <t xml:space="preserve">Amount in box 7.4 </t>
  </si>
  <si>
    <t>subject to dividend tax credit</t>
  </si>
  <si>
    <t>UK Tax treated as paid</t>
  </si>
  <si>
    <t>Pensions &amp; social benefits</t>
  </si>
  <si>
    <t>Gains on life policies</t>
  </si>
  <si>
    <t xml:space="preserve">Benefits chargeable on you under </t>
  </si>
  <si>
    <t>Dividends from trusts etc.</t>
  </si>
  <si>
    <t>Non-sav inc in non-res</t>
  </si>
  <si>
    <t>Other income from trusts etc.</t>
  </si>
  <si>
    <t>Residential property income</t>
  </si>
  <si>
    <t>or restricted finance costs</t>
  </si>
  <si>
    <t>Sav inc in non-res</t>
  </si>
  <si>
    <t>Income received under the Swiss Tax Agreement where the taxpayer has elected to have the tax deducted</t>
  </si>
  <si>
    <t xml:space="preserve">From the </t>
  </si>
  <si>
    <t>foreign pages</t>
  </si>
  <si>
    <t>Interest and other income from overseas savings</t>
  </si>
  <si>
    <t>A. Country or territory code</t>
  </si>
  <si>
    <t>Dividends from foreign companies</t>
  </si>
  <si>
    <t>Dividends that qualify for UK tax credits</t>
  </si>
  <si>
    <t>The Taxable amount is included in box 6, but not box 7 of the foreign pages</t>
  </si>
  <si>
    <r>
      <t xml:space="preserve">Dividends that </t>
    </r>
    <r>
      <rPr>
        <strike/>
        <u/>
        <sz val="9"/>
        <rFont val="Arial"/>
        <family val="2"/>
      </rPr>
      <t>do not</t>
    </r>
    <r>
      <rPr>
        <strike/>
        <sz val="9"/>
        <rFont val="Arial"/>
        <family val="2"/>
      </rPr>
      <t xml:space="preserve"> qualify for UK tax credits</t>
    </r>
  </si>
  <si>
    <t>The Taxable amount is included in both boxes 6 &amp; 7 on the foreign pages</t>
  </si>
  <si>
    <t>type</t>
  </si>
  <si>
    <t>3-letter code</t>
  </si>
  <si>
    <t>3-letter code + DTA 'asterix'</t>
  </si>
  <si>
    <t>DTA</t>
  </si>
  <si>
    <t>Country or Territory</t>
  </si>
  <si>
    <t>Non-savings income</t>
  </si>
  <si>
    <t xml:space="preserve">Lump sums </t>
  </si>
  <si>
    <t>Savings and gains</t>
  </si>
  <si>
    <t xml:space="preserve">Dividends that do not qualify </t>
  </si>
  <si>
    <t>Gains on life policies etc. with notional tax</t>
  </si>
  <si>
    <t>Non-savings income with notional tax</t>
  </si>
  <si>
    <t>3 letter code *DTA</t>
  </si>
  <si>
    <t>Tax Credit Relief for Income Tax</t>
  </si>
  <si>
    <t>In the 'max tax % rate' box enter the maximum % allowed under the double taxation</t>
  </si>
  <si>
    <t>The order can vary with individual circumstances but usually working out the FTCR on the item</t>
  </si>
  <si>
    <t xml:space="preserve">agreement for that type of income. </t>
  </si>
  <si>
    <t>with the highest allowable rate of foreign tax first, and the lowest last, produces the best results.</t>
  </si>
  <si>
    <t xml:space="preserve">See: </t>
  </si>
  <si>
    <t>Digest_of_Double_Taxation_Treaties</t>
  </si>
  <si>
    <t>From April 2018</t>
  </si>
  <si>
    <t>Where you get an unexpected amount of  FTCR for a later item untick the Foreign (SA106 FOR)</t>
  </si>
  <si>
    <t>Or:</t>
  </si>
  <si>
    <t>Tax Treaties</t>
  </si>
  <si>
    <t>Select or Enter</t>
  </si>
  <si>
    <t>in the Add pages to clear entries and recomplete the FOR and FTCR page again, calculate FTCR</t>
  </si>
  <si>
    <t>ABW</t>
  </si>
  <si>
    <t>Aruba</t>
  </si>
  <si>
    <t>and compare results. Enter the most beneficial result in box 2 on the FOR page.</t>
  </si>
  <si>
    <t>AFG</t>
  </si>
  <si>
    <t>Afghanistan</t>
  </si>
  <si>
    <t>Income type</t>
  </si>
  <si>
    <t>Country or</t>
  </si>
  <si>
    <t>Amount of income</t>
  </si>
  <si>
    <t>Max tax</t>
  </si>
  <si>
    <t>Deduction specifically</t>
  </si>
  <si>
    <t>AGO</t>
  </si>
  <si>
    <t>Angola</t>
  </si>
  <si>
    <t>territory Code</t>
  </si>
  <si>
    <t>from column B</t>
  </si>
  <si>
    <t>from column C</t>
  </si>
  <si>
    <t>% rate</t>
  </si>
  <si>
    <t>attributable to the item</t>
  </si>
  <si>
    <t>AIA</t>
  </si>
  <si>
    <t>Anguilla</t>
  </si>
  <si>
    <t>Item 1</t>
  </si>
  <si>
    <t>country</t>
  </si>
  <si>
    <t>max tax</t>
  </si>
  <si>
    <t>ALB</t>
  </si>
  <si>
    <t>Albania</t>
  </si>
  <si>
    <t>MaxTaxRate LookUp</t>
  </si>
  <si>
    <t>item 1</t>
  </si>
  <si>
    <t>AND</t>
  </si>
  <si>
    <t>Andorra</t>
  </si>
  <si>
    <t>FTCR on item 1</t>
  </si>
  <si>
    <t>item 2</t>
  </si>
  <si>
    <t>ARE</t>
  </si>
  <si>
    <t>United Arab Emirates</t>
  </si>
  <si>
    <t>item 3</t>
  </si>
  <si>
    <t>ARG •</t>
  </si>
  <si>
    <t>Argentina</t>
  </si>
  <si>
    <t>ARG *</t>
  </si>
  <si>
    <t>Item 2</t>
  </si>
  <si>
    <t>item 4</t>
  </si>
  <si>
    <t>ARM</t>
  </si>
  <si>
    <t>ARM •</t>
  </si>
  <si>
    <t>Armenia</t>
  </si>
  <si>
    <t>ARM *</t>
  </si>
  <si>
    <t>1. DT treaty is effective in both Armenia and UK from 1 January 2013 for taxes withheld at source.</t>
  </si>
  <si>
    <t>item 5</t>
  </si>
  <si>
    <t>ASM</t>
  </si>
  <si>
    <t>American Samoa</t>
  </si>
  <si>
    <t>FTCR on item 2</t>
  </si>
  <si>
    <t>item 6</t>
  </si>
  <si>
    <t>ATG</t>
  </si>
  <si>
    <t>ATG •</t>
  </si>
  <si>
    <t>Antigua and Barbuda</t>
  </si>
  <si>
    <t>no article</t>
  </si>
  <si>
    <t>not eligible</t>
  </si>
  <si>
    <t>ATG *</t>
  </si>
  <si>
    <t>item 7</t>
  </si>
  <si>
    <t>AUS •</t>
  </si>
  <si>
    <t>Australia</t>
  </si>
  <si>
    <t>15% (note 1)</t>
  </si>
  <si>
    <t>AUS *</t>
  </si>
  <si>
    <t>1. Only unfranked dividends carry withholding tax.</t>
  </si>
  <si>
    <t>Item 3</t>
  </si>
  <si>
    <t>item 8</t>
  </si>
  <si>
    <t>AUT</t>
  </si>
  <si>
    <t>AUT •</t>
  </si>
  <si>
    <t>Austria</t>
  </si>
  <si>
    <t>AUT *</t>
  </si>
  <si>
    <t>item 9</t>
  </si>
  <si>
    <t>AZE</t>
  </si>
  <si>
    <t>AZE •</t>
  </si>
  <si>
    <t>Azerbaijan</t>
  </si>
  <si>
    <t>AZE *</t>
  </si>
  <si>
    <t>1. 5% on copyright royalties.</t>
  </si>
  <si>
    <t>FTCR on item 3</t>
  </si>
  <si>
    <t>item 10</t>
  </si>
  <si>
    <t>BDI</t>
  </si>
  <si>
    <t>Burundi</t>
  </si>
  <si>
    <t>BEL •</t>
  </si>
  <si>
    <t>Belgium</t>
  </si>
  <si>
    <t>BEL *</t>
  </si>
  <si>
    <t>Item 4</t>
  </si>
  <si>
    <t>BEN</t>
  </si>
  <si>
    <t>Benin</t>
  </si>
  <si>
    <t>BES</t>
  </si>
  <si>
    <t>BES •</t>
  </si>
  <si>
    <t>Bonaire</t>
  </si>
  <si>
    <t>BES *</t>
  </si>
  <si>
    <t>FTCR on item 4</t>
  </si>
  <si>
    <t>Saba</t>
  </si>
  <si>
    <r>
      <t>Sint Eustatius</t>
    </r>
    <r>
      <rPr>
        <i/>
        <sz val="8"/>
        <color indexed="8"/>
        <rFont val="Arial"/>
        <family val="2"/>
      </rPr>
      <t xml:space="preserve"> </t>
    </r>
  </si>
  <si>
    <t>Item 5</t>
  </si>
  <si>
    <t>BFA</t>
  </si>
  <si>
    <t xml:space="preserve">Burkino Faso </t>
  </si>
  <si>
    <t>BGD</t>
  </si>
  <si>
    <t>BGD •</t>
  </si>
  <si>
    <t>Bangladesh</t>
  </si>
  <si>
    <t>BGD *</t>
  </si>
  <si>
    <t>FTCR on item 5</t>
  </si>
  <si>
    <t>BGR</t>
  </si>
  <si>
    <t>BGR •</t>
  </si>
  <si>
    <t>Bulgaria</t>
  </si>
  <si>
    <t>BGR *</t>
  </si>
  <si>
    <t>BHR</t>
  </si>
  <si>
    <t>BHR •</t>
  </si>
  <si>
    <t>Bahrain</t>
  </si>
  <si>
    <t>BHR *</t>
  </si>
  <si>
    <t>1. DT treaty is effective in both Bahrain and UK from 1 January 2013 for taxes withheld at source.</t>
  </si>
  <si>
    <t>Item 6</t>
  </si>
  <si>
    <t>Bahamas</t>
  </si>
  <si>
    <t>BIH</t>
  </si>
  <si>
    <t>BIH •</t>
  </si>
  <si>
    <t>Bosnia and Herzegovina</t>
  </si>
  <si>
    <t>BIH *</t>
  </si>
  <si>
    <t>FTCR on item 6</t>
  </si>
  <si>
    <t>BLR</t>
  </si>
  <si>
    <t>BLR •</t>
  </si>
  <si>
    <t>Belarus</t>
  </si>
  <si>
    <t>BLR *</t>
  </si>
  <si>
    <t>BLZ</t>
  </si>
  <si>
    <t>BLZ •</t>
  </si>
  <si>
    <t>Belize</t>
  </si>
  <si>
    <t>BLZ *</t>
  </si>
  <si>
    <t>Item 7</t>
  </si>
  <si>
    <t>Bermuda</t>
  </si>
  <si>
    <t>BOL</t>
  </si>
  <si>
    <t>BOL •</t>
  </si>
  <si>
    <t>Bolivia</t>
  </si>
  <si>
    <t>BOL *</t>
  </si>
  <si>
    <t>FTCR on item 7</t>
  </si>
  <si>
    <t>BRA</t>
  </si>
  <si>
    <t>Brazil</t>
  </si>
  <si>
    <t>BRB</t>
  </si>
  <si>
    <t>BRB •</t>
  </si>
  <si>
    <t>Barbados</t>
  </si>
  <si>
    <t>15% (S)</t>
  </si>
  <si>
    <t>0% (S)</t>
  </si>
  <si>
    <t>BRB *</t>
  </si>
  <si>
    <t>1. 15% on cinematograph and television royalties.</t>
  </si>
  <si>
    <t>Item 8</t>
  </si>
  <si>
    <t>BRN •</t>
  </si>
  <si>
    <t>Brunei Darussalam</t>
  </si>
  <si>
    <t>BRN *</t>
  </si>
  <si>
    <t>BTN</t>
  </si>
  <si>
    <t>Bhutan</t>
  </si>
  <si>
    <t>FTCR on item 8</t>
  </si>
  <si>
    <t>BWA</t>
  </si>
  <si>
    <t>BWA •</t>
  </si>
  <si>
    <t>Botswana</t>
  </si>
  <si>
    <t>BWA *</t>
  </si>
  <si>
    <t>CAF</t>
  </si>
  <si>
    <t>Central African Republic</t>
  </si>
  <si>
    <t>Item 9</t>
  </si>
  <si>
    <t>CAN •</t>
  </si>
  <si>
    <t>Canada</t>
  </si>
  <si>
    <t>10% (note 1)</t>
  </si>
  <si>
    <t>CAN *</t>
  </si>
  <si>
    <t>1. Zero if loan guaranteed by UK ECGD or Canadian EDC or if Canadian government or local authority bond.
2. Zero if copyright royalties (excluding films and television).</t>
  </si>
  <si>
    <t>CCK</t>
  </si>
  <si>
    <t>CCK •</t>
  </si>
  <si>
    <t>Cocos (Keeling) Islands</t>
  </si>
  <si>
    <t>CCK *</t>
  </si>
  <si>
    <t>FTCR on item 9</t>
  </si>
  <si>
    <t>CHE •</t>
  </si>
  <si>
    <t>Switzerland</t>
  </si>
  <si>
    <t>CHE *</t>
  </si>
  <si>
    <t>CHL</t>
  </si>
  <si>
    <t>CHL •</t>
  </si>
  <si>
    <t>Chile</t>
  </si>
  <si>
    <t>CHL *</t>
  </si>
  <si>
    <t>Item 10</t>
  </si>
  <si>
    <t>CHN</t>
  </si>
  <si>
    <t>CHN •</t>
  </si>
  <si>
    <t>China</t>
  </si>
  <si>
    <t>CHN *</t>
  </si>
  <si>
    <t>1. Exempt in certain circumstances(see Art 11 [3]).</t>
  </si>
  <si>
    <t>CIV</t>
  </si>
  <si>
    <t>CIV •</t>
  </si>
  <si>
    <t>Côte d’Ivoire</t>
  </si>
  <si>
    <t>CIV *</t>
  </si>
  <si>
    <t>1. 18% where paid by an Ivory Cost company exempt from tax or paying at less than normal rates on profits.</t>
  </si>
  <si>
    <t>FTCR on item 10</t>
  </si>
  <si>
    <t>CMR</t>
  </si>
  <si>
    <t>Cameroon</t>
  </si>
  <si>
    <t>COD</t>
  </si>
  <si>
    <t>Democratic Republic of the Congo (formerly Zaire)</t>
  </si>
  <si>
    <t>COG</t>
  </si>
  <si>
    <t>Congo</t>
  </si>
  <si>
    <t>COK</t>
  </si>
  <si>
    <t>Cook Islands</t>
  </si>
  <si>
    <t>COL</t>
  </si>
  <si>
    <t>Columbia</t>
  </si>
  <si>
    <t>COM</t>
  </si>
  <si>
    <t>Comoros</t>
  </si>
  <si>
    <t>CPV</t>
  </si>
  <si>
    <t>Cape Verde</t>
  </si>
  <si>
    <t>CRI</t>
  </si>
  <si>
    <t>Costa Rica</t>
  </si>
  <si>
    <t>CUB</t>
  </si>
  <si>
    <t>Cuba</t>
  </si>
  <si>
    <t>CUW</t>
  </si>
  <si>
    <t>CUW •</t>
  </si>
  <si>
    <t>Curaçao</t>
  </si>
  <si>
    <t>CUW *</t>
  </si>
  <si>
    <t>CXR</t>
  </si>
  <si>
    <t>CXR •</t>
  </si>
  <si>
    <t>Christmas Island</t>
  </si>
  <si>
    <t>CXR *</t>
  </si>
  <si>
    <t>CYN</t>
  </si>
  <si>
    <t>CYM •</t>
  </si>
  <si>
    <t>Cayman Islands</t>
  </si>
  <si>
    <t>0% (note 2)</t>
  </si>
  <si>
    <t>CYN *</t>
  </si>
  <si>
    <t>1. DTA effective in UK from 6 April 2011.
2. DTA does not include provisions relieving dividends, interest or royalties.</t>
  </si>
  <si>
    <t>CYP</t>
  </si>
  <si>
    <t>CYP •</t>
  </si>
  <si>
    <t>Cyprus</t>
  </si>
  <si>
    <t>CYP *</t>
  </si>
  <si>
    <t>1. 5% on film and television royalties.</t>
  </si>
  <si>
    <t>CZE</t>
  </si>
  <si>
    <t>CZE •</t>
  </si>
  <si>
    <t>Czech Republic</t>
  </si>
  <si>
    <t>CZE *</t>
  </si>
  <si>
    <t>1. Zero on copyright royalties.</t>
  </si>
  <si>
    <t>DEU •</t>
  </si>
  <si>
    <t>Germany</t>
  </si>
  <si>
    <t>0 (S) (note 2)</t>
  </si>
  <si>
    <t>15% (S) (note 2)</t>
  </si>
  <si>
    <t>DEU *</t>
  </si>
  <si>
    <t>1.New DT treaty effective in Germany from 1 January 2011. Effective in UK from 1 January 2011 for taxes withheld at source.
2. ‘Subject to tax’ condition applies only to income paid before 1 January 2011.</t>
  </si>
  <si>
    <t>DJI</t>
  </si>
  <si>
    <t>Djibouti</t>
  </si>
  <si>
    <t>DMA</t>
  </si>
  <si>
    <t>Dominica</t>
  </si>
  <si>
    <t>DNK •</t>
  </si>
  <si>
    <t>Denmark</t>
  </si>
  <si>
    <t>DNK *</t>
  </si>
  <si>
    <t>DOM</t>
  </si>
  <si>
    <t>Dominican Republic</t>
  </si>
  <si>
    <t>DZA</t>
  </si>
  <si>
    <t>Algeria</t>
  </si>
  <si>
    <t>ECU</t>
  </si>
  <si>
    <t>Ecuador</t>
  </si>
  <si>
    <t>EGY</t>
  </si>
  <si>
    <t>EGY •</t>
  </si>
  <si>
    <t>Egypt</t>
  </si>
  <si>
    <t>EGY *</t>
  </si>
  <si>
    <t>1. Exempt if loan guaranteed by UK ECGD.</t>
  </si>
  <si>
    <t>ERI</t>
  </si>
  <si>
    <t>Eritrea</t>
  </si>
  <si>
    <t>ESP</t>
  </si>
  <si>
    <t>ESP •</t>
  </si>
  <si>
    <t>Spain</t>
  </si>
  <si>
    <t>ESP *</t>
  </si>
  <si>
    <t>EST</t>
  </si>
  <si>
    <t>EST •</t>
  </si>
  <si>
    <t>Estonia</t>
  </si>
  <si>
    <t>EST *</t>
  </si>
  <si>
    <t>1.Exempt in certain circumstances (see Art 11 [3]).
2. 5% on royalties for the use of industrial, commercial or scientific equipment (see Art 12 [2][6]).</t>
  </si>
  <si>
    <t>ETH</t>
  </si>
  <si>
    <t>ETH •</t>
  </si>
  <si>
    <t>Ethiopia</t>
  </si>
  <si>
    <t>ETH *</t>
  </si>
  <si>
    <t>1.DT treaty is effective in both Ethiopia and UK from 1 March 2013 for taxes withheld at source.</t>
  </si>
  <si>
    <t>FIN •</t>
  </si>
  <si>
    <t>Finland</t>
  </si>
  <si>
    <t>FIN *</t>
  </si>
  <si>
    <t>FJI</t>
  </si>
  <si>
    <t>FJI •</t>
  </si>
  <si>
    <t>Fiji</t>
  </si>
  <si>
    <t>FJI *</t>
  </si>
  <si>
    <t>1. Zero if copyright royalties (excluding films and television).</t>
  </si>
  <si>
    <t>FLK</t>
  </si>
  <si>
    <t>FLK •</t>
  </si>
  <si>
    <t>Falkland Islands</t>
  </si>
  <si>
    <t>Nil (note 2)</t>
  </si>
  <si>
    <t>(note 1)</t>
  </si>
  <si>
    <t>FLK *</t>
  </si>
  <si>
    <t>1.See the Double Taxation Manual at www.hmrc.gov.uk/manuals/index.htm
2.Exempt if loan guaranteed by UK ECGD.</t>
  </si>
  <si>
    <t>FRA •</t>
  </si>
  <si>
    <t>France</t>
  </si>
  <si>
    <t>FRA *</t>
  </si>
  <si>
    <t>FRO</t>
  </si>
  <si>
    <t>FRO •</t>
  </si>
  <si>
    <t>Faroe Islands</t>
  </si>
  <si>
    <t>FRO *</t>
  </si>
  <si>
    <t>1. DT treaty effective in Faroes from 1 January 2009 and in UK from 6 April 2009.</t>
  </si>
  <si>
    <t>FSM</t>
  </si>
  <si>
    <t>Micronesia</t>
  </si>
  <si>
    <t>GAB</t>
  </si>
  <si>
    <t>Gabon</t>
  </si>
  <si>
    <t>United Kingdom</t>
  </si>
  <si>
    <t>GEO</t>
  </si>
  <si>
    <t>GEO •</t>
  </si>
  <si>
    <t>Georgia</t>
  </si>
  <si>
    <t>GEO *</t>
  </si>
  <si>
    <t>GGY •</t>
  </si>
  <si>
    <t>Guernsey</t>
  </si>
  <si>
    <t>GGY *</t>
  </si>
  <si>
    <t>GHA</t>
  </si>
  <si>
    <t>GHA •</t>
  </si>
  <si>
    <t>Ghana</t>
  </si>
  <si>
    <t>12.5% (S)</t>
  </si>
  <si>
    <t>GHA *</t>
  </si>
  <si>
    <t>GIB</t>
  </si>
  <si>
    <t>Gibraltar</t>
  </si>
  <si>
    <t>GIN</t>
  </si>
  <si>
    <t>Guinea</t>
  </si>
  <si>
    <t>GLP</t>
  </si>
  <si>
    <t>GLP •</t>
  </si>
  <si>
    <t>Guadeloupe</t>
  </si>
  <si>
    <t>GLP *</t>
  </si>
  <si>
    <t>GMB</t>
  </si>
  <si>
    <t>GMB •</t>
  </si>
  <si>
    <t>Gambia</t>
  </si>
  <si>
    <t>GMB *</t>
  </si>
  <si>
    <t>GNB</t>
  </si>
  <si>
    <t>Guinea-Bissau</t>
  </si>
  <si>
    <t>GNQ</t>
  </si>
  <si>
    <t>Equatorial Guinea</t>
  </si>
  <si>
    <t>GRC</t>
  </si>
  <si>
    <t>GRC •</t>
  </si>
  <si>
    <t>Greece</t>
  </si>
  <si>
    <t>GRC *</t>
  </si>
  <si>
    <t>GRD</t>
  </si>
  <si>
    <t>GRD •</t>
  </si>
  <si>
    <t>Grenada</t>
  </si>
  <si>
    <t>GRD *</t>
  </si>
  <si>
    <t>GRL</t>
  </si>
  <si>
    <t>Greenland</t>
  </si>
  <si>
    <t>GTM</t>
  </si>
  <si>
    <t>Guatemala</t>
  </si>
  <si>
    <t>GUF</t>
  </si>
  <si>
    <t>GUF •</t>
  </si>
  <si>
    <t>French Guiana</t>
  </si>
  <si>
    <t>GUF *</t>
  </si>
  <si>
    <t>GUM</t>
  </si>
  <si>
    <t>Guam</t>
  </si>
  <si>
    <t>GUY</t>
  </si>
  <si>
    <t>GUY •</t>
  </si>
  <si>
    <t>Guyana</t>
  </si>
  <si>
    <t>15% (S) (note 1)</t>
  </si>
  <si>
    <t>GUY *</t>
  </si>
  <si>
    <t>1. Exempt if loan guaranteed by UK ECGD.
2. A smaller percentage where Guyana Minister of Finance applies Section 39(10) of the Income Tax Act, Chapter 81:01.</t>
  </si>
  <si>
    <t>HKG •</t>
  </si>
  <si>
    <t xml:space="preserve">Hong Kong (SAR) </t>
  </si>
  <si>
    <t>HKG *</t>
  </si>
  <si>
    <t>HND</t>
  </si>
  <si>
    <t>Honduras</t>
  </si>
  <si>
    <t>HRV</t>
  </si>
  <si>
    <t>HRV •</t>
  </si>
  <si>
    <t>Croatia</t>
  </si>
  <si>
    <t>HRV *</t>
  </si>
  <si>
    <t>HTI</t>
  </si>
  <si>
    <t>Haiti</t>
  </si>
  <si>
    <t>HUN •</t>
  </si>
  <si>
    <t>Hungary</t>
  </si>
  <si>
    <t>10% (note 2)</t>
  </si>
  <si>
    <t>HUN *</t>
  </si>
  <si>
    <t>1. New DT treaty effective in Hungary from January 2012. Effective in UK from 1 January 2012 for taxes withheld at source.
2.The prior treaty rate of 15% applies to the dividends paid before 1 January 2012.</t>
  </si>
  <si>
    <t>IDN</t>
  </si>
  <si>
    <t>IDN •</t>
  </si>
  <si>
    <t>Indonesia</t>
  </si>
  <si>
    <t>10% (S)</t>
  </si>
  <si>
    <t>IDN *</t>
  </si>
  <si>
    <t>1. 10% on payments for the use of industrial, commercial or scientific equipment (see Art 12 [2][6]).</t>
  </si>
  <si>
    <t>IMN</t>
  </si>
  <si>
    <t>IMN •</t>
  </si>
  <si>
    <t>Isle of Man</t>
  </si>
  <si>
    <t>IMN *</t>
  </si>
  <si>
    <t>IND •</t>
  </si>
  <si>
    <t>India</t>
  </si>
  <si>
    <t>IND *</t>
  </si>
  <si>
    <t>1. Article includes fees for technical services. For first 5 years of Convention, 15% where payer is Government. 15% for all royalties etc. after the 5 years. Some forms of royalty 10% throughout.</t>
  </si>
  <si>
    <t>IRL •</t>
  </si>
  <si>
    <t>Ireland (Republic of)</t>
  </si>
  <si>
    <t>IRL *</t>
  </si>
  <si>
    <t>1. Exempt where paid to a charity, superannuation fund or insurance companies in respect of pension fund business.</t>
  </si>
  <si>
    <t>IRN</t>
  </si>
  <si>
    <t>Iran</t>
  </si>
  <si>
    <t>IRQ</t>
  </si>
  <si>
    <t>Iraq</t>
  </si>
  <si>
    <t>ISL</t>
  </si>
  <si>
    <t>ISL •</t>
  </si>
  <si>
    <t>Iceland</t>
  </si>
  <si>
    <t>ISL *</t>
  </si>
  <si>
    <t>ISR</t>
  </si>
  <si>
    <t>ISR •</t>
  </si>
  <si>
    <t>Israel</t>
  </si>
  <si>
    <t>ISR *</t>
  </si>
  <si>
    <t>1. See treaty for cinematograph or television royalties.</t>
  </si>
  <si>
    <t>ITA •</t>
  </si>
  <si>
    <t>Italy</t>
  </si>
  <si>
    <t>ITA *</t>
  </si>
  <si>
    <t>JAM</t>
  </si>
  <si>
    <t>JAM •</t>
  </si>
  <si>
    <t>Jamaica</t>
  </si>
  <si>
    <t>12.5% (note 1)</t>
  </si>
  <si>
    <t>JAM *</t>
  </si>
  <si>
    <t>JEY •</t>
  </si>
  <si>
    <t>Jersey</t>
  </si>
  <si>
    <t>JEY *</t>
  </si>
  <si>
    <t>JOR</t>
  </si>
  <si>
    <t>JOR •</t>
  </si>
  <si>
    <t>Jordan</t>
  </si>
  <si>
    <t>JOR *</t>
  </si>
  <si>
    <t>JPN •</t>
  </si>
  <si>
    <t>Japan</t>
  </si>
  <si>
    <t>JPN *</t>
  </si>
  <si>
    <t>KAZ</t>
  </si>
  <si>
    <t>KAZ •</t>
  </si>
  <si>
    <t>Kazakhstan</t>
  </si>
  <si>
    <t>KAZ *</t>
  </si>
  <si>
    <t>1. Exempt if loan Guaranteed by UK ECGD.
2. Unless election is made for net profit basis.</t>
  </si>
  <si>
    <t>KEN</t>
  </si>
  <si>
    <t>KEN •</t>
  </si>
  <si>
    <t>Kenya</t>
  </si>
  <si>
    <t>KEN *</t>
  </si>
  <si>
    <t>KGZ</t>
  </si>
  <si>
    <t xml:space="preserve">Kyrgyzstan </t>
  </si>
  <si>
    <t>KHM</t>
  </si>
  <si>
    <t>Cambodia</t>
  </si>
  <si>
    <t>KIR</t>
  </si>
  <si>
    <t>KIR •</t>
  </si>
  <si>
    <t>Kiribati</t>
  </si>
  <si>
    <t>KIR *</t>
  </si>
  <si>
    <t>KNA</t>
  </si>
  <si>
    <t>KNA •</t>
  </si>
  <si>
    <t>St. Kitts and Nevis</t>
  </si>
  <si>
    <t>KNA *</t>
  </si>
  <si>
    <t>KOR</t>
  </si>
  <si>
    <t>KOR •</t>
  </si>
  <si>
    <t>South Korea</t>
  </si>
  <si>
    <t>KOR *</t>
  </si>
  <si>
    <t>1. Exempt if loan Guaranteed by UK ECGD.</t>
  </si>
  <si>
    <t>KWT</t>
  </si>
  <si>
    <t>KWT •</t>
  </si>
  <si>
    <t>Kuwait</t>
  </si>
  <si>
    <t>KWT *</t>
  </si>
  <si>
    <t>LAO</t>
  </si>
  <si>
    <t>Laos</t>
  </si>
  <si>
    <t>LBN</t>
  </si>
  <si>
    <t>Lebanon</t>
  </si>
  <si>
    <t>LBR</t>
  </si>
  <si>
    <t>Liberia</t>
  </si>
  <si>
    <t>LBY •</t>
  </si>
  <si>
    <t>Libya</t>
  </si>
  <si>
    <t>LBY *</t>
  </si>
  <si>
    <t>1. New DT treaty effective in Libya from 1 January 2011. effective in UK from 6 April 2010.</t>
  </si>
  <si>
    <t>LCA</t>
  </si>
  <si>
    <t>St. Lucia</t>
  </si>
  <si>
    <t>LIE</t>
  </si>
  <si>
    <t>LIE •</t>
  </si>
  <si>
    <t>Liechtenstein</t>
  </si>
  <si>
    <t>LIE *</t>
  </si>
  <si>
    <t>1. DT treaty is effective in both Liechtenstein and UK from 1 February 2013 for taxes withheld at source.</t>
  </si>
  <si>
    <t>LKA</t>
  </si>
  <si>
    <t>LKA •</t>
  </si>
  <si>
    <t>Sri Lanka</t>
  </si>
  <si>
    <t>no limitation</t>
  </si>
  <si>
    <t>LKA *</t>
  </si>
  <si>
    <t>1. Only reduced to this rate where paid on loan, etc. made after 21 June 1989.
2. Only reduced to this rate where rights are granted after 21 June 1989.</t>
  </si>
  <si>
    <t>LSO</t>
  </si>
  <si>
    <t>LSO •</t>
  </si>
  <si>
    <t>Lesotho</t>
  </si>
  <si>
    <t>LSO *</t>
  </si>
  <si>
    <t>LTU</t>
  </si>
  <si>
    <t>LTU •</t>
  </si>
  <si>
    <t>Lithuania</t>
  </si>
  <si>
    <t>LTU *</t>
  </si>
  <si>
    <t>1. Exempt in certain circumstances(see Art 12[2][6]).
2. 5% on royalties for the use of industrial, commercial or scientific equipment (see Art 12[2][6]).</t>
  </si>
  <si>
    <t>LUX •</t>
  </si>
  <si>
    <t>Luxembourg</t>
  </si>
  <si>
    <t>LUX *</t>
  </si>
  <si>
    <t>LVA</t>
  </si>
  <si>
    <t>LVA •</t>
  </si>
  <si>
    <t>Latvia</t>
  </si>
  <si>
    <t>LVA *</t>
  </si>
  <si>
    <t>Exempt if loan guaranteed by UK ECGD or Bank of England.</t>
  </si>
  <si>
    <t>MAC</t>
  </si>
  <si>
    <t>Macao (SAR)</t>
  </si>
  <si>
    <t>MAR</t>
  </si>
  <si>
    <t>MAR •</t>
  </si>
  <si>
    <t>Morocco</t>
  </si>
  <si>
    <t>MAR *</t>
  </si>
  <si>
    <t>MCO</t>
  </si>
  <si>
    <t>Monaco</t>
  </si>
  <si>
    <t>MDA</t>
  </si>
  <si>
    <t>MDA •</t>
  </si>
  <si>
    <t>Moldova</t>
  </si>
  <si>
    <t>5% (note 1)</t>
  </si>
  <si>
    <t>MDA *</t>
  </si>
  <si>
    <t>1. Exempt in certain circumstances (see Art 11[2]).</t>
  </si>
  <si>
    <t>MDG</t>
  </si>
  <si>
    <t>Madagascar</t>
  </si>
  <si>
    <t>MDV</t>
  </si>
  <si>
    <t>Maldives</t>
  </si>
  <si>
    <t>MEX</t>
  </si>
  <si>
    <t>MEX •</t>
  </si>
  <si>
    <t>Mexico</t>
  </si>
  <si>
    <t>MEX *</t>
  </si>
  <si>
    <t>1. A lower rate or exemption will apply in certain circumstances (see Art 11[2]).</t>
  </si>
  <si>
    <t>MHL</t>
  </si>
  <si>
    <t>Marshall Islands</t>
  </si>
  <si>
    <t>MKD</t>
  </si>
  <si>
    <t>MKD •</t>
  </si>
  <si>
    <t>Macedonia (FYR)</t>
  </si>
  <si>
    <t>MKD *</t>
  </si>
  <si>
    <t>MLI</t>
  </si>
  <si>
    <t>Mali</t>
  </si>
  <si>
    <t>MLT</t>
  </si>
  <si>
    <t>MLT •</t>
  </si>
  <si>
    <t>Malta</t>
  </si>
  <si>
    <t>MLT *</t>
  </si>
  <si>
    <t>MMR</t>
  </si>
  <si>
    <t>MMR •</t>
  </si>
  <si>
    <t>Burma (also known as Myanmar)</t>
  </si>
  <si>
    <t>MMR *</t>
  </si>
  <si>
    <t>MNE</t>
  </si>
  <si>
    <t>MNE •</t>
  </si>
  <si>
    <t>Montenegro</t>
  </si>
  <si>
    <t>MNE *</t>
  </si>
  <si>
    <t>MNG</t>
  </si>
  <si>
    <t>MNG •</t>
  </si>
  <si>
    <t>Mongolia</t>
  </si>
  <si>
    <t>MNG *</t>
  </si>
  <si>
    <t>MNP</t>
  </si>
  <si>
    <t>Northern Mariana Islands</t>
  </si>
  <si>
    <t>MOZ</t>
  </si>
  <si>
    <t>Mozambique</t>
  </si>
  <si>
    <t>MRT</t>
  </si>
  <si>
    <t>Mauritania</t>
  </si>
  <si>
    <t>MSR</t>
  </si>
  <si>
    <t>MSR •</t>
  </si>
  <si>
    <t>Montserrat</t>
  </si>
  <si>
    <t>MSR *</t>
  </si>
  <si>
    <t>MTQ</t>
  </si>
  <si>
    <t>MTQ •</t>
  </si>
  <si>
    <t>Martinique</t>
  </si>
  <si>
    <t>MTQ *</t>
  </si>
  <si>
    <t>MUS •</t>
  </si>
  <si>
    <t>Mauritius</t>
  </si>
  <si>
    <t>No limit'n note1</t>
  </si>
  <si>
    <t>MUS *</t>
  </si>
  <si>
    <t>1. Exempt when paid to UK banks.</t>
  </si>
  <si>
    <t>MWI</t>
  </si>
  <si>
    <t>MWI •</t>
  </si>
  <si>
    <t>Malawi</t>
  </si>
  <si>
    <t>MWI *</t>
  </si>
  <si>
    <t>MYS</t>
  </si>
  <si>
    <t>MYS •</t>
  </si>
  <si>
    <t>Malaysia</t>
  </si>
  <si>
    <t>10% (S) (note 1)</t>
  </si>
  <si>
    <t>MYS *</t>
  </si>
  <si>
    <t>1. Exempt if an approved loan (see Art 11).</t>
  </si>
  <si>
    <t>MYT</t>
  </si>
  <si>
    <t>Mayotte</t>
  </si>
  <si>
    <t>NAM •</t>
  </si>
  <si>
    <t>Namibia</t>
  </si>
  <si>
    <t>NAM *</t>
  </si>
  <si>
    <t>1. Copyright royalties only. Other royalties: the lesser of 5% and one half of tax that would otherwise be charged.</t>
  </si>
  <si>
    <t>NCL</t>
  </si>
  <si>
    <t>New Caledonia</t>
  </si>
  <si>
    <t>NER</t>
  </si>
  <si>
    <t>Niger</t>
  </si>
  <si>
    <t>NFK</t>
  </si>
  <si>
    <t>NFK •</t>
  </si>
  <si>
    <t>Norfolk Island</t>
  </si>
  <si>
    <t>NFK *</t>
  </si>
  <si>
    <t>NGA</t>
  </si>
  <si>
    <t>NGA •</t>
  </si>
  <si>
    <t>Nigeria</t>
  </si>
  <si>
    <t>NGA *</t>
  </si>
  <si>
    <t>Nicaragua</t>
  </si>
  <si>
    <t>NIU</t>
  </si>
  <si>
    <t>Niue</t>
  </si>
  <si>
    <t>NLD •</t>
  </si>
  <si>
    <t>Netherlands</t>
  </si>
  <si>
    <t>NLD *</t>
  </si>
  <si>
    <t>1. 15% if dividends paid by a Property Authorised Investment Fund.</t>
  </si>
  <si>
    <t>NOR •</t>
  </si>
  <si>
    <t>Norway</t>
  </si>
  <si>
    <t>NOR *</t>
  </si>
  <si>
    <t>NPL</t>
  </si>
  <si>
    <t>Nepal</t>
  </si>
  <si>
    <t>NRU</t>
  </si>
  <si>
    <t>Nauru</t>
  </si>
  <si>
    <t>NZL</t>
  </si>
  <si>
    <t>NZL •</t>
  </si>
  <si>
    <t>New Zealand</t>
  </si>
  <si>
    <t>NZL *</t>
  </si>
  <si>
    <t>OMN</t>
  </si>
  <si>
    <t>OMN •</t>
  </si>
  <si>
    <t>Oman</t>
  </si>
  <si>
    <t>OMN *</t>
  </si>
  <si>
    <t>1. DT treaty amended by Protocol, effective in both Oman and UK for taxes withheld at source from January 2012.
2. The prior treaty rate of Zero (S) applies to royalties paid before 1 January 2012.</t>
  </si>
  <si>
    <t>PAK</t>
  </si>
  <si>
    <t>PAK •</t>
  </si>
  <si>
    <t>Pakistan</t>
  </si>
  <si>
    <t>20% (note 1)</t>
  </si>
  <si>
    <t>PAK *</t>
  </si>
  <si>
    <t>1. See the Double Taxation Manual, DT14956 and Art 10 at www.hmrc.gov.uk/manuals/index.htm</t>
  </si>
  <si>
    <t>PAN</t>
  </si>
  <si>
    <t>Panama</t>
  </si>
  <si>
    <t>PCN</t>
  </si>
  <si>
    <t>Pitcairn Island</t>
  </si>
  <si>
    <t>PER</t>
  </si>
  <si>
    <t>Peru</t>
  </si>
  <si>
    <t>PHL •</t>
  </si>
  <si>
    <t>Philippines</t>
  </si>
  <si>
    <t>PHL *</t>
  </si>
  <si>
    <t>1. 10% where paid by public issue bond etc. Exempt where loan is guaranteed by a UK government agency.
2. 15% on royalties for films, television or radio.</t>
  </si>
  <si>
    <t>PLW</t>
  </si>
  <si>
    <t>Palau</t>
  </si>
  <si>
    <t>PNG</t>
  </si>
  <si>
    <t>PNG •</t>
  </si>
  <si>
    <t>Papua New Guinea</t>
  </si>
  <si>
    <t>PNG *</t>
  </si>
  <si>
    <t>POL</t>
  </si>
  <si>
    <t>POL •</t>
  </si>
  <si>
    <t>Poland</t>
  </si>
  <si>
    <t>POL *</t>
  </si>
  <si>
    <t>PRI</t>
  </si>
  <si>
    <t>Puerto Rico</t>
  </si>
  <si>
    <t>PRK</t>
  </si>
  <si>
    <t>North Korea</t>
  </si>
  <si>
    <t>PRT •</t>
  </si>
  <si>
    <t>Portugal</t>
  </si>
  <si>
    <t>PRT *</t>
  </si>
  <si>
    <t>PRY</t>
  </si>
  <si>
    <t>Paraguay</t>
  </si>
  <si>
    <t>PYF</t>
  </si>
  <si>
    <t>French Polynesia</t>
  </si>
  <si>
    <t>QAT</t>
  </si>
  <si>
    <t>QAT •</t>
  </si>
  <si>
    <t>Qatar</t>
  </si>
  <si>
    <t>QAT *</t>
  </si>
  <si>
    <t>1. New DT treaty effective in Qatar from 1 January 2011. Effective in UK from 1 January 2011 for taxes withheld at source.</t>
  </si>
  <si>
    <t>REU</t>
  </si>
  <si>
    <t>REU •</t>
  </si>
  <si>
    <t>Reunion</t>
  </si>
  <si>
    <t>REU *</t>
  </si>
  <si>
    <t>ROU</t>
  </si>
  <si>
    <t>ROU •</t>
  </si>
  <si>
    <t>Romania</t>
  </si>
  <si>
    <t>ROU *</t>
  </si>
  <si>
    <t>1. 10% on copyright royalties
2. Rate applies to commissions. See the Double Taxation Manual, DT16054 at www.hmrc.gov.uk/manuals/index.htm</t>
  </si>
  <si>
    <t>RUS</t>
  </si>
  <si>
    <t>RUS •</t>
  </si>
  <si>
    <t>Russian Federation</t>
  </si>
  <si>
    <t>RUS *</t>
  </si>
  <si>
    <t>RWA</t>
  </si>
  <si>
    <t>Rwanda</t>
  </si>
  <si>
    <t>SAU •</t>
  </si>
  <si>
    <t>Saudi Arabia</t>
  </si>
  <si>
    <t>SAU *</t>
  </si>
  <si>
    <t>1. DT treaty effective in Saudi Arabia from 1 January 2010 and in UK from 6 April 2010.
2. Income from debt claims.
3. 5% for royalties paid for the use of or the right to use, industrial, commercial, or scientific equipment, 8% in all other cases.</t>
  </si>
  <si>
    <t>SDN</t>
  </si>
  <si>
    <t>SDN •</t>
  </si>
  <si>
    <t>Sudan</t>
  </si>
  <si>
    <t>SDN *</t>
  </si>
  <si>
    <t>1. Exempt if the dividends are exempt under Sudan law when paid to non-residents.</t>
  </si>
  <si>
    <t>SEN</t>
  </si>
  <si>
    <t>Senegal</t>
  </si>
  <si>
    <t>SGP •</t>
  </si>
  <si>
    <t>Singapore</t>
  </si>
  <si>
    <t>not eligible (note 1)</t>
  </si>
  <si>
    <t>SGP *</t>
  </si>
  <si>
    <t>1. Treaty allows for 15% but there are currently no withholding taxes on dividends.</t>
  </si>
  <si>
    <t>SHN</t>
  </si>
  <si>
    <t>St. Helena and Dependencies</t>
  </si>
  <si>
    <t>SJM</t>
  </si>
  <si>
    <t>Svalbard and Jan Mayen Islands</t>
  </si>
  <si>
    <t>SLB</t>
  </si>
  <si>
    <t>SLB •</t>
  </si>
  <si>
    <t>Solomon Islands</t>
  </si>
  <si>
    <t>SLB *</t>
  </si>
  <si>
    <t>SLE</t>
  </si>
  <si>
    <t>SLE •</t>
  </si>
  <si>
    <t>Sierra Leone</t>
  </si>
  <si>
    <t>SLE *</t>
  </si>
  <si>
    <t>El Salvador</t>
  </si>
  <si>
    <t>SMR</t>
  </si>
  <si>
    <t>San Marino</t>
  </si>
  <si>
    <t>SOM</t>
  </si>
  <si>
    <t>Somalia</t>
  </si>
  <si>
    <t>SPM</t>
  </si>
  <si>
    <t>St. Pierre and Miquelon</t>
  </si>
  <si>
    <t>SRB •</t>
  </si>
  <si>
    <t>Serbia</t>
  </si>
  <si>
    <t>SRB *</t>
  </si>
  <si>
    <t>SSD</t>
  </si>
  <si>
    <t>South Sudan</t>
  </si>
  <si>
    <t>STP</t>
  </si>
  <si>
    <t>Sao Tome and Principe</t>
  </si>
  <si>
    <t>SUR</t>
  </si>
  <si>
    <t>Suriname</t>
  </si>
  <si>
    <t>SVK</t>
  </si>
  <si>
    <t>SVK •</t>
  </si>
  <si>
    <t>Slovak Republic</t>
  </si>
  <si>
    <t>SVK *</t>
  </si>
  <si>
    <t>1. Zero on copyright royalties (see Art (12[3][6]).</t>
  </si>
  <si>
    <t>SVN</t>
  </si>
  <si>
    <t>SVN •</t>
  </si>
  <si>
    <t>Slovenia</t>
  </si>
  <si>
    <t>SVN *</t>
  </si>
  <si>
    <t>SWE •</t>
  </si>
  <si>
    <t>Sweden</t>
  </si>
  <si>
    <t>SWE *</t>
  </si>
  <si>
    <t>SWZ</t>
  </si>
  <si>
    <t>SWZ •</t>
  </si>
  <si>
    <t>Swaziland</t>
  </si>
  <si>
    <t>SWZ *</t>
  </si>
  <si>
    <t>SXM</t>
  </si>
  <si>
    <t>SXM •</t>
  </si>
  <si>
    <t>Sint Maarten (Dutch part)</t>
  </si>
  <si>
    <t>SXM *</t>
  </si>
  <si>
    <t>SYC</t>
  </si>
  <si>
    <t>Seychelles</t>
  </si>
  <si>
    <t>SYR</t>
  </si>
  <si>
    <t>Syria</t>
  </si>
  <si>
    <t>Turks and Caicos Islands</t>
  </si>
  <si>
    <t>TCD</t>
  </si>
  <si>
    <t>Chad</t>
  </si>
  <si>
    <t>TGO</t>
  </si>
  <si>
    <t>Togo</t>
  </si>
  <si>
    <t>THA</t>
  </si>
  <si>
    <t>THA •</t>
  </si>
  <si>
    <t>Thailand</t>
  </si>
  <si>
    <t>25% (note 2)</t>
  </si>
  <si>
    <t>THA *</t>
  </si>
  <si>
    <t>1. Rate only applies to a dividend from a company carrying on an industrial undertaking.
2. 10% if paid to a financial institution.
3. 15% on patent royalties.</t>
  </si>
  <si>
    <t>TJK</t>
  </si>
  <si>
    <t>TJK •</t>
  </si>
  <si>
    <t>Tajikistan</t>
  </si>
  <si>
    <t>TJK *</t>
  </si>
  <si>
    <t>TKL</t>
  </si>
  <si>
    <t>Tokelau</t>
  </si>
  <si>
    <t>TKM</t>
  </si>
  <si>
    <t>TKM •</t>
  </si>
  <si>
    <t>Turkmenistan</t>
  </si>
  <si>
    <t>TKM *</t>
  </si>
  <si>
    <t>TLS</t>
  </si>
  <si>
    <t>Timor-Leste</t>
  </si>
  <si>
    <t>TON</t>
  </si>
  <si>
    <t>Tonga</t>
  </si>
  <si>
    <t>TTO</t>
  </si>
  <si>
    <t>TTO •</t>
  </si>
  <si>
    <t>Trinidad and Tobago</t>
  </si>
  <si>
    <t>TTO *</t>
  </si>
  <si>
    <t>1. Copyright royalties are exempt.</t>
  </si>
  <si>
    <t>TUN</t>
  </si>
  <si>
    <t>TUN •</t>
  </si>
  <si>
    <t>Tunisia</t>
  </si>
  <si>
    <t>TUN *</t>
  </si>
  <si>
    <t>TUR</t>
  </si>
  <si>
    <t>TUR •</t>
  </si>
  <si>
    <t>Turkey</t>
  </si>
  <si>
    <t>TUR *</t>
  </si>
  <si>
    <t>TUV</t>
  </si>
  <si>
    <t>TUV •</t>
  </si>
  <si>
    <t>Tuvalu</t>
  </si>
  <si>
    <t>TUV *</t>
  </si>
  <si>
    <t>TWN</t>
  </si>
  <si>
    <t>TWN •</t>
  </si>
  <si>
    <t>Taiwan</t>
  </si>
  <si>
    <t>TWN *</t>
  </si>
  <si>
    <t>TZA</t>
  </si>
  <si>
    <t>Tanzania</t>
  </si>
  <si>
    <t>UGA</t>
  </si>
  <si>
    <t>UGA •</t>
  </si>
  <si>
    <t>Uganda</t>
  </si>
  <si>
    <t>UGA *</t>
  </si>
  <si>
    <t>UKR</t>
  </si>
  <si>
    <t>UKR •</t>
  </si>
  <si>
    <t>Ukraine</t>
  </si>
  <si>
    <t>UKR *</t>
  </si>
  <si>
    <t>URY</t>
  </si>
  <si>
    <t>Uruguay</t>
  </si>
  <si>
    <t>USA •</t>
  </si>
  <si>
    <t>United States of America</t>
  </si>
  <si>
    <t>USA *</t>
  </si>
  <si>
    <t>UZB</t>
  </si>
  <si>
    <t>UZB •</t>
  </si>
  <si>
    <t>Uzbekistan</t>
  </si>
  <si>
    <t>UZB *</t>
  </si>
  <si>
    <t>VAT</t>
  </si>
  <si>
    <t>Vatican</t>
  </si>
  <si>
    <t>St. Vincent and the Grenadines</t>
  </si>
  <si>
    <t>VEN</t>
  </si>
  <si>
    <t>VEN •</t>
  </si>
  <si>
    <t>Venezuela</t>
  </si>
  <si>
    <t>VEN *</t>
  </si>
  <si>
    <t>1. Exempt if paid on a loan guaranteed by UK ECGD.</t>
  </si>
  <si>
    <t>VGB</t>
  </si>
  <si>
    <t>VGB •</t>
  </si>
  <si>
    <t>British Virgin Islands</t>
  </si>
  <si>
    <t>VGB *</t>
  </si>
  <si>
    <t>1. DTA effective in UK from 6 April 2011.
2. DTA does not include provisions relieving dividends,
interest or royalties.</t>
  </si>
  <si>
    <t>VIR</t>
  </si>
  <si>
    <t>United States Virgin Islands</t>
  </si>
  <si>
    <t>VNM</t>
  </si>
  <si>
    <t>VNM •</t>
  </si>
  <si>
    <t>Vietnam</t>
  </si>
  <si>
    <t>VNM *</t>
  </si>
  <si>
    <t>VUT</t>
  </si>
  <si>
    <t>Vanuatu</t>
  </si>
  <si>
    <t>WLF</t>
  </si>
  <si>
    <t>Wallis and Futuna Islands</t>
  </si>
  <si>
    <t>WSM</t>
  </si>
  <si>
    <t>Samoa</t>
  </si>
  <si>
    <t>YEM</t>
  </si>
  <si>
    <t>Yemen</t>
  </si>
  <si>
    <t>ZAF •</t>
  </si>
  <si>
    <t>South Africa</t>
  </si>
  <si>
    <t>ZAF *</t>
  </si>
  <si>
    <t>ZMB</t>
  </si>
  <si>
    <t>ZMB •</t>
  </si>
  <si>
    <t>Zambia</t>
  </si>
  <si>
    <t>ZMB *</t>
  </si>
  <si>
    <t>ZWE</t>
  </si>
  <si>
    <t>ZWE •</t>
  </si>
  <si>
    <t>Zimbabwe</t>
  </si>
  <si>
    <t>ZWE *</t>
  </si>
  <si>
    <t>ZZZ</t>
  </si>
  <si>
    <t xml:space="preserve">None of the above </t>
  </si>
  <si>
    <t xml:space="preserve">Multiple gains on foreign life policies </t>
  </si>
  <si>
    <t>UK tax treated as paid</t>
  </si>
  <si>
    <t>Trusts etc.</t>
  </si>
  <si>
    <t>Income from trusts and settlements</t>
  </si>
  <si>
    <t>Income from the estates of deceased persons</t>
  </si>
  <si>
    <t>Discretionary income payment from a trust</t>
  </si>
  <si>
    <t>Income from United Kingdom (UK) estates</t>
  </si>
  <si>
    <t xml:space="preserve">Non-savings income </t>
  </si>
  <si>
    <t>Non-savings income taxed at non-repayable</t>
  </si>
  <si>
    <t>Net amount - after tax taken off</t>
  </si>
  <si>
    <t>settlor-interested trusts</t>
  </si>
  <si>
    <t>- after tax taken off</t>
  </si>
  <si>
    <t>basic rate - after tax taken off</t>
  </si>
  <si>
    <t xml:space="preserve">Non-discretionary income from a trust </t>
  </si>
  <si>
    <t>Net amount of non-savings income</t>
  </si>
  <si>
    <t>Net amount of dividend</t>
  </si>
  <si>
    <t xml:space="preserve">Savings income </t>
  </si>
  <si>
    <t>income - after tax taken off</t>
  </si>
  <si>
    <t>Net amount of savings income</t>
  </si>
  <si>
    <t>Dividend income</t>
  </si>
  <si>
    <t>Income chargeable on settlors</t>
  </si>
  <si>
    <t>taxed at basic rate - after tax taken off</t>
  </si>
  <si>
    <t>taxed at trust rate - after tax taken off</t>
  </si>
  <si>
    <t>Net amount of dividend income</t>
  </si>
  <si>
    <t>Income from foreign estates</t>
  </si>
  <si>
    <t xml:space="preserve">Relief for UK tax </t>
  </si>
  <si>
    <t>taxed at dividend trust rate - after tax taken off</t>
  </si>
  <si>
    <t>Foreign estate income</t>
  </si>
  <si>
    <t>already accounted for</t>
  </si>
  <si>
    <t>taxed at dividend rate - after tax taken off</t>
  </si>
  <si>
    <t>Non-savings income paid gross</t>
  </si>
  <si>
    <t>Savings income paid gross</t>
  </si>
  <si>
    <t>Foreign tax paid on estate income</t>
  </si>
  <si>
    <t>Foreign tax for which Foreign Tax Credit Relief</t>
  </si>
  <si>
    <t>Additional tax paid by the trustees on</t>
  </si>
  <si>
    <t>has not been claimed</t>
  </si>
  <si>
    <t>certain UK life insurance policy etc gains</t>
  </si>
  <si>
    <t>residential property income</t>
  </si>
  <si>
    <t>Unused Relief for residential finance costs</t>
  </si>
  <si>
    <t>Residence Status</t>
  </si>
  <si>
    <t>Foreign Income and Gains Regime</t>
  </si>
  <si>
    <t>Not resident in UK for return year</t>
  </si>
  <si>
    <t>Claim for foreign income relief</t>
  </si>
  <si>
    <t>Resident</t>
  </si>
  <si>
    <t>Non-Resident</t>
  </si>
  <si>
    <t>UK_allowance_claim</t>
  </si>
  <si>
    <t>Personal allowances</t>
  </si>
  <si>
    <t>Claim for foreign gains relief</t>
  </si>
  <si>
    <t>UK allces</t>
  </si>
  <si>
    <t>Allowances claimed (by DTA)</t>
  </si>
  <si>
    <t>Overseas Workday Relief</t>
  </si>
  <si>
    <t>Allowances claimed (other basis)</t>
  </si>
  <si>
    <t>Election for overseas workday relief</t>
  </si>
  <si>
    <t>Res_12_years</t>
  </si>
  <si>
    <t>Res_7_years</t>
  </si>
  <si>
    <t>Residence in other countries and Double Taxation Relief</t>
  </si>
  <si>
    <t>Total OWR claimed</t>
  </si>
  <si>
    <t>Under_18</t>
  </si>
  <si>
    <t>Double Taxation Agreement income</t>
  </si>
  <si>
    <t>NON_DOM_Allowances</t>
  </si>
  <si>
    <t>NON_DOM_Charge</t>
  </si>
  <si>
    <t>Temporary Repatriation Facility (TRF)</t>
  </si>
  <si>
    <t>box_NRD40</t>
  </si>
  <si>
    <t>Relief under Double Taxation Agreement</t>
  </si>
  <si>
    <t>Personal TRF</t>
  </si>
  <si>
    <t>Trust TRF</t>
  </si>
  <si>
    <t>FIG_claim_election</t>
  </si>
  <si>
    <t>Relief under other provisions</t>
  </si>
  <si>
    <t>Tax Calculation</t>
  </si>
  <si>
    <t>Underpaid tax</t>
  </si>
  <si>
    <t>Payments on account</t>
  </si>
  <si>
    <t>Claim to reduce payments on account</t>
  </si>
  <si>
    <t>Surplus married couple's allowance and blind person's allowance</t>
  </si>
  <si>
    <t>Blind person's surplus allowance</t>
  </si>
  <si>
    <t>Married couple's surplus allowance</t>
  </si>
  <si>
    <t>Increase in tax due calculated because of earlier years</t>
  </si>
  <si>
    <t>Decrease in tax due because of earlier years</t>
  </si>
  <si>
    <t>L1</t>
  </si>
  <si>
    <t>L2</t>
  </si>
  <si>
    <t>plus</t>
  </si>
  <si>
    <t>Benefits and expenses received</t>
  </si>
  <si>
    <t>or</t>
  </si>
  <si>
    <t>Profit from self-employment</t>
  </si>
  <si>
    <t>Profit from partnerships</t>
  </si>
  <si>
    <t>Interest from partnerships</t>
  </si>
  <si>
    <t>Dividends from partnerships</t>
  </si>
  <si>
    <t>Profit from UK land and property</t>
  </si>
  <si>
    <t>Foreign savings</t>
  </si>
  <si>
    <t>L11C</t>
  </si>
  <si>
    <t>Foreign Gains on life insurance policies with tax treated as paid</t>
  </si>
  <si>
    <t>Trusts and estates</t>
  </si>
  <si>
    <t>UK pensions and state benefits</t>
  </si>
  <si>
    <t>Gains on life insurance policies etc.</t>
  </si>
  <si>
    <t>Gains on life insurance policies etc. with tax treated as paid</t>
  </si>
  <si>
    <t>Redundancy, lump sums, compensation etc.</t>
  </si>
  <si>
    <t>L19</t>
  </si>
  <si>
    <t xml:space="preserve">minus </t>
  </si>
  <si>
    <t>Payments into a retirement annuity contract etc.</t>
  </si>
  <si>
    <t>Foreign tax on estates (tax credit relief not claimed)</t>
  </si>
  <si>
    <t>Income tax relief</t>
  </si>
  <si>
    <t>Annuities</t>
  </si>
  <si>
    <t>Gift of investments and property to charity</t>
  </si>
  <si>
    <t>Foreign income relief</t>
  </si>
  <si>
    <t>Foreign employment relief</t>
  </si>
  <si>
    <t>Reduced Personal Allowance</t>
  </si>
  <si>
    <t>less</t>
  </si>
  <si>
    <t>Marriage Allowance transfer</t>
  </si>
  <si>
    <t>Blind Person's surplus allowance from spouse</t>
  </si>
  <si>
    <t xml:space="preserve">Total </t>
  </si>
  <si>
    <t>L35</t>
  </si>
  <si>
    <t>Total income</t>
  </si>
  <si>
    <t>L37</t>
  </si>
  <si>
    <t>L38</t>
  </si>
  <si>
    <t>for pension payments and Gift Aid payments. This reduces the amount of income charged to higher rates of tax.</t>
  </si>
  <si>
    <t>This reduces the amount of income charged to higher rates of tax.</t>
  </si>
  <si>
    <t>This ensures you receive additional relief on your contributions at your highest marginal rate of tax.</t>
  </si>
  <si>
    <t>L42</t>
  </si>
  <si>
    <t>Pay, pensions, profit etc. (UK rate for England and Northern Ireland)</t>
  </si>
  <si>
    <t>Pay, pensions, profit etc. (Scottish income tax rate)</t>
  </si>
  <si>
    <t>Pay, pensions, profit etc.</t>
  </si>
  <si>
    <t>Starter rate</t>
  </si>
  <si>
    <t>Intermediate rate</t>
  </si>
  <si>
    <t>x 21% =</t>
  </si>
  <si>
    <t>Higher rate</t>
  </si>
  <si>
    <t>Advanced rate</t>
  </si>
  <si>
    <t>Additional rate</t>
  </si>
  <si>
    <t>Top rate</t>
  </si>
  <si>
    <t>L45</t>
  </si>
  <si>
    <t>L46</t>
  </si>
  <si>
    <t>L47a</t>
  </si>
  <si>
    <t>x 40% =</t>
  </si>
  <si>
    <t>x 45% =</t>
  </si>
  <si>
    <t>L49</t>
  </si>
  <si>
    <t>L50</t>
  </si>
  <si>
    <t xml:space="preserve"> Dividends from companies etc.</t>
  </si>
  <si>
    <t>Additional rate band at nil rate</t>
  </si>
  <si>
    <t>L51c</t>
  </si>
  <si>
    <t>L52</t>
  </si>
  <si>
    <t>Redundancy, lump sums, compensation etc. (UK rate for England and Northern Ireland)</t>
  </si>
  <si>
    <t>Redundancy, lump sums, compensation etc. (Scottish income tax rate)</t>
  </si>
  <si>
    <t>Redundancy, lump sums, compensation etc. (Welsh income tax rate)</t>
  </si>
  <si>
    <t>L53</t>
  </si>
  <si>
    <t>L53a</t>
  </si>
  <si>
    <t>L55</t>
  </si>
  <si>
    <t>Income Tax due after allowances and reliefs</t>
  </si>
  <si>
    <t>L55b</t>
  </si>
  <si>
    <t>L55d</t>
  </si>
  <si>
    <t>L57</t>
  </si>
  <si>
    <t>Deficiency Relief</t>
  </si>
  <si>
    <t>Top Slicing Relief</t>
  </si>
  <si>
    <t>Venture Capital Trust relief</t>
  </si>
  <si>
    <t>Enterprise Investment Scheme relief</t>
  </si>
  <si>
    <t>Seed Enterprise Investment Scheme relief</t>
  </si>
  <si>
    <t>Maintenance and alimony paid</t>
  </si>
  <si>
    <t>Married Couple's Allowance</t>
  </si>
  <si>
    <t>x 10% =</t>
  </si>
  <si>
    <t>Surplus Married Couple's Allowance from spouse</t>
  </si>
  <si>
    <t>Relief for finance costs</t>
  </si>
  <si>
    <t>Relief for loan interest from investments</t>
  </si>
  <si>
    <t>Relief for UK tax already accounted for</t>
  </si>
  <si>
    <t>BR difference Tax Reduction</t>
  </si>
  <si>
    <t>Foreign Tax Credit Relief</t>
  </si>
  <si>
    <t>Additional pension relief</t>
  </si>
  <si>
    <t>Relief claimed on a qualifying distribution</t>
  </si>
  <si>
    <t>L77</t>
  </si>
  <si>
    <t>Tax due on Gift Aid payments</t>
  </si>
  <si>
    <t>Remittance basis charge for non-domiciles</t>
  </si>
  <si>
    <t>Income tax</t>
  </si>
  <si>
    <t>Gift Aid tax charge</t>
  </si>
  <si>
    <t>BR difference Tax Charge</t>
  </si>
  <si>
    <t>State Pension lump sum payment</t>
  </si>
  <si>
    <t>pension relief at source charge</t>
  </si>
  <si>
    <t>Temporary repatriation facility (TRF) charge</t>
  </si>
  <si>
    <t>Winter Fuel Payment charge</t>
  </si>
  <si>
    <t>Pension Age Winter Heating Payment charge</t>
  </si>
  <si>
    <t>Income tax liability</t>
  </si>
  <si>
    <t>(1)</t>
  </si>
  <si>
    <t>Non-UK resident's disregarded income</t>
  </si>
  <si>
    <t>Tax deducted from disregarded income</t>
  </si>
  <si>
    <t>Tax which would otherwise be chargeable on non-disregarded income</t>
  </si>
  <si>
    <t>Limit on liability to income tax</t>
  </si>
  <si>
    <t>(2)</t>
  </si>
  <si>
    <t>Income tax liability limited to</t>
  </si>
  <si>
    <t>Lower of (1) or (2)</t>
  </si>
  <si>
    <t>L84d</t>
  </si>
  <si>
    <t xml:space="preserve">10% tax credits on dividends (not repayable) </t>
  </si>
  <si>
    <t xml:space="preserve">8.75% tax treated as paid on dividends from UK companies (not repayable) </t>
  </si>
  <si>
    <t>Notional tax from gains on life policies etc.</t>
  </si>
  <si>
    <t>Notional tax from stock dividends and other income</t>
  </si>
  <si>
    <t>Income Tax due</t>
  </si>
  <si>
    <t>Income Tax due after dividend tax credits</t>
  </si>
  <si>
    <t>Income Tax and TRF charge due</t>
  </si>
  <si>
    <t>Income Tax after dividend tax credits and TRF charge due</t>
  </si>
  <si>
    <t>L86</t>
  </si>
  <si>
    <t>L87</t>
  </si>
  <si>
    <t>Class 4 National Insurance contributions</t>
  </si>
  <si>
    <t>Class 2 National Insurance contributions</t>
  </si>
  <si>
    <t>Total Class 4 National Insurance contributions due</t>
  </si>
  <si>
    <t>Total Class 2 and Class 4 National Insurance contributions due</t>
  </si>
  <si>
    <t>Total Class 2 National Insurance contributions due</t>
  </si>
  <si>
    <t xml:space="preserve">If you’ve registered for Class 2 NICs, your contributions have been treated as paid. </t>
  </si>
  <si>
    <t>Your Class 2 National Insurance contributions due are</t>
  </si>
  <si>
    <t>L91</t>
  </si>
  <si>
    <t>Student Loan repayments (plan 01)</t>
  </si>
  <si>
    <t>Student Loan repayments (plan 02)</t>
  </si>
  <si>
    <t>Student Loan repayments (plan 04)</t>
  </si>
  <si>
    <t>Postgraduate Loan repayments</t>
  </si>
  <si>
    <t>Tax due on annuity and royalty payments</t>
  </si>
  <si>
    <t>Income Tax and Class 2 National Insurance contributions due</t>
  </si>
  <si>
    <t>Income Tax and Class 4 National Insurance contributions due</t>
  </si>
  <si>
    <t>Income Tax, Class 2 and Class 4 National Insurance contributions due</t>
  </si>
  <si>
    <t>L95</t>
  </si>
  <si>
    <t>L96</t>
  </si>
  <si>
    <t>L97A</t>
  </si>
  <si>
    <t>Outstanding debt collected through PAYE</t>
  </si>
  <si>
    <t>L97B</t>
  </si>
  <si>
    <t xml:space="preserve">Balance of PAYE tax </t>
  </si>
  <si>
    <t>CIS and trading income</t>
  </si>
  <si>
    <t>Partnerships</t>
  </si>
  <si>
    <t>UK land and property</t>
  </si>
  <si>
    <t>Overseas income</t>
  </si>
  <si>
    <t>Interest received from UK banks and building societies</t>
  </si>
  <si>
    <t>Void ISAs</t>
  </si>
  <si>
    <t>L110</t>
  </si>
  <si>
    <t>Total Income Tax due</t>
  </si>
  <si>
    <t>Income Tax, Class 2 National Insurance contributions and TRF charge due</t>
  </si>
  <si>
    <t>Income Tax, Class 4 National Insurance contributions and TRF charge due</t>
  </si>
  <si>
    <t>Income Tax, Class 2 and Class 4 National Insurance contributions and TRF charge due</t>
  </si>
  <si>
    <t>L112</t>
  </si>
  <si>
    <t>L113</t>
  </si>
  <si>
    <t xml:space="preserve">plus </t>
  </si>
  <si>
    <t>L113a</t>
  </si>
  <si>
    <t>Business Asset Disposal Relief and or Investors' Relief gains</t>
  </si>
  <si>
    <t>Carried interest basic rate</t>
  </si>
  <si>
    <t>Carried interest</t>
  </si>
  <si>
    <t>Residential property basic rate</t>
  </si>
  <si>
    <t>Residential property</t>
  </si>
  <si>
    <t>Other gains basic rate</t>
  </si>
  <si>
    <t xml:space="preserve">Other gains </t>
  </si>
  <si>
    <t>Taxable Capital Gains</t>
  </si>
  <si>
    <t>L117b</t>
  </si>
  <si>
    <t>Capital Gains Tax adjustment</t>
  </si>
  <si>
    <t>Additional liability for offshore trusts</t>
  </si>
  <si>
    <t>Foreign Tax Credit Relief on Capital Gains</t>
  </si>
  <si>
    <t xml:space="preserve">Capital Gains Tax liability </t>
  </si>
  <si>
    <t>L120</t>
  </si>
  <si>
    <t>Tax on Capital Gains already paid</t>
  </si>
  <si>
    <t xml:space="preserve">Total Capital Gains Tax due </t>
  </si>
  <si>
    <t>Capital Gains Tax overpaid</t>
  </si>
  <si>
    <t>L120d</t>
  </si>
  <si>
    <t>Income Tax, Capital Gains Tax, and Class 2 National Insurance contributions due</t>
  </si>
  <si>
    <t>Income Tax, Capital Gains Tax, and Class 4 National Insurance contributions due</t>
  </si>
  <si>
    <t>Income Tax, Capital Gains Tax, Class 2 and Class 4 National Insurance contributions due</t>
  </si>
  <si>
    <t>Income Tax and Capital Gains Tax due</t>
  </si>
  <si>
    <t>Income Tax, Capital Gains Tax, Class 2 National Insurance contributions</t>
  </si>
  <si>
    <t>and TRF charge due</t>
  </si>
  <si>
    <t>Income Tax, Capital Gains Tax, Class 4 National Insurance contributions</t>
  </si>
  <si>
    <t>Income Tax, Capital Gains Tax, Class 2 and Class 4 National Insurance contributions</t>
  </si>
  <si>
    <t>Income Tax, Capital Gains Tax and TRF charge due</t>
  </si>
  <si>
    <t>L120f</t>
  </si>
  <si>
    <t>L120g</t>
  </si>
  <si>
    <t>reducing Income Tax due</t>
  </si>
  <si>
    <t>reducing Income Tax and Class 2 National Insurance contributions due</t>
  </si>
  <si>
    <t>reducing Income Tax and Class 4 National Insurance contributions due</t>
  </si>
  <si>
    <t>reducing Income Tax, Class 2 and Class 4 National Insurance contributions due</t>
  </si>
  <si>
    <t>reducing Income Tax and TRF charge due</t>
  </si>
  <si>
    <t>reducing Income Tax, Class 2 National Insurance contributions</t>
  </si>
  <si>
    <t>reducing Income Tax, Class 4 National Insurance contributions</t>
  </si>
  <si>
    <t>reducing Income Tax, Class 2 and Class 4 National Insurance contributions</t>
  </si>
  <si>
    <t>L120i</t>
  </si>
  <si>
    <t>Income and Capital Gains Tax due</t>
  </si>
  <si>
    <t>L122</t>
  </si>
  <si>
    <t>Capital Gains Tax overpaid amount remaining</t>
  </si>
  <si>
    <t>L122b</t>
  </si>
  <si>
    <t>Tax already refunded in the year</t>
  </si>
  <si>
    <t>Unpaid tax calculated by reference to earlier years</t>
  </si>
  <si>
    <t>Total tax and National Insurance contributions due</t>
  </si>
  <si>
    <t>Total tax due</t>
  </si>
  <si>
    <t>ANY template rows added will need to be merged from left as far as possible without messing up alignment so the SA302 calc will get the formatting correct on sees letter</t>
  </si>
  <si>
    <t>Components Box</t>
  </si>
  <si>
    <t>Hunanasesiad: Cyfrifiad Treth</t>
  </si>
  <si>
    <t xml:space="preserve">Dyddiad </t>
  </si>
  <si>
    <t>Incwm a dderbyniwyd (cyn didynnu treth)</t>
  </si>
  <si>
    <t>Tâl ar gyfer pob cyflogaeth</t>
  </si>
  <si>
    <t>plws</t>
  </si>
  <si>
    <t>Buddiannau a threuliau a gafwyd</t>
  </si>
  <si>
    <t>llai</t>
  </si>
  <si>
    <t>Treuliau a ganiateir</t>
  </si>
  <si>
    <t>Cyfanswm o bob cyflogaeth</t>
  </si>
  <si>
    <t>Cynlluniau Cyfranddaliadau</t>
  </si>
  <si>
    <t>Elw o hunangyflogaeth</t>
  </si>
  <si>
    <t>Elw o bartneriaethau</t>
  </si>
  <si>
    <t>Llog o bartneriaethau</t>
  </si>
  <si>
    <t>Difidendau o bartneriaethau</t>
  </si>
  <si>
    <t>Elw o dir ac eiddo yn y DU</t>
  </si>
  <si>
    <t>Incwm o dramor</t>
  </si>
  <si>
    <t>Difidendau gan gwmnïau dramor</t>
  </si>
  <si>
    <t>Cynilion tramor</t>
  </si>
  <si>
    <t>Enillion tramor ar bolisïau yswiriant bywyd gyda’r dreth yn cael ei thrin fel petai wedi ei thalu</t>
  </si>
  <si>
    <t>Ymddiriedolaethau ac Ystadau</t>
  </si>
  <si>
    <t>Llog o fanciau, cymdeithasau adeiladu a gwarantau etc yn y DU</t>
  </si>
  <si>
    <t>Difidendau o gwmnïau yn y DU</t>
  </si>
  <si>
    <t>Pensiynau'r DU a budd-daliadau'r Wladwriaeth</t>
  </si>
  <si>
    <t>Enillion ar bolisïau yswiriant bywyd etc</t>
  </si>
  <si>
    <t>Enillion ar bolisïau yswiriant bywyd ac ati,  gyda’r dreth yn cael ei thrin fel petai wedi ei thalu</t>
  </si>
  <si>
    <t>Incwm arall</t>
  </si>
  <si>
    <t>Taliadau diswyddo, cyfandaliadau, iawndaliadau, ayb</t>
  </si>
  <si>
    <t>'Cyfanswm yr incwm a gafwyd''</t>
  </si>
  <si>
    <t>Taliadau i gytundeb Blwydd-dal Ymddeol ac ati</t>
  </si>
  <si>
    <t>Treth dramor ar Ystadau (Rhyddhad Credyd Treth heb ei hawlio)</t>
  </si>
  <si>
    <t>Rhyddhad treth incwm</t>
  </si>
  <si>
    <t>Blwydd-daliadau</t>
  </si>
  <si>
    <t>Rhodd o fuddsoddiadau ac eiddo i elusen</t>
  </si>
  <si>
    <t>Lwfans Personol</t>
  </si>
  <si>
    <t>wfans Personol wedi ei ostwng</t>
  </si>
  <si>
    <t>trosglwyddiad Lwfans Priodasol</t>
  </si>
  <si>
    <t>Lwfans Person Dall</t>
  </si>
  <si>
    <t>Lwfans Person Dall sydd dros ben oddi wrth briod</t>
  </si>
  <si>
    <t>Cyfanswm</t>
  </si>
  <si>
    <t>Cyfanswm yr incwm sy'n drethadwy</t>
  </si>
  <si>
    <t>Cyfanswm yr incwm</t>
  </si>
  <si>
    <t>Sut rydw' i wedi cyfrifo eich treth incwm</t>
  </si>
  <si>
    <t>ar gyfer taliadau pensiwn a thaliadau Rhodd Cymorth. Mae hyn yn gostwng swm yr incwm y codir treth arno ar y cyfraddau treth uwch.</t>
  </si>
  <si>
    <t>Mae hyn yn lleihau'r incwm sy'n daladwy ar y graddfeydd uwch o dreth.</t>
  </si>
  <si>
    <t>Mae hyn yn sicrhau eich bod yn cael rhyddhad ychwanegol ar eich cyfraniadau ar eich cyfradd dreth ffiniol uchaf.</t>
  </si>
  <si>
    <t>Cyflog, pensiynau, elw etc. (cyfradd y DU ar gyfer Cymru, Lloegr a Gogledd Iwerddon)</t>
  </si>
  <si>
    <t>Cyflog, pensiynau, elw etc. (cyfradd yr Alban o dreth incwm)</t>
  </si>
  <si>
    <t>Cyflog, pensiynau, elw ac ati (cyfradd treth incwm Cymru)</t>
  </si>
  <si>
    <t>Cyflog, pensiynau, elw etc.</t>
  </si>
  <si>
    <t>Cyfradd cychwyn</t>
  </si>
  <si>
    <t>Cyfradd sylfaenol</t>
  </si>
  <si>
    <t>Cyfradd ganolradd</t>
  </si>
  <si>
    <t>Cyfradd uwch</t>
  </si>
  <si>
    <t>Cyfradd Ychwanegol</t>
  </si>
  <si>
    <t>Cyfradd uchaf</t>
  </si>
  <si>
    <t>Llog o gynilion o fanciau neu gymdeithasau adeiladu, gwarantau etc.</t>
  </si>
  <si>
    <t>Cyfradd gychwynnol</t>
  </si>
  <si>
    <t xml:space="preserve">Cyfradd sylfaenol ar y gyfradd sero </t>
  </si>
  <si>
    <t xml:space="preserve">Cyfradd uwch ar y gyfradd sero </t>
  </si>
  <si>
    <t>Difidendau o gwmnïau ac ati</t>
  </si>
  <si>
    <t>Cyfradd Ychwanegol ar y gyfradd sero</t>
  </si>
  <si>
    <t>Diswyddo, cyfandaliadau, iawndal ac ati (cyfradd y DU ar gyfer Lloegr a Gogledd Iwerddon)</t>
  </si>
  <si>
    <t>Diswyddo, cyfandaliadau, iawndal ac ati  (cyfradd yr Alban o Dreth Incwm)</t>
  </si>
  <si>
    <t>Diswyddo, cyfandaliadau, iawndal ac ati  (cyfradd Treth Incwm Cymru)</t>
  </si>
  <si>
    <t>Diswyddo, cyfandaliadau, iawndal ac ati</t>
  </si>
  <si>
    <t>Cyfradd Uwch Bellach</t>
  </si>
  <si>
    <t xml:space="preserve">Cyfanswm yr incwm y codwyd treth arno </t>
  </si>
  <si>
    <t>Treth Incwm sy’n ddyledus ar ôl lwfansau a rhyddhad</t>
  </si>
  <si>
    <t>Treth Incwm sydd wedi ei chodi ar ôl lwfansau a rhyddhad</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</si>
  <si>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</si>
  <si>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</si>
  <si>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</si>
  <si>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</si>
  <si>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</si>
  <si>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</si>
  <si>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Cynhaliaeth ac alimoni a dalwyd </t>
  </si>
  <si>
    <t>Lwfans Pâr Priod</t>
  </si>
  <si>
    <t>Lwfans Pâr Priod sydd dros ben oddi wrth briod</t>
  </si>
  <si>
    <t xml:space="preserve"> trosglwyddiad Lwfans Priodasol</t>
  </si>
  <si>
    <t>Rhyddhad am gostau ariannol preswyl</t>
  </si>
  <si>
    <t>Rhyddhad ar gyfer llog ar fenthyciadau o fuddsoddiadau</t>
  </si>
  <si>
    <t>Rhyddhad am dreth y DU a gyfrifwyd eisoes</t>
  </si>
  <si>
    <t>Gostyngiad Treth ar y Gwahaniaeth ar y gyfradd sylfaenol</t>
  </si>
  <si>
    <t>Rhyddhad Credyd Treth Dramor</t>
  </si>
  <si>
    <t>L73A</t>
  </si>
  <si>
    <t>yn llai rhyddhad treth ychwanegol sy'n ddyledus ar daliadau pensiwn</t>
  </si>
  <si>
    <t>Rhyddhad a hawliwyd ar ddosbarthiad cymwys</t>
  </si>
  <si>
    <t>Treth sy'n ddyledus ar Daliadau Rhodd Cymorth</t>
  </si>
  <si>
    <t>Treth Enillion Cyfalaf sy'n ddyledus</t>
  </si>
  <si>
    <t>Tâl sail trosglwyddo ar gyfer y rhai nad yw eu domisil yn y DU</t>
  </si>
  <si>
    <t>Treth incwm</t>
  </si>
  <si>
    <t>Tâl treth Rhodd Cymorth</t>
  </si>
  <si>
    <t>Cyfandaliad pensiwn y Wladwriaeth</t>
  </si>
  <si>
    <t>Tal incwm uchel budd-dal plant</t>
  </si>
  <si>
    <t>plws treth ychwanegol sy'n ddyledus ar daliadau pensiwn</t>
  </si>
  <si>
    <t>Tâl Treth ar y Gwahaniaeth ar y gyfradd sylfaenol</t>
  </si>
  <si>
    <t>Rhwymedigaeth Treth Incwm</t>
  </si>
  <si>
    <t>lncwm heb ei gynnwys yn y cyfrifiad hwn</t>
  </si>
  <si>
    <t>Treth ar incwm a eithriwyd o'r cyfrifiad hwn</t>
  </si>
  <si>
    <t>Treth y byddai modd codi tâl arni fel arall ar incwm heb ei ddiystyru</t>
  </si>
  <si>
    <t>Terfyn ar rwymedigaeth i dreth incwm</t>
  </si>
  <si>
    <t>Rhwymedigaeth treth incwm wedi’i chyfyngu i</t>
  </si>
  <si>
    <t>Yr isaf o (1) neu (2)</t>
  </si>
  <si>
    <t>10% credydau treth ar ddifidendau Cwmnïau yn y DU (na ellir ad-dalu)</t>
  </si>
  <si>
    <t xml:space="preserve">Treth o 8.75% yn cael ei thrin fel wedi'i thalu ar ddifidendau o gwmnïau yn y DU (na ellir ei had-dalu) </t>
  </si>
  <si>
    <t>Treth Dybiannol o enillion ar bolisïau bywyd ac ati</t>
  </si>
  <si>
    <t>Treth Dybiannol o ddifidendau stoc ac incwm arall</t>
  </si>
  <si>
    <t>Treth Incwm sy'n Ddyledus</t>
  </si>
  <si>
    <t>Treth Incwm sy'n Ddyledus ar ôl difidendau credydau treth</t>
  </si>
  <si>
    <t>Cyfraniadau Yswiriant Gwladol Dosbarth 4</t>
  </si>
  <si>
    <t>cyfraniadau Yswiriant Gwladol Dosbarth 4</t>
  </si>
  <si>
    <t xml:space="preserve">plws </t>
  </si>
  <si>
    <t>cyfraniadau Yswiriant Gwladol Dosbarth 2</t>
  </si>
  <si>
    <t>Cyfanswm y Cyfraniadau Yswiriant Gwladol Dosbarth 4 sy'n ddyledus</t>
  </si>
  <si>
    <t>Cyfanswm y Cyfraniadau Yswiriant Gwladol Dosbarth 2 a Dosbarth 4 sy'n ddyledus</t>
  </si>
  <si>
    <t>Cyfanswm y Cyfraniadau Yswiriant Gwladol Dosbarth 2 sy'n ddyledus</t>
  </si>
  <si>
    <t>Os ydych wedi cofrestru ar gyfer CYG Dosbarth 2, mae’ch cyfraniadau wedi cael eu trin fel pe baent wedi’u talu.</t>
  </si>
  <si>
    <t>Y cyfraniadau Yswiriant Gwladol Dosbarth 2 sydd arnoch yw</t>
  </si>
  <si>
    <t>plws ad-daliadau Benthyciadau Myfyrwyr (cynllun 01)</t>
  </si>
  <si>
    <t>plws ad-daliadau Benthyciadau Myfyrwyr (cynllun 02)</t>
  </si>
  <si>
    <t>plws ad-daliadau Benthyciadau Myfyrwyr (cynllun 04)</t>
  </si>
  <si>
    <t>Ad-daliadau Benthyciad Ôl-raddedig</t>
  </si>
  <si>
    <t>Treth ar flwydd-daliadau a breindaliadau</t>
  </si>
  <si>
    <t>Treth Incwm a Chyfraniadau Yswiriant Gwladol Dosbarth 2 sy'n Ddyledus</t>
  </si>
  <si>
    <t>Treth Incwm a Chyfraniadau Yswiriant Gwladol Dosbarth 4 sy'n Ddyledus</t>
  </si>
  <si>
    <t xml:space="preserve">Treth Incwm a Chyfraniadau Yswiriant Gwladol Dosbarth 2 a Dosbarth 4 sy'n ddyledus </t>
  </si>
  <si>
    <t>Treth Incwm sy'n ddyledus</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</si>
  <si>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</si>
  <si>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</si>
  <si>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</si>
  <si>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</si>
  <si>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</si>
  <si>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</si>
  <si>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</si>
  <si>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</si>
  <si>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</si>
  <si>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</si>
  <si>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</si>
  <si>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</si>
  <si>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</si>
  <si>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</si>
  <si>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</si>
  <si>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</si>
  <si>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</si>
  <si>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Rhyddhad Gwaredu Ased Busnes a neu Ryddhad Buddsoddwyr</t>
  </si>
  <si>
    <t>Cyfradd sylfaenol ar gyfer buddiant a drosglwyddir</t>
  </si>
  <si>
    <t>Buddiant a drosglwyddir</t>
  </si>
  <si>
    <t xml:space="preserve">Cyfradd sylfaenol ar gyfer eiddo preswyl </t>
  </si>
  <si>
    <t>Eiddo preswyl</t>
  </si>
  <si>
    <t>Enillion eraill cyfradd sylfaenol</t>
  </si>
  <si>
    <t xml:space="preserve">Enillion eraill </t>
  </si>
  <si>
    <t>Enillion cyfalaf trethadwy</t>
  </si>
  <si>
    <t>Addasiad ar gyfer Treth Enillion Cyfalaf</t>
  </si>
  <si>
    <t xml:space="preserve">Rhwymedigaeth ychwanegol ar gyfer ymddiriedolaethau alltraeth </t>
  </si>
  <si>
    <t>Treth Enillion Cyfalaf sy'n Ddyledus</t>
  </si>
  <si>
    <t>Rhyddhad Credyd Treth Dramor ar enillion cyfalaf</t>
  </si>
  <si>
    <t>Rhwymedigaeth Treth Enillion Cyfalaf</t>
  </si>
  <si>
    <t>Treth Enillion Cyfalaf yn cael ei gordalu</t>
  </si>
  <si>
    <t xml:space="preserve">Treth Incwm, Enillion Cyfalaf a Chyfraniadau Yswiriant Gwladol Dosbarth 2 sy'n ddyledus </t>
  </si>
  <si>
    <t xml:space="preserve">Treth Incwm, Enillion Cyfalaf a Chyfraniadau Yswiriant Gwladol Dosbarth 4 sy'n ddyledus </t>
  </si>
  <si>
    <t xml:space="preserve">Treth Incwm, Enillion Cyfalaf a Chyfraniadau Yswiriant Gwladol Dosbarth 2 a Dosbarth 4 sy'n ddyledus </t>
  </si>
  <si>
    <t>Treth Incwm a Threth Enillion Cyfalaf sy'n ddyledus</t>
  </si>
  <si>
    <t>gostwn y Dreth Incwm sy’n ddyledus</t>
  </si>
  <si>
    <t>gostwng y Dreth Incwm a'r cyfraniadau Yswiriant Gwladol Dosbarth 2 sy’n ddyledus</t>
  </si>
  <si>
    <t>gostwng y Dreth Incwm a'r cyfraniadau Yswiriant Gwladol Dosbarth 4 sy’n ddyledus</t>
  </si>
  <si>
    <t>gostwng y Dreth Incwm a'r cyfraniadau Yswiriant Gwladol Dosbarth 2 a Dosbarth 4 sy’n ddyledus</t>
  </si>
  <si>
    <t>Y swm sy’n weddill o Dreth Enillion Cyfalaf sydd wedi’i gordalu</t>
  </si>
  <si>
    <t xml:space="preserve">Treth a ad-dalwyd eisoes yn ystod y flwyddyn </t>
  </si>
  <si>
    <t>Treth heb ei thalu a gyfrifwyd ar gyfer blynyddoedd blaenorol</t>
  </si>
  <si>
    <t>Cyfanswm y dreth a chyfraniadau Yswiriant Gwladol sy'n ddyledus</t>
  </si>
  <si>
    <t>Cyfanswm y dreth sy'n ddyledus</t>
  </si>
  <si>
    <t>Foreign</t>
  </si>
  <si>
    <t>1 Non-savings</t>
  </si>
  <si>
    <t>2 Lump sum</t>
  </si>
  <si>
    <t xml:space="preserve">3 Savings </t>
  </si>
  <si>
    <t>4 Dividends</t>
  </si>
  <si>
    <t>5 gains</t>
  </si>
  <si>
    <t xml:space="preserve">6 Non-savings </t>
  </si>
  <si>
    <t>income etc.</t>
  </si>
  <si>
    <t>payments</t>
  </si>
  <si>
    <t>UK tax credit qual</t>
  </si>
  <si>
    <t>on life policies etc.</t>
  </si>
  <si>
    <t>with notional tax</t>
  </si>
  <si>
    <t>income</t>
  </si>
  <si>
    <t>total</t>
  </si>
  <si>
    <t>Deductions</t>
  </si>
  <si>
    <t>FTCR calculation</t>
  </si>
  <si>
    <t>UK liability</t>
  </si>
  <si>
    <t>Tax Reduction</t>
  </si>
  <si>
    <t>Foreign tax</t>
  </si>
  <si>
    <t>Start</t>
  </si>
  <si>
    <t>FTCR_run_1</t>
  </si>
  <si>
    <t>run 1</t>
  </si>
  <si>
    <t>FTCR_run_2</t>
  </si>
  <si>
    <t>run 2</t>
  </si>
  <si>
    <t>FTCR_run_3</t>
  </si>
  <si>
    <t>run 3</t>
  </si>
  <si>
    <t>FTCR_run_4</t>
  </si>
  <si>
    <t>run 4</t>
  </si>
  <si>
    <t>FTCR_run_5</t>
  </si>
  <si>
    <t>run 5</t>
  </si>
  <si>
    <t>FTCR_run_6</t>
  </si>
  <si>
    <t>run 6</t>
  </si>
  <si>
    <t>FTCR_run_7</t>
  </si>
  <si>
    <t>run 7</t>
  </si>
  <si>
    <t>FTCR_run_8</t>
  </si>
  <si>
    <t>run 8</t>
  </si>
  <si>
    <t>FTCR_run_9</t>
  </si>
  <si>
    <t>run 9</t>
  </si>
  <si>
    <t>FTCR_run_10</t>
  </si>
  <si>
    <t>run 10</t>
  </si>
  <si>
    <t>c1.1</t>
  </si>
  <si>
    <t>Add together non-savings income etc. and lump sum payments</t>
  </si>
  <si>
    <t>c1.2</t>
  </si>
  <si>
    <t>If any box in this stage is negative substitute zero</t>
  </si>
  <si>
    <t>c1.3</t>
  </si>
  <si>
    <t>Pay</t>
  </si>
  <si>
    <t>£down (for each EMP)</t>
  </si>
  <si>
    <t>c1.5a</t>
  </si>
  <si>
    <t>c1.5b</t>
  </si>
  <si>
    <t>c1.5c</t>
  </si>
  <si>
    <t>£down (for each MOR)</t>
  </si>
  <si>
    <t>c1.6</t>
  </si>
  <si>
    <t>c1.7</t>
  </si>
  <si>
    <t>£down</t>
  </si>
  <si>
    <t>c1.8.1</t>
  </si>
  <si>
    <t>Employment benefits</t>
  </si>
  <si>
    <t>c1.11</t>
  </si>
  <si>
    <t>c1.12</t>
  </si>
  <si>
    <t>c1.13</t>
  </si>
  <si>
    <t>£up</t>
  </si>
  <si>
    <t>c1.14</t>
  </si>
  <si>
    <t>c1.15</t>
  </si>
  <si>
    <t>c1.16</t>
  </si>
  <si>
    <t>Employment expenses</t>
  </si>
  <si>
    <t>c1.17</t>
  </si>
  <si>
    <t>c1.18</t>
  </si>
  <si>
    <t>c1.19</t>
  </si>
  <si>
    <t>Set to zero</t>
  </si>
  <si>
    <t>c1.20</t>
  </si>
  <si>
    <t>c1.21</t>
  </si>
  <si>
    <t>c1.22</t>
  </si>
  <si>
    <t>c1.23</t>
  </si>
  <si>
    <t>c1.24</t>
  </si>
  <si>
    <t>c1.25</t>
  </si>
  <si>
    <t>Share Schemes</t>
  </si>
  <si>
    <t>c1.26</t>
  </si>
  <si>
    <t>c1.28</t>
  </si>
  <si>
    <t>c1.29</t>
  </si>
  <si>
    <t>c1.30</t>
  </si>
  <si>
    <t>Losses brought forward</t>
  </si>
  <si>
    <t>£up (for each SSE)</t>
  </si>
  <si>
    <t>c1.31</t>
  </si>
  <si>
    <t>c1.32</t>
  </si>
  <si>
    <t>c1.34</t>
  </si>
  <si>
    <t>Total taxable profits without losses</t>
  </si>
  <si>
    <t>£down (for each SSE)</t>
  </si>
  <si>
    <t>c1.35</t>
  </si>
  <si>
    <t>c1.35a</t>
  </si>
  <si>
    <t>c1.35b</t>
  </si>
  <si>
    <t>£up (for each FSE)</t>
  </si>
  <si>
    <t>c1.35c</t>
  </si>
  <si>
    <t>c1.35d</t>
  </si>
  <si>
    <t>c1.36</t>
  </si>
  <si>
    <t>c1.37</t>
  </si>
  <si>
    <t>£down (for each FSE)</t>
  </si>
  <si>
    <t>c1.38</t>
  </si>
  <si>
    <t>c1.39</t>
  </si>
  <si>
    <t>c1.40</t>
  </si>
  <si>
    <t>c1.41</t>
  </si>
  <si>
    <t>Total from self-employment</t>
  </si>
  <si>
    <t>c1.42</t>
  </si>
  <si>
    <t>c1.43</t>
  </si>
  <si>
    <t>c1.43a</t>
  </si>
  <si>
    <t>c1.43b</t>
  </si>
  <si>
    <t>c1.43c</t>
  </si>
  <si>
    <t>c1.43d</t>
  </si>
  <si>
    <t>c1.43e</t>
  </si>
  <si>
    <t>c1.43f</t>
  </si>
  <si>
    <t>c1.43g</t>
  </si>
  <si>
    <t>c1.43h</t>
  </si>
  <si>
    <t>c1.43i</t>
  </si>
  <si>
    <t>£up (for each SPS)</t>
  </si>
  <si>
    <t>Share of total taxable profits without losses</t>
  </si>
  <si>
    <t>£down (for each SPS)</t>
  </si>
  <si>
    <t>£up (for each FPS)</t>
  </si>
  <si>
    <t>£down (for each FPS)</t>
  </si>
  <si>
    <t>Profit from partnerships minus losses brought forward</t>
  </si>
  <si>
    <t>c1.44</t>
  </si>
  <si>
    <t>c1.45</t>
  </si>
  <si>
    <t>c1.46</t>
  </si>
  <si>
    <t>c1.47</t>
  </si>
  <si>
    <t>c1.48</t>
  </si>
  <si>
    <t>c1.49</t>
  </si>
  <si>
    <t>Losses brought forward used against this year's profits</t>
  </si>
  <si>
    <t>£up (for each PRO)</t>
  </si>
  <si>
    <t>c1.50</t>
  </si>
  <si>
    <t>c1.51</t>
  </si>
  <si>
    <t>c1.53</t>
  </si>
  <si>
    <t>Taxable profit for the year without losses</t>
  </si>
  <si>
    <t>£down (for each PRO)</t>
  </si>
  <si>
    <t>c1.54</t>
  </si>
  <si>
    <t>c1.55</t>
  </si>
  <si>
    <t>Property income</t>
  </si>
  <si>
    <t>c1.55a</t>
  </si>
  <si>
    <t>c1.56a</t>
  </si>
  <si>
    <t>c1.57</t>
  </si>
  <si>
    <t>Dividends + other income + Gains + benefit</t>
  </si>
  <si>
    <t>Foreign Income without losses</t>
  </si>
  <si>
    <t>Income net of losses</t>
  </si>
  <si>
    <t>If Remittance Basis Claim</t>
  </si>
  <si>
    <t>Savings &amp; Dividends</t>
  </si>
  <si>
    <t>Disguised Remuneration</t>
  </si>
  <si>
    <t>Total non-savings Income</t>
  </si>
  <si>
    <t>Lump sum payments</t>
  </si>
  <si>
    <t>c2.1</t>
  </si>
  <si>
    <t>Add together savings income (not dividends)</t>
  </si>
  <si>
    <t>c2.2</t>
  </si>
  <si>
    <t>c2.4</t>
  </si>
  <si>
    <t>c2.5</t>
  </si>
  <si>
    <t>Your share of untaxed interest etc</t>
  </si>
  <si>
    <t>c2.6</t>
  </si>
  <si>
    <t>c2.7</t>
  </si>
  <si>
    <t>Total all instances</t>
  </si>
  <si>
    <t>c2.7.1</t>
  </si>
  <si>
    <t>Total untaxed savings income taxable at 20% (box 30 + box 34)</t>
  </si>
  <si>
    <t>c2.8</t>
  </si>
  <si>
    <t>+ Taxed income taxable at 20% (box 71 minus box 72)</t>
  </si>
  <si>
    <t>c2.10</t>
  </si>
  <si>
    <t>c2.11</t>
  </si>
  <si>
    <t>c2.12</t>
  </si>
  <si>
    <t>c2.13</t>
  </si>
  <si>
    <t>c2.14</t>
  </si>
  <si>
    <t>c2.15</t>
  </si>
  <si>
    <t>Tax treated as paid (grossed up)</t>
  </si>
  <si>
    <t>c2.16</t>
  </si>
  <si>
    <t>Lower of Gains on foreign life insurance policies and</t>
  </si>
  <si>
    <t>c2.19</t>
  </si>
  <si>
    <t>else</t>
  </si>
  <si>
    <t>Amount of Gains on foreign life insurance policies</t>
  </si>
  <si>
    <t>where no tax treated as paid</t>
  </si>
  <si>
    <t>If No Remittance Basis Claim</t>
  </si>
  <si>
    <t>Untaxed foreign interest</t>
  </si>
  <si>
    <t>Net amount of savings income – after tax taken off</t>
  </si>
  <si>
    <t>+ Net amount of savings income taxed at basic rate</t>
  </si>
  <si>
    <t>+ Savings income – after tax taken off</t>
  </si>
  <si>
    <t>Net amount of savings income taxed at trust rate</t>
  </si>
  <si>
    <t>Savings Interest received</t>
  </si>
  <si>
    <t>Interest from gilt-edged and other UK securities</t>
  </si>
  <si>
    <t>Total interest from UK banks and building societies</t>
  </si>
  <si>
    <t>+ UK life insurance policy etc gains from voided ISAs</t>
  </si>
  <si>
    <t>Total Savings income and gains from life policies etc. (not dividends)</t>
  </si>
  <si>
    <t>Add together dividends</t>
  </si>
  <si>
    <t>c3.2</t>
  </si>
  <si>
    <t>c3.3</t>
  </si>
  <si>
    <t>c3.4</t>
  </si>
  <si>
    <t>c3.4.1</t>
  </si>
  <si>
    <t>Total Dividend income</t>
  </si>
  <si>
    <t>c3.6</t>
  </si>
  <si>
    <t>c3.7</t>
  </si>
  <si>
    <t>Foreign dividends</t>
  </si>
  <si>
    <t>c3.7.1</t>
  </si>
  <si>
    <t>c3.8</t>
  </si>
  <si>
    <t>c3.9</t>
  </si>
  <si>
    <t>c3.10</t>
  </si>
  <si>
    <t>c3.11</t>
  </si>
  <si>
    <t>c3.12</t>
  </si>
  <si>
    <t>c3.13</t>
  </si>
  <si>
    <t>c3.13a</t>
  </si>
  <si>
    <t>c3.15</t>
  </si>
  <si>
    <t>c3.18</t>
  </si>
  <si>
    <t>c3.19</t>
  </si>
  <si>
    <t>Trust dividend income</t>
  </si>
  <si>
    <t>c3.20</t>
  </si>
  <si>
    <t>c3.21.1</t>
  </si>
  <si>
    <t>Non-discretionary income entitlement from a trust</t>
  </si>
  <si>
    <t>c3.22</t>
  </si>
  <si>
    <t>c3.23</t>
  </si>
  <si>
    <t>c3.24</t>
  </si>
  <si>
    <t>c3.25</t>
  </si>
  <si>
    <t>c3.26</t>
  </si>
  <si>
    <t>Non-discretionary income entitlement from a trust at trust rate</t>
  </si>
  <si>
    <t>Total Trust and estates dividends</t>
  </si>
  <si>
    <t>Total dividends from UK companies</t>
  </si>
  <si>
    <t>Total dividend income</t>
  </si>
  <si>
    <t>Add together gains on life insurance policies etc. with tax treated as paid</t>
  </si>
  <si>
    <t>Add together non-savings income etc. with notional tax</t>
  </si>
  <si>
    <t>Total Income</t>
  </si>
  <si>
    <t>Calculate miscellaneous values</t>
  </si>
  <si>
    <t xml:space="preserve">Amount of Double Taxation Agreement income </t>
  </si>
  <si>
    <t>for which partial relief is being claimed</t>
  </si>
  <si>
    <t>Total Income + DTA Income</t>
  </si>
  <si>
    <r>
      <rPr>
        <i/>
        <sz val="9"/>
        <rFont val="Arial"/>
        <family val="2"/>
      </rPr>
      <t>plus</t>
    </r>
    <r>
      <rPr>
        <sz val="9"/>
        <rFont val="Arial"/>
        <family val="2"/>
      </rPr>
      <t xml:space="preserve"> Payroll Giving</t>
    </r>
  </si>
  <si>
    <r>
      <rPr>
        <i/>
        <sz val="9"/>
        <rFont val="Arial"/>
        <family val="2"/>
      </rPr>
      <t xml:space="preserve">minus </t>
    </r>
    <r>
      <rPr>
        <sz val="9"/>
        <rFont val="Arial"/>
        <family val="2"/>
      </rPr>
      <t>Pension payments</t>
    </r>
  </si>
  <si>
    <t>Adjusted Total Income used for calculating the limit on Relief</t>
  </si>
  <si>
    <t>c3a.1</t>
  </si>
  <si>
    <t>Status</t>
  </si>
  <si>
    <t>c3a.1a</t>
  </si>
  <si>
    <t>c3a.2</t>
  </si>
  <si>
    <t>c3a.2a</t>
  </si>
  <si>
    <t>Non-UK resident</t>
  </si>
  <si>
    <t>c3a.2b</t>
  </si>
  <si>
    <t>To be a Scottish or Welsh taxpayer a person must first be a UK resident for tax purposes.</t>
  </si>
  <si>
    <t>c3a.3</t>
  </si>
  <si>
    <t>c3a.3.1</t>
  </si>
  <si>
    <t>c3a.3a</t>
  </si>
  <si>
    <t>c3a.3b</t>
  </si>
  <si>
    <t>c3a.4</t>
  </si>
  <si>
    <t xml:space="preserve">If Tax Status used in calculation = S </t>
  </si>
  <si>
    <t>c3a.4a</t>
  </si>
  <si>
    <t>c3a.5</t>
  </si>
  <si>
    <t xml:space="preserve">If Tax Status used in calculation = C </t>
  </si>
  <si>
    <t>c3a.5a</t>
  </si>
  <si>
    <t>c3a.6</t>
  </si>
  <si>
    <t>Rate bands</t>
  </si>
  <si>
    <t>This box can be negative</t>
  </si>
  <si>
    <t>Tax rates</t>
  </si>
  <si>
    <t>c4.1</t>
  </si>
  <si>
    <t>Calculate income tax reliefs and allowances</t>
  </si>
  <si>
    <t>c4.2</t>
  </si>
  <si>
    <t>If any box in this stage is negative substitute zero, unless otherwise stated</t>
  </si>
  <si>
    <t>c4.3</t>
  </si>
  <si>
    <t>Income Tax Reliefs</t>
  </si>
  <si>
    <t>c4.4</t>
  </si>
  <si>
    <t>Relief subject to Limit</t>
  </si>
  <si>
    <t>Less exclusions</t>
  </si>
  <si>
    <t>Relief Limited to £50,000, or if more,</t>
  </si>
  <si>
    <t>Relief not subject to Limit</t>
  </si>
  <si>
    <t>c4.5</t>
  </si>
  <si>
    <t>Share Loss Relief</t>
  </si>
  <si>
    <t>25% of adjusted total income</t>
  </si>
  <si>
    <t>c4.6</t>
  </si>
  <si>
    <t>c4.7</t>
  </si>
  <si>
    <t>Share loss relief used against income</t>
  </si>
  <si>
    <t>c4.7.1</t>
  </si>
  <si>
    <t>c4.8</t>
  </si>
  <si>
    <t>c4.9</t>
  </si>
  <si>
    <t>Share loss relief to which Enterprise Investment Scheme/</t>
  </si>
  <si>
    <t>c4.10</t>
  </si>
  <si>
    <t>Seed Enterprise Investment Scheme relief is attributable</t>
  </si>
  <si>
    <t>c4.11</t>
  </si>
  <si>
    <t>c4.12</t>
  </si>
  <si>
    <t>c4.13</t>
  </si>
  <si>
    <t>c4.14</t>
  </si>
  <si>
    <t>c4.15</t>
  </si>
  <si>
    <t>c4.16</t>
  </si>
  <si>
    <t>Relief Limited to £50,000, or if more, 25% of adjusted total income</t>
  </si>
  <si>
    <t>If calculation type = non-resident</t>
  </si>
  <si>
    <t>c4.17</t>
  </si>
  <si>
    <t>c4.18</t>
  </si>
  <si>
    <t>c4.19</t>
  </si>
  <si>
    <t>c4.19.1</t>
  </si>
  <si>
    <t>Payments to trade unions or police organisations</t>
  </si>
  <si>
    <t>c4.20</t>
  </si>
  <si>
    <t>Trade Union or friendly society death benefit payments</t>
  </si>
  <si>
    <t>c4.21</t>
  </si>
  <si>
    <t>c4.22</t>
  </si>
  <si>
    <t>c4.23</t>
  </si>
  <si>
    <t>c4.24</t>
  </si>
  <si>
    <t>c4.24.1</t>
  </si>
  <si>
    <t>Trading loss relief for sole traders and partnerships</t>
  </si>
  <si>
    <t>c4.25</t>
  </si>
  <si>
    <t>Sole Traders</t>
  </si>
  <si>
    <t>c4.26</t>
  </si>
  <si>
    <t>Loss brought forward from earlier years set off against this year’s profits</t>
  </si>
  <si>
    <t>c4.27</t>
  </si>
  <si>
    <t>c4.28</t>
  </si>
  <si>
    <t>c4.29</t>
  </si>
  <si>
    <t>c4.30</t>
  </si>
  <si>
    <t>c4.31</t>
  </si>
  <si>
    <t>c4.32</t>
  </si>
  <si>
    <t>c4.33</t>
  </si>
  <si>
    <t>Loss from this tax year set off against other income</t>
  </si>
  <si>
    <t>c4.34</t>
  </si>
  <si>
    <t>c4.35</t>
  </si>
  <si>
    <t>c4.36</t>
  </si>
  <si>
    <t>c4.37</t>
  </si>
  <si>
    <t>set off against this year’s profits</t>
  </si>
  <si>
    <t>c4.37.1</t>
  </si>
  <si>
    <t>c4.38</t>
  </si>
  <si>
    <t>c4.40</t>
  </si>
  <si>
    <t>set off against this year’s transition profits</t>
  </si>
  <si>
    <t>c4.40.1</t>
  </si>
  <si>
    <t>c4.40.2</t>
  </si>
  <si>
    <t>c4.41</t>
  </si>
  <si>
    <t>c4.42</t>
  </si>
  <si>
    <t>c4.43</t>
  </si>
  <si>
    <t>c4.44</t>
  </si>
  <si>
    <t>c4.45</t>
  </si>
  <si>
    <t>c4.46</t>
  </si>
  <si>
    <t>c4.47.1</t>
  </si>
  <si>
    <t>c4.47.2</t>
  </si>
  <si>
    <t>c4.47.3</t>
  </si>
  <si>
    <t>c4.47.4</t>
  </si>
  <si>
    <t>c4.47.5</t>
  </si>
  <si>
    <t>c4.47.6</t>
  </si>
  <si>
    <t>c4.47.7</t>
  </si>
  <si>
    <t>c4.47.8</t>
  </si>
  <si>
    <t>c4.47.9</t>
  </si>
  <si>
    <t>c4.47.10</t>
  </si>
  <si>
    <t>c4.47.11</t>
  </si>
  <si>
    <t>c4.47.12</t>
  </si>
  <si>
    <t>c4.47.13</t>
  </si>
  <si>
    <t>c4.47.14</t>
  </si>
  <si>
    <t>c4.47.15</t>
  </si>
  <si>
    <t>c4.47.16</t>
  </si>
  <si>
    <t>c4.47.17</t>
  </si>
  <si>
    <t>c4.47.18</t>
  </si>
  <si>
    <t>c4.47.19</t>
  </si>
  <si>
    <t>c4.47.20</t>
  </si>
  <si>
    <t>c4.47.21</t>
  </si>
  <si>
    <t>c4.47.22</t>
  </si>
  <si>
    <t>c4.47.23</t>
  </si>
  <si>
    <t>c4.47.24</t>
  </si>
  <si>
    <t>c4.47.25</t>
  </si>
  <si>
    <t>c4.47.26</t>
  </si>
  <si>
    <t>c4.47.27</t>
  </si>
  <si>
    <t>c4.47.28</t>
  </si>
  <si>
    <t>c4.50</t>
  </si>
  <si>
    <t>c4.52</t>
  </si>
  <si>
    <t>c4.53</t>
  </si>
  <si>
    <t>c4.54.1</t>
  </si>
  <si>
    <t>c4.54.2</t>
  </si>
  <si>
    <t>c4.54.3</t>
  </si>
  <si>
    <t>c4.55</t>
  </si>
  <si>
    <t>c4.56</t>
  </si>
  <si>
    <t>c4.57.1</t>
  </si>
  <si>
    <t>c4.57.2</t>
  </si>
  <si>
    <t>c4.57.3</t>
  </si>
  <si>
    <t>c4.57.4</t>
  </si>
  <si>
    <t>c4.59</t>
  </si>
  <si>
    <t>c4.61</t>
  </si>
  <si>
    <t>c4.62</t>
  </si>
  <si>
    <t>c4.63</t>
  </si>
  <si>
    <t>Totals for trading loss relief for sole traders and partnerships</t>
  </si>
  <si>
    <t>Land &amp; Property</t>
  </si>
  <si>
    <t>Total all instances (lower of PRO13 and PRO14)</t>
  </si>
  <si>
    <t>c4.63a</t>
  </si>
  <si>
    <t>c4.63b</t>
  </si>
  <si>
    <t>c4.63c</t>
  </si>
  <si>
    <t>Foreign Property</t>
  </si>
  <si>
    <t>Loss set against total income</t>
  </si>
  <si>
    <t>Lloyd’s losses brought forward from earlier years used against this year’s profits</t>
  </si>
  <si>
    <t>Loss set off against other income</t>
  </si>
  <si>
    <t>c4.67</t>
  </si>
  <si>
    <t>c4.69</t>
  </si>
  <si>
    <t>c4.70</t>
  </si>
  <si>
    <t>c4.70a</t>
  </si>
  <si>
    <t>c4.71</t>
  </si>
  <si>
    <t>c4.73</t>
  </si>
  <si>
    <t>c4.74</t>
  </si>
  <si>
    <t>c4.75</t>
  </si>
  <si>
    <t>Loan Interest</t>
  </si>
  <si>
    <t>c4.75a</t>
  </si>
  <si>
    <t>c4.75b</t>
  </si>
  <si>
    <t>c4.75b1</t>
  </si>
  <si>
    <t>c4.75b2</t>
  </si>
  <si>
    <t>c4.75c</t>
  </si>
  <si>
    <t>c4.75c1</t>
  </si>
  <si>
    <t>c4.75d</t>
  </si>
  <si>
    <t>c4.75e</t>
  </si>
  <si>
    <t>Total Relief</t>
  </si>
  <si>
    <t>c4.75f</t>
  </si>
  <si>
    <t>c4.75g</t>
  </si>
  <si>
    <t>c4.75h</t>
  </si>
  <si>
    <t>Relief amount subject to limit</t>
  </si>
  <si>
    <t>c4.75i</t>
  </si>
  <si>
    <t>c4.75j</t>
  </si>
  <si>
    <t>c4.75k</t>
  </si>
  <si>
    <t>Adjusted Total Income</t>
  </si>
  <si>
    <t>c4.75l</t>
  </si>
  <si>
    <t>used for calculating the limit on Relief</t>
  </si>
  <si>
    <t>c4.75m</t>
  </si>
  <si>
    <t>c4.75n</t>
  </si>
  <si>
    <t>c4.75o</t>
  </si>
  <si>
    <t>c4.75p</t>
  </si>
  <si>
    <t>c4.75q</t>
  </si>
  <si>
    <t>Limit on Relief</t>
  </si>
  <si>
    <t>c4.75r</t>
  </si>
  <si>
    <t>Deduction Cap</t>
  </si>
  <si>
    <t>c4.75s</t>
  </si>
  <si>
    <t>c4.75t</t>
  </si>
  <si>
    <t>Capped Relief Limit</t>
  </si>
  <si>
    <t>Uncapped Relief</t>
  </si>
  <si>
    <t>c4.75u</t>
  </si>
  <si>
    <t>c4.76</t>
  </si>
  <si>
    <t>Total allowable relief</t>
  </si>
  <si>
    <t>c4.76a</t>
  </si>
  <si>
    <t>c4.76b</t>
  </si>
  <si>
    <t>c4.76b1</t>
  </si>
  <si>
    <t>Foreign Income relief</t>
  </si>
  <si>
    <t>c4.76c</t>
  </si>
  <si>
    <t>c4.77</t>
  </si>
  <si>
    <t>non-savings non-dividend</t>
  </si>
  <si>
    <t>c4.78</t>
  </si>
  <si>
    <t>c4.79</t>
  </si>
  <si>
    <t>c4.80</t>
  </si>
  <si>
    <t xml:space="preserve">£up </t>
  </si>
  <si>
    <t>Total non-savings non-dividend FIG claimed</t>
  </si>
  <si>
    <t>Savings FIG claimed</t>
  </si>
  <si>
    <t>Total savings FIG claimed</t>
  </si>
  <si>
    <t>Dividend FIG claimed</t>
  </si>
  <si>
    <t>Total dividends FIG claimed</t>
  </si>
  <si>
    <t>Foreign employment relief (OWR)</t>
  </si>
  <si>
    <t>Relevant net employment income</t>
  </si>
  <si>
    <t>OWR claimed</t>
  </si>
  <si>
    <t>OWR</t>
  </si>
  <si>
    <t>Pension Payments paid gross without tax relief</t>
  </si>
  <si>
    <t>Gift of qualifying investments &amp; real property to charities</t>
  </si>
  <si>
    <t>Copy to c17.7</t>
  </si>
  <si>
    <t>Annual payments</t>
  </si>
  <si>
    <t>Lower of Foreign tax for which FTCR not claimed</t>
  </si>
  <si>
    <t>&amp; Trusts and estates Income</t>
  </si>
  <si>
    <t>Net income including transition profit</t>
  </si>
  <si>
    <t>Net Income</t>
  </si>
  <si>
    <t>used for calculating the election to transfer personal allowance</t>
  </si>
  <si>
    <t>Deduct</t>
  </si>
  <si>
    <t>Gift Aid</t>
  </si>
  <si>
    <t>Pension payments made net (grossed up)</t>
  </si>
  <si>
    <t>Relevant earnings</t>
  </si>
  <si>
    <t>Annual limit for relief</t>
  </si>
  <si>
    <t>Amount for Extending Basic Rate Band</t>
  </si>
  <si>
    <t>Add back</t>
  </si>
  <si>
    <t>Total deductions and additions</t>
  </si>
  <si>
    <t>Adjusted Net Income</t>
  </si>
  <si>
    <r>
      <t xml:space="preserve">Adjusted Total Income </t>
    </r>
    <r>
      <rPr>
        <i/>
        <sz val="9"/>
        <rFont val="Arial"/>
        <family val="2"/>
      </rPr>
      <t>minus</t>
    </r>
    <r>
      <rPr>
        <sz val="9"/>
        <rFont val="Arial"/>
        <family val="2"/>
      </rPr>
      <t xml:space="preserve"> Reliefs</t>
    </r>
  </si>
  <si>
    <t>Total non-savings non-dividend income</t>
  </si>
  <si>
    <t>non-savings non-dividend income after losses brought forward and FIG</t>
  </si>
  <si>
    <t>Personal allowance</t>
  </si>
  <si>
    <t>Blind person's surplus allowance from spouse</t>
  </si>
  <si>
    <t>Total Allowances</t>
  </si>
  <si>
    <t>Election to reduce personal allowance (Marriage Allowance transfer)</t>
  </si>
  <si>
    <t>CESA only</t>
  </si>
  <si>
    <t>If MAT_OUT = FALSE (No Digital Claim AND MAT1 to MAT5 = null)</t>
  </si>
  <si>
    <t>if MAT_OUT = TRUE (Digital Claim OR MAT1 to MAT5 &lt;&gt; null)</t>
  </si>
  <si>
    <t>Marriage Allowance transferred out</t>
  </si>
  <si>
    <t>Total Deductions and Allowances</t>
  </si>
  <si>
    <t>Total disregarded income</t>
  </si>
  <si>
    <t>basic rate, the Scottish basic rate, the dividend nil rate, the savings nil rate, the dividend ordinary rate or the starting rate for savings</t>
  </si>
  <si>
    <t>non-savings after allowances</t>
  </si>
  <si>
    <t>Where you are liable to tax at the dividend nil rate, and if the dividend nil rate were omitted would you be liable to tax at</t>
  </si>
  <si>
    <t>the dividend upper rate or additional rate? If yes, the transfer is invalid.</t>
  </si>
  <si>
    <t>Where you are liable to tax at the savings nil rate the savings nil rate applies.</t>
  </si>
  <si>
    <t>remaining allowances</t>
  </si>
  <si>
    <t>savings in sr band</t>
  </si>
  <si>
    <t>savings in PSA</t>
  </si>
  <si>
    <t>savings in addition to PSA</t>
  </si>
  <si>
    <t>savings after allowances</t>
  </si>
  <si>
    <t>dividends after allowances</t>
  </si>
  <si>
    <t>remaining BR after non-savings and dividends</t>
  </si>
  <si>
    <t>SavNil in BR</t>
  </si>
  <si>
    <t>SavNil in HR</t>
  </si>
  <si>
    <t>Sav in HR</t>
  </si>
  <si>
    <t>remaining BR after non-savings and savings</t>
  </si>
  <si>
    <t>DivNil in BR</t>
  </si>
  <si>
    <t>DivNil in HR</t>
  </si>
  <si>
    <t>Gains etc after allowances</t>
  </si>
  <si>
    <t>Max SavNilBR</t>
  </si>
  <si>
    <t>Max SavNilHR</t>
  </si>
  <si>
    <t>Income in BR + HR</t>
  </si>
  <si>
    <t>*</t>
  </si>
  <si>
    <t>Above BR for non-savings</t>
  </si>
  <si>
    <t>Above BR for all income</t>
  </si>
  <si>
    <t>Above BR for savings and dividends #2</t>
  </si>
  <si>
    <t>PSA in BR</t>
  </si>
  <si>
    <t>PSA in HR</t>
  </si>
  <si>
    <t>HR_case for MAT</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</si>
  <si>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</si>
  <si>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</si>
  <si>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</si>
  <si>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higher rate [or default higher rate]2.]1</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</si>
  <si>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</si>
  <si>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</si>
  <si>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</si>
  <si>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</si>
  <si>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</si>
  <si>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Personal Savings Allowance</t>
  </si>
  <si>
    <t>c5.1</t>
  </si>
  <si>
    <t>Calculate taxable income</t>
  </si>
  <si>
    <t>c5.2</t>
  </si>
  <si>
    <t>c5.3</t>
  </si>
  <si>
    <t>c5.3a</t>
  </si>
  <si>
    <t>c5.4</t>
  </si>
  <si>
    <t>c5.4a</t>
  </si>
  <si>
    <t>c5.4b</t>
  </si>
  <si>
    <t>Total allowances and deductions</t>
  </si>
  <si>
    <t>Extended basic rate band for non-saving-non-dividend income</t>
  </si>
  <si>
    <t>Basic rate band for saving and dividend income</t>
  </si>
  <si>
    <t>c5.5</t>
  </si>
  <si>
    <t>c5.6</t>
  </si>
  <si>
    <t>c5.7</t>
  </si>
  <si>
    <t>c5.8</t>
  </si>
  <si>
    <t>c5.9</t>
  </si>
  <si>
    <t>c5.10</t>
  </si>
  <si>
    <t>c5.11</t>
  </si>
  <si>
    <t>c5.11a</t>
  </si>
  <si>
    <t>c5.12</t>
  </si>
  <si>
    <t>c5.13</t>
  </si>
  <si>
    <t>c5.14</t>
  </si>
  <si>
    <t>c5.15</t>
  </si>
  <si>
    <t>BR_rate (20%)</t>
  </si>
  <si>
    <t>HR_rate (40%)</t>
  </si>
  <si>
    <t>AHR_rate (45%)</t>
  </si>
  <si>
    <t>c5.16</t>
  </si>
  <si>
    <t>c5.17</t>
  </si>
  <si>
    <t>c5.18</t>
  </si>
  <si>
    <t>c5.19</t>
  </si>
  <si>
    <t>c5.20</t>
  </si>
  <si>
    <t>c5.20a</t>
  </si>
  <si>
    <t>c5.20b</t>
  </si>
  <si>
    <t>SR_rate 0%</t>
  </si>
  <si>
    <t>SNil_rate 0%</t>
  </si>
  <si>
    <t>HR 0%</t>
  </si>
  <si>
    <t>AR 0%</t>
  </si>
  <si>
    <t>c5.20c</t>
  </si>
  <si>
    <t>c5.21</t>
  </si>
  <si>
    <t>c5.22</t>
  </si>
  <si>
    <t>c5.23</t>
  </si>
  <si>
    <t>lower of</t>
  </si>
  <si>
    <t>c5.24</t>
  </si>
  <si>
    <t>c5.25</t>
  </si>
  <si>
    <t>c5.26</t>
  </si>
  <si>
    <t>c5.27</t>
  </si>
  <si>
    <t>c5.28</t>
  </si>
  <si>
    <t>Savings income</t>
  </si>
  <si>
    <t>c5.29</t>
  </si>
  <si>
    <t>c5.30</t>
  </si>
  <si>
    <t>c5.31</t>
  </si>
  <si>
    <t>DivNil_rate 0%</t>
  </si>
  <si>
    <t>DivBR_rate (8.75%)</t>
  </si>
  <si>
    <t>DivHR_rate (33.75%)</t>
  </si>
  <si>
    <t>DivAR_rate (39.35%)</t>
  </si>
  <si>
    <t>c5.32</t>
  </si>
  <si>
    <t>c5.33</t>
  </si>
  <si>
    <t>c5.34</t>
  </si>
  <si>
    <t>c5.34a</t>
  </si>
  <si>
    <t>c5.34a1</t>
  </si>
  <si>
    <t>c5.34b</t>
  </si>
  <si>
    <t>c5.34b1</t>
  </si>
  <si>
    <t>c5.34c</t>
  </si>
  <si>
    <t>c5.34d</t>
  </si>
  <si>
    <t>c5.35</t>
  </si>
  <si>
    <t>Dividends income</t>
  </si>
  <si>
    <t>c5.36</t>
  </si>
  <si>
    <t>c5.37</t>
  </si>
  <si>
    <t>c5.38</t>
  </si>
  <si>
    <t>c5.39</t>
  </si>
  <si>
    <t>c5.40</t>
  </si>
  <si>
    <t>c5.41</t>
  </si>
  <si>
    <t>c5.42</t>
  </si>
  <si>
    <t>c5.43</t>
  </si>
  <si>
    <t>c5.43a</t>
  </si>
  <si>
    <t>c5.43b</t>
  </si>
  <si>
    <t>c5.43c</t>
  </si>
  <si>
    <t>Beneficial Ordering</t>
  </si>
  <si>
    <t>Allowances and deductions</t>
  </si>
  <si>
    <t>Taxable income</t>
  </si>
  <si>
    <t>c5.43d</t>
  </si>
  <si>
    <t>More beneficial for c5.1 to free up savings starting rate</t>
  </si>
  <si>
    <t>Income in Higher rate before c5.1</t>
  </si>
  <si>
    <t>c5.43e</t>
  </si>
  <si>
    <t>c5.43f</t>
  </si>
  <si>
    <t>c5.44</t>
  </si>
  <si>
    <t>Allowances to NS available</t>
  </si>
  <si>
    <t>c5.45</t>
  </si>
  <si>
    <t>c5.45a</t>
  </si>
  <si>
    <t>PA more beneficial against non-savings or savings?</t>
  </si>
  <si>
    <t>Sav to reduce</t>
  </si>
  <si>
    <t>c5.45b</t>
  </si>
  <si>
    <t>c5.45c</t>
  </si>
  <si>
    <t>Max allowances NS to Sav</t>
  </si>
  <si>
    <t>c5.46</t>
  </si>
  <si>
    <t>c5.47</t>
  </si>
  <si>
    <t>Ringfenced Allce for Lump Sum offered to Lump Sum vs Non-Sav</t>
  </si>
  <si>
    <t>Max Sav</t>
  </si>
  <si>
    <t>c5.47a</t>
  </si>
  <si>
    <t>c5.48</t>
  </si>
  <si>
    <t>NS Income after Allcs</t>
  </si>
  <si>
    <t>Sav BR 20%</t>
  </si>
  <si>
    <t>c5.48a</t>
  </si>
  <si>
    <t>Taxable NS</t>
  </si>
  <si>
    <t>c5.48a1</t>
  </si>
  <si>
    <t>Sav Income after Allcs</t>
  </si>
  <si>
    <t>Sav HR 40%</t>
  </si>
  <si>
    <t>c5.48a2</t>
  </si>
  <si>
    <t>PA available to DivHR_rate</t>
  </si>
  <si>
    <t>Taxable Sav</t>
  </si>
  <si>
    <t>c5.48b</t>
  </si>
  <si>
    <t>Div Income after Allcs</t>
  </si>
  <si>
    <t>Reduction of Sav at BR</t>
  </si>
  <si>
    <t>c5.48c</t>
  </si>
  <si>
    <t>PA available minus Dividends in HR</t>
  </si>
  <si>
    <t>SR_available</t>
  </si>
  <si>
    <t>c5.48d</t>
  </si>
  <si>
    <t>Max DivBR 0%</t>
  </si>
  <si>
    <t>Reduction of Sav at HR</t>
  </si>
  <si>
    <t>c5.49</t>
  </si>
  <si>
    <t>PA offered to Dividends in HR</t>
  </si>
  <si>
    <t>MaxSR_band</t>
  </si>
  <si>
    <t>c5.49a</t>
  </si>
  <si>
    <t>DivBR 0%</t>
  </si>
  <si>
    <t>Reduction of NS at SSR</t>
  </si>
  <si>
    <t>c5.49b</t>
  </si>
  <si>
    <t>SavNil</t>
  </si>
  <si>
    <t>c5.49c</t>
  </si>
  <si>
    <t>DivBR 8.75%</t>
  </si>
  <si>
    <t>Reduction of NS at SBR/WBR/BR</t>
  </si>
  <si>
    <t>c5.49d</t>
  </si>
  <si>
    <t>CEGNil</t>
  </si>
  <si>
    <t>c5.49e</t>
  </si>
  <si>
    <t>DivHR 0%</t>
  </si>
  <si>
    <t>Reduction of NS at SIR</t>
  </si>
  <si>
    <t>c5.50</t>
  </si>
  <si>
    <t>SNil required by CEG</t>
  </si>
  <si>
    <t>c5.50.1</t>
  </si>
  <si>
    <t>DivHR 33.75%</t>
  </si>
  <si>
    <t>Reduction of NS at SHR/WHR/HR</t>
  </si>
  <si>
    <t>c5.50.2</t>
  </si>
  <si>
    <t>BR_band available to Sav</t>
  </si>
  <si>
    <t>c5.50a</t>
  </si>
  <si>
    <t>LS income in SSR_rate</t>
  </si>
  <si>
    <t>c5.50b</t>
  </si>
  <si>
    <t>SNil available to Sav</t>
  </si>
  <si>
    <t>c5.50c</t>
  </si>
  <si>
    <t>LS income in BR_rate/SBR_rate</t>
  </si>
  <si>
    <t>c5.50d</t>
  </si>
  <si>
    <t>Sav not in SR or Snil</t>
  </si>
  <si>
    <t>c5.51</t>
  </si>
  <si>
    <t>LS income in SIR_rate</t>
  </si>
  <si>
    <t>c5.52</t>
  </si>
  <si>
    <t>Allcs to Div</t>
  </si>
  <si>
    <t>c5.52a</t>
  </si>
  <si>
    <t>NS in HR_band/SIR_band+SHR_band</t>
  </si>
  <si>
    <t>LS income in HR_rate/SHR_rate</t>
  </si>
  <si>
    <t>c5.52b</t>
  </si>
  <si>
    <t>Max allcs reqd by CEG from Div</t>
  </si>
  <si>
    <t>c5.52c</t>
  </si>
  <si>
    <t>c5.52d</t>
  </si>
  <si>
    <t>c5.52e</t>
  </si>
  <si>
    <t>Allcs to NS</t>
  </si>
  <si>
    <t>c5.52e1</t>
  </si>
  <si>
    <t>Total tax on Lump Sum income</t>
  </si>
  <si>
    <t>pdown</t>
  </si>
  <si>
    <t>c5.52e2</t>
  </si>
  <si>
    <t>Max allcs reqd by CEG from NS</t>
  </si>
  <si>
    <t>Allowances from NS</t>
  </si>
  <si>
    <t>c5.52e3</t>
  </si>
  <si>
    <t>c5.52e4</t>
  </si>
  <si>
    <t>BR_band available to CEG</t>
  </si>
  <si>
    <t>c5.52e5</t>
  </si>
  <si>
    <t>Allowances to Div available</t>
  </si>
  <si>
    <t>c5.52e6</t>
  </si>
  <si>
    <t>c5.52e7</t>
  </si>
  <si>
    <t>c5.52e8</t>
  </si>
  <si>
    <t>MaxSR_band if allcs from NS</t>
  </si>
  <si>
    <t>c5.52e9</t>
  </si>
  <si>
    <t>Max allowances</t>
  </si>
  <si>
    <t>c5.52e10</t>
  </si>
  <si>
    <t>Sav in SNil_band</t>
  </si>
  <si>
    <t>c5.52f</t>
  </si>
  <si>
    <t>Max allowances Div to Sav</t>
  </si>
  <si>
    <t>c5.52g</t>
  </si>
  <si>
    <t>Sav if allcs from NS</t>
  </si>
  <si>
    <t>c5.52h</t>
  </si>
  <si>
    <t>c5.49 = non-savings</t>
  </si>
  <si>
    <t>c5.52i</t>
  </si>
  <si>
    <t>c5.50 = lump sum</t>
  </si>
  <si>
    <t>c5.52j</t>
  </si>
  <si>
    <t>c5.51 = savings</t>
  </si>
  <si>
    <t>c5.52k</t>
  </si>
  <si>
    <t xml:space="preserve">More beneficial c5.1 to non-savings </t>
  </si>
  <si>
    <t>Reduction of Lump Sum tax</t>
  </si>
  <si>
    <t>SavNil_band reduced by if allcs to NS</t>
  </si>
  <si>
    <t>c5.52l</t>
  </si>
  <si>
    <t>where Scottish and SAHR_rate &gt; AHR_rate</t>
  </si>
  <si>
    <t>Dividends in DivNil_band</t>
  </si>
  <si>
    <t>c5.52m</t>
  </si>
  <si>
    <t>Maximum income below higher/Scottish higher rate limit</t>
  </si>
  <si>
    <t>Allcs from NS SNil for CEG</t>
  </si>
  <si>
    <t>c5.52n</t>
  </si>
  <si>
    <t>NS Income after Allcs, inc Allcs offered to Lump Sum vs Sav</t>
  </si>
  <si>
    <t>c5.52o</t>
  </si>
  <si>
    <t>NS above</t>
  </si>
  <si>
    <t>Max CEGNilBR_band</t>
  </si>
  <si>
    <t>c5.52p</t>
  </si>
  <si>
    <t>SR_band available</t>
  </si>
  <si>
    <t>NS income in SSR_rate</t>
  </si>
  <si>
    <t>c5.52q</t>
  </si>
  <si>
    <t>Sav Div above</t>
  </si>
  <si>
    <t>Max CEGNilHR_band</t>
  </si>
  <si>
    <t>c5.53</t>
  </si>
  <si>
    <t>NS income in BR_rate/SBR_rate</t>
  </si>
  <si>
    <t>CEGNil where allcs from Div</t>
  </si>
  <si>
    <t>c5.54</t>
  </si>
  <si>
    <t>BR_band available to Sav if allcs from NS</t>
  </si>
  <si>
    <t>c5.54a</t>
  </si>
  <si>
    <t>NS income in SIR_rate</t>
  </si>
  <si>
    <t>c5.54a1</t>
  </si>
  <si>
    <t>c5.54b</t>
  </si>
  <si>
    <t>NS income in HR_rate/SHR_rate</t>
  </si>
  <si>
    <t>c5.54c</t>
  </si>
  <si>
    <t>c5.55</t>
  </si>
  <si>
    <t>Reduction of Div at BR</t>
  </si>
  <si>
    <t>c5.55.1</t>
  </si>
  <si>
    <t>c5.55.2</t>
  </si>
  <si>
    <t>c5.55.3</t>
  </si>
  <si>
    <t>c5.55.4</t>
  </si>
  <si>
    <t>Sav Income in Savings Starter rate</t>
  </si>
  <si>
    <t>c5.55.5</t>
  </si>
  <si>
    <t>Savings minus PSA</t>
  </si>
  <si>
    <t>c5.55.6</t>
  </si>
  <si>
    <t>Non-Savings in unused SR_band in preference to LS</t>
  </si>
  <si>
    <t>c5.55.6a</t>
  </si>
  <si>
    <t>SR_band not available for Savings</t>
  </si>
  <si>
    <t>c5.55.6b</t>
  </si>
  <si>
    <t>Sav income in PSA BR_rate</t>
  </si>
  <si>
    <t>c5.55.7</t>
  </si>
  <si>
    <t>SR_band required for Savings</t>
  </si>
  <si>
    <t>c5.55.8</t>
  </si>
  <si>
    <t>Sav income in BR_rate</t>
  </si>
  <si>
    <t>c5.55.9</t>
  </si>
  <si>
    <t>SR_band not required for Savings</t>
  </si>
  <si>
    <t>c5.55.10</t>
  </si>
  <si>
    <t>and</t>
  </si>
  <si>
    <t>Allowances from Div</t>
  </si>
  <si>
    <t>c5.55.11</t>
  </si>
  <si>
    <t>Savings not in a nil band</t>
  </si>
  <si>
    <t>c5.55.12</t>
  </si>
  <si>
    <t>c5.55.13</t>
  </si>
  <si>
    <t>c5.55.14</t>
  </si>
  <si>
    <t>Sav income in PSA HR_rate</t>
  </si>
  <si>
    <t>c5.55.14a</t>
  </si>
  <si>
    <t>c5.55.15</t>
  </si>
  <si>
    <t>Sav income in HR_rate</t>
  </si>
  <si>
    <t>c5.55.16</t>
  </si>
  <si>
    <t>c5.55.17</t>
  </si>
  <si>
    <t>c5.55.18</t>
  </si>
  <si>
    <t>Non-savings</t>
  </si>
  <si>
    <t>c5.55.19</t>
  </si>
  <si>
    <t>More beneficial to keep PSA Nil in HR_band?</t>
  </si>
  <si>
    <t>c5.55.20</t>
  </si>
  <si>
    <t>c5.55.21</t>
  </si>
  <si>
    <t>c5.55.22</t>
  </si>
  <si>
    <t>c5.55.23</t>
  </si>
  <si>
    <t>c5.55.24</t>
  </si>
  <si>
    <t>c5.55.25</t>
  </si>
  <si>
    <t>c5.55.26</t>
  </si>
  <si>
    <t>c5.55.26a</t>
  </si>
  <si>
    <t>c5.55.27</t>
  </si>
  <si>
    <t>c5.55.28</t>
  </si>
  <si>
    <t>c5.55.29</t>
  </si>
  <si>
    <t>c5.55.30</t>
  </si>
  <si>
    <t>c5.55.31</t>
  </si>
  <si>
    <t>c5.55.32</t>
  </si>
  <si>
    <t>c5.55.33</t>
  </si>
  <si>
    <t>c5.55.34</t>
  </si>
  <si>
    <t>c5.55.35</t>
  </si>
  <si>
    <t>Allcs for Lump Sum (LS)</t>
  </si>
  <si>
    <t>c5.55.36</t>
  </si>
  <si>
    <t>c5.55.37</t>
  </si>
  <si>
    <t>Total tax on non-savings &amp; Lump Sum income</t>
  </si>
  <si>
    <t>c5.55.38</t>
  </si>
  <si>
    <t>c5.55.39</t>
  </si>
  <si>
    <t>Available Allcs</t>
  </si>
  <si>
    <t>Total tax on savings &amp; dividend income</t>
  </si>
  <si>
    <t>c5.55.39a</t>
  </si>
  <si>
    <t>c5.55.40</t>
  </si>
  <si>
    <t>Allcs to NS/Sav/Div in preference to LS</t>
  </si>
  <si>
    <t>NS Sav Div LS tax after Allce to NS</t>
  </si>
  <si>
    <t>c5.55.41</t>
  </si>
  <si>
    <t>c5.55.42</t>
  </si>
  <si>
    <t>c5.56</t>
  </si>
  <si>
    <t>Lump sum</t>
  </si>
  <si>
    <t>c5.56.1</t>
  </si>
  <si>
    <t>c5.56.2</t>
  </si>
  <si>
    <t>c5.56a</t>
  </si>
  <si>
    <t>non-savings</t>
  </si>
  <si>
    <t>c5.56b</t>
  </si>
  <si>
    <t>c5.56c</t>
  </si>
  <si>
    <t>c5.56c1</t>
  </si>
  <si>
    <t>c5.56c2</t>
  </si>
  <si>
    <t>c5.56d</t>
  </si>
  <si>
    <t>c5.56e</t>
  </si>
  <si>
    <t>savings</t>
  </si>
  <si>
    <t>c5.56e1</t>
  </si>
  <si>
    <t>c5.56f</t>
  </si>
  <si>
    <t>c5.56g</t>
  </si>
  <si>
    <t>Savings Rate</t>
  </si>
  <si>
    <t>c5.56h</t>
  </si>
  <si>
    <t>c5.56i</t>
  </si>
  <si>
    <t>c5.56j</t>
  </si>
  <si>
    <t>c5.56k</t>
  </si>
  <si>
    <t>c5.56l</t>
  </si>
  <si>
    <t>dividends</t>
  </si>
  <si>
    <t>c5.56m</t>
  </si>
  <si>
    <t>PA to reduce NS (vs Div) minus Allcs allocated</t>
  </si>
  <si>
    <t>c5.56n</t>
  </si>
  <si>
    <t>NS Sav Div LS tax before Allce to NS</t>
  </si>
  <si>
    <t>c5.56o</t>
  </si>
  <si>
    <t>c5.56p</t>
  </si>
  <si>
    <t xml:space="preserve"> Reduction of NS/Sav/Div/LS tax</t>
  </si>
  <si>
    <t>c5.57a</t>
  </si>
  <si>
    <t>c5.57</t>
  </si>
  <si>
    <t>from c5.11</t>
  </si>
  <si>
    <t xml:space="preserve">Savings </t>
  </si>
  <si>
    <t>c5.58</t>
  </si>
  <si>
    <t>c5.58a.1a</t>
  </si>
  <si>
    <t>c5.58a.1b</t>
  </si>
  <si>
    <t>c5.58a.1</t>
  </si>
  <si>
    <t>c5.58a.2</t>
  </si>
  <si>
    <t>PA to reduce NS</t>
  </si>
  <si>
    <t>c5.58a.3</t>
  </si>
  <si>
    <t>c5.58a.4</t>
  </si>
  <si>
    <t>c5.58a.5</t>
  </si>
  <si>
    <t>c5.58a.6</t>
  </si>
  <si>
    <t>c5.58a.7</t>
  </si>
  <si>
    <t>c5.58a.8</t>
  </si>
  <si>
    <t>c5.58a.9</t>
  </si>
  <si>
    <t>c5.58a.10</t>
  </si>
  <si>
    <t>c5.58a.11</t>
  </si>
  <si>
    <t>Calculation boxes c5.56.1 to c5.56p determine if it is more beneficial</t>
  </si>
  <si>
    <t>c5.58a.12</t>
  </si>
  <si>
    <t>Calculation boxes c5.54a to c5.56 determine if it is more beneficial</t>
  </si>
  <si>
    <t xml:space="preserve"> for the reliefs and allowances identified in c5.52c to be allocated to Dividends</t>
  </si>
  <si>
    <t>c5.58a.13</t>
  </si>
  <si>
    <t>Allowances are allocated to Dividends - the result is c5.56d,  then to savings - the result is c5.56o</t>
  </si>
  <si>
    <t>Ringfenced Allce for Lump Sum offered to Sav</t>
  </si>
  <si>
    <t>c5.58a.13a</t>
  </si>
  <si>
    <t>Allowances are allocated to Dividends - the result is c5.55.10, then to non-savings - the result is c5.55.42</t>
  </si>
  <si>
    <t>If the reduction of non-savings and savings tax at c5.56o is larger than or equal to the</t>
  </si>
  <si>
    <t>c5.58a.14</t>
  </si>
  <si>
    <t>If the reduction of non-savings and savings tax at c5.55.42 is larger than or equal to the</t>
  </si>
  <si>
    <t>reduction of dividend tax at c5.56d the reliefs and allowances are allocated to non-savings/savings</t>
  </si>
  <si>
    <t>c5.58a.15</t>
  </si>
  <si>
    <t>reduction of dividend tax at c5.55.10 the reliefs and allowances are allocated to non-savings/savings</t>
  </si>
  <si>
    <t>c5.58a.16</t>
  </si>
  <si>
    <t>Sav Income after Allcs, inc Allcs offered to Lump Sum</t>
  </si>
  <si>
    <t>c5.58a.17</t>
  </si>
  <si>
    <t>c5.58a.18</t>
  </si>
  <si>
    <t>Lump Sum Income after Allcs</t>
  </si>
  <si>
    <t>c5.58a.18a</t>
  </si>
  <si>
    <t>c5.58a.19</t>
  </si>
  <si>
    <t>c5.58a.20</t>
  </si>
  <si>
    <t>Div Income in basic rate band</t>
  </si>
  <si>
    <t>c5.58a.21</t>
  </si>
  <si>
    <t>c5.58a.22</t>
  </si>
  <si>
    <t>c5.58a.23</t>
  </si>
  <si>
    <t>c5.58a.24</t>
  </si>
  <si>
    <t>c5.58a.25</t>
  </si>
  <si>
    <t>Savings Starter rate</t>
  </si>
  <si>
    <t>c5.58a.25a</t>
  </si>
  <si>
    <t>c5.58a.26</t>
  </si>
  <si>
    <t>c5.58a.27</t>
  </si>
  <si>
    <t>c5.58a.28</t>
  </si>
  <si>
    <t>c5.58a.29</t>
  </si>
  <si>
    <t>Reduction of dividend tax</t>
  </si>
  <si>
    <t>c5.58a.30</t>
  </si>
  <si>
    <t>Income above basic rate band</t>
  </si>
  <si>
    <t>c5.58a.31</t>
  </si>
  <si>
    <t>c5.58a.32</t>
  </si>
  <si>
    <t>Income in basic rate band</t>
  </si>
  <si>
    <t>c5.58a.33</t>
  </si>
  <si>
    <t>c5.58a.34</t>
  </si>
  <si>
    <t>c5.58a.35</t>
  </si>
  <si>
    <t>c5.58a.36</t>
  </si>
  <si>
    <t>c5.58a.37</t>
  </si>
  <si>
    <t>c5.58a.38</t>
  </si>
  <si>
    <t>Allcs offered to NS</t>
  </si>
  <si>
    <t>c5.58a.39</t>
  </si>
  <si>
    <t>c5.58a.40</t>
  </si>
  <si>
    <t>c5.58a.41</t>
  </si>
  <si>
    <t>c5.58a.42</t>
  </si>
  <si>
    <t>c5.58a.43</t>
  </si>
  <si>
    <t>c5.58.43a</t>
  </si>
  <si>
    <t>Allcs offered to Sav</t>
  </si>
  <si>
    <t>c5.58a.44</t>
  </si>
  <si>
    <t>c5.58a.45</t>
  </si>
  <si>
    <t>c5.58a.46</t>
  </si>
  <si>
    <t>c5.58a.47</t>
  </si>
  <si>
    <t>c5.58a.48</t>
  </si>
  <si>
    <t>c5.58a.49</t>
  </si>
  <si>
    <t>c5.58a.50</t>
  </si>
  <si>
    <t>c5.58a.51</t>
  </si>
  <si>
    <t>c5.58a.52</t>
  </si>
  <si>
    <t>Sav Basic rate</t>
  </si>
  <si>
    <t>c5.58a.53</t>
  </si>
  <si>
    <t>c5.58a.53a</t>
  </si>
  <si>
    <t>c5.58a.53b</t>
  </si>
  <si>
    <t>c5.58a.54</t>
  </si>
  <si>
    <t>c5.58a.55</t>
  </si>
  <si>
    <t>c5.58a.56</t>
  </si>
  <si>
    <t>Sav Higher rate</t>
  </si>
  <si>
    <t>c5.58a.57</t>
  </si>
  <si>
    <t>NS income in SAR_rate</t>
  </si>
  <si>
    <t>c5.58a.58</t>
  </si>
  <si>
    <t>Reduction of savings tax</t>
  </si>
  <si>
    <t>c5.58a.59</t>
  </si>
  <si>
    <t>SR_band savings</t>
  </si>
  <si>
    <t>c5.58a.60</t>
  </si>
  <si>
    <t>c5.58a.61</t>
  </si>
  <si>
    <t>c5.58a.61a</t>
  </si>
  <si>
    <t>c5.58a.62</t>
  </si>
  <si>
    <t>c5.58a.63</t>
  </si>
  <si>
    <t>c5.58a.64</t>
  </si>
  <si>
    <t>c5.58a.65</t>
  </si>
  <si>
    <t>c5.58a.66</t>
  </si>
  <si>
    <t>c5.58a.66a</t>
  </si>
  <si>
    <t>c5.58a.67</t>
  </si>
  <si>
    <t>c5.38 = 0 (zero)</t>
  </si>
  <si>
    <t>c5.58a.68</t>
  </si>
  <si>
    <t>c5.58a.69</t>
  </si>
  <si>
    <t>c5.58a.70</t>
  </si>
  <si>
    <t>c5.58a.71</t>
  </si>
  <si>
    <t>NS Income after Allcs, inc Allcs offered to Div</t>
  </si>
  <si>
    <t>c5.58a.72</t>
  </si>
  <si>
    <t>c5.58a.73</t>
  </si>
  <si>
    <t>c5.58a.74</t>
  </si>
  <si>
    <t>c5.58a.75</t>
  </si>
  <si>
    <t>c5.39 = 0 (zero)</t>
  </si>
  <si>
    <t>c5.58a.76</t>
  </si>
  <si>
    <t>c5.58a.77</t>
  </si>
  <si>
    <t>c5.39 = c3.12 + c3.13</t>
  </si>
  <si>
    <t>c5.58a.78</t>
  </si>
  <si>
    <t>c5.58a.79</t>
  </si>
  <si>
    <t>c5.58a.80</t>
  </si>
  <si>
    <t>c5.58a.81</t>
  </si>
  <si>
    <t>c5.58a.82</t>
  </si>
  <si>
    <t>c5.58a.83</t>
  </si>
  <si>
    <t>c5.40 = c91.23</t>
  </si>
  <si>
    <t>c5.58a.84</t>
  </si>
  <si>
    <t>NS Sav Div LS tax after Allce to Sav</t>
  </si>
  <si>
    <t>c5.58a.85</t>
  </si>
  <si>
    <t>c5.58a.86</t>
  </si>
  <si>
    <t>c5.58a.86a</t>
  </si>
  <si>
    <t>c5.58a.87</t>
  </si>
  <si>
    <t>c5.58a.88</t>
  </si>
  <si>
    <t>c5.58a</t>
  </si>
  <si>
    <t>savings dividends</t>
  </si>
  <si>
    <t>larger of</t>
  </si>
  <si>
    <t>c5.58b</t>
  </si>
  <si>
    <t>c5.58c</t>
  </si>
  <si>
    <t>from c3.18</t>
  </si>
  <si>
    <t>Gains</t>
  </si>
  <si>
    <t>c5.58d</t>
  </si>
  <si>
    <t>Gains on life policies etc.</t>
  </si>
  <si>
    <t>c5.58e</t>
  </si>
  <si>
    <t>c5.58f</t>
  </si>
  <si>
    <t>c5.58g</t>
  </si>
  <si>
    <t>c5.58h</t>
  </si>
  <si>
    <t xml:space="preserve"> from c3.19</t>
  </si>
  <si>
    <t>c5.58i</t>
  </si>
  <si>
    <t>c5.58j</t>
  </si>
  <si>
    <t>c5.58k</t>
  </si>
  <si>
    <t>PA to reduce Sav</t>
  </si>
  <si>
    <t>c5.58.1</t>
  </si>
  <si>
    <t>NS Scottish Starter rate</t>
  </si>
  <si>
    <t>c5.58.2</t>
  </si>
  <si>
    <t xml:space="preserve"> from c3.20</t>
  </si>
  <si>
    <t>Settlor Interested</t>
  </si>
  <si>
    <t>c5.58.3</t>
  </si>
  <si>
    <t>Settlor Interested Trust income</t>
  </si>
  <si>
    <t>NS Basic/Scottish Basic rate</t>
  </si>
  <si>
    <t>c5.58.4</t>
  </si>
  <si>
    <t>c5.58.5</t>
  </si>
  <si>
    <t>NS Scottish Intermediate rate</t>
  </si>
  <si>
    <t>c5.58.6</t>
  </si>
  <si>
    <t>c5.58.7</t>
  </si>
  <si>
    <t>NS Higher/Scottish Higher rate</t>
  </si>
  <si>
    <t>c5.58.8</t>
  </si>
  <si>
    <t>c5.58.9</t>
  </si>
  <si>
    <t>NS Scottish Advanced rate</t>
  </si>
  <si>
    <t>c5.58.10</t>
  </si>
  <si>
    <t>c5.59</t>
  </si>
  <si>
    <t>c5.60</t>
  </si>
  <si>
    <t>c5.61</t>
  </si>
  <si>
    <t>c5.61a</t>
  </si>
  <si>
    <t>c5.62</t>
  </si>
  <si>
    <t>Reduction of non-savings/savings tax</t>
  </si>
  <si>
    <t>c5.62a</t>
  </si>
  <si>
    <t>c5.63</t>
  </si>
  <si>
    <t>c5.63a</t>
  </si>
  <si>
    <t>c5.64</t>
  </si>
  <si>
    <t>c5.65</t>
  </si>
  <si>
    <t>c5.66</t>
  </si>
  <si>
    <t>c5.66.1</t>
  </si>
  <si>
    <t>c5.66.2</t>
  </si>
  <si>
    <t>c5.66.3</t>
  </si>
  <si>
    <t>c5.66.4</t>
  </si>
  <si>
    <t>c5.66.5</t>
  </si>
  <si>
    <t>c5.66.6</t>
  </si>
  <si>
    <t>c5.66.7</t>
  </si>
  <si>
    <t>c5.66.8</t>
  </si>
  <si>
    <t>c5.66.9</t>
  </si>
  <si>
    <t>c5.66a</t>
  </si>
  <si>
    <t>c5.66b</t>
  </si>
  <si>
    <t>c5.66c</t>
  </si>
  <si>
    <t>c5.66d</t>
  </si>
  <si>
    <t>c5.66e</t>
  </si>
  <si>
    <t>c5.66e1</t>
  </si>
  <si>
    <t>c5.66f</t>
  </si>
  <si>
    <t>c5.66g</t>
  </si>
  <si>
    <t>c5.66h</t>
  </si>
  <si>
    <t>c5.66i</t>
  </si>
  <si>
    <t>c5.66i1</t>
  </si>
  <si>
    <t>c5.66i2</t>
  </si>
  <si>
    <t>c5.66i3</t>
  </si>
  <si>
    <t>c5.66i4</t>
  </si>
  <si>
    <t>c5.66j</t>
  </si>
  <si>
    <t>c5.66j1</t>
  </si>
  <si>
    <t>c5.66j2</t>
  </si>
  <si>
    <t>c5.66j3</t>
  </si>
  <si>
    <t>c5.66j4</t>
  </si>
  <si>
    <t>c5.66j5</t>
  </si>
  <si>
    <t>c5.66j6</t>
  </si>
  <si>
    <t>c5.66k</t>
  </si>
  <si>
    <t>c5.66l</t>
  </si>
  <si>
    <t>c5.66m</t>
  </si>
  <si>
    <t>c5.66n</t>
  </si>
  <si>
    <t>c5.66n1</t>
  </si>
  <si>
    <t>c5.66o</t>
  </si>
  <si>
    <t>c5.66p</t>
  </si>
  <si>
    <t>c5.66p1</t>
  </si>
  <si>
    <t>c5.66p1a</t>
  </si>
  <si>
    <t>c5.66p1b</t>
  </si>
  <si>
    <t>c5.66p1c</t>
  </si>
  <si>
    <t>c5.66p2</t>
  </si>
  <si>
    <t>c5.66p3</t>
  </si>
  <si>
    <t>c5.66p4</t>
  </si>
  <si>
    <t>c5.66p5</t>
  </si>
  <si>
    <t>c5.66p6</t>
  </si>
  <si>
    <t>c5.66p7</t>
  </si>
  <si>
    <t>c5.66p7a</t>
  </si>
  <si>
    <t>c5.66p8</t>
  </si>
  <si>
    <t>c5.66q</t>
  </si>
  <si>
    <t>c5.66r</t>
  </si>
  <si>
    <t>c5.66s</t>
  </si>
  <si>
    <t>c5.66s1</t>
  </si>
  <si>
    <t>c5.66s1a</t>
  </si>
  <si>
    <t>c5.66s1b</t>
  </si>
  <si>
    <t>c5.66s1c</t>
  </si>
  <si>
    <t>c5.66s2</t>
  </si>
  <si>
    <t>c5.66s3</t>
  </si>
  <si>
    <t>c5.66s4</t>
  </si>
  <si>
    <t>c5.66s5</t>
  </si>
  <si>
    <t>c5.66s6</t>
  </si>
  <si>
    <t>c5.66s7</t>
  </si>
  <si>
    <t>c5.66s8</t>
  </si>
  <si>
    <t>c5.66s9</t>
  </si>
  <si>
    <t>c5.66s10</t>
  </si>
  <si>
    <t>c5.66t</t>
  </si>
  <si>
    <t>c5.66u</t>
  </si>
  <si>
    <t>c5.67</t>
  </si>
  <si>
    <t>c5.68</t>
  </si>
  <si>
    <t>c5.68a</t>
  </si>
  <si>
    <t>c5.69</t>
  </si>
  <si>
    <t>c5.70</t>
  </si>
  <si>
    <t>c5.71</t>
  </si>
  <si>
    <t>c5.72</t>
  </si>
  <si>
    <t>c5.73</t>
  </si>
  <si>
    <t>c5.74</t>
  </si>
  <si>
    <t>c5.75</t>
  </si>
  <si>
    <t>c5.76</t>
  </si>
  <si>
    <t>c5.77</t>
  </si>
  <si>
    <t>c5.78</t>
  </si>
  <si>
    <t>c5.79</t>
  </si>
  <si>
    <t>c5.80</t>
  </si>
  <si>
    <t>c5.81</t>
  </si>
  <si>
    <t>c5.82</t>
  </si>
  <si>
    <t>c5.83</t>
  </si>
  <si>
    <t>c5.84</t>
  </si>
  <si>
    <t>c5.85</t>
  </si>
  <si>
    <t>c6.1</t>
  </si>
  <si>
    <t>Allocate income to tax bands</t>
  </si>
  <si>
    <t>c6.2</t>
  </si>
  <si>
    <t>c6.3</t>
  </si>
  <si>
    <t>c6.4</t>
  </si>
  <si>
    <t>c6.5</t>
  </si>
  <si>
    <t>c6.6</t>
  </si>
  <si>
    <t>Savings income in excess of the savings starting rate band, up to the lower of the amount of the excess or the individual's savings allowance, is charged at the savings nil rate.</t>
  </si>
  <si>
    <t>c6.7</t>
  </si>
  <si>
    <t>c6.7a</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</si>
  <si>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</si>
  <si>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c6.7b</t>
  </si>
  <si>
    <t>c6.7c</t>
  </si>
  <si>
    <t>Allocate Non-savings Income etc.</t>
  </si>
  <si>
    <t xml:space="preserve">Allocate Savings etc. (except Dividends) </t>
  </si>
  <si>
    <t>Allocate Dividends etc.</t>
  </si>
  <si>
    <t>Allocate Lump sum payments etc.</t>
  </si>
  <si>
    <t>Allocate gains on life policies (with notional tax) etc.</t>
  </si>
  <si>
    <t>c6.8</t>
  </si>
  <si>
    <t>and gains on life policies without notional tax</t>
  </si>
  <si>
    <t>c6.9</t>
  </si>
  <si>
    <t>c6.9.1</t>
  </si>
  <si>
    <t>c6.9.2</t>
  </si>
  <si>
    <t>c6.10</t>
  </si>
  <si>
    <t>c6.11</t>
  </si>
  <si>
    <t>c6.12</t>
  </si>
  <si>
    <t>Income in Scottish starter rate band</t>
  </si>
  <si>
    <t>c6.36</t>
  </si>
  <si>
    <t>c6.13</t>
  </si>
  <si>
    <t>c6.14</t>
  </si>
  <si>
    <t>c6.15</t>
  </si>
  <si>
    <t>c6.16</t>
  </si>
  <si>
    <t>Income above Scottish starter rate band</t>
  </si>
  <si>
    <t>c6.37</t>
  </si>
  <si>
    <t>c6.17</t>
  </si>
  <si>
    <t>c6.17a</t>
  </si>
  <si>
    <t>c6.17b</t>
  </si>
  <si>
    <t>Income above Scottish basic rate band</t>
  </si>
  <si>
    <t>c6.38</t>
  </si>
  <si>
    <t>c6.18</t>
  </si>
  <si>
    <t>c6.19</t>
  </si>
  <si>
    <t>c6.20</t>
  </si>
  <si>
    <t>c6.20a</t>
  </si>
  <si>
    <t>c6.21</t>
  </si>
  <si>
    <t>c6.22</t>
  </si>
  <si>
    <t>c6.23</t>
  </si>
  <si>
    <t>c6.24</t>
  </si>
  <si>
    <t>c6.25</t>
  </si>
  <si>
    <t>c6.26</t>
  </si>
  <si>
    <t>c6.28</t>
  </si>
  <si>
    <t>c6.29</t>
  </si>
  <si>
    <t>c6.30</t>
  </si>
  <si>
    <t>c6.49</t>
  </si>
  <si>
    <t>c6.31</t>
  </si>
  <si>
    <t>c6.33</t>
  </si>
  <si>
    <t>Personal Savings/Dividend Allowance</t>
  </si>
  <si>
    <t>c6.34</t>
  </si>
  <si>
    <t>c6.35</t>
  </si>
  <si>
    <t>Personal Savings/Dividend Allowance used</t>
  </si>
  <si>
    <t>Personal Savings Allowance used</t>
  </si>
  <si>
    <t>Dividend Allowance used</t>
  </si>
  <si>
    <t>c6.39</t>
  </si>
  <si>
    <t>c6.40</t>
  </si>
  <si>
    <t>c6.41</t>
  </si>
  <si>
    <t>c6.41a</t>
  </si>
  <si>
    <t>c6.41b</t>
  </si>
  <si>
    <t>c6.41c</t>
  </si>
  <si>
    <t>c6.42</t>
  </si>
  <si>
    <t>c6.43</t>
  </si>
  <si>
    <t>c6.43.1</t>
  </si>
  <si>
    <t>c6.43.2</t>
  </si>
  <si>
    <t>c6.44</t>
  </si>
  <si>
    <t>Income in basic rate band before Personal Savings/Dividend Allowance</t>
  </si>
  <si>
    <t>Income in basic rate band before Personal Savings Allowance</t>
  </si>
  <si>
    <t>Income in basic rate band before Dividend Allowance</t>
  </si>
  <si>
    <t>c6.45</t>
  </si>
  <si>
    <t>c6.46</t>
  </si>
  <si>
    <t>c6.47</t>
  </si>
  <si>
    <t>Personal Savings/Dividend Allowance set against Savings/Dividend income in basic rate</t>
  </si>
  <si>
    <t>Personal Savings Allowance set against Savings income in basic rate</t>
  </si>
  <si>
    <t>Personal Dividend Allowance set against Dividend income in basic rate</t>
  </si>
  <si>
    <t>c6.48</t>
  </si>
  <si>
    <t>c6.50</t>
  </si>
  <si>
    <t>c6.51</t>
  </si>
  <si>
    <t>c6.51a</t>
  </si>
  <si>
    <t>c6.51b</t>
  </si>
  <si>
    <t>c6.51c</t>
  </si>
  <si>
    <t>c6.52</t>
  </si>
  <si>
    <t>Income above basic rate band`</t>
  </si>
  <si>
    <t>c6.53</t>
  </si>
  <si>
    <t>c6.54</t>
  </si>
  <si>
    <t>c6.54a</t>
  </si>
  <si>
    <t>c6.54b</t>
  </si>
  <si>
    <t xml:space="preserve"> intermediate rate band available</t>
  </si>
  <si>
    <t>c6.55</t>
  </si>
  <si>
    <t>c6.56</t>
  </si>
  <si>
    <t>Income in intermediate rate band</t>
  </si>
  <si>
    <t>Higher rate band available</t>
  </si>
  <si>
    <t>Income in higher rate band before Personal Savings Allowance</t>
  </si>
  <si>
    <t>Income in higher rate band before Dividend Allowance</t>
  </si>
  <si>
    <t>Personal Savings Allowance set against Savings income in higher rate</t>
  </si>
  <si>
    <t>Dividend Allowance set against Dividend income in higher rate</t>
  </si>
  <si>
    <t>Income in higher rate band</t>
  </si>
  <si>
    <t>Income above higher rate band</t>
  </si>
  <si>
    <t>Scottish advanced rate band available</t>
  </si>
  <si>
    <t>Income in Advance rate Scottish</t>
  </si>
  <si>
    <t>Income in Scottish advanced rate band</t>
  </si>
  <si>
    <t>Income in additional rate band</t>
  </si>
  <si>
    <t>Not used in requirements</t>
  </si>
  <si>
    <t>c7.1</t>
  </si>
  <si>
    <t>Allocate Deficiency Relief to dividends in the higher rate band</t>
  </si>
  <si>
    <t>c7.2</t>
  </si>
  <si>
    <t>c7.3</t>
  </si>
  <si>
    <t>c7.4</t>
  </si>
  <si>
    <t>c7.5</t>
  </si>
  <si>
    <t>c7.6</t>
  </si>
  <si>
    <t>c7.7</t>
  </si>
  <si>
    <t>c7.8</t>
  </si>
  <si>
    <t>c7.9</t>
  </si>
  <si>
    <t>c7.10</t>
  </si>
  <si>
    <t>c7.11</t>
  </si>
  <si>
    <t>c7.12</t>
  </si>
  <si>
    <t>c7.13</t>
  </si>
  <si>
    <t>c7.14</t>
  </si>
  <si>
    <t>c7.15</t>
  </si>
  <si>
    <t>c7.15.1</t>
  </si>
  <si>
    <t>c7.16</t>
  </si>
  <si>
    <t>Amount in higher rate band</t>
  </si>
  <si>
    <t>Amount moved to lower rate band</t>
  </si>
  <si>
    <t>Tax Adjustment</t>
  </si>
  <si>
    <t>pup</t>
  </si>
  <si>
    <t>Remaining Deficiency Relief</t>
  </si>
  <si>
    <t>Total Tax Adjustment</t>
  </si>
  <si>
    <t>Stage 8: Calculate Income Tax due</t>
  </si>
  <si>
    <t>c8.6a</t>
  </si>
  <si>
    <t>c8.9</t>
  </si>
  <si>
    <t>c8.10</t>
  </si>
  <si>
    <t>Additional/Top rate</t>
  </si>
  <si>
    <t>c8.16a</t>
  </si>
  <si>
    <t>c8.17</t>
  </si>
  <si>
    <t>c8.18</t>
  </si>
  <si>
    <t>c8.24a</t>
  </si>
  <si>
    <t>Nil rate</t>
  </si>
  <si>
    <t>c8.24l</t>
  </si>
  <si>
    <t>c8.24p</t>
  </si>
  <si>
    <t>c8.24t</t>
  </si>
  <si>
    <t>c8.25</t>
  </si>
  <si>
    <t>c8.25a</t>
  </si>
  <si>
    <t>c8.27</t>
  </si>
  <si>
    <t>c8.28</t>
  </si>
  <si>
    <t>Nil rate BR</t>
  </si>
  <si>
    <t>Nil rate HR</t>
  </si>
  <si>
    <t>if transiftion profit</t>
  </si>
  <si>
    <t>need_TP_alt_c8_26</t>
  </si>
  <si>
    <t>calc_TP_alt_c8_26</t>
  </si>
  <si>
    <t>flag to temporarily switch to calculating value that is an alternative to c8.26</t>
  </si>
  <si>
    <t>TP_alt_c8_26</t>
  </si>
  <si>
    <t>use_TP_alt_c8_26</t>
  </si>
  <si>
    <t>flag to use preceding value in c8.25a (instead of c8.26)</t>
  </si>
  <si>
    <t>Income tax due calculated including transition profit</t>
  </si>
  <si>
    <t>Income tax due calculated excluding transition profit</t>
  </si>
  <si>
    <t>T_Profit_from_c4</t>
  </si>
  <si>
    <t>Tax due on transition profit</t>
  </si>
  <si>
    <t>Income Tax Due</t>
  </si>
  <si>
    <t>if divergence</t>
  </si>
  <si>
    <t>need_GA_alt_c8_26</t>
  </si>
  <si>
    <t>calc_GA_alt_c8_26</t>
  </si>
  <si>
    <t>GA_alt_c8_26</t>
  </si>
  <si>
    <t>use_GA_alt_c8_26</t>
  </si>
  <si>
    <t>flag to use preceding value in c8.25d (instead of c8.26)</t>
  </si>
  <si>
    <t>Income tax due calculated excluding Gift aid from extended basic rate band</t>
  </si>
  <si>
    <t>GA_calc</t>
  </si>
  <si>
    <t>Tax saved by</t>
  </si>
  <si>
    <t>Gift aid extending the basic rate band</t>
  </si>
  <si>
    <t>HR_case</t>
  </si>
  <si>
    <t>AHR_case</t>
  </si>
  <si>
    <t>c9.1</t>
  </si>
  <si>
    <t>Stage 9: Calculate Income Tax due after tax adjustments</t>
  </si>
  <si>
    <t>c9.4</t>
  </si>
  <si>
    <t>c9.6</t>
  </si>
  <si>
    <t>Tax reductions - Reliefs</t>
  </si>
  <si>
    <t>c9.8</t>
  </si>
  <si>
    <t>c9.10</t>
  </si>
  <si>
    <t>c9.12</t>
  </si>
  <si>
    <t>c9.13</t>
  </si>
  <si>
    <t>c9.14</t>
  </si>
  <si>
    <t>Venture Capital Trust shares</t>
  </si>
  <si>
    <t>c9.15</t>
  </si>
  <si>
    <t>c9.15a</t>
  </si>
  <si>
    <t>Enterprise Investment Scheme</t>
  </si>
  <si>
    <t>c9.18</t>
  </si>
  <si>
    <t>c9.19</t>
  </si>
  <si>
    <t>SEED Enterprise Investment Scheme</t>
  </si>
  <si>
    <t>c9.24</t>
  </si>
  <si>
    <t>c9.25</t>
  </si>
  <si>
    <t>c9.26</t>
  </si>
  <si>
    <t>c9.27</t>
  </si>
  <si>
    <t>c9.30</t>
  </si>
  <si>
    <t>Maintenance and Alimony</t>
  </si>
  <si>
    <t>c9.30a</t>
  </si>
  <si>
    <t>c9.30b</t>
  </si>
  <si>
    <t>Married Couples Allowance &amp; Married couples surplus allowance</t>
  </si>
  <si>
    <t>c9.31</t>
  </si>
  <si>
    <t>c9.31a</t>
  </si>
  <si>
    <t>or Calculation type = non-resident</t>
  </si>
  <si>
    <t>c9.31b</t>
  </si>
  <si>
    <t>c9.32</t>
  </si>
  <si>
    <t>Married Couples Allowance</t>
  </si>
  <si>
    <t>If box MCA1 present</t>
  </si>
  <si>
    <t>c9.36</t>
  </si>
  <si>
    <t>c9.37</t>
  </si>
  <si>
    <t>If box MCA8 present</t>
  </si>
  <si>
    <t>c9.39d</t>
  </si>
  <si>
    <t>c9.39e</t>
  </si>
  <si>
    <t>Married Couples Surplus Allowance</t>
  </si>
  <si>
    <t>c9.39g1</t>
  </si>
  <si>
    <t>c9.39h</t>
  </si>
  <si>
    <t>c9.39j</t>
  </si>
  <si>
    <t>c9.39k</t>
  </si>
  <si>
    <t>Marriage Allowance transferred in</t>
  </si>
  <si>
    <t>c9.40</t>
  </si>
  <si>
    <t>The Marriage Allowance Transfer for the recipient is not claimed on the SA Return but it is included in the SA302 tax calculation.</t>
  </si>
  <si>
    <t>OTRSA and 3rd party submissions will get this data from the Data cache during the return completion process.</t>
  </si>
  <si>
    <t>c9.41a</t>
  </si>
  <si>
    <t>c9.41b</t>
  </si>
  <si>
    <t>OR (Calculation type = non-resident)</t>
  </si>
  <si>
    <t>c9.43</t>
  </si>
  <si>
    <t>If MAT_IN</t>
  </si>
  <si>
    <t>Basic rate additional tax relief due for pension payments</t>
  </si>
  <si>
    <t>Income tax due after tax reductions</t>
  </si>
  <si>
    <t>Non-UK resident tax on Excluded income (s811(4) ITA 2007 Amount A)</t>
  </si>
  <si>
    <t>s399 ITTOIA 2005 tax treated as paid on dividends from UK companies</t>
  </si>
  <si>
    <t>Gift Aid Payments</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</si>
  <si>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</si>
  <si>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</si>
  <si>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</si>
  <si>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</si>
  <si>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Capital gains tax</t>
  </si>
  <si>
    <t>Income tax after tax treated as paid deducted</t>
  </si>
  <si>
    <t>Pension savings charges</t>
  </si>
  <si>
    <t>State Pension Lump Sum</t>
  </si>
  <si>
    <t>Tax charge on Child Benefit</t>
  </si>
  <si>
    <t>Pension Excessive relief</t>
  </si>
  <si>
    <t>Total Additional tax Step 7 s23 ITA</t>
  </si>
  <si>
    <t>Income tax due Step 7 s23 ITA for FTCR purposes</t>
  </si>
  <si>
    <t xml:space="preserve">Income tax due </t>
  </si>
  <si>
    <t>Income tax due after Step 6 tax reductions</t>
  </si>
  <si>
    <t>Income tax due after Step 7 tax reductions</t>
  </si>
  <si>
    <t>(CSL-PAYE-INCOME)</t>
  </si>
  <si>
    <t>(CSL-INCOME-TOTAL)</t>
  </si>
  <si>
    <t>(CSL-GROSS-AMOUNT)</t>
  </si>
  <si>
    <t>(CSL-PAYE-REPAYMENT)</t>
  </si>
  <si>
    <t>(CSL-SA-INCOME)</t>
  </si>
  <si>
    <t>(CSL-SA-REPAYMENT)</t>
  </si>
  <si>
    <t>(CPGL-GROSS-AMOUNT)</t>
  </si>
  <si>
    <t>(CPGL-PAYE-REPAYMENT)</t>
  </si>
  <si>
    <t>(CPGL-SA-REPAYMENT)</t>
  </si>
  <si>
    <t>3) Coded out underpayments.</t>
  </si>
  <si>
    <t>A mainframe only process that sets up data required by TUTC.</t>
  </si>
  <si>
    <t>c97.7</t>
  </si>
  <si>
    <t>Underpayment coding limit</t>
  </si>
  <si>
    <t>from c98.17</t>
  </si>
  <si>
    <t>c10.1</t>
  </si>
  <si>
    <t>Non-payable notional tax and tax credits on dividends</t>
  </si>
  <si>
    <t>c10.2</t>
  </si>
  <si>
    <t>c10.3</t>
  </si>
  <si>
    <t>c10.3.1</t>
  </si>
  <si>
    <t>Lloyd's dividends</t>
  </si>
  <si>
    <t>c10.3.2</t>
  </si>
  <si>
    <t>c10.3.3</t>
  </si>
  <si>
    <t>Other dividends and qualifying distributions from UK companies</t>
  </si>
  <si>
    <t>c10.6</t>
  </si>
  <si>
    <t>Notional tax and tax credits</t>
  </si>
  <si>
    <t>c10.7</t>
  </si>
  <si>
    <t>c10.8</t>
  </si>
  <si>
    <t>c10.10</t>
  </si>
  <si>
    <t>c10.11</t>
  </si>
  <si>
    <t>c10.12</t>
  </si>
  <si>
    <t>Remitted dividends from box 7.4 paid before April 2016</t>
  </si>
  <si>
    <t>c10.13</t>
  </si>
  <si>
    <t>c10.14</t>
  </si>
  <si>
    <t>c10.15</t>
  </si>
  <si>
    <t>c10.16</t>
  </si>
  <si>
    <t>c10.17</t>
  </si>
  <si>
    <t>c10.18</t>
  </si>
  <si>
    <t>c10.19</t>
  </si>
  <si>
    <t>c10.20</t>
  </si>
  <si>
    <t>Non-payable tax credits on dividends</t>
  </si>
  <si>
    <t>on Gains on life policies</t>
  </si>
  <si>
    <t>on estates (TRU19)</t>
  </si>
  <si>
    <t>on Trusts (TRU2)</t>
  </si>
  <si>
    <t>c11.1</t>
  </si>
  <si>
    <t>Accumulate tax paid from Tax Return</t>
  </si>
  <si>
    <t>c11.2</t>
  </si>
  <si>
    <t>c11.3</t>
  </si>
  <si>
    <t>Calculate tax paid</t>
  </si>
  <si>
    <t>c11.4</t>
  </si>
  <si>
    <t xml:space="preserve">Employment </t>
  </si>
  <si>
    <t>c11.9</t>
  </si>
  <si>
    <t>c11.10</t>
  </si>
  <si>
    <t>c11.11</t>
  </si>
  <si>
    <t>Ministers of Religion</t>
  </si>
  <si>
    <t>c11.12</t>
  </si>
  <si>
    <t>c11.13</t>
  </si>
  <si>
    <t>UK Pensions</t>
  </si>
  <si>
    <t>c11.16</t>
  </si>
  <si>
    <t>c11.17</t>
  </si>
  <si>
    <t>c11.18</t>
  </si>
  <si>
    <t>Total tax deducted under PAYE</t>
  </si>
  <si>
    <t>c11.19</t>
  </si>
  <si>
    <t>c11.20</t>
  </si>
  <si>
    <t>c11.21</t>
  </si>
  <si>
    <t>Outstanding debt in tax code</t>
  </si>
  <si>
    <t>c11.22</t>
  </si>
  <si>
    <t>c11.23</t>
  </si>
  <si>
    <t>c11.24</t>
  </si>
  <si>
    <t>c11.27</t>
  </si>
  <si>
    <t>c11.28</t>
  </si>
  <si>
    <t>c11.31</t>
  </si>
  <si>
    <t>Amount of coded outstanding debt collected</t>
  </si>
  <si>
    <t>PAYE tax available to SA</t>
  </si>
  <si>
    <t>Lloyds</t>
  </si>
  <si>
    <t xml:space="preserve">Partnership </t>
  </si>
  <si>
    <t>UK Land &amp; Property</t>
  </si>
  <si>
    <t>Trusts and Estates</t>
  </si>
  <si>
    <t>Total from Trusts and Estates</t>
  </si>
  <si>
    <t>Non-residence etc.</t>
  </si>
  <si>
    <t>Investments</t>
  </si>
  <si>
    <t>Gilt Edge Securities</t>
  </si>
  <si>
    <t>Chargeable Event Gains etc.</t>
  </si>
  <si>
    <t xml:space="preserve">Other income </t>
  </si>
  <si>
    <t>Total Tax paid at source</t>
  </si>
  <si>
    <t>c12.1</t>
  </si>
  <si>
    <t xml:space="preserve">Calculate tax due </t>
  </si>
  <si>
    <t>Income tax due</t>
  </si>
  <si>
    <t>The following 5 boxes are calculated at stage 29 (Income tax for non residents (c91 boxes))</t>
  </si>
  <si>
    <t>If NRD 1 = Y calculate c12.1a to c12.1e</t>
  </si>
  <si>
    <t>c12.1e = lower of c12.1a and c12.1b</t>
  </si>
  <si>
    <t>c12.5</t>
  </si>
  <si>
    <t>c12.1a to c12.1d equal zero</t>
  </si>
  <si>
    <t>calculate c12.1e</t>
  </si>
  <si>
    <t>total_tax_NIC_nonresS23</t>
  </si>
  <si>
    <t>c12.10</t>
  </si>
  <si>
    <t>c12.11</t>
  </si>
  <si>
    <t>total_tax_NIC_nonresS811</t>
  </si>
  <si>
    <t>s811 calc disregarded income tax (Amount A)</t>
  </si>
  <si>
    <t>c12.16</t>
  </si>
  <si>
    <t>c12.17a</t>
  </si>
  <si>
    <t>s811 calc non-disregarded income tax (Amount B)</t>
  </si>
  <si>
    <t>c12.17c</t>
  </si>
  <si>
    <t>c12.18</t>
  </si>
  <si>
    <t>c12.21</t>
  </si>
  <si>
    <t>total_tax_NIC_nonres</t>
  </si>
  <si>
    <t>from CAL4.1</t>
  </si>
  <si>
    <t>Class 2 &amp; Class 4 National Insurance contributions</t>
  </si>
  <si>
    <t xml:space="preserve">Income Tax, Class 2 and Class 4 National Insurance contributions </t>
  </si>
  <si>
    <t>Repayment of student loans</t>
  </si>
  <si>
    <t>Repayment of postgraduate loans</t>
  </si>
  <si>
    <t>Tax due on annuity payments and royalty payments</t>
  </si>
  <si>
    <t>Total tax paid at source</t>
  </si>
  <si>
    <t>Total Income Tax, Class 2 and Class 4 NIC due</t>
  </si>
  <si>
    <t>Total Income Tax, Class 2 and Class 4 NIC due, before Capital Gains tax overpaid</t>
  </si>
  <si>
    <t>Capital Gains Tax overpaid reducing tax and NICs</t>
  </si>
  <si>
    <t>Total Income Tax, Class 2 and Class 4 NIC due, after Capital Gains tax overpaid</t>
  </si>
  <si>
    <t>Total Tax and NIC due</t>
  </si>
  <si>
    <t>Only used for display</t>
  </si>
  <si>
    <t>Tax due for earlier years</t>
  </si>
  <si>
    <t>Total Due</t>
  </si>
  <si>
    <t>c13.1</t>
  </si>
  <si>
    <t>c13.2</t>
  </si>
  <si>
    <t>c13.3</t>
  </si>
  <si>
    <t>Decrease in tax due because</t>
  </si>
  <si>
    <t>c13.4</t>
  </si>
  <si>
    <t>of adjustments to an earlier year</t>
  </si>
  <si>
    <t>c13.5</t>
  </si>
  <si>
    <t>c13.6</t>
  </si>
  <si>
    <t>c13.7</t>
  </si>
  <si>
    <t>claiming now</t>
  </si>
  <si>
    <t>c13.8</t>
  </si>
  <si>
    <t>c13.9</t>
  </si>
  <si>
    <t xml:space="preserve">‘Payments you have made towards </t>
  </si>
  <si>
    <t>c13.10</t>
  </si>
  <si>
    <t>your payments on account’</t>
  </si>
  <si>
    <t>c13.11</t>
  </si>
  <si>
    <t>c13.12</t>
  </si>
  <si>
    <t>c13.13</t>
  </si>
  <si>
    <t xml:space="preserve">your balancing payment’ </t>
  </si>
  <si>
    <t>c13.14</t>
  </si>
  <si>
    <t>Total due</t>
  </si>
  <si>
    <t>c13.15</t>
  </si>
  <si>
    <t>Before Last Date for Coding?</t>
  </si>
  <si>
    <t>c13.16</t>
  </si>
  <si>
    <t>c13.17</t>
  </si>
  <si>
    <t>PAYE_case</t>
  </si>
  <si>
    <t>minus payments made towards POA</t>
  </si>
  <si>
    <t>before_30_Sep</t>
  </si>
  <si>
    <t>Class 2 cannot be coded out</t>
  </si>
  <si>
    <t>Amount that can be coded out</t>
  </si>
  <si>
    <t>Tax due is less than coded out limit</t>
  </si>
  <si>
    <t>FIN2 not ticked</t>
  </si>
  <si>
    <t>Adjustments, payments and coded-out</t>
  </si>
  <si>
    <t>minus adjustments, payments and coded-out</t>
  </si>
  <si>
    <r>
      <t xml:space="preserve">Total Income Tax and NIC due </t>
    </r>
    <r>
      <rPr>
        <i/>
        <sz val="9"/>
        <rFont val="Arial"/>
        <family val="2"/>
      </rPr>
      <t>minus</t>
    </r>
  </si>
  <si>
    <t>(Class 2, Repayment of student loans +  Repayment of postgraduate loans + amount coded</t>
  </si>
  <si>
    <t>Notional tax on Gains, charges, state pension,</t>
  </si>
  <si>
    <t>remittance basis charge minus POA adjustment</t>
  </si>
  <si>
    <t>c14.1</t>
  </si>
  <si>
    <t>c14.2</t>
  </si>
  <si>
    <t>c14.3</t>
  </si>
  <si>
    <t>c14.4</t>
  </si>
  <si>
    <t>c14.5</t>
  </si>
  <si>
    <t>Adjusted Net Income for Allowances</t>
  </si>
  <si>
    <t>c14.6</t>
  </si>
  <si>
    <t>Income Limit for Personal Allowance</t>
  </si>
  <si>
    <t>Not part of SA tax calculation requirements - for in year repayments only</t>
  </si>
  <si>
    <t>in year repayment PA amount</t>
  </si>
  <si>
    <t>Personal Allowance/Reduced Personal Allowance</t>
  </si>
  <si>
    <t>c15.1</t>
  </si>
  <si>
    <t>c15.2</t>
  </si>
  <si>
    <t xml:space="preserve">Calculate Age related Married Couple's Allowance Due (claimed by husband (marriages up to 5 December 2005), </t>
  </si>
  <si>
    <t>c15.3</t>
  </si>
  <si>
    <t>or spouse or civil partner with higher income (marriages on or after 5 December 2005))</t>
  </si>
  <si>
    <t>c15.4</t>
  </si>
  <si>
    <t>c15.5</t>
  </si>
  <si>
    <t>c15.6</t>
  </si>
  <si>
    <t>Table 1</t>
  </si>
  <si>
    <t>c15.7</t>
  </si>
  <si>
    <t>Date of Birth</t>
  </si>
  <si>
    <t>Maximum</t>
  </si>
  <si>
    <t>c15.8</t>
  </si>
  <si>
    <t>of the elder</t>
  </si>
  <si>
    <t>Married</t>
  </si>
  <si>
    <t>c15.9</t>
  </si>
  <si>
    <t>of you, your wife</t>
  </si>
  <si>
    <t>Couple's</t>
  </si>
  <si>
    <t>c15.10</t>
  </si>
  <si>
    <t>or former wife</t>
  </si>
  <si>
    <t>Allowance</t>
  </si>
  <si>
    <t>c15.11</t>
  </si>
  <si>
    <t>c15.12</t>
  </si>
  <si>
    <t>c15.13</t>
  </si>
  <si>
    <t>c15.14</t>
  </si>
  <si>
    <t>c15.15</t>
  </si>
  <si>
    <t>Used in SA110 Notes</t>
  </si>
  <si>
    <t>c15.16</t>
  </si>
  <si>
    <t>c15.17</t>
  </si>
  <si>
    <t>c15.18</t>
  </si>
  <si>
    <t>Income limit for age related allowances</t>
  </si>
  <si>
    <t>c15.19</t>
  </si>
  <si>
    <t>c15.20</t>
  </si>
  <si>
    <t>c15.21</t>
  </si>
  <si>
    <t xml:space="preserve"> or unless your spouse is getting half or all of the allowance, see notes</t>
  </si>
  <si>
    <t>Calculate Age related Married Couple's Allowance Due (claimed by wife (marriages up to 5 December 2005),</t>
  </si>
  <si>
    <t>or the spouse or civil partner with the lower income)</t>
  </si>
  <si>
    <t>Calculate reduction for marriage in year</t>
  </si>
  <si>
    <t>Table A</t>
  </si>
  <si>
    <t>Date of Marriage between:</t>
  </si>
  <si>
    <t>Month</t>
  </si>
  <si>
    <t>Calculate Age related Married Couple's Allowance Due (claimed by wife or the spouse or civil partner with the lower income)</t>
  </si>
  <si>
    <t>If (MCA3 or MCA4 or MCA6 or MCA7) = Y, then</t>
  </si>
  <si>
    <t>Table B</t>
  </si>
  <si>
    <t>box MCA3 = Y</t>
  </si>
  <si>
    <t>box MCA6 = Y</t>
  </si>
  <si>
    <t>box MCA4 = Y</t>
  </si>
  <si>
    <t>box MCA7 = Y</t>
  </si>
  <si>
    <t>None of above</t>
  </si>
  <si>
    <t>zero</t>
  </si>
  <si>
    <t>c16.1</t>
  </si>
  <si>
    <t>Calculate Class 4 NIC due</t>
  </si>
  <si>
    <t>c16.2</t>
  </si>
  <si>
    <t>c16.3</t>
  </si>
  <si>
    <t>c16.4</t>
  </si>
  <si>
    <t>c16.5</t>
  </si>
  <si>
    <t>Commercial Software Developers only:</t>
  </si>
  <si>
    <t>c16.5.1</t>
  </si>
  <si>
    <t>For Class 2 you may find it more efficient to centralise and have one box rather than</t>
  </si>
  <si>
    <t>c16.6</t>
  </si>
  <si>
    <t>have multiple pseudo boxes for each self-employed, partnership and Lloyds page.</t>
  </si>
  <si>
    <t>c16.7</t>
  </si>
  <si>
    <t>c16.8</t>
  </si>
  <si>
    <t>The Class 1 can also be centralised rather than have, for example, the pseudo boxes</t>
  </si>
  <si>
    <t>c16.9</t>
  </si>
  <si>
    <t>on the employment and minister of religion pages etc.</t>
  </si>
  <si>
    <t>c16.10</t>
  </si>
  <si>
    <t>c16.11</t>
  </si>
  <si>
    <t>Where the Class 1 figure is supplied for pre-population it is one figure of “Total class 1</t>
  </si>
  <si>
    <t>c16.12</t>
  </si>
  <si>
    <t>NICable earnings between the PT and UEL”. The xml can feed into one or both of the</t>
  </si>
  <si>
    <t>c16.13</t>
  </si>
  <si>
    <t xml:space="preserve">pseudo boxes on the Employment page. </t>
  </si>
  <si>
    <t>c16.14</t>
  </si>
  <si>
    <t>c16.19</t>
  </si>
  <si>
    <t>c16.20</t>
  </si>
  <si>
    <t>IF NIC Exception</t>
  </si>
  <si>
    <t>c16.22</t>
  </si>
  <si>
    <t>c16.23</t>
  </si>
  <si>
    <t>c16.24</t>
  </si>
  <si>
    <t>c16.25</t>
  </si>
  <si>
    <t>Else</t>
  </si>
  <si>
    <t>c16.26</t>
  </si>
  <si>
    <t>c16.27</t>
  </si>
  <si>
    <t>c16.28</t>
  </si>
  <si>
    <t>c16.29</t>
  </si>
  <si>
    <t>c16.30</t>
  </si>
  <si>
    <t>c16.31</t>
  </si>
  <si>
    <t>c16.32</t>
  </si>
  <si>
    <t>Self Employment Profits</t>
  </si>
  <si>
    <t>Lloyd's Underwriter Profits</t>
  </si>
  <si>
    <t>Partnership Profits</t>
  </si>
  <si>
    <t>Total transition profit</t>
  </si>
  <si>
    <t>Total profits for Class 4 NIC</t>
  </si>
  <si>
    <t>Class 4 NIC adjustments</t>
  </si>
  <si>
    <t>Total profit less adjustments</t>
  </si>
  <si>
    <t>Used for Class 4 and Class 2</t>
  </si>
  <si>
    <t>Profit on which Class 4 NIC is due</t>
  </si>
  <si>
    <t>Calculation of Class 4 without reference to Class 1</t>
  </si>
  <si>
    <t>Class 4 NIC due</t>
  </si>
  <si>
    <t>Reg 100 Calculation</t>
  </si>
  <si>
    <t>Total class 1 NICable earnings between the PT and UEL</t>
  </si>
  <si>
    <t>£up (for each EMP + MOR)</t>
  </si>
  <si>
    <t>Class 1 NICs due at standard rate</t>
  </si>
  <si>
    <t>Subtract Class 1</t>
  </si>
  <si>
    <t>Subtract the LPL from the UPL, or the Actual profit figure, (whichever is lowest)</t>
  </si>
  <si>
    <t>Actual profit figure minus UPL × UPL rate</t>
  </si>
  <si>
    <t>Reg 100 Class 4 NIC due</t>
  </si>
  <si>
    <t>Total Class 4 NIC due</t>
  </si>
  <si>
    <t>Endif</t>
  </si>
  <si>
    <t>Where customer has multiple sources of income subject to Class 2 the Class 2 amount due should not be duplicated across the sources</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</si>
  <si>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</si>
  <si>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</si>
  <si>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</si>
  <si>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</si>
  <si>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</si>
  <si>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Class 2 NIC due</t>
  </si>
  <si>
    <t>and box NICL2 &gt; 0 (zero)</t>
  </si>
  <si>
    <t>c17.1</t>
  </si>
  <si>
    <t>CalculateTop Slicing Relief and appropriate fraction relief</t>
  </si>
  <si>
    <t>c17.2</t>
  </si>
  <si>
    <t>c17.3</t>
  </si>
  <si>
    <t>c17.4</t>
  </si>
  <si>
    <t>c17.5</t>
  </si>
  <si>
    <t>Chargeable event gains (without top slicing) are included in an individual's income.</t>
  </si>
  <si>
    <t>c17.6</t>
  </si>
  <si>
    <t>Scottish Parliament can only set the rates and the limits for non-savings and non-dividend income, then</t>
  </si>
  <si>
    <t>c17.7</t>
  </si>
  <si>
    <t>for savings, dividends and capital gains, it is necessary to ignore the Scottish threshold and refer to the UK limit instead.</t>
  </si>
  <si>
    <t>c17.8</t>
  </si>
  <si>
    <t>c17.9</t>
  </si>
  <si>
    <t>Section 530 ITTOIA 2005 requires a reduction in the amount of tax treated as paid on a UK life insurance policy if:</t>
  </si>
  <si>
    <t>c17.10</t>
  </si>
  <si>
    <t xml:space="preserve">“the individual's total income is reduced by any deductions which fall to be made [at Step 2 or 3 of the calculation in section 23 of ITA 2007 </t>
  </si>
  <si>
    <t>c17.11</t>
  </si>
  <si>
    <t>(calculation of income tax liability)] from the part of the income charged to tax under this Chapter.”</t>
  </si>
  <si>
    <t>c17.12</t>
  </si>
  <si>
    <t>c17.13</t>
  </si>
  <si>
    <t>c17.14</t>
  </si>
  <si>
    <t>c17.15</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</si>
  <si>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</si>
  <si>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c17.16</t>
  </si>
  <si>
    <t>c17.17</t>
  </si>
  <si>
    <t>When the process is called for the first time by either of these functions the signal RTN TOP SLICING CHECK REQD SIGNAL will be set to “Y”. If processing decides that Top Slicing Relief is due this signal is cleared and a second signal RTN TOP SLICING RELIEF DUE SIG set to “Y” to indicate to the calling process that the additional field ITF CEG INPUT AMOUNT should be displayed.)</t>
  </si>
  <si>
    <t>c17.18</t>
  </si>
  <si>
    <t>c17.19</t>
  </si>
  <si>
    <t xml:space="preserve">The ITF CEG INPUT AMOUNT is required where FOR43 + AOI4 + AOI6 + AOI8 &gt; 0, and either </t>
  </si>
  <si>
    <t>c17.20</t>
  </si>
  <si>
    <t>c17.21</t>
  </si>
  <si>
    <t>c17.22</t>
  </si>
  <si>
    <t>c17.22a</t>
  </si>
  <si>
    <t>And</t>
  </si>
  <si>
    <t>c17.22b</t>
  </si>
  <si>
    <t>c17.22c</t>
  </si>
  <si>
    <t>c17.22d</t>
  </si>
  <si>
    <t>c17.22e</t>
  </si>
  <si>
    <t>c17.22e1</t>
  </si>
  <si>
    <t>c17.22e2</t>
  </si>
  <si>
    <t>c17.22e3</t>
  </si>
  <si>
    <t>and NRD1 = N</t>
  </si>
  <si>
    <t>c17.22f</t>
  </si>
  <si>
    <t>Rework UK tax liability to exclude those items that do not figure in TSR calculation.</t>
  </si>
  <si>
    <t>c17.22g</t>
  </si>
  <si>
    <t>c17.22h</t>
  </si>
  <si>
    <t>c17.22i</t>
  </si>
  <si>
    <t>c17.22j</t>
  </si>
  <si>
    <t>c17.22k</t>
  </si>
  <si>
    <t>c17.23</t>
  </si>
  <si>
    <t>c17.23a</t>
  </si>
  <si>
    <t>c17.23b</t>
  </si>
  <si>
    <t>Remove lump sums and reverse premiums</t>
  </si>
  <si>
    <t>c17.23c</t>
  </si>
  <si>
    <t>c17.23d</t>
  </si>
  <si>
    <t>c17.24</t>
  </si>
  <si>
    <t>c17.24a</t>
  </si>
  <si>
    <t>Premiums for the</t>
  </si>
  <si>
    <t>c17.25</t>
  </si>
  <si>
    <t>grant of a lease</t>
  </si>
  <si>
    <t>c17.25a</t>
  </si>
  <si>
    <t>c17.25b</t>
  </si>
  <si>
    <t>c17.26</t>
  </si>
  <si>
    <t>c17.27</t>
  </si>
  <si>
    <t xml:space="preserve">Total Deductions </t>
  </si>
  <si>
    <t>c17.27a</t>
  </si>
  <si>
    <t>and Allowances</t>
  </si>
  <si>
    <t>c17.28</t>
  </si>
  <si>
    <t>c17.28a</t>
  </si>
  <si>
    <t>c17.29</t>
  </si>
  <si>
    <t>Gift of investments etc.</t>
  </si>
  <si>
    <t>c17.30</t>
  </si>
  <si>
    <t>c17.31</t>
  </si>
  <si>
    <t>c17.32</t>
  </si>
  <si>
    <t>taxable income for TSR</t>
  </si>
  <si>
    <t>c17.33</t>
  </si>
  <si>
    <t>c17.34</t>
  </si>
  <si>
    <t>remove Gift Aid etc.</t>
  </si>
  <si>
    <t>c17.35</t>
  </si>
  <si>
    <t>Calculate HR threshold for TSR</t>
  </si>
  <si>
    <t>c17.36</t>
  </si>
  <si>
    <t>c17.37</t>
  </si>
  <si>
    <t>Basic rate limit</t>
  </si>
  <si>
    <t>c17.38</t>
  </si>
  <si>
    <t>c17.38.0</t>
  </si>
  <si>
    <t>c17.38.1</t>
  </si>
  <si>
    <t>Pension payments</t>
  </si>
  <si>
    <t>Extended BR band</t>
  </si>
  <si>
    <t>c17.38.2</t>
  </si>
  <si>
    <t>c17.38.2a</t>
  </si>
  <si>
    <t>Calculate HR charge for TSR</t>
  </si>
  <si>
    <t>c17.38.2b</t>
  </si>
  <si>
    <t>c17.38.2c</t>
  </si>
  <si>
    <t>Tax due for TSR purposes</t>
  </si>
  <si>
    <t>c17.38.2d</t>
  </si>
  <si>
    <t>Band between Higher rate band</t>
  </si>
  <si>
    <t>c17.38.2e</t>
  </si>
  <si>
    <t>&amp; Basic rate band</t>
  </si>
  <si>
    <t>c17.38.2f</t>
  </si>
  <si>
    <t>c17.38.2g</t>
  </si>
  <si>
    <t>amount due at higher rate</t>
  </si>
  <si>
    <t>c17.38.2ga</t>
  </si>
  <si>
    <t>c17.38.2gb</t>
  </si>
  <si>
    <t>c17.38.2h</t>
  </si>
  <si>
    <t>amount due at additional rate</t>
  </si>
  <si>
    <t>c17.38.2i</t>
  </si>
  <si>
    <t>c17.38.2j</t>
  </si>
  <si>
    <t>c17.38.3</t>
  </si>
  <si>
    <t>c17.38.4</t>
  </si>
  <si>
    <t>c17.38a</t>
  </si>
  <si>
    <t>c17.38a1</t>
  </si>
  <si>
    <t>c17.38b</t>
  </si>
  <si>
    <t>c17.38c</t>
  </si>
  <si>
    <t>c17.38d</t>
  </si>
  <si>
    <t>c17.38d1</t>
  </si>
  <si>
    <t>c17.38e</t>
  </si>
  <si>
    <t>c17.38f</t>
  </si>
  <si>
    <t>Chargeable Event Gains</t>
  </si>
  <si>
    <t>Number of Years</t>
  </si>
  <si>
    <t>c17.38g</t>
  </si>
  <si>
    <t>Column A: Copy from boxes</t>
  </si>
  <si>
    <t>Column B: Copy from boxes</t>
  </si>
  <si>
    <t>Calculate appropriate fraction</t>
  </si>
  <si>
    <t>c17.38h</t>
  </si>
  <si>
    <t>c17.38i</t>
  </si>
  <si>
    <t xml:space="preserve"> or from additional information </t>
  </si>
  <si>
    <t>c17.38j</t>
  </si>
  <si>
    <t>A</t>
  </si>
  <si>
    <t>B</t>
  </si>
  <si>
    <t>A divided by B</t>
  </si>
  <si>
    <t>c17.39</t>
  </si>
  <si>
    <t>Single foreign gain</t>
  </si>
  <si>
    <t>c17.40</t>
  </si>
  <si>
    <t>Single UK gain without</t>
  </si>
  <si>
    <t>c17.41</t>
  </si>
  <si>
    <t>Single UK gain with</t>
  </si>
  <si>
    <t>c17.42</t>
  </si>
  <si>
    <t>void ISA</t>
  </si>
  <si>
    <t>c17.43</t>
  </si>
  <si>
    <t>Multi foreign gains</t>
  </si>
  <si>
    <t>c17.44</t>
  </si>
  <si>
    <t>Multi UK gains without</t>
  </si>
  <si>
    <t>c17.45</t>
  </si>
  <si>
    <t>Multi UK gains with</t>
  </si>
  <si>
    <t>c17.46</t>
  </si>
  <si>
    <t>c17.47</t>
  </si>
  <si>
    <t>c17.48</t>
  </si>
  <si>
    <t>full gain(s)</t>
  </si>
  <si>
    <t>sliced gain(s)</t>
  </si>
  <si>
    <t>Higher rates liability on full gain(s)</t>
  </si>
  <si>
    <t>Savings (except gains on</t>
  </si>
  <si>
    <t>life policies without notional tax</t>
  </si>
  <si>
    <t>Savings Max SR_band</t>
  </si>
  <si>
    <t>Savings in SR_band</t>
  </si>
  <si>
    <t>Savings Max SNil_band</t>
  </si>
  <si>
    <t>Taxable</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</si>
  <si>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</si>
  <si>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</si>
  <si>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</si>
  <si>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</si>
  <si>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</si>
  <si>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</si>
  <si>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</si>
  <si>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</si>
  <si>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</si>
  <si>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Higher rates due on sliced gain(s)</t>
  </si>
  <si>
    <t>Income in HR bands</t>
  </si>
  <si>
    <t>Sliced gain in HR bands</t>
  </si>
  <si>
    <t xml:space="preserve">Other income in HR </t>
  </si>
  <si>
    <t>bands</t>
  </si>
  <si>
    <t>Unused HR band</t>
  </si>
  <si>
    <t>Condition for below</t>
  </si>
  <si>
    <t>Total Deductions &amp; Allowances</t>
  </si>
  <si>
    <t>minus Gift of investments etc.</t>
  </si>
  <si>
    <t>Additional P_A</t>
  </si>
  <si>
    <t>life policies without notional tax)</t>
  </si>
  <si>
    <t>Allowances Available</t>
  </si>
  <si>
    <t>for 1 year</t>
  </si>
  <si>
    <t>End If</t>
  </si>
  <si>
    <t>4dp down</t>
  </si>
  <si>
    <t>for all years</t>
  </si>
  <si>
    <t>Top Slicing Relief Due</t>
  </si>
  <si>
    <t>c18.1</t>
  </si>
  <si>
    <t>Calculate Capital Gains Tax Due</t>
  </si>
  <si>
    <t>c18.1a</t>
  </si>
  <si>
    <t>c18.2</t>
  </si>
  <si>
    <t>c18.2a</t>
  </si>
  <si>
    <t>c18.3</t>
  </si>
  <si>
    <t>c18.4</t>
  </si>
  <si>
    <t>c18.4.1</t>
  </si>
  <si>
    <t>c18.4.2</t>
  </si>
  <si>
    <t>c18.4.3</t>
  </si>
  <si>
    <t>c18.4.4</t>
  </si>
  <si>
    <t>c18.4.5</t>
  </si>
  <si>
    <t>c18.4.6</t>
  </si>
  <si>
    <t>NRCGT</t>
  </si>
  <si>
    <t>c18.4.7</t>
  </si>
  <si>
    <t>Other gains and Cryptoassets</t>
  </si>
  <si>
    <t>c18.4.8</t>
  </si>
  <si>
    <t>Residential Property</t>
  </si>
  <si>
    <t>UK non-residential properties</t>
  </si>
  <si>
    <t xml:space="preserve">ER gains </t>
  </si>
  <si>
    <t>c18.4.9</t>
  </si>
  <si>
    <t>c18.4.10</t>
  </si>
  <si>
    <t>Total Gains</t>
  </si>
  <si>
    <t>Foreign gain claim</t>
  </si>
  <si>
    <t>c18.5</t>
  </si>
  <si>
    <t>c18.5a</t>
  </si>
  <si>
    <t>c18.6</t>
  </si>
  <si>
    <t>c18.7</t>
  </si>
  <si>
    <t>c18.8</t>
  </si>
  <si>
    <t>c18.9</t>
  </si>
  <si>
    <t>c18.9a</t>
  </si>
  <si>
    <t>c18.10</t>
  </si>
  <si>
    <t>c18.11</t>
  </si>
  <si>
    <t>c18.12</t>
  </si>
  <si>
    <t>c18.13</t>
  </si>
  <si>
    <t>Total gains</t>
  </si>
  <si>
    <t>c18.14</t>
  </si>
  <si>
    <t>c18.15</t>
  </si>
  <si>
    <t xml:space="preserve">Residential Property </t>
  </si>
  <si>
    <t>c18.16</t>
  </si>
  <si>
    <t>c18.16.1</t>
  </si>
  <si>
    <t>c18.16a</t>
  </si>
  <si>
    <t>c18.16b</t>
  </si>
  <si>
    <t>c18.17</t>
  </si>
  <si>
    <t>c18.18</t>
  </si>
  <si>
    <t>c18.19</t>
  </si>
  <si>
    <t>c18.19.1</t>
  </si>
  <si>
    <t>c18.19a</t>
  </si>
  <si>
    <t>c18.19b</t>
  </si>
  <si>
    <t>c18.20</t>
  </si>
  <si>
    <t>c18.21</t>
  </si>
  <si>
    <t>Gains after losses brought forward</t>
  </si>
  <si>
    <t>c18.22</t>
  </si>
  <si>
    <t>c18.23</t>
  </si>
  <si>
    <t>c18.24</t>
  </si>
  <si>
    <t>c18.24.1</t>
  </si>
  <si>
    <t>c18.25</t>
  </si>
  <si>
    <t>c18.26</t>
  </si>
  <si>
    <t>c18.27</t>
  </si>
  <si>
    <t>c18.27.1</t>
  </si>
  <si>
    <t>c18.28</t>
  </si>
  <si>
    <t>c18.31</t>
  </si>
  <si>
    <t>c18.32</t>
  </si>
  <si>
    <t>c18.33</t>
  </si>
  <si>
    <t>c18.34</t>
  </si>
  <si>
    <t>c18.35</t>
  </si>
  <si>
    <t>c18.36</t>
  </si>
  <si>
    <t>Total Losses</t>
  </si>
  <si>
    <t>c18.37</t>
  </si>
  <si>
    <t>c18.38</t>
  </si>
  <si>
    <t>c18.39</t>
  </si>
  <si>
    <t>Gains after losses</t>
  </si>
  <si>
    <t>c18.40</t>
  </si>
  <si>
    <t>Attributed gains</t>
  </si>
  <si>
    <t>c18.45</t>
  </si>
  <si>
    <t>Total gains after losses</t>
  </si>
  <si>
    <t>c18.45.5</t>
  </si>
  <si>
    <t>Annual Exempt Amount</t>
  </si>
  <si>
    <t>Total gains after AEA and losses</t>
  </si>
  <si>
    <t>c18.53a</t>
  </si>
  <si>
    <t>c18.55</t>
  </si>
  <si>
    <t>c18.56</t>
  </si>
  <si>
    <t>c18.57</t>
  </si>
  <si>
    <t>c18.58</t>
  </si>
  <si>
    <t>c18.60</t>
  </si>
  <si>
    <t>Annualised Gain</t>
  </si>
  <si>
    <t>Basic Rate Band</t>
  </si>
  <si>
    <t>Basic Rate Band available to CG</t>
  </si>
  <si>
    <t>Available unused Basic Rate Band</t>
  </si>
  <si>
    <t>Available Basic Rate Band after Carried interest</t>
  </si>
  <si>
    <t>Available Basic Rate Band after residential property</t>
  </si>
  <si>
    <t>Total CGT charged</t>
  </si>
  <si>
    <t>CGT adjustments</t>
  </si>
  <si>
    <t>Additional liability from Trusts</t>
  </si>
  <si>
    <t>Revised CGT charged</t>
  </si>
  <si>
    <t>Total Credit is not be more than</t>
  </si>
  <si>
    <t>s41 TIOPA 2010</t>
  </si>
  <si>
    <t>Total Foreign Tax Credit Relief</t>
  </si>
  <si>
    <t>CGT minus FTCR</t>
  </si>
  <si>
    <t>Tax on NRCGT Gains already charged</t>
  </si>
  <si>
    <t>Tax on RTT Gains already charged</t>
  </si>
  <si>
    <t>Capital Gains Tax Due</t>
  </si>
  <si>
    <t>Capital Gains Tax Overpaid</t>
  </si>
  <si>
    <t>Capital Gains Tax (repayable)</t>
  </si>
  <si>
    <t>Capital Gains Tax (not repayable)</t>
  </si>
  <si>
    <t xml:space="preserve">   else</t>
  </si>
  <si>
    <t>c19.1</t>
  </si>
  <si>
    <t>Calculate remittance basis charge</t>
  </si>
  <si>
    <t>c20a.1</t>
  </si>
  <si>
    <t>Calculate nominated income for remittance basis charge and restrict allowable losses and loan interest</t>
  </si>
  <si>
    <t>c20a.2</t>
  </si>
  <si>
    <t>If any box on this stage is negative substitute zero</t>
  </si>
  <si>
    <t>c20a.3</t>
  </si>
  <si>
    <t>Boxes c20a.1 to c20a.50 not used</t>
  </si>
  <si>
    <t>c20a.4</t>
  </si>
  <si>
    <t>c20a.5</t>
  </si>
  <si>
    <t>c20a.6</t>
  </si>
  <si>
    <t>c20a.7</t>
  </si>
  <si>
    <t>c20a.8</t>
  </si>
  <si>
    <t>c20a.9</t>
  </si>
  <si>
    <t>c20a.10</t>
  </si>
  <si>
    <t>c20a.11</t>
  </si>
  <si>
    <t>c20a.12</t>
  </si>
  <si>
    <t>c20a.13</t>
  </si>
  <si>
    <t>c20a.14</t>
  </si>
  <si>
    <t>c20a.15</t>
  </si>
  <si>
    <t>c20a.16</t>
  </si>
  <si>
    <t>c20a.17</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</si>
  <si>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</si>
  <si>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</si>
  <si>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</si>
  <si>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</si>
  <si>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</si>
  <si>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</si>
  <si>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</si>
  <si>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</si>
  <si>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</si>
  <si>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</si>
  <si>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</si>
  <si>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</si>
  <si>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</si>
  <si>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</si>
  <si>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</si>
  <si>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</si>
  <si>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</si>
  <si>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</si>
  <si>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</si>
  <si>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</si>
  <si>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</si>
  <si>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</si>
  <si>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</si>
  <si>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</si>
  <si>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</si>
  <si>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</si>
  <si>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</si>
  <si>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</si>
  <si>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</si>
  <si>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</si>
  <si>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</si>
  <si>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</si>
  <si>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</si>
  <si>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</si>
  <si>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</si>
  <si>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</si>
  <si>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</si>
  <si>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</si>
  <si>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</si>
  <si>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</si>
  <si>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</si>
  <si>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</si>
  <si>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</si>
  <si>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</si>
  <si>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</si>
  <si>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</si>
  <si>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</si>
  <si>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</si>
  <si>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</si>
  <si>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</si>
  <si>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</si>
  <si>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</si>
  <si>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</si>
  <si>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</si>
  <si>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</si>
  <si>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</si>
  <si>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</si>
  <si>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</si>
  <si>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</si>
  <si>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</si>
  <si>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</si>
  <si>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</si>
  <si>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</si>
  <si>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</si>
  <si>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</si>
  <si>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</si>
  <si>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</si>
  <si>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</si>
  <si>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</si>
  <si>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</si>
  <si>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</si>
  <si>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</si>
  <si>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</si>
  <si>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</si>
  <si>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</si>
  <si>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</si>
  <si>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</si>
  <si>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</si>
  <si>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</si>
  <si>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</si>
  <si>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</si>
  <si>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</si>
  <si>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</si>
  <si>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c21.1</t>
  </si>
  <si>
    <t>Calculate notional tax and tax credits on Lloyds and Trusts dividends</t>
  </si>
  <si>
    <t>c21.2</t>
  </si>
  <si>
    <t>c21.3</t>
  </si>
  <si>
    <t>On Lloyd's dividends</t>
  </si>
  <si>
    <t>c21.4</t>
  </si>
  <si>
    <t>c21.5</t>
  </si>
  <si>
    <t>Income from personal funds at Lloyd’s UK dividends</t>
  </si>
  <si>
    <t>c21.6</t>
  </si>
  <si>
    <t>c21.7</t>
  </si>
  <si>
    <t>c21.8</t>
  </si>
  <si>
    <t>Foreign sources income from assets in personal funds at Lloyds</t>
  </si>
  <si>
    <t>c21.9</t>
  </si>
  <si>
    <t>c21.10</t>
  </si>
  <si>
    <t>c21.11</t>
  </si>
  <si>
    <t>c21.12</t>
  </si>
  <si>
    <t>Amount that qualifies for dividend tax credit</t>
  </si>
  <si>
    <t>Total taxable profits from Lloyd’s</t>
  </si>
  <si>
    <t>Notional Tax on Lloyds dividends</t>
  </si>
  <si>
    <t>On Trust's dividends</t>
  </si>
  <si>
    <t>Discretionary income payment from a UK resident trust</t>
  </si>
  <si>
    <t>c22.1</t>
  </si>
  <si>
    <t>c22.2</t>
  </si>
  <si>
    <t>Payments from settlor-interested trusts</t>
  </si>
  <si>
    <t>c22.3</t>
  </si>
  <si>
    <t>c22.3a</t>
  </si>
  <si>
    <t xml:space="preserve">The recipient shall be treated as having paid income tax at </t>
  </si>
  <si>
    <t>c22.3b</t>
  </si>
  <si>
    <t>the highest Scottish rate, Welsh additional rate or</t>
  </si>
  <si>
    <t>c22.3c</t>
  </si>
  <si>
    <t>the additional rate.</t>
  </si>
  <si>
    <t>c22.4</t>
  </si>
  <si>
    <t>This tax is not repayable or taken into account for tax liability.</t>
  </si>
  <si>
    <t>c22.5</t>
  </si>
  <si>
    <t>The amount is restricted in calculation boxes c22.1 to c22.15.</t>
  </si>
  <si>
    <t>c22.6</t>
  </si>
  <si>
    <t>c22.7</t>
  </si>
  <si>
    <t>c22.8</t>
  </si>
  <si>
    <t>c22.9</t>
  </si>
  <si>
    <t>c22.10</t>
  </si>
  <si>
    <t>c22.11</t>
  </si>
  <si>
    <t>c22.12</t>
  </si>
  <si>
    <t>c22.13</t>
  </si>
  <si>
    <t>c22.14</t>
  </si>
  <si>
    <t>c22.15</t>
  </si>
  <si>
    <t>c22.16</t>
  </si>
  <si>
    <t>c22.17</t>
  </si>
  <si>
    <t>c22.18</t>
  </si>
  <si>
    <t>c22.19</t>
  </si>
  <si>
    <t>c22.20</t>
  </si>
  <si>
    <t>c22.21</t>
  </si>
  <si>
    <t>Non-savings income taxed at non-repayable basic rate</t>
  </si>
  <si>
    <t>c22.22</t>
  </si>
  <si>
    <t>c23.1</t>
  </si>
  <si>
    <t>c23.2</t>
  </si>
  <si>
    <t>c23.3</t>
  </si>
  <si>
    <t>On a qualifying distribution</t>
  </si>
  <si>
    <t>c23.4</t>
  </si>
  <si>
    <t>c23.5</t>
  </si>
  <si>
    <t>c23.6</t>
  </si>
  <si>
    <t>c23.7</t>
  </si>
  <si>
    <t>c23.8</t>
  </si>
  <si>
    <t xml:space="preserve"> else</t>
  </si>
  <si>
    <t>c23.9</t>
  </si>
  <si>
    <t>c23.10</t>
  </si>
  <si>
    <t>c23.11</t>
  </si>
  <si>
    <t>c24.1</t>
  </si>
  <si>
    <t>Calculate relief for finance costs</t>
  </si>
  <si>
    <t>c24.2</t>
  </si>
  <si>
    <t>c24.3</t>
  </si>
  <si>
    <t>c24.3a</t>
  </si>
  <si>
    <t>c24.4</t>
  </si>
  <si>
    <t>c24.4a</t>
  </si>
  <si>
    <t>c24.5</t>
  </si>
  <si>
    <t>c24.6</t>
  </si>
  <si>
    <t>c24.7</t>
  </si>
  <si>
    <t>c24.8</t>
  </si>
  <si>
    <t>c24.9</t>
  </si>
  <si>
    <t>Finance costs</t>
  </si>
  <si>
    <t>c24.9.1</t>
  </si>
  <si>
    <t>c24.10</t>
  </si>
  <si>
    <t>c24.11</t>
  </si>
  <si>
    <t>c24.12</t>
  </si>
  <si>
    <t>c24.13</t>
  </si>
  <si>
    <t>c24.14</t>
  </si>
  <si>
    <t>c24.15</t>
  </si>
  <si>
    <t>Partnership property income</t>
  </si>
  <si>
    <t>c24.16</t>
  </si>
  <si>
    <t>c24.17</t>
  </si>
  <si>
    <t>Partnership foreign property income</t>
  </si>
  <si>
    <t>£up (for each FOR)</t>
  </si>
  <si>
    <t>Income from land and property abroad chargeable as transfer of assets</t>
  </si>
  <si>
    <t>Trust and Estate UK property and income from land and property abroad</t>
  </si>
  <si>
    <t>Net income</t>
  </si>
  <si>
    <t>Adjusted total income</t>
  </si>
  <si>
    <t>Total finance costs</t>
  </si>
  <si>
    <t>Allowable amount</t>
  </si>
  <si>
    <t>Relievable amount</t>
  </si>
  <si>
    <t>c25.1</t>
  </si>
  <si>
    <t>Calculate pension savings tax charges</t>
  </si>
  <si>
    <t>c25.2</t>
  </si>
  <si>
    <t>c25.3</t>
  </si>
  <si>
    <t>c25.4</t>
  </si>
  <si>
    <t>c25.5</t>
  </si>
  <si>
    <t>c25.6</t>
  </si>
  <si>
    <t>c25.7</t>
  </si>
  <si>
    <t>c25.8</t>
  </si>
  <si>
    <t>c25.9</t>
  </si>
  <si>
    <t>c25.10</t>
  </si>
  <si>
    <t>c25.11</t>
  </si>
  <si>
    <t>c25.12</t>
  </si>
  <si>
    <t>c25.13</t>
  </si>
  <si>
    <t>c25.14</t>
  </si>
  <si>
    <t>c25.15</t>
  </si>
  <si>
    <t>c25.16</t>
  </si>
  <si>
    <t>c25.16a</t>
  </si>
  <si>
    <t>c25.16b</t>
  </si>
  <si>
    <t>c25.16c</t>
  </si>
  <si>
    <t>Annual Allowance charge</t>
  </si>
  <si>
    <t>c25.16d</t>
  </si>
  <si>
    <t>c25.16e</t>
  </si>
  <si>
    <t>c25.16f</t>
  </si>
  <si>
    <t>c25.17</t>
  </si>
  <si>
    <t>c25.18</t>
  </si>
  <si>
    <t>Basic rate band or Scottish Starter + Basic rate band</t>
  </si>
  <si>
    <t>c25.19</t>
  </si>
  <si>
    <t>+ relevant earnings adjustment</t>
  </si>
  <si>
    <t>c25.20</t>
  </si>
  <si>
    <t>c25.21</t>
  </si>
  <si>
    <t>c25.22</t>
  </si>
  <si>
    <t>c25.22a</t>
  </si>
  <si>
    <t>c25.22b</t>
  </si>
  <si>
    <t>c25.22c</t>
  </si>
  <si>
    <t>c25.22d</t>
  </si>
  <si>
    <t>c25.22e</t>
  </si>
  <si>
    <t>c25.22f</t>
  </si>
  <si>
    <t>c25.23</t>
  </si>
  <si>
    <t>Unused Basic Rate Band</t>
  </si>
  <si>
    <t>c25.24</t>
  </si>
  <si>
    <t>c25.25</t>
  </si>
  <si>
    <t>c25.26</t>
  </si>
  <si>
    <t>Income above Basic Rate Band</t>
  </si>
  <si>
    <t>c25.27</t>
  </si>
  <si>
    <t>c25.28</t>
  </si>
  <si>
    <t>c25.29</t>
  </si>
  <si>
    <t>Intermediate rate band</t>
  </si>
  <si>
    <t>c25.30</t>
  </si>
  <si>
    <t>c25.31</t>
  </si>
  <si>
    <t>c25.32</t>
  </si>
  <si>
    <t>Unused Intermediate Rate Band</t>
  </si>
  <si>
    <t>c25.33</t>
  </si>
  <si>
    <t>c25.34</t>
  </si>
  <si>
    <t>c25.35</t>
  </si>
  <si>
    <t>Income above Intermediate Rate Band</t>
  </si>
  <si>
    <t>c25.36</t>
  </si>
  <si>
    <t>c25.37</t>
  </si>
  <si>
    <t>c25.38</t>
  </si>
  <si>
    <t>Higher rate band</t>
  </si>
  <si>
    <t>c25.39</t>
  </si>
  <si>
    <t>c25.40</t>
  </si>
  <si>
    <t>c25.41</t>
  </si>
  <si>
    <t>Unused Higher Rate Band</t>
  </si>
  <si>
    <t>c25.42</t>
  </si>
  <si>
    <t>c25.43</t>
  </si>
  <si>
    <t>c25.44</t>
  </si>
  <si>
    <t>Income above Higher Rate Band</t>
  </si>
  <si>
    <t>c25.45</t>
  </si>
  <si>
    <t>c25.46</t>
  </si>
  <si>
    <t>c25.47</t>
  </si>
  <si>
    <t>Advanced rate band</t>
  </si>
  <si>
    <t>c25.48</t>
  </si>
  <si>
    <t>c25.49</t>
  </si>
  <si>
    <t>c25.50</t>
  </si>
  <si>
    <t>Unused Advanced Rate Band</t>
  </si>
  <si>
    <t>c25.53</t>
  </si>
  <si>
    <t>Income above Advanced Rate Band</t>
  </si>
  <si>
    <t>c25.54</t>
  </si>
  <si>
    <t>c25.55</t>
  </si>
  <si>
    <t>Tax paid by the pension scheme</t>
  </si>
  <si>
    <t>Unauthorised payments</t>
  </si>
  <si>
    <t>'Not subject to Surcharge' amount</t>
  </si>
  <si>
    <t xml:space="preserve">'Subject to Surcharge' amount </t>
  </si>
  <si>
    <t xml:space="preserve">Unauthorised payment charge and surcharge </t>
  </si>
  <si>
    <t>Foreign tax deducted</t>
  </si>
  <si>
    <t xml:space="preserve">Unauthorised payment charge and surcharge due </t>
  </si>
  <si>
    <t>(Overseas) short service refund charge</t>
  </si>
  <si>
    <t xml:space="preserve">Taxable short service refund of contributions </t>
  </si>
  <si>
    <t>Short Service Refund lower band</t>
  </si>
  <si>
    <t>Overseas special charges</t>
  </si>
  <si>
    <t>Short service refund charge</t>
  </si>
  <si>
    <t xml:space="preserve">Special lump sum death benefit charge due </t>
  </si>
  <si>
    <t>Total pension charges</t>
  </si>
  <si>
    <t>Total pensions savings charges</t>
  </si>
  <si>
    <t>The following 2 boxes are used on SA302 only</t>
  </si>
  <si>
    <t xml:space="preserve">Charges before tax </t>
  </si>
  <si>
    <t>Calculate if correct Pension Tax Relief at source received</t>
  </si>
  <si>
    <t>Gross pension payments</t>
  </si>
  <si>
    <t>Basic rate tax relief at source</t>
  </si>
  <si>
    <t>Basic rate tax relief at source due</t>
  </si>
  <si>
    <t>Basic rate additional tax due for pension payments</t>
  </si>
  <si>
    <t>c26.3</t>
  </si>
  <si>
    <t>National Insurance Retirement Pension paid as a lump sum</t>
  </si>
  <si>
    <t>c27.1</t>
  </si>
  <si>
    <t>Calculate Student Loans Repayments</t>
  </si>
  <si>
    <t>c27.1a</t>
  </si>
  <si>
    <t>c27.1b</t>
  </si>
  <si>
    <t>c27.1c</t>
  </si>
  <si>
    <t>c27.2</t>
  </si>
  <si>
    <t>c27.3</t>
  </si>
  <si>
    <t>c27.4</t>
  </si>
  <si>
    <t>c27.5</t>
  </si>
  <si>
    <t>c27.6</t>
  </si>
  <si>
    <t xml:space="preserve">no formula needed in this box </t>
  </si>
  <si>
    <t>c27.6a</t>
  </si>
  <si>
    <t>c27.6b</t>
  </si>
  <si>
    <t>c27.6c</t>
  </si>
  <si>
    <t>£up (for each EMP)</t>
  </si>
  <si>
    <t>c27.7</t>
  </si>
  <si>
    <t>c27.8</t>
  </si>
  <si>
    <t>c27.8a</t>
  </si>
  <si>
    <t>c27.8b</t>
  </si>
  <si>
    <t>c27.9a</t>
  </si>
  <si>
    <t>c27.9b</t>
  </si>
  <si>
    <t>c27.9c</t>
  </si>
  <si>
    <t>c27.9</t>
  </si>
  <si>
    <t>c27.10</t>
  </si>
  <si>
    <t>c27.11</t>
  </si>
  <si>
    <t>c27.12</t>
  </si>
  <si>
    <t>c27.13</t>
  </si>
  <si>
    <t>c27.14</t>
  </si>
  <si>
    <t>c27.15</t>
  </si>
  <si>
    <t>c27.16</t>
  </si>
  <si>
    <t>Earned Income for Student Loan Purposes</t>
  </si>
  <si>
    <t>c27.16a</t>
  </si>
  <si>
    <t>c27.17</t>
  </si>
  <si>
    <t>c27.18</t>
  </si>
  <si>
    <t>c27.19</t>
  </si>
  <si>
    <t>c27.20</t>
  </si>
  <si>
    <t>c27.21</t>
  </si>
  <si>
    <t>c27.22</t>
  </si>
  <si>
    <t>c27.23</t>
  </si>
  <si>
    <t>c27.24</t>
  </si>
  <si>
    <t>c27.25</t>
  </si>
  <si>
    <t>c27.26</t>
  </si>
  <si>
    <t>c27.27</t>
  </si>
  <si>
    <t>c27.28</t>
  </si>
  <si>
    <t>c27.29</t>
  </si>
  <si>
    <t>c27.29a</t>
  </si>
  <si>
    <t>c27.30</t>
  </si>
  <si>
    <t>c27.31</t>
  </si>
  <si>
    <t>c27.32</t>
  </si>
  <si>
    <t>c27.33</t>
  </si>
  <si>
    <t>c27.34</t>
  </si>
  <si>
    <t>c27.35</t>
  </si>
  <si>
    <t>c27.36</t>
  </si>
  <si>
    <t>c27.37</t>
  </si>
  <si>
    <t>c27.38</t>
  </si>
  <si>
    <t>c27.39</t>
  </si>
  <si>
    <t>c27.40a</t>
  </si>
  <si>
    <t>c27.41</t>
  </si>
  <si>
    <t>c27.43a</t>
  </si>
  <si>
    <t>£up (for each MOR)</t>
  </si>
  <si>
    <t xml:space="preserve">Lloyd's Underwriters </t>
  </si>
  <si>
    <t xml:space="preserve">     </t>
  </si>
  <si>
    <t xml:space="preserve">Partnership Income </t>
  </si>
  <si>
    <t>Pensions and benefit payments</t>
  </si>
  <si>
    <r>
      <t>total earned income</t>
    </r>
    <r>
      <rPr>
        <strike/>
        <sz val="9"/>
        <rFont val="Arial"/>
        <family val="2"/>
      </rPr>
      <t xml:space="preserve"> </t>
    </r>
  </si>
  <si>
    <t>Unearned Income for Student Loan Purposes</t>
  </si>
  <si>
    <t>£down (for each SPS and FPS)</t>
  </si>
  <si>
    <t>Foreign Income</t>
  </si>
  <si>
    <t xml:space="preserve">Trusts and Estates </t>
  </si>
  <si>
    <t>Savings &amp; dividends</t>
  </si>
  <si>
    <t xml:space="preserve">Other Income </t>
  </si>
  <si>
    <t>Total unearned income</t>
  </si>
  <si>
    <t>Unearned Income Threshold</t>
  </si>
  <si>
    <t>Total income for Student Loan purposes</t>
  </si>
  <si>
    <t>Total Student Loan Deductions</t>
  </si>
  <si>
    <t>Relief for Pension Contributions</t>
  </si>
  <si>
    <t>Total deductions</t>
  </si>
  <si>
    <t>Total Income on which Student Loan Repayments Due</t>
  </si>
  <si>
    <t>Student Loan Repayment Due</t>
  </si>
  <si>
    <t>PAYE Student Loan repayments made</t>
  </si>
  <si>
    <t>Postgraduate Loan Repayment Due</t>
  </si>
  <si>
    <t>PAYE Postgraduate Loan repayments made</t>
  </si>
  <si>
    <t xml:space="preserve">Net Student Loan Repayment Due Through Self Assessment </t>
  </si>
  <si>
    <t xml:space="preserve">Net Postgraduate Loan Repayment Due Through Self Assessment </t>
  </si>
  <si>
    <t>c28.1</t>
  </si>
  <si>
    <t>Calculate Adjusted Net Income for Child Benefit tax charge</t>
  </si>
  <si>
    <t>c28.2</t>
  </si>
  <si>
    <t>c28.3</t>
  </si>
  <si>
    <t>c28.4</t>
  </si>
  <si>
    <t>c28.5</t>
  </si>
  <si>
    <t>c28.6</t>
  </si>
  <si>
    <t>c28.7</t>
  </si>
  <si>
    <t>c28.8</t>
  </si>
  <si>
    <t>c28.9</t>
  </si>
  <si>
    <t>c28.10</t>
  </si>
  <si>
    <t>c28.11</t>
  </si>
  <si>
    <t>c28.12</t>
  </si>
  <si>
    <t>c28.13</t>
  </si>
  <si>
    <t>c28.14</t>
  </si>
  <si>
    <t>Adjusted Net Income for Child Benefit tax charge</t>
  </si>
  <si>
    <t>Child Benefit income limit</t>
  </si>
  <si>
    <t>Adjusted Net Income in excess of Child Benefit income limit</t>
  </si>
  <si>
    <t>c91.1</t>
  </si>
  <si>
    <t>Income tax for non-residents</t>
  </si>
  <si>
    <t>c91.2</t>
  </si>
  <si>
    <t>c91.3</t>
  </si>
  <si>
    <t>c91.3a</t>
  </si>
  <si>
    <t>c91.4</t>
  </si>
  <si>
    <t>c91.5</t>
  </si>
  <si>
    <t>c91.6</t>
  </si>
  <si>
    <t>c91.7</t>
  </si>
  <si>
    <t>c91.8</t>
  </si>
  <si>
    <t>c91.9</t>
  </si>
  <si>
    <t>Calculate Adjustments needed to main calculation</t>
  </si>
  <si>
    <t>c91.10</t>
  </si>
  <si>
    <t>c91.11</t>
  </si>
  <si>
    <t>Disregarded income from UK sources</t>
  </si>
  <si>
    <t>Chargeable income</t>
  </si>
  <si>
    <t>c91.12</t>
  </si>
  <si>
    <t>c91.13</t>
  </si>
  <si>
    <t>Non-savings income etc.</t>
  </si>
  <si>
    <t>c91.14</t>
  </si>
  <si>
    <t>c91.15</t>
  </si>
  <si>
    <t xml:space="preserve">Disregarded non-savings income </t>
  </si>
  <si>
    <t>c91.16</t>
  </si>
  <si>
    <t>c91.17</t>
  </si>
  <si>
    <t>c91.18</t>
  </si>
  <si>
    <t>Pension and Benefits</t>
  </si>
  <si>
    <t>Tax on Taxable Incapacity Benefit</t>
  </si>
  <si>
    <t>c91.19</t>
  </si>
  <si>
    <t>c91.19a</t>
  </si>
  <si>
    <t>Discretionary trust income + trust rate non-savings</t>
  </si>
  <si>
    <t>c91.20</t>
  </si>
  <si>
    <t>Tax on Discretionary trust income</t>
  </si>
  <si>
    <t>c91.21</t>
  </si>
  <si>
    <t>c91.22</t>
  </si>
  <si>
    <t>c91.22a</t>
  </si>
  <si>
    <t>Tax on trust rate non-savings</t>
  </si>
  <si>
    <t>c91.23</t>
  </si>
  <si>
    <t>c91.24</t>
  </si>
  <si>
    <t>c91.25</t>
  </si>
  <si>
    <t>Income from UK estates tax at old BR rate 22%</t>
  </si>
  <si>
    <t>c91.26</t>
  </si>
  <si>
    <t>c91.28</t>
  </si>
  <si>
    <t>c91.29</t>
  </si>
  <si>
    <t>c91.30</t>
  </si>
  <si>
    <t>Total Non-savings income</t>
  </si>
  <si>
    <t>c91.30a</t>
  </si>
  <si>
    <t>c91.31</t>
  </si>
  <si>
    <t>c91.31a</t>
  </si>
  <si>
    <t>c91.32</t>
  </si>
  <si>
    <t>c91.33</t>
  </si>
  <si>
    <t>c91.34</t>
  </si>
  <si>
    <t>Lump sum income etc.</t>
  </si>
  <si>
    <t>c91.34a</t>
  </si>
  <si>
    <t>c91.34b</t>
  </si>
  <si>
    <t>c91.34b1</t>
  </si>
  <si>
    <t>c91.34c</t>
  </si>
  <si>
    <t>c91.34d</t>
  </si>
  <si>
    <t>Savings income etc.</t>
  </si>
  <si>
    <t>c91.35</t>
  </si>
  <si>
    <t>Tax taken off UK Interest etc.</t>
  </si>
  <si>
    <t>Tax taken off gilt-edged &amp; other UK securities</t>
  </si>
  <si>
    <t>Gilt-edged &amp; other UK securities Gross amount before tax</t>
  </si>
  <si>
    <t>Tax taken off Trust Savings income</t>
  </si>
  <si>
    <t>Trust Savings income</t>
  </si>
  <si>
    <t>Total savings income</t>
  </si>
  <si>
    <t>Dividend income etc.</t>
  </si>
  <si>
    <t>Stock dividends + Non-qualifying distributions</t>
  </si>
  <si>
    <t>UK</t>
  </si>
  <si>
    <t>s399 ITA 2007</t>
  </si>
  <si>
    <t>Gains on life policies with notional tax</t>
  </si>
  <si>
    <t>Non-savings income etc. with notional tax</t>
  </si>
  <si>
    <t>Total Disregarded income from UK sources</t>
  </si>
  <si>
    <t>Total Chargeable income</t>
  </si>
  <si>
    <t>Total Tax deducted from disregarded income</t>
  </si>
  <si>
    <t>c99.1</t>
  </si>
  <si>
    <t>Annex G: Adjust figures when taxpayer’s self-calculation is used (c99 boxes)</t>
  </si>
  <si>
    <t>c99.2</t>
  </si>
  <si>
    <t>c99.3</t>
  </si>
  <si>
    <t xml:space="preserve">If the operator opts to accept the taxpayer’s supplied figure in preference to the Revenue calculated </t>
  </si>
  <si>
    <t>c99.3a</t>
  </si>
  <si>
    <t xml:space="preserve">figure (or the taxpayer’s supplied figure is within the box CAL1 or CAL2 tolerance) then it is necessary to </t>
  </si>
  <si>
    <t>c99.4</t>
  </si>
  <si>
    <t xml:space="preserve">either increase or decrease the Revenue calculated figures for Income Tax, and tax paid in proportion to </t>
  </si>
  <si>
    <t>c99.5</t>
  </si>
  <si>
    <t>the taxpayer’s supplied figure.</t>
  </si>
  <si>
    <t>c99.6</t>
  </si>
  <si>
    <t>c99.7</t>
  </si>
  <si>
    <t xml:space="preserve">Where the calculation process is invoked during the LDC capture and the taxpayer is a Self-Calculation </t>
  </si>
  <si>
    <t>c99.8</t>
  </si>
  <si>
    <t xml:space="preserve">case and the calculated figure of TOTAL TAX AND NIC DUE is outside the tolerance the Revenue figure </t>
  </si>
  <si>
    <t>c99.9</t>
  </si>
  <si>
    <t xml:space="preserve">is output to the operator  can then choose either to accept the taxpayer’s figure or repair it to the </t>
  </si>
  <si>
    <t>c99.9a</t>
  </si>
  <si>
    <t>Revenue calculated figure.</t>
  </si>
  <si>
    <t>c99.10</t>
  </si>
  <si>
    <t>c99.11</t>
  </si>
  <si>
    <t xml:space="preserve">Where the calculation process is invoked during the Internet load then a tolerance is allowed to enable </t>
  </si>
  <si>
    <t>c99.12</t>
  </si>
  <si>
    <t xml:space="preserve">acceptance of Internet returns where there is a small difference between taxpayers’ and Revenue </t>
  </si>
  <si>
    <t>c99.13</t>
  </si>
  <si>
    <t xml:space="preserve">calculations. </t>
  </si>
  <si>
    <t>c99.14</t>
  </si>
  <si>
    <t>c99.15</t>
  </si>
  <si>
    <t>If self-calculation (CAL1 or CAL2 present)</t>
  </si>
  <si>
    <t>c99.16</t>
  </si>
  <si>
    <t>c99.17</t>
  </si>
  <si>
    <t>c99.18</t>
  </si>
  <si>
    <t>Adjust calculation figures</t>
  </si>
  <si>
    <t>c99.19</t>
  </si>
  <si>
    <t>Set Reason Code To Taxpayer Specified</t>
  </si>
  <si>
    <t>c99.20</t>
  </si>
  <si>
    <t>c99.21</t>
  </si>
  <si>
    <t>If LDC capture and the operator has accepted CAL1 or CAL2 figure</t>
  </si>
  <si>
    <t>c99.22</t>
  </si>
  <si>
    <t>c99.23</t>
  </si>
  <si>
    <t>c99.24</t>
  </si>
  <si>
    <t>c99.25</t>
  </si>
  <si>
    <t>(This will be an error that will be caught by CPR Validate Return. If mainframe function</t>
  </si>
  <si>
    <t>c99.26</t>
  </si>
  <si>
    <t xml:space="preserve">difference is outside tolerance otherwise this is being called by an LDC function when the 2 </t>
  </si>
  <si>
    <t>c99.27</t>
  </si>
  <si>
    <t>amounts must either be the same or subject to acceptance by the operator)</t>
  </si>
  <si>
    <t>c99.28</t>
  </si>
  <si>
    <t>c99.29</t>
  </si>
  <si>
    <t>c99.30</t>
  </si>
  <si>
    <t>no adjustment required</t>
  </si>
  <si>
    <t>Set Reason code to Revenue Computed</t>
  </si>
  <si>
    <t>adjust calculation figures</t>
  </si>
  <si>
    <t>Box values in this process can be negative</t>
  </si>
  <si>
    <t>Preserve Revenue calculated values of Income tax, CGT, student loan repayment amount and class 4 NIC figures.</t>
  </si>
  <si>
    <t xml:space="preserve">Revenue value for box CAL1 or CAL2 </t>
  </si>
  <si>
    <t>student loan repayment</t>
  </si>
  <si>
    <t>Repayment of postgraduate loan repayment</t>
  </si>
  <si>
    <t>class 4 NIC</t>
  </si>
  <si>
    <t>class 2 NIC</t>
  </si>
  <si>
    <t xml:space="preserve">CGT </t>
  </si>
  <si>
    <t>Pension charges</t>
  </si>
  <si>
    <t>Set total tax &amp; NIC, student loan repayment amount, CGT and pension charges to customer calculated values</t>
  </si>
  <si>
    <t xml:space="preserve">IF CAL1 &gt; 0 </t>
  </si>
  <si>
    <t>else (customer overpaid)</t>
  </si>
  <si>
    <t xml:space="preserve">end if </t>
  </si>
  <si>
    <t>from CAL3</t>
  </si>
  <si>
    <t>from CAL3.1</t>
  </si>
  <si>
    <t>from CAL4</t>
  </si>
  <si>
    <t>copy to c12.3</t>
  </si>
  <si>
    <t>from CAL5</t>
  </si>
  <si>
    <t>from CAL6</t>
  </si>
  <si>
    <t>Compare customer calculated values with comparative revenue values</t>
  </si>
  <si>
    <t>Customer calculated boxes</t>
  </si>
  <si>
    <t>Comparable revenue values</t>
  </si>
  <si>
    <t>Calculate absolute difference</t>
  </si>
  <si>
    <t>Compare customer calculated values for IT due minus tax paid with comparative revenue values</t>
  </si>
  <si>
    <t>Calculate absolute difference - always use positive amount</t>
  </si>
  <si>
    <t>Reduce Income tax  first</t>
  </si>
  <si>
    <t xml:space="preserve">end if  </t>
  </si>
  <si>
    <t>work out amount of any further adjustment</t>
  </si>
  <si>
    <t>increase tax deducted</t>
  </si>
  <si>
    <t>else (customers figure is higher than Revenue figure)</t>
  </si>
  <si>
    <t>Add difference to income tax</t>
  </si>
  <si>
    <t>Update boxes required on SA302</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</si>
  <si>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</si>
  <si>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</si>
  <si>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</si>
  <si>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</si>
  <si>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</si>
  <si>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</si>
  <si>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</si>
  <si>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</si>
  <si>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</si>
  <si>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</si>
  <si>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</si>
  <si>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</si>
  <si>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</si>
  <si>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</si>
  <si>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</si>
  <si>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</si>
  <si>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</si>
  <si>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</si>
  <si>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</si>
  <si>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</si>
  <si>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</si>
  <si>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</si>
  <si>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</si>
  <si>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</si>
  <si>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</si>
  <si>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</si>
  <si>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</si>
  <si>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</si>
  <si>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</si>
  <si>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</si>
  <si>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</si>
  <si>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</si>
  <si>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</si>
  <si>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</si>
  <si>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</si>
  <si>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</si>
  <si>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</si>
  <si>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</si>
  <si>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</si>
  <si>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</si>
  <si>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</si>
  <si>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</si>
  <si>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</si>
  <si>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</si>
  <si>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</si>
  <si>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</si>
  <si>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</si>
  <si>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</si>
  <si>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</si>
  <si>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</si>
  <si>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</si>
  <si>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</si>
  <si>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</si>
  <si>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</si>
  <si>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</si>
  <si>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</si>
  <si>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</si>
  <si>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</si>
  <si>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</si>
  <si>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</si>
  <si>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box_NRD30</t>
  </si>
  <si>
    <t>box_NRD31</t>
  </si>
  <si>
    <t>box_NRD32</t>
  </si>
  <si>
    <t>box_NRD33</t>
  </si>
  <si>
    <t>Remit_basis</t>
  </si>
  <si>
    <t>Unremit &lt; 2000</t>
  </si>
  <si>
    <t>Res_17_years</t>
  </si>
  <si>
    <r>
      <t>c5.66u changed from 
“if (c5.35 minus ((c5.44 + c5.52h + c5.58.7 + c5.62 + c5.66.7) minus c5.66q)) + (c5.37 minus
(c5.46 + c5.52l + c5.64 + c5.68a + c5.66q + c5.66t)) &gt; c5.2a
c5.66u = 0 (zero)
else
c5.66u = lower of (c5.35 minus (c5.44 + c5.52h + c5.58.7 + c5.62 + c5.66.7)) and c5.52l
end if”
to
“if (c5.35 minus ((c5.44 + c5.52h + c5.58.7 + c5.62 + c5.66.7) minus c5.66q)) + (</t>
    </r>
    <r>
      <rPr>
        <b/>
        <sz val="10"/>
        <color rgb="FF00B050"/>
        <rFont val="Arial"/>
        <family val="2"/>
      </rPr>
      <t>(</t>
    </r>
    <r>
      <rPr>
        <sz val="10"/>
        <color theme="1"/>
        <rFont val="Arial"/>
        <family val="2"/>
      </rPr>
      <t xml:space="preserve">c5.37 </t>
    </r>
    <r>
      <rPr>
        <b/>
        <sz val="10"/>
        <color rgb="FF00B050"/>
        <rFont val="Arial"/>
        <family val="2"/>
      </rPr>
      <t>+ c5.41)</t>
    </r>
    <r>
      <rPr>
        <sz val="10"/>
        <color theme="1"/>
        <rFont val="Arial"/>
        <family val="2"/>
      </rPr>
      <t xml:space="preserve"> minus
(c5.46 + c5.52l + c5.64 + c5.68a + c5.66q + c5.66t)) &gt; c5.2a
c5.66u = 0 (zero)
else
c5.66u = lower of (c5.35 minus (c5.44 + c5.52h + c5.58.7 + c5.62 + c5.66.7)) and c5.52l
end if”</t>
    </r>
  </si>
  <si>
    <t>new box c4.57.1</t>
  </si>
  <si>
    <t>N51</t>
  </si>
  <si>
    <t>N55</t>
  </si>
  <si>
    <t>N56</t>
  </si>
  <si>
    <t>c5.58a.43a</t>
  </si>
  <si>
    <r>
      <t>c5.58.43a changed from "</t>
    </r>
    <r>
      <rPr>
        <b/>
        <sz val="10"/>
        <color rgb="FFFF0000"/>
        <rFont val="Arial"/>
        <family val="2"/>
      </rPr>
      <t>lower of (c5.36 minus (c5.58a.1b + c5.58a.40 + c5.58a.41 + c5.58a.42 + c5.58a.43)) and
((c3a.1a + c5.2 + c3a.2a + c3a.3 + c3a.3.1) minus (c5.58a.3 + c5.58a.4 + c5.58a.21 + c5.58a.40 + c5.58a.41 + c5.58a.42 + c5.58a.43))</t>
    </r>
    <r>
      <rPr>
        <sz val="10"/>
        <color theme="1"/>
        <rFont val="Arial"/>
        <family val="2"/>
      </rPr>
      <t xml:space="preserve">" 
</t>
    </r>
    <r>
      <rPr>
        <b/>
        <sz val="10"/>
        <color theme="1"/>
        <rFont val="Arial"/>
        <family val="2"/>
      </rPr>
      <t xml:space="preserve">to </t>
    </r>
    <r>
      <rPr>
        <sz val="10"/>
        <color theme="1"/>
        <rFont val="Arial"/>
        <family val="2"/>
      </rPr>
      <t xml:space="preserve">
"</t>
    </r>
    <r>
      <rPr>
        <b/>
        <sz val="10"/>
        <color rgb="FF00B050"/>
        <rFont val="Arial"/>
        <family val="2"/>
      </rPr>
      <t>Set to zero</t>
    </r>
    <r>
      <rPr>
        <sz val="10"/>
        <color theme="1"/>
        <rFont val="Arial"/>
        <family val="2"/>
      </rPr>
      <t>"</t>
    </r>
  </si>
  <si>
    <t>new box c5.58a.43a</t>
  </si>
  <si>
    <t>JIRA664</t>
  </si>
  <si>
    <t xml:space="preserve">Components: YPD INC-A INC-C REL-B SLR SSE NI2 NIC2Vol PRO </t>
  </si>
  <si>
    <t>Winter Fuel Payment Threshold rate</t>
  </si>
  <si>
    <t>WFP_rate</t>
  </si>
  <si>
    <t>CI_CGT_rate</t>
  </si>
  <si>
    <t>Carried Interest rate</t>
  </si>
  <si>
    <t>Upper_CGT_rate_CII struck through</t>
  </si>
  <si>
    <r>
      <t xml:space="preserve">c18.44 changed from 
"c18.43 × </t>
    </r>
    <r>
      <rPr>
        <b/>
        <sz val="10"/>
        <color rgb="FFFF0000"/>
        <rFont val="Arial"/>
        <family val="2"/>
      </rPr>
      <t>Upper_CGT_rate_CI (28%)</t>
    </r>
    <r>
      <rPr>
        <sz val="10"/>
        <rFont val="Arial"/>
        <family val="2"/>
      </rPr>
      <t>"
to
"c18.43 ×</t>
    </r>
    <r>
      <rPr>
        <b/>
        <sz val="10"/>
        <color rgb="FF00B050"/>
        <rFont val="Arial"/>
        <family val="2"/>
      </rPr>
      <t xml:space="preserve"> CI_CGT_rate (32%)</t>
    </r>
    <r>
      <rPr>
        <sz val="10"/>
        <rFont val="Arial"/>
        <family val="2"/>
      </rPr>
      <t>"</t>
    </r>
  </si>
  <si>
    <t>Lower_CGT_rate_CI struck through</t>
  </si>
  <si>
    <t>"CI_CGT_rate (32%) added</t>
  </si>
  <si>
    <r>
      <t>c9.39i changed from 
"</t>
    </r>
    <r>
      <rPr>
        <b/>
        <sz val="10"/>
        <color rgb="FFFF0000"/>
        <rFont val="Arial"/>
        <family val="2"/>
      </rPr>
      <t>c9.39 + c9.39a + c9.39b + c9.39c + c9.39d + c9.39f + c9.39h</t>
    </r>
    <r>
      <rPr>
        <sz val="10"/>
        <color theme="1"/>
        <rFont val="Arial"/>
        <family val="2"/>
      </rPr>
      <t>"
to
"</t>
    </r>
    <r>
      <rPr>
        <b/>
        <sz val="10"/>
        <color rgb="FF00B050"/>
        <rFont val="Arial"/>
        <family val="2"/>
      </rPr>
      <t>from box WFP1</t>
    </r>
    <r>
      <rPr>
        <sz val="10"/>
        <color theme="1"/>
        <rFont val="Arial"/>
        <family val="2"/>
      </rPr>
      <t>"</t>
    </r>
  </si>
  <si>
    <t>new box c9.39j</t>
  </si>
  <si>
    <t>new box c9.39k</t>
  </si>
  <si>
    <r>
      <t>c9.40 changed from 
"</t>
    </r>
    <r>
      <rPr>
        <b/>
        <sz val="10"/>
        <color rgb="FFFF0000"/>
        <rFont val="Arial"/>
        <family val="2"/>
      </rPr>
      <t>c9.31 + c9.39i</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c9.31 + c9.39k</t>
    </r>
    <r>
      <rPr>
        <sz val="10"/>
        <color theme="1"/>
        <rFont val="Arial"/>
        <family val="2"/>
      </rPr>
      <t>"</t>
    </r>
  </si>
  <si>
    <t>"WFP_threshold" (£35,000) added</t>
  </si>
  <si>
    <t>"WFP_rate" (100%) added</t>
  </si>
  <si>
    <t>L83d added</t>
  </si>
  <si>
    <t>VBA macro Sub Replay_test_case() uses Cell ("B125"). Will need to change VBA macro if Components Box is shited from B125.</t>
  </si>
  <si>
    <t>WFP_charge (c9.39j) added</t>
  </si>
  <si>
    <t>WFP_amount (c9.39i) added</t>
  </si>
  <si>
    <t>VBA macro Sub Draw_IRCX() uses 'Range ("A1:I123") .Copy". Will need to change VBA macro if rows exceed row 123.</t>
  </si>
  <si>
    <t>L80b</t>
  </si>
  <si>
    <t>L80b "Winter Fuel Payment charge" added</t>
  </si>
  <si>
    <t>L80b Or "Pension Age Winter Heating Payment charge" added</t>
  </si>
  <si>
    <t>WFP-amount</t>
  </si>
  <si>
    <t>WFP-charge</t>
  </si>
  <si>
    <t>c96.18</t>
  </si>
  <si>
    <t>TRF charge</t>
  </si>
  <si>
    <t>c12.1f + c12.9 + c12.11</t>
  </si>
  <si>
    <t>Fe-Rel-claimed</t>
  </si>
  <si>
    <r>
      <t>data name non-dom-charge-amount MTR calc box changed from 
"</t>
    </r>
    <r>
      <rPr>
        <b/>
        <sz val="10"/>
        <color rgb="FFFF0000"/>
        <rFont val="Arial"/>
        <family val="2"/>
      </rPr>
      <t>c19.1</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Set to zero</t>
    </r>
    <r>
      <rPr>
        <sz val="10"/>
        <rFont val="Arial"/>
        <family val="2"/>
      </rPr>
      <t>"</t>
    </r>
  </si>
  <si>
    <t>L93d struck through</t>
  </si>
  <si>
    <t>L79A struck through</t>
  </si>
  <si>
    <t>c9.39g + c9.39g1</t>
  </si>
  <si>
    <t>Non-sav inc in non-res settlor interested trusts</t>
  </si>
  <si>
    <t>Capital sums paid to settlor by  trustees of non resident settlements</t>
  </si>
  <si>
    <t xml:space="preserve">Benefits chargeable on you </t>
  </si>
  <si>
    <t>Benefits chargeable on you under the Close family member rules under ToAA</t>
  </si>
  <si>
    <t xml:space="preserve"> the Onward Gifts Rules under ToAA</t>
  </si>
  <si>
    <t>the Onward Gifts Rules</t>
  </si>
  <si>
    <t>Earlier years losses - set against certain 2025-26 income</t>
  </si>
  <si>
    <t>Sav inc in non-res settlor interested trusts</t>
  </si>
  <si>
    <t>Div inc in non-res settlor interested trusts</t>
  </si>
  <si>
    <t>Total payments from</t>
  </si>
  <si>
    <t>Total payments from settlor-interested trusts</t>
  </si>
  <si>
    <t xml:space="preserve">Capital sums paid to settlor by </t>
  </si>
  <si>
    <t>Changes v1.1.0</t>
  </si>
  <si>
    <r>
      <t>"AA_limit" changed from "</t>
    </r>
    <r>
      <rPr>
        <b/>
        <sz val="10"/>
        <color rgb="FFFF0000"/>
        <rFont val="Arial"/>
        <family val="2"/>
      </rPr>
      <t>37,000</t>
    </r>
    <r>
      <rPr>
        <sz val="10"/>
        <rFont val="Arial"/>
        <family val="2"/>
      </rPr>
      <t>" to "</t>
    </r>
    <r>
      <rPr>
        <b/>
        <sz val="10"/>
        <color rgb="FF00B050"/>
        <rFont val="Arial"/>
        <family val="2"/>
      </rPr>
      <t>37,700</t>
    </r>
    <r>
      <rPr>
        <sz val="10"/>
        <rFont val="Arial"/>
        <family val="2"/>
      </rPr>
      <t>"</t>
    </r>
  </si>
  <si>
    <t>AHR Case for PSA</t>
  </si>
  <si>
    <t>HR Case for PSA</t>
  </si>
  <si>
    <t>Changes v1.2.0</t>
  </si>
  <si>
    <t>c18.4.1 - £up rounding added</t>
  </si>
  <si>
    <t>c18.4.2 - £up rounding added</t>
  </si>
  <si>
    <t>c18.4.5 - £up rounding added</t>
  </si>
  <si>
    <t>c18.4.3 - rounding changed from "£down" to "£up"</t>
  </si>
  <si>
    <t>c18.4.4 - £up rounding added</t>
  </si>
  <si>
    <t>c9.39h - pdown rounding added</t>
  </si>
  <si>
    <t>c9.39j - pdown rounding added</t>
  </si>
  <si>
    <t>EPM3.1 removed</t>
  </si>
  <si>
    <t>EMP3.1 set to "Box not in use"</t>
  </si>
  <si>
    <r>
      <t xml:space="preserve">c1.9 changed from "(c1.4 + c1.5) minus c1.8" 
</t>
    </r>
    <r>
      <rPr>
        <b/>
        <sz val="10"/>
        <color theme="1"/>
        <rFont val="Arial"/>
        <family val="2"/>
      </rPr>
      <t>to</t>
    </r>
    <r>
      <rPr>
        <sz val="10"/>
        <color theme="1"/>
        <rFont val="Arial"/>
        <family val="2"/>
      </rPr>
      <t xml:space="preserve"> 
"If LEA calc
c1.9 = (c1.4 + c1.5 + unmatched contributions) minus c1.8
else
c1.9 = (c1.4 + c1.5) minus c1.8
end if"</t>
    </r>
  </si>
  <si>
    <r>
      <t xml:space="preserve">c5.38 changed from 
“If calculation type = non-resident
c5.38 = 0 (zero)
else
c5.38 = c3.5
end if”
</t>
    </r>
    <r>
      <rPr>
        <b/>
        <sz val="10"/>
        <color theme="1"/>
        <rFont val="Arial"/>
        <family val="2"/>
      </rPr>
      <t>to</t>
    </r>
    <r>
      <rPr>
        <sz val="10"/>
        <color theme="1"/>
        <rFont val="Arial"/>
        <family val="2"/>
      </rPr>
      <t xml:space="preserve"> 
“If calculation type = non-resident
c5.38 = 0 (zero)
else
c5.38 = </t>
    </r>
    <r>
      <rPr>
        <b/>
        <sz val="10"/>
        <color rgb="FF00B050"/>
        <rFont val="Arial"/>
        <family val="2"/>
      </rPr>
      <t>(3.5 + 3.1) minus c4.47.27</t>
    </r>
    <r>
      <rPr>
        <sz val="10"/>
        <color theme="1"/>
        <rFont val="Arial"/>
        <family val="2"/>
      </rPr>
      <t xml:space="preserve">
end if</t>
    </r>
  </si>
  <si>
    <t>Benefits chargeable on you under  the Onward Gifts Rules under ToAA</t>
  </si>
  <si>
    <t>Benefits received by non-tranferors</t>
  </si>
  <si>
    <t>ppr-claim</t>
  </si>
  <si>
    <t>c4.47.4a</t>
  </si>
  <si>
    <t>Changes v1.3.0</t>
  </si>
  <si>
    <t>new box c4.47.4a</t>
  </si>
  <si>
    <r>
      <t xml:space="preserve">c4.47.19 changed from 
“c4.47.1 + c4.47.2 + c4.47.3 + c4.47.4 + c4.47.5 + c4.47.6 + c4.47.7 + c4.47.8 + c4.47.9 + c4.47.10 + c4.47.11 + c4.47.12 + c4.47.13 + c4.47.14 + c4.47.15 + c4.47.16 + c4.47.17 + c4.47.18”
</t>
    </r>
    <r>
      <rPr>
        <b/>
        <sz val="10"/>
        <color theme="1"/>
        <rFont val="Arial"/>
        <family val="2"/>
      </rPr>
      <t>to</t>
    </r>
    <r>
      <rPr>
        <sz val="10"/>
        <color theme="1"/>
        <rFont val="Arial"/>
        <family val="2"/>
      </rPr>
      <t xml:space="preserve">
“c4.47.1 + c4.47.2 + c4.47.3 + c4.47.4 + </t>
    </r>
    <r>
      <rPr>
        <b/>
        <sz val="10"/>
        <color rgb="FF00B050"/>
        <rFont val="Arial"/>
        <family val="2"/>
      </rPr>
      <t>c4.47.4a +</t>
    </r>
    <r>
      <rPr>
        <sz val="10"/>
        <color theme="1"/>
        <rFont val="Arial"/>
        <family val="2"/>
      </rPr>
      <t xml:space="preserve"> c4.47.5 + c4.47.6 + c4.47.7 + c4.47.8 + c4.47.9 + c4.47.10 + c4.47.11 + c4.47.12 + c4.47.13 + c4.47.14 + c4.47.15 + c4.47.16 + c4.47.17 + c4.47.18“</t>
    </r>
  </si>
  <si>
    <r>
      <t xml:space="preserve">c5.40 changed from 
“If calculation type = non-resident
c5.40 = c91.23
else
c5.40 = </t>
    </r>
    <r>
      <rPr>
        <b/>
        <sz val="10"/>
        <color rgb="FFFF0000"/>
        <rFont val="Arial"/>
        <family val="2"/>
      </rPr>
      <t>c3.15</t>
    </r>
    <r>
      <rPr>
        <sz val="10"/>
        <color theme="1"/>
        <rFont val="Arial"/>
        <family val="2"/>
      </rPr>
      <t xml:space="preserve"> minus (</t>
    </r>
    <r>
      <rPr>
        <b/>
        <sz val="10"/>
        <color rgb="FFFF0000"/>
        <rFont val="Arial"/>
        <family val="2"/>
      </rPr>
      <t>c4.47.27</t>
    </r>
    <r>
      <rPr>
        <sz val="10"/>
        <color theme="1"/>
        <rFont val="Arial"/>
        <family val="2"/>
      </rPr>
      <t xml:space="preserve"> + c5.38 + c5.39)
end if”
</t>
    </r>
    <r>
      <rPr>
        <b/>
        <sz val="10"/>
        <color theme="1"/>
        <rFont val="Arial"/>
        <family val="2"/>
      </rPr>
      <t>to</t>
    </r>
    <r>
      <rPr>
        <sz val="10"/>
        <color theme="1"/>
        <rFont val="Arial"/>
        <family val="2"/>
      </rPr>
      <t xml:space="preserve">
If calculation type = non-resident
c5.40 = c91.23
else
c5.40 = </t>
    </r>
    <r>
      <rPr>
        <b/>
        <sz val="10"/>
        <color rgb="FF00B050"/>
        <rFont val="Arial"/>
        <family val="2"/>
      </rPr>
      <t xml:space="preserve">c5.22 </t>
    </r>
    <r>
      <rPr>
        <sz val="10"/>
        <color theme="1"/>
        <rFont val="Arial"/>
        <family val="2"/>
      </rPr>
      <t>minus (c5.38 + c5.39)
end if</t>
    </r>
  </si>
  <si>
    <t>Tax paid (c11)</t>
  </si>
  <si>
    <r>
      <t xml:space="preserve">c11.15 changed from
“FOR3 + FOR5 + FOR7.1 + FOR7.3 + FOR8 + FOR10 + FOR12 + FOR29 + FOR40”
</t>
    </r>
    <r>
      <rPr>
        <b/>
        <sz val="10"/>
        <color theme="1"/>
        <rFont val="Arial"/>
        <family val="2"/>
      </rPr>
      <t>to</t>
    </r>
    <r>
      <rPr>
        <sz val="10"/>
        <color theme="1"/>
        <rFont val="Arial"/>
        <family val="2"/>
      </rPr>
      <t xml:space="preserve">
“FOR3 + FOR5 + FOR7.1 + FOR7.3 + FOR8 + FOR10 + FOR12 + FOR29 + FOR40 </t>
    </r>
    <r>
      <rPr>
        <b/>
        <sz val="10"/>
        <color rgb="FF00B050"/>
        <rFont val="Arial"/>
        <family val="2"/>
      </rPr>
      <t>+ FOR47 + FOR50 + FOR52</t>
    </r>
    <r>
      <rPr>
        <sz val="10"/>
        <color theme="1"/>
        <rFont val="Arial"/>
        <family val="2"/>
      </rPr>
      <t>”</t>
    </r>
  </si>
  <si>
    <t>New line L40 added</t>
  </si>
  <si>
    <t>Bankc</t>
  </si>
  <si>
    <t>Art</t>
  </si>
  <si>
    <t>TC242 - C3 and C6 updated</t>
  </si>
  <si>
    <t>TC241 - C8C9C10 updated</t>
  </si>
  <si>
    <t>TC158 - C2 updated</t>
  </si>
  <si>
    <t>ppr-claim (c4.57.1) added</t>
  </si>
  <si>
    <r>
      <t xml:space="preserve">c4.63c changed from 
"c4.63a minus c4.47.19 + c4.47.30 +c4.63b" 
</t>
    </r>
    <r>
      <rPr>
        <b/>
        <sz val="10"/>
        <color theme="1"/>
        <rFont val="Arial"/>
        <family val="2"/>
      </rPr>
      <t>to</t>
    </r>
    <r>
      <rPr>
        <sz val="10"/>
        <color theme="1"/>
        <rFont val="Arial"/>
        <family val="2"/>
      </rPr>
      <t xml:space="preserve"> 
"c4.63a minus </t>
    </r>
    <r>
      <rPr>
        <b/>
        <sz val="10"/>
        <color rgb="FF00B050"/>
        <rFont val="Arial"/>
        <family val="2"/>
      </rPr>
      <t>(</t>
    </r>
    <r>
      <rPr>
        <sz val="10"/>
        <color theme="1"/>
        <rFont val="Arial"/>
        <family val="2"/>
      </rPr>
      <t>c4.47.19 + c4.47.30 +c4.63b</t>
    </r>
    <r>
      <rPr>
        <b/>
        <sz val="10"/>
        <color rgb="FF00B050"/>
        <rFont val="Arial"/>
        <family val="2"/>
      </rPr>
      <t>)</t>
    </r>
    <r>
      <rPr>
        <sz val="10"/>
        <color theme="1"/>
        <rFont val="Arial"/>
        <family val="2"/>
      </rPr>
      <t>"</t>
    </r>
  </si>
  <si>
    <t>Changes v1.4.0</t>
  </si>
  <si>
    <t>WFHP</t>
  </si>
  <si>
    <t>WFHP1</t>
  </si>
  <si>
    <t>c9.39i "WFP1" changed to "WFHP1"</t>
  </si>
  <si>
    <t>VBA macro Sub clear_SA302() uses range A1:K324 - ensure the maximum number of lines (excluding "or") cannot exceed that</t>
  </si>
  <si>
    <t>VBA macro Sub Draw_SA302_from() uses 'Range ("B1:K324") .Copy, and "For intSA302_Line = 324 To 1 Step -1".' Will need to change VBA macro if rows exceed row 324.</t>
  </si>
  <si>
    <t>Changes v1.4.1</t>
  </si>
  <si>
    <r>
      <t xml:space="preserve">c1.9 changed from 
“If </t>
    </r>
    <r>
      <rPr>
        <b/>
        <sz val="10"/>
        <color rgb="FFFF0000"/>
        <rFont val="Arial"/>
        <family val="2"/>
      </rPr>
      <t>LEA</t>
    </r>
    <r>
      <rPr>
        <sz val="10"/>
        <color theme="1"/>
        <rFont val="Arial"/>
        <family val="2"/>
      </rPr>
      <t xml:space="preserve"> calc
c1.9 = (c1.4 + c1.5 + </t>
    </r>
    <r>
      <rPr>
        <b/>
        <sz val="10"/>
        <color rgb="FFFF0000"/>
        <rFont val="Arial"/>
        <family val="2"/>
      </rPr>
      <t>unmatched</t>
    </r>
    <r>
      <rPr>
        <sz val="10"/>
        <color theme="1"/>
        <rFont val="Arial"/>
        <family val="2"/>
      </rPr>
      <t xml:space="preserve"> contributions) minus c1.8
else
c1.9 = (c1.4 + c1.5) minus c1.8
end if
(c1.4 + c1.5) minus c1.8”
</t>
    </r>
    <r>
      <rPr>
        <b/>
        <sz val="10"/>
        <color theme="1"/>
        <rFont val="Arial"/>
        <family val="2"/>
      </rPr>
      <t>to</t>
    </r>
    <r>
      <rPr>
        <sz val="10"/>
        <color theme="1"/>
        <rFont val="Arial"/>
        <family val="2"/>
      </rPr>
      <t xml:space="preserve">
“If </t>
    </r>
    <r>
      <rPr>
        <b/>
        <sz val="10"/>
        <color rgb="FF00B050"/>
        <rFont val="Arial"/>
        <family val="2"/>
      </rPr>
      <t>LEPP</t>
    </r>
    <r>
      <rPr>
        <sz val="10"/>
        <color theme="1"/>
        <rFont val="Arial"/>
        <family val="2"/>
      </rPr>
      <t xml:space="preserve"> calc
c1.9 = (c1.4 + c1.5 + </t>
    </r>
    <r>
      <rPr>
        <b/>
        <sz val="10"/>
        <color rgb="FF00B050"/>
        <rFont val="Arial"/>
        <family val="2"/>
      </rPr>
      <t>Total Net Pay Contribution</t>
    </r>
    <r>
      <rPr>
        <sz val="10"/>
        <color theme="1"/>
        <rFont val="Arial"/>
        <family val="2"/>
      </rPr>
      <t>) minus c1.8
else
c1.9 = (c1.4 + c1.5) minus c1.8
end if
(c1.4 + c1.5) minus c1.8”</t>
    </r>
  </si>
  <si>
    <t>Carried interest rate displayed changed from 18/24% to 32%</t>
  </si>
  <si>
    <t>Total tax and TRF charge due</t>
  </si>
  <si>
    <t>Total tax, National Insurance contributions and TRF charge due</t>
  </si>
  <si>
    <t>L94 and L26 changed so "TRF charge due" is at the end of the line</t>
  </si>
  <si>
    <t>Selected  = 0/0/0</t>
  </si>
  <si>
    <t>Selected  = 0</t>
  </si>
  <si>
    <t>TC116 C0 Divs updated</t>
  </si>
  <si>
    <t>L80b formula updated to point to cell E21 in Status (c3a)</t>
  </si>
  <si>
    <t>SA302_template (W)</t>
  </si>
  <si>
    <t>Changes v1.5.0</t>
  </si>
  <si>
    <t>c4.47.25a</t>
  </si>
  <si>
    <t>new box c4.47.25a "from FOR11.1"</t>
  </si>
  <si>
    <r>
      <t>c4.47.4a changed from "</t>
    </r>
    <r>
      <rPr>
        <b/>
        <sz val="10"/>
        <color rgb="FFFF0000"/>
        <rFont val="Arial"/>
        <family val="2"/>
      </rPr>
      <t>from FOR11.1</t>
    </r>
    <r>
      <rPr>
        <sz val="10"/>
        <color theme="1"/>
        <rFont val="Arial"/>
        <family val="2"/>
      </rPr>
      <t>" to "</t>
    </r>
    <r>
      <rPr>
        <b/>
        <sz val="10"/>
        <color rgb="FF00B050"/>
        <rFont val="Arial"/>
        <family val="2"/>
      </rPr>
      <t>Set to zero</t>
    </r>
    <r>
      <rPr>
        <sz val="10"/>
        <color theme="1"/>
        <rFont val="Arial"/>
        <family val="2"/>
      </rPr>
      <t>"</t>
    </r>
  </si>
  <si>
    <r>
      <t xml:space="preserve">c4.47.27 changed from 
"c4.47.24 + c4.47.25 + c4.47.26" 
</t>
    </r>
    <r>
      <rPr>
        <b/>
        <sz val="10"/>
        <color theme="1"/>
        <rFont val="Arial"/>
        <family val="2"/>
      </rPr>
      <t>to</t>
    </r>
    <r>
      <rPr>
        <sz val="10"/>
        <color theme="1"/>
        <rFont val="Arial"/>
        <family val="2"/>
      </rPr>
      <t xml:space="preserve"> 
"c4.47.24 + c4.47.25 </t>
    </r>
    <r>
      <rPr>
        <b/>
        <sz val="10"/>
        <color rgb="FF00B050"/>
        <rFont val="Arial"/>
        <family val="2"/>
      </rPr>
      <t>+ c4.47.25a</t>
    </r>
    <r>
      <rPr>
        <sz val="10"/>
        <color theme="1"/>
        <rFont val="Arial"/>
        <family val="2"/>
      </rPr>
      <t xml:space="preserve"> + c4.47.26"</t>
    </r>
  </si>
  <si>
    <r>
      <t xml:space="preserve">c4.47.19 changed from 
"c4.47.1 + c4.47.2 + c4.47.3 + c4.47.4 </t>
    </r>
    <r>
      <rPr>
        <b/>
        <sz val="10"/>
        <color rgb="FFFF0000"/>
        <rFont val="Arial"/>
        <family val="2"/>
      </rPr>
      <t>+ c4.47.4a</t>
    </r>
    <r>
      <rPr>
        <sz val="10"/>
        <color theme="1"/>
        <rFont val="Arial"/>
        <family val="2"/>
      </rPr>
      <t xml:space="preserve"> + c4.47.5 + c4.47.6 + c4.47.7 + c4.47.8 + c4.47.9 + c4.47.10 +
c4.47.11 + c4.47.12 + c4.47.13 + c4.47.14 + c4.47.15 + c4.47.16 + c4.47.17 + c4.47.18" 
</t>
    </r>
    <r>
      <rPr>
        <b/>
        <sz val="10"/>
        <color theme="1"/>
        <rFont val="Arial"/>
        <family val="2"/>
      </rPr>
      <t xml:space="preserve">to </t>
    </r>
    <r>
      <rPr>
        <sz val="10"/>
        <color theme="1"/>
        <rFont val="Arial"/>
        <family val="2"/>
      </rPr>
      <t xml:space="preserve">
"c4.47.1 + c4.47.2 + c4.47.3 + c4.47.4 + c4.47.5 + c4.47.6 + c4.47.7 + c4.47.8 + c4.47.9 + c4.47.10 +
c4.47.11 + c4.47.12 + c4.47.13 + c4.47.14 + c4.47.15 + c4.47.16 + c4.47.17 + c4.47.18"</t>
    </r>
  </si>
  <si>
    <r>
      <t xml:space="preserve">c18.50 changed from "c18.30 </t>
    </r>
    <r>
      <rPr>
        <b/>
        <sz val="10"/>
        <color rgb="FFFF0000"/>
        <rFont val="Arial"/>
        <family val="2"/>
      </rPr>
      <t>+ c18.42</t>
    </r>
    <r>
      <rPr>
        <sz val="10"/>
        <color theme="1"/>
        <rFont val="Arial"/>
        <family val="2"/>
      </rPr>
      <t xml:space="preserve"> + c18.44 + c18.45.2 + c18.45.4 + c18.47 + c18.49" 
</t>
    </r>
    <r>
      <rPr>
        <b/>
        <sz val="10"/>
        <color theme="1"/>
        <rFont val="Arial"/>
        <family val="2"/>
      </rPr>
      <t>to</t>
    </r>
    <r>
      <rPr>
        <sz val="10"/>
        <color theme="1"/>
        <rFont val="Arial"/>
        <family val="2"/>
      </rPr>
      <t xml:space="preserve"> 
"c18.30 + c18.44 + c18.45.2 + c18.45.4 + c18.47 + c18.49" </t>
    </r>
  </si>
  <si>
    <r>
      <t>c9.36 changed from "</t>
    </r>
    <r>
      <rPr>
        <b/>
        <sz val="10"/>
        <color rgb="FFFF0000"/>
        <rFont val="Arial"/>
        <family val="2"/>
      </rPr>
      <t>from c19.1</t>
    </r>
    <r>
      <rPr>
        <sz val="10"/>
        <color theme="1"/>
        <rFont val="Arial"/>
        <family val="2"/>
      </rPr>
      <t>" to "</t>
    </r>
    <r>
      <rPr>
        <b/>
        <sz val="10"/>
        <color rgb="FF00B050"/>
        <rFont val="Arial"/>
        <family val="2"/>
      </rPr>
      <t>Set to zero</t>
    </r>
    <r>
      <rPr>
        <sz val="10"/>
        <color theme="1"/>
        <rFont val="Arial"/>
        <family val="2"/>
      </rPr>
      <t>"</t>
    </r>
  </si>
  <si>
    <r>
      <t xml:space="preserve">c9.39 changed from 
"if c9.34 &gt; 0 (zero)
c9.39 = c9.34 minus (c9.35 </t>
    </r>
    <r>
      <rPr>
        <b/>
        <sz val="10"/>
        <color rgb="FFFF0000"/>
        <rFont val="Arial"/>
        <family val="2"/>
      </rPr>
      <t>+ c9.36</t>
    </r>
    <r>
      <rPr>
        <sz val="10"/>
        <color theme="1"/>
        <rFont val="Arial"/>
        <family val="2"/>
      </rPr>
      <t xml:space="preserve"> + c9.38)
else
c9.39 = 0 (zero)
end if" 
</t>
    </r>
    <r>
      <rPr>
        <b/>
        <sz val="10"/>
        <color theme="1"/>
        <rFont val="Arial"/>
        <family val="2"/>
      </rPr>
      <t>to</t>
    </r>
    <r>
      <rPr>
        <sz val="10"/>
        <color theme="1"/>
        <rFont val="Arial"/>
        <family val="2"/>
      </rPr>
      <t xml:space="preserve"> 
"if c9.34 &gt; 0 (zero)
c9.39 = c9.34 minus (c9.35 + c9.38)
else
c9.39 = 0 (zero)
end if</t>
    </r>
  </si>
  <si>
    <r>
      <t xml:space="preserve">c27.15 changed from 
"c27.5 + c27.9 + c27.10 + c27.11 +
c27.12 + c27.13 + c27.14 </t>
    </r>
    <r>
      <rPr>
        <b/>
        <sz val="10"/>
        <color rgb="FFFF0000"/>
        <rFont val="Arial"/>
        <family val="2"/>
      </rPr>
      <t>+ c27.15</t>
    </r>
    <r>
      <rPr>
        <sz val="10"/>
        <color theme="1"/>
        <rFont val="Arial"/>
        <family val="2"/>
      </rPr>
      <t xml:space="preserve"> + c27.16 + c27.16a" 
</t>
    </r>
    <r>
      <rPr>
        <b/>
        <sz val="10"/>
        <color theme="1"/>
        <rFont val="Arial"/>
        <family val="2"/>
      </rPr>
      <t>to</t>
    </r>
    <r>
      <rPr>
        <sz val="10"/>
        <color theme="1"/>
        <rFont val="Arial"/>
        <family val="2"/>
      </rPr>
      <t xml:space="preserve"> 
"c27.5 + c27.9 + c27.10 + c27.11 +
c27.12 + c27.13 + c27.14 + c27.16 + c27.16a</t>
    </r>
  </si>
  <si>
    <r>
      <t xml:space="preserve">If above stage 18 changed from "If boxes ((CGT6 + CGT13B + CGT13.4 + CGT17 + CGT26 + CGT34) minus ((CGT7 + CGT13.5 + CGT19 + CGT27 + CGT35) minus (CGT41 + CGT43)) + CGT52 + ((CGT52.1 + CGT52.2) minus CGT52.5) is greater than zero) or (box CGT51 is not zero or null) </t>
    </r>
    <r>
      <rPr>
        <b/>
        <sz val="10"/>
        <color rgb="FFFF0000"/>
        <rFont val="Arial"/>
        <family val="2"/>
      </rPr>
      <t>or (box CGT17 is not zero or null)</t>
    </r>
    <r>
      <rPr>
        <sz val="10"/>
        <color theme="1"/>
        <rFont val="Arial"/>
        <family val="2"/>
      </rPr>
      <t xml:space="preserve"> or boxes CGT10 + CGT12 + CGT13.8 + CGT22 + CGT30 + CGT38 + CGT52.4 is greater than zero
Calculate c18.1 to c18.62" 
to 
"If boxes ((CGT6 + CGT13B + CGT13.4 + CGT17 + CGT26 + CGT34) minus ((CGT7 + CGT13.5 + CGT19 + CGT27 + CGT35) minus (CGT41 + CGT43)) + CGT52 + ((CGT52.1 + CGT52.2) minus CGT52.5) is greater than zero) or (box CGT51 is not zero or null)  or boxes CGT10 + CGT12 + CGT13.8 + CGT22 + CGT30 + CGT38 + CGT52.4 is greater than zero
Calculate c18.1 to c18.62</t>
    </r>
  </si>
  <si>
    <r>
      <t xml:space="preserve">If above c17.1 changed from “If boxes ((CGT6 + CGT13B + CGT13.4 + CGT17 + CGT26 + CGT34) minus ((CGT7 + CGT13.5 + CGT19 + CGT27 + CGT35) minus (CGT41 + CGT43)) + CGT52 + ((CGT52.1 + CGT52.2) minus CGT52.5) is greater than zero) or
CGT51 is not zero or Null </t>
    </r>
    <r>
      <rPr>
        <b/>
        <sz val="10"/>
        <color rgb="FFFF0000"/>
        <rFont val="Arial"/>
        <family val="2"/>
      </rPr>
      <t>or CGT17 is not zero or Null</t>
    </r>
    <r>
      <rPr>
        <sz val="10"/>
        <color theme="1"/>
        <rFont val="Arial"/>
        <family val="2"/>
      </rPr>
      <t>”
to
If above c17.1 changed from “If boxes ((CGT6 + CGT13B + CGT13.4 + CGT17 + CGT26 + CGT34) minus ((CGT7 + CGT13.5 + CGT19 + CGT27 + CGT35) minus (CGT41 + CGT43)) + CGT52 + ((CGT52.1 + CGT52.2) minus CGT52.5) is greater than zero) or
CGT51 is not zero or Null</t>
    </r>
  </si>
  <si>
    <t>If above c17.21 changed from “If box c17.20 = 0 (zero) and
boxes ((CGT6 + CGT13B + CGT13.4 + CGT17 + CGT26 + CGT34) minus ((CGT7 + CGT13.5 + CGT19 + CGT27 + CGT35) minus (CGT41 + CGT43)) + CGT52 + ((52.1 + 52.2) minus 52.5) &lt;= 0 (zero)) and
(CGT51 = 0 (zero) or null) and (box CGT18 = zero or null)) no Top Slicing relief is due
set c17.21 to c17.22 to 1”
to
“If above c17.21 changed from “If box c17.20 = 0 (zero) and
boxes ((CGT6 + CGT13B + CGT13.4 + CGT17 + CGT26 + CGT34) minus ((CGT7 + CGT13.5 + CGT19 + CGT27 + CGT35) minus (CGT41 + CGT43)) + CGT52 + ((52.1 + 52.2) minus 52.5) &lt;= 0 (zero)) and
(CGT51 = 0 (zero) or null)) no Top Slicing relief is due
set c17.21 to c17.22 to 1”</t>
  </si>
  <si>
    <t xml:space="preserve">TC83 updated </t>
  </si>
  <si>
    <t>TestsL80bv2</t>
  </si>
  <si>
    <r>
      <t>c9.39g1 changed from “</t>
    </r>
    <r>
      <rPr>
        <b/>
        <sz val="10"/>
        <color rgb="FFFF0000"/>
        <rFont val="Arial"/>
        <family val="2"/>
      </rPr>
      <t>from NRD53</t>
    </r>
    <r>
      <rPr>
        <sz val="10"/>
        <color theme="1"/>
        <rFont val="Arial"/>
        <family val="2"/>
      </rPr>
      <t>” to “</t>
    </r>
    <r>
      <rPr>
        <b/>
        <sz val="10"/>
        <color rgb="FF00B050"/>
        <rFont val="Arial"/>
        <family val="2"/>
      </rPr>
      <t>from NRD52</t>
    </r>
    <r>
      <rPr>
        <sz val="10"/>
        <color theme="1"/>
        <rFont val="Arial"/>
        <family val="2"/>
      </rPr>
      <t>”</t>
    </r>
  </si>
  <si>
    <t>C8C9C10 updated for TC115, TC116, TC152, RC164, TC211, TC257, TC260 and TC261</t>
  </si>
  <si>
    <t>442/jz22336</t>
  </si>
  <si>
    <t>245/jz24955</t>
  </si>
  <si>
    <t>Changes v1.5.1</t>
  </si>
  <si>
    <t>test case enhancements</t>
  </si>
  <si>
    <t>TRF, CGT Class 4</t>
  </si>
  <si>
    <t>C8C9C10 updated for TC159, TC262, TC263, TC268 and TC269</t>
  </si>
  <si>
    <t>c1.52 rounding fixed</t>
  </si>
  <si>
    <t>TC41, TC84, TC104, TC141, TC158, TC161, TC168, TC187, TC190, TC216, TC217, TC251, TC249,TC255, TC267 and TC268 updated to adress missing mandatory boxes etc.</t>
  </si>
  <si>
    <t>Changes v1.5.2</t>
  </si>
  <si>
    <t>Rhyddhad cyflogaeth dramor</t>
  </si>
  <si>
    <t>Rhyddhad incwm tramor</t>
  </si>
  <si>
    <t>Taliad Tanwydd Gaeaf i’w dalu yn ôl</t>
  </si>
  <si>
    <t>Taliad Gwresogi Gaeaf i Bobl o Oedran Pensiwn i’w dalu yn ôl</t>
  </si>
  <si>
    <t>Tâl cyfleuster ailwladoli dros dro (TRF)</t>
  </si>
  <si>
    <t>Tâl TRF a threth incwm sy’n ddyledus</t>
  </si>
  <si>
    <t>Treth Incwm ar ôl credydau treth difidend a thâl TRF sy’n ddyledus</t>
  </si>
  <si>
    <t>Treth Incwm, Tâl TRF a chyfraniadau Yswiriant Gwladol Dosbarth 2 sy’n ddyledus</t>
  </si>
  <si>
    <t>Treth Incwm, Tâl TRF a chyfraniadau Yswiriant Gwladol Dosbarth 4 sy’n ddyledus</t>
  </si>
  <si>
    <t>Treth Incwm, Tâl TRF a chyfraniadau Yswiriant Gwladol Dosbarth 2 a Dosbarth 4 sy’n ddyledus</t>
  </si>
  <si>
    <t>Tâl TRF a Threth Incwm sy’n ddyledus</t>
  </si>
  <si>
    <t>Treth Incwm, cyfraniadau Yswiriant Gwladol Dosbarth 2 a thâl TRF sy’n ddyledus</t>
  </si>
  <si>
    <t>Treth Incwm, cyfraniadau Yswiriant Gwladol Dosbarth 4 a thâl TRF sy’n ddyledus</t>
  </si>
  <si>
    <t>Treth Incwm, cyfraniadau Yswiriant Gwladol Dosbarth 2 a Dosbarth 4 a thâl TRF sy’n ddyledus</t>
  </si>
  <si>
    <t>a thâl TRF sy’n ddyledus</t>
  </si>
  <si>
    <t>Treth Incwm, Treth Enillion Cyfalaf, cyfraniadau Yswiriant Gwladol Dosbarth 2</t>
  </si>
  <si>
    <t xml:space="preserve">Treth Incwm, Treth Enillion Cyfalaf, cyfraniadau Yswiriant Gwladol Dosbarth 4 </t>
  </si>
  <si>
    <t xml:space="preserve">Treth Incwm, Treth Enillion Cyfalaf, cyfraniadau Yswiriant Gwladol Dosbarth 2 </t>
  </si>
  <si>
    <t>a Dosbarth 4 a thâl TRF sy’n ddyledus</t>
  </si>
  <si>
    <t>Treth Incwm, Treth Enillion Cyfalaf a thâl TRF sy’n ddyledus</t>
  </si>
  <si>
    <t xml:space="preserve">lleihau Treth Incwm, cyfraniadau Yswiriant Gwladol Dosbarth 2 </t>
  </si>
  <si>
    <t xml:space="preserve">lleihau Treth Incwm, cyfraniadau Yswiriant Gwladol Dosbarth 4 </t>
  </si>
  <si>
    <t>lleihau Tâl TRF a Threth Incwm sy’n ddyledus</t>
  </si>
  <si>
    <t>Cyfanswm y dreth, tâl TRF a chyfraniadau Yswiriant Gwladol sy’n ddyledus</t>
  </si>
  <si>
    <t>Cyfanswm treth a thâl TRF</t>
  </si>
  <si>
    <t>New lines translated</t>
  </si>
  <si>
    <t>TC103 C3 - box 73/76 mismatch fixed</t>
  </si>
  <si>
    <t>TC113 C4 - box 16/18/76 mismatch fixed</t>
  </si>
  <si>
    <t>Target updated to fix NRD52 (TC115)</t>
  </si>
  <si>
    <t>TC118 C3 - box 46 mismatch fixed</t>
  </si>
  <si>
    <t>TC123 C6 - box 6F_4 mismatch fixed</t>
  </si>
  <si>
    <r>
      <t xml:space="preserve">c27.1a changed from 
"(EMP1 + EMP3 + </t>
    </r>
    <r>
      <rPr>
        <b/>
        <sz val="10"/>
        <rFont val="Arial"/>
        <family val="2"/>
      </rPr>
      <t>EMP3.1 +</t>
    </r>
    <r>
      <rPr>
        <sz val="10"/>
        <rFont val="Arial"/>
        <family val="2"/>
      </rPr>
      <t xml:space="preserve"> EMP12 + EMP16) minus EMP1.1" 
</t>
    </r>
    <r>
      <rPr>
        <b/>
        <sz val="10"/>
        <rFont val="Arial"/>
        <family val="2"/>
      </rPr>
      <t>to</t>
    </r>
    <r>
      <rPr>
        <sz val="10"/>
        <rFont val="Arial"/>
        <family val="2"/>
      </rPr>
      <t xml:space="preserve"> 
"(EMP1 + EMP3 + EMP12 + EMP16) minus EMP1.1"</t>
    </r>
  </si>
  <si>
    <t>v1.5.2</t>
  </si>
  <si>
    <t>MOR4.1 removed</t>
  </si>
  <si>
    <t>C3 - TC188 updated</t>
  </si>
  <si>
    <t>Changes v1.5.3</t>
  </si>
  <si>
    <t>CGT13 entry removed from TC133, TC153 to TC158, TC160 to TC163, TC165, TC167, TC168, TC213, TC216, TC217, TC220, TC236, TC254, TC255 and TC260</t>
  </si>
  <si>
    <t>SSE6Q changed to 'Y' in TC159, TC168, TC193, TC195 and TC206</t>
  </si>
  <si>
    <t>TC123 - C4 updated</t>
  </si>
  <si>
    <t>TC124 - C4 updated - FPS17 changed to 45252.47</t>
  </si>
  <si>
    <t>Farm contracting</t>
  </si>
  <si>
    <t>Musicians and Composers</t>
  </si>
  <si>
    <t>Exploitation of film</t>
  </si>
  <si>
    <t>Property development</t>
  </si>
  <si>
    <t>Studio Trade</t>
  </si>
  <si>
    <t>Investment funds</t>
  </si>
  <si>
    <t>Apix</t>
  </si>
  <si>
    <t>Paddy</t>
  </si>
  <si>
    <t>Investment</t>
  </si>
  <si>
    <t>a)If entry in any of FSE32, FSE33, FSE34, FSE35, FSE36, FSE37, FSE38, FSE39, FSE40, FSE41, FSE42, FSE43, FSE44 or FSE45 total of all boxes must = FSE46 
b)if present, FSE16.1 must be absent</t>
  </si>
  <si>
    <t>Foreign dividends (up to £500)</t>
  </si>
  <si>
    <t>TC130 - CGT29 changed to 29,414</t>
  </si>
  <si>
    <t>TC131 - CGT29 changed to 341,307</t>
  </si>
  <si>
    <t>TC138 - INC6 changed to 407</t>
  </si>
  <si>
    <t>TC121 - SPS16/18 changed to 6745, SPS20 changed to 7945</t>
  </si>
  <si>
    <t>TC115 - updated SPS8 changed to 18115</t>
  </si>
  <si>
    <t>TC115/TC118 - updated SSE21/28/31 changed to 3958</t>
  </si>
  <si>
    <t>TC268 - CGT13B entry added</t>
  </si>
  <si>
    <t>TC33 - updated FSE73 and FSE76 changed to zero</t>
  </si>
  <si>
    <t>TC156 - SS31 changed to 34,321</t>
  </si>
  <si>
    <t>TC153 - ASE7 changed to N</t>
  </si>
  <si>
    <t>TC170 - ASE7 changed to N</t>
  </si>
  <si>
    <t>TC234 - ASE6 removed</t>
  </si>
  <si>
    <t>TC222 and TC224 - ASE7 Y removed</t>
  </si>
  <si>
    <t>TC123 - FOR5 changed to 1470.68</t>
  </si>
  <si>
    <t>TC134 - INC5 changed to zero and INC4 changed to 4,912</t>
  </si>
  <si>
    <t>Light Out</t>
  </si>
  <si>
    <t>Sale of Electric Components</t>
  </si>
  <si>
    <t>Cows and Pigs</t>
  </si>
  <si>
    <t>Farmer</t>
  </si>
  <si>
    <t>Pad Corbs</t>
  </si>
  <si>
    <t>Munns</t>
  </si>
  <si>
    <t>Consulting</t>
  </si>
  <si>
    <t>Self employed</t>
  </si>
  <si>
    <t>Nam</t>
  </si>
  <si>
    <t>29 Hello Avenue</t>
  </si>
  <si>
    <t>House</t>
  </si>
  <si>
    <t>TC147 - LUN26 changed to 13,228 and LUN27 changed to 15,131</t>
  </si>
  <si>
    <t>TC148 - FOR4 changed to 2951</t>
  </si>
  <si>
    <t>TC251 - FPS76 changed to 276.00</t>
  </si>
  <si>
    <t>TC254 - CGT17 changed to 0.00</t>
  </si>
  <si>
    <t>TC251 - CGT17 changed to 58,025</t>
  </si>
  <si>
    <t>TC83 - WHFP1 changed to 101</t>
  </si>
  <si>
    <t>TC1 - WHFP1 changed to 300</t>
  </si>
  <si>
    <t>TC70 - WHFP1 changed to 309</t>
  </si>
  <si>
    <t>TC2 - WHFP1 changed to 200</t>
  </si>
  <si>
    <t>TC255 - SSE entries deleted</t>
  </si>
  <si>
    <t>TC254 - C3 FSE73 changed to 4,112087 and FSE76 changed to 4,112,087</t>
  </si>
  <si>
    <t>TC103 - C3 - box FSE73/76 mismatch fixed</t>
  </si>
  <si>
    <t>TC217 - C4 - FSE101 changed to Y</t>
  </si>
  <si>
    <t>TC250 - C4 - FPS26 changed to Y</t>
  </si>
  <si>
    <t>TC101 - C0 - INC5 changed to zero and INC4 changed to 12,750</t>
  </si>
  <si>
    <t>Changes v1.5.4</t>
  </si>
  <si>
    <t>C8C9C10 - TC50/TC55/TC64 - CGT31 changed to 1</t>
  </si>
  <si>
    <t>C3 - TC70 - SSE31 changed to 4153</t>
  </si>
  <si>
    <t>C4 - TC123 - SPS3 changed to 12/04/2025</t>
  </si>
  <si>
    <t>C8C9C10 - TC47/TC55/TC249 - CGT3 changed to 1</t>
  </si>
  <si>
    <t>C2 - TC47/TC15/TC118/TC119 - EMP7 populated</t>
  </si>
  <si>
    <t>C3 - TC167 - FSE73 changed to 2,193</t>
  </si>
  <si>
    <t>C3 - TC165 - FSE16.1 entry removed</t>
  </si>
  <si>
    <t>C6 - TC168 FOR4 changed to 14,963</t>
  </si>
  <si>
    <t>C5 - TC134 - PRO20.1 entry removed</t>
  </si>
  <si>
    <t>last revised 25/02/2026</t>
  </si>
  <si>
    <t>30/03/2026</t>
  </si>
  <si>
    <t>Test case 168</t>
  </si>
  <si>
    <t>Selected  = 168</t>
  </si>
  <si>
    <t>23/04/1987</t>
  </si>
  <si>
    <t>25/04/2025</t>
  </si>
  <si>
    <t>Selected  = 168/0/0</t>
  </si>
  <si>
    <t xml:space="preserve">Components: YPD INC-A Emp-A SSE SPS NI1 FOR TCR CGT </t>
  </si>
  <si>
    <t>Version E1.5.4</t>
  </si>
  <si>
    <t xml:space="preserve">files their SA Return the credit will be given.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</si>
</sst>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quot;£&quot;#,##0_);[Red]\(&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0_ ;\-#,##0\ "/>
    <numFmt numFmtId="171" formatCode="#,##0.00_ ;\-#,##0.00\ "/>
    <numFmt numFmtId="172" formatCode="0.000"/>
    <numFmt numFmtId="173" formatCode="0.0000"/>
    <numFmt numFmtId="174" formatCode="_-* #,##0_-;\-* #,##0_-;_-* &quot;-&quot;??_-;_-@_-"/>
    <numFmt numFmtId="175" formatCode="0.0%"/>
    <numFmt numFmtId="176" formatCode="&quot;£&quot;#,##0.00"/>
    <numFmt numFmtId="177" formatCode="&quot;£&quot;#,##0"/>
    <numFmt numFmtId="178" formatCode="0.00_ ;\-0.00\ "/>
    <numFmt numFmtId="179" formatCode="dd/mm/yyyy;@"/>
    <numFmt numFmtId="180" formatCode="0.00;[Red]0.00"/>
    <numFmt numFmtId="181" formatCode="0.00000000000000"/>
    <numFmt numFmtId="182" formatCode="0.0000000000"/>
    <numFmt numFmtId="183" formatCode="0_ ;\-0\ "/>
    <numFmt numFmtId="184" formatCode="0.0000000000000"/>
    <numFmt numFmtId="185" formatCode="0.000000000"/>
    <numFmt numFmtId="186" formatCode="#,##0.0"/>
  </numFmts>
  <fonts count="198" x14ac:knownFonts="1">
    <font>
      <sz val="10"/>
      <name val="Arial"/>
    </font>
    <font>
      <sz val="11"/>
      <color theme="1"/>
      <name val="Calibri"/>
      <family val="2"/>
      <scheme val="minor"/>
    </font>
    <font>
      <sz val="11"/>
      <color theme="1"/>
      <name val="Calibri"/>
      <family val="2"/>
      <scheme val="minor"/>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sz val="10"/>
      <name val="Arial"/>
      <family val="2"/>
    </font>
    <font>
      <u/>
      <sz val="10"/>
      <name val="Arial"/>
      <family val="2"/>
    </font>
    <font>
      <sz val="10"/>
      <name val="Times New Roman"/>
      <family val="1"/>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color indexed="49"/>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9"/>
      <color indexed="62"/>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sz val="9"/>
      <color indexed="55"/>
      <name val="Arial"/>
      <family val="2"/>
    </font>
    <font>
      <sz val="12"/>
      <color indexed="12"/>
      <name val="Arial"/>
      <family val="2"/>
    </font>
    <font>
      <sz val="10"/>
      <color indexed="23"/>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trike/>
      <sz val="10"/>
      <name val="Arial"/>
      <family val="2"/>
    </font>
    <font>
      <b/>
      <strike/>
      <sz val="9"/>
      <name val="Arial"/>
      <family val="2"/>
    </font>
    <font>
      <strike/>
      <u/>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sz val="9"/>
      <color rgb="FF339966"/>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9"/>
      <color indexed="62"/>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z val="9"/>
      <color theme="4"/>
      <name val="Arial"/>
      <family val="2"/>
    </font>
    <font>
      <sz val="8"/>
      <color rgb="FF0033CC"/>
      <name val="Arial"/>
      <family val="2"/>
    </font>
    <font>
      <sz val="8"/>
      <color rgb="FF0000FF"/>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strike/>
      <sz val="9"/>
      <color rgb="FF7030A0"/>
      <name val="Arial"/>
      <family val="2"/>
    </font>
    <font>
      <strike/>
      <sz val="10"/>
      <color rgb="FFFFC000"/>
      <name val="Arial"/>
      <family val="2"/>
    </font>
    <font>
      <strike/>
      <sz val="9"/>
      <color rgb="FF008080"/>
      <name val="Arial"/>
      <family val="2"/>
    </font>
    <font>
      <b/>
      <strike/>
      <sz val="9"/>
      <color rgb="FF008080"/>
      <name val="Arial"/>
      <family val="2"/>
    </font>
    <font>
      <sz val="10"/>
      <color rgb="FF2F75B5"/>
      <name val="Arial"/>
      <family val="2"/>
    </font>
    <font>
      <sz val="9"/>
      <color rgb="FF2F75B5"/>
      <name val="Arial"/>
      <family val="2"/>
    </font>
    <font>
      <i/>
      <strike/>
      <sz val="9"/>
      <color indexed="21"/>
      <name val="Arial"/>
      <family val="2"/>
    </font>
    <font>
      <b/>
      <sz val="10"/>
      <color rgb="FFFF0000"/>
      <name val="Arial"/>
      <family val="2"/>
    </font>
    <font>
      <b/>
      <sz val="11"/>
      <color theme="1"/>
      <name val="Calibri"/>
      <family val="2"/>
      <scheme val="minor"/>
    </font>
    <font>
      <sz val="8"/>
      <color rgb="FF7030A0"/>
      <name val="Arial"/>
      <family val="2"/>
    </font>
    <font>
      <strike/>
      <sz val="9"/>
      <color indexed="18"/>
      <name val="Arial"/>
      <family val="2"/>
    </font>
    <font>
      <strike/>
      <sz val="9"/>
      <color indexed="23"/>
      <name val="Arial"/>
      <family val="2"/>
    </font>
    <font>
      <b/>
      <i/>
      <strike/>
      <sz val="9"/>
      <color indexed="38"/>
      <name val="Arial"/>
      <family val="2"/>
    </font>
    <font>
      <b/>
      <strike/>
      <sz val="9"/>
      <color indexed="23"/>
      <name val="Arial"/>
      <family val="2"/>
    </font>
    <font>
      <strike/>
      <u/>
      <sz val="9"/>
      <name val="Arial"/>
      <family val="2"/>
    </font>
    <font>
      <i/>
      <sz val="8"/>
      <color theme="1"/>
      <name val="Arial"/>
      <family val="2"/>
    </font>
    <font>
      <strike/>
      <u/>
      <sz val="9"/>
      <color rgb="FFFFC000"/>
      <name val="Arial"/>
      <family val="2"/>
    </font>
    <font>
      <strike/>
      <sz val="9"/>
      <color rgb="FFFFC000"/>
      <name val="Arial"/>
      <family val="2"/>
    </font>
    <font>
      <strike/>
      <sz val="9"/>
      <color rgb="FF339966"/>
      <name val="Arial"/>
      <family val="2"/>
    </font>
    <font>
      <strike/>
      <sz val="9"/>
      <color rgb="FFFF0000"/>
      <name val="Arial"/>
      <family val="2"/>
    </font>
    <font>
      <sz val="10"/>
      <color rgb="FFFFFFFF"/>
      <name val="Arial"/>
      <family val="2"/>
    </font>
    <font>
      <b/>
      <sz val="10"/>
      <color theme="9" tint="-0.249977111117893"/>
      <name val="Arial"/>
      <family val="2"/>
    </font>
    <font>
      <sz val="11"/>
      <name val="Calibri"/>
      <family val="2"/>
    </font>
    <font>
      <b/>
      <sz val="10"/>
      <color rgb="FF00B050"/>
      <name val="Arial"/>
      <family val="2"/>
    </font>
    <font>
      <b/>
      <strike/>
      <sz val="9"/>
      <color indexed="18"/>
      <name val="Arial"/>
      <family val="2"/>
    </font>
    <font>
      <b/>
      <sz val="9"/>
      <color rgb="FF00B050"/>
      <name val="Arial"/>
      <family val="2"/>
    </font>
    <font>
      <sz val="9"/>
      <color theme="3"/>
      <name val="Arial"/>
      <family val="2"/>
    </font>
    <font>
      <i/>
      <strike/>
      <sz val="8"/>
      <name val="Arial"/>
      <family val="2"/>
    </font>
    <font>
      <b/>
      <strike/>
      <sz val="9"/>
      <color indexed="62"/>
      <name val="Arial"/>
      <family val="2"/>
    </font>
    <font>
      <strike/>
      <sz val="8"/>
      <color rgb="FF0033CC"/>
      <name val="Arial"/>
      <family val="2"/>
    </font>
    <font>
      <strike/>
      <sz val="8"/>
      <color indexed="56"/>
      <name val="Arial"/>
      <family val="2"/>
    </font>
    <font>
      <b/>
      <sz val="11"/>
      <color rgb="FFFF0000"/>
      <name val="Arial"/>
      <family val="2"/>
    </font>
    <font>
      <b/>
      <sz val="10"/>
      <color rgb="FF008080"/>
      <name val="Arial"/>
      <family val="2"/>
    </font>
    <font>
      <b/>
      <sz val="12"/>
      <color rgb="FF008080"/>
      <name val="Arial"/>
      <family val="2"/>
    </font>
    <font>
      <b/>
      <sz val="12"/>
      <color rgb="FFFF0000"/>
      <name val="Arial"/>
      <family val="2"/>
    </font>
    <font>
      <b/>
      <sz val="14"/>
      <color rgb="FF800000"/>
      <name val="Arial"/>
      <family val="2"/>
    </font>
    <font>
      <b/>
      <sz val="12"/>
      <color rgb="FF008000"/>
      <name val="Arial"/>
      <family val="2"/>
    </font>
    <font>
      <b/>
      <sz val="11"/>
      <color rgb="FF008080"/>
      <name val="Arial"/>
      <family val="2"/>
    </font>
    <font>
      <sz val="10"/>
      <color theme="2"/>
      <name val="Arial"/>
      <family val="2"/>
    </font>
  </fonts>
  <fills count="46">
    <fill>
      <patternFill patternType="none"/>
    </fill>
    <fill>
      <patternFill patternType="gray125"/>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C0C0C0"/>
        <bgColor indexed="64"/>
      </patternFill>
    </fill>
    <fill>
      <patternFill patternType="solid">
        <fgColor rgb="FFFF33CC"/>
        <bgColor indexed="64"/>
      </patternFill>
    </fill>
    <fill>
      <patternFill patternType="solid">
        <fgColor rgb="FFC6E0B4"/>
        <bgColor indexed="64"/>
      </patternFill>
    </fill>
    <fill>
      <patternFill patternType="solid">
        <fgColor rgb="FF9999FF"/>
        <bgColor indexed="64"/>
      </patternFill>
    </fill>
    <fill>
      <patternFill patternType="solid">
        <fgColor rgb="FFFFCC99"/>
        <bgColor indexed="64"/>
      </patternFill>
    </fill>
    <fill>
      <patternFill patternType="solid">
        <fgColor rgb="FFFFCCFF"/>
        <bgColor indexed="64"/>
      </patternFill>
    </fill>
    <fill>
      <patternFill patternType="solid">
        <fgColor rgb="FFFFF2CC"/>
        <bgColor indexed="64"/>
      </patternFill>
    </fill>
    <fill>
      <patternFill patternType="solid">
        <fgColor rgb="FFFFFFFF"/>
        <bgColor indexed="64"/>
      </patternFill>
    </fill>
    <fill>
      <patternFill patternType="solid">
        <fgColor rgb="FF00B0F0"/>
        <bgColor indexed="64"/>
      </patternFill>
    </fill>
    <fill>
      <patternFill patternType="solid">
        <fgColor rgb="FFF2F2F2"/>
        <bgColor indexed="64"/>
      </patternFill>
    </fill>
    <fill>
      <patternFill patternType="solid">
        <fgColor rgb="FFFFE699"/>
        <bgColor indexed="64"/>
      </patternFill>
    </fill>
    <fill>
      <patternFill patternType="solid">
        <fgColor rgb="FF9BC2E6"/>
        <bgColor indexed="64"/>
      </patternFill>
    </fill>
    <fill>
      <patternFill patternType="solid">
        <fgColor rgb="FF2F75B5"/>
        <bgColor indexed="64"/>
      </patternFill>
    </fill>
    <fill>
      <patternFill patternType="solid">
        <fgColor rgb="FFA684B8"/>
        <bgColor indexed="64"/>
      </patternFill>
    </fill>
    <fill>
      <patternFill patternType="solid">
        <fgColor rgb="FFA9D08E"/>
        <bgColor indexed="64"/>
      </patternFill>
    </fill>
    <fill>
      <patternFill patternType="solid">
        <fgColor theme="7" tint="0.59999389629810485"/>
        <bgColor indexed="64"/>
      </patternFill>
    </fill>
    <fill>
      <patternFill patternType="solid">
        <fgColor rgb="FFD9D9D9"/>
        <bgColor indexed="64"/>
      </patternFill>
    </fill>
    <fill>
      <patternFill patternType="solid">
        <fgColor rgb="FFBF8F00"/>
        <bgColor indexed="64"/>
      </patternFill>
    </fill>
  </fills>
  <borders count="191">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style="thin">
        <color indexed="38"/>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ck">
        <color indexed="38"/>
      </bottom>
      <diagonal/>
    </border>
    <border>
      <left/>
      <right style="medium">
        <color indexed="64"/>
      </right>
      <top/>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medium">
        <color rgb="FF009999"/>
      </bottom>
      <diagonal/>
    </border>
    <border>
      <left/>
      <right/>
      <top style="medium">
        <color rgb="FF009999"/>
      </top>
      <bottom/>
      <diagonal/>
    </border>
    <border>
      <left style="thin">
        <color indexed="64"/>
      </left>
      <right/>
      <top style="medium">
        <color indexed="64"/>
      </top>
      <bottom style="thin">
        <color indexed="64"/>
      </bottom>
      <diagonal/>
    </border>
    <border>
      <left/>
      <right/>
      <top/>
      <bottom style="thin">
        <color rgb="FF009999"/>
      </bottom>
      <diagonal/>
    </border>
    <border>
      <left/>
      <right/>
      <top style="thin">
        <color rgb="FF009999"/>
      </top>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right style="thin">
        <color rgb="FFFFFF99"/>
      </right>
      <top style="thin">
        <color rgb="FFFFFF99"/>
      </top>
      <bottom style="thin">
        <color rgb="FFFFFF99"/>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medium">
        <color auto="1"/>
      </left>
      <right style="medium">
        <color rgb="FF002060"/>
      </right>
      <top style="hair">
        <color theme="0" tint="-0.499984740745262"/>
      </top>
      <bottom style="hair">
        <color theme="0" tint="-0.499984740745262"/>
      </bottom>
      <diagonal/>
    </border>
    <border>
      <left style="medium">
        <color auto="1"/>
      </left>
      <right style="thin">
        <color auto="1"/>
      </right>
      <top style="hair">
        <color theme="0" tint="-0.499984740745262"/>
      </top>
      <bottom style="hair">
        <color theme="0" tint="-0.499984740745262"/>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medium">
        <color auto="1"/>
      </left>
      <right/>
      <top/>
      <bottom style="medium">
        <color auto="1"/>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style="thin">
        <color rgb="FF008080"/>
      </left>
      <right/>
      <top/>
      <bottom style="thin">
        <color rgb="FF008080"/>
      </bottom>
      <diagonal/>
    </border>
    <border>
      <left/>
      <right style="thin">
        <color rgb="FF008080"/>
      </right>
      <top/>
      <bottom style="thin">
        <color rgb="FF008080"/>
      </bottom>
      <diagonal/>
    </border>
    <border>
      <left/>
      <right/>
      <top style="thin">
        <color rgb="FF969696"/>
      </top>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indexed="38"/>
      </left>
      <right/>
      <top/>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thin">
        <color auto="1"/>
      </top>
      <bottom style="mediumDashDotDot">
        <color auto="1"/>
      </bottom>
      <diagonal/>
    </border>
    <border>
      <left style="medium">
        <color auto="1"/>
      </left>
      <right style="medium">
        <color auto="1"/>
      </right>
      <top style="thin">
        <color auto="1"/>
      </top>
      <bottom style="hair">
        <color rgb="FF808080"/>
      </bottom>
      <diagonal/>
    </border>
    <border>
      <left/>
      <right/>
      <top style="thin">
        <color rgb="FFFFFF99"/>
      </top>
      <bottom style="thin">
        <color rgb="FFFFFF99"/>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mediumDashDotDot">
        <color auto="1"/>
      </top>
      <bottom style="thin">
        <color indexed="64"/>
      </bottom>
      <diagonal/>
    </border>
    <border>
      <left/>
      <right/>
      <top/>
      <bottom style="thin">
        <color auto="1"/>
      </bottom>
      <diagonal/>
    </border>
    <border>
      <left/>
      <right/>
      <top/>
      <bottom style="thin">
        <color indexed="38"/>
      </bottom>
      <diagonal/>
    </border>
    <border>
      <left style="thin">
        <color indexed="38"/>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right style="thin">
        <color auto="1"/>
      </right>
      <top/>
      <bottom style="thin">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top style="thin">
        <color auto="1"/>
      </top>
      <bottom/>
      <diagonal/>
    </border>
    <border>
      <left style="thin">
        <color auto="1"/>
      </left>
      <right/>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auto="1"/>
      </left>
      <right/>
      <top style="thin">
        <color auto="1"/>
      </top>
      <bottom style="mediumDashDotDot">
        <color auto="1"/>
      </bottom>
      <diagonal/>
    </border>
    <border>
      <left style="medium">
        <color auto="1"/>
      </left>
      <right style="thin">
        <color auto="1"/>
      </right>
      <top style="thin">
        <color auto="1"/>
      </top>
      <bottom/>
      <diagonal/>
    </border>
    <border>
      <left/>
      <right style="medium">
        <color auto="1"/>
      </right>
      <top style="thin">
        <color indexed="64"/>
      </top>
      <bottom style="thin">
        <color indexed="64"/>
      </bottom>
      <diagonal/>
    </border>
    <border>
      <left/>
      <right style="thin">
        <color auto="1"/>
      </right>
      <top style="thin">
        <color auto="1"/>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style="thin">
        <color indexed="55"/>
      </left>
      <right/>
      <top style="thin">
        <color indexed="55"/>
      </top>
      <bottom style="thin">
        <color indexed="55"/>
      </bottom>
      <diagonal/>
    </border>
    <border>
      <left style="thin">
        <color indexed="38"/>
      </left>
      <right style="thin">
        <color indexed="38"/>
      </right>
      <top style="thin">
        <color indexed="38"/>
      </top>
      <bottom style="thin">
        <color indexed="38"/>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indexed="21"/>
      </left>
      <right style="thin">
        <color indexed="21"/>
      </right>
      <top style="thin">
        <color indexed="21"/>
      </top>
      <bottom style="thin">
        <color indexed="21"/>
      </bottom>
      <diagonal/>
    </border>
    <border>
      <left style="thin">
        <color indexed="38"/>
      </left>
      <right style="thin">
        <color indexed="38"/>
      </right>
      <top style="thin">
        <color indexed="38"/>
      </top>
      <bottom style="thin">
        <color indexed="38"/>
      </bottom>
      <diagonal/>
    </border>
    <border>
      <left/>
      <right/>
      <top style="thin">
        <color indexed="38"/>
      </top>
      <bottom/>
      <diagonal/>
    </border>
    <border>
      <left style="thin">
        <color indexed="38"/>
      </left>
      <right/>
      <top style="thin">
        <color indexed="38"/>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38"/>
      </left>
      <right style="thin">
        <color indexed="38"/>
      </right>
      <top style="thin">
        <color indexed="64"/>
      </top>
      <bottom style="thin">
        <color indexed="38"/>
      </bottom>
      <diagonal/>
    </border>
    <border>
      <left style="thin">
        <color rgb="FF339966"/>
      </left>
      <right style="thin">
        <color indexed="38"/>
      </right>
      <top style="thin">
        <color indexed="38"/>
      </top>
      <bottom style="thin">
        <color indexed="38"/>
      </bottom>
      <diagonal/>
    </border>
    <border>
      <left/>
      <right/>
      <top style="thin">
        <color indexed="38"/>
      </top>
      <bottom style="thin">
        <color indexed="38"/>
      </bottom>
      <diagonal/>
    </border>
    <border>
      <left/>
      <right style="thin">
        <color indexed="38"/>
      </right>
      <top style="thin">
        <color indexed="38"/>
      </top>
      <bottom style="thin">
        <color indexed="3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diagonal/>
    </border>
    <border>
      <left/>
      <right/>
      <top/>
      <bottom style="thin">
        <color indexed="55"/>
      </bottom>
      <diagonal/>
    </border>
    <border>
      <left style="thin">
        <color auto="1"/>
      </left>
      <right style="thin">
        <color auto="1"/>
      </right>
      <top style="thin">
        <color auto="1"/>
      </top>
      <bottom/>
      <diagonal/>
    </border>
    <border>
      <left style="thin">
        <color indexed="55"/>
      </left>
      <right/>
      <top style="thin">
        <color indexed="55"/>
      </top>
      <bottom style="thin">
        <color indexed="55"/>
      </bottom>
      <diagonal/>
    </border>
    <border>
      <left/>
      <right/>
      <top style="thin">
        <color indexed="22"/>
      </top>
      <bottom/>
      <diagonal/>
    </border>
    <border>
      <left style="thin">
        <color indexed="55"/>
      </left>
      <right/>
      <top style="thin">
        <color indexed="55"/>
      </top>
      <bottom/>
      <diagonal/>
    </border>
    <border>
      <left/>
      <right style="thin">
        <color indexed="55"/>
      </right>
      <top style="thin">
        <color indexed="55"/>
      </top>
      <bottom/>
      <diagonal/>
    </border>
    <border>
      <left style="thin">
        <color indexed="55"/>
      </left>
      <right/>
      <top/>
      <bottom style="thin">
        <color indexed="55"/>
      </bottom>
      <diagonal/>
    </border>
    <border>
      <left/>
      <right style="thin">
        <color indexed="55"/>
      </right>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s>
  <cellStyleXfs count="8">
    <xf numFmtId="0" fontId="0" fillId="0" borderId="0"/>
    <xf numFmtId="168" fontId="3" fillId="0" borderId="0" applyFont="0" applyFill="0" applyBorder="0" applyAlignment="0" applyProtection="0"/>
    <xf numFmtId="167" fontId="3" fillId="0" borderId="0" applyFont="0" applyFill="0" applyBorder="0" applyAlignment="0" applyProtection="0"/>
    <xf numFmtId="0" fontId="36" fillId="0" borderId="0" applyNumberFormat="0" applyFill="0" applyBorder="0" applyAlignment="0" applyProtection="0">
      <alignment vertical="top"/>
      <protection locked="0"/>
    </xf>
    <xf numFmtId="9" fontId="3" fillId="0" borderId="0" applyFont="0" applyFill="0" applyBorder="0" applyAlignment="0" applyProtection="0"/>
    <xf numFmtId="0" fontId="3" fillId="0" borderId="0"/>
    <xf numFmtId="0" fontId="2" fillId="0" borderId="0"/>
    <xf numFmtId="0" fontId="1" fillId="0" borderId="0"/>
  </cellStyleXfs>
  <cellXfs count="2666">
    <xf numFmtId="0" fontId="0" fillId="0" borderId="0" xfId="0"/>
    <xf numFmtId="0" fontId="7" fillId="0" borderId="0" xfId="0" applyFont="1"/>
    <xf numFmtId="0" fontId="9" fillId="0" borderId="0" xfId="0" applyFont="1"/>
    <xf numFmtId="0" fontId="0" fillId="0" borderId="0" xfId="0" applyAlignment="1">
      <alignment horizontal="right"/>
    </xf>
    <xf numFmtId="0" fontId="11" fillId="0" borderId="0" xfId="0" applyFont="1"/>
    <xf numFmtId="0" fontId="0" fillId="0" borderId="0" xfId="0" applyProtection="1">
      <protection locked="0"/>
    </xf>
    <xf numFmtId="0" fontId="0" fillId="0" borderId="2" xfId="0" applyBorder="1"/>
    <xf numFmtId="0" fontId="0" fillId="0" borderId="0" xfId="0" applyAlignment="1">
      <alignment horizontal="left"/>
    </xf>
    <xf numFmtId="0" fontId="6" fillId="0" borderId="0" xfId="0" applyFont="1"/>
    <xf numFmtId="0" fontId="6" fillId="0" borderId="0" xfId="0" applyFont="1" applyAlignment="1">
      <alignment horizontal="right"/>
    </xf>
    <xf numFmtId="0" fontId="7" fillId="0" borderId="0" xfId="0" applyFont="1" applyAlignment="1">
      <alignment horizontal="center"/>
    </xf>
    <xf numFmtId="0" fontId="6" fillId="0" borderId="0" xfId="0" applyFont="1" applyAlignment="1">
      <alignment horizontal="center"/>
    </xf>
    <xf numFmtId="0" fontId="10" fillId="0" borderId="0" xfId="0" applyFont="1"/>
    <xf numFmtId="174" fontId="6" fillId="0" borderId="0" xfId="1" applyNumberFormat="1" applyFont="1" applyFill="1" applyBorder="1"/>
    <xf numFmtId="0" fontId="0" fillId="4" borderId="0" xfId="0" applyFill="1"/>
    <xf numFmtId="0" fontId="9" fillId="4" borderId="0" xfId="0" applyFont="1" applyFill="1"/>
    <xf numFmtId="0" fontId="0" fillId="4" borderId="0" xfId="0" applyFill="1" applyAlignment="1">
      <alignment horizontal="right"/>
    </xf>
    <xf numFmtId="0" fontId="6" fillId="4" borderId="0" xfId="0" applyFont="1" applyFill="1"/>
    <xf numFmtId="0" fontId="16" fillId="4" borderId="0" xfId="0" applyFont="1" applyFill="1" applyAlignment="1">
      <alignment horizontal="right"/>
    </xf>
    <xf numFmtId="0" fontId="17" fillId="4" borderId="0" xfId="0" applyFont="1" applyFill="1"/>
    <xf numFmtId="0" fontId="0" fillId="3" borderId="2" xfId="0" applyFill="1" applyBorder="1"/>
    <xf numFmtId="0" fontId="6" fillId="4" borderId="0" xfId="0" applyFont="1" applyFill="1" applyAlignment="1">
      <alignment horizontal="right"/>
    </xf>
    <xf numFmtId="0" fontId="6" fillId="0" borderId="0" xfId="0" applyFont="1" applyAlignment="1">
      <alignment horizontal="left"/>
    </xf>
    <xf numFmtId="0" fontId="27" fillId="0" borderId="0" xfId="0" applyFont="1"/>
    <xf numFmtId="0" fontId="10" fillId="0" borderId="0" xfId="0" applyFont="1" applyAlignment="1">
      <alignment horizontal="left"/>
    </xf>
    <xf numFmtId="0" fontId="6" fillId="0" borderId="0" xfId="0" applyFont="1" applyAlignment="1">
      <alignment horizontal="left" indent="2"/>
    </xf>
    <xf numFmtId="3" fontId="6" fillId="0" borderId="0" xfId="0" applyNumberFormat="1" applyFont="1"/>
    <xf numFmtId="171" fontId="6" fillId="0" borderId="0" xfId="1" applyNumberFormat="1" applyFont="1" applyFill="1" applyBorder="1" applyAlignment="1"/>
    <xf numFmtId="0" fontId="30" fillId="0" borderId="0" xfId="0" applyFont="1"/>
    <xf numFmtId="0" fontId="29" fillId="0" borderId="0" xfId="0" applyFont="1"/>
    <xf numFmtId="1" fontId="6" fillId="0" borderId="0" xfId="2" applyNumberFormat="1" applyFont="1" applyFill="1" applyBorder="1"/>
    <xf numFmtId="167" fontId="6" fillId="0" borderId="0" xfId="2" applyFont="1" applyFill="1" applyBorder="1" applyAlignment="1">
      <alignment horizontal="right"/>
    </xf>
    <xf numFmtId="1" fontId="6" fillId="0" borderId="0" xfId="2" applyNumberFormat="1" applyFont="1" applyFill="1" applyBorder="1" applyAlignment="1">
      <alignment horizontal="right"/>
    </xf>
    <xf numFmtId="167" fontId="6" fillId="0" borderId="0" xfId="0" applyNumberFormat="1" applyFont="1"/>
    <xf numFmtId="2" fontId="6" fillId="0" borderId="0" xfId="0" applyNumberFormat="1" applyFont="1" applyAlignment="1">
      <alignment horizontal="left"/>
    </xf>
    <xf numFmtId="2" fontId="6" fillId="0" borderId="0" xfId="0" applyNumberFormat="1" applyFont="1"/>
    <xf numFmtId="2" fontId="6" fillId="0" borderId="0" xfId="0" applyNumberFormat="1" applyFont="1" applyAlignment="1">
      <alignment horizontal="right"/>
    </xf>
    <xf numFmtId="0" fontId="6" fillId="4" borderId="0" xfId="0" applyFont="1" applyFill="1" applyAlignment="1">
      <alignment horizontal="center"/>
    </xf>
    <xf numFmtId="1" fontId="6" fillId="0" borderId="0" xfId="0" applyNumberFormat="1" applyFont="1" applyAlignment="1">
      <alignment horizontal="right"/>
    </xf>
    <xf numFmtId="0" fontId="37" fillId="0" borderId="0" xfId="0" applyFont="1"/>
    <xf numFmtId="0" fontId="6" fillId="3" borderId="0" xfId="0" applyFont="1" applyFill="1"/>
    <xf numFmtId="0" fontId="6" fillId="5" borderId="0" xfId="0" applyFont="1" applyFill="1"/>
    <xf numFmtId="0" fontId="37" fillId="0" borderId="0" xfId="0" applyFont="1" applyAlignment="1">
      <alignment horizontal="center"/>
    </xf>
    <xf numFmtId="0" fontId="6" fillId="3" borderId="0" xfId="0" applyFont="1" applyFill="1" applyAlignment="1">
      <alignment horizontal="center"/>
    </xf>
    <xf numFmtId="0" fontId="10" fillId="3" borderId="0" xfId="0" applyFont="1" applyFill="1"/>
    <xf numFmtId="0" fontId="6" fillId="3" borderId="0" xfId="0" applyFont="1" applyFill="1" applyAlignment="1">
      <alignment horizontal="right"/>
    </xf>
    <xf numFmtId="0" fontId="6" fillId="3" borderId="0" xfId="0" applyFont="1" applyFill="1" applyAlignment="1">
      <alignment horizontal="left"/>
    </xf>
    <xf numFmtId="0" fontId="6" fillId="3" borderId="0" xfId="0" quotePrefix="1" applyFont="1" applyFill="1" applyAlignment="1">
      <alignment horizontal="right"/>
    </xf>
    <xf numFmtId="0" fontId="6" fillId="3" borderId="3" xfId="0" applyFont="1" applyFill="1" applyBorder="1"/>
    <xf numFmtId="0" fontId="38" fillId="3" borderId="3" xfId="0" applyFont="1" applyFill="1" applyBorder="1" applyAlignment="1">
      <alignment horizontal="left"/>
    </xf>
    <xf numFmtId="0" fontId="6" fillId="6" borderId="0" xfId="0" applyFont="1" applyFill="1"/>
    <xf numFmtId="0" fontId="6" fillId="6" borderId="0" xfId="0" applyFont="1" applyFill="1" applyAlignment="1">
      <alignment horizontal="right"/>
    </xf>
    <xf numFmtId="0" fontId="6" fillId="6" borderId="0" xfId="0" applyFont="1" applyFill="1" applyAlignment="1">
      <alignment horizontal="left"/>
    </xf>
    <xf numFmtId="0" fontId="6" fillId="6" borderId="3" xfId="0" applyFont="1" applyFill="1" applyBorder="1"/>
    <xf numFmtId="0" fontId="6" fillId="6" borderId="3" xfId="0" applyFont="1" applyFill="1" applyBorder="1" applyAlignment="1">
      <alignment horizontal="right"/>
    </xf>
    <xf numFmtId="0" fontId="6" fillId="6" borderId="3" xfId="0" applyFont="1" applyFill="1" applyBorder="1" applyAlignment="1">
      <alignment horizontal="left"/>
    </xf>
    <xf numFmtId="0" fontId="6" fillId="6" borderId="0" xfId="0" applyFont="1" applyFill="1" applyAlignment="1">
      <alignment horizontal="center"/>
    </xf>
    <xf numFmtId="3" fontId="6" fillId="6" borderId="3" xfId="0" applyNumberFormat="1" applyFont="1" applyFill="1" applyBorder="1"/>
    <xf numFmtId="0" fontId="6" fillId="6" borderId="3" xfId="0" applyFont="1" applyFill="1" applyBorder="1" applyAlignment="1">
      <alignment horizontal="center"/>
    </xf>
    <xf numFmtId="0" fontId="6" fillId="0" borderId="0" xfId="0" applyFont="1" applyProtection="1">
      <protection locked="0"/>
    </xf>
    <xf numFmtId="0" fontId="6" fillId="3" borderId="0" xfId="0" applyFont="1" applyFill="1" applyProtection="1">
      <protection locked="0"/>
    </xf>
    <xf numFmtId="0" fontId="6" fillId="3" borderId="3" xfId="0" applyFont="1" applyFill="1" applyBorder="1" applyAlignment="1">
      <alignment horizontal="right"/>
    </xf>
    <xf numFmtId="0" fontId="6" fillId="3" borderId="3" xfId="0" applyFont="1" applyFill="1" applyBorder="1" applyAlignment="1">
      <alignment horizontal="left"/>
    </xf>
    <xf numFmtId="0" fontId="32" fillId="4" borderId="0" xfId="0" applyFont="1" applyFill="1" applyAlignment="1">
      <alignment vertical="top"/>
    </xf>
    <xf numFmtId="0" fontId="6" fillId="4" borderId="0" xfId="0" applyFont="1" applyFill="1" applyAlignment="1">
      <alignment horizontal="left"/>
    </xf>
    <xf numFmtId="0" fontId="41" fillId="6" borderId="0" xfId="0" applyFont="1" applyFill="1" applyAlignment="1">
      <alignment horizontal="left"/>
    </xf>
    <xf numFmtId="0" fontId="0" fillId="6" borderId="0" xfId="0" applyFill="1"/>
    <xf numFmtId="0" fontId="10" fillId="6" borderId="0" xfId="0" applyFont="1" applyFill="1"/>
    <xf numFmtId="0" fontId="0" fillId="6" borderId="2" xfId="0" applyFill="1" applyBorder="1"/>
    <xf numFmtId="0" fontId="10" fillId="6" borderId="0" xfId="0" applyFont="1" applyFill="1" applyAlignment="1">
      <alignment horizontal="center"/>
    </xf>
    <xf numFmtId="0" fontId="43" fillId="6" borderId="0" xfId="0" applyFont="1" applyFill="1" applyAlignment="1">
      <alignment horizontal="center"/>
    </xf>
    <xf numFmtId="0" fontId="43" fillId="6" borderId="0" xfId="0" applyFont="1" applyFill="1" applyAlignment="1">
      <alignment horizontal="right"/>
    </xf>
    <xf numFmtId="0" fontId="0" fillId="3" borderId="0" xfId="0" applyFill="1"/>
    <xf numFmtId="0" fontId="9" fillId="3" borderId="0" xfId="0" applyFont="1" applyFill="1"/>
    <xf numFmtId="0" fontId="9" fillId="3" borderId="0" xfId="0" applyFont="1" applyFill="1" applyAlignment="1">
      <alignment horizontal="left"/>
    </xf>
    <xf numFmtId="0" fontId="0" fillId="3" borderId="0" xfId="0" applyFill="1" applyProtection="1">
      <protection locked="0"/>
    </xf>
    <xf numFmtId="1" fontId="6" fillId="3" borderId="0" xfId="0" applyNumberFormat="1" applyFont="1" applyFill="1" applyAlignment="1">
      <alignment horizontal="left"/>
    </xf>
    <xf numFmtId="1" fontId="6" fillId="3" borderId="0" xfId="0" applyNumberFormat="1" applyFont="1" applyFill="1" applyAlignment="1">
      <alignment horizontal="right"/>
    </xf>
    <xf numFmtId="1" fontId="6" fillId="0" borderId="0" xfId="0" applyNumberFormat="1" applyFont="1"/>
    <xf numFmtId="1" fontId="6" fillId="0" borderId="0" xfId="0" applyNumberFormat="1" applyFont="1" applyAlignment="1">
      <alignment horizontal="left"/>
    </xf>
    <xf numFmtId="1" fontId="46" fillId="0" borderId="0" xfId="2" applyNumberFormat="1" applyFont="1" applyFill="1" applyBorder="1" applyAlignment="1">
      <alignment horizontal="right"/>
    </xf>
    <xf numFmtId="0" fontId="48" fillId="4" borderId="0" xfId="0" applyFont="1" applyFill="1"/>
    <xf numFmtId="176" fontId="6" fillId="0" borderId="0" xfId="0" applyNumberFormat="1" applyFont="1" applyAlignment="1">
      <alignment horizontal="right"/>
    </xf>
    <xf numFmtId="1" fontId="6" fillId="0" borderId="0" xfId="0" applyNumberFormat="1" applyFont="1" applyAlignment="1">
      <alignment horizontal="center"/>
    </xf>
    <xf numFmtId="177" fontId="6" fillId="0" borderId="0" xfId="0" applyNumberFormat="1" applyFont="1"/>
    <xf numFmtId="176" fontId="6" fillId="0" borderId="0" xfId="0" applyNumberFormat="1" applyFont="1"/>
    <xf numFmtId="1" fontId="10" fillId="0" borderId="0" xfId="0" applyNumberFormat="1" applyFont="1" applyAlignment="1">
      <alignment horizontal="right"/>
    </xf>
    <xf numFmtId="1" fontId="10" fillId="0" borderId="0" xfId="0" applyNumberFormat="1" applyFont="1" applyAlignment="1">
      <alignment horizontal="left"/>
    </xf>
    <xf numFmtId="1" fontId="10" fillId="3" borderId="0" xfId="0" applyNumberFormat="1" applyFont="1" applyFill="1" applyAlignment="1">
      <alignment horizontal="center"/>
    </xf>
    <xf numFmtId="0" fontId="10" fillId="4" borderId="0" xfId="0" applyFont="1" applyFill="1"/>
    <xf numFmtId="0" fontId="15" fillId="0" borderId="0" xfId="0" applyFont="1"/>
    <xf numFmtId="0" fontId="53" fillId="4" borderId="0" xfId="0" applyFont="1" applyFill="1" applyAlignment="1">
      <alignment horizontal="center"/>
    </xf>
    <xf numFmtId="0" fontId="6" fillId="4" borderId="3" xfId="0" applyFont="1" applyFill="1" applyBorder="1"/>
    <xf numFmtId="0" fontId="44" fillId="6" borderId="0" xfId="0" applyFont="1" applyFill="1"/>
    <xf numFmtId="0" fontId="44" fillId="6" borderId="0" xfId="0" applyFont="1" applyFill="1" applyAlignment="1">
      <alignment vertical="center"/>
    </xf>
    <xf numFmtId="0" fontId="10" fillId="6" borderId="0" xfId="0" applyFont="1" applyFill="1" applyAlignment="1">
      <alignment horizontal="left"/>
    </xf>
    <xf numFmtId="0" fontId="6" fillId="6" borderId="2" xfId="0" applyFont="1" applyFill="1" applyBorder="1"/>
    <xf numFmtId="0" fontId="43" fillId="6" borderId="0" xfId="0" applyFont="1" applyFill="1" applyAlignment="1">
      <alignment horizontal="left"/>
    </xf>
    <xf numFmtId="0" fontId="43" fillId="6" borderId="0" xfId="0" applyFont="1" applyFill="1"/>
    <xf numFmtId="0" fontId="46" fillId="4" borderId="0" xfId="0" applyFont="1" applyFill="1" applyAlignment="1">
      <alignment horizontal="right"/>
    </xf>
    <xf numFmtId="0" fontId="45" fillId="4" borderId="0" xfId="0" applyFont="1" applyFill="1" applyAlignment="1">
      <alignment horizontal="left"/>
    </xf>
    <xf numFmtId="0" fontId="48" fillId="4" borderId="0" xfId="0" applyFont="1" applyFill="1" applyAlignment="1">
      <alignment horizontal="left"/>
    </xf>
    <xf numFmtId="0" fontId="33" fillId="4" borderId="0" xfId="0" applyFont="1" applyFill="1"/>
    <xf numFmtId="0" fontId="33" fillId="4" borderId="0" xfId="0" applyFont="1" applyFill="1" applyAlignment="1">
      <alignment horizontal="center" vertical="top"/>
    </xf>
    <xf numFmtId="0" fontId="33" fillId="4" borderId="0" xfId="0" applyFont="1" applyFill="1" applyAlignment="1">
      <alignment horizontal="center"/>
    </xf>
    <xf numFmtId="0" fontId="56" fillId="4" borderId="3" xfId="0" applyFont="1" applyFill="1" applyBorder="1"/>
    <xf numFmtId="1" fontId="0" fillId="0" borderId="0" xfId="0" applyNumberFormat="1"/>
    <xf numFmtId="49" fontId="6" fillId="0" borderId="0" xfId="0" applyNumberFormat="1" applyFont="1"/>
    <xf numFmtId="0" fontId="46" fillId="0" borderId="0" xfId="0" applyFont="1"/>
    <xf numFmtId="49" fontId="46" fillId="0" borderId="4" xfId="0" applyNumberFormat="1" applyFont="1" applyBorder="1" applyAlignment="1">
      <alignment horizontal="center"/>
    </xf>
    <xf numFmtId="0" fontId="33" fillId="4" borderId="0" xfId="0" applyFont="1" applyFill="1" applyAlignment="1">
      <alignment horizontal="left" indent="2"/>
    </xf>
    <xf numFmtId="0" fontId="55" fillId="4" borderId="0" xfId="0" applyFont="1" applyFill="1"/>
    <xf numFmtId="0" fontId="52" fillId="0" borderId="0" xfId="0" applyFont="1" applyAlignment="1">
      <alignment horizontal="right"/>
    </xf>
    <xf numFmtId="0" fontId="6" fillId="0" borderId="0" xfId="0" applyFont="1" applyAlignment="1">
      <alignment wrapText="1"/>
    </xf>
    <xf numFmtId="0" fontId="33" fillId="4" borderId="0" xfId="0" applyFont="1" applyFill="1" applyAlignment="1">
      <alignment horizontal="right"/>
    </xf>
    <xf numFmtId="1" fontId="6" fillId="4" borderId="0" xfId="0" applyNumberFormat="1" applyFont="1" applyFill="1" applyAlignment="1">
      <alignment horizontal="right"/>
    </xf>
    <xf numFmtId="0" fontId="33" fillId="4" borderId="0" xfId="0" applyFont="1" applyFill="1" applyAlignment="1">
      <alignment horizontal="right" vertical="top"/>
    </xf>
    <xf numFmtId="0" fontId="7" fillId="0" borderId="2" xfId="0" applyFont="1" applyBorder="1" applyAlignment="1">
      <alignment horizontal="center"/>
    </xf>
    <xf numFmtId="0" fontId="52" fillId="0" borderId="5" xfId="0" applyFont="1" applyBorder="1" applyAlignment="1">
      <alignment horizontal="center"/>
    </xf>
    <xf numFmtId="0" fontId="52" fillId="0" borderId="6" xfId="0" applyFont="1" applyBorder="1" applyAlignment="1">
      <alignment horizontal="center"/>
    </xf>
    <xf numFmtId="0" fontId="52"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52" fillId="0" borderId="11" xfId="0" applyFont="1" applyBorder="1" applyAlignment="1">
      <alignment horizontal="center"/>
    </xf>
    <xf numFmtId="0" fontId="7" fillId="8" borderId="13" xfId="0" applyFont="1" applyFill="1" applyBorder="1" applyAlignment="1">
      <alignment horizontal="center"/>
    </xf>
    <xf numFmtId="0" fontId="7" fillId="8" borderId="14" xfId="0" applyFont="1" applyFill="1" applyBorder="1" applyAlignment="1">
      <alignment horizontal="center"/>
    </xf>
    <xf numFmtId="0" fontId="33" fillId="4" borderId="0" xfId="0" applyFont="1" applyFill="1" applyAlignment="1">
      <alignment horizontal="left"/>
    </xf>
    <xf numFmtId="0" fontId="6" fillId="0" borderId="0" xfId="0" applyFont="1" applyAlignment="1">
      <alignment horizontal="left" indent="1"/>
    </xf>
    <xf numFmtId="0" fontId="27" fillId="0" borderId="0" xfId="0" applyFont="1" applyAlignment="1">
      <alignment horizontal="left" indent="1"/>
    </xf>
    <xf numFmtId="0" fontId="6" fillId="0" borderId="0" xfId="0" quotePrefix="1" applyFont="1"/>
    <xf numFmtId="0" fontId="27" fillId="0" borderId="0" xfId="0" quotePrefix="1" applyFont="1"/>
    <xf numFmtId="4" fontId="6" fillId="0" borderId="0" xfId="0" applyNumberFormat="1" applyFont="1" applyProtection="1">
      <protection locked="0"/>
    </xf>
    <xf numFmtId="0" fontId="60" fillId="3" borderId="0" xfId="0" applyFont="1" applyFill="1" applyAlignment="1">
      <alignment horizontal="right"/>
    </xf>
    <xf numFmtId="0" fontId="5" fillId="0" borderId="0" xfId="0" applyFont="1" applyAlignment="1">
      <alignment horizontal="left"/>
    </xf>
    <xf numFmtId="0" fontId="47" fillId="0" borderId="0" xfId="0" applyFont="1" applyAlignment="1">
      <alignment horizontal="left"/>
    </xf>
    <xf numFmtId="0" fontId="10" fillId="0" borderId="0" xfId="0" applyFont="1" applyAlignment="1">
      <alignment horizontal="right"/>
    </xf>
    <xf numFmtId="0" fontId="25" fillId="0" borderId="0" xfId="0" applyFont="1"/>
    <xf numFmtId="0" fontId="62" fillId="0" borderId="0" xfId="0" applyFont="1"/>
    <xf numFmtId="0" fontId="33" fillId="0" borderId="0" xfId="0" applyFont="1" applyAlignment="1">
      <alignment horizontal="right"/>
    </xf>
    <xf numFmtId="0" fontId="33" fillId="0" borderId="0" xfId="0" applyFont="1"/>
    <xf numFmtId="1" fontId="33" fillId="0" borderId="0" xfId="0" applyNumberFormat="1" applyFont="1" applyAlignment="1">
      <alignment horizontal="left"/>
    </xf>
    <xf numFmtId="1" fontId="33" fillId="0" borderId="0" xfId="2" applyNumberFormat="1" applyFont="1" applyFill="1" applyBorder="1" applyAlignment="1">
      <alignment horizontal="right"/>
    </xf>
    <xf numFmtId="1" fontId="33" fillId="0" borderId="0" xfId="0" applyNumberFormat="1" applyFont="1" applyAlignment="1">
      <alignment horizontal="right"/>
    </xf>
    <xf numFmtId="2" fontId="33" fillId="0" borderId="0" xfId="0" applyNumberFormat="1" applyFont="1" applyAlignment="1">
      <alignment horizontal="right"/>
    </xf>
    <xf numFmtId="1" fontId="27" fillId="0" borderId="0" xfId="0" applyNumberFormat="1" applyFont="1"/>
    <xf numFmtId="1" fontId="61" fillId="0" borderId="0" xfId="0" applyNumberFormat="1" applyFont="1"/>
    <xf numFmtId="0" fontId="33" fillId="0" borderId="0" xfId="0" applyFont="1" applyAlignment="1">
      <alignment horizontal="left"/>
    </xf>
    <xf numFmtId="0" fontId="48" fillId="0" borderId="0" xfId="0" applyFont="1"/>
    <xf numFmtId="1" fontId="10" fillId="0" borderId="0" xfId="0" applyNumberFormat="1" applyFont="1"/>
    <xf numFmtId="1" fontId="33" fillId="0" borderId="0" xfId="0" applyNumberFormat="1" applyFont="1"/>
    <xf numFmtId="1" fontId="33" fillId="0" borderId="0" xfId="0" applyNumberFormat="1" applyFont="1" applyAlignment="1">
      <alignment horizontal="center"/>
    </xf>
    <xf numFmtId="3" fontId="33" fillId="0" borderId="0" xfId="0" applyNumberFormat="1" applyFont="1" applyAlignment="1">
      <alignment horizontal="right"/>
    </xf>
    <xf numFmtId="167" fontId="33" fillId="0" borderId="0" xfId="2" applyFont="1" applyFill="1" applyBorder="1" applyAlignment="1">
      <alignment horizontal="right"/>
    </xf>
    <xf numFmtId="0" fontId="48" fillId="6" borderId="0" xfId="0" applyFont="1" applyFill="1" applyAlignment="1">
      <alignment horizontal="center"/>
    </xf>
    <xf numFmtId="177" fontId="6" fillId="0" borderId="0" xfId="0" applyNumberFormat="1" applyFont="1" applyAlignment="1">
      <alignment horizontal="right"/>
    </xf>
    <xf numFmtId="168" fontId="6" fillId="0" borderId="0" xfId="1" applyFont="1" applyFill="1" applyBorder="1" applyAlignment="1"/>
    <xf numFmtId="0" fontId="19" fillId="0" borderId="0" xfId="0" applyFont="1"/>
    <xf numFmtId="176" fontId="19" fillId="0" borderId="0" xfId="1" applyNumberFormat="1" applyFont="1" applyFill="1" applyBorder="1" applyAlignment="1">
      <alignment horizontal="right"/>
    </xf>
    <xf numFmtId="0" fontId="24" fillId="0" borderId="0" xfId="0" applyFont="1"/>
    <xf numFmtId="0" fontId="39" fillId="0" borderId="0" xfId="0" applyFont="1"/>
    <xf numFmtId="9" fontId="0" fillId="0" borderId="0" xfId="0" applyNumberFormat="1"/>
    <xf numFmtId="175" fontId="0" fillId="0" borderId="0" xfId="0" applyNumberFormat="1"/>
    <xf numFmtId="0" fontId="0" fillId="0" borderId="0" xfId="0" quotePrefix="1"/>
    <xf numFmtId="0" fontId="9" fillId="0" borderId="0" xfId="0" applyFont="1" applyAlignment="1">
      <alignment horizontal="center"/>
    </xf>
    <xf numFmtId="0" fontId="48" fillId="6" borderId="0" xfId="0" quotePrefix="1" applyFont="1" applyFill="1" applyAlignment="1">
      <alignment horizontal="center"/>
    </xf>
    <xf numFmtId="0" fontId="64" fillId="0" borderId="0" xfId="0" applyFont="1"/>
    <xf numFmtId="0" fontId="33" fillId="0" borderId="0" xfId="0" applyFont="1" applyAlignment="1">
      <alignment horizontal="left" indent="1"/>
    </xf>
    <xf numFmtId="4" fontId="6" fillId="0" borderId="0" xfId="0" applyNumberFormat="1" applyFont="1"/>
    <xf numFmtId="0" fontId="6" fillId="0" borderId="0" xfId="0" applyFont="1" applyAlignment="1" applyProtection="1">
      <alignment wrapText="1"/>
      <protection locked="0"/>
    </xf>
    <xf numFmtId="172" fontId="6" fillId="0" borderId="0" xfId="0" applyNumberFormat="1" applyFont="1"/>
    <xf numFmtId="176" fontId="6" fillId="0" borderId="0" xfId="1" applyNumberFormat="1" applyFont="1" applyFill="1" applyBorder="1" applyAlignment="1"/>
    <xf numFmtId="2" fontId="33" fillId="0" borderId="0" xfId="0" applyNumberFormat="1" applyFont="1"/>
    <xf numFmtId="1" fontId="6" fillId="0" borderId="0" xfId="1" applyNumberFormat="1" applyFont="1" applyFill="1" applyBorder="1"/>
    <xf numFmtId="0" fontId="47" fillId="0" borderId="0" xfId="0" applyFont="1" applyAlignment="1">
      <alignment horizontal="right"/>
    </xf>
    <xf numFmtId="3" fontId="6" fillId="0" borderId="0" xfId="0" applyNumberFormat="1" applyFont="1" applyAlignment="1">
      <alignment horizontal="right"/>
    </xf>
    <xf numFmtId="0" fontId="7" fillId="4" borderId="0" xfId="0" applyFont="1" applyFill="1"/>
    <xf numFmtId="0" fontId="56" fillId="3" borderId="0" xfId="0" applyFont="1" applyFill="1" applyAlignment="1">
      <alignment horizontal="right"/>
    </xf>
    <xf numFmtId="0" fontId="56" fillId="3" borderId="0" xfId="0" quotePrefix="1" applyFont="1" applyFill="1"/>
    <xf numFmtId="0" fontId="3" fillId="0" borderId="0" xfId="0" applyFont="1"/>
    <xf numFmtId="0" fontId="56" fillId="3" borderId="3" xfId="0" applyFont="1" applyFill="1" applyBorder="1"/>
    <xf numFmtId="0" fontId="67" fillId="0" borderId="0" xfId="0" applyFont="1"/>
    <xf numFmtId="177" fontId="0" fillId="0" borderId="0" xfId="0" applyNumberFormat="1"/>
    <xf numFmtId="177" fontId="0" fillId="0" borderId="0" xfId="0" applyNumberFormat="1" applyAlignment="1">
      <alignment horizontal="right"/>
    </xf>
    <xf numFmtId="0" fontId="0" fillId="0" borderId="0" xfId="0" quotePrefix="1" applyAlignment="1">
      <alignment horizontal="center"/>
    </xf>
    <xf numFmtId="176" fontId="0" fillId="0" borderId="0" xfId="0" applyNumberFormat="1"/>
    <xf numFmtId="0" fontId="0" fillId="0" borderId="0" xfId="0" applyAlignment="1">
      <alignment horizontal="center"/>
    </xf>
    <xf numFmtId="176" fontId="9" fillId="0" borderId="0" xfId="0" applyNumberFormat="1" applyFont="1"/>
    <xf numFmtId="0" fontId="33" fillId="0" borderId="0" xfId="0" applyFont="1" applyAlignment="1">
      <alignment horizontal="center"/>
    </xf>
    <xf numFmtId="0" fontId="66" fillId="0" borderId="0" xfId="0" applyFont="1"/>
    <xf numFmtId="0" fontId="14" fillId="0" borderId="0" xfId="0" applyFont="1" applyAlignment="1">
      <alignment horizontal="left" indent="1"/>
    </xf>
    <xf numFmtId="0" fontId="7" fillId="0" borderId="0" xfId="0" applyFont="1" applyAlignment="1">
      <alignment horizontal="left" indent="1"/>
    </xf>
    <xf numFmtId="14" fontId="6" fillId="0" borderId="0" xfId="0" applyNumberFormat="1" applyFont="1"/>
    <xf numFmtId="0" fontId="6" fillId="0" borderId="19" xfId="0" applyFont="1" applyBorder="1"/>
    <xf numFmtId="0" fontId="31" fillId="0" borderId="19" xfId="0" applyFont="1" applyBorder="1"/>
    <xf numFmtId="0" fontId="39" fillId="0" borderId="0" xfId="0" applyFont="1" applyAlignment="1">
      <alignment horizontal="right"/>
    </xf>
    <xf numFmtId="0" fontId="69" fillId="0" borderId="0" xfId="0" applyFont="1"/>
    <xf numFmtId="0" fontId="69" fillId="0" borderId="0" xfId="0" applyFont="1" applyAlignment="1">
      <alignment horizontal="left"/>
    </xf>
    <xf numFmtId="0" fontId="68" fillId="0" borderId="0" xfId="0" applyFont="1"/>
    <xf numFmtId="4" fontId="6" fillId="0" borderId="0" xfId="2" applyNumberFormat="1" applyFont="1" applyFill="1" applyBorder="1" applyAlignment="1">
      <alignment horizontal="right"/>
    </xf>
    <xf numFmtId="164" fontId="0" fillId="0" borderId="0" xfId="0" applyNumberFormat="1" applyAlignment="1">
      <alignment horizontal="left"/>
    </xf>
    <xf numFmtId="0" fontId="0" fillId="0" borderId="19" xfId="0" applyBorder="1"/>
    <xf numFmtId="0" fontId="7" fillId="0" borderId="19" xfId="0" applyFont="1" applyBorder="1"/>
    <xf numFmtId="0" fontId="6" fillId="7" borderId="1" xfId="0" applyFont="1" applyFill="1" applyBorder="1" applyProtection="1">
      <protection locked="0"/>
    </xf>
    <xf numFmtId="0" fontId="75" fillId="6" borderId="0" xfId="3" applyFont="1" applyFill="1" applyBorder="1" applyAlignment="1" applyProtection="1"/>
    <xf numFmtId="0" fontId="61" fillId="6" borderId="0" xfId="0" applyFont="1" applyFill="1"/>
    <xf numFmtId="0" fontId="0" fillId="11" borderId="0" xfId="0" applyFill="1"/>
    <xf numFmtId="0" fontId="83" fillId="0" borderId="0" xfId="0" applyFont="1" applyAlignment="1">
      <alignment horizontal="left"/>
    </xf>
    <xf numFmtId="0" fontId="84" fillId="0" borderId="0" xfId="0" applyFont="1"/>
    <xf numFmtId="0" fontId="85" fillId="0" borderId="0" xfId="0" applyFont="1" applyAlignment="1">
      <alignment horizontal="left"/>
    </xf>
    <xf numFmtId="0" fontId="86" fillId="0" borderId="0" xfId="0" applyFont="1" applyAlignment="1">
      <alignment horizontal="left"/>
    </xf>
    <xf numFmtId="0" fontId="73" fillId="0" borderId="0" xfId="0" applyFont="1"/>
    <xf numFmtId="0" fontId="74" fillId="0" borderId="0" xfId="0" applyFont="1"/>
    <xf numFmtId="1" fontId="6" fillId="0" borderId="0" xfId="2" applyNumberFormat="1" applyFont="1" applyFill="1" applyBorder="1" applyProtection="1">
      <protection locked="0"/>
    </xf>
    <xf numFmtId="1" fontId="6" fillId="0" borderId="0" xfId="2" applyNumberFormat="1" applyFont="1" applyFill="1" applyBorder="1" applyAlignment="1" applyProtection="1">
      <protection locked="0"/>
    </xf>
    <xf numFmtId="0" fontId="89" fillId="0" borderId="0" xfId="0" applyFont="1"/>
    <xf numFmtId="0" fontId="73" fillId="0" borderId="0" xfId="0" applyFont="1" applyAlignment="1">
      <alignment horizontal="right"/>
    </xf>
    <xf numFmtId="1" fontId="73" fillId="0" borderId="0" xfId="0" applyNumberFormat="1" applyFont="1"/>
    <xf numFmtId="1" fontId="73" fillId="0" borderId="0" xfId="0" applyNumberFormat="1" applyFont="1" applyAlignment="1">
      <alignment horizontal="right"/>
    </xf>
    <xf numFmtId="0" fontId="27" fillId="0" borderId="0" xfId="0" applyFont="1" applyAlignment="1">
      <alignment horizontal="left"/>
    </xf>
    <xf numFmtId="3" fontId="6" fillId="0" borderId="0" xfId="2" applyNumberFormat="1" applyFont="1" applyFill="1" applyBorder="1"/>
    <xf numFmtId="0" fontId="3" fillId="11" borderId="0" xfId="0" applyFont="1" applyFill="1"/>
    <xf numFmtId="0" fontId="87" fillId="0" borderId="0" xfId="0" applyFont="1"/>
    <xf numFmtId="0" fontId="3" fillId="0" borderId="0" xfId="0" applyFont="1" applyAlignment="1">
      <alignment horizontal="left"/>
    </xf>
    <xf numFmtId="1" fontId="19" fillId="0" borderId="0" xfId="0" applyNumberFormat="1" applyFont="1" applyAlignment="1">
      <alignment horizontal="left"/>
    </xf>
    <xf numFmtId="0" fontId="33" fillId="4" borderId="0" xfId="0" applyFont="1" applyFill="1" applyAlignment="1">
      <alignment horizontal="left" wrapText="1"/>
    </xf>
    <xf numFmtId="0" fontId="68" fillId="0" borderId="0" xfId="0" applyFont="1" applyAlignment="1">
      <alignment horizontal="left"/>
    </xf>
    <xf numFmtId="0" fontId="6" fillId="13" borderId="0" xfId="0" applyFont="1" applyFill="1"/>
    <xf numFmtId="0" fontId="91" fillId="4" borderId="0" xfId="0" applyFont="1" applyFill="1"/>
    <xf numFmtId="0" fontId="41" fillId="6" borderId="0" xfId="0" applyFont="1" applyFill="1" applyAlignment="1">
      <alignment horizontal="center"/>
    </xf>
    <xf numFmtId="0" fontId="6" fillId="13" borderId="0" xfId="0" applyFont="1" applyFill="1" applyProtection="1">
      <protection locked="0"/>
    </xf>
    <xf numFmtId="2" fontId="88" fillId="0" borderId="0" xfId="0" applyNumberFormat="1" applyFont="1" applyAlignment="1">
      <alignment horizontal="right"/>
    </xf>
    <xf numFmtId="0" fontId="94" fillId="0" borderId="0" xfId="0" applyFont="1"/>
    <xf numFmtId="0" fontId="94" fillId="0" borderId="0" xfId="0" applyFont="1" applyAlignment="1">
      <alignment horizontal="left"/>
    </xf>
    <xf numFmtId="0" fontId="88" fillId="0" borderId="0" xfId="0" applyFont="1" applyAlignment="1">
      <alignment horizontal="left"/>
    </xf>
    <xf numFmtId="0" fontId="6" fillId="0" borderId="22" xfId="0" applyFont="1" applyBorder="1"/>
    <xf numFmtId="0" fontId="96" fillId="0" borderId="0" xfId="0" applyFont="1"/>
    <xf numFmtId="1" fontId="93" fillId="0" borderId="0" xfId="0" applyNumberFormat="1" applyFont="1" applyAlignment="1">
      <alignment horizontal="left"/>
    </xf>
    <xf numFmtId="0" fontId="93" fillId="0" borderId="0" xfId="0" applyFont="1"/>
    <xf numFmtId="1" fontId="93" fillId="0" borderId="0" xfId="0" applyNumberFormat="1" applyFont="1"/>
    <xf numFmtId="0" fontId="93" fillId="0" borderId="0" xfId="0" applyFont="1" applyAlignment="1">
      <alignment horizontal="left"/>
    </xf>
    <xf numFmtId="0" fontId="87" fillId="0" borderId="24" xfId="0" applyFont="1" applyBorder="1"/>
    <xf numFmtId="0" fontId="87" fillId="0" borderId="25" xfId="0" applyFont="1" applyBorder="1"/>
    <xf numFmtId="0" fontId="6" fillId="13" borderId="0" xfId="0" applyFont="1" applyFill="1" applyAlignment="1">
      <alignment horizontal="center"/>
    </xf>
    <xf numFmtId="0" fontId="99" fillId="0" borderId="0" xfId="0" applyFont="1"/>
    <xf numFmtId="0" fontId="100" fillId="0" borderId="0" xfId="0" applyFont="1"/>
    <xf numFmtId="0" fontId="101" fillId="0" borderId="0" xfId="0" applyFont="1" applyAlignment="1">
      <alignment horizontal="left" vertical="center"/>
    </xf>
    <xf numFmtId="0" fontId="102" fillId="0" borderId="0" xfId="0" applyFont="1"/>
    <xf numFmtId="0" fontId="6" fillId="4" borderId="0" xfId="0" applyFont="1" applyFill="1" applyAlignment="1">
      <alignment wrapText="1"/>
    </xf>
    <xf numFmtId="0" fontId="6" fillId="4" borderId="0" xfId="0" applyFont="1" applyFill="1" applyAlignment="1">
      <alignment horizontal="right" wrapText="1"/>
    </xf>
    <xf numFmtId="0" fontId="6" fillId="0" borderId="25" xfId="0" applyFont="1" applyBorder="1"/>
    <xf numFmtId="0" fontId="0" fillId="0" borderId="27" xfId="0" applyBorder="1"/>
    <xf numFmtId="0" fontId="0" fillId="0" borderId="29" xfId="0" applyBorder="1"/>
    <xf numFmtId="0" fontId="0" fillId="0" borderId="30" xfId="0" applyBorder="1"/>
    <xf numFmtId="0" fontId="0" fillId="11" borderId="28" xfId="0" applyFill="1" applyBorder="1"/>
    <xf numFmtId="0" fontId="91" fillId="13" borderId="0" xfId="0" applyFont="1" applyFill="1"/>
    <xf numFmtId="0" fontId="6" fillId="13" borderId="0" xfId="0" applyFont="1" applyFill="1" applyAlignment="1">
      <alignment horizontal="right"/>
    </xf>
    <xf numFmtId="1" fontId="7" fillId="0" borderId="0" xfId="0" applyNumberFormat="1" applyFont="1" applyAlignment="1">
      <alignment horizontal="center"/>
    </xf>
    <xf numFmtId="0" fontId="3" fillId="0" borderId="27" xfId="0" applyFont="1" applyBorder="1"/>
    <xf numFmtId="0" fontId="59" fillId="0" borderId="0" xfId="0" applyFont="1" applyAlignment="1">
      <alignment horizontal="left"/>
    </xf>
    <xf numFmtId="0" fontId="108" fillId="0" borderId="0" xfId="0" applyFont="1"/>
    <xf numFmtId="0" fontId="109" fillId="0" borderId="0" xfId="0" applyFont="1"/>
    <xf numFmtId="0" fontId="81" fillId="0" borderId="0" xfId="0" applyFont="1"/>
    <xf numFmtId="0" fontId="62" fillId="0" borderId="16" xfId="0" applyFont="1" applyBorder="1"/>
    <xf numFmtId="0" fontId="45" fillId="6" borderId="0" xfId="0" applyFont="1" applyFill="1"/>
    <xf numFmtId="0" fontId="40" fillId="6" borderId="0" xfId="0" applyFont="1" applyFill="1" applyAlignment="1">
      <alignment horizontal="right"/>
    </xf>
    <xf numFmtId="0" fontId="40" fillId="6" borderId="0" xfId="0" applyFont="1" applyFill="1" applyAlignment="1">
      <alignment horizontal="left"/>
    </xf>
    <xf numFmtId="0" fontId="110" fillId="0" borderId="0" xfId="3" applyFont="1" applyAlignment="1" applyProtection="1"/>
    <xf numFmtId="182" fontId="6" fillId="0" borderId="0" xfId="0" applyNumberFormat="1" applyFont="1"/>
    <xf numFmtId="0" fontId="6" fillId="4" borderId="0" xfId="0" applyFont="1" applyFill="1" applyAlignment="1">
      <alignment horizontal="left" vertical="top"/>
    </xf>
    <xf numFmtId="0" fontId="33" fillId="4" borderId="0" xfId="0" applyFont="1" applyFill="1" applyAlignment="1">
      <alignment horizontal="left" vertical="top"/>
    </xf>
    <xf numFmtId="0" fontId="6" fillId="0" borderId="0" xfId="0" applyFont="1" applyAlignment="1" applyProtection="1">
      <alignment horizontal="left" vertical="top"/>
      <protection locked="0"/>
    </xf>
    <xf numFmtId="0" fontId="0" fillId="20" borderId="0" xfId="0" applyFill="1"/>
    <xf numFmtId="0" fontId="3" fillId="20" borderId="0" xfId="0" applyFont="1" applyFill="1"/>
    <xf numFmtId="0" fontId="9" fillId="20" borderId="0" xfId="0" applyFont="1" applyFill="1"/>
    <xf numFmtId="0" fontId="3" fillId="0" borderId="0" xfId="0" applyFont="1" applyAlignment="1">
      <alignment vertical="center"/>
    </xf>
    <xf numFmtId="0" fontId="9" fillId="0" borderId="0" xfId="0" applyFont="1" applyAlignment="1">
      <alignment vertical="center"/>
    </xf>
    <xf numFmtId="0" fontId="97" fillId="0" borderId="0" xfId="0" quotePrefix="1" applyFont="1"/>
    <xf numFmtId="0" fontId="61" fillId="0" borderId="0" xfId="0" applyFont="1"/>
    <xf numFmtId="0" fontId="6" fillId="0" borderId="0" xfId="0" applyFont="1" applyAlignment="1">
      <alignment horizontal="left" indent="3"/>
    </xf>
    <xf numFmtId="0" fontId="6" fillId="0" borderId="0" xfId="0" applyFont="1" applyAlignment="1">
      <alignment vertical="top" wrapText="1"/>
    </xf>
    <xf numFmtId="2" fontId="73" fillId="0" borderId="0" xfId="0" applyNumberFormat="1" applyFont="1"/>
    <xf numFmtId="1" fontId="68" fillId="0" borderId="0" xfId="0" applyNumberFormat="1" applyFont="1"/>
    <xf numFmtId="0" fontId="6" fillId="11" borderId="0" xfId="0" applyFont="1" applyFill="1" applyAlignment="1">
      <alignment horizontal="left"/>
    </xf>
    <xf numFmtId="0" fontId="6" fillId="0" borderId="31" xfId="0" applyFont="1" applyBorder="1"/>
    <xf numFmtId="0" fontId="6" fillId="0" borderId="32" xfId="0" applyFont="1" applyBorder="1"/>
    <xf numFmtId="2" fontId="73" fillId="0" borderId="0" xfId="0" applyNumberFormat="1" applyFont="1" applyAlignment="1">
      <alignment horizontal="right"/>
    </xf>
    <xf numFmtId="1" fontId="73" fillId="0" borderId="0" xfId="2" applyNumberFormat="1" applyFont="1" applyFill="1" applyBorder="1"/>
    <xf numFmtId="0" fontId="81" fillId="0" borderId="18" xfId="0" applyFont="1" applyBorder="1"/>
    <xf numFmtId="0" fontId="81" fillId="0" borderId="5" xfId="0" applyFont="1" applyBorder="1"/>
    <xf numFmtId="0" fontId="6" fillId="0" borderId="34" xfId="0" applyFont="1" applyBorder="1" applyAlignment="1">
      <alignment horizontal="left"/>
    </xf>
    <xf numFmtId="0" fontId="6" fillId="0" borderId="35" xfId="0" applyFont="1" applyBorder="1" applyAlignment="1">
      <alignment horizontal="left"/>
    </xf>
    <xf numFmtId="0" fontId="87" fillId="0" borderId="0" xfId="0" applyFont="1" applyAlignment="1">
      <alignment horizontal="right"/>
    </xf>
    <xf numFmtId="0" fontId="6" fillId="0" borderId="26" xfId="0" applyFont="1" applyBorder="1"/>
    <xf numFmtId="49" fontId="6" fillId="0" borderId="26" xfId="0" applyNumberFormat="1" applyFont="1" applyBorder="1"/>
    <xf numFmtId="0" fontId="114" fillId="0" borderId="0" xfId="0" applyFont="1"/>
    <xf numFmtId="0" fontId="0" fillId="0" borderId="16" xfId="0" applyBorder="1"/>
    <xf numFmtId="0" fontId="6" fillId="11" borderId="0" xfId="0" applyFont="1" applyFill="1"/>
    <xf numFmtId="0" fontId="62" fillId="3" borderId="16" xfId="0" applyFont="1" applyFill="1" applyBorder="1"/>
    <xf numFmtId="0" fontId="86" fillId="0" borderId="0" xfId="0" applyFont="1"/>
    <xf numFmtId="0" fontId="0" fillId="13" borderId="0" xfId="0" applyFill="1"/>
    <xf numFmtId="0" fontId="15" fillId="0" borderId="6" xfId="0" applyFont="1" applyBorder="1"/>
    <xf numFmtId="0" fontId="21" fillId="0" borderId="13" xfId="0" applyFont="1" applyBorder="1" applyAlignment="1">
      <alignment horizontal="right"/>
    </xf>
    <xf numFmtId="0" fontId="7" fillId="0" borderId="13" xfId="0" applyFont="1" applyBorder="1" applyAlignment="1">
      <alignment horizontal="center"/>
    </xf>
    <xf numFmtId="0" fontId="7" fillId="0" borderId="36" xfId="0" applyFont="1" applyBorder="1"/>
    <xf numFmtId="0" fontId="7" fillId="0" borderId="6" xfId="0" applyFont="1" applyBorder="1"/>
    <xf numFmtId="0" fontId="3" fillId="0" borderId="0" xfId="5"/>
    <xf numFmtId="0" fontId="6" fillId="0" borderId="0" xfId="5" applyFont="1"/>
    <xf numFmtId="0" fontId="3" fillId="0" borderId="0" xfId="5" applyAlignment="1">
      <alignment horizontal="right"/>
    </xf>
    <xf numFmtId="1" fontId="3" fillId="0" borderId="0" xfId="5" applyNumberFormat="1"/>
    <xf numFmtId="0" fontId="3" fillId="0" borderId="0" xfId="5" applyAlignment="1">
      <alignment horizontal="left"/>
    </xf>
    <xf numFmtId="0" fontId="10" fillId="13" borderId="0" xfId="0" applyFont="1" applyFill="1"/>
    <xf numFmtId="0" fontId="6" fillId="15" borderId="0" xfId="0" applyFont="1" applyFill="1"/>
    <xf numFmtId="0" fontId="6" fillId="14" borderId="0" xfId="0" applyFont="1" applyFill="1" applyAlignment="1" applyProtection="1">
      <alignment horizontal="center"/>
      <protection locked="0"/>
    </xf>
    <xf numFmtId="0" fontId="10" fillId="9" borderId="18" xfId="0" applyFont="1" applyFill="1" applyBorder="1"/>
    <xf numFmtId="0" fontId="10" fillId="10" borderId="18" xfId="0" applyFont="1" applyFill="1" applyBorder="1" applyAlignment="1">
      <alignment horizontal="left"/>
    </xf>
    <xf numFmtId="0" fontId="7" fillId="0" borderId="39" xfId="0" applyFont="1" applyBorder="1" applyAlignment="1">
      <alignment vertical="center" wrapText="1"/>
    </xf>
    <xf numFmtId="0" fontId="7" fillId="20" borderId="39" xfId="0" applyFont="1" applyFill="1" applyBorder="1" applyAlignment="1">
      <alignment vertical="center" wrapText="1"/>
    </xf>
    <xf numFmtId="0" fontId="6" fillId="11" borderId="3" xfId="0" applyFont="1" applyFill="1" applyBorder="1"/>
    <xf numFmtId="0" fontId="6" fillId="6" borderId="0" xfId="0" quotePrefix="1" applyFont="1" applyFill="1" applyAlignment="1">
      <alignment horizontal="left"/>
    </xf>
    <xf numFmtId="0" fontId="12" fillId="0" borderId="0" xfId="0" applyFont="1" applyAlignment="1">
      <alignment vertical="center"/>
    </xf>
    <xf numFmtId="0" fontId="3" fillId="0" borderId="0" xfId="0" applyFont="1" applyAlignment="1">
      <alignment horizontal="left" indent="1"/>
    </xf>
    <xf numFmtId="0" fontId="80" fillId="0" borderId="0" xfId="0" applyFont="1"/>
    <xf numFmtId="0" fontId="3" fillId="0" borderId="26" xfId="0" applyFont="1" applyBorder="1"/>
    <xf numFmtId="16" fontId="6" fillId="0" borderId="0" xfId="0" quotePrefix="1" applyNumberFormat="1" applyFont="1"/>
    <xf numFmtId="0" fontId="27" fillId="0" borderId="0" xfId="0" applyFont="1" applyAlignment="1">
      <alignment horizontal="right"/>
    </xf>
    <xf numFmtId="0" fontId="97" fillId="0" borderId="0" xfId="0" applyFont="1" applyAlignment="1">
      <alignment horizontal="right"/>
    </xf>
    <xf numFmtId="0" fontId="97" fillId="0" borderId="0" xfId="0" applyFont="1"/>
    <xf numFmtId="0" fontId="0" fillId="0" borderId="40" xfId="0" applyBorder="1"/>
    <xf numFmtId="0" fontId="0" fillId="0" borderId="7" xfId="0" applyBorder="1"/>
    <xf numFmtId="0" fontId="0" fillId="11" borderId="41" xfId="0" applyFill="1" applyBorder="1"/>
    <xf numFmtId="0" fontId="0" fillId="0" borderId="42" xfId="0" applyBorder="1"/>
    <xf numFmtId="0" fontId="0" fillId="0" borderId="20" xfId="0" applyBorder="1"/>
    <xf numFmtId="0" fontId="10" fillId="0" borderId="0" xfId="0" applyFont="1" applyAlignment="1">
      <alignment horizontal="center"/>
    </xf>
    <xf numFmtId="0" fontId="0" fillId="11" borderId="43" xfId="0" applyFill="1" applyBorder="1"/>
    <xf numFmtId="0" fontId="6" fillId="3" borderId="44" xfId="0" applyFont="1" applyFill="1" applyBorder="1"/>
    <xf numFmtId="0" fontId="6" fillId="3" borderId="45" xfId="0" applyFont="1" applyFill="1" applyBorder="1"/>
    <xf numFmtId="0" fontId="6" fillId="3" borderId="46" xfId="0" applyFont="1" applyFill="1" applyBorder="1"/>
    <xf numFmtId="0" fontId="48" fillId="4" borderId="0" xfId="0" applyFont="1" applyFill="1" applyAlignment="1">
      <alignment horizontal="center"/>
    </xf>
    <xf numFmtId="0" fontId="36" fillId="0" borderId="0" xfId="3" applyAlignment="1" applyProtection="1"/>
    <xf numFmtId="0" fontId="6" fillId="0" borderId="24" xfId="0" applyFont="1" applyBorder="1"/>
    <xf numFmtId="0" fontId="10" fillId="13" borderId="0" xfId="0" applyFont="1" applyFill="1" applyProtection="1">
      <protection locked="0"/>
    </xf>
    <xf numFmtId="0" fontId="6" fillId="4" borderId="47" xfId="0" applyFont="1" applyFill="1" applyBorder="1"/>
    <xf numFmtId="0" fontId="6" fillId="4" borderId="48" xfId="0" applyFont="1" applyFill="1" applyBorder="1"/>
    <xf numFmtId="0" fontId="6" fillId="4" borderId="49" xfId="0" applyFont="1" applyFill="1" applyBorder="1"/>
    <xf numFmtId="0" fontId="6" fillId="4" borderId="44" xfId="0" applyFont="1" applyFill="1" applyBorder="1"/>
    <xf numFmtId="0" fontId="6" fillId="4" borderId="50" xfId="0" applyFont="1" applyFill="1" applyBorder="1"/>
    <xf numFmtId="0" fontId="6" fillId="13" borderId="44" xfId="0" applyFont="1" applyFill="1" applyBorder="1"/>
    <xf numFmtId="0" fontId="6" fillId="13" borderId="50" xfId="0" applyFont="1" applyFill="1" applyBorder="1"/>
    <xf numFmtId="0" fontId="6" fillId="13" borderId="45" xfId="0" applyFont="1" applyFill="1" applyBorder="1"/>
    <xf numFmtId="0" fontId="6" fillId="13" borderId="46" xfId="0" applyFont="1" applyFill="1" applyBorder="1"/>
    <xf numFmtId="0" fontId="6" fillId="13" borderId="51" xfId="0" applyFont="1" applyFill="1" applyBorder="1"/>
    <xf numFmtId="0" fontId="6" fillId="8" borderId="0" xfId="0" applyFont="1" applyFill="1" applyAlignment="1">
      <alignment horizontal="center"/>
    </xf>
    <xf numFmtId="0" fontId="81" fillId="0" borderId="18" xfId="0" applyFont="1" applyBorder="1" applyAlignment="1">
      <alignment horizontal="center"/>
    </xf>
    <xf numFmtId="0" fontId="7" fillId="22" borderId="54" xfId="0" applyFont="1" applyFill="1" applyBorder="1" applyAlignment="1">
      <alignment vertical="center" wrapText="1"/>
    </xf>
    <xf numFmtId="0" fontId="7" fillId="0" borderId="54" xfId="0" applyFont="1" applyBorder="1" applyAlignment="1">
      <alignment vertical="center" wrapText="1"/>
    </xf>
    <xf numFmtId="0" fontId="7" fillId="0" borderId="55" xfId="0" applyFont="1" applyBorder="1" applyAlignment="1">
      <alignment wrapText="1"/>
    </xf>
    <xf numFmtId="0" fontId="7" fillId="0" borderId="55" xfId="0" applyFont="1" applyBorder="1"/>
    <xf numFmtId="0" fontId="7" fillId="0" borderId="0" xfId="0" applyFont="1" applyAlignment="1" applyProtection="1">
      <alignment horizontal="center"/>
      <protection locked="0"/>
    </xf>
    <xf numFmtId="0" fontId="86" fillId="0" borderId="34" xfId="0" applyFont="1" applyBorder="1" applyAlignment="1">
      <alignment horizontal="left"/>
    </xf>
    <xf numFmtId="0" fontId="86" fillId="0" borderId="35" xfId="0" applyFont="1" applyBorder="1" applyAlignment="1">
      <alignment horizontal="left"/>
    </xf>
    <xf numFmtId="0" fontId="7" fillId="0" borderId="0" xfId="0" applyFont="1" applyAlignment="1">
      <alignment wrapText="1"/>
    </xf>
    <xf numFmtId="0" fontId="123" fillId="20" borderId="0" xfId="0" applyFont="1" applyFill="1"/>
    <xf numFmtId="184" fontId="0" fillId="20" borderId="0" xfId="0" applyNumberFormat="1" applyFill="1"/>
    <xf numFmtId="185" fontId="6" fillId="0" borderId="0" xfId="0" applyNumberFormat="1" applyFont="1"/>
    <xf numFmtId="0" fontId="57" fillId="0" borderId="19" xfId="0" applyFont="1" applyBorder="1" applyAlignment="1">
      <alignment horizontal="left"/>
    </xf>
    <xf numFmtId="0" fontId="3" fillId="0" borderId="19" xfId="0" applyFont="1" applyBorder="1"/>
    <xf numFmtId="0" fontId="7" fillId="0" borderId="0" xfId="0" quotePrefix="1" applyFont="1" applyAlignment="1">
      <alignment horizontal="center"/>
    </xf>
    <xf numFmtId="0" fontId="7" fillId="0" borderId="0" xfId="1" applyNumberFormat="1" applyFont="1" applyFill="1" applyBorder="1" applyAlignment="1" applyProtection="1">
      <alignment horizontal="center"/>
      <protection locked="0"/>
    </xf>
    <xf numFmtId="0" fontId="103" fillId="0" borderId="0" xfId="0" applyFont="1" applyAlignment="1">
      <alignment horizontal="justify" vertical="center"/>
    </xf>
    <xf numFmtId="0" fontId="3" fillId="0" borderId="0" xfId="0" applyFont="1" applyAlignment="1">
      <alignment horizontal="justify" vertical="center"/>
    </xf>
    <xf numFmtId="0" fontId="3" fillId="0" borderId="0" xfId="0" applyFont="1" applyAlignment="1">
      <alignment horizontal="right"/>
    </xf>
    <xf numFmtId="0" fontId="50" fillId="0" borderId="0" xfId="0" applyFont="1"/>
    <xf numFmtId="164" fontId="0" fillId="0" borderId="0" xfId="0" applyNumberFormat="1"/>
    <xf numFmtId="164" fontId="3" fillId="0" borderId="0" xfId="0" quotePrefix="1" applyNumberFormat="1" applyFont="1"/>
    <xf numFmtId="0" fontId="3" fillId="0" borderId="0" xfId="0" quotePrefix="1" applyFont="1"/>
    <xf numFmtId="166" fontId="0" fillId="0" borderId="0" xfId="0" applyNumberFormat="1" applyAlignment="1">
      <alignment horizontal="left"/>
    </xf>
    <xf numFmtId="15" fontId="0" fillId="0" borderId="0" xfId="0" applyNumberFormat="1"/>
    <xf numFmtId="14" fontId="0" fillId="0" borderId="0" xfId="0" applyNumberFormat="1"/>
    <xf numFmtId="9" fontId="0" fillId="0" borderId="0" xfId="4" applyFont="1" applyFill="1" applyBorder="1"/>
    <xf numFmtId="0" fontId="3" fillId="0" borderId="0" xfId="0" quotePrefix="1" applyFont="1" applyAlignment="1">
      <alignment horizontal="center"/>
    </xf>
    <xf numFmtId="1" fontId="33" fillId="0" borderId="0" xfId="0" quotePrefix="1" applyNumberFormat="1" applyFont="1" applyAlignment="1">
      <alignment horizontal="left"/>
    </xf>
    <xf numFmtId="0" fontId="112" fillId="0" borderId="0" xfId="0" applyFont="1"/>
    <xf numFmtId="0" fontId="73"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left" vertical="center" indent="1"/>
    </xf>
    <xf numFmtId="0" fontId="80" fillId="0" borderId="0" xfId="0" applyFont="1" applyAlignment="1">
      <alignment horizontal="left" vertical="center" indent="1"/>
    </xf>
    <xf numFmtId="0" fontId="121" fillId="0" borderId="0" xfId="0" applyFont="1" applyAlignment="1">
      <alignment horizontal="left"/>
    </xf>
    <xf numFmtId="0" fontId="113" fillId="0" borderId="0" xfId="0" applyFont="1" applyAlignment="1">
      <alignment horizontal="left"/>
    </xf>
    <xf numFmtId="0" fontId="62" fillId="0" borderId="4" xfId="0" applyFont="1" applyBorder="1" applyAlignment="1">
      <alignment horizontal="left"/>
    </xf>
    <xf numFmtId="164" fontId="72" fillId="0" borderId="0" xfId="0" applyNumberFormat="1" applyFont="1" applyAlignment="1">
      <alignment horizontal="left"/>
    </xf>
    <xf numFmtId="0" fontId="6" fillId="15" borderId="3" xfId="0" applyFont="1" applyFill="1" applyBorder="1" applyAlignment="1">
      <alignment horizontal="center"/>
    </xf>
    <xf numFmtId="0" fontId="3" fillId="0" borderId="56" xfId="0" applyFont="1" applyBorder="1" applyProtection="1">
      <protection locked="0"/>
    </xf>
    <xf numFmtId="2" fontId="3" fillId="0" borderId="56" xfId="0" applyNumberFormat="1" applyFont="1" applyBorder="1" applyProtection="1">
      <protection locked="0"/>
    </xf>
    <xf numFmtId="0" fontId="0" fillId="0" borderId="57" xfId="0" applyBorder="1"/>
    <xf numFmtId="0" fontId="0" fillId="11" borderId="58" xfId="0" applyFill="1" applyBorder="1"/>
    <xf numFmtId="0" fontId="6" fillId="3" borderId="50" xfId="0" applyFont="1" applyFill="1" applyBorder="1" applyAlignment="1">
      <alignment horizontal="right"/>
    </xf>
    <xf numFmtId="0" fontId="6" fillId="3" borderId="51" xfId="0" applyFont="1" applyFill="1" applyBorder="1"/>
    <xf numFmtId="4" fontId="6" fillId="0" borderId="0" xfId="1" applyNumberFormat="1" applyFont="1" applyFill="1" applyBorder="1"/>
    <xf numFmtId="0" fontId="40" fillId="15" borderId="0" xfId="0" applyFont="1" applyFill="1"/>
    <xf numFmtId="0" fontId="6" fillId="15" borderId="0" xfId="0" applyFont="1" applyFill="1" applyAlignment="1">
      <alignment horizontal="right"/>
    </xf>
    <xf numFmtId="0" fontId="6" fillId="15" borderId="0" xfId="0" applyFont="1" applyFill="1" applyAlignment="1">
      <alignment horizontal="left"/>
    </xf>
    <xf numFmtId="0" fontId="6" fillId="15" borderId="3" xfId="0" applyFont="1" applyFill="1" applyBorder="1" applyAlignment="1">
      <alignment horizontal="right"/>
    </xf>
    <xf numFmtId="0" fontId="40" fillId="15" borderId="50" xfId="0" applyFont="1" applyFill="1" applyBorder="1"/>
    <xf numFmtId="3" fontId="73" fillId="0" borderId="0" xfId="2" applyNumberFormat="1" applyFont="1" applyFill="1" applyBorder="1" applyAlignment="1">
      <alignment horizontal="right"/>
    </xf>
    <xf numFmtId="3" fontId="73" fillId="0" borderId="0" xfId="2" applyNumberFormat="1" applyFont="1" applyFill="1" applyBorder="1"/>
    <xf numFmtId="3" fontId="73" fillId="0" borderId="0" xfId="2" applyNumberFormat="1" applyFont="1" applyFill="1" applyBorder="1" applyAlignment="1"/>
    <xf numFmtId="0" fontId="6" fillId="23" borderId="0" xfId="0" applyFont="1" applyFill="1"/>
    <xf numFmtId="0" fontId="73" fillId="6" borderId="0" xfId="0" applyFont="1" applyFill="1" applyAlignment="1">
      <alignment horizontal="center"/>
    </xf>
    <xf numFmtId="0" fontId="73" fillId="6" borderId="3" xfId="0" applyFont="1" applyFill="1" applyBorder="1" applyAlignment="1">
      <alignment horizontal="center"/>
    </xf>
    <xf numFmtId="0" fontId="40" fillId="0" borderId="0" xfId="0" applyFont="1"/>
    <xf numFmtId="3" fontId="6" fillId="0" borderId="0" xfId="0" applyNumberFormat="1" applyFont="1" applyProtection="1">
      <protection locked="0"/>
    </xf>
    <xf numFmtId="1" fontId="86" fillId="0" borderId="0" xfId="0" applyNumberFormat="1" applyFont="1"/>
    <xf numFmtId="3" fontId="86" fillId="0" borderId="0" xfId="0" applyNumberFormat="1" applyFont="1"/>
    <xf numFmtId="0" fontId="6" fillId="0" borderId="0" xfId="0" applyFont="1" applyAlignment="1">
      <alignment horizontal="right" indent="2"/>
    </xf>
    <xf numFmtId="0" fontId="114" fillId="0" borderId="0" xfId="0" applyFont="1" applyAlignment="1">
      <alignment horizontal="right"/>
    </xf>
    <xf numFmtId="0" fontId="74" fillId="0" borderId="16" xfId="0" applyFont="1" applyBorder="1"/>
    <xf numFmtId="0" fontId="124" fillId="0" borderId="0" xfId="0" applyFont="1"/>
    <xf numFmtId="0" fontId="13" fillId="0" borderId="0" xfId="0" applyFont="1"/>
    <xf numFmtId="0" fontId="6" fillId="8" borderId="16" xfId="0" applyFont="1" applyFill="1" applyBorder="1" applyAlignment="1">
      <alignment horizontal="center"/>
    </xf>
    <xf numFmtId="0" fontId="7" fillId="0" borderId="20" xfId="0" applyFont="1" applyBorder="1" applyAlignment="1" applyProtection="1">
      <alignment horizontal="center"/>
      <protection locked="0"/>
    </xf>
    <xf numFmtId="0" fontId="7" fillId="0" borderId="59" xfId="0" applyFont="1" applyBorder="1" applyAlignment="1">
      <alignment vertical="center" wrapText="1"/>
    </xf>
    <xf numFmtId="1" fontId="87" fillId="0" borderId="0" xfId="0" applyNumberFormat="1" applyFont="1"/>
    <xf numFmtId="0" fontId="55" fillId="0" borderId="0" xfId="0" applyFont="1"/>
    <xf numFmtId="1" fontId="88" fillId="0" borderId="0" xfId="0" applyNumberFormat="1" applyFont="1" applyAlignment="1">
      <alignment horizontal="right"/>
    </xf>
    <xf numFmtId="0" fontId="74" fillId="0" borderId="0" xfId="0" applyFont="1" applyAlignment="1">
      <alignment horizontal="left" vertical="center" indent="1"/>
    </xf>
    <xf numFmtId="0" fontId="98" fillId="0" borderId="0" xfId="0" applyFont="1"/>
    <xf numFmtId="0" fontId="118" fillId="0" borderId="0" xfId="0" applyFont="1"/>
    <xf numFmtId="0" fontId="80" fillId="0" borderId="25" xfId="0" applyFont="1" applyBorder="1"/>
    <xf numFmtId="0" fontId="127" fillId="0" borderId="0" xfId="0" applyFont="1" applyAlignment="1">
      <alignment horizontal="left" vertical="center"/>
    </xf>
    <xf numFmtId="0" fontId="126" fillId="0" borderId="0" xfId="0" applyFont="1" applyAlignment="1">
      <alignment horizontal="left" vertical="center" indent="1"/>
    </xf>
    <xf numFmtId="1" fontId="88" fillId="0" borderId="0" xfId="0" applyNumberFormat="1" applyFont="1" applyAlignment="1">
      <alignment horizontal="center"/>
    </xf>
    <xf numFmtId="0" fontId="74" fillId="0" borderId="0" xfId="0" applyFont="1" applyProtection="1">
      <protection locked="0"/>
    </xf>
    <xf numFmtId="0" fontId="6" fillId="0" borderId="0" xfId="0" applyFont="1" applyAlignment="1">
      <alignment horizontal="left" indent="7"/>
    </xf>
    <xf numFmtId="0" fontId="6" fillId="0" borderId="0" xfId="0" applyFont="1" applyAlignment="1">
      <alignment horizontal="right" indent="1"/>
    </xf>
    <xf numFmtId="171" fontId="6" fillId="0" borderId="0" xfId="1" applyNumberFormat="1" applyFont="1" applyFill="1" applyAlignment="1"/>
    <xf numFmtId="3" fontId="10" fillId="0" borderId="0" xfId="2" applyNumberFormat="1" applyFont="1" applyFill="1" applyBorder="1"/>
    <xf numFmtId="0" fontId="73" fillId="15" borderId="0" xfId="0" applyFont="1" applyFill="1"/>
    <xf numFmtId="0" fontId="46" fillId="13" borderId="0" xfId="0" applyFont="1" applyFill="1" applyAlignment="1">
      <alignment horizontal="right"/>
    </xf>
    <xf numFmtId="3" fontId="6" fillId="3" borderId="0" xfId="0" applyNumberFormat="1" applyFont="1" applyFill="1"/>
    <xf numFmtId="0" fontId="6" fillId="15" borderId="3" xfId="0" applyFont="1" applyFill="1" applyBorder="1"/>
    <xf numFmtId="167" fontId="6" fillId="3" borderId="0" xfId="2" applyFont="1" applyFill="1" applyBorder="1" applyAlignment="1" applyProtection="1">
      <alignment horizontal="right"/>
    </xf>
    <xf numFmtId="167" fontId="6" fillId="15" borderId="0" xfId="2" applyFont="1" applyFill="1" applyBorder="1" applyAlignment="1" applyProtection="1">
      <alignment horizontal="right"/>
    </xf>
    <xf numFmtId="0" fontId="87" fillId="0" borderId="0" xfId="0" applyFont="1" applyAlignment="1">
      <alignment horizontal="left"/>
    </xf>
    <xf numFmtId="2" fontId="6" fillId="0" borderId="0" xfId="2" applyNumberFormat="1" applyFont="1" applyFill="1" applyBorder="1"/>
    <xf numFmtId="0" fontId="113" fillId="0" borderId="0" xfId="0" applyFont="1"/>
    <xf numFmtId="0" fontId="134" fillId="0" borderId="24" xfId="0" applyFont="1" applyBorder="1" applyAlignment="1">
      <alignment horizontal="left"/>
    </xf>
    <xf numFmtId="0" fontId="87" fillId="0" borderId="0" xfId="0" quotePrefix="1" applyFont="1"/>
    <xf numFmtId="0" fontId="6" fillId="8" borderId="33" xfId="0" applyFont="1" applyFill="1" applyBorder="1" applyAlignment="1">
      <alignment horizontal="center"/>
    </xf>
    <xf numFmtId="0" fontId="14" fillId="0" borderId="0" xfId="0" applyFont="1"/>
    <xf numFmtId="0" fontId="6" fillId="9" borderId="7" xfId="0" applyFont="1" applyFill="1" applyBorder="1"/>
    <xf numFmtId="0" fontId="3" fillId="0" borderId="0" xfId="0" applyFont="1" applyAlignment="1">
      <alignment wrapText="1"/>
    </xf>
    <xf numFmtId="0" fontId="6" fillId="8" borderId="7" xfId="0" applyFont="1" applyFill="1" applyBorder="1" applyAlignment="1">
      <alignment horizontal="center"/>
    </xf>
    <xf numFmtId="0" fontId="6" fillId="8" borderId="6" xfId="0" applyFont="1" applyFill="1" applyBorder="1" applyAlignment="1">
      <alignment horizontal="center"/>
    </xf>
    <xf numFmtId="0" fontId="6" fillId="8" borderId="17" xfId="0" applyFont="1" applyFill="1" applyBorder="1" applyAlignment="1">
      <alignment horizontal="center"/>
    </xf>
    <xf numFmtId="0" fontId="7" fillId="0" borderId="0" xfId="0" applyFont="1" applyAlignment="1">
      <alignment vertical="top" wrapText="1"/>
    </xf>
    <xf numFmtId="0" fontId="6" fillId="0" borderId="13" xfId="0" applyFont="1" applyBorder="1"/>
    <xf numFmtId="0" fontId="81" fillId="0" borderId="36" xfId="0" applyFont="1" applyBorder="1"/>
    <xf numFmtId="0" fontId="135" fillId="0" borderId="0" xfId="0" applyFont="1" applyAlignment="1">
      <alignment horizontal="right"/>
    </xf>
    <xf numFmtId="0" fontId="135" fillId="0" borderId="0" xfId="0" applyFont="1"/>
    <xf numFmtId="0" fontId="136" fillId="0" borderId="0" xfId="0" applyFont="1"/>
    <xf numFmtId="0" fontId="97" fillId="0" borderId="24" xfId="0" quotePrefix="1" applyFont="1" applyBorder="1"/>
    <xf numFmtId="0" fontId="97" fillId="0" borderId="24" xfId="0" applyFont="1" applyBorder="1"/>
    <xf numFmtId="0" fontId="136" fillId="0" borderId="24" xfId="0" applyFont="1" applyBorder="1"/>
    <xf numFmtId="0" fontId="135" fillId="0" borderId="24" xfId="0" applyFont="1" applyBorder="1"/>
    <xf numFmtId="0" fontId="135" fillId="0" borderId="24" xfId="0" applyFont="1" applyBorder="1" applyAlignment="1">
      <alignment horizontal="left"/>
    </xf>
    <xf numFmtId="0" fontId="136" fillId="0" borderId="24" xfId="0" applyFont="1" applyBorder="1" applyAlignment="1">
      <alignment horizontal="left"/>
    </xf>
    <xf numFmtId="0" fontId="136" fillId="0" borderId="25" xfId="0" applyFont="1" applyBorder="1" applyAlignment="1">
      <alignment horizontal="right"/>
    </xf>
    <xf numFmtId="0" fontId="135" fillId="0" borderId="25" xfId="0" applyFont="1" applyBorder="1"/>
    <xf numFmtId="1" fontId="135" fillId="0" borderId="25" xfId="0" applyNumberFormat="1" applyFont="1" applyBorder="1"/>
    <xf numFmtId="0" fontId="138" fillId="0" borderId="0" xfId="0" applyFont="1"/>
    <xf numFmtId="0" fontId="135" fillId="0" borderId="0" xfId="0" applyFont="1" applyAlignment="1">
      <alignment horizontal="center"/>
    </xf>
    <xf numFmtId="0" fontId="139" fillId="0" borderId="0" xfId="0" applyFont="1" applyAlignment="1">
      <alignment horizontal="center"/>
    </xf>
    <xf numFmtId="0" fontId="139" fillId="0" borderId="0" xfId="0" applyFont="1"/>
    <xf numFmtId="0" fontId="135" fillId="0" borderId="0" xfId="0" applyFont="1" applyAlignment="1">
      <alignment horizontal="left"/>
    </xf>
    <xf numFmtId="0" fontId="136" fillId="0" borderId="0" xfId="0" applyFont="1" applyAlignment="1">
      <alignment horizontal="center"/>
    </xf>
    <xf numFmtId="0" fontId="137" fillId="0" borderId="0" xfId="0" applyFont="1" applyAlignment="1">
      <alignment horizontal="right"/>
    </xf>
    <xf numFmtId="0" fontId="138" fillId="0" borderId="0" xfId="0" applyFont="1" applyAlignment="1">
      <alignment horizontal="right"/>
    </xf>
    <xf numFmtId="0" fontId="138" fillId="0" borderId="0" xfId="0" applyFont="1" applyAlignment="1">
      <alignment horizontal="center"/>
    </xf>
    <xf numFmtId="0" fontId="141" fillId="0" borderId="0" xfId="0" applyFont="1"/>
    <xf numFmtId="3" fontId="10" fillId="0" borderId="0" xfId="2" applyNumberFormat="1" applyFont="1" applyFill="1" applyBorder="1" applyAlignment="1"/>
    <xf numFmtId="0" fontId="87" fillId="0" borderId="0" xfId="0" applyFont="1" applyAlignment="1">
      <alignment horizontal="center"/>
    </xf>
    <xf numFmtId="2" fontId="87" fillId="0" borderId="25" xfId="0" applyNumberFormat="1" applyFont="1" applyBorder="1"/>
    <xf numFmtId="1" fontId="135" fillId="0" borderId="0" xfId="2" applyNumberFormat="1" applyFont="1" applyFill="1" applyBorder="1"/>
    <xf numFmtId="0" fontId="142" fillId="0" borderId="0" xfId="0" applyFont="1" applyAlignment="1">
      <alignment horizontal="left"/>
    </xf>
    <xf numFmtId="0" fontId="142" fillId="0" borderId="0" xfId="0" applyFont="1"/>
    <xf numFmtId="0" fontId="143" fillId="0" borderId="0" xfId="0" applyFont="1"/>
    <xf numFmtId="1" fontId="142" fillId="0" borderId="0" xfId="0" applyNumberFormat="1" applyFont="1" applyAlignment="1">
      <alignment horizontal="left"/>
    </xf>
    <xf numFmtId="0" fontId="144" fillId="0" borderId="0" xfId="0" applyFont="1" applyAlignment="1">
      <alignment horizontal="left"/>
    </xf>
    <xf numFmtId="0" fontId="145" fillId="0" borderId="0" xfId="0" applyFont="1" applyAlignment="1">
      <alignment horizontal="left"/>
    </xf>
    <xf numFmtId="0" fontId="144" fillId="0" borderId="0" xfId="0" applyFont="1"/>
    <xf numFmtId="0" fontId="146" fillId="0" borderId="0" xfId="0" applyFont="1"/>
    <xf numFmtId="0" fontId="147" fillId="0" borderId="0" xfId="0" applyFont="1"/>
    <xf numFmtId="0" fontId="141" fillId="20" borderId="0" xfId="0" applyFont="1" applyFill="1"/>
    <xf numFmtId="2" fontId="95" fillId="0" borderId="0" xfId="0" applyNumberFormat="1" applyFont="1" applyAlignment="1">
      <alignment horizontal="right"/>
    </xf>
    <xf numFmtId="0" fontId="141" fillId="0" borderId="0" xfId="0" applyFont="1" applyAlignment="1">
      <alignment horizontal="right"/>
    </xf>
    <xf numFmtId="0" fontId="141" fillId="0" borderId="0" xfId="0" applyFont="1" applyAlignment="1">
      <alignment horizontal="left"/>
    </xf>
    <xf numFmtId="3" fontId="135" fillId="0" borderId="0" xfId="0" applyNumberFormat="1" applyFont="1"/>
    <xf numFmtId="0" fontId="7" fillId="0" borderId="55" xfId="0" applyFont="1" applyBorder="1" applyAlignment="1">
      <alignment vertical="center" wrapText="1"/>
    </xf>
    <xf numFmtId="0" fontId="7" fillId="0" borderId="66" xfId="0" applyFont="1" applyBorder="1" applyAlignment="1">
      <alignment vertical="center" wrapText="1"/>
    </xf>
    <xf numFmtId="0" fontId="7" fillId="0" borderId="60" xfId="0" applyFont="1" applyBorder="1" applyAlignment="1">
      <alignment vertical="top" wrapText="1"/>
    </xf>
    <xf numFmtId="3" fontId="6" fillId="0" borderId="0" xfId="0" applyNumberFormat="1" applyFont="1" applyAlignment="1">
      <alignment horizontal="left" indent="1"/>
    </xf>
    <xf numFmtId="0" fontId="86" fillId="0" borderId="0" xfId="0" applyFont="1" applyAlignment="1">
      <alignment horizontal="right"/>
    </xf>
    <xf numFmtId="0" fontId="56" fillId="4" borderId="0" xfId="0" applyFont="1" applyFill="1"/>
    <xf numFmtId="0" fontId="59" fillId="0" borderId="13" xfId="0" applyFont="1" applyBorder="1" applyAlignment="1">
      <alignment horizontal="left"/>
    </xf>
    <xf numFmtId="0" fontId="150" fillId="0" borderId="0" xfId="0" applyFont="1" applyAlignment="1">
      <alignment horizontal="right"/>
    </xf>
    <xf numFmtId="0" fontId="6" fillId="0" borderId="0" xfId="0" applyFont="1" applyAlignment="1" applyProtection="1">
      <alignment vertical="top" wrapText="1"/>
      <protection locked="0"/>
    </xf>
    <xf numFmtId="0" fontId="7" fillId="0" borderId="65" xfId="0" applyFont="1" applyBorder="1" applyAlignment="1">
      <alignment wrapText="1"/>
    </xf>
    <xf numFmtId="0" fontId="3" fillId="11" borderId="41" xfId="0" applyFont="1" applyFill="1" applyBorder="1"/>
    <xf numFmtId="0" fontId="0" fillId="25" borderId="0" xfId="0" applyFill="1"/>
    <xf numFmtId="0" fontId="116" fillId="3" borderId="0" xfId="0" applyFont="1" applyFill="1"/>
    <xf numFmtId="3" fontId="0" fillId="0" borderId="0" xfId="0" applyNumberFormat="1"/>
    <xf numFmtId="49" fontId="6" fillId="0" borderId="24" xfId="0" applyNumberFormat="1" applyFont="1" applyBorder="1"/>
    <xf numFmtId="0" fontId="6" fillId="15" borderId="23" xfId="0" applyFont="1" applyFill="1" applyBorder="1"/>
    <xf numFmtId="0" fontId="6" fillId="15" borderId="68" xfId="0" applyFont="1" applyFill="1" applyBorder="1"/>
    <xf numFmtId="0" fontId="6" fillId="15" borderId="69" xfId="0" applyFont="1" applyFill="1" applyBorder="1"/>
    <xf numFmtId="0" fontId="6" fillId="15" borderId="70" xfId="0" applyFont="1" applyFill="1" applyBorder="1"/>
    <xf numFmtId="0" fontId="6" fillId="15" borderId="22" xfId="0" applyFont="1" applyFill="1" applyBorder="1"/>
    <xf numFmtId="0" fontId="6" fillId="15" borderId="71" xfId="0" applyFont="1" applyFill="1" applyBorder="1"/>
    <xf numFmtId="3" fontId="135" fillId="0" borderId="0" xfId="0" applyNumberFormat="1" applyFont="1" applyAlignment="1">
      <alignment horizontal="right"/>
    </xf>
    <xf numFmtId="0" fontId="151" fillId="0" borderId="26" xfId="0" applyFont="1" applyBorder="1" applyAlignment="1">
      <alignment horizontal="right"/>
    </xf>
    <xf numFmtId="0" fontId="6" fillId="3" borderId="16" xfId="0" applyFont="1" applyFill="1" applyBorder="1" applyAlignment="1">
      <alignment horizontal="center"/>
    </xf>
    <xf numFmtId="0" fontId="6" fillId="0" borderId="20" xfId="0" applyFont="1" applyBorder="1" applyAlignment="1">
      <alignment horizontal="right"/>
    </xf>
    <xf numFmtId="0" fontId="6" fillId="0" borderId="20" xfId="0" applyFont="1" applyBorder="1"/>
    <xf numFmtId="0" fontId="153" fillId="0" borderId="0" xfId="0" applyFont="1"/>
    <xf numFmtId="0" fontId="154" fillId="0" borderId="0" xfId="0" applyFont="1"/>
    <xf numFmtId="0" fontId="154" fillId="0" borderId="24" xfId="0" applyFont="1" applyBorder="1"/>
    <xf numFmtId="0" fontId="155" fillId="0" borderId="26" xfId="0" applyFont="1" applyBorder="1"/>
    <xf numFmtId="0" fontId="154" fillId="0" borderId="24" xfId="0" applyFont="1" applyBorder="1" applyAlignment="1">
      <alignment horizontal="left" indent="2"/>
    </xf>
    <xf numFmtId="0" fontId="154" fillId="0" borderId="24" xfId="0" applyFont="1" applyBorder="1" applyAlignment="1">
      <alignment horizontal="left"/>
    </xf>
    <xf numFmtId="0" fontId="155" fillId="0" borderId="24" xfId="0" applyFont="1" applyBorder="1" applyAlignment="1">
      <alignment horizontal="left" vertical="center" indent="5"/>
    </xf>
    <xf numFmtId="0" fontId="154" fillId="0" borderId="0" xfId="0" applyFont="1" applyAlignment="1">
      <alignment horizontal="right"/>
    </xf>
    <xf numFmtId="0" fontId="3" fillId="0" borderId="29" xfId="0" applyFont="1" applyBorder="1"/>
    <xf numFmtId="0" fontId="159" fillId="0" borderId="0" xfId="0" applyFont="1" applyAlignment="1">
      <alignment horizontal="right"/>
    </xf>
    <xf numFmtId="0" fontId="98" fillId="0" borderId="0" xfId="0" applyFont="1" applyAlignment="1">
      <alignment horizontal="left"/>
    </xf>
    <xf numFmtId="0" fontId="83" fillId="0" borderId="0" xfId="0" applyFont="1" applyAlignment="1">
      <alignment vertical="center"/>
    </xf>
    <xf numFmtId="0" fontId="155" fillId="0" borderId="0" xfId="0" applyFont="1"/>
    <xf numFmtId="0" fontId="160" fillId="0" borderId="26" xfId="0" applyFont="1" applyBorder="1"/>
    <xf numFmtId="0" fontId="82" fillId="0" borderId="0" xfId="0" applyFont="1" applyAlignment="1">
      <alignment vertical="center"/>
    </xf>
    <xf numFmtId="0" fontId="6" fillId="8" borderId="38" xfId="0" applyFont="1" applyFill="1" applyBorder="1" applyAlignment="1">
      <alignment horizontal="center"/>
    </xf>
    <xf numFmtId="0" fontId="6" fillId="0" borderId="13" xfId="0" applyFont="1" applyBorder="1" applyAlignment="1" applyProtection="1">
      <alignment horizontal="right"/>
      <protection locked="0"/>
    </xf>
    <xf numFmtId="0" fontId="10" fillId="3" borderId="3" xfId="0" applyFont="1" applyFill="1" applyBorder="1" applyAlignment="1">
      <alignment horizontal="left"/>
    </xf>
    <xf numFmtId="0" fontId="6" fillId="0" borderId="18" xfId="0" applyFont="1" applyBorder="1" applyProtection="1">
      <protection locked="0"/>
    </xf>
    <xf numFmtId="0" fontId="6" fillId="0" borderId="16" xfId="0" applyFont="1" applyBorder="1" applyProtection="1">
      <protection locked="0"/>
    </xf>
    <xf numFmtId="0" fontId="6" fillId="0" borderId="17" xfId="0" applyFont="1" applyBorder="1" applyProtection="1">
      <protection locked="0"/>
    </xf>
    <xf numFmtId="0" fontId="6" fillId="0" borderId="33" xfId="0" applyFont="1" applyBorder="1" applyProtection="1">
      <protection locked="0"/>
    </xf>
    <xf numFmtId="0" fontId="7" fillId="0" borderId="12" xfId="0" applyFont="1" applyBorder="1" applyAlignment="1">
      <alignment horizontal="center"/>
    </xf>
    <xf numFmtId="0" fontId="7" fillId="0" borderId="7" xfId="0" applyFont="1" applyBorder="1"/>
    <xf numFmtId="0" fontId="74" fillId="0" borderId="0" xfId="0" applyFont="1" applyAlignment="1">
      <alignment horizontal="left" indent="1"/>
    </xf>
    <xf numFmtId="0" fontId="74" fillId="0" borderId="0" xfId="0" applyFont="1" applyAlignment="1">
      <alignment horizontal="left"/>
    </xf>
    <xf numFmtId="171" fontId="73" fillId="0" borderId="0" xfId="1" applyNumberFormat="1" applyFont="1" applyFill="1" applyBorder="1" applyAlignment="1"/>
    <xf numFmtId="3" fontId="6" fillId="0" borderId="0" xfId="2" applyNumberFormat="1" applyFont="1" applyFill="1" applyBorder="1" applyAlignment="1">
      <alignment horizontal="right"/>
    </xf>
    <xf numFmtId="1" fontId="98" fillId="0" borderId="0" xfId="0" applyNumberFormat="1" applyFont="1"/>
    <xf numFmtId="1" fontId="73" fillId="0" borderId="0" xfId="0" applyNumberFormat="1" applyFont="1" applyAlignment="1">
      <alignment horizontal="left"/>
    </xf>
    <xf numFmtId="0" fontId="73" fillId="0" borderId="0" xfId="0" quotePrefix="1" applyFont="1"/>
    <xf numFmtId="0" fontId="74" fillId="0" borderId="0" xfId="0" applyFont="1" applyAlignment="1">
      <alignment vertical="center"/>
    </xf>
    <xf numFmtId="0" fontId="159" fillId="0" borderId="0" xfId="0" applyFont="1"/>
    <xf numFmtId="1" fontId="112" fillId="0" borderId="0" xfId="0" applyNumberFormat="1" applyFont="1"/>
    <xf numFmtId="1" fontId="112" fillId="0" borderId="0" xfId="0" applyNumberFormat="1" applyFont="1" applyAlignment="1">
      <alignment horizontal="center"/>
    </xf>
    <xf numFmtId="0" fontId="84" fillId="0" borderId="0" xfId="0" applyFont="1" applyAlignment="1">
      <alignment horizontal="left"/>
    </xf>
    <xf numFmtId="186" fontId="6" fillId="0" borderId="0" xfId="0" applyNumberFormat="1" applyFont="1"/>
    <xf numFmtId="176" fontId="6" fillId="0" borderId="0" xfId="1" applyNumberFormat="1" applyFont="1" applyFill="1" applyBorder="1" applyAlignment="1">
      <alignment horizontal="right"/>
    </xf>
    <xf numFmtId="1" fontId="164" fillId="0" borderId="0" xfId="0" applyNumberFormat="1" applyFont="1" applyAlignment="1">
      <alignment horizontal="left"/>
    </xf>
    <xf numFmtId="167" fontId="135" fillId="0" borderId="0" xfId="2" applyFont="1" applyFill="1" applyBorder="1" applyAlignment="1">
      <alignment horizontal="right"/>
    </xf>
    <xf numFmtId="0" fontId="6" fillId="23" borderId="0" xfId="0" applyFont="1" applyFill="1" applyAlignment="1">
      <alignment horizontal="right"/>
    </xf>
    <xf numFmtId="2" fontId="6" fillId="0" borderId="0" xfId="2" applyNumberFormat="1" applyFont="1" applyFill="1" applyBorder="1" applyAlignment="1">
      <alignment horizontal="right"/>
    </xf>
    <xf numFmtId="181" fontId="0" fillId="20" borderId="0" xfId="0" applyNumberFormat="1" applyFill="1"/>
    <xf numFmtId="0" fontId="9" fillId="0" borderId="0" xfId="7" applyFont="1" applyAlignment="1">
      <alignment horizontal="left" vertical="top"/>
    </xf>
    <xf numFmtId="0" fontId="9" fillId="0" borderId="1" xfId="7" applyFont="1" applyBorder="1" applyAlignment="1">
      <alignment vertical="top" wrapText="1"/>
    </xf>
    <xf numFmtId="0" fontId="9" fillId="0" borderId="1" xfId="7" applyFont="1" applyBorder="1" applyAlignment="1">
      <alignment wrapText="1"/>
    </xf>
    <xf numFmtId="14" fontId="9" fillId="0" borderId="0" xfId="7" applyNumberFormat="1" applyFont="1" applyAlignment="1">
      <alignment horizontal="left" vertical="top" wrapText="1"/>
    </xf>
    <xf numFmtId="0" fontId="9" fillId="0" borderId="0" xfId="7" applyFont="1" applyAlignment="1">
      <alignment vertical="top" wrapText="1"/>
    </xf>
    <xf numFmtId="0" fontId="9" fillId="0" borderId="0" xfId="7" applyFont="1" applyAlignment="1">
      <alignment horizontal="left" vertical="top" wrapText="1"/>
    </xf>
    <xf numFmtId="0" fontId="131" fillId="0" borderId="0" xfId="7" applyFont="1" applyAlignment="1">
      <alignment wrapText="1"/>
    </xf>
    <xf numFmtId="0" fontId="131" fillId="0" borderId="0" xfId="7" applyFont="1"/>
    <xf numFmtId="0" fontId="131" fillId="20" borderId="0" xfId="7" applyFont="1" applyFill="1"/>
    <xf numFmtId="0" fontId="131" fillId="0" borderId="25" xfId="7" applyFont="1" applyBorder="1" applyAlignment="1">
      <alignment wrapText="1"/>
    </xf>
    <xf numFmtId="0" fontId="167" fillId="0" borderId="0" xfId="0" applyFont="1"/>
    <xf numFmtId="0" fontId="135" fillId="14" borderId="0" xfId="0" applyFont="1" applyFill="1"/>
    <xf numFmtId="0" fontId="168" fillId="0" borderId="0" xfId="0" applyFont="1" applyAlignment="1">
      <alignment wrapText="1"/>
    </xf>
    <xf numFmtId="166" fontId="10" fillId="0" borderId="0" xfId="0" applyNumberFormat="1" applyFont="1"/>
    <xf numFmtId="0" fontId="133" fillId="0" borderId="24" xfId="0" applyFont="1" applyBorder="1"/>
    <xf numFmtId="0" fontId="133" fillId="0" borderId="24" xfId="0" applyFont="1" applyBorder="1" applyAlignment="1">
      <alignment vertical="center"/>
    </xf>
    <xf numFmtId="0" fontId="80" fillId="0" borderId="25" xfId="0" applyFont="1" applyBorder="1" applyAlignment="1">
      <alignment horizontal="left" vertical="center" indent="1"/>
    </xf>
    <xf numFmtId="0" fontId="6" fillId="4" borderId="25" xfId="0" applyFont="1" applyFill="1" applyBorder="1" applyAlignment="1">
      <alignment horizontal="left" vertical="top"/>
    </xf>
    <xf numFmtId="0" fontId="6" fillId="0" borderId="26" xfId="0" quotePrefix="1" applyFont="1" applyBorder="1"/>
    <xf numFmtId="0" fontId="6" fillId="8" borderId="0" xfId="0" applyFont="1" applyFill="1"/>
    <xf numFmtId="0" fontId="7" fillId="0" borderId="40" xfId="0" applyFont="1" applyBorder="1"/>
    <xf numFmtId="0" fontId="7" fillId="0" borderId="42" xfId="0" applyFont="1" applyBorder="1"/>
    <xf numFmtId="0" fontId="14" fillId="0" borderId="42" xfId="0" applyFont="1" applyBorder="1"/>
    <xf numFmtId="0" fontId="7" fillId="0" borderId="64" xfId="0" applyFont="1" applyBorder="1"/>
    <xf numFmtId="0" fontId="6" fillId="0" borderId="36" xfId="0" applyFont="1" applyBorder="1"/>
    <xf numFmtId="0" fontId="6" fillId="23" borderId="0" xfId="0" applyFont="1" applyFill="1" applyAlignment="1">
      <alignment horizontal="center"/>
    </xf>
    <xf numFmtId="0" fontId="6" fillId="9" borderId="38" xfId="0" applyFont="1" applyFill="1" applyBorder="1"/>
    <xf numFmtId="0" fontId="6" fillId="14" borderId="0" xfId="0" applyFont="1" applyFill="1"/>
    <xf numFmtId="0" fontId="6" fillId="10" borderId="16" xfId="0" applyFont="1" applyFill="1" applyBorder="1" applyAlignment="1">
      <alignment horizontal="left"/>
    </xf>
    <xf numFmtId="0" fontId="6" fillId="10" borderId="16" xfId="0" applyFont="1" applyFill="1" applyBorder="1"/>
    <xf numFmtId="0" fontId="6" fillId="10" borderId="33" xfId="0" applyFont="1" applyFill="1" applyBorder="1"/>
    <xf numFmtId="0" fontId="6" fillId="0" borderId="16" xfId="0" applyFont="1" applyBorder="1"/>
    <xf numFmtId="0" fontId="6" fillId="0" borderId="55" xfId="0" applyFont="1" applyBorder="1"/>
    <xf numFmtId="180" fontId="6" fillId="14" borderId="0" xfId="0" applyNumberFormat="1" applyFont="1" applyFill="1"/>
    <xf numFmtId="14" fontId="6" fillId="14" borderId="0" xfId="0" quotePrefix="1" applyNumberFormat="1" applyFont="1" applyFill="1" applyAlignment="1">
      <alignment horizontal="center"/>
    </xf>
    <xf numFmtId="170" fontId="6" fillId="14" borderId="0" xfId="1" applyNumberFormat="1" applyFont="1" applyFill="1" applyBorder="1" applyAlignment="1" applyProtection="1">
      <alignment horizontal="center"/>
      <protection locked="0"/>
    </xf>
    <xf numFmtId="1" fontId="6" fillId="14" borderId="0" xfId="1" applyNumberFormat="1" applyFont="1" applyFill="1" applyBorder="1" applyAlignment="1" applyProtection="1">
      <alignment horizontal="center"/>
      <protection locked="0"/>
    </xf>
    <xf numFmtId="2" fontId="3" fillId="0" borderId="0" xfId="0" applyNumberFormat="1" applyFont="1" applyAlignment="1">
      <alignment horizontal="left"/>
    </xf>
    <xf numFmtId="176" fontId="3" fillId="0" borderId="0" xfId="0" applyNumberFormat="1" applyFont="1" applyAlignment="1">
      <alignment horizontal="right"/>
    </xf>
    <xf numFmtId="0" fontId="3" fillId="0" borderId="0" xfId="0" applyFont="1" applyAlignment="1">
      <alignment horizontal="center"/>
    </xf>
    <xf numFmtId="177" fontId="3" fillId="0" borderId="0" xfId="0" applyNumberFormat="1" applyFont="1" applyAlignment="1">
      <alignment horizontal="right"/>
    </xf>
    <xf numFmtId="176" fontId="3" fillId="0" borderId="0" xfId="0" applyNumberFormat="1" applyFont="1"/>
    <xf numFmtId="177" fontId="3" fillId="0" borderId="0" xfId="0" applyNumberFormat="1" applyFont="1"/>
    <xf numFmtId="14" fontId="6" fillId="4" borderId="0" xfId="0" applyNumberFormat="1" applyFont="1" applyFill="1"/>
    <xf numFmtId="1" fontId="4" fillId="3" borderId="0" xfId="0" applyNumberFormat="1" applyFont="1" applyFill="1"/>
    <xf numFmtId="168" fontId="6" fillId="3" borderId="0" xfId="1" applyFont="1" applyFill="1" applyBorder="1"/>
    <xf numFmtId="0" fontId="10" fillId="3" borderId="0" xfId="0" applyFont="1" applyFill="1" applyAlignment="1">
      <alignment horizontal="left"/>
    </xf>
    <xf numFmtId="0" fontId="31" fillId="3" borderId="0" xfId="0" applyFont="1" applyFill="1" applyAlignment="1">
      <alignment horizontal="center"/>
    </xf>
    <xf numFmtId="0" fontId="31" fillId="3" borderId="0" xfId="0" applyFont="1" applyFill="1" applyAlignment="1">
      <alignment horizontal="right"/>
    </xf>
    <xf numFmtId="0" fontId="31" fillId="3" borderId="0" xfId="0" applyFont="1" applyFill="1"/>
    <xf numFmtId="0" fontId="4" fillId="3" borderId="0" xfId="0" applyFont="1" applyFill="1"/>
    <xf numFmtId="0" fontId="48" fillId="3" borderId="0" xfId="0" applyFont="1" applyFill="1" applyAlignment="1">
      <alignment horizontal="left"/>
    </xf>
    <xf numFmtId="0" fontId="10" fillId="3" borderId="0" xfId="0" applyFont="1" applyFill="1" applyAlignment="1">
      <alignment horizontal="right"/>
    </xf>
    <xf numFmtId="0" fontId="10" fillId="3" borderId="0" xfId="0" applyFont="1" applyFill="1" applyAlignment="1">
      <alignment horizontal="center"/>
    </xf>
    <xf numFmtId="0" fontId="10" fillId="11" borderId="0" xfId="0" applyFont="1" applyFill="1" applyAlignment="1">
      <alignment horizontal="right"/>
    </xf>
    <xf numFmtId="0" fontId="10" fillId="11" borderId="0" xfId="0" applyFont="1" applyFill="1" applyAlignment="1">
      <alignment horizontal="center"/>
    </xf>
    <xf numFmtId="169" fontId="6" fillId="3" borderId="0" xfId="0" applyNumberFormat="1" applyFont="1" applyFill="1" applyAlignment="1">
      <alignment horizontal="right"/>
    </xf>
    <xf numFmtId="1" fontId="6" fillId="3" borderId="0" xfId="0" applyNumberFormat="1" applyFont="1" applyFill="1"/>
    <xf numFmtId="169" fontId="6" fillId="3" borderId="0" xfId="0" applyNumberFormat="1" applyFont="1" applyFill="1" applyAlignment="1">
      <alignment horizontal="left"/>
    </xf>
    <xf numFmtId="3" fontId="6" fillId="0" borderId="0" xfId="2" applyNumberFormat="1" applyFont="1" applyFill="1" applyBorder="1" applyAlignment="1" applyProtection="1">
      <alignment horizontal="right"/>
    </xf>
    <xf numFmtId="0" fontId="45" fillId="6" borderId="24" xfId="0" applyFont="1" applyFill="1" applyBorder="1"/>
    <xf numFmtId="0" fontId="35" fillId="6" borderId="24" xfId="0" applyFont="1" applyFill="1" applyBorder="1"/>
    <xf numFmtId="0" fontId="0" fillId="6" borderId="24" xfId="0" applyFill="1" applyBorder="1"/>
    <xf numFmtId="0" fontId="9" fillId="6" borderId="24" xfId="0" applyFont="1" applyFill="1" applyBorder="1" applyAlignment="1">
      <alignment horizontal="center"/>
    </xf>
    <xf numFmtId="0" fontId="6" fillId="6" borderId="24" xfId="0" applyFont="1" applyFill="1" applyBorder="1"/>
    <xf numFmtId="0" fontId="6" fillId="32" borderId="0" xfId="0" applyFont="1" applyFill="1" applyAlignment="1">
      <alignment horizontal="center"/>
    </xf>
    <xf numFmtId="0" fontId="6" fillId="32" borderId="0" xfId="0" applyFont="1" applyFill="1"/>
    <xf numFmtId="2" fontId="6" fillId="3" borderId="0" xfId="0" applyNumberFormat="1" applyFont="1" applyFill="1"/>
    <xf numFmtId="1" fontId="6" fillId="0" borderId="25" xfId="0" quotePrefix="1" applyNumberFormat="1" applyFont="1" applyBorder="1"/>
    <xf numFmtId="164" fontId="135" fillId="0" borderId="25" xfId="0" applyNumberFormat="1" applyFont="1" applyBorder="1"/>
    <xf numFmtId="3" fontId="6" fillId="0" borderId="0" xfId="1" applyNumberFormat="1" applyFont="1" applyFill="1" applyBorder="1"/>
    <xf numFmtId="0" fontId="6" fillId="29" borderId="0" xfId="0" applyFont="1" applyFill="1" applyAlignment="1">
      <alignment horizontal="right"/>
    </xf>
    <xf numFmtId="0" fontId="6" fillId="4" borderId="76" xfId="0" applyFont="1" applyFill="1" applyBorder="1"/>
    <xf numFmtId="0" fontId="6" fillId="4" borderId="76" xfId="0" applyFont="1" applyFill="1" applyBorder="1" applyAlignment="1">
      <alignment horizontal="center"/>
    </xf>
    <xf numFmtId="0" fontId="48" fillId="4" borderId="76" xfId="0" applyFont="1" applyFill="1" applyBorder="1"/>
    <xf numFmtId="0" fontId="6" fillId="4" borderId="76" xfId="0" applyFont="1" applyFill="1" applyBorder="1" applyAlignment="1">
      <alignment horizontal="right"/>
    </xf>
    <xf numFmtId="0" fontId="33" fillId="4" borderId="76" xfId="0" applyFont="1" applyFill="1" applyBorder="1" applyAlignment="1">
      <alignment horizontal="right"/>
    </xf>
    <xf numFmtId="0" fontId="21" fillId="0" borderId="77" xfId="0" applyFont="1" applyBorder="1"/>
    <xf numFmtId="0" fontId="7" fillId="0" borderId="77" xfId="0" applyFont="1" applyBorder="1" applyAlignment="1">
      <alignment horizontal="center"/>
    </xf>
    <xf numFmtId="0" fontId="15" fillId="0" borderId="77" xfId="0" applyFont="1" applyBorder="1"/>
    <xf numFmtId="3" fontId="7" fillId="0" borderId="77" xfId="0" applyNumberFormat="1" applyFont="1" applyBorder="1" applyAlignment="1">
      <alignment horizontal="center"/>
    </xf>
    <xf numFmtId="0" fontId="52" fillId="0" borderId="77" xfId="0" applyFont="1" applyBorder="1" applyAlignment="1">
      <alignment horizontal="center"/>
    </xf>
    <xf numFmtId="2" fontId="7" fillId="0" borderId="77" xfId="0" applyNumberFormat="1" applyFont="1" applyBorder="1" applyAlignment="1">
      <alignment horizontal="center"/>
    </xf>
    <xf numFmtId="1" fontId="7" fillId="0" borderId="77" xfId="0" applyNumberFormat="1" applyFont="1" applyBorder="1" applyAlignment="1">
      <alignment horizontal="center"/>
    </xf>
    <xf numFmtId="0" fontId="21" fillId="0" borderId="77" xfId="0" applyFont="1" applyBorder="1" applyAlignment="1">
      <alignment horizontal="right"/>
    </xf>
    <xf numFmtId="0" fontId="7" fillId="0" borderId="78" xfId="0" applyFont="1" applyBorder="1" applyAlignment="1">
      <alignment horizontal="center"/>
    </xf>
    <xf numFmtId="0" fontId="7" fillId="0" borderId="77" xfId="0" applyFont="1" applyBorder="1"/>
    <xf numFmtId="0" fontId="21" fillId="0" borderId="78" xfId="0" applyFont="1" applyBorder="1"/>
    <xf numFmtId="0" fontId="15" fillId="0" borderId="78" xfId="0" applyFont="1" applyBorder="1"/>
    <xf numFmtId="0" fontId="6" fillId="3" borderId="76" xfId="0" applyFont="1" applyFill="1" applyBorder="1"/>
    <xf numFmtId="1" fontId="4" fillId="3" borderId="76" xfId="0" applyNumberFormat="1" applyFont="1" applyFill="1" applyBorder="1"/>
    <xf numFmtId="1" fontId="6" fillId="3" borderId="76" xfId="0" applyNumberFormat="1" applyFont="1" applyFill="1" applyBorder="1" applyAlignment="1">
      <alignment horizontal="left"/>
    </xf>
    <xf numFmtId="0" fontId="31" fillId="3" borderId="76" xfId="0" applyFont="1" applyFill="1" applyBorder="1" applyAlignment="1">
      <alignment horizontal="right"/>
    </xf>
    <xf numFmtId="0" fontId="6" fillId="3" borderId="76" xfId="0" applyFont="1" applyFill="1" applyBorder="1" applyAlignment="1">
      <alignment horizontal="right"/>
    </xf>
    <xf numFmtId="0" fontId="31" fillId="3" borderId="76" xfId="0" applyFont="1" applyFill="1" applyBorder="1"/>
    <xf numFmtId="0" fontId="6" fillId="15" borderId="76" xfId="0" applyFont="1" applyFill="1" applyBorder="1"/>
    <xf numFmtId="0" fontId="10" fillId="3" borderId="76" xfId="0" applyFont="1" applyFill="1" applyBorder="1"/>
    <xf numFmtId="0" fontId="0" fillId="3" borderId="78" xfId="0" applyFill="1" applyBorder="1"/>
    <xf numFmtId="0" fontId="0" fillId="0" borderId="78" xfId="0" applyBorder="1"/>
    <xf numFmtId="0" fontId="6" fillId="3" borderId="78" xfId="0" applyFont="1" applyFill="1" applyBorder="1"/>
    <xf numFmtId="1" fontId="10" fillId="3" borderId="76" xfId="0" applyNumberFormat="1" applyFont="1" applyFill="1" applyBorder="1"/>
    <xf numFmtId="0" fontId="10" fillId="3" borderId="76" xfId="0" applyFont="1" applyFill="1" applyBorder="1" applyAlignment="1">
      <alignment horizontal="center"/>
    </xf>
    <xf numFmtId="169" fontId="6" fillId="3" borderId="76" xfId="0" applyNumberFormat="1" applyFont="1" applyFill="1" applyBorder="1" applyAlignment="1">
      <alignment horizontal="center"/>
    </xf>
    <xf numFmtId="1" fontId="6" fillId="3" borderId="76" xfId="0" applyNumberFormat="1" applyFont="1" applyFill="1" applyBorder="1" applyAlignment="1">
      <alignment horizontal="center"/>
    </xf>
    <xf numFmtId="0" fontId="6" fillId="3" borderId="76" xfId="0" applyFont="1" applyFill="1" applyBorder="1" applyAlignment="1">
      <alignment horizontal="center"/>
    </xf>
    <xf numFmtId="0" fontId="6" fillId="6" borderId="76" xfId="0" applyFont="1" applyFill="1" applyBorder="1" applyAlignment="1">
      <alignment horizontal="center"/>
    </xf>
    <xf numFmtId="0" fontId="10" fillId="6" borderId="76" xfId="0" applyFont="1" applyFill="1" applyBorder="1" applyAlignment="1">
      <alignment horizontal="center"/>
    </xf>
    <xf numFmtId="0" fontId="10" fillId="6" borderId="76" xfId="0" applyFont="1" applyFill="1" applyBorder="1" applyAlignment="1">
      <alignment horizontal="left"/>
    </xf>
    <xf numFmtId="0" fontId="6" fillId="6" borderId="76" xfId="0" applyFont="1" applyFill="1" applyBorder="1" applyAlignment="1">
      <alignment horizontal="left"/>
    </xf>
    <xf numFmtId="0" fontId="40" fillId="3" borderId="76" xfId="0" applyFont="1" applyFill="1" applyBorder="1"/>
    <xf numFmtId="0" fontId="73" fillId="15" borderId="76" xfId="0" applyFont="1" applyFill="1" applyBorder="1" applyAlignment="1">
      <alignment horizontal="center"/>
    </xf>
    <xf numFmtId="0" fontId="40" fillId="15" borderId="76" xfId="0" applyFont="1" applyFill="1" applyBorder="1"/>
    <xf numFmtId="0" fontId="6" fillId="15" borderId="76" xfId="0" applyFont="1" applyFill="1" applyBorder="1" applyAlignment="1">
      <alignment horizontal="center"/>
    </xf>
    <xf numFmtId="0" fontId="92" fillId="6" borderId="76" xfId="0" applyFont="1" applyFill="1" applyBorder="1" applyAlignment="1">
      <alignment horizontal="left"/>
    </xf>
    <xf numFmtId="0" fontId="117" fillId="6" borderId="76" xfId="0" applyFont="1" applyFill="1" applyBorder="1" applyAlignment="1">
      <alignment horizontal="left"/>
    </xf>
    <xf numFmtId="0" fontId="9" fillId="6" borderId="76" xfId="0" applyFont="1" applyFill="1" applyBorder="1" applyAlignment="1">
      <alignment horizontal="left"/>
    </xf>
    <xf numFmtId="0" fontId="41" fillId="6" borderId="76" xfId="0" applyFont="1" applyFill="1" applyBorder="1" applyAlignment="1">
      <alignment horizontal="left"/>
    </xf>
    <xf numFmtId="0" fontId="42" fillId="6" borderId="76" xfId="0" applyFont="1" applyFill="1" applyBorder="1" applyAlignment="1">
      <alignment horizontal="left"/>
    </xf>
    <xf numFmtId="0" fontId="40" fillId="6" borderId="76" xfId="0" applyFont="1" applyFill="1" applyBorder="1" applyAlignment="1">
      <alignment horizontal="left"/>
    </xf>
    <xf numFmtId="0" fontId="40" fillId="32" borderId="76" xfId="0" applyFont="1" applyFill="1" applyBorder="1" applyAlignment="1">
      <alignment horizontal="left"/>
    </xf>
    <xf numFmtId="0" fontId="115" fillId="3" borderId="76" xfId="0" applyFont="1" applyFill="1" applyBorder="1"/>
    <xf numFmtId="167" fontId="6" fillId="3" borderId="76" xfId="2" applyFont="1" applyFill="1" applyBorder="1" applyAlignment="1" applyProtection="1">
      <alignment horizontal="right"/>
    </xf>
    <xf numFmtId="0" fontId="6" fillId="3" borderId="76" xfId="0" applyFont="1" applyFill="1" applyBorder="1" applyAlignment="1">
      <alignment horizontal="left"/>
    </xf>
    <xf numFmtId="1" fontId="6" fillId="3" borderId="76" xfId="0" applyNumberFormat="1" applyFont="1" applyFill="1" applyBorder="1"/>
    <xf numFmtId="1" fontId="40" fillId="3" borderId="76" xfId="0" applyNumberFormat="1" applyFont="1" applyFill="1" applyBorder="1"/>
    <xf numFmtId="1" fontId="6" fillId="3" borderId="3" xfId="0" applyNumberFormat="1" applyFont="1" applyFill="1" applyBorder="1"/>
    <xf numFmtId="0" fontId="3" fillId="0" borderId="78" xfId="0" applyFont="1" applyBorder="1"/>
    <xf numFmtId="0" fontId="6" fillId="0" borderId="77" xfId="0" applyFont="1" applyBorder="1"/>
    <xf numFmtId="0" fontId="59" fillId="0" borderId="79" xfId="0" applyFont="1" applyBorder="1" applyAlignment="1">
      <alignment horizontal="center"/>
    </xf>
    <xf numFmtId="49" fontId="46" fillId="0" borderId="79" xfId="0" applyNumberFormat="1" applyFont="1" applyBorder="1" applyAlignment="1">
      <alignment horizontal="center"/>
    </xf>
    <xf numFmtId="0" fontId="62" fillId="0" borderId="80" xfId="0" applyFont="1" applyBorder="1"/>
    <xf numFmtId="0" fontId="62" fillId="0" borderId="79" xfId="0" applyFont="1" applyBorder="1" applyAlignment="1">
      <alignment horizontal="left"/>
    </xf>
    <xf numFmtId="0" fontId="62" fillId="0" borderId="81" xfId="0" applyFont="1" applyBorder="1"/>
    <xf numFmtId="0" fontId="6" fillId="0" borderId="81" xfId="0" applyFont="1" applyBorder="1" applyAlignment="1">
      <alignment horizontal="center"/>
    </xf>
    <xf numFmtId="0" fontId="6" fillId="0" borderId="82" xfId="0" applyFont="1" applyBorder="1" applyAlignment="1">
      <alignment horizontal="center"/>
    </xf>
    <xf numFmtId="168" fontId="6" fillId="0" borderId="81" xfId="1" applyFont="1" applyBorder="1" applyProtection="1">
      <protection locked="0"/>
    </xf>
    <xf numFmtId="168" fontId="6" fillId="0" borderId="81" xfId="1" applyFont="1" applyFill="1" applyBorder="1" applyProtection="1">
      <protection locked="0"/>
    </xf>
    <xf numFmtId="168" fontId="6" fillId="0" borderId="83" xfId="1" applyFont="1" applyFill="1" applyBorder="1" applyProtection="1">
      <protection locked="0"/>
    </xf>
    <xf numFmtId="168" fontId="6" fillId="0" borderId="83" xfId="1" applyFont="1" applyBorder="1" applyProtection="1">
      <protection locked="0"/>
    </xf>
    <xf numFmtId="0" fontId="81" fillId="0" borderId="80" xfId="0" applyFont="1" applyBorder="1"/>
    <xf numFmtId="0" fontId="6" fillId="0" borderId="81" xfId="0" applyFont="1" applyBorder="1" applyAlignment="1" applyProtection="1">
      <alignment horizontal="center" wrapText="1"/>
      <protection locked="0"/>
    </xf>
    <xf numFmtId="168" fontId="6" fillId="0" borderId="81" xfId="1" applyFont="1" applyBorder="1" applyAlignment="1" applyProtection="1">
      <alignment horizontal="center" wrapText="1"/>
      <protection locked="0"/>
    </xf>
    <xf numFmtId="168" fontId="6" fillId="0" borderId="83" xfId="1" applyFont="1" applyBorder="1" applyAlignment="1" applyProtection="1">
      <alignment horizontal="center" wrapText="1"/>
      <protection locked="0"/>
    </xf>
    <xf numFmtId="168" fontId="6" fillId="0" borderId="83" xfId="1" applyFont="1" applyFill="1" applyBorder="1" applyAlignment="1" applyProtection="1">
      <alignment horizontal="center" wrapText="1"/>
      <protection locked="0"/>
    </xf>
    <xf numFmtId="168" fontId="6" fillId="0" borderId="82" xfId="1" applyFont="1" applyBorder="1" applyAlignment="1" applyProtection="1">
      <alignment horizontal="center" wrapText="1"/>
      <protection locked="0"/>
    </xf>
    <xf numFmtId="0" fontId="6" fillId="0" borderId="82" xfId="0" applyFont="1" applyBorder="1"/>
    <xf numFmtId="0" fontId="6" fillId="0" borderId="81" xfId="0" applyFont="1" applyBorder="1" applyAlignment="1" applyProtection="1">
      <alignment horizontal="center"/>
      <protection locked="0"/>
    </xf>
    <xf numFmtId="0" fontId="6" fillId="0" borderId="83" xfId="0" applyFont="1" applyBorder="1" applyProtection="1">
      <protection locked="0"/>
    </xf>
    <xf numFmtId="0" fontId="6" fillId="0" borderId="81" xfId="0" applyFont="1" applyBorder="1" applyProtection="1">
      <protection locked="0"/>
    </xf>
    <xf numFmtId="0" fontId="6" fillId="0" borderId="81" xfId="0" applyFont="1" applyBorder="1"/>
    <xf numFmtId="0" fontId="6" fillId="0" borderId="83" xfId="0" applyFont="1" applyBorder="1"/>
    <xf numFmtId="14" fontId="6" fillId="0" borderId="81" xfId="0" applyNumberFormat="1" applyFont="1" applyBorder="1" applyProtection="1">
      <protection locked="0"/>
    </xf>
    <xf numFmtId="0" fontId="6" fillId="0" borderId="83" xfId="0" applyFont="1" applyBorder="1" applyAlignment="1" applyProtection="1">
      <alignment horizontal="center"/>
      <protection locked="0"/>
    </xf>
    <xf numFmtId="0" fontId="6" fillId="0" borderId="82" xfId="0" applyFont="1" applyBorder="1" applyAlignment="1" applyProtection="1">
      <alignment horizontal="center"/>
      <protection locked="0"/>
    </xf>
    <xf numFmtId="0" fontId="62" fillId="0" borderId="83" xfId="0" applyFont="1" applyBorder="1"/>
    <xf numFmtId="0" fontId="63" fillId="0" borderId="80" xfId="0" applyFont="1" applyBorder="1" applyAlignment="1">
      <alignment horizontal="center"/>
    </xf>
    <xf numFmtId="0" fontId="59" fillId="0" borderId="81" xfId="0" applyFont="1" applyBorder="1" applyAlignment="1">
      <alignment horizontal="left"/>
    </xf>
    <xf numFmtId="4" fontId="6" fillId="0" borderId="81" xfId="0" applyNumberFormat="1" applyFont="1" applyBorder="1" applyAlignment="1" applyProtection="1">
      <alignment horizontal="right"/>
      <protection locked="0"/>
    </xf>
    <xf numFmtId="4" fontId="6" fillId="0" borderId="81" xfId="0" applyNumberFormat="1" applyFont="1" applyBorder="1" applyAlignment="1" applyProtection="1">
      <alignment horizontal="center"/>
      <protection locked="0"/>
    </xf>
    <xf numFmtId="4" fontId="6" fillId="0" borderId="83" xfId="0" applyNumberFormat="1" applyFont="1" applyBorder="1" applyAlignment="1" applyProtection="1">
      <alignment horizontal="right"/>
      <protection locked="0"/>
    </xf>
    <xf numFmtId="4" fontId="6" fillId="12" borderId="82" xfId="0" applyNumberFormat="1" applyFont="1" applyFill="1" applyBorder="1" applyAlignment="1" applyProtection="1">
      <alignment horizontal="right"/>
      <protection locked="0"/>
    </xf>
    <xf numFmtId="1" fontId="6" fillId="28" borderId="81" xfId="0" applyNumberFormat="1" applyFont="1" applyFill="1" applyBorder="1" applyAlignment="1" applyProtection="1">
      <alignment horizontal="right"/>
      <protection locked="0"/>
    </xf>
    <xf numFmtId="1" fontId="6" fillId="28" borderId="83" xfId="0" applyNumberFormat="1" applyFont="1" applyFill="1" applyBorder="1" applyAlignment="1" applyProtection="1">
      <alignment horizontal="right"/>
      <protection locked="0"/>
    </xf>
    <xf numFmtId="1" fontId="6" fillId="28" borderId="82" xfId="0" applyNumberFormat="1" applyFont="1" applyFill="1" applyBorder="1" applyAlignment="1" applyProtection="1">
      <alignment horizontal="right"/>
      <protection locked="0"/>
    </xf>
    <xf numFmtId="1" fontId="6" fillId="0" borderId="81" xfId="0" applyNumberFormat="1" applyFont="1" applyBorder="1" applyAlignment="1" applyProtection="1">
      <alignment horizontal="right"/>
      <protection locked="0"/>
    </xf>
    <xf numFmtId="1" fontId="6" fillId="0" borderId="81" xfId="0" applyNumberFormat="1" applyFont="1" applyBorder="1" applyProtection="1">
      <protection locked="0"/>
    </xf>
    <xf numFmtId="1" fontId="6" fillId="12" borderId="81" xfId="0" applyNumberFormat="1" applyFont="1" applyFill="1" applyBorder="1" applyProtection="1">
      <protection locked="0"/>
    </xf>
    <xf numFmtId="1" fontId="6" fillId="12" borderId="83" xfId="0" applyNumberFormat="1" applyFont="1" applyFill="1" applyBorder="1" applyProtection="1">
      <protection locked="0"/>
    </xf>
    <xf numFmtId="1" fontId="6" fillId="12" borderId="82" xfId="0" applyNumberFormat="1" applyFont="1" applyFill="1" applyBorder="1" applyProtection="1">
      <protection locked="0"/>
    </xf>
    <xf numFmtId="1" fontId="6" fillId="12" borderId="81" xfId="0" applyNumberFormat="1" applyFont="1" applyFill="1" applyBorder="1" applyAlignment="1" applyProtection="1">
      <alignment horizontal="right"/>
      <protection locked="0"/>
    </xf>
    <xf numFmtId="1" fontId="6" fillId="12" borderId="83" xfId="0" applyNumberFormat="1" applyFont="1" applyFill="1" applyBorder="1" applyAlignment="1" applyProtection="1">
      <alignment horizontal="right"/>
      <protection locked="0"/>
    </xf>
    <xf numFmtId="1" fontId="6" fillId="12" borderId="82" xfId="0" applyNumberFormat="1" applyFont="1" applyFill="1" applyBorder="1" applyAlignment="1" applyProtection="1">
      <alignment horizontal="right"/>
      <protection locked="0"/>
    </xf>
    <xf numFmtId="180" fontId="6" fillId="8" borderId="81" xfId="0" applyNumberFormat="1" applyFont="1" applyFill="1" applyBorder="1"/>
    <xf numFmtId="0" fontId="6" fillId="0" borderId="82" xfId="0" applyFont="1" applyBorder="1" applyProtection="1">
      <protection locked="0"/>
    </xf>
    <xf numFmtId="180" fontId="6" fillId="21" borderId="80" xfId="0" applyNumberFormat="1" applyFont="1" applyFill="1" applyBorder="1" applyProtection="1">
      <protection locked="0"/>
    </xf>
    <xf numFmtId="180" fontId="6" fillId="21" borderId="81" xfId="0" applyNumberFormat="1" applyFont="1" applyFill="1" applyBorder="1" applyProtection="1">
      <protection locked="0"/>
    </xf>
    <xf numFmtId="2" fontId="6" fillId="21" borderId="81" xfId="0" applyNumberFormat="1" applyFont="1" applyFill="1" applyBorder="1" applyProtection="1">
      <protection locked="0"/>
    </xf>
    <xf numFmtId="2" fontId="6" fillId="21" borderId="83" xfId="0" applyNumberFormat="1" applyFont="1" applyFill="1" applyBorder="1" applyProtection="1">
      <protection locked="0"/>
    </xf>
    <xf numFmtId="2" fontId="6" fillId="21" borderId="82" xfId="0" applyNumberFormat="1" applyFont="1" applyFill="1" applyBorder="1" applyProtection="1">
      <protection locked="0"/>
    </xf>
    <xf numFmtId="0" fontId="6" fillId="0" borderId="81" xfId="0" applyFont="1" applyBorder="1" applyAlignment="1" applyProtection="1">
      <alignment horizontal="right"/>
      <protection locked="0"/>
    </xf>
    <xf numFmtId="0" fontId="7" fillId="22" borderId="86" xfId="0" applyFont="1" applyFill="1" applyBorder="1" applyAlignment="1">
      <alignment vertical="center" wrapText="1"/>
    </xf>
    <xf numFmtId="0" fontId="6" fillId="0" borderId="83" xfId="0" applyFont="1" applyBorder="1" applyAlignment="1">
      <alignment horizontal="center"/>
    </xf>
    <xf numFmtId="2" fontId="6" fillId="14" borderId="81" xfId="0" applyNumberFormat="1" applyFont="1" applyFill="1" applyBorder="1"/>
    <xf numFmtId="2" fontId="6" fillId="14" borderId="83" xfId="0" applyNumberFormat="1" applyFont="1" applyFill="1" applyBorder="1"/>
    <xf numFmtId="2" fontId="6" fillId="14" borderId="82" xfId="0" applyNumberFormat="1" applyFont="1" applyFill="1" applyBorder="1"/>
    <xf numFmtId="0" fontId="3" fillId="0" borderId="80" xfId="0" applyFont="1" applyBorder="1"/>
    <xf numFmtId="0" fontId="0" fillId="0" borderId="81" xfId="0" applyBorder="1"/>
    <xf numFmtId="0" fontId="0" fillId="0" borderId="81" xfId="0" applyBorder="1" applyAlignment="1">
      <alignment horizontal="left"/>
    </xf>
    <xf numFmtId="3" fontId="0" fillId="0" borderId="82" xfId="0" applyNumberFormat="1" applyBorder="1"/>
    <xf numFmtId="0" fontId="73" fillId="0" borderId="81" xfId="0" applyFont="1" applyBorder="1"/>
    <xf numFmtId="0" fontId="3" fillId="0" borderId="81" xfId="0" applyFont="1" applyBorder="1"/>
    <xf numFmtId="0" fontId="135" fillId="35" borderId="0" xfId="0" applyFont="1" applyFill="1" applyAlignment="1">
      <alignment horizontal="right"/>
    </xf>
    <xf numFmtId="0" fontId="135" fillId="35" borderId="0" xfId="0" applyFont="1" applyFill="1"/>
    <xf numFmtId="4" fontId="6" fillId="13" borderId="0" xfId="0" applyNumberFormat="1" applyFont="1" applyFill="1"/>
    <xf numFmtId="0" fontId="6" fillId="23" borderId="0" xfId="0" quotePrefix="1" applyFont="1" applyFill="1" applyAlignment="1">
      <alignment horizontal="center"/>
    </xf>
    <xf numFmtId="0" fontId="73" fillId="4" borderId="0" xfId="0" applyFont="1" applyFill="1"/>
    <xf numFmtId="0" fontId="170" fillId="4" borderId="0" xfId="0" applyFont="1" applyFill="1"/>
    <xf numFmtId="0" fontId="84" fillId="4" borderId="0" xfId="0" applyFont="1" applyFill="1"/>
    <xf numFmtId="0" fontId="170" fillId="4" borderId="0" xfId="0" applyFont="1" applyFill="1" applyAlignment="1">
      <alignment horizontal="center"/>
    </xf>
    <xf numFmtId="0" fontId="73" fillId="6" borderId="76" xfId="0" applyFont="1" applyFill="1" applyBorder="1" applyAlignment="1">
      <alignment horizontal="left"/>
    </xf>
    <xf numFmtId="0" fontId="73" fillId="6" borderId="0" xfId="0" applyFont="1" applyFill="1" applyAlignment="1">
      <alignment horizontal="left"/>
    </xf>
    <xf numFmtId="0" fontId="73" fillId="6" borderId="3" xfId="0" applyFont="1" applyFill="1" applyBorder="1" applyAlignment="1">
      <alignment horizontal="left"/>
    </xf>
    <xf numFmtId="0" fontId="98" fillId="4" borderId="0" xfId="0" applyFont="1" applyFill="1"/>
    <xf numFmtId="2" fontId="84" fillId="0" borderId="0" xfId="0" applyNumberFormat="1" applyFont="1"/>
    <xf numFmtId="2" fontId="84" fillId="0" borderId="0" xfId="0" applyNumberFormat="1" applyFont="1" applyAlignment="1">
      <alignment horizontal="right"/>
    </xf>
    <xf numFmtId="0" fontId="0" fillId="11" borderId="87" xfId="0" applyFill="1" applyBorder="1"/>
    <xf numFmtId="0" fontId="0" fillId="11" borderId="56" xfId="0" applyFill="1" applyBorder="1"/>
    <xf numFmtId="0" fontId="3" fillId="0" borderId="88" xfId="0" applyFont="1" applyBorder="1"/>
    <xf numFmtId="0" fontId="0" fillId="0" borderId="88" xfId="0" applyBorder="1" applyProtection="1">
      <protection locked="0"/>
    </xf>
    <xf numFmtId="0" fontId="0" fillId="0" borderId="88" xfId="0" applyBorder="1"/>
    <xf numFmtId="0" fontId="0" fillId="0" borderId="88" xfId="0" applyBorder="1" applyAlignment="1" applyProtection="1">
      <alignment horizontal="center"/>
      <protection locked="0"/>
    </xf>
    <xf numFmtId="0" fontId="6" fillId="0" borderId="88" xfId="0" applyFont="1" applyBorder="1" applyProtection="1">
      <protection locked="0"/>
    </xf>
    <xf numFmtId="0" fontId="6" fillId="0" borderId="88" xfId="0" applyFont="1" applyBorder="1"/>
    <xf numFmtId="0" fontId="0" fillId="0" borderId="88" xfId="0" applyBorder="1" applyAlignment="1">
      <alignment horizontal="right"/>
    </xf>
    <xf numFmtId="0" fontId="6" fillId="0" borderId="0" xfId="0" applyFont="1" applyAlignment="1">
      <alignment horizontal="left" wrapText="1"/>
    </xf>
    <xf numFmtId="3" fontId="3" fillId="0" borderId="25" xfId="0" applyNumberFormat="1" applyFont="1" applyBorder="1"/>
    <xf numFmtId="0" fontId="33" fillId="0" borderId="0" xfId="0" applyFont="1" applyAlignment="1">
      <alignment horizontal="left" indent="2"/>
    </xf>
    <xf numFmtId="0" fontId="34" fillId="0" borderId="0" xfId="0" applyFont="1" applyAlignment="1">
      <alignment horizontal="right"/>
    </xf>
    <xf numFmtId="0" fontId="33" fillId="0" borderId="0" xfId="0" applyFont="1" applyAlignment="1">
      <alignment horizontal="left" indent="3"/>
    </xf>
    <xf numFmtId="0" fontId="138" fillId="0" borderId="0" xfId="0" applyFont="1" applyAlignment="1">
      <alignment horizontal="left" indent="1"/>
    </xf>
    <xf numFmtId="0" fontId="174" fillId="3" borderId="0" xfId="0" applyFont="1" applyFill="1" applyAlignment="1">
      <alignment horizontal="right"/>
    </xf>
    <xf numFmtId="0" fontId="7" fillId="3" borderId="0" xfId="0" quotePrefix="1" applyFont="1" applyFill="1"/>
    <xf numFmtId="0" fontId="25" fillId="3" borderId="0" xfId="0" quotePrefix="1" applyFont="1" applyFill="1"/>
    <xf numFmtId="0" fontId="25" fillId="3" borderId="22" xfId="0" quotePrefix="1" applyFont="1" applyFill="1" applyBorder="1"/>
    <xf numFmtId="9" fontId="6" fillId="0" borderId="0" xfId="2" applyNumberFormat="1" applyFont="1" applyFill="1" applyBorder="1"/>
    <xf numFmtId="0" fontId="10" fillId="0" borderId="88" xfId="0" applyFont="1" applyBorder="1" applyAlignment="1">
      <alignment horizontal="center"/>
    </xf>
    <xf numFmtId="0" fontId="10" fillId="0" borderId="88" xfId="0" applyFont="1" applyBorder="1"/>
    <xf numFmtId="0" fontId="6" fillId="0" borderId="88" xfId="0" applyFont="1" applyBorder="1" applyAlignment="1">
      <alignment horizontal="center"/>
    </xf>
    <xf numFmtId="2" fontId="6" fillId="0" borderId="88" xfId="0" applyNumberFormat="1" applyFont="1" applyBorder="1" applyAlignment="1" applyProtection="1">
      <alignment horizontal="center"/>
      <protection locked="0"/>
    </xf>
    <xf numFmtId="0" fontId="81" fillId="0" borderId="89" xfId="0" applyFont="1" applyBorder="1"/>
    <xf numFmtId="0" fontId="63" fillId="0" borderId="89" xfId="0" applyFont="1" applyBorder="1" applyAlignment="1">
      <alignment horizontal="center"/>
    </xf>
    <xf numFmtId="0" fontId="6" fillId="0" borderId="91" xfId="0" applyFont="1" applyBorder="1"/>
    <xf numFmtId="0" fontId="6" fillId="0" borderId="90" xfId="0" applyFont="1" applyBorder="1"/>
    <xf numFmtId="0" fontId="6" fillId="0" borderId="78" xfId="0" applyFont="1" applyBorder="1"/>
    <xf numFmtId="2" fontId="6" fillId="0" borderId="92" xfId="0" applyNumberFormat="1" applyFont="1" applyBorder="1" applyProtection="1">
      <protection locked="0"/>
    </xf>
    <xf numFmtId="0" fontId="6" fillId="0" borderId="88" xfId="0" applyFont="1" applyBorder="1" applyAlignment="1">
      <alignment wrapText="1"/>
    </xf>
    <xf numFmtId="0" fontId="6" fillId="0" borderId="93" xfId="0" applyFont="1" applyBorder="1"/>
    <xf numFmtId="0" fontId="6" fillId="4" borderId="93" xfId="0" applyFont="1" applyFill="1" applyBorder="1"/>
    <xf numFmtId="0" fontId="6" fillId="11" borderId="93" xfId="0" applyFont="1" applyFill="1" applyBorder="1" applyProtection="1">
      <protection locked="0"/>
    </xf>
    <xf numFmtId="0" fontId="6" fillId="0" borderId="94" xfId="0" applyFont="1" applyBorder="1"/>
    <xf numFmtId="0" fontId="6" fillId="0" borderId="95" xfId="0" applyFont="1" applyBorder="1"/>
    <xf numFmtId="0" fontId="10" fillId="4" borderId="78" xfId="0" applyFont="1" applyFill="1" applyBorder="1"/>
    <xf numFmtId="0" fontId="10" fillId="4" borderId="94" xfId="0" applyFont="1" applyFill="1" applyBorder="1"/>
    <xf numFmtId="0" fontId="33" fillId="4" borderId="95" xfId="0" applyFont="1" applyFill="1" applyBorder="1" applyAlignment="1">
      <alignment horizontal="left" vertical="top"/>
    </xf>
    <xf numFmtId="0" fontId="6" fillId="0" borderId="94" xfId="0" applyFont="1" applyBorder="1" applyAlignment="1" applyProtection="1">
      <alignment wrapText="1"/>
      <protection locked="0"/>
    </xf>
    <xf numFmtId="0" fontId="6" fillId="0" borderId="95" xfId="0" applyFont="1" applyBorder="1" applyAlignment="1" applyProtection="1">
      <alignment vertical="top" wrapText="1"/>
      <protection locked="0"/>
    </xf>
    <xf numFmtId="0" fontId="0" fillId="29" borderId="0" xfId="0" applyFill="1" applyAlignment="1">
      <alignment horizontal="right"/>
    </xf>
    <xf numFmtId="2" fontId="88" fillId="0" borderId="0" xfId="0" applyNumberFormat="1" applyFont="1"/>
    <xf numFmtId="2" fontId="10" fillId="0" borderId="15" xfId="0" applyNumberFormat="1" applyFont="1" applyBorder="1"/>
    <xf numFmtId="0" fontId="33" fillId="23" borderId="0" xfId="0" applyFont="1" applyFill="1" applyAlignment="1">
      <alignment horizontal="right"/>
    </xf>
    <xf numFmtId="0" fontId="6" fillId="0" borderId="0" xfId="0" quotePrefix="1" applyFont="1" applyAlignment="1">
      <alignment horizontal="right"/>
    </xf>
    <xf numFmtId="0" fontId="6" fillId="23" borderId="81" xfId="0" applyFont="1" applyFill="1" applyBorder="1" applyAlignment="1">
      <alignment horizontal="center"/>
    </xf>
    <xf numFmtId="0" fontId="6" fillId="0" borderId="85" xfId="0" applyFont="1" applyBorder="1" applyAlignment="1" applyProtection="1">
      <alignment horizontal="right"/>
      <protection locked="0"/>
    </xf>
    <xf numFmtId="4" fontId="6" fillId="0" borderId="52" xfId="0" applyNumberFormat="1" applyFont="1" applyBorder="1" applyAlignment="1" applyProtection="1">
      <alignment horizontal="right"/>
      <protection locked="0"/>
    </xf>
    <xf numFmtId="4" fontId="6" fillId="0" borderId="96" xfId="0" applyNumberFormat="1" applyFont="1" applyBorder="1" applyAlignment="1" applyProtection="1">
      <alignment horizontal="right"/>
      <protection locked="0"/>
    </xf>
    <xf numFmtId="0" fontId="6" fillId="36" borderId="16" xfId="0" applyFont="1" applyFill="1" applyBorder="1" applyProtection="1">
      <protection locked="0"/>
    </xf>
    <xf numFmtId="180" fontId="6" fillId="36" borderId="81" xfId="0" applyNumberFormat="1" applyFont="1" applyFill="1" applyBorder="1" applyProtection="1">
      <protection locked="0"/>
    </xf>
    <xf numFmtId="9" fontId="0" fillId="0" borderId="0" xfId="1" applyNumberFormat="1" applyFont="1" applyFill="1" applyBorder="1"/>
    <xf numFmtId="2" fontId="0" fillId="0" borderId="0" xfId="0" applyNumberFormat="1"/>
    <xf numFmtId="0" fontId="0" fillId="15" borderId="0" xfId="0" applyFill="1"/>
    <xf numFmtId="2" fontId="48" fillId="0" borderId="0" xfId="0" applyNumberFormat="1" applyFont="1"/>
    <xf numFmtId="0" fontId="6" fillId="0" borderId="31" xfId="0" applyFont="1" applyBorder="1" applyAlignment="1">
      <alignment horizontal="right"/>
    </xf>
    <xf numFmtId="0" fontId="73" fillId="15" borderId="76" xfId="0" applyFont="1" applyFill="1" applyBorder="1"/>
    <xf numFmtId="0" fontId="73" fillId="15" borderId="3" xfId="0" applyFont="1" applyFill="1" applyBorder="1" applyAlignment="1">
      <alignment horizontal="right"/>
    </xf>
    <xf numFmtId="0" fontId="73" fillId="15" borderId="0" xfId="0" applyFont="1" applyFill="1" applyAlignment="1">
      <alignment horizontal="left"/>
    </xf>
    <xf numFmtId="0" fontId="40" fillId="3" borderId="67" xfId="0" applyFont="1" applyFill="1" applyBorder="1"/>
    <xf numFmtId="1" fontId="73" fillId="0" borderId="0" xfId="1" applyNumberFormat="1" applyFont="1" applyFill="1" applyBorder="1"/>
    <xf numFmtId="3" fontId="6" fillId="4" borderId="0" xfId="0" applyNumberFormat="1" applyFont="1" applyFill="1"/>
    <xf numFmtId="0" fontId="132" fillId="0" borderId="0" xfId="7" applyFont="1" applyAlignment="1">
      <alignment vertical="top"/>
    </xf>
    <xf numFmtId="0" fontId="131" fillId="0" borderId="0" xfId="7" applyFont="1" applyAlignment="1">
      <alignment vertical="center" wrapText="1"/>
    </xf>
    <xf numFmtId="0" fontId="131" fillId="0" borderId="0" xfId="7" applyFont="1" applyAlignment="1">
      <alignment vertical="top"/>
    </xf>
    <xf numFmtId="0" fontId="3" fillId="0" borderId="0" xfId="7" applyFont="1"/>
    <xf numFmtId="0" fontId="3" fillId="0" borderId="0" xfId="7" applyFont="1" applyAlignment="1">
      <alignment horizontal="left" vertical="center" wrapText="1"/>
    </xf>
    <xf numFmtId="49" fontId="46" fillId="0" borderId="0" xfId="0" applyNumberFormat="1" applyFont="1" applyAlignment="1">
      <alignment horizontal="center"/>
    </xf>
    <xf numFmtId="0" fontId="52" fillId="0" borderId="0" xfId="0" applyFont="1"/>
    <xf numFmtId="0" fontId="59" fillId="0" borderId="4" xfId="0" applyFont="1" applyBorder="1" applyAlignment="1">
      <alignment horizontal="center"/>
    </xf>
    <xf numFmtId="2" fontId="6" fillId="0" borderId="0" xfId="0" applyNumberFormat="1" applyFont="1" applyAlignment="1">
      <alignment horizontal="center"/>
    </xf>
    <xf numFmtId="49" fontId="46" fillId="0" borderId="0" xfId="0" applyNumberFormat="1" applyFont="1"/>
    <xf numFmtId="49" fontId="104" fillId="0" borderId="79" xfId="0" applyNumberFormat="1" applyFont="1" applyBorder="1" applyAlignment="1">
      <alignment horizontal="center"/>
    </xf>
    <xf numFmtId="49" fontId="46" fillId="0" borderId="79" xfId="0" quotePrefix="1" applyNumberFormat="1" applyFont="1" applyBorder="1" applyAlignment="1">
      <alignment horizontal="center"/>
    </xf>
    <xf numFmtId="1" fontId="153" fillId="0" borderId="0" xfId="0" applyNumberFormat="1" applyFont="1" applyAlignment="1">
      <alignment horizontal="left"/>
    </xf>
    <xf numFmtId="2" fontId="162" fillId="0" borderId="0" xfId="0" applyNumberFormat="1" applyFont="1" applyAlignment="1">
      <alignment horizontal="right"/>
    </xf>
    <xf numFmtId="3" fontId="6" fillId="0" borderId="22" xfId="0" applyNumberFormat="1" applyFont="1" applyBorder="1"/>
    <xf numFmtId="0" fontId="48" fillId="0" borderId="23" xfId="0" applyFont="1" applyBorder="1"/>
    <xf numFmtId="0" fontId="6" fillId="0" borderId="23" xfId="0" applyFont="1" applyBorder="1"/>
    <xf numFmtId="1" fontId="89" fillId="0" borderId="0" xfId="0" applyNumberFormat="1" applyFont="1" applyAlignment="1">
      <alignment horizontal="left"/>
    </xf>
    <xf numFmtId="2" fontId="88" fillId="0" borderId="0" xfId="0" applyNumberFormat="1" applyFont="1" applyAlignment="1">
      <alignment horizontal="left"/>
    </xf>
    <xf numFmtId="0" fontId="31" fillId="0" borderId="0" xfId="0" applyFont="1"/>
    <xf numFmtId="0" fontId="93" fillId="0" borderId="0" xfId="0" applyFont="1" applyAlignment="1">
      <alignment horizontal="left" indent="1"/>
    </xf>
    <xf numFmtId="0" fontId="6" fillId="0" borderId="0" xfId="0" applyFont="1" applyAlignment="1">
      <alignment horizontal="left" indent="4"/>
    </xf>
    <xf numFmtId="2" fontId="10" fillId="0" borderId="0" xfId="0" applyNumberFormat="1" applyFont="1"/>
    <xf numFmtId="1" fontId="6" fillId="0" borderId="0" xfId="0" quotePrefix="1" applyNumberFormat="1" applyFont="1"/>
    <xf numFmtId="1" fontId="135" fillId="0" borderId="0" xfId="0" applyNumberFormat="1" applyFont="1"/>
    <xf numFmtId="0" fontId="111" fillId="0" borderId="0" xfId="0" applyFont="1" applyAlignment="1">
      <alignment horizontal="left"/>
    </xf>
    <xf numFmtId="2" fontId="6" fillId="0" borderId="15" xfId="0" applyNumberFormat="1" applyFont="1" applyBorder="1"/>
    <xf numFmtId="2" fontId="68" fillId="0" borderId="0" xfId="0" applyNumberFormat="1" applyFont="1"/>
    <xf numFmtId="2" fontId="113" fillId="0" borderId="0" xfId="0" applyNumberFormat="1" applyFont="1"/>
    <xf numFmtId="2" fontId="135" fillId="0" borderId="0" xfId="0" applyNumberFormat="1" applyFont="1"/>
    <xf numFmtId="3" fontId="10" fillId="0" borderId="0" xfId="0" applyNumberFormat="1" applyFont="1"/>
    <xf numFmtId="0" fontId="159" fillId="0" borderId="0" xfId="0" applyFont="1" applyAlignment="1">
      <alignment horizontal="left"/>
    </xf>
    <xf numFmtId="0" fontId="9" fillId="0" borderId="0" xfId="0" applyFont="1" applyAlignment="1" applyProtection="1">
      <alignment horizontal="right"/>
      <protection hidden="1"/>
    </xf>
    <xf numFmtId="3" fontId="87" fillId="0" borderId="0" xfId="0" applyNumberFormat="1" applyFont="1"/>
    <xf numFmtId="4" fontId="87" fillId="0" borderId="0" xfId="0" applyNumberFormat="1" applyFont="1"/>
    <xf numFmtId="0" fontId="48" fillId="0" borderId="0" xfId="0" applyFont="1" applyAlignment="1">
      <alignment horizontal="left"/>
    </xf>
    <xf numFmtId="2" fontId="87" fillId="0" borderId="0" xfId="0" applyNumberFormat="1" applyFont="1" applyAlignment="1">
      <alignment horizontal="left"/>
    </xf>
    <xf numFmtId="0" fontId="48" fillId="0" borderId="1" xfId="0" applyFont="1" applyBorder="1" applyAlignment="1">
      <alignment horizontal="left"/>
    </xf>
    <xf numFmtId="3" fontId="10" fillId="0" borderId="1" xfId="0" applyNumberFormat="1" applyFont="1" applyBorder="1"/>
    <xf numFmtId="3" fontId="6" fillId="0" borderId="0" xfId="0" applyNumberFormat="1" applyFont="1" applyAlignment="1">
      <alignment horizontal="left"/>
    </xf>
    <xf numFmtId="2" fontId="136" fillId="0" borderId="0" xfId="0" applyNumberFormat="1" applyFont="1"/>
    <xf numFmtId="4" fontId="6" fillId="0" borderId="0" xfId="0" applyNumberFormat="1" applyFont="1" applyAlignment="1">
      <alignment horizontal="right"/>
    </xf>
    <xf numFmtId="0" fontId="48" fillId="0" borderId="61" xfId="0" applyFont="1" applyBorder="1" applyAlignment="1">
      <alignment horizontal="left"/>
    </xf>
    <xf numFmtId="3" fontId="10" fillId="0" borderId="61" xfId="0" applyNumberFormat="1" applyFont="1" applyBorder="1"/>
    <xf numFmtId="0" fontId="48" fillId="0" borderId="62" xfId="0" applyFont="1" applyBorder="1" applyAlignment="1">
      <alignment horizontal="left"/>
    </xf>
    <xf numFmtId="3" fontId="10" fillId="0" borderId="62" xfId="0" applyNumberFormat="1" applyFont="1" applyBorder="1"/>
    <xf numFmtId="0" fontId="74" fillId="0" borderId="0" xfId="0" applyFont="1" applyAlignment="1" applyProtection="1">
      <alignment horizontal="right"/>
      <protection hidden="1"/>
    </xf>
    <xf numFmtId="0" fontId="3" fillId="0" borderId="0" xfId="0" applyFont="1" applyAlignment="1" applyProtection="1">
      <alignment horizontal="right"/>
      <protection hidden="1"/>
    </xf>
    <xf numFmtId="2" fontId="10" fillId="0" borderId="0" xfId="0" applyNumberFormat="1" applyFont="1" applyAlignment="1">
      <alignment horizontal="right"/>
    </xf>
    <xf numFmtId="1" fontId="135" fillId="0" borderId="0" xfId="0" applyNumberFormat="1" applyFont="1" applyAlignment="1">
      <alignment horizontal="right"/>
    </xf>
    <xf numFmtId="0" fontId="10" fillId="0" borderId="0" xfId="0" applyFont="1" applyAlignment="1" applyProtection="1">
      <alignment horizontal="right"/>
      <protection hidden="1"/>
    </xf>
    <xf numFmtId="0" fontId="80" fillId="0" borderId="0" xfId="0" applyFont="1" applyAlignment="1" applyProtection="1">
      <alignment horizontal="right"/>
      <protection hidden="1"/>
    </xf>
    <xf numFmtId="0" fontId="48" fillId="0" borderId="63" xfId="0" applyFont="1" applyBorder="1"/>
    <xf numFmtId="3" fontId="10" fillId="0" borderId="63" xfId="0" applyNumberFormat="1" applyFont="1" applyBorder="1"/>
    <xf numFmtId="3" fontId="136" fillId="0" borderId="0" xfId="0" applyNumberFormat="1" applyFont="1"/>
    <xf numFmtId="2" fontId="142" fillId="0" borderId="0" xfId="0" applyNumberFormat="1" applyFont="1" applyAlignment="1">
      <alignment horizontal="left"/>
    </xf>
    <xf numFmtId="2" fontId="10" fillId="0" borderId="0" xfId="0" applyNumberFormat="1" applyFont="1" applyAlignment="1">
      <alignment horizontal="left"/>
    </xf>
    <xf numFmtId="2" fontId="136" fillId="0" borderId="0" xfId="0" applyNumberFormat="1" applyFont="1" applyAlignment="1">
      <alignment horizontal="right"/>
    </xf>
    <xf numFmtId="2" fontId="73" fillId="0" borderId="15" xfId="0" applyNumberFormat="1" applyFont="1" applyBorder="1"/>
    <xf numFmtId="2" fontId="112" fillId="0" borderId="0" xfId="0" applyNumberFormat="1" applyFont="1"/>
    <xf numFmtId="2" fontId="73" fillId="0" borderId="0" xfId="0" applyNumberFormat="1" applyFont="1" applyAlignment="1">
      <alignment horizontal="left"/>
    </xf>
    <xf numFmtId="4" fontId="73" fillId="0" borderId="0" xfId="0" quotePrefix="1" applyNumberFormat="1" applyFont="1" applyAlignment="1">
      <alignment horizontal="right"/>
    </xf>
    <xf numFmtId="2" fontId="87" fillId="0" borderId="0" xfId="0" applyNumberFormat="1" applyFont="1"/>
    <xf numFmtId="2" fontId="148" fillId="0" borderId="0" xfId="0" applyNumberFormat="1" applyFont="1"/>
    <xf numFmtId="2" fontId="89" fillId="0" borderId="0" xfId="0" applyNumberFormat="1" applyFont="1"/>
    <xf numFmtId="2" fontId="148" fillId="0" borderId="0" xfId="0" applyNumberFormat="1" applyFont="1" applyAlignment="1">
      <alignment horizontal="right"/>
    </xf>
    <xf numFmtId="0" fontId="148" fillId="0" borderId="0" xfId="0" applyFont="1" applyAlignment="1">
      <alignment horizontal="right"/>
    </xf>
    <xf numFmtId="0" fontId="89" fillId="0" borderId="0" xfId="0" applyFont="1" applyAlignment="1">
      <alignment horizontal="right"/>
    </xf>
    <xf numFmtId="2" fontId="135" fillId="0" borderId="0" xfId="0" applyNumberFormat="1" applyFont="1" applyAlignment="1">
      <alignment horizontal="right"/>
    </xf>
    <xf numFmtId="2" fontId="135" fillId="0" borderId="15" xfId="0" applyNumberFormat="1" applyFont="1" applyBorder="1"/>
    <xf numFmtId="2" fontId="142" fillId="0" borderId="0" xfId="0" applyNumberFormat="1" applyFont="1"/>
    <xf numFmtId="2" fontId="33" fillId="0" borderId="0" xfId="0" applyNumberFormat="1" applyFont="1" applyAlignment="1">
      <alignment horizontal="left"/>
    </xf>
    <xf numFmtId="2" fontId="178" fillId="0" borderId="0" xfId="0" applyNumberFormat="1" applyFont="1"/>
    <xf numFmtId="2" fontId="86" fillId="0" borderId="0" xfId="0" applyNumberFormat="1" applyFont="1"/>
    <xf numFmtId="0" fontId="73" fillId="0" borderId="0" xfId="0" applyFont="1" applyAlignment="1">
      <alignment horizontal="left" indent="1"/>
    </xf>
    <xf numFmtId="0" fontId="135" fillId="0" borderId="0" xfId="0" applyFont="1" applyProtection="1">
      <protection locked="0"/>
    </xf>
    <xf numFmtId="1" fontId="142" fillId="0" borderId="0" xfId="0" applyNumberFormat="1" applyFont="1"/>
    <xf numFmtId="169" fontId="33" fillId="0" borderId="0" xfId="0" applyNumberFormat="1" applyFont="1" applyAlignment="1">
      <alignment horizontal="right"/>
    </xf>
    <xf numFmtId="1" fontId="112" fillId="0" borderId="0" xfId="0" applyNumberFormat="1" applyFont="1" applyAlignment="1">
      <alignment horizontal="left"/>
    </xf>
    <xf numFmtId="1" fontId="113" fillId="0" borderId="0" xfId="0" applyNumberFormat="1" applyFont="1"/>
    <xf numFmtId="1" fontId="84" fillId="0" borderId="0" xfId="0" applyNumberFormat="1" applyFont="1" applyAlignment="1">
      <alignment horizontal="left"/>
    </xf>
    <xf numFmtId="1" fontId="112" fillId="0" borderId="0" xfId="0" applyNumberFormat="1" applyFont="1" applyAlignment="1">
      <alignment horizontal="left" indent="1"/>
    </xf>
    <xf numFmtId="1" fontId="33" fillId="0" borderId="0" xfId="0" applyNumberFormat="1" applyFont="1" applyAlignment="1">
      <alignment horizontal="left" indent="1"/>
    </xf>
    <xf numFmtId="1" fontId="88" fillId="0" borderId="0" xfId="0" applyNumberFormat="1" applyFont="1"/>
    <xf numFmtId="1" fontId="161" fillId="0" borderId="0" xfId="0" applyNumberFormat="1" applyFont="1"/>
    <xf numFmtId="1" fontId="162" fillId="0" borderId="0" xfId="0" applyNumberFormat="1" applyFont="1" applyAlignment="1">
      <alignment horizontal="right"/>
    </xf>
    <xf numFmtId="169" fontId="6" fillId="0" borderId="0" xfId="0" applyNumberFormat="1" applyFont="1" applyAlignment="1">
      <alignment horizontal="right"/>
    </xf>
    <xf numFmtId="1" fontId="6" fillId="0" borderId="0" xfId="0" applyNumberFormat="1" applyFont="1" applyAlignment="1">
      <alignment wrapText="1"/>
    </xf>
    <xf numFmtId="1" fontId="95" fillId="0" borderId="0" xfId="0" applyNumberFormat="1" applyFont="1" applyAlignment="1">
      <alignment horizontal="left"/>
    </xf>
    <xf numFmtId="0" fontId="176" fillId="0" borderId="24" xfId="0" applyFont="1" applyBorder="1"/>
    <xf numFmtId="0" fontId="127" fillId="0" borderId="0" xfId="0" applyFont="1" applyAlignment="1">
      <alignment horizontal="left" vertical="center" indent="1"/>
    </xf>
    <xf numFmtId="0" fontId="135" fillId="0" borderId="0" xfId="0" applyFont="1" applyAlignment="1">
      <alignment horizontal="left" indent="1"/>
    </xf>
    <xf numFmtId="0" fontId="3" fillId="0" borderId="0" xfId="0" applyFont="1" applyAlignment="1">
      <alignment horizontal="left" vertical="center" indent="4"/>
    </xf>
    <xf numFmtId="0" fontId="28" fillId="0" borderId="0" xfId="0" applyFont="1"/>
    <xf numFmtId="0" fontId="154" fillId="0" borderId="24" xfId="0" applyFont="1" applyBorder="1" applyAlignment="1">
      <alignment horizontal="left" vertical="center" indent="1"/>
    </xf>
    <xf numFmtId="0" fontId="154" fillId="0" borderId="24" xfId="0" applyFont="1" applyBorder="1" applyAlignment="1">
      <alignment horizontal="left" vertical="center" indent="2"/>
    </xf>
    <xf numFmtId="0" fontId="48" fillId="0" borderId="0" xfId="0" applyFont="1" applyAlignment="1">
      <alignment horizontal="right"/>
    </xf>
    <xf numFmtId="0" fontId="33" fillId="0" borderId="97" xfId="0" applyFont="1" applyBorder="1" applyAlignment="1">
      <alignment horizontal="right"/>
    </xf>
    <xf numFmtId="0" fontId="6" fillId="0" borderId="97" xfId="0" applyFont="1" applyBorder="1" applyAlignment="1">
      <alignment horizontal="right"/>
    </xf>
    <xf numFmtId="3" fontId="68" fillId="0" borderId="0" xfId="0" applyNumberFormat="1" applyFont="1"/>
    <xf numFmtId="4" fontId="135" fillId="0" borderId="0" xfId="0" applyNumberFormat="1" applyFont="1"/>
    <xf numFmtId="0" fontId="155" fillId="0" borderId="0" xfId="0" applyFont="1" applyAlignment="1">
      <alignment vertical="center"/>
    </xf>
    <xf numFmtId="0" fontId="73" fillId="0" borderId="0" xfId="0" applyFont="1" applyAlignment="1">
      <alignment horizontal="center"/>
    </xf>
    <xf numFmtId="0" fontId="165" fillId="0" borderId="0" xfId="0" applyFont="1"/>
    <xf numFmtId="0" fontId="6" fillId="0" borderId="22" xfId="0" applyFont="1" applyBorder="1" applyAlignment="1">
      <alignment horizontal="center"/>
    </xf>
    <xf numFmtId="0" fontId="82" fillId="0" borderId="0" xfId="0" applyFont="1" applyAlignment="1">
      <alignment horizontal="left" vertical="center" indent="2"/>
    </xf>
    <xf numFmtId="0" fontId="34" fillId="0" borderId="0" xfId="0" applyFont="1"/>
    <xf numFmtId="0" fontId="112" fillId="0" borderId="0" xfId="0" applyFont="1" applyAlignment="1">
      <alignment horizontal="left"/>
    </xf>
    <xf numFmtId="0" fontId="49" fillId="0" borderId="0" xfId="0" applyFont="1"/>
    <xf numFmtId="4" fontId="6" fillId="0" borderId="0" xfId="0" quotePrefix="1" applyNumberFormat="1" applyFont="1" applyAlignment="1">
      <alignment horizontal="right"/>
    </xf>
    <xf numFmtId="177" fontId="6" fillId="0" borderId="0" xfId="0" applyNumberFormat="1" applyFont="1" applyAlignment="1">
      <alignment horizontal="left"/>
    </xf>
    <xf numFmtId="164" fontId="6" fillId="0" borderId="0" xfId="0" applyNumberFormat="1" applyFont="1" applyAlignment="1">
      <alignment horizontal="right"/>
    </xf>
    <xf numFmtId="176" fontId="73" fillId="0" borderId="0" xfId="0" applyNumberFormat="1" applyFont="1" applyAlignment="1">
      <alignment horizontal="right"/>
    </xf>
    <xf numFmtId="0" fontId="33" fillId="0" borderId="0" xfId="0" quotePrefix="1" applyFont="1" applyAlignment="1">
      <alignment horizontal="left"/>
    </xf>
    <xf numFmtId="0" fontId="33" fillId="0" borderId="0" xfId="0" quotePrefix="1" applyFont="1" applyAlignment="1">
      <alignment horizontal="left" indent="1"/>
    </xf>
    <xf numFmtId="9" fontId="135" fillId="0" borderId="0" xfId="0" applyNumberFormat="1" applyFont="1"/>
    <xf numFmtId="9" fontId="135" fillId="0" borderId="0" xfId="0" quotePrefix="1" applyNumberFormat="1" applyFont="1"/>
    <xf numFmtId="0" fontId="6" fillId="0" borderId="0" xfId="0" applyFont="1" applyAlignment="1">
      <alignment horizontal="left" indent="5"/>
    </xf>
    <xf numFmtId="0" fontId="6" fillId="0" borderId="0" xfId="0" applyFont="1" applyAlignment="1">
      <alignment horizontal="left" indent="6"/>
    </xf>
    <xf numFmtId="0" fontId="6" fillId="0" borderId="0" xfId="0" applyFont="1" applyAlignment="1">
      <alignment horizontal="left" indent="8"/>
    </xf>
    <xf numFmtId="0" fontId="6" fillId="0" borderId="0" xfId="0" applyFont="1" applyAlignment="1">
      <alignment horizontal="left" indent="9"/>
    </xf>
    <xf numFmtId="0" fontId="6" fillId="0" borderId="0" xfId="0" applyFont="1" applyAlignment="1">
      <alignment horizontal="left" indent="10"/>
    </xf>
    <xf numFmtId="176" fontId="6" fillId="0" borderId="0" xfId="0" applyNumberFormat="1" applyFont="1" applyAlignment="1">
      <alignment horizontal="left" indent="8"/>
    </xf>
    <xf numFmtId="176" fontId="6" fillId="0" borderId="0" xfId="0" applyNumberFormat="1" applyFont="1" applyAlignment="1">
      <alignment horizontal="left" indent="6"/>
    </xf>
    <xf numFmtId="176" fontId="6" fillId="0" borderId="0" xfId="0" applyNumberFormat="1" applyFont="1" applyAlignment="1">
      <alignment horizontal="left" indent="4"/>
    </xf>
    <xf numFmtId="176" fontId="6" fillId="0" borderId="0" xfId="0" applyNumberFormat="1" applyFont="1" applyAlignment="1">
      <alignment horizontal="left" indent="2"/>
    </xf>
    <xf numFmtId="176" fontId="6" fillId="0" borderId="0" xfId="0" applyNumberFormat="1" applyFont="1" applyAlignment="1">
      <alignment horizontal="left"/>
    </xf>
    <xf numFmtId="0" fontId="137" fillId="0" borderId="0" xfId="0" applyFont="1"/>
    <xf numFmtId="0" fontId="177" fillId="0" borderId="0" xfId="0" applyFont="1" applyAlignment="1">
      <alignment horizontal="right"/>
    </xf>
    <xf numFmtId="0" fontId="149" fillId="0" borderId="26" xfId="0" applyFont="1" applyBorder="1"/>
    <xf numFmtId="1" fontId="3" fillId="0" borderId="0" xfId="0" applyNumberFormat="1" applyFont="1"/>
    <xf numFmtId="3" fontId="3" fillId="0" borderId="91" xfId="0" applyNumberFormat="1" applyFont="1" applyBorder="1"/>
    <xf numFmtId="0" fontId="129" fillId="0" borderId="0" xfId="0" applyFont="1"/>
    <xf numFmtId="177" fontId="6" fillId="0" borderId="0" xfId="0" quotePrefix="1" applyNumberFormat="1" applyFont="1" applyAlignment="1">
      <alignment horizontal="right"/>
    </xf>
    <xf numFmtId="0" fontId="6" fillId="0" borderId="0" xfId="0" quotePrefix="1" applyFont="1" applyAlignment="1">
      <alignment horizontal="center"/>
    </xf>
    <xf numFmtId="0" fontId="90" fillId="0" borderId="0" xfId="0" applyFont="1"/>
    <xf numFmtId="0" fontId="10" fillId="0" borderId="21" xfId="0" applyFont="1" applyBorder="1" applyAlignment="1">
      <alignment horizontal="right"/>
    </xf>
    <xf numFmtId="0" fontId="10" fillId="0" borderId="21" xfId="0" applyFont="1" applyBorder="1"/>
    <xf numFmtId="0" fontId="23" fillId="0" borderId="0" xfId="0" applyFont="1"/>
    <xf numFmtId="0" fontId="20" fillId="0" borderId="0" xfId="0" applyFont="1" applyAlignment="1">
      <alignment horizontal="right"/>
    </xf>
    <xf numFmtId="0" fontId="20" fillId="0" borderId="0" xfId="0" applyFont="1"/>
    <xf numFmtId="0" fontId="31" fillId="0" borderId="0" xfId="0" applyFont="1" applyAlignment="1">
      <alignment horizontal="right"/>
    </xf>
    <xf numFmtId="0" fontId="10" fillId="0" borderId="21" xfId="0" quotePrefix="1" applyFont="1" applyBorder="1" applyAlignment="1">
      <alignment horizontal="right"/>
    </xf>
    <xf numFmtId="0" fontId="10" fillId="0" borderId="72" xfId="0" quotePrefix="1" applyFont="1" applyBorder="1" applyAlignment="1">
      <alignment horizontal="right"/>
    </xf>
    <xf numFmtId="0" fontId="120" fillId="0" borderId="0" xfId="0" applyFont="1"/>
    <xf numFmtId="0" fontId="26" fillId="0" borderId="0" xfId="0" applyFont="1" applyAlignment="1">
      <alignment horizontal="center"/>
    </xf>
    <xf numFmtId="0" fontId="72" fillId="0" borderId="0" xfId="0" applyFont="1"/>
    <xf numFmtId="0" fontId="9" fillId="0" borderId="0" xfId="0" applyFont="1" applyAlignment="1">
      <alignment horizontal="left"/>
    </xf>
    <xf numFmtId="177" fontId="6" fillId="0" borderId="74" xfId="0" applyNumberFormat="1" applyFont="1" applyBorder="1"/>
    <xf numFmtId="0" fontId="6" fillId="0" borderId="74" xfId="0" applyFont="1" applyBorder="1"/>
    <xf numFmtId="176" fontId="6" fillId="0" borderId="75" xfId="0" applyNumberFormat="1" applyFont="1" applyBorder="1" applyAlignment="1">
      <alignment horizontal="right"/>
    </xf>
    <xf numFmtId="171" fontId="6" fillId="0" borderId="0" xfId="0" applyNumberFormat="1" applyFont="1"/>
    <xf numFmtId="0" fontId="3" fillId="0" borderId="0" xfId="0" applyFont="1" applyAlignment="1">
      <alignment horizontal="left" indent="2"/>
    </xf>
    <xf numFmtId="0" fontId="3" fillId="0" borderId="0" xfId="0" applyFont="1" applyAlignment="1">
      <alignment horizontal="left" indent="4"/>
    </xf>
    <xf numFmtId="0" fontId="0" fillId="0" borderId="0" xfId="0" applyAlignment="1">
      <alignment horizontal="left" indent="3"/>
    </xf>
    <xf numFmtId="0" fontId="3" fillId="0" borderId="0" xfId="0" applyFont="1" applyAlignment="1">
      <alignment horizontal="left" indent="5"/>
    </xf>
    <xf numFmtId="0" fontId="3" fillId="0" borderId="0" xfId="0" applyFont="1" applyAlignment="1">
      <alignment horizontal="left" indent="3"/>
    </xf>
    <xf numFmtId="0" fontId="3" fillId="0" borderId="0" xfId="0" applyFont="1" applyAlignment="1">
      <alignment horizontal="left" vertical="center" indent="2"/>
    </xf>
    <xf numFmtId="0" fontId="103" fillId="0" borderId="0" xfId="0" applyFont="1"/>
    <xf numFmtId="0" fontId="70" fillId="0" borderId="26" xfId="0" applyFont="1" applyBorder="1" applyAlignment="1">
      <alignment horizontal="left" vertical="top" wrapText="1" indent="1"/>
    </xf>
    <xf numFmtId="0" fontId="70" fillId="0" borderId="26" xfId="0" applyFont="1" applyBorder="1" applyAlignment="1">
      <alignment horizontal="center" vertical="top" wrapText="1"/>
    </xf>
    <xf numFmtId="0" fontId="70" fillId="0" borderId="26" xfId="0" applyFont="1" applyBorder="1" applyAlignment="1">
      <alignment vertical="top" wrapText="1"/>
    </xf>
    <xf numFmtId="0" fontId="70" fillId="0" borderId="24" xfId="0" applyFont="1" applyBorder="1" applyAlignment="1">
      <alignment horizontal="left" vertical="top" wrapText="1" indent="1"/>
    </xf>
    <xf numFmtId="0" fontId="3" fillId="0" borderId="26" xfId="0" applyFont="1" applyBorder="1" applyAlignment="1">
      <alignment vertical="top" wrapText="1"/>
    </xf>
    <xf numFmtId="0" fontId="70" fillId="0" borderId="24" xfId="0" applyFont="1" applyBorder="1" applyAlignment="1">
      <alignment vertical="top" wrapText="1"/>
    </xf>
    <xf numFmtId="0" fontId="0" fillId="0" borderId="26" xfId="0" applyBorder="1"/>
    <xf numFmtId="0" fontId="0" fillId="0" borderId="26" xfId="0" applyBorder="1" applyAlignment="1">
      <alignment vertical="top" wrapText="1"/>
    </xf>
    <xf numFmtId="4" fontId="6" fillId="23" borderId="81" xfId="0" applyNumberFormat="1" applyFont="1" applyFill="1" applyBorder="1" applyAlignment="1" applyProtection="1">
      <alignment horizontal="right"/>
      <protection locked="0"/>
    </xf>
    <xf numFmtId="0" fontId="6" fillId="0" borderId="16" xfId="0" applyFont="1" applyBorder="1" applyAlignment="1">
      <alignment horizontal="center"/>
    </xf>
    <xf numFmtId="168" fontId="6" fillId="23" borderId="81" xfId="1" applyFont="1" applyFill="1" applyBorder="1" applyProtection="1">
      <protection locked="0"/>
    </xf>
    <xf numFmtId="0" fontId="6" fillId="23" borderId="81" xfId="0" applyFont="1" applyFill="1" applyBorder="1" applyAlignment="1" applyProtection="1">
      <alignment horizontal="center" wrapText="1"/>
      <protection locked="0"/>
    </xf>
    <xf numFmtId="0" fontId="6" fillId="23" borderId="81" xfId="0" applyFont="1" applyFill="1" applyBorder="1" applyAlignment="1" applyProtection="1">
      <alignment horizontal="center"/>
      <protection locked="0"/>
    </xf>
    <xf numFmtId="4" fontId="6" fillId="23" borderId="83" xfId="0" applyNumberFormat="1" applyFont="1" applyFill="1" applyBorder="1" applyAlignment="1" applyProtection="1">
      <alignment horizontal="right"/>
      <protection locked="0"/>
    </xf>
    <xf numFmtId="0" fontId="6" fillId="23" borderId="83" xfId="0" applyFont="1" applyFill="1" applyBorder="1"/>
    <xf numFmtId="168" fontId="6" fillId="23" borderId="83" xfId="1" applyFont="1" applyFill="1" applyBorder="1" applyAlignment="1" applyProtection="1">
      <alignment horizontal="center" wrapText="1"/>
      <protection locked="0"/>
    </xf>
    <xf numFmtId="0" fontId="181" fillId="23" borderId="0" xfId="0" applyFont="1" applyFill="1" applyAlignment="1">
      <alignment wrapText="1"/>
    </xf>
    <xf numFmtId="180" fontId="6" fillId="23" borderId="81" xfId="0" applyNumberFormat="1" applyFont="1" applyFill="1" applyBorder="1"/>
    <xf numFmtId="9" fontId="0" fillId="31" borderId="91" xfId="0" applyNumberFormat="1" applyFill="1" applyBorder="1"/>
    <xf numFmtId="0" fontId="8" fillId="0" borderId="0" xfId="0" applyFont="1"/>
    <xf numFmtId="4" fontId="6" fillId="23" borderId="52" xfId="0" applyNumberFormat="1" applyFont="1" applyFill="1" applyBorder="1" applyAlignment="1" applyProtection="1">
      <alignment horizontal="right"/>
      <protection locked="0"/>
    </xf>
    <xf numFmtId="4" fontId="6" fillId="23" borderId="0" xfId="0" applyNumberFormat="1" applyFont="1" applyFill="1" applyProtection="1">
      <protection locked="0"/>
    </xf>
    <xf numFmtId="4" fontId="6" fillId="23" borderId="96" xfId="0" applyNumberFormat="1" applyFont="1" applyFill="1" applyBorder="1" applyAlignment="1" applyProtection="1">
      <alignment horizontal="right"/>
      <protection locked="0"/>
    </xf>
    <xf numFmtId="0" fontId="169" fillId="38" borderId="85" xfId="0" applyFont="1" applyFill="1" applyBorder="1" applyAlignment="1">
      <alignment horizontal="left"/>
    </xf>
    <xf numFmtId="1" fontId="33" fillId="38" borderId="0" xfId="2" applyNumberFormat="1" applyFont="1" applyFill="1" applyBorder="1" applyAlignment="1">
      <alignment horizontal="right"/>
    </xf>
    <xf numFmtId="0" fontId="6" fillId="38" borderId="0" xfId="0" applyFont="1" applyFill="1" applyAlignment="1">
      <alignment horizontal="right"/>
    </xf>
    <xf numFmtId="0" fontId="73" fillId="38" borderId="0" xfId="0" applyFont="1" applyFill="1" applyAlignment="1">
      <alignment horizontal="right"/>
    </xf>
    <xf numFmtId="1" fontId="33" fillId="38" borderId="0" xfId="2" applyNumberFormat="1" applyFont="1" applyFill="1" applyAlignment="1">
      <alignment horizontal="right"/>
    </xf>
    <xf numFmtId="0" fontId="73" fillId="38" borderId="0" xfId="0" applyFont="1" applyFill="1"/>
    <xf numFmtId="0" fontId="6" fillId="38" borderId="0" xfId="0" applyFont="1" applyFill="1"/>
    <xf numFmtId="1" fontId="6" fillId="38" borderId="0" xfId="0" applyNumberFormat="1" applyFont="1" applyFill="1" applyAlignment="1">
      <alignment horizontal="right"/>
    </xf>
    <xf numFmtId="1" fontId="6" fillId="38" borderId="0" xfId="0" applyNumberFormat="1" applyFont="1" applyFill="1" applyAlignment="1">
      <alignment horizontal="left"/>
    </xf>
    <xf numFmtId="0" fontId="6" fillId="33" borderId="0" xfId="0" applyFont="1" applyFill="1"/>
    <xf numFmtId="0" fontId="6" fillId="33" borderId="0" xfId="0" applyFont="1" applyFill="1" applyAlignment="1">
      <alignment horizontal="right"/>
    </xf>
    <xf numFmtId="0" fontId="33" fillId="33" borderId="0" xfId="0" applyFont="1" applyFill="1" applyAlignment="1">
      <alignment horizontal="right"/>
    </xf>
    <xf numFmtId="0" fontId="6" fillId="0" borderId="90" xfId="0" applyFont="1" applyBorder="1" applyAlignment="1" applyProtection="1">
      <alignment vertical="top" wrapText="1"/>
      <protection locked="0"/>
    </xf>
    <xf numFmtId="0" fontId="6" fillId="0" borderId="90" xfId="0" applyFont="1" applyBorder="1" applyAlignment="1">
      <alignment vertical="top" wrapText="1"/>
    </xf>
    <xf numFmtId="0" fontId="6" fillId="0" borderId="90" xfId="0" applyFont="1" applyBorder="1" applyAlignment="1">
      <alignment vertical="center" wrapText="1"/>
    </xf>
    <xf numFmtId="0" fontId="6" fillId="0" borderId="90" xfId="0" applyFont="1" applyBorder="1" applyAlignment="1" applyProtection="1">
      <alignment wrapText="1"/>
      <protection locked="0"/>
    </xf>
    <xf numFmtId="0" fontId="62" fillId="38" borderId="52" xfId="0" applyFont="1" applyFill="1" applyBorder="1" applyAlignment="1">
      <alignment horizontal="left"/>
    </xf>
    <xf numFmtId="0" fontId="6" fillId="23" borderId="0" xfId="0" applyFont="1" applyFill="1" applyAlignment="1">
      <alignment wrapText="1"/>
    </xf>
    <xf numFmtId="0" fontId="113" fillId="33" borderId="0" xfId="0" applyFont="1" applyFill="1" applyAlignment="1">
      <alignment horizontal="left"/>
    </xf>
    <xf numFmtId="0" fontId="73" fillId="33" borderId="0" xfId="0" applyFont="1" applyFill="1"/>
    <xf numFmtId="0" fontId="178" fillId="38" borderId="0" xfId="0" applyFont="1" applyFill="1"/>
    <xf numFmtId="2" fontId="88" fillId="23" borderId="0" xfId="0" applyNumberFormat="1" applyFont="1" applyFill="1" applyAlignment="1">
      <alignment horizontal="right"/>
    </xf>
    <xf numFmtId="0" fontId="33" fillId="23" borderId="0" xfId="0" applyFont="1" applyFill="1"/>
    <xf numFmtId="0" fontId="87" fillId="23" borderId="0" xfId="0" applyFont="1" applyFill="1"/>
    <xf numFmtId="0" fontId="73" fillId="23" borderId="0" xfId="0" applyFont="1" applyFill="1" applyAlignment="1">
      <alignment horizontal="right"/>
    </xf>
    <xf numFmtId="2" fontId="6" fillId="23" borderId="0" xfId="0" applyNumberFormat="1" applyFont="1" applyFill="1"/>
    <xf numFmtId="0" fontId="178" fillId="23" borderId="0" xfId="0" applyFont="1" applyFill="1"/>
    <xf numFmtId="0" fontId="6" fillId="23" borderId="81" xfId="0" applyFont="1" applyFill="1" applyBorder="1" applyAlignment="1" applyProtection="1">
      <alignment horizontal="center" vertical="center"/>
      <protection locked="0"/>
    </xf>
    <xf numFmtId="1" fontId="6" fillId="23" borderId="81" xfId="0" applyNumberFormat="1" applyFont="1" applyFill="1" applyBorder="1" applyAlignment="1" applyProtection="1">
      <alignment horizontal="right"/>
      <protection locked="0"/>
    </xf>
    <xf numFmtId="180" fontId="6" fillId="0" borderId="81" xfId="0" applyNumberFormat="1" applyFont="1" applyBorder="1" applyAlignment="1" applyProtection="1">
      <alignment horizontal="right"/>
      <protection locked="0"/>
    </xf>
    <xf numFmtId="14" fontId="6" fillId="0" borderId="0" xfId="0" quotePrefix="1" applyNumberFormat="1" applyFont="1" applyAlignment="1">
      <alignment horizontal="center"/>
    </xf>
    <xf numFmtId="169" fontId="6" fillId="0" borderId="0" xfId="0" applyNumberFormat="1" applyFont="1"/>
    <xf numFmtId="0" fontId="6" fillId="32" borderId="0" xfId="0" applyFont="1" applyFill="1" applyAlignment="1">
      <alignment horizontal="left"/>
    </xf>
    <xf numFmtId="1" fontId="7" fillId="26" borderId="77" xfId="0" applyNumberFormat="1" applyFont="1" applyFill="1" applyBorder="1" applyAlignment="1">
      <alignment horizontal="center"/>
    </xf>
    <xf numFmtId="0" fontId="7" fillId="26" borderId="77" xfId="0" applyFont="1" applyFill="1" applyBorder="1" applyAlignment="1">
      <alignment horizontal="center"/>
    </xf>
    <xf numFmtId="2" fontId="7" fillId="26" borderId="77" xfId="0" applyNumberFormat="1" applyFont="1" applyFill="1" applyBorder="1" applyAlignment="1">
      <alignment horizontal="center"/>
    </xf>
    <xf numFmtId="0" fontId="59" fillId="26" borderId="79" xfId="0" applyFont="1" applyFill="1" applyBorder="1" applyAlignment="1">
      <alignment horizontal="center"/>
    </xf>
    <xf numFmtId="0" fontId="6" fillId="44" borderId="0" xfId="0" applyFont="1" applyFill="1" applyAlignment="1">
      <alignment horizontal="center"/>
    </xf>
    <xf numFmtId="49" fontId="6" fillId="44" borderId="0" xfId="0" applyNumberFormat="1" applyFont="1" applyFill="1"/>
    <xf numFmtId="0" fontId="6" fillId="44" borderId="0" xfId="0" applyFont="1" applyFill="1"/>
    <xf numFmtId="0" fontId="90" fillId="26" borderId="59" xfId="0" applyFont="1" applyFill="1" applyBorder="1" applyAlignment="1">
      <alignment vertical="center" wrapText="1"/>
    </xf>
    <xf numFmtId="0" fontId="90" fillId="26" borderId="60" xfId="0" applyFont="1" applyFill="1" applyBorder="1" applyAlignment="1">
      <alignment vertical="top" wrapText="1"/>
    </xf>
    <xf numFmtId="0" fontId="90" fillId="26" borderId="39" xfId="0" applyFont="1" applyFill="1" applyBorder="1" applyAlignment="1">
      <alignment vertical="center" wrapText="1"/>
    </xf>
    <xf numFmtId="0" fontId="90" fillId="26" borderId="20" xfId="0" applyFont="1" applyFill="1" applyBorder="1" applyAlignment="1" applyProtection="1">
      <alignment horizontal="center"/>
      <protection locked="0"/>
    </xf>
    <xf numFmtId="0" fontId="90" fillId="26" borderId="0" xfId="0" applyFont="1" applyFill="1" applyAlignment="1" applyProtection="1">
      <alignment horizontal="center"/>
      <protection locked="0"/>
    </xf>
    <xf numFmtId="0" fontId="90" fillId="26" borderId="20" xfId="0" quotePrefix="1" applyFont="1" applyFill="1" applyBorder="1" applyAlignment="1">
      <alignment horizontal="center"/>
    </xf>
    <xf numFmtId="0" fontId="73" fillId="26" borderId="0" xfId="0" applyFont="1" applyFill="1" applyAlignment="1">
      <alignment horizontal="right"/>
    </xf>
    <xf numFmtId="0" fontId="186" fillId="26" borderId="0" xfId="0" applyFont="1" applyFill="1"/>
    <xf numFmtId="49" fontId="46" fillId="26" borderId="79" xfId="0" applyNumberFormat="1" applyFont="1" applyFill="1" applyBorder="1" applyAlignment="1">
      <alignment horizontal="center"/>
    </xf>
    <xf numFmtId="0" fontId="6" fillId="26" borderId="0" xfId="0" applyFont="1" applyFill="1"/>
    <xf numFmtId="0" fontId="6" fillId="0" borderId="93" xfId="0" applyFont="1" applyBorder="1" applyProtection="1">
      <protection locked="0"/>
    </xf>
    <xf numFmtId="0" fontId="6" fillId="26" borderId="0" xfId="0" applyFont="1" applyFill="1" applyAlignment="1">
      <alignment horizontal="right"/>
    </xf>
    <xf numFmtId="1" fontId="6" fillId="26" borderId="0" xfId="0" applyNumberFormat="1" applyFont="1" applyFill="1" applyAlignment="1">
      <alignment horizontal="right"/>
    </xf>
    <xf numFmtId="0" fontId="90" fillId="26" borderId="0" xfId="0" applyFont="1" applyFill="1"/>
    <xf numFmtId="177" fontId="73" fillId="26" borderId="0" xfId="0" applyNumberFormat="1" applyFont="1" applyFill="1"/>
    <xf numFmtId="0" fontId="73" fillId="26" borderId="0" xfId="0" applyFont="1" applyFill="1" applyAlignment="1">
      <alignment horizontal="center"/>
    </xf>
    <xf numFmtId="176" fontId="73" fillId="26" borderId="0" xfId="0" applyNumberFormat="1" applyFont="1" applyFill="1" applyAlignment="1">
      <alignment horizontal="right"/>
    </xf>
    <xf numFmtId="0" fontId="74" fillId="26" borderId="0" xfId="0" applyFont="1" applyFill="1"/>
    <xf numFmtId="1" fontId="33" fillId="26" borderId="0" xfId="0" applyNumberFormat="1" applyFont="1" applyFill="1"/>
    <xf numFmtId="0" fontId="112" fillId="26" borderId="0" xfId="0" applyFont="1" applyFill="1"/>
    <xf numFmtId="1" fontId="73" fillId="26" borderId="0" xfId="0" applyNumberFormat="1" applyFont="1" applyFill="1"/>
    <xf numFmtId="0" fontId="73" fillId="26" borderId="0" xfId="0" applyFont="1" applyFill="1"/>
    <xf numFmtId="0" fontId="0" fillId="26" borderId="0" xfId="0" applyFill="1"/>
    <xf numFmtId="0" fontId="7" fillId="26" borderId="0" xfId="0" applyFont="1" applyFill="1"/>
    <xf numFmtId="0" fontId="3" fillId="26" borderId="0" xfId="0" applyFont="1" applyFill="1"/>
    <xf numFmtId="177" fontId="6" fillId="26" borderId="0" xfId="0" applyNumberFormat="1" applyFont="1" applyFill="1" applyAlignment="1">
      <alignment horizontal="right"/>
    </xf>
    <xf numFmtId="0" fontId="6" fillId="26" borderId="0" xfId="0" applyFont="1" applyFill="1" applyAlignment="1">
      <alignment horizontal="center"/>
    </xf>
    <xf numFmtId="176" fontId="6" fillId="26" borderId="0" xfId="0" applyNumberFormat="1" applyFont="1" applyFill="1" applyAlignment="1">
      <alignment horizontal="right"/>
    </xf>
    <xf numFmtId="0" fontId="6" fillId="26" borderId="0" xfId="0" applyFont="1" applyFill="1" applyAlignment="1">
      <alignment horizontal="left"/>
    </xf>
    <xf numFmtId="0" fontId="151" fillId="26" borderId="26" xfId="0" applyFont="1" applyFill="1" applyBorder="1" applyAlignment="1">
      <alignment horizontal="right"/>
    </xf>
    <xf numFmtId="0" fontId="120" fillId="26" borderId="0" xfId="0" applyFont="1" applyFill="1"/>
    <xf numFmtId="176" fontId="6" fillId="26" borderId="0" xfId="1" applyNumberFormat="1" applyFont="1" applyFill="1" applyBorder="1" applyAlignment="1"/>
    <xf numFmtId="0" fontId="24" fillId="26" borderId="0" xfId="0" applyFont="1" applyFill="1"/>
    <xf numFmtId="0" fontId="63" fillId="26" borderId="89" xfId="0" applyFont="1" applyFill="1" applyBorder="1" applyAlignment="1">
      <alignment horizontal="center"/>
    </xf>
    <xf numFmtId="169" fontId="10" fillId="4" borderId="0" xfId="0" applyNumberFormat="1" applyFont="1" applyFill="1"/>
    <xf numFmtId="3" fontId="7" fillId="26" borderId="77" xfId="0" applyNumberFormat="1" applyFont="1" applyFill="1" applyBorder="1" applyAlignment="1">
      <alignment horizontal="center"/>
    </xf>
    <xf numFmtId="1" fontId="6" fillId="26" borderId="0" xfId="0" applyNumberFormat="1" applyFont="1" applyFill="1"/>
    <xf numFmtId="0" fontId="68" fillId="26" borderId="0" xfId="0" applyFont="1" applyFill="1" applyAlignment="1">
      <alignment horizontal="left"/>
    </xf>
    <xf numFmtId="1" fontId="112" fillId="26" borderId="0" xfId="0" applyNumberFormat="1" applyFont="1" applyFill="1" applyAlignment="1">
      <alignment horizontal="left"/>
    </xf>
    <xf numFmtId="0" fontId="33" fillId="26" borderId="0" xfId="0" applyFont="1" applyFill="1" applyAlignment="1">
      <alignment horizontal="right"/>
    </xf>
    <xf numFmtId="1" fontId="90" fillId="26" borderId="77" xfId="0" applyNumberFormat="1" applyFont="1" applyFill="1" applyBorder="1" applyAlignment="1">
      <alignment horizontal="center"/>
    </xf>
    <xf numFmtId="0" fontId="90" fillId="26" borderId="77" xfId="0" applyFont="1" applyFill="1" applyBorder="1" applyAlignment="1">
      <alignment horizontal="center"/>
    </xf>
    <xf numFmtId="1" fontId="33" fillId="26" borderId="0" xfId="0" applyNumberFormat="1" applyFont="1" applyFill="1" applyAlignment="1">
      <alignment horizontal="right"/>
    </xf>
    <xf numFmtId="2" fontId="88" fillId="26" borderId="0" xfId="0" applyNumberFormat="1" applyFont="1" applyFill="1" applyAlignment="1">
      <alignment horizontal="right"/>
    </xf>
    <xf numFmtId="1" fontId="68" fillId="26" borderId="0" xfId="0" applyNumberFormat="1" applyFont="1" applyFill="1"/>
    <xf numFmtId="1" fontId="6" fillId="26" borderId="0" xfId="2" applyNumberFormat="1" applyFont="1" applyFill="1" applyBorder="1"/>
    <xf numFmtId="1" fontId="6" fillId="26" borderId="0" xfId="0" applyNumberFormat="1" applyFont="1" applyFill="1" applyAlignment="1">
      <alignment horizontal="left"/>
    </xf>
    <xf numFmtId="2" fontId="6" fillId="26" borderId="0" xfId="0" applyNumberFormat="1" applyFont="1" applyFill="1" applyAlignment="1">
      <alignment horizontal="right"/>
    </xf>
    <xf numFmtId="0" fontId="10" fillId="26" borderId="0" xfId="0" applyFont="1" applyFill="1" applyAlignment="1">
      <alignment horizontal="left"/>
    </xf>
    <xf numFmtId="177" fontId="6" fillId="26" borderId="0" xfId="0" applyNumberFormat="1" applyFont="1" applyFill="1"/>
    <xf numFmtId="1" fontId="33" fillId="26" borderId="0" xfId="0" applyNumberFormat="1" applyFont="1" applyFill="1" applyAlignment="1">
      <alignment horizontal="left"/>
    </xf>
    <xf numFmtId="0" fontId="33" fillId="26" borderId="0" xfId="0" applyFont="1" applyFill="1"/>
    <xf numFmtId="0" fontId="68" fillId="26" borderId="0" xfId="0" applyFont="1" applyFill="1"/>
    <xf numFmtId="0" fontId="6" fillId="26" borderId="97" xfId="0" applyFont="1" applyFill="1" applyBorder="1" applyAlignment="1">
      <alignment horizontal="right"/>
    </xf>
    <xf numFmtId="1" fontId="88" fillId="26" borderId="0" xfId="0" applyNumberFormat="1" applyFont="1" applyFill="1" applyAlignment="1">
      <alignment horizontal="right"/>
    </xf>
    <xf numFmtId="1" fontId="87" fillId="26" borderId="0" xfId="0" applyNumberFormat="1" applyFont="1" applyFill="1"/>
    <xf numFmtId="0" fontId="113" fillId="26" borderId="0" xfId="0" applyFont="1" applyFill="1"/>
    <xf numFmtId="14" fontId="3" fillId="0" borderId="88" xfId="7" applyNumberFormat="1" applyFont="1" applyBorder="1" applyAlignment="1">
      <alignment horizontal="left" vertical="top" wrapText="1"/>
    </xf>
    <xf numFmtId="1" fontId="154" fillId="33" borderId="0" xfId="0" applyNumberFormat="1" applyFont="1" applyFill="1" applyAlignment="1">
      <alignment horizontal="right"/>
    </xf>
    <xf numFmtId="2" fontId="6" fillId="41" borderId="0" xfId="0" applyNumberFormat="1" applyFont="1" applyFill="1" applyAlignment="1">
      <alignment horizontal="right"/>
    </xf>
    <xf numFmtId="0" fontId="82" fillId="26" borderId="88" xfId="0" applyFont="1" applyFill="1" applyBorder="1" applyAlignment="1">
      <alignment horizontal="left" vertical="center" wrapText="1"/>
    </xf>
    <xf numFmtId="0" fontId="6" fillId="41" borderId="0" xfId="0" applyFont="1" applyFill="1" applyAlignment="1">
      <alignment horizontal="right"/>
    </xf>
    <xf numFmtId="3" fontId="6" fillId="26" borderId="0" xfId="2" applyNumberFormat="1" applyFont="1" applyFill="1" applyBorder="1"/>
    <xf numFmtId="3" fontId="6" fillId="26" borderId="0" xfId="2" applyNumberFormat="1" applyFont="1" applyFill="1" applyBorder="1" applyAlignment="1">
      <alignment horizontal="right"/>
    </xf>
    <xf numFmtId="0" fontId="88" fillId="23" borderId="0" xfId="0" applyFont="1" applyFill="1"/>
    <xf numFmtId="0" fontId="88" fillId="26" borderId="0" xfId="0" applyFont="1" applyFill="1"/>
    <xf numFmtId="0" fontId="10" fillId="26" borderId="0" xfId="0" applyFont="1" applyFill="1"/>
    <xf numFmtId="0" fontId="135" fillId="26" borderId="0" xfId="0" applyFont="1" applyFill="1" applyAlignment="1">
      <alignment horizontal="right"/>
    </xf>
    <xf numFmtId="0" fontId="7" fillId="4" borderId="93" xfId="0" applyFont="1" applyFill="1" applyBorder="1"/>
    <xf numFmtId="1" fontId="6" fillId="45" borderId="0" xfId="0" applyNumberFormat="1" applyFont="1" applyFill="1"/>
    <xf numFmtId="1" fontId="6" fillId="45" borderId="0" xfId="0" applyNumberFormat="1" applyFont="1" applyFill="1" applyAlignment="1">
      <alignment horizontal="right"/>
    </xf>
    <xf numFmtId="1" fontId="33" fillId="45" borderId="0" xfId="0" applyNumberFormat="1" applyFont="1" applyFill="1" applyAlignment="1">
      <alignment horizontal="right"/>
    </xf>
    <xf numFmtId="0" fontId="68" fillId="45" borderId="0" xfId="0" applyFont="1" applyFill="1" applyAlignment="1">
      <alignment horizontal="left"/>
    </xf>
    <xf numFmtId="0" fontId="7" fillId="45" borderId="0" xfId="0" applyFont="1" applyFill="1"/>
    <xf numFmtId="0" fontId="6" fillId="45" borderId="0" xfId="0" applyFont="1" applyFill="1" applyAlignment="1">
      <alignment horizontal="left"/>
    </xf>
    <xf numFmtId="0" fontId="6" fillId="45" borderId="0" xfId="0" applyFont="1" applyFill="1" applyAlignment="1">
      <alignment horizontal="center"/>
    </xf>
    <xf numFmtId="176" fontId="6" fillId="45" borderId="0" xfId="0" applyNumberFormat="1" applyFont="1" applyFill="1" applyAlignment="1">
      <alignment horizontal="right"/>
    </xf>
    <xf numFmtId="0" fontId="0" fillId="45" borderId="0" xfId="0" applyFill="1"/>
    <xf numFmtId="1" fontId="33" fillId="45" borderId="0" xfId="0" applyNumberFormat="1" applyFont="1" applyFill="1" applyAlignment="1">
      <alignment horizontal="center"/>
    </xf>
    <xf numFmtId="2" fontId="6" fillId="45" borderId="0" xfId="0" applyNumberFormat="1" applyFont="1" applyFill="1"/>
    <xf numFmtId="14" fontId="0" fillId="0" borderId="88" xfId="7" applyNumberFormat="1" applyFont="1" applyBorder="1" applyAlignment="1">
      <alignment horizontal="left" vertical="top" wrapText="1"/>
    </xf>
    <xf numFmtId="0" fontId="131" fillId="0" borderId="88" xfId="7" applyFont="1" applyBorder="1" applyAlignment="1">
      <alignment wrapText="1"/>
    </xf>
    <xf numFmtId="0" fontId="7" fillId="4" borderId="91" xfId="0" applyFont="1" applyFill="1" applyBorder="1"/>
    <xf numFmtId="0" fontId="7" fillId="4" borderId="88" xfId="0" applyFont="1" applyFill="1" applyBorder="1"/>
    <xf numFmtId="0" fontId="7" fillId="11" borderId="88" xfId="0" applyFont="1" applyFill="1" applyBorder="1"/>
    <xf numFmtId="0" fontId="6" fillId="4" borderId="88" xfId="0" applyFont="1" applyFill="1" applyBorder="1"/>
    <xf numFmtId="0" fontId="3" fillId="0" borderId="90" xfId="0" applyFont="1" applyBorder="1"/>
    <xf numFmtId="0" fontId="3" fillId="0" borderId="101" xfId="0" applyFont="1" applyBorder="1"/>
    <xf numFmtId="9" fontId="0" fillId="0" borderId="102" xfId="1" applyNumberFormat="1" applyFont="1" applyFill="1" applyBorder="1"/>
    <xf numFmtId="0" fontId="3" fillId="0" borderId="103" xfId="0" applyFont="1" applyBorder="1"/>
    <xf numFmtId="0" fontId="0" fillId="0" borderId="104" xfId="0" applyBorder="1"/>
    <xf numFmtId="0" fontId="6" fillId="0" borderId="88" xfId="0" applyFont="1" applyBorder="1" applyAlignment="1">
      <alignment vertical="top"/>
    </xf>
    <xf numFmtId="0" fontId="47" fillId="0" borderId="88" xfId="0" applyFont="1" applyBorder="1" applyAlignment="1">
      <alignment vertical="top"/>
    </xf>
    <xf numFmtId="181" fontId="47" fillId="0" borderId="88" xfId="0" applyNumberFormat="1" applyFont="1" applyBorder="1" applyAlignment="1">
      <alignment vertical="top"/>
    </xf>
    <xf numFmtId="175" fontId="6" fillId="0" borderId="88" xfId="0" applyNumberFormat="1" applyFont="1" applyBorder="1" applyAlignment="1">
      <alignment vertical="top"/>
    </xf>
    <xf numFmtId="0" fontId="3" fillId="0" borderId="104" xfId="0" applyFont="1" applyBorder="1"/>
    <xf numFmtId="10" fontId="0" fillId="0" borderId="91" xfId="1" applyNumberFormat="1" applyFont="1" applyFill="1" applyBorder="1"/>
    <xf numFmtId="0" fontId="0" fillId="0" borderId="90" xfId="0" applyBorder="1"/>
    <xf numFmtId="0" fontId="0" fillId="0" borderId="101" xfId="0" applyBorder="1"/>
    <xf numFmtId="9" fontId="0" fillId="0" borderId="91" xfId="1" applyNumberFormat="1" applyFont="1" applyFill="1" applyBorder="1"/>
    <xf numFmtId="0" fontId="51" fillId="0" borderId="88" xfId="0" applyFont="1" applyBorder="1" applyAlignment="1">
      <alignment vertical="top"/>
    </xf>
    <xf numFmtId="9" fontId="51" fillId="0" borderId="88" xfId="0" applyNumberFormat="1" applyFont="1" applyBorder="1" applyAlignment="1">
      <alignment vertical="top"/>
    </xf>
    <xf numFmtId="9" fontId="0" fillId="0" borderId="91" xfId="0" applyNumberFormat="1" applyBorder="1"/>
    <xf numFmtId="181" fontId="6" fillId="0" borderId="88" xfId="0" applyNumberFormat="1" applyFont="1" applyBorder="1" applyAlignment="1">
      <alignment vertical="top"/>
    </xf>
    <xf numFmtId="9" fontId="6" fillId="0" borderId="88" xfId="0" applyNumberFormat="1" applyFont="1" applyBorder="1" applyAlignment="1">
      <alignment vertical="top"/>
    </xf>
    <xf numFmtId="0" fontId="47" fillId="0" borderId="88" xfId="0" applyFont="1" applyBorder="1" applyAlignment="1">
      <alignment vertical="top" wrapText="1"/>
    </xf>
    <xf numFmtId="181" fontId="6" fillId="0" borderId="88" xfId="0" applyNumberFormat="1" applyFont="1" applyBorder="1" applyAlignment="1">
      <alignment vertical="top" wrapText="1"/>
    </xf>
    <xf numFmtId="0" fontId="65" fillId="0" borderId="88" xfId="0" applyFont="1" applyBorder="1" applyAlignment="1">
      <alignment vertical="top" wrapText="1"/>
    </xf>
    <xf numFmtId="9" fontId="65" fillId="0" borderId="88" xfId="0" applyNumberFormat="1" applyFont="1" applyBorder="1" applyAlignment="1">
      <alignment vertical="top" wrapText="1"/>
    </xf>
    <xf numFmtId="10" fontId="6" fillId="0" borderId="88" xfId="0" applyNumberFormat="1" applyFont="1" applyBorder="1" applyAlignment="1">
      <alignment vertical="top"/>
    </xf>
    <xf numFmtId="9" fontId="3" fillId="0" borderId="91" xfId="0" applyNumberFormat="1" applyFont="1" applyBorder="1"/>
    <xf numFmtId="9" fontId="0" fillId="0" borderId="105" xfId="0" applyNumberFormat="1" applyBorder="1"/>
    <xf numFmtId="3" fontId="0" fillId="0" borderId="91" xfId="0" applyNumberFormat="1" applyBorder="1"/>
    <xf numFmtId="3" fontId="0" fillId="29" borderId="91" xfId="0" applyNumberFormat="1" applyFill="1" applyBorder="1"/>
    <xf numFmtId="0" fontId="147" fillId="0" borderId="90" xfId="0" applyFont="1" applyBorder="1"/>
    <xf numFmtId="0" fontId="147" fillId="0" borderId="101" xfId="0" applyFont="1" applyBorder="1"/>
    <xf numFmtId="3" fontId="147" fillId="0" borderId="91" xfId="0" applyNumberFormat="1" applyFont="1" applyBorder="1"/>
    <xf numFmtId="4" fontId="3" fillId="23" borderId="91" xfId="0" applyNumberFormat="1" applyFont="1" applyFill="1" applyBorder="1"/>
    <xf numFmtId="0" fontId="141" fillId="0" borderId="90" xfId="0" applyFont="1" applyBorder="1"/>
    <xf numFmtId="0" fontId="141" fillId="0" borderId="101" xfId="0" applyFont="1" applyBorder="1"/>
    <xf numFmtId="3" fontId="141" fillId="0" borderId="91" xfId="0" applyNumberFormat="1" applyFont="1" applyBorder="1"/>
    <xf numFmtId="4" fontId="0" fillId="0" borderId="91" xfId="0" applyNumberFormat="1" applyBorder="1"/>
    <xf numFmtId="3" fontId="3" fillId="23" borderId="91" xfId="0" applyNumberFormat="1" applyFont="1" applyFill="1" applyBorder="1"/>
    <xf numFmtId="3" fontId="0" fillId="0" borderId="91" xfId="1" applyNumberFormat="1" applyFont="1" applyFill="1" applyBorder="1"/>
    <xf numFmtId="0" fontId="74" fillId="26" borderId="90" xfId="0" applyFont="1" applyFill="1" applyBorder="1"/>
    <xf numFmtId="0" fontId="74" fillId="26" borderId="101" xfId="0" applyFont="1" applyFill="1" applyBorder="1"/>
    <xf numFmtId="3" fontId="74" fillId="26" borderId="91" xfId="1" applyNumberFormat="1" applyFont="1" applyFill="1" applyBorder="1"/>
    <xf numFmtId="3" fontId="74" fillId="26" borderId="91" xfId="0" applyNumberFormat="1" applyFont="1" applyFill="1" applyBorder="1"/>
    <xf numFmtId="175" fontId="0" fillId="0" borderId="91" xfId="4" applyNumberFormat="1" applyFont="1" applyFill="1" applyBorder="1"/>
    <xf numFmtId="9" fontId="0" fillId="0" borderId="91" xfId="4" applyFont="1" applyFill="1" applyBorder="1"/>
    <xf numFmtId="0" fontId="3" fillId="26" borderId="90" xfId="0" applyFont="1" applyFill="1" applyBorder="1"/>
    <xf numFmtId="0" fontId="3" fillId="26" borderId="101" xfId="0" applyFont="1" applyFill="1" applyBorder="1"/>
    <xf numFmtId="9" fontId="0" fillId="26" borderId="91" xfId="4" applyFont="1" applyFill="1" applyBorder="1"/>
    <xf numFmtId="0" fontId="3" fillId="45" borderId="90" xfId="0" applyFont="1" applyFill="1" applyBorder="1"/>
    <xf numFmtId="0" fontId="3" fillId="45" borderId="101" xfId="0" applyFont="1" applyFill="1" applyBorder="1"/>
    <xf numFmtId="3" fontId="0" fillId="45" borderId="91" xfId="1" applyNumberFormat="1" applyFont="1" applyFill="1" applyBorder="1"/>
    <xf numFmtId="3" fontId="0" fillId="23" borderId="91" xfId="0" applyNumberFormat="1" applyFill="1" applyBorder="1"/>
    <xf numFmtId="0" fontId="0" fillId="0" borderId="91" xfId="0" applyBorder="1"/>
    <xf numFmtId="0" fontId="3" fillId="11" borderId="88" xfId="0" quotePrefix="1" applyFont="1" applyFill="1" applyBorder="1"/>
    <xf numFmtId="0" fontId="119" fillId="0" borderId="90" xfId="0" applyFont="1" applyBorder="1"/>
    <xf numFmtId="0" fontId="119" fillId="0" borderId="101" xfId="0" applyFont="1" applyBorder="1"/>
    <xf numFmtId="0" fontId="119" fillId="11" borderId="91" xfId="0" applyFont="1" applyFill="1" applyBorder="1" applyAlignment="1">
      <alignment horizontal="right"/>
    </xf>
    <xf numFmtId="0" fontId="119" fillId="11" borderId="91" xfId="0" applyFont="1" applyFill="1" applyBorder="1"/>
    <xf numFmtId="9" fontId="0" fillId="0" borderId="88" xfId="0" applyNumberFormat="1" applyBorder="1"/>
    <xf numFmtId="3" fontId="0" fillId="0" borderId="88" xfId="1" applyNumberFormat="1" applyFont="1" applyFill="1" applyBorder="1"/>
    <xf numFmtId="3" fontId="0" fillId="0" borderId="88" xfId="0" applyNumberFormat="1" applyBorder="1"/>
    <xf numFmtId="174" fontId="0" fillId="0" borderId="88" xfId="1" applyNumberFormat="1" applyFont="1" applyFill="1" applyBorder="1"/>
    <xf numFmtId="0" fontId="9" fillId="0" borderId="88" xfId="7" applyFont="1" applyBorder="1" applyAlignment="1">
      <alignment horizontal="left" vertical="top" wrapText="1"/>
    </xf>
    <xf numFmtId="0" fontId="131" fillId="23" borderId="88" xfId="7" applyFont="1" applyFill="1" applyBorder="1" applyAlignment="1">
      <alignment horizontal="left" vertical="center" wrapText="1"/>
    </xf>
    <xf numFmtId="0" fontId="82" fillId="38" borderId="88" xfId="0" applyFont="1" applyFill="1" applyBorder="1" applyAlignment="1">
      <alignment horizontal="left" vertical="center"/>
    </xf>
    <xf numFmtId="0" fontId="82" fillId="39" borderId="88" xfId="0" applyFont="1" applyFill="1" applyBorder="1" applyAlignment="1">
      <alignment horizontal="left" vertical="center" wrapText="1"/>
    </xf>
    <xf numFmtId="0" fontId="179" fillId="40" borderId="88" xfId="0" applyFont="1" applyFill="1" applyBorder="1" applyAlignment="1">
      <alignment horizontal="left" vertical="center"/>
    </xf>
    <xf numFmtId="0" fontId="82" fillId="34" borderId="88" xfId="0" applyFont="1" applyFill="1" applyBorder="1" applyAlignment="1">
      <alignment horizontal="left" vertical="center"/>
    </xf>
    <xf numFmtId="0" fontId="82" fillId="41" borderId="88" xfId="0" applyFont="1" applyFill="1" applyBorder="1" applyAlignment="1">
      <alignment horizontal="left" vertical="center" wrapText="1"/>
    </xf>
    <xf numFmtId="0" fontId="82" fillId="42" borderId="88" xfId="0" applyFont="1" applyFill="1" applyBorder="1" applyAlignment="1">
      <alignment horizontal="left" vertical="center" wrapText="1"/>
    </xf>
    <xf numFmtId="0" fontId="82" fillId="33" borderId="88" xfId="0" applyFont="1" applyFill="1" applyBorder="1" applyAlignment="1">
      <alignment horizontal="left" vertical="center" wrapText="1"/>
    </xf>
    <xf numFmtId="0" fontId="131" fillId="29" borderId="88" xfId="7" applyFont="1" applyFill="1" applyBorder="1" applyAlignment="1">
      <alignment horizontal="left"/>
    </xf>
    <xf numFmtId="0" fontId="131" fillId="30" borderId="88" xfId="7" applyFont="1" applyFill="1" applyBorder="1" applyAlignment="1">
      <alignment horizontal="left"/>
    </xf>
    <xf numFmtId="0" fontId="9" fillId="24" borderId="78" xfId="7" applyFont="1" applyFill="1" applyBorder="1" applyAlignment="1">
      <alignment vertical="top" wrapText="1"/>
    </xf>
    <xf numFmtId="0" fontId="131" fillId="23" borderId="88" xfId="7" applyFont="1" applyFill="1" applyBorder="1" applyAlignment="1">
      <alignment vertical="center" wrapText="1"/>
    </xf>
    <xf numFmtId="0" fontId="3" fillId="0" borderId="88" xfId="7" applyFont="1" applyBorder="1" applyAlignment="1">
      <alignment vertical="top" wrapText="1"/>
    </xf>
    <xf numFmtId="0" fontId="3" fillId="0" borderId="88" xfId="7" applyFont="1" applyBorder="1" applyAlignment="1">
      <alignment wrapText="1"/>
    </xf>
    <xf numFmtId="0" fontId="0" fillId="0" borderId="88" xfId="7" applyFont="1" applyBorder="1" applyAlignment="1">
      <alignment vertical="top" wrapText="1"/>
    </xf>
    <xf numFmtId="0" fontId="0" fillId="0" borderId="88" xfId="7" applyFont="1" applyBorder="1" applyAlignment="1">
      <alignment wrapText="1"/>
    </xf>
    <xf numFmtId="14" fontId="3" fillId="23" borderId="88" xfId="7" applyNumberFormat="1" applyFont="1" applyFill="1" applyBorder="1" applyAlignment="1">
      <alignment horizontal="left" vertical="top" wrapText="1"/>
    </xf>
    <xf numFmtId="0" fontId="6" fillId="0" borderId="101" xfId="0" applyFont="1" applyBorder="1"/>
    <xf numFmtId="0" fontId="6" fillId="0" borderId="97" xfId="0" applyFont="1" applyBorder="1"/>
    <xf numFmtId="9" fontId="6" fillId="0" borderId="88" xfId="0" applyNumberFormat="1" applyFont="1" applyBorder="1"/>
    <xf numFmtId="0" fontId="10" fillId="4" borderId="106" xfId="0" applyFont="1" applyFill="1" applyBorder="1"/>
    <xf numFmtId="0" fontId="33" fillId="4" borderId="104" xfId="0" applyFont="1" applyFill="1" applyBorder="1" applyAlignment="1">
      <alignment horizontal="center" wrapText="1"/>
    </xf>
    <xf numFmtId="0" fontId="33" fillId="4" borderId="104" xfId="0" applyFont="1" applyFill="1" applyBorder="1" applyAlignment="1">
      <alignment horizontal="left"/>
    </xf>
    <xf numFmtId="0" fontId="6" fillId="4" borderId="104" xfId="0" applyFont="1" applyFill="1" applyBorder="1" applyAlignment="1">
      <alignment horizontal="left" vertical="top"/>
    </xf>
    <xf numFmtId="0" fontId="6" fillId="4" borderId="105" xfId="0" applyFont="1" applyFill="1" applyBorder="1" applyAlignment="1">
      <alignment horizontal="left" vertical="top"/>
    </xf>
    <xf numFmtId="0" fontId="6" fillId="0" borderId="88" xfId="0" applyFont="1" applyBorder="1" applyAlignment="1" applyProtection="1">
      <alignment horizontal="center" vertical="center"/>
      <protection locked="0"/>
    </xf>
    <xf numFmtId="0" fontId="33" fillId="4" borderId="97" xfId="0" applyFont="1" applyFill="1" applyBorder="1" applyAlignment="1">
      <alignment horizontal="left" wrapText="1"/>
    </xf>
    <xf numFmtId="0" fontId="33" fillId="4" borderId="97" xfId="0" applyFont="1" applyFill="1" applyBorder="1" applyAlignment="1">
      <alignment horizontal="left"/>
    </xf>
    <xf numFmtId="0" fontId="33" fillId="4" borderId="97" xfId="0" applyFont="1" applyFill="1" applyBorder="1" applyAlignment="1">
      <alignment horizontal="left" vertical="top"/>
    </xf>
    <xf numFmtId="0" fontId="33" fillId="13" borderId="97" xfId="0" applyFont="1" applyFill="1" applyBorder="1" applyAlignment="1">
      <alignment horizontal="left"/>
    </xf>
    <xf numFmtId="0" fontId="10" fillId="4" borderId="90" xfId="0" applyFont="1" applyFill="1" applyBorder="1"/>
    <xf numFmtId="0" fontId="6" fillId="0" borderId="91" xfId="0" applyFont="1" applyBorder="1" applyAlignment="1" applyProtection="1">
      <alignment vertical="top" wrapText="1"/>
      <protection locked="0"/>
    </xf>
    <xf numFmtId="0" fontId="6" fillId="0" borderId="101" xfId="0" applyFont="1" applyBorder="1" applyAlignment="1" applyProtection="1">
      <alignment horizontal="left" vertical="top" wrapText="1"/>
      <protection locked="0"/>
    </xf>
    <xf numFmtId="4" fontId="6" fillId="0" borderId="88" xfId="0" applyNumberFormat="1" applyFont="1" applyBorder="1" applyAlignment="1" applyProtection="1">
      <alignment horizontal="left" vertical="top"/>
      <protection locked="0"/>
    </xf>
    <xf numFmtId="0" fontId="10" fillId="4" borderId="88" xfId="0" applyFont="1" applyFill="1" applyBorder="1"/>
    <xf numFmtId="0" fontId="6" fillId="0" borderId="90" xfId="0" applyFont="1" applyBorder="1" applyAlignment="1" applyProtection="1">
      <alignment horizontal="left" vertical="top" wrapText="1"/>
      <protection locked="0"/>
    </xf>
    <xf numFmtId="0" fontId="6" fillId="0" borderId="91" xfId="0" applyFont="1" applyBorder="1" applyProtection="1">
      <protection locked="0"/>
    </xf>
    <xf numFmtId="0" fontId="6" fillId="0" borderId="91" xfId="0" applyFont="1" applyBorder="1" applyAlignment="1" applyProtection="1">
      <alignment wrapText="1"/>
      <protection locked="0"/>
    </xf>
    <xf numFmtId="165" fontId="6" fillId="0" borderId="90" xfId="0" applyNumberFormat="1" applyFont="1" applyBorder="1" applyAlignment="1" applyProtection="1">
      <alignment horizontal="left" vertical="top" wrapText="1"/>
      <protection locked="0"/>
    </xf>
    <xf numFmtId="0" fontId="6" fillId="0" borderId="88" xfId="0" applyFont="1" applyBorder="1" applyAlignment="1" applyProtection="1">
      <alignment horizontal="left" vertical="top"/>
      <protection locked="0"/>
    </xf>
    <xf numFmtId="0" fontId="6" fillId="0" borderId="88" xfId="0" applyFont="1" applyBorder="1" applyAlignment="1" applyProtection="1">
      <alignment wrapText="1"/>
      <protection locked="0"/>
    </xf>
    <xf numFmtId="0" fontId="6" fillId="0" borderId="106" xfId="0" applyFont="1" applyBorder="1" applyAlignment="1" applyProtection="1">
      <alignment vertical="top" wrapText="1"/>
      <protection locked="0"/>
    </xf>
    <xf numFmtId="0" fontId="6" fillId="0" borderId="105" xfId="0" applyFont="1" applyBorder="1" applyAlignment="1" applyProtection="1">
      <alignment vertical="top" wrapText="1"/>
      <protection locked="0"/>
    </xf>
    <xf numFmtId="0" fontId="6" fillId="0" borderId="91" xfId="0" applyFont="1" applyBorder="1" applyAlignment="1" applyProtection="1">
      <alignment horizontal="left" vertical="top" wrapText="1"/>
      <protection locked="0"/>
    </xf>
    <xf numFmtId="0" fontId="6" fillId="0" borderId="97" xfId="0" applyFont="1" applyBorder="1" applyProtection="1">
      <protection locked="0"/>
    </xf>
    <xf numFmtId="0" fontId="6" fillId="0" borderId="88" xfId="0" applyFont="1" applyBorder="1" applyAlignment="1" applyProtection="1">
      <alignment horizontal="left" vertical="top" wrapText="1"/>
      <protection locked="0"/>
    </xf>
    <xf numFmtId="4" fontId="6" fillId="0" borderId="91" xfId="0" applyNumberFormat="1" applyFont="1" applyBorder="1" applyAlignment="1" applyProtection="1">
      <alignment horizontal="left" vertical="top"/>
      <protection locked="0"/>
    </xf>
    <xf numFmtId="0" fontId="6" fillId="0" borderId="101" xfId="0" applyFont="1" applyBorder="1" applyAlignment="1" applyProtection="1">
      <alignment wrapText="1"/>
      <protection locked="0"/>
    </xf>
    <xf numFmtId="0" fontId="6" fillId="0" borderId="101" xfId="0" applyFont="1" applyBorder="1" applyProtection="1">
      <protection locked="0"/>
    </xf>
    <xf numFmtId="0" fontId="6" fillId="0" borderId="106" xfId="0" applyFont="1" applyBorder="1" applyAlignment="1" applyProtection="1">
      <alignment wrapText="1"/>
      <protection locked="0"/>
    </xf>
    <xf numFmtId="0" fontId="6" fillId="0" borderId="105" xfId="0" applyFont="1" applyBorder="1" applyProtection="1">
      <protection locked="0"/>
    </xf>
    <xf numFmtId="0" fontId="6" fillId="0" borderId="91" xfId="0" applyFont="1" applyBorder="1" applyAlignment="1" applyProtection="1">
      <alignment horizontal="left" vertical="top"/>
      <protection locked="0"/>
    </xf>
    <xf numFmtId="0" fontId="48" fillId="4" borderId="107" xfId="0" applyFont="1" applyFill="1" applyBorder="1"/>
    <xf numFmtId="0" fontId="6" fillId="4" borderId="108" xfId="0" applyFont="1" applyFill="1" applyBorder="1"/>
    <xf numFmtId="0" fontId="6" fillId="4" borderId="109" xfId="0" applyFont="1" applyFill="1" applyBorder="1"/>
    <xf numFmtId="0" fontId="6" fillId="0" borderId="110" xfId="0" applyFont="1" applyBorder="1" applyProtection="1">
      <protection locked="0"/>
    </xf>
    <xf numFmtId="165" fontId="6" fillId="0" borderId="110" xfId="0" applyNumberFormat="1" applyFont="1" applyBorder="1" applyProtection="1">
      <protection locked="0"/>
    </xf>
    <xf numFmtId="0" fontId="6" fillId="4" borderId="99" xfId="0" applyFont="1" applyFill="1" applyBorder="1"/>
    <xf numFmtId="0" fontId="6" fillId="4" borderId="98" xfId="0" applyFont="1" applyFill="1" applyBorder="1"/>
    <xf numFmtId="0" fontId="6" fillId="4" borderId="100" xfId="0" applyFont="1" applyFill="1" applyBorder="1"/>
    <xf numFmtId="0" fontId="6" fillId="0" borderId="111" xfId="0" applyFont="1" applyBorder="1" applyProtection="1">
      <protection locked="0"/>
    </xf>
    <xf numFmtId="0" fontId="10" fillId="0" borderId="112" xfId="0" applyFont="1" applyBorder="1"/>
    <xf numFmtId="0" fontId="48" fillId="4" borderId="113" xfId="0" applyFont="1" applyFill="1" applyBorder="1"/>
    <xf numFmtId="0" fontId="6" fillId="4" borderId="114" xfId="0" applyFont="1" applyFill="1" applyBorder="1"/>
    <xf numFmtId="0" fontId="6" fillId="4" borderId="115" xfId="0" applyFont="1" applyFill="1" applyBorder="1"/>
    <xf numFmtId="0" fontId="33" fillId="4" borderId="99" xfId="0" applyFont="1" applyFill="1" applyBorder="1" applyAlignment="1">
      <alignment horizontal="right"/>
    </xf>
    <xf numFmtId="0" fontId="33" fillId="4" borderId="98" xfId="0" applyFont="1" applyFill="1" applyBorder="1" applyAlignment="1">
      <alignment horizontal="right"/>
    </xf>
    <xf numFmtId="0" fontId="0" fillId="0" borderId="116" xfId="0" applyBorder="1" applyProtection="1">
      <protection locked="0"/>
    </xf>
    <xf numFmtId="0" fontId="6" fillId="0" borderId="116" xfId="0" applyFont="1" applyBorder="1" applyProtection="1">
      <protection locked="0"/>
    </xf>
    <xf numFmtId="0" fontId="46" fillId="7" borderId="117" xfId="0" applyFont="1" applyFill="1" applyBorder="1"/>
    <xf numFmtId="0" fontId="6" fillId="7" borderId="118" xfId="0" applyFont="1" applyFill="1" applyBorder="1"/>
    <xf numFmtId="0" fontId="46" fillId="7" borderId="118" xfId="0" applyFont="1" applyFill="1" applyBorder="1" applyAlignment="1">
      <alignment horizontal="center"/>
    </xf>
    <xf numFmtId="0" fontId="46" fillId="7" borderId="118" xfId="0" applyFont="1" applyFill="1" applyBorder="1"/>
    <xf numFmtId="0" fontId="6" fillId="7" borderId="119" xfId="0" applyFont="1" applyFill="1" applyBorder="1"/>
    <xf numFmtId="0" fontId="46" fillId="7" borderId="119" xfId="0" applyFont="1" applyFill="1" applyBorder="1"/>
    <xf numFmtId="0" fontId="46" fillId="7" borderId="118" xfId="0" applyFont="1" applyFill="1" applyBorder="1" applyAlignment="1">
      <alignment horizontal="left"/>
    </xf>
    <xf numFmtId="0" fontId="6" fillId="7" borderId="119" xfId="0" applyFont="1" applyFill="1" applyBorder="1" applyAlignment="1">
      <alignment horizontal="center"/>
    </xf>
    <xf numFmtId="49" fontId="46" fillId="0" borderId="116" xfId="0" applyNumberFormat="1" applyFont="1" applyBorder="1" applyAlignment="1">
      <alignment horizontal="center"/>
    </xf>
    <xf numFmtId="14" fontId="6" fillId="0" borderId="116" xfId="0" applyNumberFormat="1" applyFont="1" applyBorder="1" applyAlignment="1">
      <alignment horizontal="center"/>
    </xf>
    <xf numFmtId="4" fontId="6" fillId="0" borderId="119" xfId="0" applyNumberFormat="1" applyFont="1" applyBorder="1" applyAlignment="1">
      <alignment horizontal="center"/>
    </xf>
    <xf numFmtId="2" fontId="6" fillId="0" borderId="119" xfId="0" applyNumberFormat="1" applyFont="1" applyBorder="1" applyAlignment="1">
      <alignment horizontal="center"/>
    </xf>
    <xf numFmtId="49" fontId="46" fillId="0" borderId="120" xfId="0" applyNumberFormat="1" applyFont="1" applyBorder="1" applyAlignment="1">
      <alignment horizontal="center"/>
    </xf>
    <xf numFmtId="0" fontId="6" fillId="0" borderId="119" xfId="0" applyFont="1" applyBorder="1" applyAlignment="1">
      <alignment horizontal="center"/>
    </xf>
    <xf numFmtId="0" fontId="6" fillId="0" borderId="119" xfId="0" applyFont="1" applyBorder="1" applyAlignment="1">
      <alignment horizontal="left" indent="1"/>
    </xf>
    <xf numFmtId="0" fontId="59" fillId="0" borderId="120" xfId="0" applyFont="1" applyBorder="1" applyAlignment="1">
      <alignment horizontal="center"/>
    </xf>
    <xf numFmtId="0" fontId="6" fillId="26" borderId="119" xfId="0" applyFont="1" applyFill="1" applyBorder="1" applyAlignment="1">
      <alignment horizontal="center"/>
    </xf>
    <xf numFmtId="0" fontId="6" fillId="0" borderId="116" xfId="0" applyFont="1" applyBorder="1" applyAlignment="1">
      <alignment horizontal="center"/>
    </xf>
    <xf numFmtId="49" fontId="46" fillId="38" borderId="120" xfId="0" applyNumberFormat="1" applyFont="1" applyFill="1" applyBorder="1" applyAlignment="1">
      <alignment horizontal="center"/>
    </xf>
    <xf numFmtId="1" fontId="6" fillId="0" borderId="119" xfId="0" applyNumberFormat="1" applyFont="1" applyBorder="1" applyAlignment="1">
      <alignment horizontal="center"/>
    </xf>
    <xf numFmtId="49" fontId="46" fillId="26" borderId="120" xfId="0" applyNumberFormat="1" applyFont="1" applyFill="1" applyBorder="1" applyAlignment="1">
      <alignment horizontal="center"/>
    </xf>
    <xf numFmtId="4" fontId="6" fillId="38" borderId="119" xfId="0" applyNumberFormat="1" applyFont="1" applyFill="1" applyBorder="1" applyAlignment="1">
      <alignment horizontal="center"/>
    </xf>
    <xf numFmtId="14" fontId="6" fillId="0" borderId="119" xfId="0" applyNumberFormat="1" applyFont="1" applyBorder="1" applyAlignment="1">
      <alignment horizontal="center"/>
    </xf>
    <xf numFmtId="49" fontId="104" fillId="0" borderId="120" xfId="0" applyNumberFormat="1" applyFont="1" applyBorder="1" applyAlignment="1">
      <alignment horizontal="center"/>
    </xf>
    <xf numFmtId="4" fontId="73" fillId="0" borderId="119" xfId="0" applyNumberFormat="1" applyFont="1" applyBorder="1" applyAlignment="1">
      <alignment horizontal="center"/>
    </xf>
    <xf numFmtId="49" fontId="46" fillId="0" borderId="121" xfId="0" applyNumberFormat="1" applyFont="1" applyBorder="1" applyAlignment="1">
      <alignment horizontal="center"/>
    </xf>
    <xf numFmtId="4" fontId="6" fillId="0" borderId="119" xfId="0" applyNumberFormat="1" applyFont="1" applyBorder="1" applyAlignment="1">
      <alignment horizontal="left" indent="1"/>
    </xf>
    <xf numFmtId="0" fontId="59" fillId="23" borderId="120" xfId="0" applyFont="1" applyFill="1" applyBorder="1" applyAlignment="1">
      <alignment horizontal="center"/>
    </xf>
    <xf numFmtId="2" fontId="6" fillId="23" borderId="119" xfId="0" applyNumberFormat="1" applyFont="1" applyFill="1" applyBorder="1" applyAlignment="1">
      <alignment horizontal="center"/>
    </xf>
    <xf numFmtId="0" fontId="125" fillId="0" borderId="120" xfId="0" applyFont="1" applyBorder="1" applyAlignment="1">
      <alignment horizontal="center"/>
    </xf>
    <xf numFmtId="49" fontId="46" fillId="0" borderId="122" xfId="0" applyNumberFormat="1" applyFont="1" applyBorder="1" applyAlignment="1">
      <alignment horizontal="center"/>
    </xf>
    <xf numFmtId="4" fontId="6" fillId="0" borderId="123" xfId="0" applyNumberFormat="1" applyFont="1" applyBorder="1" applyAlignment="1">
      <alignment horizontal="center"/>
    </xf>
    <xf numFmtId="0" fontId="59" fillId="26" borderId="120" xfId="0" applyFont="1" applyFill="1" applyBorder="1" applyAlignment="1">
      <alignment horizontal="center"/>
    </xf>
    <xf numFmtId="2" fontId="6" fillId="0" borderId="116" xfId="0" applyNumberFormat="1" applyFont="1" applyBorder="1" applyAlignment="1">
      <alignment horizontal="center"/>
    </xf>
    <xf numFmtId="2" fontId="10" fillId="0" borderId="119" xfId="0" applyNumberFormat="1" applyFont="1" applyBorder="1" applyAlignment="1">
      <alignment horizontal="center"/>
    </xf>
    <xf numFmtId="0" fontId="46" fillId="0" borderId="117" xfId="0" applyFont="1" applyBorder="1"/>
    <xf numFmtId="0" fontId="46" fillId="0" borderId="119" xfId="0" applyFont="1" applyBorder="1"/>
    <xf numFmtId="0" fontId="125" fillId="0" borderId="124" xfId="0" applyFont="1" applyBorder="1" applyAlignment="1">
      <alignment horizontal="center"/>
    </xf>
    <xf numFmtId="0" fontId="125" fillId="0" borderId="119" xfId="0" applyFont="1" applyBorder="1" applyAlignment="1">
      <alignment horizontal="center"/>
    </xf>
    <xf numFmtId="4" fontId="6" fillId="26" borderId="119" xfId="0" applyNumberFormat="1" applyFont="1" applyFill="1" applyBorder="1" applyAlignment="1">
      <alignment horizontal="center"/>
    </xf>
    <xf numFmtId="49" fontId="46" fillId="0" borderId="120" xfId="0" quotePrefix="1" applyNumberFormat="1" applyFont="1" applyBorder="1" applyAlignment="1">
      <alignment horizontal="center"/>
    </xf>
    <xf numFmtId="49" fontId="104" fillId="0" borderId="116" xfId="0" applyNumberFormat="1" applyFont="1" applyBorder="1" applyAlignment="1">
      <alignment horizontal="center"/>
    </xf>
    <xf numFmtId="2" fontId="6" fillId="26" borderId="119" xfId="0" applyNumberFormat="1" applyFont="1" applyFill="1" applyBorder="1" applyAlignment="1">
      <alignment horizontal="center"/>
    </xf>
    <xf numFmtId="49" fontId="46" fillId="42" borderId="120" xfId="0" applyNumberFormat="1" applyFont="1" applyFill="1" applyBorder="1" applyAlignment="1">
      <alignment horizontal="center"/>
    </xf>
    <xf numFmtId="4" fontId="6" fillId="42" borderId="119" xfId="0" applyNumberFormat="1" applyFont="1" applyFill="1" applyBorder="1" applyAlignment="1">
      <alignment horizontal="center"/>
    </xf>
    <xf numFmtId="0" fontId="15" fillId="0" borderId="125" xfId="0" applyFont="1" applyBorder="1"/>
    <xf numFmtId="0" fontId="15" fillId="0" borderId="116" xfId="0" applyFont="1" applyBorder="1"/>
    <xf numFmtId="0" fontId="21" fillId="0" borderId="116" xfId="0" applyFont="1" applyBorder="1"/>
    <xf numFmtId="0" fontId="18" fillId="0" borderId="116" xfId="0" applyFont="1" applyBorder="1"/>
    <xf numFmtId="0" fontId="7" fillId="0" borderId="116" xfId="0" applyFont="1" applyBorder="1"/>
    <xf numFmtId="0" fontId="7" fillId="3" borderId="112" xfId="0" applyFont="1" applyFill="1" applyBorder="1" applyProtection="1">
      <protection locked="0"/>
    </xf>
    <xf numFmtId="0" fontId="52" fillId="0" borderId="125" xfId="0" applyFont="1" applyBorder="1" applyAlignment="1">
      <alignment horizontal="center"/>
    </xf>
    <xf numFmtId="0" fontId="21" fillId="0" borderId="112" xfId="0" applyFont="1" applyBorder="1" applyAlignment="1">
      <alignment horizontal="right"/>
    </xf>
    <xf numFmtId="0" fontId="7" fillId="0" borderId="112" xfId="0" applyFont="1" applyBorder="1" applyAlignment="1">
      <alignment horizontal="center"/>
    </xf>
    <xf numFmtId="0" fontId="7" fillId="3" borderId="116" xfId="0" applyFont="1" applyFill="1" applyBorder="1" applyProtection="1">
      <protection locked="0"/>
    </xf>
    <xf numFmtId="1" fontId="7" fillId="0" borderId="112" xfId="0" applyNumberFormat="1" applyFont="1" applyBorder="1" applyAlignment="1">
      <alignment horizontal="center"/>
    </xf>
    <xf numFmtId="2" fontId="7" fillId="0" borderId="112" xfId="0" applyNumberFormat="1" applyFont="1" applyBorder="1" applyAlignment="1">
      <alignment horizontal="center"/>
    </xf>
    <xf numFmtId="2" fontId="7" fillId="0" borderId="112" xfId="0" applyNumberFormat="1" applyFont="1" applyBorder="1"/>
    <xf numFmtId="2" fontId="52" fillId="0" borderId="112" xfId="0" applyNumberFormat="1" applyFont="1" applyBorder="1" applyAlignment="1">
      <alignment horizontal="center"/>
    </xf>
    <xf numFmtId="0" fontId="52" fillId="0" borderId="126" xfId="0" applyFont="1" applyBorder="1" applyAlignment="1">
      <alignment horizontal="center"/>
    </xf>
    <xf numFmtId="0" fontId="7" fillId="0" borderId="127" xfId="0" applyFont="1" applyBorder="1"/>
    <xf numFmtId="0" fontId="52" fillId="0" borderId="125" xfId="0" quotePrefix="1" applyFont="1" applyBorder="1" applyAlignment="1">
      <alignment horizontal="center"/>
    </xf>
    <xf numFmtId="0" fontId="7" fillId="0" borderId="125" xfId="0" quotePrefix="1" applyFont="1" applyBorder="1" applyAlignment="1">
      <alignment horizontal="center"/>
    </xf>
    <xf numFmtId="0" fontId="52" fillId="26" borderId="125" xfId="0" applyFont="1" applyFill="1" applyBorder="1" applyAlignment="1">
      <alignment horizontal="center"/>
    </xf>
    <xf numFmtId="0" fontId="7" fillId="26" borderId="112" xfId="0" applyFont="1" applyFill="1" applyBorder="1" applyAlignment="1">
      <alignment horizontal="center"/>
    </xf>
    <xf numFmtId="0" fontId="7" fillId="0" borderId="125" xfId="0" applyFont="1" applyBorder="1" applyAlignment="1">
      <alignment horizontal="center"/>
    </xf>
    <xf numFmtId="0" fontId="7" fillId="0" borderId="97" xfId="0" applyFont="1" applyBorder="1"/>
    <xf numFmtId="1" fontId="7" fillId="26" borderId="112" xfId="0" applyNumberFormat="1" applyFont="1" applyFill="1" applyBorder="1" applyAlignment="1">
      <alignment horizontal="center"/>
    </xf>
    <xf numFmtId="0" fontId="7" fillId="0" borderId="112" xfId="0" applyFont="1" applyBorder="1"/>
    <xf numFmtId="0" fontId="7" fillId="0" borderId="104" xfId="0" applyFont="1" applyBorder="1" applyAlignment="1">
      <alignment horizontal="center"/>
    </xf>
    <xf numFmtId="0" fontId="7" fillId="0" borderId="97" xfId="0" applyFont="1" applyBorder="1" applyAlignment="1">
      <alignment horizontal="center"/>
    </xf>
    <xf numFmtId="0" fontId="189" fillId="26" borderId="125" xfId="0" applyFont="1" applyFill="1" applyBorder="1" applyAlignment="1">
      <alignment horizontal="center"/>
    </xf>
    <xf numFmtId="0" fontId="90" fillId="26" borderId="112" xfId="0" applyFont="1" applyFill="1" applyBorder="1" applyAlignment="1">
      <alignment horizontal="center"/>
    </xf>
    <xf numFmtId="4" fontId="7" fillId="0" borderId="112" xfId="0" applyNumberFormat="1" applyFont="1" applyBorder="1"/>
    <xf numFmtId="4" fontId="7" fillId="26" borderId="112" xfId="0" applyNumberFormat="1" applyFont="1" applyFill="1" applyBorder="1"/>
    <xf numFmtId="4" fontId="7" fillId="0" borderId="112" xfId="0" applyNumberFormat="1" applyFont="1" applyBorder="1" applyAlignment="1">
      <alignment horizontal="center"/>
    </xf>
    <xf numFmtId="2" fontId="52" fillId="26" borderId="125" xfId="0" applyNumberFormat="1" applyFont="1" applyFill="1" applyBorder="1" applyAlignment="1">
      <alignment horizontal="center"/>
    </xf>
    <xf numFmtId="2" fontId="52" fillId="0" borderId="126" xfId="0" applyNumberFormat="1" applyFont="1" applyBorder="1" applyAlignment="1">
      <alignment horizontal="center"/>
    </xf>
    <xf numFmtId="2" fontId="52" fillId="0" borderId="104" xfId="0" applyNumberFormat="1" applyFont="1" applyBorder="1" applyAlignment="1">
      <alignment horizontal="center"/>
    </xf>
    <xf numFmtId="0" fontId="15" fillId="0" borderId="112" xfId="0" applyFont="1" applyBorder="1"/>
    <xf numFmtId="0" fontId="22" fillId="0" borderId="116" xfId="0" applyFont="1" applyBorder="1" applyAlignment="1">
      <alignment horizontal="center"/>
    </xf>
    <xf numFmtId="0" fontId="7" fillId="0" borderId="125" xfId="0" applyFont="1" applyBorder="1"/>
    <xf numFmtId="0" fontId="6" fillId="8" borderId="116" xfId="0" applyFont="1" applyFill="1" applyBorder="1" applyAlignment="1">
      <alignment horizontal="center"/>
    </xf>
    <xf numFmtId="0" fontId="6" fillId="0" borderId="125" xfId="0" applyFont="1" applyBorder="1" applyAlignment="1">
      <alignment horizontal="center"/>
    </xf>
    <xf numFmtId="0" fontId="108" fillId="0" borderId="116" xfId="0" applyFont="1" applyBorder="1"/>
    <xf numFmtId="0" fontId="6" fillId="0" borderId="117" xfId="0" applyFont="1" applyBorder="1" applyAlignment="1">
      <alignment horizontal="center"/>
    </xf>
    <xf numFmtId="0" fontId="81" fillId="0" borderId="124" xfId="0" applyFont="1" applyBorder="1"/>
    <xf numFmtId="0" fontId="62" fillId="0" borderId="116" xfId="0" applyFont="1" applyBorder="1"/>
    <xf numFmtId="0" fontId="6" fillId="0" borderId="116" xfId="0" applyFont="1" applyBorder="1"/>
    <xf numFmtId="0" fontId="6" fillId="23" borderId="116" xfId="0" applyFont="1" applyFill="1" applyBorder="1"/>
    <xf numFmtId="14" fontId="6" fillId="23" borderId="116" xfId="0" applyNumberFormat="1" applyFont="1" applyFill="1" applyBorder="1"/>
    <xf numFmtId="0" fontId="6" fillId="0" borderId="128" xfId="0" applyFont="1" applyBorder="1" applyAlignment="1">
      <alignment horizontal="center"/>
    </xf>
    <xf numFmtId="0" fontId="6" fillId="0" borderId="116" xfId="0" applyFont="1" applyBorder="1" applyAlignment="1">
      <alignment vertical="top" wrapText="1"/>
    </xf>
    <xf numFmtId="0" fontId="6" fillId="23" borderId="116" xfId="0" applyFont="1" applyFill="1" applyBorder="1" applyProtection="1">
      <protection locked="0"/>
    </xf>
    <xf numFmtId="0" fontId="108" fillId="14" borderId="116" xfId="0" applyFont="1" applyFill="1" applyBorder="1"/>
    <xf numFmtId="0" fontId="6" fillId="8" borderId="118" xfId="0" applyFont="1" applyFill="1" applyBorder="1" applyAlignment="1">
      <alignment horizontal="center"/>
    </xf>
    <xf numFmtId="0" fontId="62" fillId="23" borderId="116" xfId="0" applyFont="1" applyFill="1" applyBorder="1"/>
    <xf numFmtId="1" fontId="6" fillId="8" borderId="118" xfId="0" applyNumberFormat="1" applyFont="1" applyFill="1" applyBorder="1" applyAlignment="1">
      <alignment horizontal="center"/>
    </xf>
    <xf numFmtId="0" fontId="81" fillId="0" borderId="116" xfId="0" applyFont="1" applyBorder="1"/>
    <xf numFmtId="1" fontId="6" fillId="8" borderId="119" xfId="0" applyNumberFormat="1" applyFont="1" applyFill="1" applyBorder="1" applyAlignment="1">
      <alignment horizontal="center"/>
    </xf>
    <xf numFmtId="0" fontId="62" fillId="0" borderId="116" xfId="0" applyFont="1" applyBorder="1" applyAlignment="1">
      <alignment wrapText="1"/>
    </xf>
    <xf numFmtId="0" fontId="81" fillId="0" borderId="125" xfId="0" applyFont="1" applyBorder="1"/>
    <xf numFmtId="0" fontId="6" fillId="8" borderId="119" xfId="0" applyFont="1" applyFill="1" applyBorder="1" applyAlignment="1">
      <alignment horizontal="center"/>
    </xf>
    <xf numFmtId="168" fontId="6" fillId="23" borderId="116" xfId="1" applyFont="1" applyFill="1" applyBorder="1" applyProtection="1">
      <protection locked="0"/>
    </xf>
    <xf numFmtId="2" fontId="6" fillId="8" borderId="119" xfId="0" applyNumberFormat="1" applyFont="1" applyFill="1" applyBorder="1" applyAlignment="1">
      <alignment horizontal="center"/>
    </xf>
    <xf numFmtId="168" fontId="6" fillId="0" borderId="116" xfId="1" applyFont="1" applyBorder="1" applyProtection="1">
      <protection locked="0"/>
    </xf>
    <xf numFmtId="168" fontId="6" fillId="0" borderId="116" xfId="1" applyFont="1" applyFill="1" applyBorder="1" applyProtection="1">
      <protection locked="0"/>
    </xf>
    <xf numFmtId="168" fontId="6" fillId="23" borderId="117" xfId="1" applyFont="1" applyFill="1" applyBorder="1" applyProtection="1">
      <protection locked="0"/>
    </xf>
    <xf numFmtId="0" fontId="6" fillId="0" borderId="116" xfId="0" applyFont="1" applyBorder="1" applyAlignment="1" applyProtection="1">
      <alignment horizontal="center"/>
      <protection locked="0"/>
    </xf>
    <xf numFmtId="0" fontId="6" fillId="23" borderId="116" xfId="0" applyFont="1" applyFill="1" applyBorder="1" applyAlignment="1" applyProtection="1">
      <alignment horizontal="center"/>
      <protection locked="0"/>
    </xf>
    <xf numFmtId="0" fontId="6" fillId="23" borderId="116" xfId="0" applyFont="1" applyFill="1" applyBorder="1" applyAlignment="1" applyProtection="1">
      <alignment horizontal="center" vertical="center"/>
      <protection locked="0"/>
    </xf>
    <xf numFmtId="0" fontId="73" fillId="0" borderId="116" xfId="0" applyFont="1" applyBorder="1" applyAlignment="1">
      <alignment vertical="top" wrapText="1"/>
    </xf>
    <xf numFmtId="0" fontId="3" fillId="0" borderId="116" xfId="0" applyFont="1" applyBorder="1" applyAlignment="1">
      <alignment wrapText="1"/>
    </xf>
    <xf numFmtId="2" fontId="6" fillId="8" borderId="118" xfId="0" applyNumberFormat="1" applyFont="1" applyFill="1" applyBorder="1" applyAlignment="1">
      <alignment horizontal="center"/>
    </xf>
    <xf numFmtId="2" fontId="6" fillId="0" borderId="118" xfId="0" applyNumberFormat="1" applyFont="1" applyBorder="1" applyAlignment="1">
      <alignment horizontal="center"/>
    </xf>
    <xf numFmtId="14" fontId="6" fillId="24" borderId="116" xfId="0" applyNumberFormat="1" applyFont="1" applyFill="1" applyBorder="1" applyAlignment="1" applyProtection="1">
      <alignment horizontal="center"/>
      <protection locked="0"/>
    </xf>
    <xf numFmtId="0" fontId="6" fillId="0" borderId="125" xfId="0" applyFont="1" applyBorder="1" applyAlignment="1">
      <alignment vertical="top" wrapText="1"/>
    </xf>
    <xf numFmtId="2" fontId="6" fillId="0" borderId="116" xfId="0" applyNumberFormat="1" applyFont="1" applyBorder="1" applyProtection="1">
      <protection locked="0"/>
    </xf>
    <xf numFmtId="165" fontId="6" fillId="0" borderId="116" xfId="0" applyNumberFormat="1" applyFont="1" applyBorder="1" applyProtection="1">
      <protection locked="0"/>
    </xf>
    <xf numFmtId="2" fontId="6" fillId="24" borderId="118" xfId="0" applyNumberFormat="1" applyFont="1" applyFill="1" applyBorder="1" applyAlignment="1">
      <alignment horizontal="center"/>
    </xf>
    <xf numFmtId="14" fontId="6" fillId="0" borderId="116" xfId="0" applyNumberFormat="1" applyFont="1" applyBorder="1" applyAlignment="1" applyProtection="1">
      <alignment horizontal="center"/>
      <protection locked="0"/>
    </xf>
    <xf numFmtId="0" fontId="62" fillId="0" borderId="125" xfId="0" applyFont="1" applyBorder="1"/>
    <xf numFmtId="168" fontId="6" fillId="8" borderId="116" xfId="1" applyFont="1" applyFill="1" applyBorder="1" applyProtection="1">
      <protection locked="0"/>
    </xf>
    <xf numFmtId="2" fontId="6" fillId="8" borderId="116" xfId="0" applyNumberFormat="1" applyFont="1" applyFill="1" applyBorder="1" applyProtection="1">
      <protection locked="0"/>
    </xf>
    <xf numFmtId="2" fontId="6" fillId="8" borderId="117" xfId="0" applyNumberFormat="1" applyFont="1" applyFill="1" applyBorder="1" applyProtection="1">
      <protection locked="0"/>
    </xf>
    <xf numFmtId="2" fontId="6" fillId="23" borderId="117" xfId="0" applyNumberFormat="1" applyFont="1" applyFill="1" applyBorder="1" applyProtection="1">
      <protection locked="0"/>
    </xf>
    <xf numFmtId="2" fontId="6" fillId="8" borderId="128" xfId="0" applyNumberFormat="1" applyFont="1" applyFill="1" applyBorder="1" applyProtection="1">
      <protection locked="0"/>
    </xf>
    <xf numFmtId="0" fontId="7" fillId="0" borderId="116" xfId="0" applyFont="1" applyBorder="1" applyAlignment="1">
      <alignment vertical="top" wrapText="1"/>
    </xf>
    <xf numFmtId="0" fontId="62" fillId="0" borderId="112" xfId="0" applyFont="1" applyBorder="1"/>
    <xf numFmtId="2" fontId="6" fillId="0" borderId="117" xfId="0" applyNumberFormat="1" applyFont="1" applyBorder="1" applyProtection="1">
      <protection locked="0"/>
    </xf>
    <xf numFmtId="2" fontId="6" fillId="0" borderId="128" xfId="0" applyNumberFormat="1" applyFont="1" applyBorder="1" applyProtection="1">
      <protection locked="0"/>
    </xf>
    <xf numFmtId="2" fontId="6" fillId="23" borderId="116" xfId="0" applyNumberFormat="1" applyFont="1" applyFill="1" applyBorder="1" applyProtection="1">
      <protection locked="0"/>
    </xf>
    <xf numFmtId="0" fontId="6" fillId="0" borderId="128" xfId="0" applyFont="1" applyBorder="1" applyProtection="1">
      <protection locked="0"/>
    </xf>
    <xf numFmtId="168" fontId="6" fillId="23" borderId="116" xfId="1" applyFont="1" applyFill="1" applyBorder="1" applyAlignment="1" applyProtection="1">
      <protection locked="0"/>
    </xf>
    <xf numFmtId="2" fontId="6" fillId="23" borderId="128" xfId="0" applyNumberFormat="1" applyFont="1" applyFill="1" applyBorder="1" applyProtection="1">
      <protection locked="0"/>
    </xf>
    <xf numFmtId="0" fontId="62" fillId="0" borderId="117" xfId="0" applyFont="1" applyBorder="1"/>
    <xf numFmtId="0" fontId="6" fillId="23" borderId="117" xfId="0" applyFont="1" applyFill="1" applyBorder="1" applyProtection="1">
      <protection locked="0"/>
    </xf>
    <xf numFmtId="0" fontId="6" fillId="0" borderId="117" xfId="0" applyFont="1" applyBorder="1" applyProtection="1">
      <protection locked="0"/>
    </xf>
    <xf numFmtId="0" fontId="6" fillId="8" borderId="117" xfId="0" applyFont="1" applyFill="1" applyBorder="1" applyAlignment="1">
      <alignment horizontal="center"/>
    </xf>
    <xf numFmtId="0" fontId="7" fillId="27" borderId="116" xfId="0" applyFont="1" applyFill="1" applyBorder="1" applyAlignment="1">
      <alignment vertical="top" wrapText="1"/>
    </xf>
    <xf numFmtId="0" fontId="108" fillId="23" borderId="116" xfId="0" applyFont="1" applyFill="1" applyBorder="1"/>
    <xf numFmtId="0" fontId="6" fillId="0" borderId="117" xfId="0" applyFont="1" applyBorder="1" applyAlignment="1" applyProtection="1">
      <alignment horizontal="center"/>
      <protection locked="0"/>
    </xf>
    <xf numFmtId="0" fontId="6" fillId="0" borderId="128" xfId="0" applyFont="1" applyBorder="1" applyAlignment="1" applyProtection="1">
      <alignment horizontal="center"/>
      <protection locked="0"/>
    </xf>
    <xf numFmtId="2" fontId="6" fillId="0" borderId="116" xfId="0" applyNumberFormat="1" applyFont="1" applyBorder="1" applyAlignment="1" applyProtection="1">
      <alignment horizontal="center"/>
      <protection locked="0"/>
    </xf>
    <xf numFmtId="2" fontId="6" fillId="23" borderId="116" xfId="0" applyNumberFormat="1" applyFont="1" applyFill="1" applyBorder="1" applyAlignment="1" applyProtection="1">
      <alignment horizontal="center"/>
      <protection locked="0"/>
    </xf>
    <xf numFmtId="2" fontId="6" fillId="0" borderId="117" xfId="0" applyNumberFormat="1" applyFont="1" applyBorder="1" applyAlignment="1" applyProtection="1">
      <alignment horizontal="center"/>
      <protection locked="0"/>
    </xf>
    <xf numFmtId="2" fontId="6" fillId="0" borderId="128" xfId="0" applyNumberFormat="1" applyFont="1" applyBorder="1" applyAlignment="1" applyProtection="1">
      <alignment horizontal="center"/>
      <protection locked="0"/>
    </xf>
    <xf numFmtId="2" fontId="6" fillId="0" borderId="112" xfId="0" applyNumberFormat="1" applyFont="1" applyBorder="1" applyProtection="1">
      <protection locked="0"/>
    </xf>
    <xf numFmtId="2" fontId="6" fillId="0" borderId="127" xfId="0" applyNumberFormat="1" applyFont="1" applyBorder="1" applyProtection="1">
      <protection locked="0"/>
    </xf>
    <xf numFmtId="0" fontId="6" fillId="23" borderId="116" xfId="0" applyFont="1" applyFill="1" applyBorder="1" applyAlignment="1">
      <alignment horizontal="center"/>
    </xf>
    <xf numFmtId="0" fontId="6" fillId="8" borderId="128" xfId="0" applyFont="1" applyFill="1" applyBorder="1" applyAlignment="1">
      <alignment horizontal="center"/>
    </xf>
    <xf numFmtId="168" fontId="6" fillId="0" borderId="117" xfId="1" applyFont="1" applyFill="1" applyBorder="1" applyProtection="1">
      <protection locked="0"/>
    </xf>
    <xf numFmtId="0" fontId="62" fillId="0" borderId="116" xfId="0" quotePrefix="1" applyFont="1" applyBorder="1"/>
    <xf numFmtId="0" fontId="6" fillId="8" borderId="116" xfId="0" applyFont="1" applyFill="1" applyBorder="1" applyProtection="1">
      <protection locked="0"/>
    </xf>
    <xf numFmtId="0" fontId="6" fillId="8" borderId="116" xfId="0" applyFont="1" applyFill="1" applyBorder="1"/>
    <xf numFmtId="0" fontId="6" fillId="8" borderId="117" xfId="0" applyFont="1" applyFill="1" applyBorder="1" applyProtection="1">
      <protection locked="0"/>
    </xf>
    <xf numFmtId="0" fontId="6" fillId="8" borderId="128" xfId="0" applyFont="1" applyFill="1" applyBorder="1" applyProtection="1">
      <protection locked="0"/>
    </xf>
    <xf numFmtId="0" fontId="6" fillId="8" borderId="116" xfId="0" applyFont="1" applyFill="1" applyBorder="1" applyAlignment="1" applyProtection="1">
      <alignment horizontal="center"/>
      <protection locked="0"/>
    </xf>
    <xf numFmtId="0" fontId="6" fillId="8" borderId="117" xfId="0" applyFont="1" applyFill="1" applyBorder="1" applyAlignment="1" applyProtection="1">
      <alignment horizontal="center"/>
      <protection locked="0"/>
    </xf>
    <xf numFmtId="0" fontId="6" fillId="8" borderId="128" xfId="0" applyFont="1" applyFill="1" applyBorder="1" applyAlignment="1" applyProtection="1">
      <alignment horizontal="center"/>
      <protection locked="0"/>
    </xf>
    <xf numFmtId="0" fontId="6" fillId="8" borderId="125" xfId="0" applyFont="1" applyFill="1" applyBorder="1" applyAlignment="1">
      <alignment horizontal="center"/>
    </xf>
    <xf numFmtId="2" fontId="6" fillId="8" borderId="116" xfId="0" applyNumberFormat="1" applyFont="1" applyFill="1" applyBorder="1" applyAlignment="1">
      <alignment horizontal="center"/>
    </xf>
    <xf numFmtId="0" fontId="63" fillId="0" borderId="124" xfId="0" applyFont="1" applyBorder="1" applyAlignment="1">
      <alignment horizontal="center"/>
    </xf>
    <xf numFmtId="0" fontId="59" fillId="0" borderId="116" xfId="0" applyFont="1" applyBorder="1" applyAlignment="1">
      <alignment horizontal="left"/>
    </xf>
    <xf numFmtId="4" fontId="6" fillId="14" borderId="116" xfId="1" applyNumberFormat="1" applyFont="1" applyFill="1" applyBorder="1" applyAlignment="1">
      <alignment horizontal="right"/>
    </xf>
    <xf numFmtId="4" fontId="6" fillId="23" borderId="116" xfId="1" applyNumberFormat="1" applyFont="1" applyFill="1" applyBorder="1" applyAlignment="1" applyProtection="1">
      <alignment horizontal="right"/>
      <protection locked="0"/>
    </xf>
    <xf numFmtId="4" fontId="6" fillId="8" borderId="116" xfId="1" applyNumberFormat="1" applyFont="1" applyFill="1" applyBorder="1" applyAlignment="1">
      <alignment horizontal="right"/>
    </xf>
    <xf numFmtId="4" fontId="6" fillId="23" borderId="116" xfId="1" applyNumberFormat="1" applyFont="1" applyFill="1" applyBorder="1" applyAlignment="1" applyProtection="1">
      <protection locked="0"/>
    </xf>
    <xf numFmtId="4" fontId="6" fillId="23" borderId="116" xfId="1" applyNumberFormat="1" applyFont="1" applyFill="1" applyBorder="1" applyAlignment="1">
      <alignment horizontal="right"/>
    </xf>
    <xf numFmtId="4" fontId="6" fillId="23" borderId="117" xfId="1" applyNumberFormat="1" applyFont="1" applyFill="1" applyBorder="1" applyAlignment="1" applyProtection="1">
      <alignment horizontal="right"/>
      <protection locked="0"/>
    </xf>
    <xf numFmtId="0" fontId="59" fillId="0" borderId="116" xfId="0" applyFont="1" applyBorder="1"/>
    <xf numFmtId="4" fontId="6" fillId="0" borderId="116" xfId="1" applyNumberFormat="1" applyFont="1" applyFill="1" applyBorder="1" applyAlignment="1" applyProtection="1">
      <alignment horizontal="right"/>
      <protection locked="0"/>
    </xf>
    <xf numFmtId="4" fontId="6" fillId="0" borderId="116" xfId="1" applyNumberFormat="1" applyFont="1" applyBorder="1" applyAlignment="1" applyProtection="1">
      <alignment horizontal="right"/>
      <protection locked="0"/>
    </xf>
    <xf numFmtId="4" fontId="6" fillId="0" borderId="116" xfId="1" applyNumberFormat="1" applyFont="1" applyFill="1" applyBorder="1" applyAlignment="1">
      <alignment horizontal="right"/>
    </xf>
    <xf numFmtId="4" fontId="6" fillId="0" borderId="116" xfId="1" applyNumberFormat="1" applyFont="1" applyBorder="1" applyAlignment="1" applyProtection="1">
      <protection locked="0"/>
    </xf>
    <xf numFmtId="4" fontId="6" fillId="0" borderId="116" xfId="1" applyNumberFormat="1" applyFont="1" applyFill="1" applyBorder="1" applyAlignment="1" applyProtection="1">
      <protection locked="0"/>
    </xf>
    <xf numFmtId="4" fontId="6" fillId="0" borderId="117" xfId="1" applyNumberFormat="1" applyFont="1" applyBorder="1" applyAlignment="1" applyProtection="1">
      <alignment horizontal="right"/>
      <protection locked="0"/>
    </xf>
    <xf numFmtId="4" fontId="6" fillId="0" borderId="117" xfId="1" applyNumberFormat="1" applyFont="1" applyFill="1" applyBorder="1" applyAlignment="1" applyProtection="1">
      <alignment horizontal="right"/>
      <protection locked="0"/>
    </xf>
    <xf numFmtId="4" fontId="6" fillId="23" borderId="117" xfId="1" applyNumberFormat="1" applyFont="1" applyFill="1" applyBorder="1" applyAlignment="1">
      <alignment horizontal="right"/>
    </xf>
    <xf numFmtId="4" fontId="6" fillId="0" borderId="116" xfId="0" applyNumberFormat="1" applyFont="1" applyBorder="1" applyAlignment="1" applyProtection="1">
      <alignment horizontal="right"/>
      <protection locked="0"/>
    </xf>
    <xf numFmtId="4" fontId="6" fillId="0" borderId="116" xfId="0" applyNumberFormat="1" applyFont="1" applyBorder="1" applyAlignment="1" applyProtection="1">
      <alignment horizontal="center"/>
      <protection locked="0"/>
    </xf>
    <xf numFmtId="4" fontId="6" fillId="23" borderId="116" xfId="0" applyNumberFormat="1" applyFont="1" applyFill="1" applyBorder="1" applyAlignment="1" applyProtection="1">
      <alignment horizontal="right"/>
      <protection locked="0"/>
    </xf>
    <xf numFmtId="4" fontId="6" fillId="0" borderId="117" xfId="0" applyNumberFormat="1" applyFont="1" applyBorder="1" applyAlignment="1" applyProtection="1">
      <alignment horizontal="right"/>
      <protection locked="0"/>
    </xf>
    <xf numFmtId="0" fontId="128" fillId="33" borderId="116" xfId="0" applyFont="1" applyFill="1" applyBorder="1"/>
    <xf numFmtId="0" fontId="6" fillId="0" borderId="116" xfId="0" applyFont="1" applyBorder="1" applyAlignment="1" applyProtection="1">
      <alignment horizontal="right"/>
      <protection locked="0"/>
    </xf>
    <xf numFmtId="0" fontId="6" fillId="23" borderId="116" xfId="0" applyFont="1" applyFill="1" applyBorder="1" applyAlignment="1" applyProtection="1">
      <alignment horizontal="right"/>
      <protection locked="0"/>
    </xf>
    <xf numFmtId="0" fontId="6" fillId="0" borderId="117" xfId="0" applyFont="1" applyBorder="1" applyAlignment="1" applyProtection="1">
      <alignment horizontal="right"/>
      <protection locked="0"/>
    </xf>
    <xf numFmtId="0" fontId="6" fillId="0" borderId="116" xfId="0" applyFont="1" applyBorder="1" applyAlignment="1">
      <alignment wrapText="1"/>
    </xf>
    <xf numFmtId="0" fontId="6" fillId="0" borderId="116" xfId="0" applyFont="1" applyBorder="1" applyAlignment="1" applyProtection="1">
      <alignment horizontal="center" wrapText="1"/>
      <protection locked="0"/>
    </xf>
    <xf numFmtId="0" fontId="6" fillId="23" borderId="116" xfId="0" applyFont="1" applyFill="1" applyBorder="1" applyAlignment="1" applyProtection="1">
      <alignment horizontal="center" wrapText="1"/>
      <protection locked="0"/>
    </xf>
    <xf numFmtId="0" fontId="6" fillId="0" borderId="117" xfId="0" applyFont="1" applyBorder="1" applyAlignment="1" applyProtection="1">
      <alignment horizontal="center" wrapText="1"/>
      <protection locked="0"/>
    </xf>
    <xf numFmtId="0" fontId="6" fillId="23" borderId="117" xfId="0" applyFont="1" applyFill="1" applyBorder="1" applyAlignment="1" applyProtection="1">
      <alignment horizontal="center"/>
      <protection locked="0"/>
    </xf>
    <xf numFmtId="14" fontId="6" fillId="23" borderId="116" xfId="0" applyNumberFormat="1" applyFont="1" applyFill="1" applyBorder="1" applyAlignment="1" applyProtection="1">
      <alignment horizontal="center"/>
      <protection locked="0"/>
    </xf>
    <xf numFmtId="0" fontId="6" fillId="12" borderId="128" xfId="0" applyFont="1" applyFill="1" applyBorder="1" applyAlignment="1" applyProtection="1">
      <alignment horizontal="center"/>
      <protection locked="0"/>
    </xf>
    <xf numFmtId="0" fontId="185" fillId="43" borderId="116" xfId="0" applyFont="1" applyFill="1" applyBorder="1" applyAlignment="1">
      <alignment vertical="top" wrapText="1"/>
    </xf>
    <xf numFmtId="0" fontId="185" fillId="43" borderId="116" xfId="0" applyFont="1" applyFill="1" applyBorder="1" applyAlignment="1" applyProtection="1">
      <alignment horizontal="left" vertical="top" wrapText="1"/>
      <protection locked="0"/>
    </xf>
    <xf numFmtId="4" fontId="6" fillId="23" borderId="116" xfId="0" applyNumberFormat="1" applyFont="1" applyFill="1" applyBorder="1" applyAlignment="1" applyProtection="1">
      <alignment horizontal="center"/>
      <protection locked="0"/>
    </xf>
    <xf numFmtId="0" fontId="3" fillId="0" borderId="116" xfId="0" applyFont="1" applyBorder="1" applyAlignment="1">
      <alignment vertical="top" wrapText="1"/>
    </xf>
    <xf numFmtId="2" fontId="6" fillId="8" borderId="117" xfId="0" applyNumberFormat="1" applyFont="1" applyFill="1" applyBorder="1" applyAlignment="1">
      <alignment horizontal="center"/>
    </xf>
    <xf numFmtId="4" fontId="6" fillId="23" borderId="117" xfId="0" applyNumberFormat="1" applyFont="1" applyFill="1" applyBorder="1" applyAlignment="1" applyProtection="1">
      <alignment horizontal="right"/>
      <protection locked="0"/>
    </xf>
    <xf numFmtId="2" fontId="6" fillId="12" borderId="128" xfId="0" applyNumberFormat="1" applyFont="1" applyFill="1" applyBorder="1" applyAlignment="1" applyProtection="1">
      <alignment horizontal="right"/>
      <protection locked="0"/>
    </xf>
    <xf numFmtId="0" fontId="6" fillId="23" borderId="117" xfId="0" applyFont="1" applyFill="1" applyBorder="1" applyAlignment="1" applyProtection="1">
      <alignment horizontal="right"/>
      <protection locked="0"/>
    </xf>
    <xf numFmtId="0" fontId="6" fillId="12" borderId="128" xfId="0" applyFont="1" applyFill="1" applyBorder="1" applyAlignment="1" applyProtection="1">
      <alignment horizontal="right"/>
      <protection locked="0"/>
    </xf>
    <xf numFmtId="0" fontId="6" fillId="23" borderId="117" xfId="0" applyFont="1" applyFill="1" applyBorder="1" applyAlignment="1" applyProtection="1">
      <alignment horizontal="center" wrapText="1"/>
      <protection locked="0"/>
    </xf>
    <xf numFmtId="4" fontId="6" fillId="12" borderId="128" xfId="0" applyNumberFormat="1" applyFont="1" applyFill="1" applyBorder="1" applyAlignment="1" applyProtection="1">
      <alignment horizontal="right"/>
      <protection locked="0"/>
    </xf>
    <xf numFmtId="1" fontId="7" fillId="8" borderId="117" xfId="0" applyNumberFormat="1" applyFont="1" applyFill="1" applyBorder="1" applyAlignment="1">
      <alignment horizontal="center"/>
    </xf>
    <xf numFmtId="4" fontId="6" fillId="8" borderId="116" xfId="0" applyNumberFormat="1" applyFont="1" applyFill="1" applyBorder="1" applyAlignment="1">
      <alignment horizontal="right"/>
    </xf>
    <xf numFmtId="4" fontId="6" fillId="8" borderId="116" xfId="0" applyNumberFormat="1" applyFont="1" applyFill="1" applyBorder="1"/>
    <xf numFmtId="0" fontId="6" fillId="23" borderId="117" xfId="0" applyFont="1" applyFill="1" applyBorder="1"/>
    <xf numFmtId="0" fontId="6" fillId="8" borderId="117" xfId="0" applyFont="1" applyFill="1" applyBorder="1"/>
    <xf numFmtId="1" fontId="6" fillId="0" borderId="116" xfId="0" applyNumberFormat="1" applyFont="1" applyBorder="1" applyAlignment="1" applyProtection="1">
      <alignment horizontal="right"/>
      <protection locked="0"/>
    </xf>
    <xf numFmtId="1" fontId="6" fillId="23" borderId="116" xfId="0" applyNumberFormat="1" applyFont="1" applyFill="1" applyBorder="1" applyAlignment="1" applyProtection="1">
      <alignment horizontal="right"/>
      <protection locked="0"/>
    </xf>
    <xf numFmtId="4" fontId="6" fillId="28" borderId="116" xfId="0" applyNumberFormat="1" applyFont="1" applyFill="1" applyBorder="1"/>
    <xf numFmtId="2" fontId="6" fillId="0" borderId="116" xfId="0" applyNumberFormat="1" applyFont="1" applyBorder="1" applyAlignment="1" applyProtection="1">
      <alignment horizontal="center" wrapText="1"/>
      <protection locked="0"/>
    </xf>
    <xf numFmtId="0" fontId="6" fillId="43" borderId="116" xfId="0" applyFont="1" applyFill="1" applyBorder="1" applyAlignment="1">
      <alignment vertical="top" wrapText="1"/>
    </xf>
    <xf numFmtId="0" fontId="6" fillId="23" borderId="117" xfId="0" applyFont="1" applyFill="1" applyBorder="1" applyAlignment="1" applyProtection="1">
      <alignment horizontal="center" vertical="center"/>
      <protection locked="0"/>
    </xf>
    <xf numFmtId="179" fontId="6" fillId="0" borderId="117" xfId="0" applyNumberFormat="1" applyFont="1" applyBorder="1"/>
    <xf numFmtId="0" fontId="6" fillId="23" borderId="117" xfId="0" applyFont="1" applyFill="1" applyBorder="1" applyAlignment="1">
      <alignment horizontal="center"/>
    </xf>
    <xf numFmtId="179" fontId="6" fillId="0" borderId="116" xfId="0" applyNumberFormat="1" applyFont="1" applyBorder="1" applyAlignment="1">
      <alignment horizontal="center"/>
    </xf>
    <xf numFmtId="179" fontId="6" fillId="0" borderId="116" xfId="0" applyNumberFormat="1" applyFont="1" applyBorder="1"/>
    <xf numFmtId="179" fontId="6" fillId="23" borderId="117" xfId="0" applyNumberFormat="1" applyFont="1" applyFill="1" applyBorder="1"/>
    <xf numFmtId="0" fontId="6" fillId="0" borderId="117" xfId="0" applyFont="1" applyBorder="1"/>
    <xf numFmtId="179" fontId="6" fillId="23" borderId="116" xfId="0" applyNumberFormat="1" applyFont="1" applyFill="1" applyBorder="1" applyAlignment="1">
      <alignment horizontal="center"/>
    </xf>
    <xf numFmtId="179" fontId="6" fillId="23" borderId="117" xfId="0" applyNumberFormat="1" applyFont="1" applyFill="1" applyBorder="1" applyAlignment="1">
      <alignment horizontal="center"/>
    </xf>
    <xf numFmtId="179" fontId="6" fillId="0" borderId="128" xfId="0" applyNumberFormat="1" applyFont="1" applyBorder="1"/>
    <xf numFmtId="179" fontId="6" fillId="8" borderId="116" xfId="0" applyNumberFormat="1" applyFont="1" applyFill="1" applyBorder="1" applyAlignment="1">
      <alignment horizontal="center"/>
    </xf>
    <xf numFmtId="0" fontId="6" fillId="0" borderId="128" xfId="0" applyFont="1" applyBorder="1"/>
    <xf numFmtId="4" fontId="6" fillId="12" borderId="117" xfId="0" applyNumberFormat="1" applyFont="1" applyFill="1" applyBorder="1" applyAlignment="1" applyProtection="1">
      <alignment horizontal="right"/>
      <protection locked="0"/>
    </xf>
    <xf numFmtId="4" fontId="6" fillId="0" borderId="128" xfId="0" applyNumberFormat="1" applyFont="1" applyBorder="1" applyAlignment="1" applyProtection="1">
      <alignment horizontal="right"/>
      <protection locked="0"/>
    </xf>
    <xf numFmtId="4" fontId="6" fillId="28" borderId="116" xfId="0" applyNumberFormat="1" applyFont="1" applyFill="1" applyBorder="1" applyAlignment="1">
      <alignment horizontal="right"/>
    </xf>
    <xf numFmtId="4" fontId="6" fillId="23" borderId="116" xfId="0" applyNumberFormat="1" applyFont="1" applyFill="1" applyBorder="1" applyAlignment="1">
      <alignment horizontal="right"/>
    </xf>
    <xf numFmtId="4" fontId="6" fillId="23" borderId="117" xfId="0" applyNumberFormat="1" applyFont="1" applyFill="1" applyBorder="1" applyAlignment="1">
      <alignment horizontal="right"/>
    </xf>
    <xf numFmtId="4" fontId="6" fillId="28" borderId="117" xfId="0" applyNumberFormat="1" applyFont="1" applyFill="1" applyBorder="1" applyAlignment="1">
      <alignment horizontal="right"/>
    </xf>
    <xf numFmtId="4" fontId="6" fillId="28" borderId="128" xfId="0" applyNumberFormat="1" applyFont="1" applyFill="1" applyBorder="1" applyAlignment="1">
      <alignment horizontal="right"/>
    </xf>
    <xf numFmtId="0" fontId="130" fillId="0" borderId="116" xfId="0" applyFont="1" applyBorder="1" applyAlignment="1">
      <alignment vertical="top" wrapText="1"/>
    </xf>
    <xf numFmtId="0" fontId="63" fillId="0" borderId="124" xfId="0" applyFont="1" applyBorder="1" applyAlignment="1">
      <alignment horizontal="left"/>
    </xf>
    <xf numFmtId="0" fontId="90" fillId="0" borderId="116" xfId="0" applyFont="1" applyBorder="1" applyAlignment="1">
      <alignment vertical="top" wrapText="1"/>
    </xf>
    <xf numFmtId="0" fontId="6" fillId="12" borderId="116" xfId="0" applyFont="1" applyFill="1" applyBorder="1" applyAlignment="1" applyProtection="1">
      <alignment horizontal="center"/>
      <protection locked="0"/>
    </xf>
    <xf numFmtId="0" fontId="6" fillId="12" borderId="117" xfId="0" applyFont="1" applyFill="1" applyBorder="1" applyAlignment="1" applyProtection="1">
      <alignment horizontal="center"/>
      <protection locked="0"/>
    </xf>
    <xf numFmtId="0" fontId="6" fillId="12" borderId="117" xfId="0" applyFont="1" applyFill="1" applyBorder="1" applyProtection="1">
      <protection locked="0"/>
    </xf>
    <xf numFmtId="0" fontId="6" fillId="12" borderId="116" xfId="0" applyFont="1" applyFill="1" applyBorder="1" applyProtection="1">
      <protection locked="0"/>
    </xf>
    <xf numFmtId="0" fontId="6" fillId="12" borderId="128" xfId="0" applyFont="1" applyFill="1" applyBorder="1" applyProtection="1">
      <protection locked="0"/>
    </xf>
    <xf numFmtId="179" fontId="6" fillId="12" borderId="117" xfId="0" applyNumberFormat="1" applyFont="1" applyFill="1" applyBorder="1"/>
    <xf numFmtId="0" fontId="6" fillId="23" borderId="117" xfId="0" applyFont="1" applyFill="1" applyBorder="1" applyAlignment="1">
      <alignment horizontal="center" vertical="center"/>
    </xf>
    <xf numFmtId="179" fontId="6" fillId="12" borderId="116" xfId="0" applyNumberFormat="1" applyFont="1" applyFill="1" applyBorder="1"/>
    <xf numFmtId="179" fontId="6" fillId="23" borderId="117" xfId="0" applyNumberFormat="1" applyFont="1" applyFill="1" applyBorder="1" applyAlignment="1">
      <alignment horizontal="center" vertical="center"/>
    </xf>
    <xf numFmtId="179" fontId="6" fillId="12" borderId="128" xfId="0" applyNumberFormat="1" applyFont="1" applyFill="1" applyBorder="1"/>
    <xf numFmtId="179" fontId="6" fillId="23" borderId="116" xfId="0" applyNumberFormat="1" applyFont="1" applyFill="1" applyBorder="1"/>
    <xf numFmtId="0" fontId="7" fillId="20" borderId="116" xfId="0" applyFont="1" applyFill="1" applyBorder="1" applyAlignment="1">
      <alignment vertical="top" wrapText="1"/>
    </xf>
    <xf numFmtId="179" fontId="6" fillId="0" borderId="116" xfId="0" applyNumberFormat="1" applyFont="1" applyBorder="1" applyAlignment="1" applyProtection="1">
      <alignment horizontal="center"/>
      <protection locked="0"/>
    </xf>
    <xf numFmtId="179" fontId="6" fillId="12" borderId="116" xfId="0" applyNumberFormat="1" applyFont="1" applyFill="1" applyBorder="1" applyAlignment="1" applyProtection="1">
      <alignment horizontal="center"/>
      <protection locked="0"/>
    </xf>
    <xf numFmtId="179" fontId="6" fillId="12" borderId="117" xfId="0" applyNumberFormat="1" applyFont="1" applyFill="1" applyBorder="1" applyAlignment="1" applyProtection="1">
      <alignment horizontal="center"/>
      <protection locked="0"/>
    </xf>
    <xf numFmtId="179" fontId="6" fillId="0" borderId="117" xfId="0" applyNumberFormat="1" applyFont="1" applyBorder="1" applyAlignment="1" applyProtection="1">
      <alignment horizontal="center"/>
      <protection locked="0"/>
    </xf>
    <xf numFmtId="179" fontId="6" fillId="23" borderId="117" xfId="0" applyNumberFormat="1" applyFont="1" applyFill="1" applyBorder="1" applyAlignment="1" applyProtection="1">
      <alignment horizontal="center"/>
      <protection locked="0"/>
    </xf>
    <xf numFmtId="179" fontId="6" fillId="12" borderId="128" xfId="0" applyNumberFormat="1" applyFont="1" applyFill="1" applyBorder="1" applyAlignment="1" applyProtection="1">
      <alignment horizontal="center"/>
      <protection locked="0"/>
    </xf>
    <xf numFmtId="4" fontId="6" fillId="12" borderId="116" xfId="0" applyNumberFormat="1" applyFont="1" applyFill="1" applyBorder="1" applyAlignment="1" applyProtection="1">
      <alignment horizontal="right"/>
      <protection locked="0"/>
    </xf>
    <xf numFmtId="4" fontId="6" fillId="8" borderId="117" xfId="0" applyNumberFormat="1" applyFont="1" applyFill="1" applyBorder="1" applyAlignment="1">
      <alignment horizontal="right"/>
    </xf>
    <xf numFmtId="4" fontId="6" fillId="8" borderId="128" xfId="0" applyNumberFormat="1" applyFont="1" applyFill="1" applyBorder="1" applyAlignment="1">
      <alignment horizontal="right"/>
    </xf>
    <xf numFmtId="0" fontId="62" fillId="0" borderId="116" xfId="0" applyFont="1" applyBorder="1" applyAlignment="1">
      <alignment horizontal="left"/>
    </xf>
    <xf numFmtId="4" fontId="6" fillId="0" borderId="116" xfId="0" applyNumberFormat="1" applyFont="1" applyBorder="1" applyProtection="1">
      <protection locked="0"/>
    </xf>
    <xf numFmtId="4" fontId="6" fillId="12" borderId="116" xfId="0" applyNumberFormat="1" applyFont="1" applyFill="1" applyBorder="1" applyProtection="1">
      <protection locked="0"/>
    </xf>
    <xf numFmtId="4" fontId="6" fillId="12" borderId="117" xfId="0" applyNumberFormat="1" applyFont="1" applyFill="1" applyBorder="1" applyProtection="1">
      <protection locked="0"/>
    </xf>
    <xf numFmtId="4" fontId="6" fillId="0" borderId="117" xfId="0" applyNumberFormat="1" applyFont="1" applyBorder="1" applyProtection="1">
      <protection locked="0"/>
    </xf>
    <xf numFmtId="4" fontId="6" fillId="12" borderId="128" xfId="0" applyNumberFormat="1" applyFont="1" applyFill="1" applyBorder="1" applyProtection="1">
      <protection locked="0"/>
    </xf>
    <xf numFmtId="4" fontId="6" fillId="23" borderId="117" xfId="0" applyNumberFormat="1" applyFont="1" applyFill="1" applyBorder="1" applyProtection="1">
      <protection locked="0"/>
    </xf>
    <xf numFmtId="4" fontId="6" fillId="23" borderId="116" xfId="0" applyNumberFormat="1" applyFont="1" applyFill="1" applyBorder="1"/>
    <xf numFmtId="0" fontId="59" fillId="26" borderId="116" xfId="0" applyFont="1" applyFill="1" applyBorder="1" applyAlignment="1">
      <alignment horizontal="left"/>
    </xf>
    <xf numFmtId="4" fontId="6" fillId="23" borderId="117" xfId="0" applyNumberFormat="1" applyFont="1" applyFill="1" applyBorder="1"/>
    <xf numFmtId="4" fontId="6" fillId="23" borderId="116" xfId="0" applyNumberFormat="1" applyFont="1" applyFill="1" applyBorder="1" applyProtection="1">
      <protection locked="0"/>
    </xf>
    <xf numFmtId="4" fontId="6" fillId="8" borderId="116" xfId="1" applyNumberFormat="1" applyFont="1" applyFill="1" applyBorder="1"/>
    <xf numFmtId="4" fontId="6" fillId="8" borderId="116" xfId="1" applyNumberFormat="1" applyFont="1" applyFill="1" applyBorder="1" applyProtection="1"/>
    <xf numFmtId="4" fontId="6" fillId="23" borderId="116" xfId="1" applyNumberFormat="1" applyFont="1" applyFill="1" applyBorder="1" applyProtection="1"/>
    <xf numFmtId="4" fontId="6" fillId="23" borderId="117" xfId="1" applyNumberFormat="1" applyFont="1" applyFill="1" applyBorder="1" applyProtection="1"/>
    <xf numFmtId="4" fontId="6" fillId="12" borderId="117" xfId="1" applyNumberFormat="1" applyFont="1" applyFill="1" applyBorder="1" applyProtection="1"/>
    <xf numFmtId="4" fontId="6" fillId="0" borderId="116" xfId="1" applyNumberFormat="1" applyFont="1" applyFill="1" applyBorder="1" applyProtection="1"/>
    <xf numFmtId="4" fontId="6" fillId="12" borderId="128" xfId="1" applyNumberFormat="1" applyFont="1" applyFill="1" applyBorder="1" applyProtection="1"/>
    <xf numFmtId="4" fontId="6" fillId="8" borderId="116" xfId="1" applyNumberFormat="1" applyFont="1" applyFill="1" applyBorder="1" applyProtection="1">
      <protection locked="0"/>
    </xf>
    <xf numFmtId="4" fontId="6" fillId="23" borderId="117" xfId="1" applyNumberFormat="1" applyFont="1" applyFill="1" applyBorder="1" applyProtection="1">
      <protection locked="0"/>
    </xf>
    <xf numFmtId="4" fontId="6" fillId="23" borderId="116" xfId="1" applyNumberFormat="1" applyFont="1" applyFill="1" applyBorder="1" applyProtection="1">
      <protection locked="0"/>
    </xf>
    <xf numFmtId="4" fontId="6" fillId="12" borderId="116" xfId="0" applyNumberFormat="1" applyFont="1" applyFill="1" applyBorder="1"/>
    <xf numFmtId="4" fontId="6" fillId="12" borderId="117" xfId="0" applyNumberFormat="1" applyFont="1" applyFill="1" applyBorder="1"/>
    <xf numFmtId="4" fontId="6" fillId="0" borderId="116" xfId="0" applyNumberFormat="1" applyFont="1" applyBorder="1"/>
    <xf numFmtId="4" fontId="6" fillId="12" borderId="128" xfId="0" applyNumberFormat="1" applyFont="1" applyFill="1" applyBorder="1"/>
    <xf numFmtId="4" fontId="6" fillId="8" borderId="116" xfId="0" applyNumberFormat="1" applyFont="1" applyFill="1" applyBorder="1" applyAlignment="1" applyProtection="1">
      <alignment horizontal="right"/>
      <protection locked="0"/>
    </xf>
    <xf numFmtId="4" fontId="6" fillId="12" borderId="116" xfId="0" applyNumberFormat="1" applyFont="1" applyFill="1" applyBorder="1" applyAlignment="1">
      <alignment horizontal="right"/>
    </xf>
    <xf numFmtId="4" fontId="6" fillId="12" borderId="117" xfId="0" applyNumberFormat="1" applyFont="1" applyFill="1" applyBorder="1" applyAlignment="1">
      <alignment horizontal="right"/>
    </xf>
    <xf numFmtId="4" fontId="6" fillId="0" borderId="116" xfId="0" applyNumberFormat="1" applyFont="1" applyBorder="1" applyAlignment="1">
      <alignment horizontal="right"/>
    </xf>
    <xf numFmtId="4" fontId="6" fillId="12" borderId="128" xfId="0" applyNumberFormat="1" applyFont="1" applyFill="1" applyBorder="1" applyAlignment="1">
      <alignment horizontal="right"/>
    </xf>
    <xf numFmtId="1" fontId="6" fillId="0" borderId="116" xfId="0" applyNumberFormat="1" applyFont="1" applyBorder="1" applyAlignment="1" applyProtection="1">
      <alignment horizontal="center"/>
      <protection locked="0"/>
    </xf>
    <xf numFmtId="1" fontId="6" fillId="23" borderId="116" xfId="0" applyNumberFormat="1" applyFont="1" applyFill="1" applyBorder="1" applyAlignment="1" applyProtection="1">
      <alignment horizontal="center"/>
      <protection locked="0"/>
    </xf>
    <xf numFmtId="180" fontId="6" fillId="8" borderId="116" xfId="0" applyNumberFormat="1" applyFont="1" applyFill="1" applyBorder="1" applyAlignment="1">
      <alignment horizontal="right"/>
    </xf>
    <xf numFmtId="14" fontId="6" fillId="0" borderId="117" xfId="0" applyNumberFormat="1" applyFont="1" applyBorder="1"/>
    <xf numFmtId="14" fontId="6" fillId="23" borderId="117" xfId="0" applyNumberFormat="1" applyFont="1" applyFill="1" applyBorder="1" applyAlignment="1">
      <alignment horizontal="center"/>
    </xf>
    <xf numFmtId="14" fontId="6" fillId="23" borderId="117" xfId="0" applyNumberFormat="1" applyFont="1" applyFill="1" applyBorder="1"/>
    <xf numFmtId="0" fontId="6" fillId="12" borderId="117" xfId="0" applyFont="1" applyFill="1" applyBorder="1"/>
    <xf numFmtId="180" fontId="6" fillId="0" borderId="116" xfId="0" applyNumberFormat="1" applyFont="1" applyBorder="1" applyAlignment="1" applyProtection="1">
      <alignment horizontal="right"/>
      <protection locked="0"/>
    </xf>
    <xf numFmtId="178" fontId="6" fillId="0" borderId="116" xfId="0" applyNumberFormat="1" applyFont="1" applyBorder="1" applyAlignment="1" applyProtection="1">
      <alignment horizontal="right"/>
      <protection locked="0"/>
    </xf>
    <xf numFmtId="180" fontId="6" fillId="23" borderId="116" xfId="0" applyNumberFormat="1" applyFont="1" applyFill="1" applyBorder="1" applyAlignment="1" applyProtection="1">
      <alignment horizontal="right"/>
      <protection locked="0"/>
    </xf>
    <xf numFmtId="2" fontId="6" fillId="0" borderId="116" xfId="0" applyNumberFormat="1" applyFont="1" applyBorder="1" applyAlignment="1" applyProtection="1">
      <alignment horizontal="right"/>
      <protection locked="0"/>
    </xf>
    <xf numFmtId="180" fontId="6" fillId="23" borderId="116" xfId="0" applyNumberFormat="1" applyFont="1" applyFill="1" applyBorder="1" applyAlignment="1">
      <alignment horizontal="right"/>
    </xf>
    <xf numFmtId="0" fontId="6" fillId="37" borderId="117" xfId="0" applyFont="1" applyFill="1" applyBorder="1"/>
    <xf numFmtId="0" fontId="6" fillId="8" borderId="117" xfId="0" applyFont="1" applyFill="1" applyBorder="1" applyAlignment="1">
      <alignment horizontal="center" wrapText="1"/>
    </xf>
    <xf numFmtId="1" fontId="6" fillId="0" borderId="116" xfId="0" applyNumberFormat="1" applyFont="1" applyBorder="1" applyAlignment="1" applyProtection="1">
      <alignment horizontal="center" wrapText="1"/>
      <protection locked="0"/>
    </xf>
    <xf numFmtId="1" fontId="6" fillId="0" borderId="117" xfId="0" applyNumberFormat="1" applyFont="1" applyBorder="1" applyAlignment="1" applyProtection="1">
      <alignment horizontal="center" wrapText="1"/>
      <protection locked="0"/>
    </xf>
    <xf numFmtId="1" fontId="6" fillId="0" borderId="128" xfId="0" applyNumberFormat="1" applyFont="1" applyBorder="1" applyAlignment="1" applyProtection="1">
      <alignment horizontal="center" wrapText="1"/>
      <protection locked="0"/>
    </xf>
    <xf numFmtId="0" fontId="59" fillId="38" borderId="116" xfId="0" applyFont="1" applyFill="1" applyBorder="1" applyAlignment="1">
      <alignment horizontal="left"/>
    </xf>
    <xf numFmtId="2" fontId="6" fillId="23" borderId="116" xfId="0" applyNumberFormat="1" applyFont="1" applyFill="1" applyBorder="1" applyAlignment="1" applyProtection="1">
      <alignment horizontal="right"/>
      <protection locked="0"/>
    </xf>
    <xf numFmtId="2" fontId="6" fillId="0" borderId="117" xfId="0" applyNumberFormat="1" applyFont="1" applyBorder="1" applyAlignment="1" applyProtection="1">
      <alignment horizontal="right"/>
      <protection locked="0"/>
    </xf>
    <xf numFmtId="2" fontId="6" fillId="0" borderId="128" xfId="0" applyNumberFormat="1" applyFont="1" applyBorder="1" applyAlignment="1" applyProtection="1">
      <alignment horizontal="right"/>
      <protection locked="0"/>
    </xf>
    <xf numFmtId="178" fontId="6" fillId="0" borderId="117" xfId="0" applyNumberFormat="1" applyFont="1" applyBorder="1" applyAlignment="1" applyProtection="1">
      <alignment horizontal="right"/>
      <protection locked="0"/>
    </xf>
    <xf numFmtId="178" fontId="6" fillId="0" borderId="128" xfId="0" applyNumberFormat="1" applyFont="1" applyBorder="1" applyAlignment="1" applyProtection="1">
      <alignment horizontal="right"/>
      <protection locked="0"/>
    </xf>
    <xf numFmtId="180" fontId="6" fillId="0" borderId="117" xfId="0" applyNumberFormat="1" applyFont="1" applyBorder="1" applyAlignment="1" applyProtection="1">
      <alignment horizontal="right"/>
      <protection locked="0"/>
    </xf>
    <xf numFmtId="180" fontId="6" fillId="0" borderId="128" xfId="0" applyNumberFormat="1" applyFont="1" applyBorder="1" applyAlignment="1" applyProtection="1">
      <alignment horizontal="right"/>
      <protection locked="0"/>
    </xf>
    <xf numFmtId="180" fontId="6" fillId="0" borderId="116" xfId="0" applyNumberFormat="1" applyFont="1" applyBorder="1" applyAlignment="1">
      <alignment horizontal="right"/>
    </xf>
    <xf numFmtId="180" fontId="6" fillId="0" borderId="117" xfId="0" applyNumberFormat="1" applyFont="1" applyBorder="1" applyAlignment="1">
      <alignment horizontal="right"/>
    </xf>
    <xf numFmtId="180" fontId="6" fillId="0" borderId="128" xfId="0" applyNumberFormat="1" applyFont="1" applyBorder="1" applyAlignment="1">
      <alignment horizontal="right"/>
    </xf>
    <xf numFmtId="2" fontId="6" fillId="0" borderId="116" xfId="0" applyNumberFormat="1" applyFont="1" applyBorder="1" applyAlignment="1">
      <alignment horizontal="right"/>
    </xf>
    <xf numFmtId="180" fontId="6" fillId="28" borderId="116" xfId="0" applyNumberFormat="1" applyFont="1" applyFill="1" applyBorder="1" applyAlignment="1">
      <alignment horizontal="right"/>
    </xf>
    <xf numFmtId="180" fontId="6" fillId="8" borderId="117" xfId="0" applyNumberFormat="1" applyFont="1" applyFill="1" applyBorder="1" applyAlignment="1">
      <alignment horizontal="right"/>
    </xf>
    <xf numFmtId="180" fontId="6" fillId="23" borderId="117" xfId="0" applyNumberFormat="1" applyFont="1" applyFill="1" applyBorder="1" applyAlignment="1">
      <alignment horizontal="right"/>
    </xf>
    <xf numFmtId="180" fontId="6" fillId="8" borderId="128" xfId="0" applyNumberFormat="1" applyFont="1" applyFill="1" applyBorder="1" applyAlignment="1">
      <alignment horizontal="right"/>
    </xf>
    <xf numFmtId="178" fontId="6" fillId="23" borderId="116" xfId="0" applyNumberFormat="1" applyFont="1" applyFill="1" applyBorder="1" applyAlignment="1" applyProtection="1">
      <alignment horizontal="right"/>
      <protection locked="0"/>
    </xf>
    <xf numFmtId="180" fontId="6" fillId="28" borderId="116" xfId="0" applyNumberFormat="1" applyFont="1" applyFill="1" applyBorder="1" applyAlignment="1" applyProtection="1">
      <alignment horizontal="right"/>
      <protection locked="0"/>
    </xf>
    <xf numFmtId="0" fontId="128" fillId="38" borderId="116" xfId="0" applyFont="1" applyFill="1" applyBorder="1" applyAlignment="1">
      <alignment horizontal="left"/>
    </xf>
    <xf numFmtId="180" fontId="6" fillId="8" borderId="116" xfId="0" applyNumberFormat="1" applyFont="1" applyFill="1" applyBorder="1" applyAlignment="1" applyProtection="1">
      <alignment horizontal="right"/>
      <protection locked="0"/>
    </xf>
    <xf numFmtId="180" fontId="6" fillId="8" borderId="117" xfId="0" applyNumberFormat="1" applyFont="1" applyFill="1" applyBorder="1"/>
    <xf numFmtId="180" fontId="6" fillId="23" borderId="117" xfId="0" applyNumberFormat="1" applyFont="1" applyFill="1" applyBorder="1"/>
    <xf numFmtId="180" fontId="6" fillId="0" borderId="116" xfId="0" applyNumberFormat="1" applyFont="1" applyBorder="1" applyProtection="1">
      <protection locked="0"/>
    </xf>
    <xf numFmtId="180" fontId="6" fillId="23" borderId="116" xfId="0" applyNumberFormat="1" applyFont="1" applyFill="1" applyBorder="1" applyProtection="1">
      <protection locked="0"/>
    </xf>
    <xf numFmtId="180" fontId="6" fillId="0" borderId="117" xfId="0" applyNumberFormat="1" applyFont="1" applyBorder="1" applyProtection="1">
      <protection locked="0"/>
    </xf>
    <xf numFmtId="180" fontId="6" fillId="0" borderId="128" xfId="0" applyNumberFormat="1" applyFont="1" applyBorder="1" applyProtection="1">
      <protection locked="0"/>
    </xf>
    <xf numFmtId="180" fontId="6" fillId="8" borderId="116" xfId="0" applyNumberFormat="1" applyFont="1" applyFill="1" applyBorder="1"/>
    <xf numFmtId="180" fontId="6" fillId="23" borderId="116" xfId="0" applyNumberFormat="1" applyFont="1" applyFill="1" applyBorder="1"/>
    <xf numFmtId="180" fontId="6" fillId="0" borderId="116" xfId="0" applyNumberFormat="1" applyFont="1" applyBorder="1"/>
    <xf numFmtId="180" fontId="6" fillId="0" borderId="117" xfId="0" applyNumberFormat="1" applyFont="1" applyBorder="1"/>
    <xf numFmtId="0" fontId="108" fillId="0" borderId="128" xfId="0" applyFont="1" applyBorder="1" applyProtection="1">
      <protection locked="0"/>
    </xf>
    <xf numFmtId="0" fontId="6" fillId="0" borderId="127" xfId="0" applyFont="1" applyBorder="1" applyAlignment="1" applyProtection="1">
      <alignment horizontal="right"/>
      <protection locked="0"/>
    </xf>
    <xf numFmtId="0" fontId="6" fillId="0" borderId="112" xfId="0" applyFont="1" applyBorder="1" applyAlignment="1" applyProtection="1">
      <alignment horizontal="right"/>
      <protection locked="0"/>
    </xf>
    <xf numFmtId="0" fontId="108" fillId="0" borderId="128" xfId="0" applyFont="1" applyBorder="1" applyAlignment="1" applyProtection="1">
      <alignment horizontal="right"/>
      <protection locked="0"/>
    </xf>
    <xf numFmtId="0" fontId="169" fillId="38" borderId="116" xfId="0" applyFont="1" applyFill="1" applyBorder="1" applyAlignment="1">
      <alignment horizontal="left"/>
    </xf>
    <xf numFmtId="4" fontId="108" fillId="0" borderId="128" xfId="0" applyNumberFormat="1" applyFont="1" applyBorder="1" applyAlignment="1" applyProtection="1">
      <alignment horizontal="right"/>
      <protection locked="0"/>
    </xf>
    <xf numFmtId="0" fontId="90" fillId="38" borderId="116" xfId="0" applyFont="1" applyFill="1" applyBorder="1" applyAlignment="1">
      <alignment vertical="top" wrapText="1"/>
    </xf>
    <xf numFmtId="0" fontId="74" fillId="38" borderId="116" xfId="0" applyFont="1" applyFill="1" applyBorder="1" applyAlignment="1">
      <alignment wrapText="1"/>
    </xf>
    <xf numFmtId="0" fontId="73" fillId="38" borderId="119" xfId="0" applyFont="1" applyFill="1" applyBorder="1" applyAlignment="1">
      <alignment horizontal="left"/>
    </xf>
    <xf numFmtId="0" fontId="183" fillId="38" borderId="124" xfId="0" applyFont="1" applyFill="1" applyBorder="1" applyAlignment="1">
      <alignment horizontal="center"/>
    </xf>
    <xf numFmtId="4" fontId="6" fillId="0" borderId="116" xfId="0" applyNumberFormat="1" applyFont="1" applyBorder="1" applyAlignment="1">
      <alignment horizontal="center"/>
    </xf>
    <xf numFmtId="4" fontId="108" fillId="0" borderId="116" xfId="0" applyNumberFormat="1" applyFont="1" applyBorder="1" applyAlignment="1">
      <alignment horizontal="right"/>
    </xf>
    <xf numFmtId="4" fontId="108" fillId="0" borderId="117" xfId="0" applyNumberFormat="1" applyFont="1" applyBorder="1" applyAlignment="1">
      <alignment horizontal="right"/>
    </xf>
    <xf numFmtId="4" fontId="108" fillId="0" borderId="128" xfId="0" applyNumberFormat="1" applyFont="1" applyBorder="1" applyAlignment="1">
      <alignment horizontal="right"/>
    </xf>
    <xf numFmtId="0" fontId="108" fillId="0" borderId="116" xfId="0" applyFont="1" applyBorder="1" applyAlignment="1" applyProtection="1">
      <alignment horizontal="right"/>
      <protection locked="0"/>
    </xf>
    <xf numFmtId="0" fontId="108" fillId="0" borderId="117" xfId="0" applyFont="1" applyBorder="1" applyAlignment="1" applyProtection="1">
      <alignment horizontal="right"/>
      <protection locked="0"/>
    </xf>
    <xf numFmtId="4" fontId="108" fillId="0" borderId="116" xfId="0" applyNumberFormat="1" applyFont="1" applyBorder="1" applyAlignment="1" applyProtection="1">
      <alignment horizontal="right"/>
      <protection locked="0"/>
    </xf>
    <xf numFmtId="4" fontId="108" fillId="0" borderId="117" xfId="0" applyNumberFormat="1" applyFont="1" applyBorder="1" applyAlignment="1" applyProtection="1">
      <alignment horizontal="right"/>
      <protection locked="0"/>
    </xf>
    <xf numFmtId="0" fontId="108" fillId="0" borderId="130" xfId="0" applyFont="1" applyBorder="1" applyAlignment="1" applyProtection="1">
      <alignment horizontal="right"/>
      <protection locked="0"/>
    </xf>
    <xf numFmtId="0" fontId="7" fillId="38" borderId="116" xfId="0" applyFont="1" applyFill="1" applyBorder="1" applyAlignment="1">
      <alignment vertical="top" wrapText="1"/>
    </xf>
    <xf numFmtId="0" fontId="81" fillId="0" borderId="124" xfId="0" applyFont="1" applyBorder="1" applyAlignment="1">
      <alignment horizontal="center"/>
    </xf>
    <xf numFmtId="0" fontId="169" fillId="42" borderId="116" xfId="0" applyFont="1" applyFill="1" applyBorder="1" applyAlignment="1">
      <alignment horizontal="left"/>
    </xf>
    <xf numFmtId="4" fontId="6" fillId="14" borderId="117" xfId="0" applyNumberFormat="1" applyFont="1" applyFill="1" applyBorder="1" applyAlignment="1">
      <alignment horizontal="right"/>
    </xf>
    <xf numFmtId="4" fontId="6" fillId="14" borderId="117" xfId="0" applyNumberFormat="1" applyFont="1" applyFill="1" applyBorder="1" applyAlignment="1" applyProtection="1">
      <alignment horizontal="right"/>
      <protection locked="0"/>
    </xf>
    <xf numFmtId="4" fontId="6" fillId="14" borderId="116" xfId="0" applyNumberFormat="1" applyFont="1" applyFill="1" applyBorder="1" applyAlignment="1" applyProtection="1">
      <alignment horizontal="right"/>
      <protection locked="0"/>
    </xf>
    <xf numFmtId="4" fontId="6" fillId="14" borderId="128" xfId="0" applyNumberFormat="1" applyFont="1" applyFill="1" applyBorder="1" applyAlignment="1" applyProtection="1">
      <alignment horizontal="right"/>
      <protection locked="0"/>
    </xf>
    <xf numFmtId="0" fontId="81" fillId="0" borderId="131" xfId="0" applyFont="1" applyBorder="1" applyAlignment="1">
      <alignment horizontal="center"/>
    </xf>
    <xf numFmtId="0" fontId="0" fillId="0" borderId="116" xfId="0" applyBorder="1"/>
    <xf numFmtId="0" fontId="3" fillId="23" borderId="116" xfId="0" applyFont="1" applyFill="1" applyBorder="1"/>
    <xf numFmtId="180" fontId="6" fillId="0" borderId="117" xfId="0" applyNumberFormat="1" applyFont="1" applyBorder="1" applyAlignment="1" applyProtection="1">
      <alignment horizontal="center"/>
      <protection locked="0"/>
    </xf>
    <xf numFmtId="0" fontId="3" fillId="23" borderId="116" xfId="0" applyFont="1" applyFill="1" applyBorder="1" applyAlignment="1">
      <alignment horizontal="center"/>
    </xf>
    <xf numFmtId="0" fontId="3" fillId="0" borderId="116" xfId="0" applyFont="1" applyBorder="1" applyAlignment="1">
      <alignment horizontal="center"/>
    </xf>
    <xf numFmtId="180" fontId="6" fillId="0" borderId="128" xfId="0" applyNumberFormat="1" applyFont="1" applyBorder="1" applyAlignment="1" applyProtection="1">
      <alignment horizontal="center"/>
      <protection locked="0"/>
    </xf>
    <xf numFmtId="0" fontId="3" fillId="0" borderId="116" xfId="0" applyFont="1" applyBorder="1"/>
    <xf numFmtId="180" fontId="6" fillId="0" borderId="117" xfId="0" applyNumberFormat="1" applyFont="1" applyBorder="1" applyAlignment="1">
      <alignment horizontal="center"/>
    </xf>
    <xf numFmtId="180" fontId="6" fillId="0" borderId="128" xfId="0" applyNumberFormat="1" applyFont="1" applyBorder="1" applyAlignment="1">
      <alignment horizontal="center"/>
    </xf>
    <xf numFmtId="0" fontId="63" fillId="26" borderId="124" xfId="0" applyFont="1" applyFill="1" applyBorder="1" applyAlignment="1">
      <alignment horizontal="center"/>
    </xf>
    <xf numFmtId="0" fontId="6" fillId="26" borderId="116" xfId="0" applyFont="1" applyFill="1" applyBorder="1"/>
    <xf numFmtId="0" fontId="73" fillId="23" borderId="116" xfId="0" applyFont="1" applyFill="1" applyBorder="1"/>
    <xf numFmtId="0" fontId="187" fillId="26" borderId="124" xfId="0" applyFont="1" applyFill="1" applyBorder="1" applyAlignment="1">
      <alignment horizontal="center"/>
    </xf>
    <xf numFmtId="0" fontId="73" fillId="26" borderId="116" xfId="0" applyFont="1" applyFill="1" applyBorder="1"/>
    <xf numFmtId="0" fontId="6" fillId="14" borderId="116" xfId="0" applyFont="1" applyFill="1" applyBorder="1"/>
    <xf numFmtId="0" fontId="6" fillId="3" borderId="116" xfId="0" applyFont="1" applyFill="1" applyBorder="1" applyAlignment="1">
      <alignment horizontal="center"/>
    </xf>
    <xf numFmtId="0" fontId="6" fillId="8" borderId="124" xfId="0" applyFont="1" applyFill="1" applyBorder="1"/>
    <xf numFmtId="0" fontId="6" fillId="0" borderId="125" xfId="0" applyFont="1" applyBorder="1" applyProtection="1">
      <protection locked="0"/>
    </xf>
    <xf numFmtId="0" fontId="6" fillId="0" borderId="126" xfId="0" applyFont="1" applyBorder="1" applyProtection="1">
      <protection locked="0"/>
    </xf>
    <xf numFmtId="0" fontId="6" fillId="0" borderId="129" xfId="0" applyFont="1" applyBorder="1" applyProtection="1">
      <protection locked="0"/>
    </xf>
    <xf numFmtId="1" fontId="6" fillId="0" borderId="124" xfId="0" applyNumberFormat="1" applyFont="1" applyBorder="1"/>
    <xf numFmtId="1" fontId="6" fillId="0" borderId="116" xfId="0" applyNumberFormat="1" applyFont="1" applyBorder="1"/>
    <xf numFmtId="1" fontId="6" fillId="0" borderId="128" xfId="0" applyNumberFormat="1" applyFont="1" applyBorder="1"/>
    <xf numFmtId="1" fontId="6" fillId="0" borderId="117" xfId="0" applyNumberFormat="1" applyFont="1" applyBorder="1"/>
    <xf numFmtId="180" fontId="6" fillId="21" borderId="124" xfId="0" applyNumberFormat="1" applyFont="1" applyFill="1" applyBorder="1" applyProtection="1">
      <protection locked="0"/>
    </xf>
    <xf numFmtId="180" fontId="6" fillId="21" borderId="116" xfId="0" applyNumberFormat="1" applyFont="1" applyFill="1" applyBorder="1" applyProtection="1">
      <protection locked="0"/>
    </xf>
    <xf numFmtId="0" fontId="6" fillId="21" borderId="116" xfId="0" applyFont="1" applyFill="1" applyBorder="1" applyProtection="1">
      <protection locked="0"/>
    </xf>
    <xf numFmtId="0" fontId="6" fillId="21" borderId="128" xfId="0" applyFont="1" applyFill="1" applyBorder="1" applyProtection="1">
      <protection locked="0"/>
    </xf>
    <xf numFmtId="0" fontId="6" fillId="21" borderId="117" xfId="0" applyFont="1" applyFill="1" applyBorder="1" applyProtection="1">
      <protection locked="0"/>
    </xf>
    <xf numFmtId="1" fontId="6" fillId="36" borderId="116" xfId="0" applyNumberFormat="1" applyFont="1" applyFill="1" applyBorder="1"/>
    <xf numFmtId="180" fontId="6" fillId="36" borderId="116" xfId="0" applyNumberFormat="1" applyFont="1" applyFill="1" applyBorder="1" applyProtection="1">
      <protection locked="0"/>
    </xf>
    <xf numFmtId="0" fontId="7" fillId="0" borderId="116" xfId="0" applyFont="1" applyBorder="1" applyAlignment="1">
      <alignment wrapText="1"/>
    </xf>
    <xf numFmtId="0" fontId="59" fillId="0" borderId="112" xfId="0" applyFont="1" applyBorder="1" applyAlignment="1">
      <alignment horizontal="left"/>
    </xf>
    <xf numFmtId="0" fontId="3" fillId="0" borderId="120" xfId="0" applyFont="1" applyBorder="1" applyAlignment="1">
      <alignment vertical="top" wrapText="1"/>
    </xf>
    <xf numFmtId="168" fontId="6" fillId="0" borderId="117" xfId="1" applyFont="1" applyBorder="1" applyAlignment="1">
      <alignment horizontal="center"/>
    </xf>
    <xf numFmtId="168" fontId="6" fillId="0" borderId="116" xfId="1" applyFont="1" applyBorder="1" applyAlignment="1">
      <alignment horizontal="center"/>
    </xf>
    <xf numFmtId="168" fontId="6" fillId="0" borderId="128" xfId="1" applyFont="1" applyBorder="1" applyAlignment="1">
      <alignment horizontal="center"/>
    </xf>
    <xf numFmtId="0" fontId="6" fillId="0" borderId="121" xfId="0" applyFont="1" applyBorder="1"/>
    <xf numFmtId="168" fontId="6" fillId="0" borderId="117" xfId="1" applyFont="1" applyFill="1" applyBorder="1"/>
    <xf numFmtId="168" fontId="6" fillId="0" borderId="116" xfId="1" applyFont="1" applyFill="1" applyBorder="1"/>
    <xf numFmtId="168" fontId="6" fillId="0" borderId="116" xfId="1" applyFont="1" applyFill="1" applyBorder="1" applyAlignment="1">
      <alignment horizontal="center"/>
    </xf>
    <xf numFmtId="168" fontId="6" fillId="0" borderId="128" xfId="1" applyFont="1" applyFill="1" applyBorder="1"/>
    <xf numFmtId="1" fontId="6" fillId="8" borderId="117" xfId="0" applyNumberFormat="1" applyFont="1" applyFill="1" applyBorder="1" applyAlignment="1">
      <alignment horizontal="center"/>
    </xf>
    <xf numFmtId="183" fontId="6" fillId="0" borderId="117" xfId="1" applyNumberFormat="1" applyFont="1" applyFill="1" applyBorder="1" applyAlignment="1">
      <alignment horizontal="center"/>
    </xf>
    <xf numFmtId="183" fontId="6" fillId="0" borderId="116" xfId="1" applyNumberFormat="1" applyFont="1" applyFill="1" applyBorder="1" applyAlignment="1">
      <alignment horizontal="center"/>
    </xf>
    <xf numFmtId="183" fontId="6" fillId="23" borderId="116" xfId="1" applyNumberFormat="1" applyFont="1" applyFill="1" applyBorder="1" applyAlignment="1">
      <alignment horizontal="center"/>
    </xf>
    <xf numFmtId="183" fontId="6" fillId="23" borderId="117" xfId="1" applyNumberFormat="1" applyFont="1" applyFill="1" applyBorder="1" applyAlignment="1">
      <alignment horizontal="center"/>
    </xf>
    <xf numFmtId="183" fontId="122" fillId="23" borderId="116" xfId="1" applyNumberFormat="1" applyFont="1" applyFill="1" applyBorder="1" applyAlignment="1">
      <alignment horizontal="center"/>
    </xf>
    <xf numFmtId="183" fontId="6" fillId="0" borderId="128" xfId="1" applyNumberFormat="1" applyFont="1" applyFill="1" applyBorder="1" applyAlignment="1">
      <alignment horizontal="center"/>
    </xf>
    <xf numFmtId="4" fontId="6" fillId="8" borderId="117" xfId="0" applyNumberFormat="1" applyFont="1" applyFill="1" applyBorder="1" applyAlignment="1">
      <alignment horizontal="center"/>
    </xf>
    <xf numFmtId="3" fontId="6" fillId="23" borderId="117" xfId="0" applyNumberFormat="1" applyFont="1" applyFill="1" applyBorder="1" applyAlignment="1">
      <alignment horizontal="center"/>
    </xf>
    <xf numFmtId="168" fontId="6" fillId="0" borderId="117" xfId="1" applyFont="1" applyFill="1" applyBorder="1" applyAlignment="1">
      <alignment horizontal="right"/>
    </xf>
    <xf numFmtId="4" fontId="6" fillId="23" borderId="117" xfId="0" applyNumberFormat="1" applyFont="1" applyFill="1" applyBorder="1" applyAlignment="1">
      <alignment horizontal="center"/>
    </xf>
    <xf numFmtId="0" fontId="81" fillId="0" borderId="124" xfId="0" applyFont="1" applyBorder="1" applyAlignment="1">
      <alignment horizontal="left"/>
    </xf>
    <xf numFmtId="0" fontId="81" fillId="26" borderId="124" xfId="0" applyFont="1" applyFill="1" applyBorder="1" applyAlignment="1">
      <alignment horizontal="left"/>
    </xf>
    <xf numFmtId="0" fontId="62" fillId="26" borderId="116" xfId="0" applyFont="1" applyFill="1" applyBorder="1"/>
    <xf numFmtId="168" fontId="6" fillId="0" borderId="116" xfId="1" applyFont="1" applyFill="1" applyBorder="1" applyAlignment="1">
      <alignment horizontal="right"/>
    </xf>
    <xf numFmtId="3" fontId="6" fillId="23" borderId="116" xfId="0" applyNumberFormat="1" applyFont="1" applyFill="1" applyBorder="1" applyAlignment="1">
      <alignment horizontal="center"/>
    </xf>
    <xf numFmtId="168" fontId="6" fillId="23" borderId="117" xfId="1" applyFont="1" applyFill="1" applyBorder="1" applyAlignment="1">
      <alignment horizontal="right"/>
    </xf>
    <xf numFmtId="168" fontId="6" fillId="23" borderId="116" xfId="1" applyFont="1" applyFill="1" applyBorder="1" applyAlignment="1">
      <alignment horizontal="right"/>
    </xf>
    <xf numFmtId="4" fontId="6" fillId="0" borderId="128" xfId="0" applyNumberFormat="1" applyFont="1" applyBorder="1" applyAlignment="1">
      <alignment horizontal="center"/>
    </xf>
    <xf numFmtId="1" fontId="6" fillId="0" borderId="116" xfId="1" applyNumberFormat="1" applyFont="1" applyFill="1" applyBorder="1" applyAlignment="1">
      <alignment horizontal="center"/>
    </xf>
    <xf numFmtId="1" fontId="6" fillId="0" borderId="117" xfId="1" applyNumberFormat="1" applyFont="1" applyFill="1" applyBorder="1" applyAlignment="1">
      <alignment horizontal="center"/>
    </xf>
    <xf numFmtId="1" fontId="6" fillId="23" borderId="116" xfId="1" applyNumberFormat="1" applyFont="1" applyFill="1" applyBorder="1" applyAlignment="1">
      <alignment horizontal="center"/>
    </xf>
    <xf numFmtId="1" fontId="6" fillId="23" borderId="116" xfId="1" applyNumberFormat="1" applyFont="1" applyFill="1" applyBorder="1"/>
    <xf numFmtId="1" fontId="6" fillId="0" borderId="116" xfId="1" applyNumberFormat="1" applyFont="1" applyFill="1" applyBorder="1"/>
    <xf numFmtId="1" fontId="6" fillId="23" borderId="117" xfId="1" applyNumberFormat="1" applyFont="1" applyFill="1" applyBorder="1" applyAlignment="1">
      <alignment horizontal="center"/>
    </xf>
    <xf numFmtId="1" fontId="6" fillId="0" borderId="117" xfId="1" applyNumberFormat="1" applyFont="1" applyFill="1" applyBorder="1"/>
    <xf numFmtId="0" fontId="183" fillId="26" borderId="124" xfId="0" applyFont="1" applyFill="1" applyBorder="1" applyAlignment="1">
      <alignment horizontal="left"/>
    </xf>
    <xf numFmtId="0" fontId="169" fillId="26" borderId="116" xfId="0" applyFont="1" applyFill="1" applyBorder="1"/>
    <xf numFmtId="0" fontId="6" fillId="0" borderId="117" xfId="1" applyNumberFormat="1" applyFont="1" applyFill="1" applyBorder="1"/>
    <xf numFmtId="0" fontId="6" fillId="0" borderId="116" xfId="1" applyNumberFormat="1" applyFont="1" applyFill="1" applyBorder="1" applyAlignment="1">
      <alignment horizontal="center"/>
    </xf>
    <xf numFmtId="0" fontId="6" fillId="0" borderId="116" xfId="1" applyNumberFormat="1" applyFont="1" applyFill="1" applyBorder="1"/>
    <xf numFmtId="0" fontId="6" fillId="23" borderId="116" xfId="1" applyNumberFormat="1" applyFont="1" applyFill="1" applyBorder="1" applyAlignment="1">
      <alignment horizontal="center"/>
    </xf>
    <xf numFmtId="0" fontId="6" fillId="23" borderId="116" xfId="1" applyNumberFormat="1" applyFont="1" applyFill="1" applyBorder="1"/>
    <xf numFmtId="1" fontId="6" fillId="0" borderId="116" xfId="1" applyNumberFormat="1" applyFont="1" applyBorder="1" applyAlignment="1">
      <alignment horizontal="center"/>
    </xf>
    <xf numFmtId="1" fontId="6" fillId="0" borderId="128" xfId="1" applyNumberFormat="1" applyFont="1" applyFill="1" applyBorder="1" applyAlignment="1">
      <alignment horizontal="center"/>
    </xf>
    <xf numFmtId="168" fontId="6" fillId="0" borderId="116" xfId="1" applyFont="1" applyBorder="1" applyAlignment="1">
      <alignment horizontal="right"/>
    </xf>
    <xf numFmtId="0" fontId="6" fillId="23" borderId="128" xfId="0" applyFont="1" applyFill="1" applyBorder="1" applyAlignment="1">
      <alignment horizontal="center"/>
    </xf>
    <xf numFmtId="0" fontId="6" fillId="0" borderId="117" xfId="1" applyNumberFormat="1" applyFont="1" applyBorder="1"/>
    <xf numFmtId="0" fontId="6" fillId="0" borderId="116" xfId="1" applyNumberFormat="1" applyFont="1" applyBorder="1"/>
    <xf numFmtId="0" fontId="6" fillId="23" borderId="117" xfId="1" applyNumberFormat="1" applyFont="1" applyFill="1" applyBorder="1"/>
    <xf numFmtId="0" fontId="6" fillId="0" borderId="128" xfId="1" applyNumberFormat="1" applyFont="1" applyBorder="1"/>
    <xf numFmtId="1" fontId="6" fillId="0" borderId="117" xfId="1" applyNumberFormat="1" applyFont="1" applyBorder="1" applyAlignment="1">
      <alignment horizontal="center"/>
    </xf>
    <xf numFmtId="1" fontId="6" fillId="0" borderId="128" xfId="1" applyNumberFormat="1" applyFont="1" applyBorder="1" applyAlignment="1">
      <alignment horizontal="center"/>
    </xf>
    <xf numFmtId="168" fontId="6" fillId="0" borderId="117" xfId="1" applyFont="1" applyBorder="1" applyAlignment="1">
      <alignment horizontal="right"/>
    </xf>
    <xf numFmtId="168" fontId="6" fillId="0" borderId="128" xfId="1" applyFont="1" applyBorder="1" applyAlignment="1">
      <alignment horizontal="right"/>
    </xf>
    <xf numFmtId="168" fontId="6" fillId="23" borderId="116" xfId="1" applyFont="1" applyFill="1" applyBorder="1"/>
    <xf numFmtId="168" fontId="6" fillId="23" borderId="116" xfId="1" applyFont="1" applyFill="1" applyBorder="1" applyAlignment="1">
      <alignment horizontal="center"/>
    </xf>
    <xf numFmtId="168" fontId="6" fillId="0" borderId="128" xfId="1" applyFont="1" applyFill="1" applyBorder="1" applyAlignment="1">
      <alignment horizontal="right"/>
    </xf>
    <xf numFmtId="168" fontId="6" fillId="0" borderId="117" xfId="1" applyFont="1" applyBorder="1"/>
    <xf numFmtId="168" fontId="6" fillId="0" borderId="116" xfId="1" applyFont="1" applyBorder="1"/>
    <xf numFmtId="168" fontId="6" fillId="0" borderId="128" xfId="1" applyFont="1" applyBorder="1"/>
    <xf numFmtId="49" fontId="81" fillId="0" borderId="124" xfId="0" applyNumberFormat="1" applyFont="1" applyBorder="1" applyAlignment="1">
      <alignment horizontal="center"/>
    </xf>
    <xf numFmtId="0" fontId="128" fillId="26" borderId="116" xfId="0" applyFont="1" applyFill="1" applyBorder="1"/>
    <xf numFmtId="0" fontId="6" fillId="26" borderId="116" xfId="0" applyFont="1" applyFill="1" applyBorder="1" applyAlignment="1" applyProtection="1">
      <alignment horizontal="center"/>
      <protection locked="0"/>
    </xf>
    <xf numFmtId="14" fontId="6" fillId="0" borderId="116" xfId="0" quotePrefix="1" applyNumberFormat="1" applyFont="1" applyBorder="1" applyAlignment="1">
      <alignment horizontal="center"/>
    </xf>
    <xf numFmtId="14" fontId="6" fillId="0" borderId="117" xfId="0" quotePrefix="1" applyNumberFormat="1" applyFont="1" applyBorder="1" applyAlignment="1">
      <alignment horizontal="center"/>
    </xf>
    <xf numFmtId="14" fontId="6" fillId="0" borderId="128" xfId="0" quotePrefix="1" applyNumberFormat="1" applyFont="1" applyBorder="1" applyAlignment="1">
      <alignment horizontal="center"/>
    </xf>
    <xf numFmtId="170" fontId="6" fillId="0" borderId="116" xfId="1" applyNumberFormat="1" applyFont="1" applyFill="1" applyBorder="1" applyAlignment="1" applyProtection="1">
      <alignment horizontal="center"/>
      <protection locked="0"/>
    </xf>
    <xf numFmtId="170" fontId="6" fillId="23" borderId="116" xfId="1" applyNumberFormat="1" applyFont="1" applyFill="1" applyBorder="1" applyAlignment="1" applyProtection="1">
      <alignment horizontal="center"/>
      <protection locked="0"/>
    </xf>
    <xf numFmtId="0" fontId="59" fillId="0" borderId="116" xfId="0" applyFont="1" applyBorder="1" applyAlignment="1">
      <alignment wrapText="1"/>
    </xf>
    <xf numFmtId="170" fontId="6" fillId="0" borderId="117" xfId="1" applyNumberFormat="1" applyFont="1" applyFill="1" applyBorder="1" applyAlignment="1" applyProtection="1">
      <alignment horizontal="center"/>
      <protection locked="0"/>
    </xf>
    <xf numFmtId="170" fontId="6" fillId="0" borderId="128" xfId="1" applyNumberFormat="1" applyFont="1" applyFill="1" applyBorder="1" applyAlignment="1" applyProtection="1">
      <alignment horizontal="center"/>
      <protection locked="0"/>
    </xf>
    <xf numFmtId="1" fontId="6" fillId="0" borderId="116" xfId="1" applyNumberFormat="1" applyFont="1" applyFill="1" applyBorder="1" applyAlignment="1" applyProtection="1">
      <alignment horizontal="center"/>
      <protection locked="0"/>
    </xf>
    <xf numFmtId="1" fontId="6" fillId="0" borderId="117" xfId="1" applyNumberFormat="1" applyFont="1" applyFill="1" applyBorder="1" applyAlignment="1" applyProtection="1">
      <alignment horizontal="center"/>
      <protection locked="0"/>
    </xf>
    <xf numFmtId="1" fontId="6" fillId="23" borderId="116" xfId="1" applyNumberFormat="1" applyFont="1" applyFill="1" applyBorder="1" applyAlignment="1" applyProtection="1">
      <alignment horizontal="center"/>
      <protection locked="0"/>
    </xf>
    <xf numFmtId="1" fontId="6" fillId="0" borderId="128" xfId="1" applyNumberFormat="1" applyFont="1" applyFill="1" applyBorder="1" applyAlignment="1" applyProtection="1">
      <alignment horizontal="center"/>
      <protection locked="0"/>
    </xf>
    <xf numFmtId="0" fontId="59" fillId="26" borderId="116" xfId="0" applyFont="1" applyFill="1" applyBorder="1"/>
    <xf numFmtId="0" fontId="169" fillId="26" borderId="116" xfId="0" applyFont="1" applyFill="1" applyBorder="1" applyAlignment="1">
      <alignment horizontal="left"/>
    </xf>
    <xf numFmtId="4" fontId="6" fillId="0" borderId="116" xfId="0" applyNumberFormat="1" applyFont="1" applyBorder="1" applyAlignment="1" applyProtection="1">
      <alignment horizontal="left"/>
      <protection locked="0"/>
    </xf>
    <xf numFmtId="4" fontId="6" fillId="0" borderId="117" xfId="0" applyNumberFormat="1" applyFont="1" applyBorder="1" applyAlignment="1" applyProtection="1">
      <alignment horizontal="left"/>
      <protection locked="0"/>
    </xf>
    <xf numFmtId="4" fontId="6" fillId="0" borderId="128" xfId="0" applyNumberFormat="1" applyFont="1" applyBorder="1" applyAlignment="1" applyProtection="1">
      <alignment horizontal="left"/>
      <protection locked="0"/>
    </xf>
    <xf numFmtId="4" fontId="108" fillId="0" borderId="124" xfId="0" applyNumberFormat="1" applyFont="1" applyBorder="1" applyAlignment="1" applyProtection="1">
      <alignment horizontal="left"/>
      <protection locked="0"/>
    </xf>
    <xf numFmtId="0" fontId="6" fillId="0" borderId="132" xfId="0" applyFont="1" applyBorder="1" applyAlignment="1">
      <alignment horizontal="left"/>
    </xf>
    <xf numFmtId="4" fontId="6" fillId="23" borderId="117" xfId="0" applyNumberFormat="1" applyFont="1" applyFill="1" applyBorder="1" applyAlignment="1" applyProtection="1">
      <alignment horizontal="left"/>
      <protection locked="0"/>
    </xf>
    <xf numFmtId="49" fontId="169" fillId="26" borderId="116" xfId="0" applyNumberFormat="1" applyFont="1" applyFill="1" applyBorder="1"/>
    <xf numFmtId="0" fontId="73" fillId="26" borderId="116" xfId="0" applyFont="1" applyFill="1" applyBorder="1" applyAlignment="1" applyProtection="1">
      <alignment horizontal="center"/>
      <protection locked="0"/>
    </xf>
    <xf numFmtId="0" fontId="73" fillId="26" borderId="117" xfId="0" applyFont="1" applyFill="1" applyBorder="1" applyAlignment="1" applyProtection="1">
      <alignment horizontal="center"/>
      <protection locked="0"/>
    </xf>
    <xf numFmtId="0" fontId="73" fillId="26" borderId="116" xfId="0" applyFont="1" applyFill="1" applyBorder="1" applyAlignment="1">
      <alignment horizontal="center"/>
    </xf>
    <xf numFmtId="14" fontId="73" fillId="26" borderId="116" xfId="0" quotePrefix="1" applyNumberFormat="1" applyFont="1" applyFill="1" applyBorder="1" applyAlignment="1">
      <alignment horizontal="center"/>
    </xf>
    <xf numFmtId="14" fontId="73" fillId="26" borderId="117" xfId="0" quotePrefix="1" applyNumberFormat="1" applyFont="1" applyFill="1" applyBorder="1" applyAlignment="1">
      <alignment horizontal="center"/>
    </xf>
    <xf numFmtId="0" fontId="6" fillId="0" borderId="116" xfId="0" quotePrefix="1" applyFont="1" applyBorder="1" applyAlignment="1">
      <alignment horizontal="center"/>
    </xf>
    <xf numFmtId="0" fontId="6" fillId="0" borderId="117" xfId="0" quotePrefix="1" applyFont="1" applyBorder="1" applyAlignment="1">
      <alignment horizontal="center"/>
    </xf>
    <xf numFmtId="49" fontId="183" fillId="26" borderId="124" xfId="0" applyNumberFormat="1" applyFont="1" applyFill="1" applyBorder="1" applyAlignment="1">
      <alignment horizontal="center"/>
    </xf>
    <xf numFmtId="4" fontId="6" fillId="0" borderId="117" xfId="0" applyNumberFormat="1" applyFont="1" applyBorder="1" applyAlignment="1" applyProtection="1">
      <alignment horizontal="center"/>
      <protection locked="0"/>
    </xf>
    <xf numFmtId="4" fontId="6" fillId="0" borderId="128" xfId="0" applyNumberFormat="1" applyFont="1" applyBorder="1" applyAlignment="1" applyProtection="1">
      <alignment horizontal="center"/>
      <protection locked="0"/>
    </xf>
    <xf numFmtId="0" fontId="6" fillId="26" borderId="125" xfId="0" applyFont="1" applyFill="1" applyBorder="1" applyAlignment="1" applyProtection="1">
      <alignment horizontal="center"/>
      <protection locked="0"/>
    </xf>
    <xf numFmtId="0" fontId="6" fillId="0" borderId="125" xfId="0" applyFont="1" applyBorder="1" applyAlignment="1" applyProtection="1">
      <alignment horizontal="center"/>
      <protection locked="0"/>
    </xf>
    <xf numFmtId="0" fontId="6" fillId="0" borderId="126" xfId="0" applyFont="1" applyBorder="1" applyAlignment="1" applyProtection="1">
      <alignment horizontal="center"/>
      <protection locked="0"/>
    </xf>
    <xf numFmtId="0" fontId="6" fillId="0" borderId="129" xfId="0" applyFont="1" applyBorder="1" applyAlignment="1" applyProtection="1">
      <alignment horizontal="center"/>
      <protection locked="0"/>
    </xf>
    <xf numFmtId="0" fontId="6" fillId="23" borderId="126" xfId="0" applyFont="1" applyFill="1" applyBorder="1" applyAlignment="1" applyProtection="1">
      <alignment horizontal="center"/>
      <protection locked="0"/>
    </xf>
    <xf numFmtId="0" fontId="59" fillId="26" borderId="116" xfId="0" applyFont="1" applyFill="1" applyBorder="1" applyAlignment="1">
      <alignment wrapText="1"/>
    </xf>
    <xf numFmtId="4" fontId="6" fillId="8" borderId="117" xfId="0" applyNumberFormat="1" applyFont="1" applyFill="1" applyBorder="1"/>
    <xf numFmtId="2" fontId="6" fillId="0" borderId="116" xfId="0" applyNumberFormat="1" applyFont="1" applyBorder="1"/>
    <xf numFmtId="2" fontId="6" fillId="0" borderId="117" xfId="0" applyNumberFormat="1" applyFont="1" applyBorder="1"/>
    <xf numFmtId="2" fontId="6" fillId="0" borderId="128" xfId="0" applyNumberFormat="1" applyFont="1" applyBorder="1"/>
    <xf numFmtId="2" fontId="6" fillId="23" borderId="116" xfId="0" applyNumberFormat="1" applyFont="1" applyFill="1" applyBorder="1"/>
    <xf numFmtId="2" fontId="6" fillId="23" borderId="117" xfId="0" applyNumberFormat="1" applyFont="1" applyFill="1" applyBorder="1"/>
    <xf numFmtId="0" fontId="62" fillId="3" borderId="116" xfId="0" applyFont="1" applyFill="1" applyBorder="1"/>
    <xf numFmtId="2" fontId="135" fillId="8" borderId="116" xfId="0" applyNumberFormat="1" applyFont="1" applyFill="1" applyBorder="1"/>
    <xf numFmtId="0" fontId="135" fillId="0" borderId="116" xfId="0" applyFont="1" applyBorder="1"/>
    <xf numFmtId="2" fontId="6" fillId="8" borderId="116" xfId="0" applyNumberFormat="1" applyFont="1" applyFill="1" applyBorder="1"/>
    <xf numFmtId="180" fontId="6" fillId="0" borderId="116" xfId="0" applyNumberFormat="1" applyFont="1" applyBorder="1" applyAlignment="1">
      <alignment horizontal="center"/>
    </xf>
    <xf numFmtId="180" fontId="6" fillId="23" borderId="116" xfId="0" applyNumberFormat="1" applyFont="1" applyFill="1" applyBorder="1" applyAlignment="1">
      <alignment horizontal="center"/>
    </xf>
    <xf numFmtId="1" fontId="6" fillId="8" borderId="116" xfId="0" applyNumberFormat="1" applyFont="1" applyFill="1" applyBorder="1"/>
    <xf numFmtId="1" fontId="6" fillId="23" borderId="116" xfId="0" applyNumberFormat="1" applyFont="1" applyFill="1" applyBorder="1" applyAlignment="1">
      <alignment horizontal="center"/>
    </xf>
    <xf numFmtId="1" fontId="6" fillId="0" borderId="116" xfId="0" applyNumberFormat="1" applyFont="1" applyBorder="1" applyAlignment="1">
      <alignment horizontal="center"/>
    </xf>
    <xf numFmtId="1" fontId="6" fillId="23" borderId="116" xfId="0" applyNumberFormat="1" applyFont="1" applyFill="1" applyBorder="1"/>
    <xf numFmtId="1" fontId="6" fillId="0" borderId="116" xfId="0" applyNumberFormat="1" applyFont="1" applyBorder="1" applyProtection="1">
      <protection locked="0"/>
    </xf>
    <xf numFmtId="14" fontId="6" fillId="0" borderId="116" xfId="0" applyNumberFormat="1" applyFont="1" applyBorder="1" applyProtection="1">
      <protection locked="0"/>
    </xf>
    <xf numFmtId="0" fontId="6" fillId="4" borderId="134" xfId="0" applyFont="1" applyFill="1" applyBorder="1"/>
    <xf numFmtId="0" fontId="6" fillId="4" borderId="135" xfId="0" applyFont="1" applyFill="1" applyBorder="1"/>
    <xf numFmtId="0" fontId="6" fillId="4" borderId="136" xfId="0" applyFont="1" applyFill="1" applyBorder="1"/>
    <xf numFmtId="0" fontId="54" fillId="4" borderId="134" xfId="0" applyFont="1" applyFill="1" applyBorder="1"/>
    <xf numFmtId="0" fontId="6" fillId="4" borderId="137" xfId="0" applyFont="1" applyFill="1" applyBorder="1"/>
    <xf numFmtId="0" fontId="6" fillId="4" borderId="138" xfId="0" applyFont="1" applyFill="1" applyBorder="1"/>
    <xf numFmtId="0" fontId="6" fillId="4" borderId="139" xfId="0" applyFont="1" applyFill="1" applyBorder="1"/>
    <xf numFmtId="0" fontId="6" fillId="3" borderId="134" xfId="0" applyFont="1" applyFill="1" applyBorder="1"/>
    <xf numFmtId="0" fontId="6" fillId="3" borderId="135" xfId="0" applyFont="1" applyFill="1" applyBorder="1"/>
    <xf numFmtId="0" fontId="6" fillId="3" borderId="136" xfId="0" applyFont="1" applyFill="1" applyBorder="1"/>
    <xf numFmtId="1" fontId="10" fillId="0" borderId="141" xfId="0" applyNumberFormat="1" applyFont="1" applyBorder="1" applyAlignment="1">
      <alignment horizontal="center"/>
    </xf>
    <xf numFmtId="168" fontId="6" fillId="0" borderId="141" xfId="1" applyFont="1" applyFill="1" applyBorder="1" applyProtection="1"/>
    <xf numFmtId="169" fontId="10" fillId="0" borderId="141" xfId="0" applyNumberFormat="1" applyFont="1" applyBorder="1" applyAlignment="1">
      <alignment horizontal="center"/>
    </xf>
    <xf numFmtId="168" fontId="6" fillId="0" borderId="141" xfId="1" applyFont="1" applyBorder="1" applyProtection="1">
      <protection locked="0"/>
    </xf>
    <xf numFmtId="1" fontId="4" fillId="3" borderId="137" xfId="0" applyNumberFormat="1" applyFont="1" applyFill="1" applyBorder="1"/>
    <xf numFmtId="1" fontId="4" fillId="3" borderId="138" xfId="0" applyNumberFormat="1" applyFont="1" applyFill="1" applyBorder="1"/>
    <xf numFmtId="0" fontId="6" fillId="3" borderId="138" xfId="0" applyFont="1" applyFill="1" applyBorder="1"/>
    <xf numFmtId="0" fontId="6" fillId="3" borderId="139" xfId="0" applyFont="1" applyFill="1" applyBorder="1"/>
    <xf numFmtId="0" fontId="70" fillId="0" borderId="116" xfId="0" applyFont="1" applyBorder="1" applyAlignment="1">
      <alignment vertical="top" wrapText="1"/>
    </xf>
    <xf numFmtId="0" fontId="0" fillId="0" borderId="116" xfId="0" applyBorder="1" applyAlignment="1">
      <alignment horizontal="right"/>
    </xf>
    <xf numFmtId="2" fontId="0" fillId="0" borderId="116" xfId="0" applyNumberFormat="1" applyBorder="1" applyAlignment="1">
      <alignment horizontal="left"/>
    </xf>
    <xf numFmtId="2" fontId="0" fillId="0" borderId="142" xfId="0" applyNumberFormat="1" applyBorder="1"/>
    <xf numFmtId="0" fontId="3" fillId="0" borderId="116" xfId="0" applyFont="1" applyBorder="1" applyAlignment="1">
      <alignment horizontal="right"/>
    </xf>
    <xf numFmtId="0" fontId="3" fillId="0" borderId="116" xfId="0" applyFont="1" applyBorder="1" applyAlignment="1">
      <alignment horizontal="left"/>
    </xf>
    <xf numFmtId="0" fontId="3" fillId="0" borderId="142" xfId="0" applyFont="1" applyBorder="1"/>
    <xf numFmtId="2" fontId="3" fillId="0" borderId="116" xfId="0" applyNumberFormat="1" applyFont="1" applyBorder="1" applyAlignment="1">
      <alignment horizontal="left"/>
    </xf>
    <xf numFmtId="0" fontId="0" fillId="0" borderId="116" xfId="0" applyBorder="1" applyAlignment="1">
      <alignment horizontal="left"/>
    </xf>
    <xf numFmtId="0" fontId="0" fillId="0" borderId="142" xfId="0" applyBorder="1"/>
    <xf numFmtId="0" fontId="0" fillId="0" borderId="143" xfId="0" applyBorder="1"/>
    <xf numFmtId="0" fontId="3" fillId="0" borderId="143" xfId="0" applyFont="1" applyBorder="1"/>
    <xf numFmtId="3" fontId="0" fillId="0" borderId="142" xfId="0" applyNumberFormat="1" applyBorder="1"/>
    <xf numFmtId="177" fontId="0" fillId="0" borderId="97" xfId="0" applyNumberFormat="1" applyBorder="1"/>
    <xf numFmtId="176" fontId="0" fillId="0" borderId="97" xfId="0" applyNumberFormat="1" applyBorder="1"/>
    <xf numFmtId="177" fontId="3" fillId="0" borderId="97" xfId="0" applyNumberFormat="1" applyFont="1" applyBorder="1"/>
    <xf numFmtId="176" fontId="3" fillId="0" borderId="97" xfId="0" applyNumberFormat="1" applyFont="1" applyBorder="1"/>
    <xf numFmtId="176" fontId="9" fillId="0" borderId="116" xfId="0" applyNumberFormat="1" applyFont="1" applyBorder="1"/>
    <xf numFmtId="0" fontId="10" fillId="3" borderId="134" xfId="0" applyFont="1" applyFill="1" applyBorder="1"/>
    <xf numFmtId="1" fontId="174" fillId="3" borderId="135" xfId="0" applyNumberFormat="1" applyFont="1" applyFill="1" applyBorder="1" applyAlignment="1">
      <alignment horizontal="right"/>
    </xf>
    <xf numFmtId="0" fontId="46" fillId="3" borderId="136" xfId="0" applyFont="1" applyFill="1" applyBorder="1" applyAlignment="1">
      <alignment horizontal="right"/>
    </xf>
    <xf numFmtId="0" fontId="10" fillId="0" borderId="141" xfId="0" applyFont="1" applyBorder="1" applyAlignment="1">
      <alignment horizontal="center"/>
    </xf>
    <xf numFmtId="0" fontId="3" fillId="2" borderId="144" xfId="0" applyFont="1" applyFill="1" applyBorder="1" applyProtection="1">
      <protection locked="0"/>
    </xf>
    <xf numFmtId="0" fontId="6" fillId="3" borderId="137" xfId="0" applyFont="1" applyFill="1" applyBorder="1"/>
    <xf numFmtId="0" fontId="116" fillId="3" borderId="138" xfId="0" applyFont="1" applyFill="1" applyBorder="1"/>
    <xf numFmtId="0" fontId="0" fillId="0" borderId="123" xfId="0" applyBorder="1"/>
    <xf numFmtId="3" fontId="6" fillId="0" borderId="141" xfId="0" applyNumberFormat="1" applyFont="1" applyBorder="1" applyProtection="1">
      <protection locked="0"/>
    </xf>
    <xf numFmtId="0" fontId="10" fillId="3" borderId="145" xfId="0" quotePrefix="1" applyFont="1" applyFill="1" applyBorder="1"/>
    <xf numFmtId="3" fontId="6" fillId="15" borderId="146" xfId="0" quotePrefix="1" applyNumberFormat="1" applyFont="1" applyFill="1" applyBorder="1"/>
    <xf numFmtId="0" fontId="10" fillId="0" borderId="141" xfId="0" quotePrefix="1" applyFont="1" applyBorder="1" applyAlignment="1">
      <alignment horizontal="center"/>
    </xf>
    <xf numFmtId="2" fontId="6" fillId="0" borderId="141" xfId="0" applyNumberFormat="1" applyFont="1" applyBorder="1" applyProtection="1">
      <protection locked="0"/>
    </xf>
    <xf numFmtId="9" fontId="6" fillId="0" borderId="0" xfId="0" applyNumberFormat="1" applyFont="1"/>
    <xf numFmtId="0" fontId="10" fillId="0" borderId="147" xfId="0" applyFont="1" applyBorder="1" applyAlignment="1">
      <alignment horizontal="center"/>
    </xf>
    <xf numFmtId="0" fontId="10" fillId="0" borderId="147" xfId="0" quotePrefix="1" applyFont="1" applyBorder="1" applyAlignment="1">
      <alignment horizontal="center"/>
    </xf>
    <xf numFmtId="3" fontId="6" fillId="0" borderId="147" xfId="0" applyNumberFormat="1" applyFont="1" applyBorder="1" applyProtection="1">
      <protection locked="0"/>
    </xf>
    <xf numFmtId="1" fontId="10" fillId="0" borderId="147" xfId="0" quotePrefix="1" applyNumberFormat="1" applyFont="1" applyBorder="1" applyAlignment="1">
      <alignment horizontal="center"/>
    </xf>
    <xf numFmtId="1" fontId="10" fillId="0" borderId="147" xfId="0" applyNumberFormat="1" applyFont="1" applyBorder="1" applyAlignment="1">
      <alignment horizontal="center"/>
    </xf>
    <xf numFmtId="3" fontId="0" fillId="0" borderId="147" xfId="0" applyNumberFormat="1" applyBorder="1" applyProtection="1">
      <protection locked="0"/>
    </xf>
    <xf numFmtId="1" fontId="10" fillId="0" borderId="141" xfId="0" quotePrefix="1" applyNumberFormat="1" applyFont="1" applyBorder="1" applyAlignment="1">
      <alignment horizontal="center"/>
    </xf>
    <xf numFmtId="0" fontId="0" fillId="0" borderId="144" xfId="0" applyBorder="1" applyProtection="1">
      <protection locked="0"/>
    </xf>
    <xf numFmtId="0" fontId="6" fillId="0" borderId="125" xfId="0" applyFont="1" applyBorder="1"/>
    <xf numFmtId="0" fontId="10" fillId="0" borderId="148" xfId="0" applyFont="1" applyBorder="1" applyAlignment="1">
      <alignment horizontal="center"/>
    </xf>
    <xf numFmtId="3" fontId="6" fillId="0" borderId="148" xfId="0" applyNumberFormat="1" applyFont="1" applyBorder="1" applyProtection="1">
      <protection locked="0"/>
    </xf>
    <xf numFmtId="0" fontId="6" fillId="15" borderId="149" xfId="0" applyFont="1" applyFill="1" applyBorder="1"/>
    <xf numFmtId="0" fontId="6" fillId="15" borderId="150" xfId="0" applyFont="1" applyFill="1" applyBorder="1"/>
    <xf numFmtId="49" fontId="6" fillId="0" borderId="151" xfId="0" applyNumberFormat="1" applyFont="1" applyBorder="1"/>
    <xf numFmtId="0" fontId="6" fillId="15" borderId="137" xfId="0" applyFont="1" applyFill="1" applyBorder="1"/>
    <xf numFmtId="0" fontId="6" fillId="15" borderId="138" xfId="0" applyFont="1" applyFill="1" applyBorder="1"/>
    <xf numFmtId="1" fontId="10" fillId="0" borderId="148" xfId="0" applyNumberFormat="1" applyFont="1" applyBorder="1" applyAlignment="1">
      <alignment horizontal="center"/>
    </xf>
    <xf numFmtId="49" fontId="6" fillId="0" borderId="152" xfId="0" applyNumberFormat="1" applyFont="1" applyBorder="1"/>
    <xf numFmtId="168" fontId="0" fillId="0" borderId="148" xfId="1" applyFont="1" applyBorder="1" applyProtection="1">
      <protection locked="0"/>
    </xf>
    <xf numFmtId="0" fontId="10" fillId="3" borderId="150" xfId="0" applyFont="1" applyFill="1" applyBorder="1"/>
    <xf numFmtId="0" fontId="6" fillId="3" borderId="149" xfId="0" applyFont="1" applyFill="1" applyBorder="1"/>
    <xf numFmtId="0" fontId="46" fillId="3" borderId="153" xfId="0" applyFont="1" applyFill="1" applyBorder="1" applyAlignment="1">
      <alignment horizontal="right"/>
    </xf>
    <xf numFmtId="0" fontId="28" fillId="3" borderId="138" xfId="0" applyFont="1" applyFill="1" applyBorder="1"/>
    <xf numFmtId="2" fontId="0" fillId="0" borderId="148" xfId="0" applyNumberFormat="1" applyBorder="1" applyProtection="1">
      <protection locked="0"/>
    </xf>
    <xf numFmtId="0" fontId="6" fillId="0" borderId="154" xfId="0" applyFont="1" applyBorder="1" applyProtection="1">
      <protection locked="0"/>
    </xf>
    <xf numFmtId="0" fontId="10" fillId="3" borderId="149" xfId="0" applyFont="1" applyFill="1" applyBorder="1" applyAlignment="1">
      <alignment horizontal="right"/>
    </xf>
    <xf numFmtId="0" fontId="6" fillId="3" borderId="153" xfId="0" applyFont="1" applyFill="1" applyBorder="1" applyAlignment="1">
      <alignment horizontal="right"/>
    </xf>
    <xf numFmtId="4" fontId="6" fillId="0" borderId="148" xfId="0" applyNumberFormat="1" applyFont="1" applyBorder="1" applyProtection="1">
      <protection locked="0"/>
    </xf>
    <xf numFmtId="1" fontId="6" fillId="0" borderId="148" xfId="0" applyNumberFormat="1" applyFont="1" applyBorder="1" applyProtection="1">
      <protection locked="0"/>
    </xf>
    <xf numFmtId="0" fontId="6" fillId="0" borderId="148" xfId="0" applyFont="1" applyBorder="1" applyProtection="1">
      <protection locked="0"/>
    </xf>
    <xf numFmtId="2" fontId="6" fillId="0" borderId="148" xfId="0" applyNumberFormat="1" applyFont="1" applyBorder="1" applyProtection="1">
      <protection locked="0"/>
    </xf>
    <xf numFmtId="0" fontId="135" fillId="0" borderId="154" xfId="0" applyFont="1" applyBorder="1" applyProtection="1">
      <protection locked="0"/>
    </xf>
    <xf numFmtId="0" fontId="141" fillId="0" borderId="154" xfId="0" applyFont="1" applyBorder="1" applyProtection="1">
      <protection locked="0"/>
    </xf>
    <xf numFmtId="0" fontId="3" fillId="3" borderId="126" xfId="0" applyFont="1" applyFill="1" applyBorder="1" applyAlignment="1">
      <alignment horizontal="left"/>
    </xf>
    <xf numFmtId="0" fontId="0" fillId="3" borderId="104" xfId="0" applyFill="1" applyBorder="1"/>
    <xf numFmtId="0" fontId="0" fillId="3" borderId="133" xfId="0" applyFill="1" applyBorder="1"/>
    <xf numFmtId="0" fontId="0" fillId="0" borderId="154" xfId="0" applyBorder="1" applyProtection="1">
      <protection locked="0"/>
    </xf>
    <xf numFmtId="0" fontId="0" fillId="0" borderId="126" xfId="0" applyBorder="1"/>
    <xf numFmtId="0" fontId="0" fillId="0" borderId="133" xfId="0" applyBorder="1"/>
    <xf numFmtId="0" fontId="9" fillId="0" borderId="154" xfId="0" applyFont="1" applyBorder="1" applyAlignment="1">
      <alignment horizontal="center"/>
    </xf>
    <xf numFmtId="0" fontId="0" fillId="2" borderId="154" xfId="0" applyFill="1" applyBorder="1"/>
    <xf numFmtId="0" fontId="0" fillId="3" borderId="155" xfId="0" applyFill="1" applyBorder="1"/>
    <xf numFmtId="0" fontId="0" fillId="3" borderId="156" xfId="0" applyFill="1" applyBorder="1"/>
    <xf numFmtId="0" fontId="0" fillId="3" borderId="157" xfId="0" applyFill="1" applyBorder="1"/>
    <xf numFmtId="0" fontId="0" fillId="0" borderId="154" xfId="0" applyBorder="1"/>
    <xf numFmtId="1" fontId="3" fillId="2" borderId="154" xfId="0" applyNumberFormat="1" applyFont="1" applyFill="1" applyBorder="1"/>
    <xf numFmtId="0" fontId="6" fillId="3" borderId="126" xfId="0" applyFont="1" applyFill="1" applyBorder="1"/>
    <xf numFmtId="0" fontId="6" fillId="3" borderId="155" xfId="0" applyFont="1" applyFill="1" applyBorder="1"/>
    <xf numFmtId="0" fontId="6" fillId="3" borderId="149" xfId="0" applyFont="1" applyFill="1" applyBorder="1" applyAlignment="1">
      <alignment horizontal="center"/>
    </xf>
    <xf numFmtId="3" fontId="0" fillId="0" borderId="148" xfId="0" applyNumberFormat="1" applyBorder="1" applyProtection="1">
      <protection locked="0"/>
    </xf>
    <xf numFmtId="0" fontId="10" fillId="0" borderId="148" xfId="0" quotePrefix="1" applyFont="1" applyBorder="1" applyAlignment="1">
      <alignment horizontal="center"/>
    </xf>
    <xf numFmtId="174" fontId="6" fillId="0" borderId="148" xfId="1" applyNumberFormat="1" applyFont="1" applyBorder="1" applyProtection="1">
      <protection locked="0"/>
    </xf>
    <xf numFmtId="0" fontId="10" fillId="3" borderId="137" xfId="0" applyFont="1" applyFill="1" applyBorder="1"/>
    <xf numFmtId="0" fontId="10" fillId="3" borderId="138" xfId="0" applyFont="1" applyFill="1" applyBorder="1"/>
    <xf numFmtId="0" fontId="6" fillId="3" borderId="138" xfId="0" applyFont="1" applyFill="1" applyBorder="1" applyAlignment="1">
      <alignment horizontal="center"/>
    </xf>
    <xf numFmtId="0" fontId="10" fillId="3" borderId="138" xfId="0" applyFont="1" applyFill="1" applyBorder="1" applyAlignment="1">
      <alignment horizontal="right"/>
    </xf>
    <xf numFmtId="0" fontId="9" fillId="3" borderId="150" xfId="0" applyFont="1" applyFill="1" applyBorder="1"/>
    <xf numFmtId="1" fontId="10" fillId="0" borderId="148" xfId="0" quotePrefix="1" applyNumberFormat="1" applyFont="1" applyBorder="1" applyAlignment="1">
      <alignment horizontal="center"/>
    </xf>
    <xf numFmtId="169" fontId="6" fillId="3" borderId="138" xfId="0" applyNumberFormat="1" applyFont="1" applyFill="1" applyBorder="1" applyAlignment="1">
      <alignment horizontal="right"/>
    </xf>
    <xf numFmtId="0" fontId="6" fillId="3" borderId="138" xfId="0" applyFont="1" applyFill="1" applyBorder="1" applyAlignment="1">
      <alignment horizontal="left"/>
    </xf>
    <xf numFmtId="1" fontId="6" fillId="3" borderId="139" xfId="0" applyNumberFormat="1" applyFont="1" applyFill="1" applyBorder="1"/>
    <xf numFmtId="1" fontId="10" fillId="3" borderId="150" xfId="0" applyNumberFormat="1" applyFont="1" applyFill="1" applyBorder="1" applyAlignment="1">
      <alignment horizontal="left"/>
    </xf>
    <xf numFmtId="1" fontId="6" fillId="3" borderId="149" xfId="0" applyNumberFormat="1" applyFont="1" applyFill="1" applyBorder="1"/>
    <xf numFmtId="1" fontId="56" fillId="3" borderId="149" xfId="0" applyNumberFormat="1" applyFont="1" applyFill="1" applyBorder="1" applyAlignment="1">
      <alignment horizontal="right"/>
    </xf>
    <xf numFmtId="1" fontId="46" fillId="3" borderId="153" xfId="0" applyNumberFormat="1" applyFont="1" applyFill="1" applyBorder="1" applyAlignment="1">
      <alignment horizontal="right"/>
    </xf>
    <xf numFmtId="0" fontId="6" fillId="0" borderId="148" xfId="0" applyFont="1" applyBorder="1" applyAlignment="1">
      <alignment horizontal="center"/>
    </xf>
    <xf numFmtId="0" fontId="3" fillId="8" borderId="154" xfId="0" applyFont="1" applyFill="1" applyBorder="1" applyProtection="1">
      <protection locked="0"/>
    </xf>
    <xf numFmtId="0" fontId="6" fillId="3" borderId="137" xfId="0" applyFont="1" applyFill="1" applyBorder="1" applyAlignment="1">
      <alignment horizontal="center"/>
    </xf>
    <xf numFmtId="0" fontId="10" fillId="3" borderId="149" xfId="0" applyFont="1" applyFill="1" applyBorder="1"/>
    <xf numFmtId="0" fontId="10" fillId="6" borderId="150" xfId="0" applyFont="1" applyFill="1" applyBorder="1" applyAlignment="1">
      <alignment horizontal="left"/>
    </xf>
    <xf numFmtId="0" fontId="6" fillId="6" borderId="149" xfId="0" applyFont="1" applyFill="1" applyBorder="1" applyAlignment="1">
      <alignment horizontal="right"/>
    </xf>
    <xf numFmtId="0" fontId="46" fillId="6" borderId="153" xfId="0" applyFont="1" applyFill="1" applyBorder="1" applyAlignment="1">
      <alignment horizontal="right"/>
    </xf>
    <xf numFmtId="0" fontId="6" fillId="6" borderId="149" xfId="0" applyFont="1" applyFill="1" applyBorder="1"/>
    <xf numFmtId="0" fontId="6" fillId="6" borderId="149" xfId="0" applyFont="1" applyFill="1" applyBorder="1" applyAlignment="1">
      <alignment horizontal="center"/>
    </xf>
    <xf numFmtId="0" fontId="6" fillId="0" borderId="125" xfId="0" applyFont="1" applyBorder="1" applyAlignment="1">
      <alignment horizontal="right"/>
    </xf>
    <xf numFmtId="3" fontId="6" fillId="0" borderId="154" xfId="0" applyNumberFormat="1" applyFont="1" applyBorder="1"/>
    <xf numFmtId="0" fontId="6" fillId="6" borderId="137" xfId="0" applyFont="1" applyFill="1" applyBorder="1" applyAlignment="1">
      <alignment horizontal="center"/>
    </xf>
    <xf numFmtId="0" fontId="6" fillId="6" borderId="138" xfId="0" applyFont="1" applyFill="1" applyBorder="1"/>
    <xf numFmtId="0" fontId="6" fillId="6" borderId="139" xfId="0" applyFont="1" applyFill="1" applyBorder="1"/>
    <xf numFmtId="0" fontId="10" fillId="6" borderId="137" xfId="0" applyFont="1" applyFill="1" applyBorder="1" applyAlignment="1">
      <alignment horizontal="center"/>
    </xf>
    <xf numFmtId="0" fontId="10" fillId="6" borderId="138" xfId="0" applyFont="1" applyFill="1" applyBorder="1" applyAlignment="1">
      <alignment horizontal="center"/>
    </xf>
    <xf numFmtId="3" fontId="6" fillId="6" borderId="139" xfId="0" applyNumberFormat="1" applyFont="1" applyFill="1" applyBorder="1"/>
    <xf numFmtId="0" fontId="10" fillId="6" borderId="149" xfId="0" applyFont="1" applyFill="1" applyBorder="1" applyAlignment="1">
      <alignment horizontal="center"/>
    </xf>
    <xf numFmtId="0" fontId="6" fillId="0" borderId="154" xfId="0" applyFont="1" applyBorder="1" applyAlignment="1">
      <alignment horizontal="right"/>
    </xf>
    <xf numFmtId="0" fontId="10" fillId="6" borderId="138" xfId="0" applyFont="1" applyFill="1" applyBorder="1"/>
    <xf numFmtId="0" fontId="10" fillId="6" borderId="149" xfId="0" applyFont="1" applyFill="1" applyBorder="1"/>
    <xf numFmtId="0" fontId="6" fillId="6" borderId="137" xfId="0" applyFont="1" applyFill="1" applyBorder="1" applyAlignment="1">
      <alignment horizontal="left"/>
    </xf>
    <xf numFmtId="0" fontId="6" fillId="6" borderId="138" xfId="0" applyFont="1" applyFill="1" applyBorder="1" applyAlignment="1">
      <alignment horizontal="center"/>
    </xf>
    <xf numFmtId="0" fontId="6" fillId="6" borderId="139" xfId="0" applyFont="1" applyFill="1" applyBorder="1" applyAlignment="1">
      <alignment horizontal="center"/>
    </xf>
    <xf numFmtId="0" fontId="10" fillId="3" borderId="150" xfId="0" applyFont="1" applyFill="1" applyBorder="1" applyAlignment="1">
      <alignment horizontal="left"/>
    </xf>
    <xf numFmtId="0" fontId="6" fillId="0" borderId="148" xfId="0" quotePrefix="1" applyFont="1" applyBorder="1" applyAlignment="1">
      <alignment horizontal="center"/>
    </xf>
    <xf numFmtId="0" fontId="6" fillId="3" borderId="150" xfId="0" applyFont="1" applyFill="1" applyBorder="1"/>
    <xf numFmtId="0" fontId="6" fillId="3" borderId="138" xfId="0" applyFont="1" applyFill="1" applyBorder="1" applyAlignment="1">
      <alignment horizontal="right"/>
    </xf>
    <xf numFmtId="0" fontId="6" fillId="3" borderId="139" xfId="0" applyFont="1" applyFill="1" applyBorder="1" applyAlignment="1">
      <alignment horizontal="right"/>
    </xf>
    <xf numFmtId="0" fontId="6" fillId="3" borderId="137" xfId="0" applyFont="1" applyFill="1" applyBorder="1" applyAlignment="1">
      <alignment horizontal="right"/>
    </xf>
    <xf numFmtId="3" fontId="6" fillId="0" borderId="148" xfId="2" applyNumberFormat="1" applyFont="1" applyFill="1" applyBorder="1" applyAlignment="1" applyProtection="1">
      <alignment horizontal="right"/>
      <protection locked="0"/>
    </xf>
    <xf numFmtId="1" fontId="6" fillId="0" borderId="148" xfId="0" quotePrefix="1" applyNumberFormat="1" applyFont="1" applyBorder="1" applyAlignment="1">
      <alignment horizontal="center"/>
    </xf>
    <xf numFmtId="3" fontId="6" fillId="14" borderId="148" xfId="0" applyNumberFormat="1" applyFont="1" applyFill="1" applyBorder="1" applyProtection="1">
      <protection locked="0"/>
    </xf>
    <xf numFmtId="0" fontId="6" fillId="15" borderId="148" xfId="0" applyFont="1" applyFill="1" applyBorder="1" applyAlignment="1">
      <alignment horizontal="center"/>
    </xf>
    <xf numFmtId="0" fontId="6" fillId="14" borderId="148" xfId="0" applyFont="1" applyFill="1" applyBorder="1" applyProtection="1">
      <protection locked="0"/>
    </xf>
    <xf numFmtId="0" fontId="6" fillId="15" borderId="158" xfId="0" applyFont="1" applyFill="1" applyBorder="1" applyAlignment="1">
      <alignment horizontal="center"/>
    </xf>
    <xf numFmtId="1" fontId="6" fillId="0" borderId="148" xfId="0" applyNumberFormat="1" applyFont="1" applyBorder="1" applyAlignment="1">
      <alignment horizontal="center"/>
    </xf>
    <xf numFmtId="3" fontId="6" fillId="3" borderId="138" xfId="0" applyNumberFormat="1" applyFont="1" applyFill="1" applyBorder="1"/>
    <xf numFmtId="0" fontId="124" fillId="3" borderId="150" xfId="0" applyFont="1" applyFill="1" applyBorder="1"/>
    <xf numFmtId="0" fontId="46" fillId="3" borderId="149" xfId="0" applyFont="1" applyFill="1" applyBorder="1" applyAlignment="1">
      <alignment horizontal="right"/>
    </xf>
    <xf numFmtId="0" fontId="6" fillId="15" borderId="138" xfId="0" applyFont="1" applyFill="1" applyBorder="1" applyAlignment="1">
      <alignment horizontal="left"/>
    </xf>
    <xf numFmtId="3" fontId="6" fillId="0" borderId="148" xfId="0" applyNumberFormat="1" applyFont="1" applyBorder="1"/>
    <xf numFmtId="0" fontId="6" fillId="3" borderId="149" xfId="0" applyFont="1" applyFill="1" applyBorder="1" applyAlignment="1">
      <alignment horizontal="right"/>
    </xf>
    <xf numFmtId="0" fontId="6" fillId="15" borderId="153" xfId="0" applyFont="1" applyFill="1" applyBorder="1" applyAlignment="1">
      <alignment horizontal="center"/>
    </xf>
    <xf numFmtId="4" fontId="6" fillId="0" borderId="148" xfId="0" applyNumberFormat="1" applyFont="1" applyBorder="1"/>
    <xf numFmtId="0" fontId="6" fillId="0" borderId="159" xfId="0" applyFont="1" applyBorder="1" applyAlignment="1">
      <alignment horizontal="center"/>
    </xf>
    <xf numFmtId="0" fontId="9" fillId="6" borderId="150" xfId="0" applyFont="1" applyFill="1" applyBorder="1" applyAlignment="1">
      <alignment horizontal="left"/>
    </xf>
    <xf numFmtId="0" fontId="33" fillId="6" borderId="153" xfId="0" applyFont="1" applyFill="1" applyBorder="1" applyAlignment="1">
      <alignment horizontal="right"/>
    </xf>
    <xf numFmtId="3" fontId="6" fillId="0" borderId="148" xfId="2" applyNumberFormat="1" applyFont="1" applyFill="1" applyBorder="1" applyProtection="1">
      <protection locked="0"/>
    </xf>
    <xf numFmtId="0" fontId="40" fillId="3" borderId="150" xfId="0" applyFont="1" applyFill="1" applyBorder="1"/>
    <xf numFmtId="169" fontId="10" fillId="0" borderId="148" xfId="0" applyNumberFormat="1" applyFont="1" applyBorder="1" applyAlignment="1">
      <alignment horizontal="center"/>
    </xf>
    <xf numFmtId="0" fontId="6" fillId="15" borderId="153" xfId="0" applyFont="1" applyFill="1" applyBorder="1"/>
    <xf numFmtId="0" fontId="6" fillId="6" borderId="149" xfId="0" applyFont="1" applyFill="1" applyBorder="1" applyAlignment="1">
      <alignment horizontal="left"/>
    </xf>
    <xf numFmtId="0" fontId="46" fillId="6" borderId="149" xfId="0" applyFont="1" applyFill="1" applyBorder="1" applyAlignment="1">
      <alignment horizontal="right"/>
    </xf>
    <xf numFmtId="0" fontId="6" fillId="6" borderId="150" xfId="0" applyFont="1" applyFill="1" applyBorder="1" applyAlignment="1">
      <alignment horizontal="center"/>
    </xf>
    <xf numFmtId="174" fontId="6" fillId="0" borderId="148" xfId="1" applyNumberFormat="1" applyFont="1" applyFill="1" applyBorder="1" applyProtection="1">
      <protection locked="0"/>
    </xf>
    <xf numFmtId="4" fontId="3" fillId="0" borderId="148" xfId="0" applyNumberFormat="1" applyFont="1" applyBorder="1" applyProtection="1">
      <protection locked="0"/>
    </xf>
    <xf numFmtId="0" fontId="41" fillId="6" borderId="160" xfId="0" applyFont="1" applyFill="1" applyBorder="1" applyAlignment="1">
      <alignment horizontal="center"/>
    </xf>
    <xf numFmtId="0" fontId="41" fillId="6" borderId="138" xfId="0" applyFont="1" applyFill="1" applyBorder="1" applyAlignment="1">
      <alignment horizontal="center"/>
    </xf>
    <xf numFmtId="0" fontId="41" fillId="6" borderId="139" xfId="0" applyFont="1" applyFill="1" applyBorder="1" applyAlignment="1">
      <alignment horizontal="center"/>
    </xf>
    <xf numFmtId="0" fontId="41" fillId="6" borderId="149" xfId="0" applyFont="1" applyFill="1" applyBorder="1" applyAlignment="1">
      <alignment horizontal="center"/>
    </xf>
    <xf numFmtId="170" fontId="3" fillId="0" borderId="148" xfId="1" applyNumberFormat="1" applyFont="1" applyBorder="1" applyProtection="1">
      <protection locked="0"/>
    </xf>
    <xf numFmtId="3" fontId="3" fillId="0" borderId="148" xfId="0" applyNumberFormat="1" applyFont="1" applyBorder="1" applyProtection="1">
      <protection locked="0"/>
    </xf>
    <xf numFmtId="170" fontId="6" fillId="0" borderId="148" xfId="1" applyNumberFormat="1" applyFont="1" applyFill="1" applyBorder="1" applyProtection="1">
      <protection locked="0"/>
    </xf>
    <xf numFmtId="0" fontId="10" fillId="0" borderId="161" xfId="0" applyFont="1" applyBorder="1" applyAlignment="1">
      <alignment horizontal="center"/>
    </xf>
    <xf numFmtId="4" fontId="6" fillId="0" borderId="148" xfId="2" applyNumberFormat="1" applyFont="1" applyFill="1" applyBorder="1" applyProtection="1">
      <protection locked="0"/>
    </xf>
    <xf numFmtId="0" fontId="6" fillId="6" borderId="138" xfId="0" applyFont="1" applyFill="1" applyBorder="1" applyAlignment="1">
      <alignment horizontal="left"/>
    </xf>
    <xf numFmtId="0" fontId="171" fillId="6" borderId="150" xfId="0" applyFont="1" applyFill="1" applyBorder="1" applyAlignment="1">
      <alignment horizontal="left"/>
    </xf>
    <xf numFmtId="0" fontId="73" fillId="6" borderId="149" xfId="0" applyFont="1" applyFill="1" applyBorder="1" applyAlignment="1">
      <alignment horizontal="center"/>
    </xf>
    <xf numFmtId="0" fontId="171" fillId="6" borderId="149" xfId="0" applyFont="1" applyFill="1" applyBorder="1" applyAlignment="1">
      <alignment horizontal="left"/>
    </xf>
    <xf numFmtId="0" fontId="171" fillId="6" borderId="149" xfId="0" applyFont="1" applyFill="1" applyBorder="1" applyAlignment="1">
      <alignment horizontal="center"/>
    </xf>
    <xf numFmtId="0" fontId="73" fillId="6" borderId="153" xfId="0" applyFont="1" applyFill="1" applyBorder="1" applyAlignment="1">
      <alignment horizontal="center"/>
    </xf>
    <xf numFmtId="2" fontId="73" fillId="0" borderId="148" xfId="0" applyNumberFormat="1" applyFont="1" applyBorder="1"/>
    <xf numFmtId="4" fontId="73" fillId="0" borderId="148" xfId="0" applyNumberFormat="1" applyFont="1" applyBorder="1" applyProtection="1">
      <protection locked="0"/>
    </xf>
    <xf numFmtId="3" fontId="73" fillId="0" borderId="148" xfId="0" applyNumberFormat="1" applyFont="1" applyBorder="1" applyProtection="1">
      <protection locked="0"/>
    </xf>
    <xf numFmtId="0" fontId="172" fillId="2" borderId="148" xfId="0" applyFont="1" applyFill="1" applyBorder="1" applyAlignment="1">
      <alignment horizontal="center"/>
    </xf>
    <xf numFmtId="3" fontId="73" fillId="2" borderId="148" xfId="2" applyNumberFormat="1" applyFont="1" applyFill="1" applyBorder="1" applyProtection="1">
      <protection locked="0"/>
    </xf>
    <xf numFmtId="0" fontId="73" fillId="6" borderId="137" xfId="0" applyFont="1" applyFill="1" applyBorder="1" applyAlignment="1">
      <alignment horizontal="left"/>
    </xf>
    <xf numFmtId="0" fontId="73" fillId="6" borderId="138" xfId="0" applyFont="1" applyFill="1" applyBorder="1" applyAlignment="1">
      <alignment horizontal="left"/>
    </xf>
    <xf numFmtId="0" fontId="73" fillId="6" borderId="139" xfId="0" applyFont="1" applyFill="1" applyBorder="1" applyAlignment="1">
      <alignment horizontal="left"/>
    </xf>
    <xf numFmtId="0" fontId="9" fillId="6" borderId="163" xfId="0" applyFont="1" applyFill="1" applyBorder="1"/>
    <xf numFmtId="0" fontId="0" fillId="6" borderId="164" xfId="0" applyFill="1" applyBorder="1"/>
    <xf numFmtId="0" fontId="45" fillId="6" borderId="164" xfId="0" applyFont="1" applyFill="1" applyBorder="1"/>
    <xf numFmtId="0" fontId="0" fillId="6" borderId="165" xfId="0" applyFill="1" applyBorder="1"/>
    <xf numFmtId="0" fontId="78" fillId="0" borderId="144" xfId="0" applyFont="1" applyBorder="1" applyAlignment="1">
      <alignment horizontal="left" indent="1"/>
    </xf>
    <xf numFmtId="0" fontId="0" fillId="0" borderId="144" xfId="0" applyBorder="1"/>
    <xf numFmtId="0" fontId="106" fillId="16" borderId="112" xfId="0" applyFont="1" applyFill="1" applyBorder="1"/>
    <xf numFmtId="0" fontId="106" fillId="3" borderId="112" xfId="0" applyFont="1" applyFill="1" applyBorder="1" applyAlignment="1">
      <alignment horizontal="center" vertical="top"/>
    </xf>
    <xf numFmtId="0" fontId="78" fillId="0" borderId="112" xfId="0" applyFont="1" applyBorder="1" applyAlignment="1">
      <alignment horizontal="left"/>
    </xf>
    <xf numFmtId="0" fontId="107" fillId="17" borderId="112" xfId="0" applyFont="1" applyFill="1" applyBorder="1" applyAlignment="1">
      <alignment vertical="top"/>
    </xf>
    <xf numFmtId="0" fontId="78" fillId="0" borderId="144" xfId="0" applyFont="1" applyBorder="1" applyAlignment="1">
      <alignment horizontal="left"/>
    </xf>
    <xf numFmtId="0" fontId="106" fillId="3" borderId="144" xfId="0" applyFont="1" applyFill="1" applyBorder="1" applyAlignment="1">
      <alignment horizontal="center"/>
    </xf>
    <xf numFmtId="0" fontId="107" fillId="17" borderId="144" xfId="0" applyFont="1" applyFill="1" applyBorder="1"/>
    <xf numFmtId="3" fontId="3" fillId="0" borderId="144" xfId="0" applyNumberFormat="1" applyFont="1" applyBorder="1" applyProtection="1">
      <protection locked="0"/>
    </xf>
    <xf numFmtId="3" fontId="0" fillId="0" borderId="144" xfId="0" applyNumberFormat="1" applyBorder="1" applyProtection="1">
      <protection locked="0"/>
    </xf>
    <xf numFmtId="4" fontId="0" fillId="0" borderId="144" xfId="0" applyNumberFormat="1" applyBorder="1" applyProtection="1">
      <protection locked="0"/>
    </xf>
    <xf numFmtId="0" fontId="0" fillId="0" borderId="144" xfId="0" applyBorder="1" applyAlignment="1" applyProtection="1">
      <alignment horizontal="center"/>
      <protection locked="0"/>
    </xf>
    <xf numFmtId="4" fontId="0" fillId="0" borderId="144" xfId="0" applyNumberFormat="1" applyBorder="1"/>
    <xf numFmtId="168" fontId="0" fillId="0" borderId="166" xfId="0" applyNumberFormat="1" applyBorder="1" applyProtection="1">
      <protection locked="0"/>
    </xf>
    <xf numFmtId="9" fontId="0" fillId="19" borderId="154" xfId="0" applyNumberFormat="1" applyFill="1" applyBorder="1"/>
    <xf numFmtId="0" fontId="106" fillId="18" borderId="154" xfId="0" applyFont="1" applyFill="1" applyBorder="1" applyAlignment="1">
      <alignment horizontal="center"/>
    </xf>
    <xf numFmtId="9" fontId="106" fillId="3" borderId="154" xfId="0" applyNumberFormat="1" applyFont="1" applyFill="1" applyBorder="1" applyAlignment="1">
      <alignment horizontal="center" vertical="top"/>
    </xf>
    <xf numFmtId="0" fontId="107" fillId="17" borderId="154" xfId="0" applyFont="1" applyFill="1" applyBorder="1" applyAlignment="1">
      <alignment vertical="top"/>
    </xf>
    <xf numFmtId="0" fontId="106" fillId="3" borderId="154" xfId="0" applyFont="1" applyFill="1" applyBorder="1" applyAlignment="1">
      <alignment horizontal="center" vertical="top"/>
    </xf>
    <xf numFmtId="0" fontId="106" fillId="18" borderId="112" xfId="0" applyFont="1" applyFill="1" applyBorder="1" applyAlignment="1">
      <alignment horizontal="center"/>
    </xf>
    <xf numFmtId="0" fontId="107" fillId="17" borderId="112" xfId="0" applyFont="1" applyFill="1" applyBorder="1"/>
    <xf numFmtId="0" fontId="106" fillId="16" borderId="154" xfId="0" applyFont="1" applyFill="1" applyBorder="1"/>
    <xf numFmtId="9" fontId="106" fillId="18" borderId="154" xfId="0" applyNumberFormat="1" applyFont="1" applyFill="1" applyBorder="1" applyAlignment="1">
      <alignment horizontal="center"/>
    </xf>
    <xf numFmtId="0" fontId="0" fillId="6" borderId="127" xfId="0" applyFill="1" applyBorder="1"/>
    <xf numFmtId="0" fontId="0" fillId="6" borderId="97" xfId="0" applyFill="1" applyBorder="1"/>
    <xf numFmtId="0" fontId="0" fillId="6" borderId="123" xfId="0" applyFill="1" applyBorder="1"/>
    <xf numFmtId="0" fontId="107" fillId="17" borderId="154" xfId="0" applyFont="1" applyFill="1" applyBorder="1" applyAlignment="1">
      <alignment wrapText="1"/>
    </xf>
    <xf numFmtId="175" fontId="106" fillId="18" borderId="154" xfId="0" applyNumberFormat="1" applyFont="1" applyFill="1" applyBorder="1" applyAlignment="1">
      <alignment horizontal="center"/>
    </xf>
    <xf numFmtId="0" fontId="43" fillId="6" borderId="126" xfId="0" applyFont="1" applyFill="1" applyBorder="1"/>
    <xf numFmtId="0" fontId="43" fillId="6" borderId="104" xfId="0" applyFont="1" applyFill="1" applyBorder="1"/>
    <xf numFmtId="0" fontId="6" fillId="6" borderId="104" xfId="0" applyFont="1" applyFill="1" applyBorder="1"/>
    <xf numFmtId="0" fontId="6" fillId="6" borderId="133" xfId="0" applyFont="1" applyFill="1" applyBorder="1"/>
    <xf numFmtId="0" fontId="10" fillId="0" borderId="154" xfId="0" applyFont="1" applyBorder="1" applyAlignment="1">
      <alignment horizontal="center"/>
    </xf>
    <xf numFmtId="0" fontId="6" fillId="2" borderId="154" xfId="0" applyFont="1" applyFill="1" applyBorder="1"/>
    <xf numFmtId="0" fontId="6" fillId="0" borderId="154" xfId="0" applyFont="1" applyBorder="1"/>
    <xf numFmtId="0" fontId="6" fillId="6" borderId="127" xfId="0" applyFont="1" applyFill="1" applyBorder="1"/>
    <xf numFmtId="0" fontId="6" fillId="6" borderId="97" xfId="0" applyFont="1" applyFill="1" applyBorder="1"/>
    <xf numFmtId="0" fontId="6" fillId="6" borderId="123" xfId="0" applyFont="1" applyFill="1" applyBorder="1"/>
    <xf numFmtId="1" fontId="6" fillId="2" borderId="154" xfId="0" applyNumberFormat="1" applyFont="1" applyFill="1" applyBorder="1"/>
    <xf numFmtId="169" fontId="10" fillId="0" borderId="148" xfId="0" quotePrefix="1" applyNumberFormat="1" applyFont="1" applyBorder="1" applyAlignment="1">
      <alignment horizontal="center"/>
    </xf>
    <xf numFmtId="0" fontId="9" fillId="3" borderId="150" xfId="0" applyFont="1" applyFill="1" applyBorder="1" applyAlignment="1">
      <alignment horizontal="left"/>
    </xf>
    <xf numFmtId="0" fontId="6" fillId="3" borderId="150" xfId="0" applyFont="1" applyFill="1" applyBorder="1" applyAlignment="1">
      <alignment horizontal="right"/>
    </xf>
    <xf numFmtId="0" fontId="6" fillId="0" borderId="144" xfId="0" applyFont="1" applyBorder="1" applyProtection="1">
      <protection locked="0"/>
    </xf>
    <xf numFmtId="0" fontId="6" fillId="0" borderId="144" xfId="0" applyFont="1" applyBorder="1"/>
    <xf numFmtId="0" fontId="73" fillId="26" borderId="144" xfId="0" applyFont="1" applyFill="1" applyBorder="1" applyProtection="1">
      <protection locked="0"/>
    </xf>
    <xf numFmtId="1" fontId="10" fillId="3" borderId="150" xfId="0" applyNumberFormat="1" applyFont="1" applyFill="1" applyBorder="1"/>
    <xf numFmtId="1" fontId="4" fillId="3" borderId="149" xfId="0" applyNumberFormat="1" applyFont="1" applyFill="1" applyBorder="1"/>
    <xf numFmtId="1" fontId="6" fillId="3" borderId="149" xfId="0" applyNumberFormat="1" applyFont="1" applyFill="1" applyBorder="1" applyAlignment="1">
      <alignment horizontal="left"/>
    </xf>
    <xf numFmtId="2" fontId="6" fillId="3" borderId="149" xfId="0" applyNumberFormat="1" applyFont="1" applyFill="1" applyBorder="1"/>
    <xf numFmtId="0" fontId="151" fillId="0" borderId="144" xfId="0" applyFont="1" applyBorder="1" applyAlignment="1">
      <alignment horizontal="right"/>
    </xf>
    <xf numFmtId="0" fontId="151" fillId="0" borderId="162" xfId="0" applyFont="1" applyBorder="1" applyAlignment="1">
      <alignment horizontal="right"/>
    </xf>
    <xf numFmtId="0" fontId="151" fillId="0" borderId="152" xfId="0" applyFont="1" applyBorder="1" applyAlignment="1">
      <alignment horizontal="right"/>
    </xf>
    <xf numFmtId="0" fontId="151" fillId="26" borderId="162" xfId="0" applyFont="1" applyFill="1" applyBorder="1" applyAlignment="1">
      <alignment horizontal="right"/>
    </xf>
    <xf numFmtId="0" fontId="151" fillId="26" borderId="152" xfId="0" applyFont="1" applyFill="1" applyBorder="1" applyAlignment="1">
      <alignment horizontal="right"/>
    </xf>
    <xf numFmtId="177" fontId="6" fillId="0" borderId="168" xfId="0" applyNumberFormat="1" applyFont="1" applyBorder="1" applyAlignment="1">
      <alignment horizontal="right"/>
    </xf>
    <xf numFmtId="177" fontId="6" fillId="0" borderId="169" xfId="0" applyNumberFormat="1" applyFont="1" applyBorder="1" applyAlignment="1">
      <alignment horizontal="right"/>
    </xf>
    <xf numFmtId="0" fontId="10" fillId="0" borderId="167" xfId="0" applyFont="1" applyBorder="1" applyAlignment="1">
      <alignment horizontal="right"/>
    </xf>
    <xf numFmtId="0" fontId="6" fillId="0" borderId="167" xfId="0" applyFont="1" applyBorder="1"/>
    <xf numFmtId="176" fontId="6" fillId="0" borderId="168" xfId="0" applyNumberFormat="1" applyFont="1" applyBorder="1" applyAlignment="1">
      <alignment horizontal="right"/>
    </xf>
    <xf numFmtId="0" fontId="151" fillId="0" borderId="154" xfId="0" applyFont="1" applyBorder="1" applyAlignment="1">
      <alignment horizontal="right"/>
    </xf>
    <xf numFmtId="0" fontId="152" fillId="0" borderId="154" xfId="0" applyFont="1" applyBorder="1" applyAlignment="1">
      <alignment horizontal="right"/>
    </xf>
    <xf numFmtId="0" fontId="152" fillId="26" borderId="154" xfId="0" applyFont="1" applyFill="1" applyBorder="1" applyAlignment="1">
      <alignment horizontal="right"/>
    </xf>
    <xf numFmtId="0" fontId="152" fillId="45" borderId="152" xfId="0" applyFont="1" applyFill="1" applyBorder="1" applyAlignment="1">
      <alignment horizontal="right"/>
    </xf>
    <xf numFmtId="0" fontId="24" fillId="0" borderId="154" xfId="0" applyFont="1" applyBorder="1" applyAlignment="1">
      <alignment horizontal="right"/>
    </xf>
    <xf numFmtId="0" fontId="24" fillId="0" borderId="152" xfId="0" applyFont="1" applyBorder="1" applyAlignment="1">
      <alignment horizontal="right"/>
    </xf>
    <xf numFmtId="176" fontId="6" fillId="0" borderId="170" xfId="0" applyNumberFormat="1" applyFont="1" applyBorder="1" applyAlignment="1">
      <alignment horizontal="right"/>
    </xf>
    <xf numFmtId="0" fontId="152" fillId="0" borderId="171" xfId="0" applyFont="1" applyBorder="1" applyAlignment="1">
      <alignment horizontal="right"/>
    </xf>
    <xf numFmtId="0" fontId="152" fillId="0" borderId="26" xfId="0" applyFont="1" applyBorder="1" applyAlignment="1">
      <alignment horizontal="right"/>
    </xf>
    <xf numFmtId="0" fontId="152" fillId="26" borderId="26" xfId="0" applyFont="1" applyFill="1" applyBorder="1" applyAlignment="1">
      <alignment horizontal="right"/>
    </xf>
    <xf numFmtId="176" fontId="6" fillId="26" borderId="168" xfId="0" applyNumberFormat="1" applyFont="1" applyFill="1" applyBorder="1" applyAlignment="1">
      <alignment horizontal="right"/>
    </xf>
    <xf numFmtId="0" fontId="152" fillId="26" borderId="152" xfId="0" applyFont="1" applyFill="1" applyBorder="1" applyAlignment="1">
      <alignment horizontal="right"/>
    </xf>
    <xf numFmtId="0" fontId="188" fillId="26" borderId="144" xfId="0" applyFont="1" applyFill="1" applyBorder="1" applyAlignment="1">
      <alignment horizontal="right"/>
    </xf>
    <xf numFmtId="0" fontId="19" fillId="0" borderId="167" xfId="0" applyFont="1" applyBorder="1"/>
    <xf numFmtId="176" fontId="6" fillId="0" borderId="168" xfId="1" applyNumberFormat="1" applyFont="1" applyFill="1" applyBorder="1" applyAlignment="1">
      <alignment horizontal="right"/>
    </xf>
    <xf numFmtId="0" fontId="10" fillId="0" borderId="167" xfId="0" applyFont="1" applyBorder="1"/>
    <xf numFmtId="176" fontId="6" fillId="26" borderId="168" xfId="1" applyNumberFormat="1" applyFont="1" applyFill="1" applyBorder="1" applyAlignment="1">
      <alignment horizontal="right"/>
    </xf>
    <xf numFmtId="177" fontId="6" fillId="0" borderId="173" xfId="0" applyNumberFormat="1" applyFont="1" applyBorder="1"/>
    <xf numFmtId="176" fontId="6" fillId="0" borderId="173" xfId="0" applyNumberFormat="1" applyFont="1" applyBorder="1" applyAlignment="1">
      <alignment horizontal="right"/>
    </xf>
    <xf numFmtId="176" fontId="6" fillId="26" borderId="175" xfId="1" applyNumberFormat="1" applyFont="1" applyFill="1" applyBorder="1" applyAlignment="1">
      <alignment horizontal="right"/>
    </xf>
    <xf numFmtId="176" fontId="6" fillId="26" borderId="177" xfId="1" applyNumberFormat="1" applyFont="1" applyFill="1" applyBorder="1" applyAlignment="1">
      <alignment horizontal="right"/>
    </xf>
    <xf numFmtId="176" fontId="6" fillId="0" borderId="167" xfId="0" applyNumberFormat="1" applyFont="1" applyBorder="1" applyAlignment="1">
      <alignment horizontal="right"/>
    </xf>
    <xf numFmtId="0" fontId="6" fillId="26" borderId="167" xfId="0" applyFont="1" applyFill="1" applyBorder="1"/>
    <xf numFmtId="0" fontId="8" fillId="0" borderId="144" xfId="0" applyFont="1" applyBorder="1"/>
    <xf numFmtId="0" fontId="9" fillId="0" borderId="144" xfId="0" applyFont="1" applyBorder="1"/>
    <xf numFmtId="0" fontId="9" fillId="0" borderId="144" xfId="0" applyFont="1" applyBorder="1" applyAlignment="1">
      <alignment horizontal="center" wrapText="1"/>
    </xf>
    <xf numFmtId="0" fontId="7" fillId="0" borderId="144" xfId="0" applyFont="1" applyBorder="1"/>
    <xf numFmtId="0" fontId="149" fillId="0" borderId="144" xfId="0" applyFont="1" applyBorder="1"/>
    <xf numFmtId="3" fontId="3" fillId="0" borderId="144" xfId="0" applyNumberFormat="1" applyFont="1" applyBorder="1"/>
    <xf numFmtId="1" fontId="3" fillId="0" borderId="144" xfId="0" applyNumberFormat="1" applyFont="1" applyBorder="1"/>
    <xf numFmtId="2" fontId="3" fillId="0" borderId="144" xfId="0" applyNumberFormat="1" applyFont="1" applyBorder="1"/>
    <xf numFmtId="0" fontId="7" fillId="0" borderId="178" xfId="0" applyFont="1" applyBorder="1"/>
    <xf numFmtId="4" fontId="3" fillId="0" borderId="144" xfId="0" applyNumberFormat="1" applyFont="1" applyBorder="1"/>
    <xf numFmtId="1" fontId="3" fillId="0" borderId="144" xfId="0" quotePrefix="1" applyNumberFormat="1" applyFont="1" applyBorder="1"/>
    <xf numFmtId="1" fontId="3" fillId="38" borderId="144" xfId="0" applyNumberFormat="1" applyFont="1" applyFill="1" applyBorder="1"/>
    <xf numFmtId="1" fontId="3" fillId="0" borderId="144" xfId="0" applyNumberFormat="1" applyFont="1" applyBorder="1" applyAlignment="1">
      <alignment wrapText="1"/>
    </xf>
    <xf numFmtId="4" fontId="74" fillId="0" borderId="144" xfId="0" applyNumberFormat="1" applyFont="1" applyBorder="1"/>
    <xf numFmtId="2" fontId="74" fillId="0" borderId="144" xfId="0" applyNumberFormat="1" applyFont="1" applyBorder="1"/>
    <xf numFmtId="0" fontId="3" fillId="0" borderId="144" xfId="0" applyFont="1" applyBorder="1"/>
    <xf numFmtId="0" fontId="7" fillId="26" borderId="144" xfId="0" applyFont="1" applyFill="1" applyBorder="1"/>
    <xf numFmtId="0" fontId="149" fillId="26" borderId="144" xfId="0" applyFont="1" applyFill="1" applyBorder="1"/>
    <xf numFmtId="1" fontId="3" fillId="26" borderId="144" xfId="0" applyNumberFormat="1" applyFont="1" applyFill="1" applyBorder="1"/>
    <xf numFmtId="0" fontId="149" fillId="45" borderId="144" xfId="0" applyFont="1" applyFill="1" applyBorder="1"/>
    <xf numFmtId="1" fontId="3" fillId="45" borderId="144" xfId="0" applyNumberFormat="1" applyFont="1" applyFill="1" applyBorder="1"/>
    <xf numFmtId="2" fontId="3" fillId="45" borderId="144" xfId="0" applyNumberFormat="1" applyFont="1" applyFill="1" applyBorder="1"/>
    <xf numFmtId="0" fontId="7" fillId="0" borderId="178" xfId="0" applyFont="1" applyBorder="1" applyAlignment="1">
      <alignment vertical="top"/>
    </xf>
    <xf numFmtId="0" fontId="149" fillId="0" borderId="144" xfId="0" applyFont="1" applyBorder="1" applyAlignment="1">
      <alignment vertical="top"/>
    </xf>
    <xf numFmtId="1" fontId="3" fillId="0" borderId="144" xfId="0" applyNumberFormat="1" applyFont="1" applyBorder="1" applyAlignment="1">
      <alignment vertical="top" wrapText="1"/>
    </xf>
    <xf numFmtId="2" fontId="3" fillId="0" borderId="144" xfId="0" applyNumberFormat="1" applyFont="1" applyBorder="1" applyAlignment="1">
      <alignment vertical="top"/>
    </xf>
    <xf numFmtId="3" fontId="3" fillId="0" borderId="179" xfId="0" applyNumberFormat="1" applyFont="1" applyBorder="1"/>
    <xf numFmtId="0" fontId="9" fillId="0" borderId="151" xfId="0" applyFont="1" applyBorder="1"/>
    <xf numFmtId="0" fontId="3" fillId="0" borderId="180" xfId="0" applyFont="1" applyBorder="1"/>
    <xf numFmtId="0" fontId="6" fillId="0" borderId="180" xfId="0" applyFont="1" applyBorder="1"/>
    <xf numFmtId="0" fontId="7" fillId="0" borderId="180" xfId="0" applyFont="1" applyBorder="1"/>
    <xf numFmtId="0" fontId="3" fillId="0" borderId="181" xfId="0" applyFont="1" applyBorder="1"/>
    <xf numFmtId="0" fontId="3" fillId="0" borderId="127" xfId="0" applyFont="1" applyBorder="1"/>
    <xf numFmtId="0" fontId="3" fillId="0" borderId="97" xfId="0" applyFont="1" applyBorder="1"/>
    <xf numFmtId="0" fontId="3" fillId="0" borderId="123" xfId="0" applyFont="1" applyBorder="1"/>
    <xf numFmtId="0" fontId="151" fillId="0" borderId="182" xfId="0" applyFont="1" applyBorder="1" applyAlignment="1">
      <alignment horizontal="right"/>
    </xf>
    <xf numFmtId="177" fontId="6" fillId="0" borderId="167" xfId="0" applyNumberFormat="1" applyFont="1" applyBorder="1"/>
    <xf numFmtId="177" fontId="6" fillId="0" borderId="186" xfId="0" applyNumberFormat="1" applyFont="1" applyBorder="1" applyAlignment="1">
      <alignment horizontal="right"/>
    </xf>
    <xf numFmtId="0" fontId="10" fillId="0" borderId="184" xfId="0" applyFont="1" applyBorder="1" applyAlignment="1">
      <alignment horizontal="right"/>
    </xf>
    <xf numFmtId="0" fontId="6" fillId="0" borderId="184" xfId="0" applyFont="1" applyBorder="1"/>
    <xf numFmtId="176" fontId="6" fillId="0" borderId="185" xfId="0" applyNumberFormat="1" applyFont="1" applyBorder="1" applyAlignment="1">
      <alignment horizontal="right"/>
    </xf>
    <xf numFmtId="0" fontId="24" fillId="0" borderId="144" xfId="0" applyFont="1" applyBorder="1" applyAlignment="1">
      <alignment horizontal="right"/>
    </xf>
    <xf numFmtId="0" fontId="6" fillId="0" borderId="186" xfId="0" applyFont="1" applyBorder="1"/>
    <xf numFmtId="176" fontId="6" fillId="0" borderId="186" xfId="0" applyNumberFormat="1" applyFont="1" applyBorder="1" applyAlignment="1">
      <alignment horizontal="right"/>
    </xf>
    <xf numFmtId="0" fontId="3" fillId="0" borderId="186" xfId="0" applyFont="1" applyBorder="1"/>
    <xf numFmtId="171" fontId="6" fillId="0" borderId="186" xfId="1" applyNumberFormat="1" applyFont="1" applyFill="1" applyBorder="1" applyAlignment="1"/>
    <xf numFmtId="0" fontId="87" fillId="0" borderId="184" xfId="0" applyFont="1" applyBorder="1"/>
    <xf numFmtId="176" fontId="6" fillId="0" borderId="185" xfId="1" applyNumberFormat="1" applyFont="1" applyFill="1" applyBorder="1" applyAlignment="1">
      <alignment horizontal="right"/>
    </xf>
    <xf numFmtId="176" fontId="6" fillId="0" borderId="173" xfId="0" applyNumberFormat="1" applyFont="1" applyBorder="1"/>
    <xf numFmtId="0" fontId="19" fillId="0" borderId="184" xfId="0" applyFont="1" applyBorder="1"/>
    <xf numFmtId="176" fontId="6" fillId="0" borderId="184" xfId="0" applyNumberFormat="1" applyFont="1" applyBorder="1" applyAlignment="1">
      <alignment horizontal="right"/>
    </xf>
    <xf numFmtId="0" fontId="6" fillId="0" borderId="187" xfId="0" applyFont="1" applyBorder="1" applyAlignment="1">
      <alignment horizontal="center"/>
    </xf>
    <xf numFmtId="0" fontId="73" fillId="0" borderId="187" xfId="0" applyFont="1" applyBorder="1" applyAlignment="1">
      <alignment horizontal="center"/>
    </xf>
    <xf numFmtId="0" fontId="6" fillId="0" borderId="187" xfId="0" applyFont="1" applyBorder="1"/>
    <xf numFmtId="0" fontId="6" fillId="0" borderId="152" xfId="0" applyFont="1" applyBorder="1" applyAlignment="1">
      <alignment horizontal="center"/>
    </xf>
    <xf numFmtId="0" fontId="74" fillId="0" borderId="152" xfId="0" applyFont="1" applyBorder="1"/>
    <xf numFmtId="0" fontId="0" fillId="0" borderId="152" xfId="0" applyBorder="1" applyAlignment="1">
      <alignment horizontal="center"/>
    </xf>
    <xf numFmtId="0" fontId="6" fillId="0" borderId="152" xfId="0" applyFont="1" applyBorder="1" applyAlignment="1">
      <alignment horizontal="right"/>
    </xf>
    <xf numFmtId="0" fontId="6" fillId="0" borderId="152" xfId="0" applyFont="1" applyBorder="1"/>
    <xf numFmtId="1" fontId="6" fillId="0" borderId="144" xfId="0" quotePrefix="1" applyNumberFormat="1" applyFont="1" applyBorder="1"/>
    <xf numFmtId="0" fontId="73" fillId="0" borderId="144" xfId="0" applyFont="1" applyBorder="1"/>
    <xf numFmtId="1" fontId="6" fillId="0" borderId="144" xfId="0" applyNumberFormat="1" applyFont="1" applyBorder="1"/>
    <xf numFmtId="0" fontId="0" fillId="0" borderId="187" xfId="0" applyBorder="1"/>
    <xf numFmtId="0" fontId="0" fillId="0" borderId="152" xfId="0" applyBorder="1"/>
    <xf numFmtId="0" fontId="0" fillId="0" borderId="144" xfId="0" applyBorder="1" applyAlignment="1">
      <alignment horizontal="right"/>
    </xf>
    <xf numFmtId="1" fontId="0" fillId="0" borderId="144" xfId="0" applyNumberFormat="1" applyBorder="1"/>
    <xf numFmtId="0" fontId="6" fillId="0" borderId="187" xfId="5" applyFont="1" applyBorder="1" applyAlignment="1">
      <alignment horizontal="center"/>
    </xf>
    <xf numFmtId="0" fontId="6" fillId="0" borderId="152" xfId="5" applyFont="1" applyBorder="1" applyAlignment="1">
      <alignment horizontal="center"/>
    </xf>
    <xf numFmtId="0" fontId="6" fillId="0" borderId="144" xfId="5" applyFont="1" applyBorder="1"/>
    <xf numFmtId="1" fontId="6" fillId="0" borderId="144" xfId="5" applyNumberFormat="1" applyFont="1" applyBorder="1"/>
    <xf numFmtId="0" fontId="3" fillId="0" borderId="144" xfId="5" applyBorder="1"/>
    <xf numFmtId="0" fontId="3" fillId="0" borderId="187" xfId="5" applyBorder="1"/>
    <xf numFmtId="0" fontId="3" fillId="0" borderId="152" xfId="5" applyBorder="1"/>
    <xf numFmtId="0" fontId="3" fillId="0" borderId="144" xfId="5" applyBorder="1" applyProtection="1">
      <protection locked="0"/>
    </xf>
    <xf numFmtId="0" fontId="3" fillId="0" borderId="144" xfId="5" applyBorder="1" applyAlignment="1">
      <alignment horizontal="right"/>
    </xf>
    <xf numFmtId="1" fontId="3" fillId="0" borderId="144" xfId="5" applyNumberFormat="1" applyBorder="1"/>
    <xf numFmtId="0" fontId="6" fillId="0" borderId="178" xfId="0" applyFont="1" applyBorder="1" applyAlignment="1">
      <alignment horizontal="left"/>
    </xf>
    <xf numFmtId="0" fontId="6" fillId="0" borderId="188" xfId="0" applyFont="1" applyBorder="1" applyAlignment="1">
      <alignment horizontal="left"/>
    </xf>
    <xf numFmtId="0" fontId="6" fillId="0" borderId="188" xfId="0" applyFont="1" applyBorder="1"/>
    <xf numFmtId="0" fontId="6" fillId="0" borderId="179" xfId="0" applyFont="1" applyBorder="1"/>
    <xf numFmtId="1" fontId="33" fillId="0" borderId="144" xfId="0" applyNumberFormat="1" applyFont="1" applyBorder="1" applyAlignment="1">
      <alignment horizontal="left"/>
    </xf>
    <xf numFmtId="3" fontId="6" fillId="0" borderId="144" xfId="0" applyNumberFormat="1" applyFont="1" applyBorder="1"/>
    <xf numFmtId="1" fontId="6" fillId="0" borderId="179" xfId="2" applyNumberFormat="1" applyFont="1" applyFill="1" applyBorder="1"/>
    <xf numFmtId="0" fontId="6" fillId="0" borderId="138" xfId="0" applyFont="1" applyBorder="1"/>
    <xf numFmtId="1" fontId="6" fillId="0" borderId="138" xfId="0" applyNumberFormat="1" applyFont="1" applyBorder="1" applyAlignment="1">
      <alignment horizontal="left"/>
    </xf>
    <xf numFmtId="1" fontId="33" fillId="26" borderId="144" xfId="0" applyNumberFormat="1" applyFont="1" applyFill="1" applyBorder="1" applyAlignment="1">
      <alignment horizontal="left"/>
    </xf>
    <xf numFmtId="1" fontId="33" fillId="0" borderId="144" xfId="0" applyNumberFormat="1" applyFont="1" applyBorder="1"/>
    <xf numFmtId="1" fontId="33" fillId="26" borderId="144" xfId="0" applyNumberFormat="1" applyFont="1" applyFill="1" applyBorder="1"/>
    <xf numFmtId="0" fontId="6" fillId="0" borderId="138" xfId="0" applyFont="1" applyBorder="1" applyAlignment="1">
      <alignment horizontal="right"/>
    </xf>
    <xf numFmtId="1" fontId="6" fillId="0" borderId="144" xfId="2" applyNumberFormat="1" applyFont="1" applyFill="1" applyBorder="1"/>
    <xf numFmtId="1" fontId="6" fillId="0" borderId="179" xfId="0" applyNumberFormat="1" applyFont="1" applyBorder="1" applyAlignment="1">
      <alignment horizontal="right"/>
    </xf>
    <xf numFmtId="1" fontId="154" fillId="0" borderId="144" xfId="0" applyNumberFormat="1" applyFont="1" applyBorder="1" applyAlignment="1">
      <alignment horizontal="left"/>
    </xf>
    <xf numFmtId="2" fontId="33" fillId="0" borderId="144" xfId="0" applyNumberFormat="1" applyFont="1" applyBorder="1"/>
    <xf numFmtId="3" fontId="6" fillId="0" borderId="144" xfId="2" applyNumberFormat="1" applyFont="1" applyFill="1" applyBorder="1"/>
    <xf numFmtId="0" fontId="33" fillId="0" borderId="144" xfId="0" applyFont="1" applyBorder="1"/>
    <xf numFmtId="9" fontId="6" fillId="0" borderId="144" xfId="2" applyNumberFormat="1" applyFont="1" applyFill="1" applyBorder="1"/>
    <xf numFmtId="0" fontId="10" fillId="0" borderId="178" xfId="0" applyFont="1" applyBorder="1" applyAlignment="1">
      <alignment horizontal="left"/>
    </xf>
    <xf numFmtId="1" fontId="6" fillId="0" borderId="179" xfId="0" applyNumberFormat="1" applyFont="1" applyBorder="1"/>
    <xf numFmtId="3" fontId="6" fillId="0" borderId="179" xfId="0" applyNumberFormat="1" applyFont="1" applyBorder="1"/>
    <xf numFmtId="3" fontId="73" fillId="0" borderId="179" xfId="0" applyNumberFormat="1" applyFont="1" applyBorder="1"/>
    <xf numFmtId="2" fontId="161" fillId="38" borderId="2" xfId="0" applyNumberFormat="1" applyFont="1" applyFill="1" applyBorder="1" applyAlignment="1">
      <alignment horizontal="right"/>
    </xf>
    <xf numFmtId="3" fontId="10" fillId="0" borderId="144" xfId="0" applyNumberFormat="1" applyFont="1" applyBorder="1"/>
    <xf numFmtId="0" fontId="33" fillId="26" borderId="144" xfId="0" applyFont="1" applyFill="1" applyBorder="1"/>
    <xf numFmtId="0" fontId="33" fillId="23" borderId="144" xfId="0" applyFont="1" applyFill="1" applyBorder="1"/>
    <xf numFmtId="0" fontId="6" fillId="0" borderId="104" xfId="0" applyFont="1" applyBorder="1" applyAlignment="1">
      <alignment horizontal="right"/>
    </xf>
    <xf numFmtId="0" fontId="154" fillId="0" borderId="126" xfId="0" applyFont="1" applyBorder="1"/>
    <xf numFmtId="0" fontId="87" fillId="0" borderId="133" xfId="0" applyFont="1" applyBorder="1"/>
    <xf numFmtId="0" fontId="87" fillId="0" borderId="2" xfId="0" applyFont="1" applyBorder="1"/>
    <xf numFmtId="0" fontId="154" fillId="0" borderId="127" xfId="0" applyFont="1" applyBorder="1"/>
    <xf numFmtId="0" fontId="87" fillId="0" borderId="123" xfId="0" applyFont="1" applyBorder="1"/>
    <xf numFmtId="0" fontId="135" fillId="0" borderId="144" xfId="0" applyFont="1" applyBorder="1"/>
    <xf numFmtId="3" fontId="135" fillId="0" borderId="144" xfId="0" applyNumberFormat="1" applyFont="1" applyBorder="1"/>
    <xf numFmtId="0" fontId="33" fillId="0" borderId="144" xfId="0" applyFont="1" applyBorder="1" applyAlignment="1">
      <alignment horizontal="left"/>
    </xf>
    <xf numFmtId="0" fontId="48" fillId="0" borderId="144" xfId="0" applyFont="1" applyBorder="1" applyAlignment="1">
      <alignment horizontal="left"/>
    </xf>
    <xf numFmtId="4" fontId="6" fillId="0" borderId="144" xfId="0" applyNumberFormat="1" applyFont="1" applyBorder="1"/>
    <xf numFmtId="0" fontId="88" fillId="0" borderId="144" xfId="0" applyFont="1" applyBorder="1"/>
    <xf numFmtId="0" fontId="88" fillId="0" borderId="144" xfId="0" applyFont="1" applyBorder="1" applyAlignment="1">
      <alignment horizontal="left"/>
    </xf>
    <xf numFmtId="0" fontId="6" fillId="0" borderId="104" xfId="0" applyFont="1" applyBorder="1"/>
    <xf numFmtId="4" fontId="10" fillId="0" borderId="144" xfId="0" applyNumberFormat="1" applyFont="1" applyBorder="1"/>
    <xf numFmtId="0" fontId="48" fillId="0" borderId="144" xfId="0" applyFont="1" applyBorder="1"/>
    <xf numFmtId="0" fontId="6" fillId="0" borderId="149" xfId="0" applyFont="1" applyBorder="1"/>
    <xf numFmtId="2" fontId="6" fillId="0" borderId="178" xfId="0" applyNumberFormat="1" applyFont="1" applyBorder="1" applyAlignment="1">
      <alignment horizontal="left"/>
    </xf>
    <xf numFmtId="2" fontId="6" fillId="0" borderId="188" xfId="0" applyNumberFormat="1" applyFont="1" applyBorder="1"/>
    <xf numFmtId="2" fontId="6" fillId="0" borderId="179" xfId="0" applyNumberFormat="1" applyFont="1" applyBorder="1"/>
    <xf numFmtId="3" fontId="10" fillId="0" borderId="144" xfId="2" applyNumberFormat="1" applyFont="1" applyFill="1" applyBorder="1"/>
    <xf numFmtId="2" fontId="48" fillId="0" borderId="144" xfId="0" applyNumberFormat="1" applyFont="1" applyBorder="1"/>
    <xf numFmtId="2" fontId="88" fillId="0" borderId="144" xfId="0" applyNumberFormat="1" applyFont="1" applyBorder="1"/>
    <xf numFmtId="3" fontId="6" fillId="0" borderId="144" xfId="2" applyNumberFormat="1" applyFont="1" applyFill="1" applyBorder="1" applyAlignment="1"/>
    <xf numFmtId="3" fontId="10" fillId="0" borderId="144" xfId="2" applyNumberFormat="1" applyFont="1" applyFill="1" applyBorder="1" applyAlignment="1"/>
    <xf numFmtId="2" fontId="135" fillId="0" borderId="144" xfId="0" applyNumberFormat="1" applyFont="1" applyBorder="1"/>
    <xf numFmtId="3" fontId="135" fillId="0" borderId="144" xfId="2" applyNumberFormat="1" applyFont="1" applyFill="1" applyBorder="1"/>
    <xf numFmtId="2" fontId="6" fillId="0" borderId="189" xfId="0" applyNumberFormat="1" applyFont="1" applyBorder="1"/>
    <xf numFmtId="1" fontId="6" fillId="0" borderId="144" xfId="1" applyNumberFormat="1" applyFont="1" applyFill="1" applyBorder="1"/>
    <xf numFmtId="4" fontId="6" fillId="0" borderId="144" xfId="1" applyNumberFormat="1" applyFont="1" applyFill="1" applyBorder="1"/>
    <xf numFmtId="0" fontId="135" fillId="0" borderId="144" xfId="0" applyFont="1" applyBorder="1" applyProtection="1">
      <protection locked="0"/>
    </xf>
    <xf numFmtId="0" fontId="141" fillId="0" borderId="144" xfId="0" applyFont="1" applyBorder="1" applyProtection="1">
      <protection locked="0"/>
    </xf>
    <xf numFmtId="4" fontId="135" fillId="0" borderId="144" xfId="0" applyNumberFormat="1" applyFont="1" applyBorder="1"/>
    <xf numFmtId="0" fontId="6" fillId="0" borderId="189" xfId="0" applyFont="1" applyBorder="1"/>
    <xf numFmtId="1" fontId="33" fillId="0" borderId="144" xfId="0" applyNumberFormat="1" applyFont="1" applyBorder="1" applyAlignment="1">
      <alignment horizontal="center"/>
    </xf>
    <xf numFmtId="2" fontId="6" fillId="0" borderId="144" xfId="0" applyNumberFormat="1" applyFont="1" applyBorder="1"/>
    <xf numFmtId="1" fontId="6" fillId="0" borderId="144" xfId="0" applyNumberFormat="1" applyFont="1" applyBorder="1" applyProtection="1">
      <protection locked="0"/>
    </xf>
    <xf numFmtId="2" fontId="6" fillId="0" borderId="144" xfId="2" applyNumberFormat="1" applyFont="1" applyFill="1" applyBorder="1"/>
    <xf numFmtId="0" fontId="33" fillId="0" borderId="144" xfId="0" applyFont="1" applyBorder="1" applyAlignment="1">
      <alignment horizontal="center"/>
    </xf>
    <xf numFmtId="1" fontId="88" fillId="0" borderId="144" xfId="0" applyNumberFormat="1" applyFont="1" applyBorder="1" applyAlignment="1">
      <alignment horizontal="center"/>
    </xf>
    <xf numFmtId="1" fontId="33" fillId="26" borderId="144" xfId="0" applyNumberFormat="1" applyFont="1" applyFill="1" applyBorder="1" applyAlignment="1">
      <alignment horizontal="center"/>
    </xf>
    <xf numFmtId="1" fontId="33" fillId="45" borderId="144" xfId="0" applyNumberFormat="1" applyFont="1" applyFill="1" applyBorder="1" applyAlignment="1">
      <alignment horizontal="center"/>
    </xf>
    <xf numFmtId="0" fontId="70" fillId="0" borderId="144" xfId="0" applyFont="1" applyBorder="1" applyAlignment="1">
      <alignment vertical="top" wrapText="1"/>
    </xf>
    <xf numFmtId="2" fontId="0" fillId="0" borderId="144" xfId="0" applyNumberFormat="1" applyBorder="1" applyAlignment="1">
      <alignment horizontal="left"/>
    </xf>
    <xf numFmtId="0" fontId="3" fillId="0" borderId="144" xfId="0" applyFont="1" applyBorder="1" applyAlignment="1">
      <alignment horizontal="right"/>
    </xf>
    <xf numFmtId="0" fontId="3" fillId="0" borderId="144" xfId="0" applyFont="1" applyBorder="1" applyAlignment="1">
      <alignment horizontal="left"/>
    </xf>
    <xf numFmtId="0" fontId="0" fillId="0" borderId="144" xfId="0" applyBorder="1" applyAlignment="1">
      <alignment horizontal="left"/>
    </xf>
    <xf numFmtId="0" fontId="155" fillId="0" borderId="144" xfId="0" applyFont="1" applyBorder="1"/>
    <xf numFmtId="0" fontId="155" fillId="0" borderId="112" xfId="0" applyFont="1" applyBorder="1"/>
    <xf numFmtId="0" fontId="160" fillId="0" borderId="144" xfId="0" applyFont="1" applyBorder="1"/>
    <xf numFmtId="0" fontId="160" fillId="0" borderId="112" xfId="0" applyFont="1" applyBorder="1"/>
    <xf numFmtId="0" fontId="73" fillId="0" borderId="189" xfId="0" applyFont="1" applyBorder="1"/>
    <xf numFmtId="1" fontId="73" fillId="0" borderId="179" xfId="0" applyNumberFormat="1" applyFont="1" applyBorder="1"/>
    <xf numFmtId="2" fontId="6" fillId="0" borderId="144" xfId="0" applyNumberFormat="1" applyFont="1" applyBorder="1" applyProtection="1">
      <protection locked="0"/>
    </xf>
    <xf numFmtId="0" fontId="156" fillId="0" borderId="126" xfId="0" applyFont="1" applyBorder="1"/>
    <xf numFmtId="0" fontId="87" fillId="0" borderId="104" xfId="0" applyFont="1" applyBorder="1" applyAlignment="1">
      <alignment horizontal="left"/>
    </xf>
    <xf numFmtId="0" fontId="87" fillId="0" borderId="104" xfId="0" applyFont="1" applyBorder="1"/>
    <xf numFmtId="0" fontId="87" fillId="0" borderId="104" xfId="0" applyFont="1" applyBorder="1" applyAlignment="1">
      <alignment horizontal="right"/>
    </xf>
    <xf numFmtId="0" fontId="87" fillId="0" borderId="104" xfId="0" applyFont="1" applyBorder="1" applyAlignment="1">
      <alignment horizontal="center"/>
    </xf>
    <xf numFmtId="2" fontId="87" fillId="0" borderId="133" xfId="0" applyNumberFormat="1" applyFont="1" applyBorder="1"/>
    <xf numFmtId="0" fontId="154" fillId="0" borderId="127" xfId="0" applyFont="1" applyBorder="1" applyAlignment="1">
      <alignment horizontal="left"/>
    </xf>
    <xf numFmtId="0" fontId="87" fillId="0" borderId="97" xfId="0" applyFont="1" applyBorder="1"/>
    <xf numFmtId="0" fontId="87" fillId="0" borderId="97" xfId="0" applyFont="1" applyBorder="1" applyAlignment="1">
      <alignment horizontal="right"/>
    </xf>
    <xf numFmtId="0" fontId="87" fillId="0" borderId="97" xfId="0" applyFont="1" applyBorder="1" applyAlignment="1">
      <alignment horizontal="center"/>
    </xf>
    <xf numFmtId="0" fontId="87" fillId="0" borderId="123" xfId="0" quotePrefix="1" applyFont="1" applyBorder="1"/>
    <xf numFmtId="4" fontId="6" fillId="0" borderId="144" xfId="2" applyNumberFormat="1" applyFont="1" applyFill="1" applyBorder="1" applyAlignment="1"/>
    <xf numFmtId="0" fontId="33" fillId="0" borderId="178" xfId="0" applyFont="1" applyBorder="1" applyAlignment="1">
      <alignment horizontal="center"/>
    </xf>
    <xf numFmtId="1" fontId="6" fillId="0" borderId="104" xfId="0" applyNumberFormat="1" applyFont="1" applyBorder="1"/>
    <xf numFmtId="0" fontId="154" fillId="0" borderId="178" xfId="0" applyFont="1" applyBorder="1" applyAlignment="1">
      <alignment horizontal="left" indent="1"/>
    </xf>
    <xf numFmtId="2" fontId="6" fillId="0" borderId="144" xfId="0" quotePrefix="1" applyNumberFormat="1" applyFont="1" applyBorder="1"/>
    <xf numFmtId="1" fontId="6" fillId="0" borderId="144" xfId="0" applyNumberFormat="1" applyFont="1" applyBorder="1" applyAlignment="1">
      <alignment horizontal="center"/>
    </xf>
    <xf numFmtId="0" fontId="135" fillId="0" borderId="126" xfId="0" applyFont="1" applyBorder="1"/>
    <xf numFmtId="0" fontId="87" fillId="0" borderId="144" xfId="0" applyFont="1" applyBorder="1" applyAlignment="1">
      <alignment horizontal="center"/>
    </xf>
    <xf numFmtId="0" fontId="87" fillId="0" borderId="127" xfId="0" applyFont="1" applyBorder="1"/>
    <xf numFmtId="0" fontId="136" fillId="0" borderId="126" xfId="0" applyFont="1" applyBorder="1" applyAlignment="1">
      <alignment horizontal="left"/>
    </xf>
    <xf numFmtId="0" fontId="135" fillId="0" borderId="104" xfId="0" applyFont="1" applyBorder="1"/>
    <xf numFmtId="0" fontId="6" fillId="0" borderId="133" xfId="0" applyFont="1" applyBorder="1"/>
    <xf numFmtId="0" fontId="136" fillId="0" borderId="133" xfId="0" applyFont="1" applyBorder="1" applyAlignment="1">
      <alignment horizontal="right"/>
    </xf>
    <xf numFmtId="0" fontId="135" fillId="0" borderId="127" xfId="0" applyFont="1" applyBorder="1" applyAlignment="1">
      <alignment horizontal="left"/>
    </xf>
    <xf numFmtId="3" fontId="135" fillId="0" borderId="123" xfId="0" applyNumberFormat="1" applyFont="1" applyBorder="1"/>
    <xf numFmtId="0" fontId="135" fillId="0" borderId="127" xfId="0" applyFont="1" applyBorder="1"/>
    <xf numFmtId="0" fontId="135" fillId="0" borderId="97" xfId="0" applyFont="1" applyBorder="1"/>
    <xf numFmtId="0" fontId="137" fillId="0" borderId="97" xfId="0" applyFont="1" applyBorder="1"/>
    <xf numFmtId="0" fontId="6" fillId="0" borderId="123" xfId="0" applyFont="1" applyBorder="1"/>
    <xf numFmtId="0" fontId="136" fillId="0" borderId="126" xfId="0" applyFont="1" applyBorder="1"/>
    <xf numFmtId="0" fontId="135" fillId="0" borderId="123" xfId="0" applyFont="1" applyBorder="1"/>
    <xf numFmtId="0" fontId="10" fillId="0" borderId="126" xfId="0" applyFont="1" applyBorder="1" applyAlignment="1">
      <alignment horizontal="left"/>
    </xf>
    <xf numFmtId="0" fontId="10" fillId="0" borderId="133" xfId="0" applyFont="1" applyBorder="1" applyAlignment="1">
      <alignment horizontal="right"/>
    </xf>
    <xf numFmtId="0" fontId="6" fillId="0" borderId="127" xfId="0" applyFont="1" applyBorder="1"/>
    <xf numFmtId="164" fontId="135" fillId="0" borderId="133" xfId="0" applyNumberFormat="1" applyFont="1" applyBorder="1"/>
    <xf numFmtId="0" fontId="135" fillId="0" borderId="123" xfId="0" applyFont="1" applyBorder="1" applyAlignment="1">
      <alignment horizontal="right"/>
    </xf>
    <xf numFmtId="0" fontId="10" fillId="0" borderId="189" xfId="0" applyFont="1" applyBorder="1" applyAlignment="1">
      <alignment horizontal="left"/>
    </xf>
    <xf numFmtId="0" fontId="163" fillId="0" borderId="126" xfId="0" applyFont="1" applyBorder="1" applyAlignment="1">
      <alignment vertical="center"/>
    </xf>
    <xf numFmtId="0" fontId="10" fillId="0" borderId="104" xfId="0" applyFont="1" applyBorder="1" applyAlignment="1">
      <alignment horizontal="left"/>
    </xf>
    <xf numFmtId="0" fontId="133" fillId="0" borderId="127" xfId="0" applyFont="1" applyBorder="1"/>
    <xf numFmtId="0" fontId="10" fillId="0" borderId="97" xfId="0" applyFont="1" applyBorder="1" applyAlignment="1">
      <alignment horizontal="left"/>
    </xf>
    <xf numFmtId="0" fontId="154" fillId="0" borderId="104" xfId="0" applyFont="1" applyBorder="1"/>
    <xf numFmtId="0" fontId="154" fillId="0" borderId="97" xfId="0" applyFont="1" applyBorder="1"/>
    <xf numFmtId="0" fontId="157" fillId="0" borderId="126" xfId="0" applyFont="1" applyBorder="1"/>
    <xf numFmtId="0" fontId="80" fillId="0" borderId="104" xfId="0" applyFont="1" applyBorder="1"/>
    <xf numFmtId="0" fontId="80" fillId="0" borderId="104" xfId="0" applyFont="1" applyBorder="1" applyAlignment="1">
      <alignment horizontal="left" vertical="center" indent="1"/>
    </xf>
    <xf numFmtId="0" fontId="80" fillId="0" borderId="133" xfId="0" applyFont="1" applyBorder="1"/>
    <xf numFmtId="0" fontId="155" fillId="0" borderId="127" xfId="0" applyFont="1" applyBorder="1" applyAlignment="1">
      <alignment horizontal="left" vertical="center" indent="5"/>
    </xf>
    <xf numFmtId="0" fontId="80" fillId="0" borderId="97" xfId="0" applyFont="1" applyBorder="1"/>
    <xf numFmtId="0" fontId="175" fillId="0" borderId="126" xfId="0" applyFont="1" applyBorder="1"/>
    <xf numFmtId="0" fontId="176" fillId="0" borderId="127" xfId="0" applyFont="1" applyBorder="1"/>
    <xf numFmtId="0" fontId="155" fillId="0" borderId="144" xfId="0" applyFont="1" applyBorder="1" applyAlignment="1">
      <alignment vertical="center"/>
    </xf>
    <xf numFmtId="0" fontId="33" fillId="0" borderId="178" xfId="0" applyFont="1" applyBorder="1"/>
    <xf numFmtId="174" fontId="6" fillId="0" borderId="144" xfId="1" applyNumberFormat="1" applyFont="1" applyFill="1" applyBorder="1"/>
    <xf numFmtId="4" fontId="6" fillId="0" borderId="179" xfId="0" applyNumberFormat="1" applyFont="1" applyBorder="1"/>
    <xf numFmtId="1" fontId="135" fillId="0" borderId="144" xfId="2" applyNumberFormat="1" applyFont="1" applyFill="1" applyBorder="1" applyProtection="1">
      <protection locked="0"/>
    </xf>
    <xf numFmtId="1" fontId="135" fillId="0" borderId="144" xfId="2" applyNumberFormat="1" applyFont="1" applyFill="1" applyBorder="1"/>
    <xf numFmtId="3" fontId="6" fillId="0" borderId="144" xfId="1" applyNumberFormat="1" applyFont="1" applyFill="1" applyBorder="1"/>
    <xf numFmtId="0" fontId="6" fillId="0" borderId="178" xfId="0" applyFont="1" applyBorder="1"/>
    <xf numFmtId="173" fontId="6" fillId="0" borderId="144" xfId="2" applyNumberFormat="1" applyFont="1" applyFill="1" applyBorder="1"/>
    <xf numFmtId="171" fontId="6" fillId="0" borderId="144" xfId="0" applyNumberFormat="1" applyFont="1" applyBorder="1"/>
    <xf numFmtId="0" fontId="153" fillId="0" borderId="126" xfId="0" applyFont="1" applyBorder="1"/>
    <xf numFmtId="0" fontId="33" fillId="26" borderId="97" xfId="0" applyFont="1" applyFill="1" applyBorder="1" applyAlignment="1">
      <alignment horizontal="right"/>
    </xf>
    <xf numFmtId="3" fontId="6" fillId="0" borderId="144" xfId="0" applyNumberFormat="1" applyFont="1" applyBorder="1" applyAlignment="1">
      <alignment horizontal="right"/>
    </xf>
    <xf numFmtId="3" fontId="6" fillId="0" borderId="144" xfId="4" applyNumberFormat="1" applyFont="1" applyFill="1" applyBorder="1"/>
    <xf numFmtId="0" fontId="33" fillId="0" borderId="178" xfId="0" applyFont="1" applyBorder="1" applyAlignment="1">
      <alignment horizontal="left"/>
    </xf>
    <xf numFmtId="0" fontId="135" fillId="0" borderId="178" xfId="0" applyFont="1" applyBorder="1" applyAlignment="1">
      <alignment horizontal="left"/>
    </xf>
    <xf numFmtId="0" fontId="135" fillId="0" borderId="189" xfId="0" applyFont="1" applyBorder="1"/>
    <xf numFmtId="0" fontId="141" fillId="0" borderId="179" xfId="0" applyFont="1" applyBorder="1"/>
    <xf numFmtId="0" fontId="6" fillId="0" borderId="189" xfId="0" applyFont="1" applyBorder="1" applyAlignment="1">
      <alignment horizontal="center"/>
    </xf>
    <xf numFmtId="0" fontId="73" fillId="0" borderId="138" xfId="0" applyFont="1" applyBorder="1"/>
    <xf numFmtId="0" fontId="73" fillId="0" borderId="138" xfId="0" applyFont="1" applyBorder="1" applyAlignment="1">
      <alignment horizontal="center"/>
    </xf>
    <xf numFmtId="1" fontId="88" fillId="26" borderId="144" xfId="0" applyNumberFormat="1" applyFont="1" applyFill="1" applyBorder="1" applyAlignment="1">
      <alignment horizontal="center"/>
    </xf>
    <xf numFmtId="176" fontId="6" fillId="0" borderId="179" xfId="0" applyNumberFormat="1" applyFont="1" applyBorder="1"/>
    <xf numFmtId="176" fontId="6" fillId="0" borderId="144" xfId="0" applyNumberFormat="1" applyFont="1" applyBorder="1"/>
    <xf numFmtId="0" fontId="6" fillId="0" borderId="138" xfId="0" applyFont="1" applyBorder="1" applyAlignment="1">
      <alignment horizontal="left"/>
    </xf>
    <xf numFmtId="176" fontId="6" fillId="0" borderId="138" xfId="0" applyNumberFormat="1" applyFont="1" applyBorder="1"/>
    <xf numFmtId="177" fontId="6" fillId="0" borderId="144" xfId="0" applyNumberFormat="1" applyFont="1" applyBorder="1" applyProtection="1">
      <protection locked="0"/>
    </xf>
    <xf numFmtId="177" fontId="6" fillId="0" borderId="144" xfId="0" applyNumberFormat="1" applyFont="1" applyBorder="1"/>
    <xf numFmtId="176" fontId="6" fillId="0" borderId="144" xfId="0" applyNumberFormat="1" applyFont="1" applyBorder="1" applyProtection="1">
      <protection locked="0"/>
    </xf>
    <xf numFmtId="164" fontId="10" fillId="0" borderId="144" xfId="0" applyNumberFormat="1" applyFont="1" applyBorder="1"/>
    <xf numFmtId="0" fontId="33" fillId="0" borderId="144" xfId="0" applyFont="1" applyBorder="1" applyAlignment="1">
      <alignment horizontal="right"/>
    </xf>
    <xf numFmtId="0" fontId="158" fillId="0" borderId="126" xfId="0" applyFont="1" applyBorder="1" applyAlignment="1">
      <alignment horizontal="left"/>
    </xf>
    <xf numFmtId="0" fontId="6" fillId="0" borderId="104" xfId="0" applyFont="1" applyBorder="1" applyAlignment="1">
      <alignment horizontal="left"/>
    </xf>
    <xf numFmtId="0" fontId="6" fillId="0" borderId="97" xfId="0" applyFont="1" applyBorder="1" applyAlignment="1">
      <alignment horizontal="left"/>
    </xf>
    <xf numFmtId="3" fontId="6" fillId="0" borderId="144" xfId="0" applyNumberFormat="1" applyFont="1" applyBorder="1" applyProtection="1">
      <protection locked="0"/>
    </xf>
    <xf numFmtId="9" fontId="6" fillId="0" borderId="144" xfId="4" applyFont="1" applyFill="1" applyBorder="1"/>
    <xf numFmtId="174" fontId="135" fillId="0" borderId="144" xfId="1" applyNumberFormat="1" applyFont="1" applyFill="1" applyBorder="1"/>
    <xf numFmtId="0" fontId="140" fillId="0" borderId="144" xfId="0" applyFont="1" applyBorder="1" applyAlignment="1">
      <alignment horizontal="center"/>
    </xf>
    <xf numFmtId="3" fontId="97" fillId="0" borderId="144" xfId="0" applyNumberFormat="1" applyFont="1" applyBorder="1"/>
    <xf numFmtId="0" fontId="138" fillId="0" borderId="144" xfId="0" applyFont="1" applyBorder="1" applyAlignment="1">
      <alignment horizontal="center"/>
    </xf>
    <xf numFmtId="0" fontId="135" fillId="0" borderId="144" xfId="0" applyFont="1" applyBorder="1" applyAlignment="1">
      <alignment horizontal="center"/>
    </xf>
    <xf numFmtId="0" fontId="137" fillId="0" borderId="144" xfId="0" applyFont="1" applyBorder="1" applyAlignment="1">
      <alignment horizontal="center"/>
    </xf>
    <xf numFmtId="3" fontId="137" fillId="0" borderId="144" xfId="0" applyNumberFormat="1" applyFont="1" applyBorder="1"/>
    <xf numFmtId="3" fontId="87" fillId="0" borderId="144" xfId="0" applyNumberFormat="1" applyFont="1" applyBorder="1"/>
    <xf numFmtId="3" fontId="10" fillId="0" borderId="144" xfId="1" applyNumberFormat="1" applyFont="1" applyFill="1" applyBorder="1"/>
    <xf numFmtId="3" fontId="6" fillId="0" borderId="144" xfId="1" applyNumberFormat="1" applyFont="1" applyFill="1" applyBorder="1" applyAlignment="1">
      <alignment horizontal="right"/>
    </xf>
    <xf numFmtId="171" fontId="6" fillId="0" borderId="144" xfId="1" applyNumberFormat="1" applyFont="1" applyFill="1" applyBorder="1"/>
    <xf numFmtId="0" fontId="135" fillId="0" borderId="178" xfId="0" applyFont="1" applyBorder="1"/>
    <xf numFmtId="0" fontId="135" fillId="0" borderId="179" xfId="0" applyFont="1" applyBorder="1"/>
    <xf numFmtId="0" fontId="6" fillId="0" borderId="189" xfId="0" applyFont="1" applyBorder="1" applyAlignment="1">
      <alignment horizontal="left"/>
    </xf>
    <xf numFmtId="0" fontId="6" fillId="0" borderId="179" xfId="0" applyFont="1" applyBorder="1" applyAlignment="1">
      <alignment horizontal="left"/>
    </xf>
    <xf numFmtId="0" fontId="6" fillId="0" borderId="144" xfId="0" applyFont="1" applyBorder="1" applyAlignment="1">
      <alignment horizontal="left"/>
    </xf>
    <xf numFmtId="3" fontId="135" fillId="0" borderId="144" xfId="0" applyNumberFormat="1" applyFont="1" applyBorder="1" applyAlignment="1">
      <alignment horizontal="left"/>
    </xf>
    <xf numFmtId="0" fontId="71" fillId="0" borderId="144" xfId="0" applyFont="1" applyBorder="1" applyAlignment="1">
      <alignment vertical="top" wrapText="1"/>
    </xf>
    <xf numFmtId="0" fontId="70" fillId="0" borderId="171" xfId="0" applyFont="1" applyBorder="1" applyAlignment="1">
      <alignment vertical="top" wrapText="1"/>
    </xf>
    <xf numFmtId="0" fontId="70" fillId="0" borderId="171" xfId="0" applyFont="1" applyBorder="1" applyAlignment="1">
      <alignment horizontal="left" vertical="top" wrapText="1"/>
    </xf>
    <xf numFmtId="0" fontId="70" fillId="0" borderId="152" xfId="0" applyFont="1" applyBorder="1" applyAlignment="1">
      <alignment vertical="top" wrapText="1"/>
    </xf>
    <xf numFmtId="0" fontId="70" fillId="0" borderId="152" xfId="0" applyFont="1" applyBorder="1" applyAlignment="1">
      <alignment horizontal="center" vertical="top" wrapText="1"/>
    </xf>
    <xf numFmtId="0" fontId="3" fillId="0" borderId="144" xfId="0" applyFont="1" applyBorder="1" applyAlignment="1">
      <alignment vertical="top" wrapText="1"/>
    </xf>
    <xf numFmtId="0" fontId="70" fillId="0" borderId="171" xfId="0" applyFont="1" applyBorder="1" applyAlignment="1">
      <alignment horizontal="center" vertical="top" wrapText="1"/>
    </xf>
    <xf numFmtId="0" fontId="70" fillId="0" borderId="126" xfId="0" applyFont="1" applyBorder="1" applyAlignment="1">
      <alignment vertical="top" wrapText="1"/>
    </xf>
    <xf numFmtId="0" fontId="3" fillId="0" borderId="171" xfId="0" applyFont="1" applyBorder="1" applyAlignment="1">
      <alignment vertical="top" wrapText="1"/>
    </xf>
    <xf numFmtId="0" fontId="70" fillId="0" borderId="155" xfId="0" applyFont="1" applyBorder="1" applyAlignment="1">
      <alignment vertical="top" wrapText="1"/>
    </xf>
    <xf numFmtId="0" fontId="0" fillId="0" borderId="152" xfId="0" applyBorder="1" applyAlignment="1">
      <alignment vertical="top" wrapText="1"/>
    </xf>
    <xf numFmtId="0" fontId="3" fillId="0" borderId="133" xfId="0" applyFont="1" applyBorder="1" applyAlignment="1">
      <alignment vertical="top" wrapText="1"/>
    </xf>
    <xf numFmtId="0" fontId="70" fillId="0" borderId="123" xfId="0" applyFont="1" applyBorder="1" applyAlignment="1">
      <alignment vertical="top" wrapText="1"/>
    </xf>
    <xf numFmtId="2" fontId="73" fillId="0" borderId="144" xfId="0" applyNumberFormat="1" applyFont="1" applyBorder="1"/>
    <xf numFmtId="1" fontId="73" fillId="0" borderId="144" xfId="0" applyNumberFormat="1" applyFont="1" applyBorder="1"/>
    <xf numFmtId="3" fontId="73" fillId="0" borderId="144" xfId="0" applyNumberFormat="1" applyFont="1" applyBorder="1"/>
    <xf numFmtId="1" fontId="73" fillId="0" borderId="144" xfId="1" applyNumberFormat="1" applyFont="1" applyFill="1" applyBorder="1"/>
    <xf numFmtId="4" fontId="73" fillId="0" borderId="144" xfId="0" applyNumberFormat="1" applyFont="1" applyBorder="1"/>
    <xf numFmtId="0" fontId="186" fillId="0" borderId="0" xfId="0" applyFont="1"/>
    <xf numFmtId="0" fontId="6" fillId="26" borderId="144" xfId="0" applyFont="1" applyFill="1" applyBorder="1" applyProtection="1">
      <protection locked="0"/>
    </xf>
    <xf numFmtId="0" fontId="113" fillId="41" borderId="0" xfId="0" applyFont="1" applyFill="1"/>
    <xf numFmtId="0" fontId="33" fillId="23" borderId="144" xfId="0" applyFont="1" applyFill="1" applyBorder="1" applyAlignment="1">
      <alignment horizontal="left"/>
    </xf>
    <xf numFmtId="0" fontId="10" fillId="23" borderId="0" xfId="0" applyFont="1" applyFill="1" applyAlignment="1">
      <alignment horizontal="right"/>
    </xf>
    <xf numFmtId="0" fontId="10" fillId="23" borderId="0" xfId="0" applyFont="1" applyFill="1"/>
    <xf numFmtId="9" fontId="0" fillId="45" borderId="91" xfId="4" applyFont="1" applyFill="1" applyBorder="1"/>
    <xf numFmtId="14" fontId="3" fillId="45" borderId="88" xfId="7" applyNumberFormat="1" applyFont="1" applyFill="1" applyBorder="1" applyAlignment="1">
      <alignment horizontal="left" vertical="top" wrapText="1"/>
    </xf>
    <xf numFmtId="0" fontId="3" fillId="41" borderId="90" xfId="0" applyFont="1" applyFill="1" applyBorder="1"/>
    <xf numFmtId="0" fontId="3" fillId="41" borderId="101" xfId="0" applyFont="1" applyFill="1" applyBorder="1"/>
    <xf numFmtId="9" fontId="3" fillId="41" borderId="91" xfId="0" applyNumberFormat="1" applyFont="1" applyFill="1" applyBorder="1"/>
    <xf numFmtId="0" fontId="74" fillId="41" borderId="90" xfId="0" applyFont="1" applyFill="1" applyBorder="1"/>
    <xf numFmtId="0" fontId="74" fillId="41" borderId="101" xfId="0" applyFont="1" applyFill="1" applyBorder="1"/>
    <xf numFmtId="9" fontId="74" fillId="41" borderId="91" xfId="0" applyNumberFormat="1" applyFont="1" applyFill="1" applyBorder="1"/>
    <xf numFmtId="0" fontId="80" fillId="0" borderId="88" xfId="7" applyFont="1" applyBorder="1" applyAlignment="1">
      <alignment wrapText="1"/>
    </xf>
    <xf numFmtId="14" fontId="80" fillId="0" borderId="88" xfId="7" applyNumberFormat="1" applyFont="1" applyBorder="1" applyAlignment="1">
      <alignment horizontal="left" vertical="top" wrapText="1"/>
    </xf>
    <xf numFmtId="177" fontId="6" fillId="45" borderId="0" xfId="0" applyNumberFormat="1" applyFont="1" applyFill="1" applyAlignment="1">
      <alignment horizontal="right"/>
    </xf>
    <xf numFmtId="0" fontId="6" fillId="45" borderId="0" xfId="0" applyFont="1" applyFill="1"/>
    <xf numFmtId="0" fontId="152" fillId="45" borderId="187" xfId="0" applyFont="1" applyFill="1" applyBorder="1" applyAlignment="1">
      <alignment horizontal="right"/>
    </xf>
    <xf numFmtId="0" fontId="7" fillId="45" borderId="144" xfId="0" applyFont="1" applyFill="1" applyBorder="1"/>
    <xf numFmtId="0" fontId="3" fillId="26" borderId="143" xfId="0" applyFont="1" applyFill="1" applyBorder="1"/>
    <xf numFmtId="0" fontId="3" fillId="26" borderId="144" xfId="0" applyFont="1" applyFill="1" applyBorder="1" applyAlignment="1">
      <alignment horizontal="right"/>
    </xf>
    <xf numFmtId="2" fontId="0" fillId="26" borderId="144" xfId="0" applyNumberFormat="1" applyFill="1" applyBorder="1"/>
    <xf numFmtId="2" fontId="0" fillId="26" borderId="142" xfId="0" applyNumberFormat="1" applyFill="1" applyBorder="1"/>
    <xf numFmtId="2" fontId="0" fillId="26" borderId="144" xfId="0" applyNumberFormat="1" applyFill="1" applyBorder="1" applyAlignment="1">
      <alignment horizontal="left"/>
    </xf>
    <xf numFmtId="0" fontId="81" fillId="26" borderId="124" xfId="0" applyFont="1" applyFill="1" applyBorder="1"/>
    <xf numFmtId="2" fontId="3" fillId="26" borderId="144" xfId="0" applyNumberFormat="1" applyFont="1" applyFill="1" applyBorder="1"/>
    <xf numFmtId="0" fontId="151" fillId="0" borderId="77" xfId="0" applyFont="1" applyBorder="1" applyAlignment="1">
      <alignment horizontal="right"/>
    </xf>
    <xf numFmtId="0" fontId="3" fillId="26" borderId="0" xfId="0" applyFont="1" applyFill="1" applyAlignment="1">
      <alignment horizontal="right"/>
    </xf>
    <xf numFmtId="176" fontId="73" fillId="26" borderId="0" xfId="0" applyNumberFormat="1" applyFont="1" applyFill="1"/>
    <xf numFmtId="0" fontId="74" fillId="26" borderId="0" xfId="0" applyFont="1" applyFill="1" applyAlignment="1">
      <alignment horizontal="right"/>
    </xf>
    <xf numFmtId="14" fontId="3" fillId="0" borderId="190" xfId="7" applyNumberFormat="1" applyFont="1" applyBorder="1" applyAlignment="1">
      <alignment horizontal="left" vertical="top" wrapText="1"/>
    </xf>
    <xf numFmtId="0" fontId="74" fillId="23" borderId="90" xfId="0" applyFont="1" applyFill="1" applyBorder="1"/>
    <xf numFmtId="0" fontId="74" fillId="23" borderId="101" xfId="0" applyFont="1" applyFill="1" applyBorder="1"/>
    <xf numFmtId="9" fontId="74" fillId="23" borderId="91" xfId="0" applyNumberFormat="1" applyFont="1" applyFill="1" applyBorder="1"/>
    <xf numFmtId="4" fontId="74" fillId="23" borderId="91" xfId="0" applyNumberFormat="1" applyFont="1" applyFill="1" applyBorder="1"/>
    <xf numFmtId="14" fontId="6" fillId="0" borderId="116" xfId="0" applyNumberFormat="1" applyFont="1" applyBorder="1"/>
    <xf numFmtId="169" fontId="59" fillId="26" borderId="79" xfId="0" applyNumberFormat="1" applyFont="1" applyFill="1" applyBorder="1" applyAlignment="1">
      <alignment horizontal="center"/>
    </xf>
    <xf numFmtId="0" fontId="113" fillId="38" borderId="0" xfId="0" applyFont="1" applyFill="1"/>
    <xf numFmtId="0" fontId="73" fillId="38" borderId="0" xfId="0" applyFont="1" applyFill="1" applyAlignment="1">
      <alignment horizontal="center"/>
    </xf>
    <xf numFmtId="0" fontId="6" fillId="6" borderId="0" xfId="0" applyFont="1" applyFill="1" applyAlignment="1">
      <alignment horizontal="left" wrapText="1"/>
    </xf>
    <xf numFmtId="0" fontId="6" fillId="0" borderId="0" xfId="0" applyFont="1" applyAlignment="1">
      <alignment horizontal="left" vertical="top"/>
    </xf>
    <xf numFmtId="168" fontId="6" fillId="23" borderId="128" xfId="1" applyFont="1" applyFill="1" applyBorder="1"/>
    <xf numFmtId="0" fontId="6" fillId="0" borderId="88" xfId="0" applyFont="1" applyBorder="1" applyAlignment="1">
      <alignment horizontal="left" vertical="top"/>
    </xf>
    <xf numFmtId="4" fontId="6" fillId="0" borderId="88" xfId="0" applyNumberFormat="1" applyFont="1" applyBorder="1" applyAlignment="1">
      <alignment horizontal="left" vertical="top"/>
    </xf>
    <xf numFmtId="4" fontId="6" fillId="0" borderId="91" xfId="0" applyNumberFormat="1" applyFont="1" applyBorder="1" applyAlignment="1">
      <alignment horizontal="left" vertical="top"/>
    </xf>
    <xf numFmtId="2" fontId="6" fillId="33" borderId="119" xfId="0" applyNumberFormat="1" applyFont="1" applyFill="1" applyBorder="1" applyAlignment="1">
      <alignment horizontal="center"/>
    </xf>
    <xf numFmtId="0" fontId="6" fillId="41" borderId="0" xfId="0" applyFont="1" applyFill="1"/>
    <xf numFmtId="0" fontId="73" fillId="41" borderId="0" xfId="0" applyFont="1" applyFill="1"/>
    <xf numFmtId="0" fontId="6" fillId="23" borderId="125" xfId="0" applyFont="1" applyFill="1" applyBorder="1" applyAlignment="1" applyProtection="1">
      <alignment horizontal="center"/>
      <protection locked="0"/>
    </xf>
    <xf numFmtId="1" fontId="33" fillId="33" borderId="0" xfId="0" applyNumberFormat="1" applyFont="1" applyFill="1" applyAlignment="1">
      <alignment horizontal="left"/>
    </xf>
    <xf numFmtId="0" fontId="154" fillId="33" borderId="0" xfId="0" applyFont="1" applyFill="1" applyAlignment="1">
      <alignment horizontal="right"/>
    </xf>
    <xf numFmtId="14" fontId="3" fillId="33" borderId="88" xfId="7" applyNumberFormat="1" applyFont="1" applyFill="1" applyBorder="1" applyAlignment="1">
      <alignment horizontal="left" vertical="top" wrapText="1"/>
    </xf>
    <xf numFmtId="1" fontId="6" fillId="32" borderId="0" xfId="0" applyNumberFormat="1" applyFont="1" applyFill="1"/>
    <xf numFmtId="0" fontId="149" fillId="23" borderId="77" xfId="0" applyFont="1" applyFill="1" applyBorder="1"/>
    <xf numFmtId="0" fontId="3" fillId="23" borderId="0" xfId="0" applyFont="1" applyFill="1"/>
    <xf numFmtId="0" fontId="3" fillId="23" borderId="88" xfId="0" applyFont="1" applyFill="1" applyBorder="1"/>
    <xf numFmtId="3" fontId="3" fillId="23" borderId="88" xfId="0" applyNumberFormat="1" applyFont="1" applyFill="1" applyBorder="1"/>
    <xf numFmtId="0" fontId="7" fillId="23" borderId="0" xfId="0" applyFont="1" applyFill="1"/>
    <xf numFmtId="0" fontId="151" fillId="23" borderId="77" xfId="0" applyFont="1" applyFill="1" applyBorder="1" applyAlignment="1">
      <alignment horizontal="right"/>
    </xf>
    <xf numFmtId="0" fontId="151" fillId="23" borderId="152" xfId="0" applyFont="1" applyFill="1" applyBorder="1" applyAlignment="1">
      <alignment horizontal="right"/>
    </xf>
    <xf numFmtId="0" fontId="6" fillId="23" borderId="0" xfId="0" applyFont="1" applyFill="1" applyAlignment="1">
      <alignment horizontal="left"/>
    </xf>
    <xf numFmtId="179" fontId="6" fillId="0" borderId="117" xfId="0" applyNumberFormat="1" applyFont="1" applyBorder="1" applyAlignment="1">
      <alignment horizontal="center"/>
    </xf>
    <xf numFmtId="14" fontId="197" fillId="0" borderId="88" xfId="7" applyNumberFormat="1" applyFont="1" applyBorder="1" applyAlignment="1">
      <alignment horizontal="left" vertical="top" wrapText="1"/>
    </xf>
    <xf numFmtId="0" fontId="151" fillId="0" borderId="88" xfId="0" applyFont="1" applyBorder="1" applyAlignment="1">
      <alignment horizontal="right"/>
    </xf>
    <xf numFmtId="0" fontId="151" fillId="26" borderId="77" xfId="0" applyFont="1" applyFill="1" applyBorder="1" applyAlignment="1">
      <alignment horizontal="right"/>
    </xf>
    <xf numFmtId="0" fontId="113" fillId="26" borderId="0" xfId="0" applyFont="1" applyFill="1" applyAlignment="1">
      <alignment horizontal="left"/>
    </xf>
    <xf numFmtId="0" fontId="33" fillId="41" borderId="0" xfId="0" applyFont="1" applyFill="1"/>
    <xf numFmtId="169" fontId="6" fillId="26" borderId="0" xfId="0" applyNumberFormat="1" applyFont="1" applyFill="1" applyAlignment="1">
      <alignment horizontal="right"/>
    </xf>
    <xf numFmtId="0" fontId="6" fillId="38" borderId="0" xfId="0" applyFont="1" applyFill="1" applyAlignment="1">
      <alignment horizontal="center"/>
    </xf>
    <xf numFmtId="0" fontId="131" fillId="26" borderId="88" xfId="0" applyFont="1" applyFill="1" applyBorder="1" applyAlignment="1">
      <alignment horizontal="left" vertical="center" wrapText="1"/>
    </xf>
    <xf numFmtId="14" fontId="131" fillId="0" borderId="88" xfId="7" applyNumberFormat="1" applyFont="1" applyBorder="1" applyAlignment="1">
      <alignment horizontal="left" vertical="top" wrapText="1"/>
    </xf>
    <xf numFmtId="0" fontId="6" fillId="23" borderId="81" xfId="0" applyFont="1" applyFill="1" applyBorder="1"/>
    <xf numFmtId="1" fontId="6" fillId="8" borderId="116" xfId="0" applyNumberFormat="1" applyFont="1" applyFill="1" applyBorder="1" applyAlignment="1">
      <alignment horizontal="center"/>
    </xf>
    <xf numFmtId="1" fontId="6" fillId="0" borderId="117" xfId="0" applyNumberFormat="1" applyFont="1" applyBorder="1" applyAlignment="1" applyProtection="1">
      <alignment horizontal="center"/>
      <protection locked="0"/>
    </xf>
    <xf numFmtId="1" fontId="6" fillId="0" borderId="128" xfId="0" applyNumberFormat="1" applyFont="1" applyBorder="1" applyAlignment="1" applyProtection="1">
      <alignment horizontal="center"/>
      <protection locked="0"/>
    </xf>
    <xf numFmtId="1" fontId="6" fillId="23" borderId="116" xfId="0" applyNumberFormat="1" applyFont="1" applyFill="1" applyBorder="1" applyProtection="1">
      <protection locked="0"/>
    </xf>
    <xf numFmtId="1" fontId="6" fillId="0" borderId="117" xfId="0" applyNumberFormat="1" applyFont="1" applyBorder="1" applyProtection="1">
      <protection locked="0"/>
    </xf>
    <xf numFmtId="1" fontId="6" fillId="23" borderId="117" xfId="0" applyNumberFormat="1" applyFont="1" applyFill="1" applyBorder="1" applyProtection="1">
      <protection locked="0"/>
    </xf>
    <xf numFmtId="1" fontId="108" fillId="0" borderId="128" xfId="0" applyNumberFormat="1" applyFont="1" applyBorder="1" applyProtection="1">
      <protection locked="0"/>
    </xf>
    <xf numFmtId="1" fontId="6" fillId="12" borderId="128" xfId="0" applyNumberFormat="1" applyFont="1" applyFill="1" applyBorder="1" applyAlignment="1" applyProtection="1">
      <alignment horizontal="center"/>
      <protection locked="0"/>
    </xf>
    <xf numFmtId="2" fontId="46" fillId="0" borderId="120" xfId="0" applyNumberFormat="1" applyFont="1" applyBorder="1" applyAlignment="1">
      <alignment horizontal="center"/>
    </xf>
    <xf numFmtId="2" fontId="6" fillId="23" borderId="81" xfId="0" applyNumberFormat="1" applyFont="1" applyFill="1" applyBorder="1" applyProtection="1">
      <protection locked="0"/>
    </xf>
    <xf numFmtId="2" fontId="6" fillId="0" borderId="81" xfId="0" applyNumberFormat="1" applyFont="1" applyBorder="1" applyProtection="1">
      <protection locked="0"/>
    </xf>
    <xf numFmtId="4" fontId="6" fillId="0" borderId="125" xfId="0" applyNumberFormat="1" applyFont="1" applyBorder="1" applyAlignment="1" applyProtection="1">
      <alignment horizontal="center"/>
      <protection locked="0"/>
    </xf>
    <xf numFmtId="4" fontId="6" fillId="0" borderId="126" xfId="0" applyNumberFormat="1" applyFont="1" applyBorder="1" applyAlignment="1" applyProtection="1">
      <alignment horizontal="center"/>
      <protection locked="0"/>
    </xf>
    <xf numFmtId="4" fontId="6" fillId="23" borderId="126" xfId="0" applyNumberFormat="1" applyFont="1" applyFill="1" applyBorder="1" applyAlignment="1" applyProtection="1">
      <alignment horizontal="center"/>
      <protection locked="0"/>
    </xf>
    <xf numFmtId="4" fontId="6" fillId="23" borderId="125" xfId="0" applyNumberFormat="1" applyFont="1" applyFill="1" applyBorder="1" applyAlignment="1" applyProtection="1">
      <alignment horizontal="center"/>
      <protection locked="0"/>
    </xf>
    <xf numFmtId="4" fontId="6" fillId="0" borderId="129" xfId="0" applyNumberFormat="1" applyFont="1" applyBorder="1" applyAlignment="1" applyProtection="1">
      <alignment horizontal="center"/>
      <protection locked="0"/>
    </xf>
    <xf numFmtId="4" fontId="6" fillId="26" borderId="125" xfId="0" applyNumberFormat="1" applyFont="1" applyFill="1" applyBorder="1" applyAlignment="1" applyProtection="1">
      <alignment horizontal="center"/>
      <protection locked="0"/>
    </xf>
    <xf numFmtId="4" fontId="6" fillId="0" borderId="133" xfId="0" applyNumberFormat="1" applyFont="1" applyBorder="1" applyAlignment="1" applyProtection="1">
      <alignment horizontal="center"/>
      <protection locked="0"/>
    </xf>
    <xf numFmtId="14" fontId="6" fillId="0" borderId="128" xfId="0" applyNumberFormat="1" applyFont="1" applyBorder="1" applyAlignment="1">
      <alignment horizontal="center"/>
    </xf>
    <xf numFmtId="1" fontId="6" fillId="23" borderId="117" xfId="1" applyNumberFormat="1" applyFont="1" applyFill="1" applyBorder="1" applyAlignment="1" applyProtection="1">
      <alignment horizontal="center"/>
      <protection locked="0"/>
    </xf>
    <xf numFmtId="2" fontId="6" fillId="23" borderId="117" xfId="0" applyNumberFormat="1" applyFont="1" applyFill="1" applyBorder="1" applyAlignment="1" applyProtection="1">
      <alignment horizontal="right"/>
      <protection locked="0"/>
    </xf>
    <xf numFmtId="1" fontId="6" fillId="23" borderId="116" xfId="0" applyNumberFormat="1" applyFont="1" applyFill="1" applyBorder="1" applyAlignment="1" applyProtection="1">
      <alignment horizontal="center" wrapText="1"/>
      <protection locked="0"/>
    </xf>
    <xf numFmtId="1" fontId="6" fillId="23" borderId="117" xfId="0" applyNumberFormat="1" applyFont="1" applyFill="1" applyBorder="1" applyAlignment="1" applyProtection="1">
      <alignment horizontal="center" wrapText="1"/>
      <protection locked="0"/>
    </xf>
    <xf numFmtId="1" fontId="6" fillId="0" borderId="117" xfId="1" applyNumberFormat="1" applyFont="1" applyFill="1" applyBorder="1" applyAlignment="1">
      <alignment horizontal="right"/>
    </xf>
    <xf numFmtId="1" fontId="6" fillId="0" borderId="117" xfId="0" applyNumberFormat="1" applyFont="1" applyBorder="1" applyAlignment="1">
      <alignment horizontal="center"/>
    </xf>
    <xf numFmtId="1" fontId="6" fillId="0" borderId="128" xfId="0" applyNumberFormat="1" applyFont="1" applyBorder="1" applyAlignment="1">
      <alignment horizontal="center"/>
    </xf>
    <xf numFmtId="2" fontId="7" fillId="26" borderId="112" xfId="0" applyNumberFormat="1" applyFont="1" applyFill="1" applyBorder="1" applyAlignment="1">
      <alignment horizontal="center"/>
    </xf>
    <xf numFmtId="2" fontId="6" fillId="26" borderId="125" xfId="0" applyNumberFormat="1" applyFont="1" applyFill="1" applyBorder="1" applyAlignment="1" applyProtection="1">
      <alignment horizontal="center"/>
      <protection locked="0"/>
    </xf>
    <xf numFmtId="2" fontId="6" fillId="0" borderId="125" xfId="0" applyNumberFormat="1" applyFont="1" applyBorder="1" applyAlignment="1" applyProtection="1">
      <alignment horizontal="center"/>
      <protection locked="0"/>
    </xf>
    <xf numFmtId="2" fontId="6" fillId="0" borderId="126" xfId="0" applyNumberFormat="1" applyFont="1" applyBorder="1" applyAlignment="1" applyProtection="1">
      <alignment horizontal="center"/>
      <protection locked="0"/>
    </xf>
    <xf numFmtId="2" fontId="6" fillId="23" borderId="126" xfId="0" applyNumberFormat="1" applyFont="1" applyFill="1" applyBorder="1" applyAlignment="1" applyProtection="1">
      <alignment horizontal="center"/>
      <protection locked="0"/>
    </xf>
    <xf numFmtId="2" fontId="6" fillId="23" borderId="125" xfId="0" applyNumberFormat="1" applyFont="1" applyFill="1" applyBorder="1" applyAlignment="1" applyProtection="1">
      <alignment horizontal="center"/>
      <protection locked="0"/>
    </xf>
    <xf numFmtId="2" fontId="6" fillId="0" borderId="129" xfId="0" applyNumberFormat="1" applyFont="1" applyBorder="1" applyAlignment="1" applyProtection="1">
      <alignment horizontal="center"/>
      <protection locked="0"/>
    </xf>
    <xf numFmtId="180" fontId="6" fillId="0" borderId="0" xfId="0" applyNumberFormat="1" applyFont="1"/>
    <xf numFmtId="0" fontId="3" fillId="38" borderId="88" xfId="0" applyFont="1" applyFill="1" applyBorder="1" applyAlignment="1">
      <alignment horizontal="left" vertical="center"/>
    </xf>
    <xf numFmtId="0" fontId="3" fillId="26" borderId="88" xfId="0" applyFont="1" applyFill="1" applyBorder="1" applyAlignment="1">
      <alignment horizontal="left" vertical="center" wrapText="1"/>
    </xf>
    <xf numFmtId="0" fontId="3" fillId="34" borderId="88" xfId="0" applyFont="1" applyFill="1" applyBorder="1" applyAlignment="1">
      <alignment horizontal="left" vertical="center"/>
    </xf>
    <xf numFmtId="0" fontId="3" fillId="41" borderId="88" xfId="0" applyFont="1" applyFill="1" applyBorder="1" applyAlignment="1">
      <alignment horizontal="left" vertical="center" wrapText="1"/>
    </xf>
    <xf numFmtId="0" fontId="3" fillId="23" borderId="88" xfId="7" applyFont="1" applyFill="1" applyBorder="1" applyAlignment="1">
      <alignment vertical="center" wrapText="1"/>
    </xf>
    <xf numFmtId="0" fontId="3" fillId="23" borderId="88" xfId="0" applyFont="1" applyFill="1" applyBorder="1" applyAlignment="1">
      <alignment horizontal="left" vertical="center" wrapText="1"/>
    </xf>
    <xf numFmtId="0" fontId="6" fillId="23" borderId="88" xfId="0" applyFont="1" applyFill="1" applyBorder="1" applyAlignment="1" applyProtection="1">
      <alignment horizontal="center"/>
      <protection locked="0"/>
    </xf>
    <xf numFmtId="2" fontId="6" fillId="23" borderId="88" xfId="0" applyNumberFormat="1" applyFont="1" applyFill="1" applyBorder="1" applyAlignment="1" applyProtection="1">
      <alignment horizontal="right"/>
      <protection locked="0"/>
    </xf>
    <xf numFmtId="1" fontId="6" fillId="0" borderId="88" xfId="0" applyNumberFormat="1" applyFont="1" applyBorder="1" applyAlignment="1" applyProtection="1">
      <alignment horizontal="center" wrapText="1"/>
      <protection locked="0"/>
    </xf>
    <xf numFmtId="0" fontId="6" fillId="23" borderId="88" xfId="0" applyFont="1" applyFill="1" applyBorder="1" applyAlignment="1" applyProtection="1">
      <alignment horizontal="center" wrapText="1"/>
      <protection locked="0"/>
    </xf>
    <xf numFmtId="0" fontId="6" fillId="23" borderId="90" xfId="0" applyFont="1" applyFill="1" applyBorder="1"/>
    <xf numFmtId="0" fontId="6" fillId="0" borderId="88" xfId="0" applyFont="1" applyBorder="1" applyAlignment="1" applyProtection="1">
      <alignment horizontal="center"/>
      <protection locked="0"/>
    </xf>
    <xf numFmtId="0" fontId="10" fillId="10" borderId="18" xfId="0" applyFont="1" applyFill="1" applyBorder="1"/>
    <xf numFmtId="0" fontId="63" fillId="38" borderId="124" xfId="0" applyFont="1" applyFill="1" applyBorder="1" applyAlignment="1">
      <alignment horizontal="center"/>
    </xf>
    <xf numFmtId="0" fontId="10" fillId="10" borderId="37" xfId="0" applyFont="1" applyFill="1" applyBorder="1"/>
    <xf numFmtId="0" fontId="187" fillId="38" borderId="124" xfId="0" applyFont="1" applyFill="1" applyBorder="1" applyAlignment="1">
      <alignment horizontal="center"/>
    </xf>
    <xf numFmtId="180" fontId="6" fillId="23" borderId="117" xfId="0" applyNumberFormat="1" applyFont="1" applyFill="1" applyBorder="1" applyAlignment="1">
      <alignment horizontal="center"/>
    </xf>
    <xf numFmtId="180" fontId="6" fillId="14" borderId="116" xfId="0" applyNumberFormat="1" applyFont="1" applyFill="1" applyBorder="1" applyAlignment="1">
      <alignment horizontal="right"/>
    </xf>
    <xf numFmtId="180" fontId="6" fillId="28" borderId="116" xfId="0" applyNumberFormat="1" applyFont="1" applyFill="1" applyBorder="1"/>
    <xf numFmtId="180" fontId="6" fillId="8" borderId="128" xfId="0" applyNumberFormat="1" applyFont="1" applyFill="1" applyBorder="1"/>
    <xf numFmtId="0" fontId="81" fillId="26" borderId="80" xfId="0" applyFont="1" applyFill="1" applyBorder="1"/>
    <xf numFmtId="168" fontId="6" fillId="0" borderId="117" xfId="1" applyFont="1" applyBorder="1" applyProtection="1">
      <protection locked="0"/>
    </xf>
    <xf numFmtId="1" fontId="6" fillId="0" borderId="83" xfId="0" applyNumberFormat="1" applyFont="1" applyBorder="1" applyProtection="1">
      <protection locked="0"/>
    </xf>
    <xf numFmtId="0" fontId="62" fillId="0" borderId="6" xfId="0" applyFont="1" applyBorder="1"/>
    <xf numFmtId="168" fontId="6" fillId="24" borderId="116" xfId="1" applyFont="1" applyFill="1" applyBorder="1" applyProtection="1">
      <protection locked="0"/>
    </xf>
    <xf numFmtId="168" fontId="6" fillId="8" borderId="116" xfId="1" applyFont="1" applyFill="1" applyBorder="1"/>
    <xf numFmtId="2" fontId="6" fillId="8" borderId="117" xfId="0" applyNumberFormat="1" applyFont="1" applyFill="1" applyBorder="1"/>
    <xf numFmtId="2" fontId="6" fillId="8" borderId="128" xfId="0" applyNumberFormat="1" applyFont="1" applyFill="1" applyBorder="1"/>
    <xf numFmtId="168" fontId="6" fillId="0" borderId="128" xfId="1" applyFont="1" applyBorder="1" applyProtection="1">
      <protection locked="0"/>
    </xf>
    <xf numFmtId="2" fontId="6" fillId="14" borderId="116" xfId="0" applyNumberFormat="1" applyFont="1" applyFill="1" applyBorder="1"/>
    <xf numFmtId="168" fontId="6" fillId="8" borderId="128" xfId="1" applyFont="1" applyFill="1" applyBorder="1"/>
    <xf numFmtId="0" fontId="6" fillId="23" borderId="128" xfId="0" applyFont="1" applyFill="1" applyBorder="1" applyAlignment="1" applyProtection="1">
      <alignment horizontal="center"/>
      <protection locked="0"/>
    </xf>
    <xf numFmtId="4" fontId="6" fillId="0" borderId="128" xfId="0" applyNumberFormat="1" applyFont="1" applyBorder="1"/>
    <xf numFmtId="168" fontId="6" fillId="0" borderId="119" xfId="1" applyFont="1" applyBorder="1" applyProtection="1">
      <protection locked="0"/>
    </xf>
    <xf numFmtId="168" fontId="6" fillId="0" borderId="116" xfId="1" applyFont="1" applyBorder="1" applyAlignment="1" applyProtection="1">
      <alignment horizontal="center"/>
      <protection locked="0"/>
    </xf>
    <xf numFmtId="168" fontId="6" fillId="23" borderId="116" xfId="1" applyFont="1" applyFill="1" applyBorder="1" applyAlignment="1" applyProtection="1">
      <alignment horizontal="center"/>
      <protection locked="0"/>
    </xf>
    <xf numFmtId="168" fontId="6" fillId="0" borderId="128" xfId="1" applyFont="1" applyBorder="1" applyAlignment="1" applyProtection="1">
      <alignment horizontal="center"/>
      <protection locked="0"/>
    </xf>
    <xf numFmtId="168" fontId="6" fillId="0" borderId="116" xfId="1" applyFont="1" applyFill="1" applyBorder="1" applyAlignment="1" applyProtection="1">
      <alignment horizontal="center"/>
      <protection locked="0"/>
    </xf>
    <xf numFmtId="0" fontId="6" fillId="0" borderId="116" xfId="0" quotePrefix="1" applyFont="1" applyBorder="1" applyAlignment="1" applyProtection="1">
      <alignment horizontal="center"/>
      <protection locked="0"/>
    </xf>
    <xf numFmtId="0" fontId="6" fillId="0" borderId="117" xfId="0" quotePrefix="1" applyFont="1" applyBorder="1" applyAlignment="1" applyProtection="1">
      <alignment horizontal="center"/>
      <protection locked="0"/>
    </xf>
    <xf numFmtId="0" fontId="6" fillId="23" borderId="116" xfId="0" quotePrefix="1" applyFont="1" applyFill="1" applyBorder="1" applyAlignment="1" applyProtection="1">
      <alignment horizontal="center"/>
      <protection locked="0"/>
    </xf>
    <xf numFmtId="4" fontId="6" fillId="14" borderId="116" xfId="0" applyNumberFormat="1" applyFont="1" applyFill="1" applyBorder="1" applyProtection="1">
      <protection locked="0"/>
    </xf>
    <xf numFmtId="4" fontId="6" fillId="0" borderId="129" xfId="0" applyNumberFormat="1" applyFont="1" applyBorder="1"/>
    <xf numFmtId="168" fontId="6" fillId="8" borderId="116" xfId="1" applyFont="1" applyFill="1" applyBorder="1" applyProtection="1"/>
    <xf numFmtId="2" fontId="6" fillId="0" borderId="81" xfId="0" applyNumberFormat="1" applyFont="1" applyBorder="1"/>
    <xf numFmtId="2" fontId="6" fillId="0" borderId="83" xfId="0" applyNumberFormat="1" applyFont="1" applyBorder="1"/>
    <xf numFmtId="2" fontId="6" fillId="23" borderId="83" xfId="0" applyNumberFormat="1" applyFont="1" applyFill="1" applyBorder="1"/>
    <xf numFmtId="2" fontId="6" fillId="0" borderId="82" xfId="0" applyNumberFormat="1" applyFont="1" applyBorder="1"/>
    <xf numFmtId="2" fontId="6" fillId="0" borderId="83" xfId="0" applyNumberFormat="1" applyFont="1" applyBorder="1" applyProtection="1">
      <protection locked="0"/>
    </xf>
    <xf numFmtId="2" fontId="6" fillId="0" borderId="82" xfId="0" applyNumberFormat="1" applyFont="1" applyBorder="1" applyProtection="1">
      <protection locked="0"/>
    </xf>
    <xf numFmtId="168" fontId="6" fillId="0" borderId="112" xfId="1" applyFont="1" applyBorder="1" applyProtection="1">
      <protection locked="0"/>
    </xf>
    <xf numFmtId="168" fontId="6" fillId="0" borderId="116" xfId="1" applyFont="1" applyFill="1" applyBorder="1" applyAlignment="1" applyProtection="1">
      <protection locked="0"/>
    </xf>
    <xf numFmtId="4" fontId="6" fillId="0" borderId="81" xfId="0" applyNumberFormat="1" applyFont="1" applyBorder="1" applyProtection="1">
      <protection locked="0"/>
    </xf>
    <xf numFmtId="4" fontId="6" fillId="23" borderId="81" xfId="0" applyNumberFormat="1" applyFont="1" applyFill="1" applyBorder="1" applyProtection="1">
      <protection locked="0"/>
    </xf>
    <xf numFmtId="4" fontId="6" fillId="0" borderId="83" xfId="0" applyNumberFormat="1" applyFont="1" applyBorder="1" applyProtection="1">
      <protection locked="0"/>
    </xf>
    <xf numFmtId="4" fontId="6" fillId="0" borderId="82" xfId="0" applyNumberFormat="1" applyFont="1" applyBorder="1" applyProtection="1">
      <protection locked="0"/>
    </xf>
    <xf numFmtId="4" fontId="6" fillId="23" borderId="128" xfId="0" applyNumberFormat="1" applyFont="1" applyFill="1" applyBorder="1" applyProtection="1">
      <protection locked="0"/>
    </xf>
    <xf numFmtId="168" fontId="6" fillId="8" borderId="116" xfId="1" applyFont="1" applyFill="1" applyBorder="1" applyAlignment="1"/>
    <xf numFmtId="168" fontId="6" fillId="23" borderId="116" xfId="1" applyFont="1" applyFill="1" applyBorder="1" applyAlignment="1"/>
    <xf numFmtId="4" fontId="6" fillId="23" borderId="116" xfId="1" applyNumberFormat="1" applyFont="1" applyFill="1" applyBorder="1" applyAlignment="1"/>
    <xf numFmtId="4" fontId="6" fillId="23" borderId="128" xfId="0" applyNumberFormat="1" applyFont="1" applyFill="1" applyBorder="1"/>
    <xf numFmtId="168" fontId="6" fillId="23" borderId="117" xfId="1" applyFont="1" applyFill="1" applyBorder="1" applyAlignment="1" applyProtection="1">
      <protection locked="0"/>
    </xf>
    <xf numFmtId="0" fontId="6" fillId="23" borderId="128" xfId="0" applyFont="1" applyFill="1" applyBorder="1" applyProtection="1">
      <protection locked="0"/>
    </xf>
    <xf numFmtId="168" fontId="6" fillId="0" borderId="116" xfId="1" applyFont="1" applyBorder="1" applyAlignment="1" applyProtection="1">
      <protection locked="0"/>
    </xf>
    <xf numFmtId="168" fontId="6" fillId="0" borderId="117" xfId="1" applyFont="1" applyBorder="1" applyAlignment="1" applyProtection="1">
      <protection locked="0"/>
    </xf>
    <xf numFmtId="168" fontId="6" fillId="0" borderId="128" xfId="1" applyFont="1" applyBorder="1" applyAlignment="1" applyProtection="1">
      <protection locked="0"/>
    </xf>
    <xf numFmtId="168" fontId="6" fillId="0" borderId="117" xfId="1" applyFont="1" applyFill="1" applyBorder="1" applyAlignment="1" applyProtection="1">
      <protection locked="0"/>
    </xf>
    <xf numFmtId="168" fontId="6" fillId="0" borderId="81" xfId="1" applyFont="1" applyFill="1" applyBorder="1" applyAlignment="1" applyProtection="1">
      <protection locked="0"/>
    </xf>
    <xf numFmtId="168" fontId="6" fillId="0" borderId="82" xfId="1" applyFont="1" applyFill="1" applyBorder="1" applyAlignment="1" applyProtection="1">
      <protection locked="0"/>
    </xf>
    <xf numFmtId="168" fontId="6" fillId="0" borderId="0" xfId="1" applyFont="1" applyFill="1" applyBorder="1" applyAlignment="1" applyProtection="1">
      <protection locked="0"/>
    </xf>
    <xf numFmtId="179" fontId="6" fillId="8" borderId="117" xfId="0" applyNumberFormat="1" applyFont="1" applyFill="1" applyBorder="1" applyAlignment="1">
      <alignment horizontal="center"/>
    </xf>
    <xf numFmtId="179" fontId="6" fillId="8" borderId="128" xfId="0" applyNumberFormat="1" applyFont="1" applyFill="1" applyBorder="1" applyAlignment="1">
      <alignment horizontal="center"/>
    </xf>
    <xf numFmtId="179" fontId="6" fillId="8" borderId="116" xfId="0" applyNumberFormat="1" applyFont="1" applyFill="1" applyBorder="1" applyAlignment="1" applyProtection="1">
      <alignment horizontal="center"/>
      <protection locked="0"/>
    </xf>
    <xf numFmtId="179" fontId="6" fillId="8" borderId="117" xfId="0" applyNumberFormat="1" applyFont="1" applyFill="1" applyBorder="1" applyAlignment="1" applyProtection="1">
      <alignment horizontal="center"/>
      <protection locked="0"/>
    </xf>
    <xf numFmtId="179" fontId="6" fillId="23" borderId="116" xfId="0" applyNumberFormat="1" applyFont="1" applyFill="1" applyBorder="1" applyAlignment="1" applyProtection="1">
      <alignment horizontal="center"/>
      <protection locked="0"/>
    </xf>
    <xf numFmtId="179" fontId="6" fillId="8" borderId="128" xfId="0" applyNumberFormat="1" applyFont="1" applyFill="1" applyBorder="1" applyAlignment="1" applyProtection="1">
      <alignment horizontal="center"/>
      <protection locked="0"/>
    </xf>
    <xf numFmtId="0" fontId="187" fillId="33" borderId="124" xfId="0" applyFont="1" applyFill="1" applyBorder="1" applyAlignment="1">
      <alignment horizontal="center"/>
    </xf>
    <xf numFmtId="0" fontId="63" fillId="43" borderId="124" xfId="0" applyFont="1" applyFill="1" applyBorder="1" applyAlignment="1">
      <alignment horizontal="center"/>
    </xf>
    <xf numFmtId="0" fontId="81" fillId="3" borderId="18" xfId="0" applyFont="1" applyFill="1" applyBorder="1"/>
    <xf numFmtId="0" fontId="81" fillId="0" borderId="80" xfId="0" applyFont="1" applyBorder="1" applyAlignment="1">
      <alignment horizontal="left"/>
    </xf>
    <xf numFmtId="4" fontId="6" fillId="23" borderId="128" xfId="0" applyNumberFormat="1" applyFont="1" applyFill="1" applyBorder="1" applyAlignment="1" applyProtection="1">
      <alignment horizontal="right"/>
      <protection locked="0"/>
    </xf>
    <xf numFmtId="0" fontId="59" fillId="0" borderId="81" xfId="0" applyFont="1" applyBorder="1"/>
    <xf numFmtId="4" fontId="6" fillId="8" borderId="81" xfId="0" applyNumberFormat="1" applyFont="1" applyFill="1" applyBorder="1"/>
    <xf numFmtId="0" fontId="6" fillId="8" borderId="16" xfId="0" applyFont="1" applyFill="1" applyBorder="1" applyAlignment="1" applyProtection="1">
      <alignment horizontal="center"/>
      <protection locked="0"/>
    </xf>
    <xf numFmtId="0" fontId="63" fillId="38" borderId="124" xfId="0" applyFont="1" applyFill="1" applyBorder="1" applyAlignment="1">
      <alignment horizontal="left"/>
    </xf>
    <xf numFmtId="0" fontId="63" fillId="0" borderId="80" xfId="0" applyFont="1" applyBorder="1" applyAlignment="1">
      <alignment horizontal="left"/>
    </xf>
    <xf numFmtId="0" fontId="81" fillId="0" borderId="116" xfId="0" applyFont="1" applyBorder="1" applyAlignment="1">
      <alignment horizontal="left"/>
    </xf>
    <xf numFmtId="1" fontId="6" fillId="23" borderId="117" xfId="0" applyNumberFormat="1" applyFont="1" applyFill="1" applyBorder="1" applyAlignment="1">
      <alignment horizontal="center"/>
    </xf>
    <xf numFmtId="4" fontId="6" fillId="23" borderId="83" xfId="0" applyNumberFormat="1" applyFont="1" applyFill="1" applyBorder="1" applyProtection="1">
      <protection locked="0"/>
    </xf>
    <xf numFmtId="1" fontId="6" fillId="12" borderId="117" xfId="0" applyNumberFormat="1" applyFont="1" applyFill="1" applyBorder="1" applyAlignment="1">
      <alignment horizontal="center"/>
    </xf>
    <xf numFmtId="4" fontId="6" fillId="8" borderId="116" xfId="0" applyNumberFormat="1" applyFont="1" applyFill="1" applyBorder="1" applyProtection="1">
      <protection locked="0"/>
    </xf>
    <xf numFmtId="1" fontId="6" fillId="12" borderId="116" xfId="0" applyNumberFormat="1" applyFont="1" applyFill="1" applyBorder="1" applyAlignment="1">
      <alignment horizontal="center"/>
    </xf>
    <xf numFmtId="1" fontId="6" fillId="14" borderId="116" xfId="0" applyNumberFormat="1" applyFont="1" applyFill="1" applyBorder="1" applyAlignment="1">
      <alignment horizontal="center"/>
    </xf>
    <xf numFmtId="1" fontId="6" fillId="12" borderId="128" xfId="0" applyNumberFormat="1" applyFont="1" applyFill="1" applyBorder="1" applyAlignment="1">
      <alignment horizontal="center"/>
    </xf>
    <xf numFmtId="0" fontId="183" fillId="38" borderId="84" xfId="0" applyFont="1" applyFill="1" applyBorder="1" applyAlignment="1">
      <alignment horizontal="center"/>
    </xf>
    <xf numFmtId="0" fontId="81" fillId="0" borderId="53" xfId="0" applyFont="1" applyBorder="1" applyAlignment="1">
      <alignment horizontal="center"/>
    </xf>
    <xf numFmtId="0" fontId="183" fillId="42" borderId="124" xfId="0" applyFont="1" applyFill="1" applyBorder="1" applyAlignment="1">
      <alignment horizontal="center"/>
    </xf>
    <xf numFmtId="0" fontId="62" fillId="0" borderId="16" xfId="0" applyFont="1" applyBorder="1" applyAlignment="1">
      <alignment horizontal="center"/>
    </xf>
    <xf numFmtId="4" fontId="6" fillId="14" borderId="116" xfId="0" applyNumberFormat="1" applyFont="1" applyFill="1" applyBorder="1" applyAlignment="1">
      <alignment horizontal="right"/>
    </xf>
    <xf numFmtId="4" fontId="6" fillId="14" borderId="128" xfId="0" applyNumberFormat="1" applyFont="1" applyFill="1" applyBorder="1" applyAlignment="1">
      <alignment horizontal="right"/>
    </xf>
    <xf numFmtId="0" fontId="62" fillId="0" borderId="77" xfId="0" applyFont="1" applyBorder="1" applyAlignment="1">
      <alignment horizontal="left"/>
    </xf>
    <xf numFmtId="0" fontId="10" fillId="3" borderId="18" xfId="0" applyFont="1" applyFill="1" applyBorder="1" applyAlignment="1">
      <alignment horizontal="center"/>
    </xf>
    <xf numFmtId="0" fontId="187" fillId="23" borderId="124" xfId="0" applyFont="1" applyFill="1" applyBorder="1" applyAlignment="1">
      <alignment horizontal="center"/>
    </xf>
    <xf numFmtId="2" fontId="3" fillId="0" borderId="116" xfId="0" applyNumberFormat="1" applyFont="1" applyBorder="1"/>
    <xf numFmtId="2" fontId="3" fillId="23" borderId="116" xfId="0" applyNumberFormat="1" applyFont="1" applyFill="1" applyBorder="1"/>
    <xf numFmtId="0" fontId="3" fillId="14" borderId="116" xfId="0" applyFont="1" applyFill="1" applyBorder="1"/>
    <xf numFmtId="3" fontId="3" fillId="23" borderId="116" xfId="0" applyNumberFormat="1" applyFont="1" applyFill="1" applyBorder="1"/>
    <xf numFmtId="0" fontId="3" fillId="0" borderId="117" xfId="0" applyFont="1" applyBorder="1"/>
    <xf numFmtId="1" fontId="3" fillId="0" borderId="116" xfId="0" applyNumberFormat="1" applyFont="1" applyBorder="1"/>
    <xf numFmtId="180" fontId="6" fillId="0" borderId="128" xfId="0" applyNumberFormat="1" applyFont="1" applyBorder="1"/>
    <xf numFmtId="1" fontId="3" fillId="23" borderId="116" xfId="0" applyNumberFormat="1" applyFont="1" applyFill="1" applyBorder="1"/>
    <xf numFmtId="4" fontId="3" fillId="23" borderId="116" xfId="0" applyNumberFormat="1" applyFont="1" applyFill="1" applyBorder="1"/>
    <xf numFmtId="0" fontId="10" fillId="0" borderId="18" xfId="0" applyFont="1" applyBorder="1"/>
    <xf numFmtId="0" fontId="63" fillId="0" borderId="12" xfId="0" applyFont="1" applyBorder="1" applyAlignment="1">
      <alignment horizontal="center"/>
    </xf>
    <xf numFmtId="4" fontId="6" fillId="0" borderId="112" xfId="0" applyNumberFormat="1" applyFont="1" applyBorder="1" applyProtection="1">
      <protection locked="0"/>
    </xf>
    <xf numFmtId="4" fontId="6" fillId="23" borderId="112" xfId="0" applyNumberFormat="1" applyFont="1" applyFill="1" applyBorder="1" applyProtection="1">
      <protection locked="0"/>
    </xf>
    <xf numFmtId="4" fontId="6" fillId="0" borderId="128" xfId="0" applyNumberFormat="1" applyFont="1" applyBorder="1" applyProtection="1">
      <protection locked="0"/>
    </xf>
    <xf numFmtId="4" fontId="6" fillId="0" borderId="116" xfId="0" applyNumberFormat="1" applyFont="1" applyBorder="1" applyAlignment="1" applyProtection="1">
      <alignment wrapText="1"/>
      <protection locked="0"/>
    </xf>
    <xf numFmtId="4" fontId="6" fillId="23" borderId="116" xfId="0" applyNumberFormat="1" applyFont="1" applyFill="1" applyBorder="1" applyAlignment="1" applyProtection="1">
      <alignment wrapText="1"/>
      <protection locked="0"/>
    </xf>
    <xf numFmtId="0" fontId="59" fillId="26" borderId="112" xfId="0" applyFont="1" applyFill="1" applyBorder="1" applyAlignment="1">
      <alignment horizontal="left"/>
    </xf>
    <xf numFmtId="0" fontId="81" fillId="3" borderId="18" xfId="0" applyFont="1" applyFill="1" applyBorder="1" applyAlignment="1">
      <alignment horizontal="left"/>
    </xf>
    <xf numFmtId="0" fontId="81" fillId="0" borderId="0" xfId="0" applyFont="1" applyAlignment="1">
      <alignment horizontal="left"/>
    </xf>
    <xf numFmtId="0" fontId="183" fillId="26" borderId="124" xfId="0" applyFont="1" applyFill="1" applyBorder="1" applyAlignment="1">
      <alignment horizontal="center"/>
    </xf>
    <xf numFmtId="49" fontId="81" fillId="0" borderId="131" xfId="0" applyNumberFormat="1" applyFont="1" applyBorder="1" applyAlignment="1">
      <alignment horizontal="center"/>
    </xf>
    <xf numFmtId="49" fontId="81" fillId="26" borderId="131" xfId="0" applyNumberFormat="1" applyFont="1" applyFill="1" applyBorder="1" applyAlignment="1">
      <alignment horizontal="center"/>
    </xf>
    <xf numFmtId="0" fontId="81" fillId="26" borderId="80" xfId="0" applyFont="1" applyFill="1" applyBorder="1" applyAlignment="1">
      <alignment horizontal="center"/>
    </xf>
    <xf numFmtId="0" fontId="81" fillId="3" borderId="116" xfId="0" applyFont="1" applyFill="1" applyBorder="1"/>
    <xf numFmtId="0" fontId="136" fillId="0" borderId="116" xfId="0" applyFont="1" applyBorder="1" applyAlignment="1">
      <alignment horizontal="left"/>
    </xf>
    <xf numFmtId="0" fontId="10" fillId="0" borderId="116" xfId="0" applyFont="1" applyBorder="1" applyAlignment="1">
      <alignment horizontal="left"/>
    </xf>
    <xf numFmtId="0" fontId="7" fillId="0" borderId="120" xfId="0" applyFont="1" applyBorder="1" applyAlignment="1">
      <alignment horizontal="center"/>
    </xf>
    <xf numFmtId="0" fontId="3" fillId="0" borderId="55" xfId="0" applyFont="1" applyBorder="1" applyAlignment="1">
      <alignment wrapText="1"/>
    </xf>
    <xf numFmtId="3" fontId="6" fillId="0" borderId="116" xfId="0" applyNumberFormat="1" applyFont="1" applyBorder="1" applyAlignment="1">
      <alignment horizontal="center"/>
    </xf>
    <xf numFmtId="4" fontId="6" fillId="14" borderId="117" xfId="1" applyNumberFormat="1" applyFont="1" applyFill="1" applyBorder="1" applyAlignment="1">
      <alignment horizontal="right"/>
    </xf>
    <xf numFmtId="4" fontId="6" fillId="0" borderId="117" xfId="1" applyNumberFormat="1" applyFont="1" applyFill="1" applyBorder="1" applyAlignment="1">
      <alignment horizontal="right"/>
    </xf>
    <xf numFmtId="168" fontId="6" fillId="26" borderId="117" xfId="1" applyFont="1" applyFill="1" applyBorder="1"/>
    <xf numFmtId="168" fontId="6" fillId="23" borderId="117" xfId="1" applyFont="1" applyFill="1" applyBorder="1"/>
    <xf numFmtId="168" fontId="6" fillId="14" borderId="116" xfId="1" applyFont="1" applyFill="1" applyBorder="1" applyAlignment="1">
      <alignment horizontal="right"/>
    </xf>
    <xf numFmtId="168" fontId="6" fillId="14" borderId="117" xfId="1" applyFont="1" applyFill="1" applyBorder="1" applyAlignment="1">
      <alignment horizontal="right"/>
    </xf>
    <xf numFmtId="0" fontId="6" fillId="23" borderId="116" xfId="1" applyNumberFormat="1" applyFont="1" applyFill="1" applyBorder="1" applyAlignment="1">
      <alignment horizontal="right"/>
    </xf>
    <xf numFmtId="0" fontId="6" fillId="8" borderId="33" xfId="0" applyFont="1" applyFill="1" applyBorder="1" applyAlignment="1" applyProtection="1">
      <alignment horizontal="center"/>
      <protection locked="0"/>
    </xf>
    <xf numFmtId="4" fontId="6" fillId="23" borderId="116" xfId="0" applyNumberFormat="1" applyFont="1" applyFill="1" applyBorder="1" applyAlignment="1">
      <alignment horizontal="center"/>
    </xf>
    <xf numFmtId="4" fontId="6" fillId="0" borderId="116" xfId="1" applyNumberFormat="1" applyFont="1" applyFill="1" applyBorder="1" applyAlignment="1" applyProtection="1">
      <alignment horizontal="center"/>
      <protection locked="0"/>
    </xf>
    <xf numFmtId="4" fontId="6" fillId="23" borderId="117" xfId="0" applyNumberFormat="1" applyFont="1" applyFill="1" applyBorder="1" applyAlignment="1" applyProtection="1">
      <alignment horizontal="center"/>
      <protection locked="0"/>
    </xf>
    <xf numFmtId="4" fontId="73" fillId="26" borderId="116" xfId="0" applyNumberFormat="1" applyFont="1" applyFill="1" applyBorder="1" applyAlignment="1">
      <alignment horizontal="right"/>
    </xf>
    <xf numFmtId="4" fontId="73" fillId="26" borderId="116" xfId="0" applyNumberFormat="1" applyFont="1" applyFill="1" applyBorder="1" applyAlignment="1" applyProtection="1">
      <alignment horizontal="center"/>
      <protection locked="0"/>
    </xf>
    <xf numFmtId="2" fontId="6" fillId="0" borderId="88" xfId="0" applyNumberFormat="1" applyFont="1" applyBorder="1"/>
    <xf numFmtId="0" fontId="96" fillId="23" borderId="0" xfId="0" applyFont="1" applyFill="1" applyAlignment="1">
      <alignment horizontal="center"/>
    </xf>
    <xf numFmtId="0" fontId="10" fillId="0" borderId="90" xfId="0" applyFont="1" applyBorder="1" applyAlignment="1">
      <alignment horizontal="left"/>
    </xf>
    <xf numFmtId="0" fontId="10" fillId="0" borderId="101" xfId="0" applyFont="1" applyBorder="1" applyAlignment="1">
      <alignment horizontal="left"/>
    </xf>
    <xf numFmtId="0" fontId="10" fillId="0" borderId="91" xfId="0" applyFont="1" applyBorder="1" applyAlignment="1">
      <alignment horizontal="left"/>
    </xf>
    <xf numFmtId="0" fontId="6" fillId="0" borderId="90" xfId="0" applyFont="1" applyBorder="1" applyAlignment="1">
      <alignment horizontal="left"/>
    </xf>
    <xf numFmtId="0" fontId="6" fillId="0" borderId="101" xfId="0" applyFont="1" applyBorder="1" applyAlignment="1">
      <alignment horizontal="left"/>
    </xf>
    <xf numFmtId="0" fontId="6" fillId="0" borderId="91" xfId="0" applyFont="1" applyBorder="1" applyAlignment="1">
      <alignment horizontal="left"/>
    </xf>
    <xf numFmtId="0" fontId="9" fillId="0" borderId="140" xfId="0" applyFont="1" applyBorder="1"/>
    <xf numFmtId="0" fontId="9" fillId="0" borderId="167" xfId="0" applyFont="1" applyBorder="1"/>
    <xf numFmtId="0" fontId="9" fillId="0" borderId="168" xfId="0" applyFont="1" applyBorder="1"/>
    <xf numFmtId="0" fontId="10" fillId="0" borderId="0" xfId="0" applyFont="1"/>
    <xf numFmtId="0" fontId="6" fillId="0" borderId="0" xfId="0" applyFont="1"/>
    <xf numFmtId="0" fontId="10" fillId="0" borderId="0" xfId="0" applyFont="1" applyAlignment="1">
      <alignment horizontal="left"/>
    </xf>
    <xf numFmtId="0" fontId="6" fillId="0" borderId="0" xfId="0" applyFont="1" applyAlignment="1">
      <alignment horizontal="right"/>
    </xf>
    <xf numFmtId="0" fontId="6" fillId="0" borderId="0" xfId="0" applyFont="1" applyAlignment="1">
      <alignment horizontal="left"/>
    </xf>
    <xf numFmtId="166" fontId="10" fillId="0" borderId="0" xfId="0" applyNumberFormat="1" applyFont="1"/>
    <xf numFmtId="0" fontId="9" fillId="0" borderId="0" xfId="0" applyFont="1"/>
    <xf numFmtId="0" fontId="9" fillId="0" borderId="73" xfId="0" applyFont="1" applyBorder="1" applyAlignment="1">
      <alignment horizontal="left"/>
    </xf>
    <xf numFmtId="0" fontId="9" fillId="0" borderId="74" xfId="0" applyFont="1" applyBorder="1" applyAlignment="1">
      <alignment horizontal="left"/>
    </xf>
    <xf numFmtId="0" fontId="9" fillId="8" borderId="162" xfId="0" applyFont="1" applyFill="1" applyBorder="1" applyAlignment="1">
      <alignment horizontal="center" vertical="top" wrapText="1"/>
    </xf>
    <xf numFmtId="0" fontId="9" fillId="8" borderId="26" xfId="0" applyFont="1" applyFill="1" applyBorder="1" applyAlignment="1">
      <alignment horizontal="center" vertical="top" wrapText="1"/>
    </xf>
    <xf numFmtId="0" fontId="9" fillId="8" borderId="112" xfId="0" applyFont="1" applyFill="1" applyBorder="1" applyAlignment="1">
      <alignment horizontal="center" vertical="top" wrapText="1"/>
    </xf>
    <xf numFmtId="0" fontId="9" fillId="8" borderId="162" xfId="0" applyFont="1" applyFill="1" applyBorder="1" applyAlignment="1">
      <alignment horizontal="center" wrapText="1"/>
    </xf>
    <xf numFmtId="0" fontId="9" fillId="8" borderId="26" xfId="0" applyFont="1" applyFill="1" applyBorder="1" applyAlignment="1">
      <alignment horizontal="center" wrapText="1"/>
    </xf>
    <xf numFmtId="0" fontId="9" fillId="8" borderId="112" xfId="0" applyFont="1" applyFill="1" applyBorder="1" applyAlignment="1">
      <alignment horizontal="center" wrapText="1"/>
    </xf>
    <xf numFmtId="0" fontId="9" fillId="26" borderId="172" xfId="0" applyFont="1" applyFill="1" applyBorder="1"/>
    <xf numFmtId="0" fontId="9" fillId="26" borderId="167" xfId="0" applyFont="1" applyFill="1" applyBorder="1"/>
    <xf numFmtId="0" fontId="6" fillId="0" borderId="170" xfId="0" applyFont="1" applyBorder="1" applyAlignment="1">
      <alignment horizontal="left"/>
    </xf>
    <xf numFmtId="0" fontId="73" fillId="26" borderId="0" xfId="0" applyFont="1" applyFill="1"/>
    <xf numFmtId="0" fontId="9" fillId="26" borderId="0" xfId="0" applyFont="1" applyFill="1" applyAlignment="1">
      <alignment horizontal="left"/>
    </xf>
    <xf numFmtId="0" fontId="9" fillId="0" borderId="0" xfId="0" applyFont="1" applyAlignment="1">
      <alignment horizontal="left"/>
    </xf>
    <xf numFmtId="0" fontId="9" fillId="26" borderId="174" xfId="0" applyFont="1" applyFill="1" applyBorder="1"/>
    <xf numFmtId="0" fontId="9" fillId="26" borderId="169" xfId="0" applyFont="1" applyFill="1" applyBorder="1"/>
    <xf numFmtId="0" fontId="9" fillId="26" borderId="176" xfId="0" applyFont="1" applyFill="1" applyBorder="1"/>
    <xf numFmtId="0" fontId="9" fillId="26" borderId="170" xfId="0" applyFont="1" applyFill="1" applyBorder="1"/>
    <xf numFmtId="0" fontId="6" fillId="0" borderId="170" xfId="0" applyFont="1" applyBorder="1"/>
    <xf numFmtId="0" fontId="3" fillId="0" borderId="0" xfId="0" applyFont="1"/>
    <xf numFmtId="0" fontId="6" fillId="26" borderId="0" xfId="0" applyFont="1" applyFill="1"/>
    <xf numFmtId="166" fontId="6" fillId="0" borderId="0" xfId="0" applyNumberFormat="1" applyFont="1" applyAlignment="1">
      <alignment horizontal="left"/>
    </xf>
    <xf numFmtId="0" fontId="10" fillId="0" borderId="170" xfId="0" applyFont="1" applyBorder="1" applyAlignment="1">
      <alignment horizontal="right"/>
    </xf>
    <xf numFmtId="0" fontId="6" fillId="23" borderId="0" xfId="0" applyFont="1" applyFill="1" applyAlignment="1">
      <alignment horizontal="left"/>
    </xf>
    <xf numFmtId="0" fontId="6" fillId="45" borderId="0" xfId="0" applyFont="1" applyFill="1"/>
    <xf numFmtId="0" fontId="6" fillId="45" borderId="170" xfId="0" applyFont="1" applyFill="1" applyBorder="1"/>
    <xf numFmtId="0" fontId="10" fillId="0" borderId="170" xfId="0" applyFont="1" applyBorder="1"/>
    <xf numFmtId="0" fontId="73" fillId="26" borderId="0" xfId="0" applyFont="1" applyFill="1" applyAlignment="1">
      <alignment horizontal="left"/>
    </xf>
    <xf numFmtId="0" fontId="9" fillId="0" borderId="183" xfId="0" applyFont="1" applyBorder="1"/>
    <xf numFmtId="0" fontId="9" fillId="0" borderId="184" xfId="0" applyFont="1" applyBorder="1"/>
    <xf numFmtId="0" fontId="86" fillId="0" borderId="0" xfId="0" applyFont="1" applyAlignment="1">
      <alignment horizontal="left"/>
    </xf>
    <xf numFmtId="0" fontId="87" fillId="0" borderId="0" xfId="0" applyFont="1" applyAlignment="1">
      <alignment horizontal="right"/>
    </xf>
    <xf numFmtId="0" fontId="166" fillId="0" borderId="0" xfId="0" applyFont="1" applyAlignment="1">
      <alignment horizontal="left"/>
    </xf>
    <xf numFmtId="0" fontId="9" fillId="0" borderId="172" xfId="0" applyFont="1" applyBorder="1"/>
    <xf numFmtId="0" fontId="6" fillId="0" borderId="24" xfId="0" applyFont="1" applyBorder="1" applyAlignment="1">
      <alignment horizontal="right"/>
    </xf>
    <xf numFmtId="0" fontId="87" fillId="0" borderId="0" xfId="0" applyFont="1"/>
    <xf numFmtId="0" fontId="9" fillId="0" borderId="185" xfId="0" applyFont="1" applyBorder="1"/>
    <xf numFmtId="166" fontId="6" fillId="0" borderId="186" xfId="0" applyNumberFormat="1" applyFont="1" applyBorder="1" applyAlignment="1">
      <alignment horizontal="left"/>
    </xf>
    <xf numFmtId="0" fontId="166" fillId="0" borderId="183" xfId="0" applyFont="1" applyBorder="1"/>
    <xf numFmtId="0" fontId="166" fillId="0" borderId="184" xfId="0" applyFont="1" applyBorder="1"/>
    <xf numFmtId="0" fontId="6" fillId="0" borderId="0" xfId="0" applyFont="1" applyAlignment="1">
      <alignment horizontal="left" wrapText="1"/>
    </xf>
    <xf numFmtId="0" fontId="3" fillId="0" borderId="171" xfId="0" applyFont="1" applyBorder="1" applyAlignment="1">
      <alignment horizontal="left" vertical="top" wrapText="1"/>
    </xf>
    <xf numFmtId="0" fontId="3" fillId="0" borderId="26" xfId="0" applyFont="1" applyBorder="1" applyAlignment="1">
      <alignment horizontal="left" vertical="top" wrapText="1"/>
    </xf>
    <xf numFmtId="0" fontId="3" fillId="0" borderId="152" xfId="0" applyFont="1" applyBorder="1" applyAlignment="1">
      <alignment horizontal="left" vertical="top" wrapText="1"/>
    </xf>
    <xf numFmtId="0" fontId="70" fillId="0" borderId="171" xfId="0" applyFont="1" applyBorder="1" applyAlignment="1">
      <alignment horizontal="center" vertical="top" wrapText="1"/>
    </xf>
    <xf numFmtId="0" fontId="70" fillId="0" borderId="26" xfId="0" applyFont="1" applyBorder="1" applyAlignment="1">
      <alignment horizontal="center" vertical="top" wrapText="1"/>
    </xf>
    <xf numFmtId="0" fontId="70" fillId="0" borderId="152" xfId="0" applyFont="1" applyBorder="1" applyAlignment="1">
      <alignment horizontal="center" vertical="top" wrapText="1"/>
    </xf>
  </cellXfs>
  <cellStyles count="8">
    <cellStyle name="Comma" xfId="1" builtinId="3"/>
    <cellStyle name="Currency" xfId="2" builtinId="4"/>
    <cellStyle name="Hyperlink" xfId="3" builtinId="8"/>
    <cellStyle name="Normal" xfId="0" builtinId="0"/>
    <cellStyle name="Normal 2" xfId="5" xr:uid="{00000000-0005-0000-0000-000004000000}"/>
    <cellStyle name="Normal 3" xfId="7" xr:uid="{7FC7FA55-D1C2-49CA-ABB4-3E54C6A4EE38}"/>
    <cellStyle name="Normal 3 2" xfId="6" xr:uid="{7A0AECC6-2838-4913-9513-88FF561718BE}"/>
    <cellStyle name="Percent" xfId="4" builtinId="5"/>
  </cellStyles>
  <dxfs count="2226">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FE699"/>
      <color rgb="FFA684B8"/>
      <color rgb="FFFFCCFF"/>
      <color rgb="FFBF8F00"/>
      <color rgb="FFFFC000"/>
      <color rgb="FFFFF2CC"/>
      <color rgb="FFA9D08E"/>
      <color rgb="FFFFFFCC"/>
      <color rgb="FF00808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7" val="0"/>
</file>

<file path=xl/ctrlProps/ctrlProp11.xml><?xml version="1.0" encoding="utf-8"?>
<formControlPr xmlns="http://schemas.microsoft.com/office/spreadsheetml/2009/9/main" objectType="Drop" dropLines="7" dropStyle="combo" dx="22" fmlaLink="target!$A$33" fmlaRange="$A$1:$A$7" noThreeD="1" sel="1" val="0"/>
</file>

<file path=xl/ctrlProps/ctrlProp12.xml><?xml version="1.0" encoding="utf-8"?>
<formControlPr xmlns="http://schemas.microsoft.com/office/spreadsheetml/2009/9/main" objectType="Drop" dropLines="17" dropStyle="combo" dx="22" fmlaLink="target!$A$9" fmlaRange="$A$1:$A$17" noThreeD="1" sel="17" val="0"/>
</file>

<file path=xl/ctrlProps/ctrlProp13.xml><?xml version="1.0" encoding="utf-8"?>
<formControlPr xmlns="http://schemas.microsoft.com/office/spreadsheetml/2009/9/main" objectType="Drop" dropLines="12" dropStyle="combo" dx="22" fmlaLink="target!$A$13" fmlaRange="$A$1:$A$12" noThreeD="1" sel="1" val="0"/>
</file>

<file path=xl/ctrlProps/ctrlProp14.xml><?xml version="1.0" encoding="utf-8"?>
<formControlPr xmlns="http://schemas.microsoft.com/office/spreadsheetml/2009/9/main" objectType="Drop" dropLines="7" dropStyle="combo" dx="22" fmlaLink="target!$A$17" fmlaRange="$A$1:$A$7" noThreeD="1" sel="1" val="0"/>
</file>

<file path=xl/ctrlProps/ctrlProp15.xml><?xml version="1.0" encoding="utf-8"?>
<formControlPr xmlns="http://schemas.microsoft.com/office/spreadsheetml/2009/9/main" objectType="Drop" dropStyle="combo" dx="22" fmlaLink="target!$A$21" fmlaRange="$A$1:$A$8" noThreeD="1" sel="1" val="0"/>
</file>

<file path=xl/ctrlProps/ctrlProp16.xml><?xml version="1.0" encoding="utf-8"?>
<formControlPr xmlns="http://schemas.microsoft.com/office/spreadsheetml/2009/9/main" objectType="Drop" dropLines="9" dropStyle="combo" dx="22" fmlaLink="target!$A$25" fmlaRange="$A$1:$A$9" noThreeD="1" sel="1" val="0"/>
</file>

<file path=xl/ctrlProps/ctrlProp17.xml><?xml version="1.0" encoding="utf-8"?>
<formControlPr xmlns="http://schemas.microsoft.com/office/spreadsheetml/2009/9/main" objectType="Drop" dropLines="3" dropStyle="combo" dx="22" fmlaLink="target!$A$29" fmlaRange="$A$1:$A$3" noThreeD="1" sel="1" val="0"/>
</file>

<file path=xl/ctrlProps/ctrlProp18.xml><?xml version="1.0" encoding="utf-8"?>
<formControlPr xmlns="http://schemas.microsoft.com/office/spreadsheetml/2009/9/main" objectType="Drop" dropLines="5" dropStyle="combo" dx="22" fmlaLink="target!$A$53" fmlaRange="$A$1:$A$4" noThreeD="1" sel="1" val="0"/>
</file>

<file path=xl/ctrlProps/ctrlProp19.xml><?xml version="1.0" encoding="utf-8"?>
<formControlPr xmlns="http://schemas.microsoft.com/office/spreadsheetml/2009/9/main" objectType="Drop" dropLines="10" dropStyle="combo" dx="22" fmlaLink="target!$A$57" fmlaRange="$A$1:$A$10" noThreeD="1" sel="1" val="0"/>
</file>

<file path=xl/ctrlProps/ctrlProp20.xml><?xml version="1.0" encoding="utf-8"?>
<formControlPr xmlns="http://schemas.microsoft.com/office/spreadsheetml/2009/9/main" objectType="Drop" dropLines="6" dropStyle="combo" dx="22" fmlaLink="target!$A$61" fmlaRange="$A$1:$A$6" noThreeD="1" sel="1" val="0"/>
</file>

<file path=xl/ctrlProps/ctrlProp21.xml><?xml version="1.0" encoding="utf-8"?>
<formControlPr xmlns="http://schemas.microsoft.com/office/spreadsheetml/2009/9/main" objectType="Drop" dropLines="4" dropStyle="combo" dx="22" fmlaLink="target!$A$65" fmlaRange="$A$1:$A$4" noThreeD="1" sel="1" val="0"/>
</file>

<file path=xl/ctrlProps/ctrlProp22.xml><?xml version="1.0" encoding="utf-8"?>
<formControlPr xmlns="http://schemas.microsoft.com/office/spreadsheetml/2009/9/main" objectType="Drop" dropLines="4" dropStyle="combo" dx="22" fmlaLink="target!$A$69" fmlaRange="$A$1:$A$4" noThreeD="1" sel="1" val="0"/>
</file>

<file path=xl/ctrlProps/ctrlProp23.xml><?xml version="1.0" encoding="utf-8"?>
<formControlPr xmlns="http://schemas.microsoft.com/office/spreadsheetml/2009/9/main" objectType="Drop" dropLines="5" dropStyle="combo" dx="22" fmlaLink="target!$A$73" fmlaRange="$A$1:$A$5" noThreeD="1" sel="1" val="0"/>
</file>

<file path=xl/ctrlProps/ctrlProp24.xml><?xml version="1.0" encoding="utf-8"?>
<formControlPr xmlns="http://schemas.microsoft.com/office/spreadsheetml/2009/9/main" objectType="Drop" dropLines="11" dropStyle="combo" dx="22" fmlaLink="target!$A$77" fmlaRange="$A$1:$A$12" noThreeD="1" sel="1" val="0"/>
</file>

<file path=xl/ctrlProps/ctrlProp25.xml><?xml version="1.0" encoding="utf-8"?>
<formControlPr xmlns="http://schemas.microsoft.com/office/spreadsheetml/2009/9/main" objectType="Drop" dropLines="10" dropStyle="combo" dx="22" fmlaLink="target!$A$81" fmlaRange="$A$1:$A$10" noThreeD="1" sel="1" val="0"/>
</file>

<file path=xl/ctrlProps/ctrlProp26.xml><?xml version="1.0" encoding="utf-8"?>
<formControlPr xmlns="http://schemas.microsoft.com/office/spreadsheetml/2009/9/main" objectType="Drop" dropLines="12" dropStyle="combo" dx="22" fmlaLink="target!$A$85" fmlaRange="$A$1:$A$12" noThreeD="1" sel="1" val="0"/>
</file>

<file path=xl/ctrlProps/ctrlProp27.xml><?xml version="1.0" encoding="utf-8"?>
<formControlPr xmlns="http://schemas.microsoft.com/office/spreadsheetml/2009/9/main" objectType="Drop" dropLines="5" dropStyle="combo" dx="22" fmlaLink="target!$A$37" fmlaRange="$A$1:$A$5" noThreeD="1" sel="1" val="0"/>
</file>

<file path=xl/ctrlProps/ctrlProp28.xml><?xml version="1.0" encoding="utf-8"?>
<formControlPr xmlns="http://schemas.microsoft.com/office/spreadsheetml/2009/9/main" objectType="Drop" dropLines="7" dropStyle="combo" dx="22" fmlaLink="target!$A$45" fmlaRange="$A$1:$A$7" noThreeD="1" sel="1"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9" fmlaRange="$A$1:$A$12" noThreeD="1" sel="12" val="0"/>
</file>

<file path=xl/ctrlProps/ctrlProp36.xml><?xml version="1.0" encoding="utf-8"?>
<formControlPr xmlns="http://schemas.microsoft.com/office/spreadsheetml/2009/9/main" objectType="Drop" dropLines="12" dropStyle="combo" dx="22" fmlaLink="target!$A$93" fmlaRange="$A$1:$A$12" noThreeD="1" sel="1" val="0"/>
</file>

<file path=xl/ctrlProps/ctrlProp37.xml><?xml version="1.0" encoding="utf-8"?>
<formControlPr xmlns="http://schemas.microsoft.com/office/spreadsheetml/2009/9/main" objectType="Drop" dropLines="7" dropStyle="combo" dx="22" fmlaLink="target!$A$97" fmlaRange="$A$1:$A$7" noThreeD="1" sel="1" val="0"/>
</file>

<file path=xl/ctrlProps/ctrlProp38.xml><?xml version="1.0" encoding="utf-8"?>
<formControlPr xmlns="http://schemas.microsoft.com/office/spreadsheetml/2009/9/main" objectType="Drop" dropLines="9" dropStyle="combo" dx="22" fmlaLink="target!$A$101" fmlaRange="$A$1:$A$9" noThreeD="1" sel="9" val="0"/>
</file>

<file path=xl/ctrlProps/ctrlProp39.xml><?xml version="1.0" encoding="utf-8"?>
<formControlPr xmlns="http://schemas.microsoft.com/office/spreadsheetml/2009/9/main" objectType="Drop" dropLines="10" dropStyle="combo" dx="22" fmlaLink="target!$A$105" fmlaRange="$A$1:$A$10" noThreeD="1" sel="1" val="0"/>
</file>

<file path=xl/ctrlProps/ctrlProp40.xml><?xml version="1.0" encoding="utf-8"?>
<formControlPr xmlns="http://schemas.microsoft.com/office/spreadsheetml/2009/9/main" objectType="Drop" dropStyle="combo" dx="22" fmlaLink="target!$A$109" fmlaRange="$A$1:$A$8" noThreeD="1" sel="1" val="0"/>
</file>

<file path=xl/ctrlProps/ctrlProp41.xml><?xml version="1.0" encoding="utf-8"?>
<formControlPr xmlns="http://schemas.microsoft.com/office/spreadsheetml/2009/9/main" objectType="Drop" dropLines="7" dropStyle="combo" dx="22" fmlaLink="target!$A$113" fmlaRange="$A$1:$A$7" noThreeD="1" sel="7" val="0"/>
</file>

<file path=xl/ctrlProps/ctrlProp42.xml><?xml version="1.0" encoding="utf-8"?>
<formControlPr xmlns="http://schemas.microsoft.com/office/spreadsheetml/2009/9/main" objectType="Drop" dropLines="9" dropStyle="combo" dx="22" fmlaLink="target!$A$117" fmlaRange="$A$1:$A$9" noThreeD="1" sel="1" val="0"/>
</file>

<file path=xl/ctrlProps/ctrlProp43.xml><?xml version="1.0" encoding="utf-8"?>
<formControlPr xmlns="http://schemas.microsoft.com/office/spreadsheetml/2009/9/main" objectType="Drop" dropLines="11" dropStyle="combo" dx="22" fmlaLink="target!$A$137" fmlaRange="$A$1:$A$11" noThreeD="1" sel="1" val="0"/>
</file>

<file path=xl/ctrlProps/ctrlProp44.xml><?xml version="1.0" encoding="utf-8"?>
<formControlPr xmlns="http://schemas.microsoft.com/office/spreadsheetml/2009/9/main" objectType="Drop" dropLines="9" dropStyle="combo" dx="22" fmlaLink="target!$A$141" fmlaRange="$A$1:$A$9" noThreeD="1" sel="9" val="0"/>
</file>

<file path=xl/ctrlProps/ctrlProp45.xml><?xml version="1.0" encoding="utf-8"?>
<formControlPr xmlns="http://schemas.microsoft.com/office/spreadsheetml/2009/9/main" objectType="Drop" dropLines="5" dropStyle="combo" dx="22" fmlaLink="target!$A$149" fmlaRange="$A$1:$A$5" noThreeD="1" sel="1" val="0"/>
</file>

<file path=xl/ctrlProps/ctrlProp46.xml><?xml version="1.0" encoding="utf-8"?>
<formControlPr xmlns="http://schemas.microsoft.com/office/spreadsheetml/2009/9/main" objectType="Drop" dropLines="13" dropStyle="combo" dx="22" fmlaLink="target!$A$153" fmlaRange="$A$1:$A$13" noThreeD="1" sel="13" val="0"/>
</file>

<file path=xl/ctrlProps/ctrlProp47.xml><?xml version="1.0" encoding="utf-8"?>
<formControlPr xmlns="http://schemas.microsoft.com/office/spreadsheetml/2009/9/main" objectType="Drop" dropLines="11" dropStyle="combo" dx="22" fmlaLink="target!$A$157" fmlaRange="$A$1:$A$11" noThreeD="1" sel="1" val="0"/>
</file>

<file path=xl/ctrlProps/ctrlProp48.xml><?xml version="1.0" encoding="utf-8"?>
<formControlPr xmlns="http://schemas.microsoft.com/office/spreadsheetml/2009/9/main" objectType="Drop" dropLines="9" dropStyle="combo" dx="22" fmlaLink="target!$A$161" fmlaRange="$A$1:$A$9" noThreeD="1" sel="1"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21" fmlaRange="$A$1:$A$9" noThreeD="1" sel="1" val="0"/>
</file>

<file path=xl/ctrlProps/ctrlProp51.xml><?xml version="1.0" encoding="utf-8"?>
<formControlPr xmlns="http://schemas.microsoft.com/office/spreadsheetml/2009/9/main" objectType="Drop" dropLines="12" dropStyle="combo" dx="22" fmlaLink="target!$A$125" fmlaRange="$A$1:$A$12" noThreeD="1" sel="12" val="0"/>
</file>

<file path=xl/ctrlProps/ctrlProp52.xml><?xml version="1.0" encoding="utf-8"?>
<formControlPr xmlns="http://schemas.microsoft.com/office/spreadsheetml/2009/9/main" objectType="CheckBox"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fmlaLink="$N$9" lockText="1" noThreeD="1"/>
</file>

<file path=xl/ctrlProps/ctrlProp55.xml><?xml version="1.0" encoding="utf-8"?>
<formControlPr xmlns="http://schemas.microsoft.com/office/spreadsheetml/2009/9/main" objectType="CheckBox"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91:$C$192" noThreeD="1" sel="2" val="0"/>
</file>

<file path=xl/ctrlProps/ctrlProp75.xml><?xml version="1.0" encoding="utf-8"?>
<formControlPr xmlns="http://schemas.microsoft.com/office/spreadsheetml/2009/9/main" objectType="Drop" dropLines="4" dropStyle="combo" dx="22" fmlaLink="$I$8" fmlaRange="$A$11:$A$14" noThreeD="1" sel="1"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51" lockText="1" noThreeD="1"/>
</file>

<file path=xl/ctrlProps/ctrlProp78.xml><?xml version="1.0" encoding="utf-8"?>
<formControlPr xmlns="http://schemas.microsoft.com/office/spreadsheetml/2009/9/main" objectType="CheckBox" fmlaLink="$N$55" lockText="1" noThreeD="1"/>
</file>

<file path=xl/ctrlProps/ctrlProp79.xml><?xml version="1.0" encoding="utf-8"?>
<formControlPr xmlns="http://schemas.microsoft.com/office/spreadsheetml/2009/9/main" objectType="CheckBox" fmlaLink="$N$56" lockText="1" noThreeD="1"/>
</file>

<file path=xl/ctrlProps/ctrlProp80.xml><?xml version="1.0" encoding="utf-8"?>
<formControlPr xmlns="http://schemas.microsoft.com/office/spreadsheetml/2009/9/main" objectType="Drop" dropLines="3" dropStyle="combo" dx="22" fmlaLink="$N$13" fmlaRange="$A$16:$A$19" noThreeD="1" sel="3"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5:$A$27"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Lines="3" dropStyle="combo" dx="22" fmlaLink="$F$5" fmlaRange="data!$C$198:$C$200" noThreeD="1" sel="1" val="0"/>
</file>

<file path=xl/ctrlProps/ctrlProp86.xml><?xml version="1.0" encoding="utf-8"?>
<formControlPr xmlns="http://schemas.microsoft.com/office/spreadsheetml/2009/9/main" objectType="Drop" dropLines="2" dropStyle="combo" dx="22" fmlaLink="$F$9" fmlaRange="data!$C$195:$C$196" noThreeD="1" sel="2" val="0"/>
</file>

<file path=xl/ctrlProps/ctrlProp87.xml><?xml version="1.0" encoding="utf-8"?>
<formControlPr xmlns="http://schemas.microsoft.com/office/spreadsheetml/2009/9/main" objectType="Drop" dropLines="3" dropStyle="combo" dx="22" fmlaLink="$F$13" fmlaRange="data!$C$202:$C$204" noThreeD="1" sel="1" val="0"/>
</file>

<file path=xl/ctrlProps/ctrlProp88.xml><?xml version="1.0" encoding="utf-8"?>
<formControlPr xmlns="http://schemas.microsoft.com/office/spreadsheetml/2009/9/main" objectType="Drop" dropLines="13" dropStyle="combo" dx="22" fmlaLink="$F$17" fmlaRange="data!$C$209:$C$221" noThreeD="1" sel="1" val="0"/>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L$21" lockText="1" noThreeD="1"/>
</file>

<file path=xl/ctrlProps/ctrlProp92.xml><?xml version="1.0" encoding="utf-8"?>
<formControlPr xmlns="http://schemas.microsoft.com/office/spreadsheetml/2009/9/main" objectType="CheckBox" fmlaLink="SE!$L$20" lockText="1" noThreeD="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CheckBox" fmlaLink="SE!$M$21" lockText="1" noThreeD="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CheckBox" fmlaLink="$O$25" lockText="1" noThreeD="1"/>
</file>

<file path=xl/ctrlProps/ctrlProp106.xml><?xml version="1.0" encoding="utf-8"?>
<formControlPr xmlns="http://schemas.microsoft.com/office/spreadsheetml/2009/9/main" objectType="CheckBox" fmlaLink="$O$24" lockText="1" noThreeD="1"/>
</file>

<file path=xl/ctrlProps/ctrlProp107.xml><?xml version="1.0" encoding="utf-8"?>
<formControlPr xmlns="http://schemas.microsoft.com/office/spreadsheetml/2009/9/main" objectType="CheckBox" fmlaLink="$W$24" noThreeD="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Drop" dropLines="6" dropStyle="combo" dx="22" fmlaLink="$R$11" fmlaRange="$S$2:$S$7" sel="1" val="0"/>
</file>

<file path=xl/ctrlProps/ctrlProp112.xml><?xml version="1.0" encoding="utf-8"?>
<formControlPr xmlns="http://schemas.microsoft.com/office/spreadsheetml/2009/9/main" objectType="Drop" dropLines="6" dropStyle="combo" dx="22" fmlaLink="$R$12" fmlaRange="$S$2:$S$7" sel="1" val="0"/>
</file>

<file path=xl/ctrlProps/ctrlProp113.xml><?xml version="1.0" encoding="utf-8"?>
<formControlPr xmlns="http://schemas.microsoft.com/office/spreadsheetml/2009/9/main" objectType="Drop" dropLines="6" dropStyle="combo" dx="22" fmlaLink="$R$13" fmlaRange="$S$2:$S$7" sel="1" val="0"/>
</file>

<file path=xl/ctrlProps/ctrlProp114.xml><?xml version="1.0" encoding="utf-8"?>
<formControlPr xmlns="http://schemas.microsoft.com/office/spreadsheetml/2009/9/main" objectType="Drop" dropLines="6" dropStyle="combo" dx="22" fmlaLink="$R$14" fmlaRange="$S$2:$S$7" sel="1" val="0"/>
</file>

<file path=xl/ctrlProps/ctrlProp115.xml><?xml version="1.0" encoding="utf-8"?>
<formControlPr xmlns="http://schemas.microsoft.com/office/spreadsheetml/2009/9/main" objectType="Drop" dropLines="12" dropStyle="combo" dx="22" fmlaLink="$T$11" fmlaRange="$R$22:$R$33" noThreeD="1" sel="1" val="0"/>
</file>

<file path=xl/ctrlProps/ctrlProp116.xml><?xml version="1.0" encoding="utf-8"?>
<formControlPr xmlns="http://schemas.microsoft.com/office/spreadsheetml/2009/9/main" objectType="Drop" dropLines="12" dropStyle="combo" dx="22" fmlaLink="$T$12" fmlaRange="$R$22:$R$33" noThreeD="1" sel="1" val="0"/>
</file>

<file path=xl/ctrlProps/ctrlProp117.xml><?xml version="1.0" encoding="utf-8"?>
<formControlPr xmlns="http://schemas.microsoft.com/office/spreadsheetml/2009/9/main" objectType="Drop" dropLines="12" dropStyle="combo" dx="22" fmlaLink="$T$13" fmlaRange="$R$22:$R$33" noThreeD="1" sel="1" val="0"/>
</file>

<file path=xl/ctrlProps/ctrlProp118.xml><?xml version="1.0" encoding="utf-8"?>
<formControlPr xmlns="http://schemas.microsoft.com/office/spreadsheetml/2009/9/main" objectType="Drop" dropLines="12" dropStyle="combo" dx="22" fmlaLink="$T$14" fmlaRange="$R$22:$R$33" noThreeD="1" sel="1" val="0"/>
</file>

<file path=xl/ctrlProps/ctrlProp119.xml><?xml version="1.0" encoding="utf-8"?>
<formControlPr xmlns="http://schemas.microsoft.com/office/spreadsheetml/2009/9/main" objectType="Drop" dropLines="6" dropStyle="combo" dx="22" fmlaLink="$R$15" fmlaRange="$S$2:$S$7" sel="1" val="0"/>
</file>

<file path=xl/ctrlProps/ctrlProp120.xml><?xml version="1.0" encoding="utf-8"?>
<formControlPr xmlns="http://schemas.microsoft.com/office/spreadsheetml/2009/9/main" objectType="Drop" dropLines="12" dropStyle="combo" dx="22" fmlaLink="$T$15" fmlaRange="$R$22:$R$33" noThreeD="1" sel="1" val="0"/>
</file>

<file path=xl/ctrlProps/ctrlProp121.xml><?xml version="1.0" encoding="utf-8"?>
<formControlPr xmlns="http://schemas.microsoft.com/office/spreadsheetml/2009/9/main" objectType="Drop" dropLines="6" dropStyle="combo" dx="22" fmlaLink="$R$16" fmlaRange="$S$2:$S$7" sel="1" val="0"/>
</file>

<file path=xl/ctrlProps/ctrlProp122.xml><?xml version="1.0" encoding="utf-8"?>
<formControlPr xmlns="http://schemas.microsoft.com/office/spreadsheetml/2009/9/main" objectType="Drop" dropLines="12" dropStyle="combo" dx="22" fmlaLink="$T$16" fmlaRange="$R$22:$R$33" noThreeD="1" sel="1" val="0"/>
</file>

<file path=xl/ctrlProps/ctrlProp123.xml><?xml version="1.0" encoding="utf-8"?>
<formControlPr xmlns="http://schemas.microsoft.com/office/spreadsheetml/2009/9/main" objectType="Drop" dropLines="6" dropStyle="combo" dx="22" fmlaLink="$R$17" fmlaRange="$S$2:$S$7" sel="1" val="0"/>
</file>

<file path=xl/ctrlProps/ctrlProp124.xml><?xml version="1.0" encoding="utf-8"?>
<formControlPr xmlns="http://schemas.microsoft.com/office/spreadsheetml/2009/9/main" objectType="Drop" dropLines="12" dropStyle="combo" dx="22" fmlaLink="$T$17" fmlaRange="$R$22:$R$33" noThreeD="1" sel="1" val="0"/>
</file>

<file path=xl/ctrlProps/ctrlProp125.xml><?xml version="1.0" encoding="utf-8"?>
<formControlPr xmlns="http://schemas.microsoft.com/office/spreadsheetml/2009/9/main" objectType="Drop" dropLines="6" dropStyle="combo" dx="22" fmlaLink="$R$18" fmlaRange="$S$2:$S$7" sel="1" val="0"/>
</file>

<file path=xl/ctrlProps/ctrlProp126.xml><?xml version="1.0" encoding="utf-8"?>
<formControlPr xmlns="http://schemas.microsoft.com/office/spreadsheetml/2009/9/main" objectType="Drop" dropLines="12" dropStyle="combo" dx="22" fmlaLink="$T$18" fmlaRange="$R$22:$R$33" noThreeD="1" sel="1" val="0"/>
</file>

<file path=xl/ctrlProps/ctrlProp127.xml><?xml version="1.0" encoding="utf-8"?>
<formControlPr xmlns="http://schemas.microsoft.com/office/spreadsheetml/2009/9/main" objectType="Drop" dropLines="6" dropStyle="combo" dx="22" fmlaLink="$R$19" fmlaRange="$S$2:$S$7" sel="1" val="0"/>
</file>

<file path=xl/ctrlProps/ctrlProp128.xml><?xml version="1.0" encoding="utf-8"?>
<formControlPr xmlns="http://schemas.microsoft.com/office/spreadsheetml/2009/9/main" objectType="Drop" dropLines="12" dropStyle="combo" dx="22" fmlaLink="$T$19" fmlaRange="$R$22:$R$33" noThreeD="1" sel="1" val="0"/>
</file>

<file path=xl/ctrlProps/ctrlProp129.xml><?xml version="1.0" encoding="utf-8"?>
<formControlPr xmlns="http://schemas.microsoft.com/office/spreadsheetml/2009/9/main" objectType="Drop" dropLines="6" dropStyle="combo" dx="22" fmlaLink="$R$20" fmlaRange="$S$2:$S$7" sel="1" val="0"/>
</file>

<file path=xl/ctrlProps/ctrlProp130.xml><?xml version="1.0" encoding="utf-8"?>
<formControlPr xmlns="http://schemas.microsoft.com/office/spreadsheetml/2009/9/main" objectType="Drop" dropLines="12" dropStyle="combo" dx="22" fmlaLink="$T$20" fmlaRange="$R$22:$R$33" noThreeD="1" sel="1" val="0"/>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fmlaLink="$Q$4" lockText="1" noThreeD="1"/>
</file>

<file path=xl/ctrlProps/ctrlProp133.xml><?xml version="1.0" encoding="utf-8"?>
<formControlPr xmlns="http://schemas.microsoft.com/office/spreadsheetml/2009/9/main" objectType="CheckBox" fmlaLink="$Q$8" lockText="1" noThreeD="1"/>
</file>

<file path=xl/ctrlProps/ctrlProp134.xml><?xml version="1.0" encoding="utf-8"?>
<formControlPr xmlns="http://schemas.microsoft.com/office/spreadsheetml/2009/9/main" objectType="CheckBox" fmlaLink="$Q$9" lockText="1" noThreeD="1"/>
</file>

<file path=xl/ctrlProps/ctrlProp135.xml><?xml version="1.0" encoding="utf-8"?>
<formControlPr xmlns="http://schemas.microsoft.com/office/spreadsheetml/2009/9/main" objectType="CheckBox" fmlaLink="$Q$10" lockText="1" noThreeD="1"/>
</file>

<file path=xl/ctrlProps/ctrlProp136.xml><?xml version="1.0" encoding="utf-8"?>
<formControlPr xmlns="http://schemas.microsoft.com/office/spreadsheetml/2009/9/main" objectType="CheckBox" fmlaLink="$Q$11" lockText="1" noThreeD="1"/>
</file>

<file path=xl/ctrlProps/ctrlProp137.xml><?xml version="1.0" encoding="utf-8"?>
<formControlPr xmlns="http://schemas.microsoft.com/office/spreadsheetml/2009/9/main" objectType="CheckBox" fmlaLink="$Q$18"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1" Type="http://schemas.openxmlformats.org/officeDocument/2006/relationships/image" Target="../media/image9.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56</xdr:row>
          <xdr:rowOff>50800</xdr:rowOff>
        </xdr:from>
        <xdr:to>
          <xdr:col>7</xdr:col>
          <xdr:colOff>279400</xdr:colOff>
          <xdr:row>59</xdr:row>
          <xdr:rowOff>88900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154</xdr:row>
      <xdr:rowOff>0</xdr:rowOff>
    </xdr:from>
    <xdr:to>
      <xdr:col>4</xdr:col>
      <xdr:colOff>647700</xdr:colOff>
      <xdr:row>175</xdr:row>
      <xdr:rowOff>85725</xdr:rowOff>
    </xdr:to>
    <xdr:sp macro="" textlink="">
      <xdr:nvSpPr>
        <xdr:cNvPr id="66561" name="Object 1" descr="Add pages screen showing how to select return pages using tick boxes, and how the tabs appear when the pages are selected. " hidden="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descr="Box round marriage allowance transfer tick box.">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GB"/>
        </a:p>
      </xdr:txBody>
    </xdr:sp>
    <xdr:clientData/>
  </xdr:twoCellAnchor>
  <xdr:twoCellAnchor editAs="oneCell">
    <xdr:from>
      <xdr:col>1</xdr:col>
      <xdr:colOff>1</xdr:colOff>
      <xdr:row>151</xdr:row>
      <xdr:rowOff>0</xdr:rowOff>
    </xdr:from>
    <xdr:to>
      <xdr:col>4</xdr:col>
      <xdr:colOff>485775</xdr:colOff>
      <xdr:row>179</xdr:row>
      <xdr:rowOff>6847</xdr:rowOff>
    </xdr:to>
    <xdr:pic>
      <xdr:nvPicPr>
        <xdr:cNvPr id="2" name="Picture 1">
          <a:extLst>
            <a:ext uri="{FF2B5EF4-FFF2-40B4-BE49-F238E27FC236}">
              <a16:creationId xmlns:a16="http://schemas.microsoft.com/office/drawing/2014/main" id="{A41ACB30-FFB7-B7B2-7658-A69B4B6B9EA2}"/>
            </a:ext>
          </a:extLst>
        </xdr:cNvPr>
        <xdr:cNvPicPr>
          <a:picLocks noChangeAspect="1"/>
        </xdr:cNvPicPr>
      </xdr:nvPicPr>
      <xdr:blipFill rotWithShape="1">
        <a:blip xmlns:r="http://schemas.openxmlformats.org/officeDocument/2006/relationships" r:embed="rId1"/>
        <a:srcRect r="28163" b="32992"/>
        <a:stretch/>
      </xdr:blipFill>
      <xdr:spPr>
        <a:xfrm>
          <a:off x="38101" y="22783800"/>
          <a:ext cx="6562724" cy="4178797"/>
        </a:xfrm>
        <a:prstGeom prst="rect">
          <a:avLst/>
        </a:prstGeom>
      </xdr:spPr>
    </xdr:pic>
    <xdr:clientData/>
  </xdr:twoCellAnchor>
  <xdr:twoCellAnchor editAs="oneCell">
    <xdr:from>
      <xdr:col>1</xdr:col>
      <xdr:colOff>0</xdr:colOff>
      <xdr:row>181</xdr:row>
      <xdr:rowOff>0</xdr:rowOff>
    </xdr:from>
    <xdr:to>
      <xdr:col>4</xdr:col>
      <xdr:colOff>94479</xdr:colOff>
      <xdr:row>211</xdr:row>
      <xdr:rowOff>56600</xdr:rowOff>
    </xdr:to>
    <xdr:pic>
      <xdr:nvPicPr>
        <xdr:cNvPr id="3" name="Picture 2">
          <a:extLst>
            <a:ext uri="{FF2B5EF4-FFF2-40B4-BE49-F238E27FC236}">
              <a16:creationId xmlns:a16="http://schemas.microsoft.com/office/drawing/2014/main" id="{145777C9-D62C-6F45-FACB-1D25C30C9270}"/>
            </a:ext>
          </a:extLst>
        </xdr:cNvPr>
        <xdr:cNvPicPr>
          <a:picLocks noChangeAspect="1"/>
        </xdr:cNvPicPr>
      </xdr:nvPicPr>
      <xdr:blipFill>
        <a:blip xmlns:r="http://schemas.openxmlformats.org/officeDocument/2006/relationships" r:embed="rId2"/>
        <a:stretch>
          <a:fillRect/>
        </a:stretch>
      </xdr:blipFill>
      <xdr:spPr>
        <a:xfrm>
          <a:off x="38100" y="27298650"/>
          <a:ext cx="6171429" cy="4400000"/>
        </a:xfrm>
        <a:prstGeom prst="rect">
          <a:avLst/>
        </a:prstGeom>
      </xdr:spPr>
    </xdr:pic>
    <xdr:clientData/>
  </xdr:twoCellAnchor>
  <xdr:twoCellAnchor editAs="oneCell">
    <xdr:from>
      <xdr:col>1</xdr:col>
      <xdr:colOff>1</xdr:colOff>
      <xdr:row>214</xdr:row>
      <xdr:rowOff>0</xdr:rowOff>
    </xdr:from>
    <xdr:to>
      <xdr:col>3</xdr:col>
      <xdr:colOff>200025</xdr:colOff>
      <xdr:row>243</xdr:row>
      <xdr:rowOff>16119</xdr:rowOff>
    </xdr:to>
    <xdr:pic>
      <xdr:nvPicPr>
        <xdr:cNvPr id="4" name="Picture 3">
          <a:extLst>
            <a:ext uri="{FF2B5EF4-FFF2-40B4-BE49-F238E27FC236}">
              <a16:creationId xmlns:a16="http://schemas.microsoft.com/office/drawing/2014/main" id="{7B71AC90-5391-3003-41E9-6C433602D945}"/>
            </a:ext>
          </a:extLst>
        </xdr:cNvPr>
        <xdr:cNvPicPr>
          <a:picLocks noChangeAspect="1"/>
        </xdr:cNvPicPr>
      </xdr:nvPicPr>
      <xdr:blipFill rotWithShape="1">
        <a:blip xmlns:r="http://schemas.openxmlformats.org/officeDocument/2006/relationships" r:embed="rId3"/>
        <a:srcRect r="33068" b="32653"/>
        <a:stretch/>
      </xdr:blipFill>
      <xdr:spPr>
        <a:xfrm>
          <a:off x="38101" y="32127825"/>
          <a:ext cx="5124449" cy="4159494"/>
        </a:xfrm>
        <a:prstGeom prst="rect">
          <a:avLst/>
        </a:prstGeom>
      </xdr:spPr>
    </xdr:pic>
    <xdr:clientData/>
  </xdr:twoCellAnchor>
  <xdr:twoCellAnchor editAs="oneCell">
    <xdr:from>
      <xdr:col>1</xdr:col>
      <xdr:colOff>0</xdr:colOff>
      <xdr:row>279</xdr:row>
      <xdr:rowOff>0</xdr:rowOff>
    </xdr:from>
    <xdr:to>
      <xdr:col>4</xdr:col>
      <xdr:colOff>825500</xdr:colOff>
      <xdr:row>304</xdr:row>
      <xdr:rowOff>76200</xdr:rowOff>
    </xdr:to>
    <xdr:pic>
      <xdr:nvPicPr>
        <xdr:cNvPr id="5" name="Picture 4">
          <a:extLst>
            <a:ext uri="{FF2B5EF4-FFF2-40B4-BE49-F238E27FC236}">
              <a16:creationId xmlns:a16="http://schemas.microsoft.com/office/drawing/2014/main" id="{1310D340-69DD-178D-BE1D-CE505DB7E03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 y="42138600"/>
          <a:ext cx="6896100" cy="372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308</xdr:row>
      <xdr:rowOff>0</xdr:rowOff>
    </xdr:from>
    <xdr:to>
      <xdr:col>4</xdr:col>
      <xdr:colOff>1142502</xdr:colOff>
      <xdr:row>338</xdr:row>
      <xdr:rowOff>9525</xdr:rowOff>
    </xdr:to>
    <xdr:pic>
      <xdr:nvPicPr>
        <xdr:cNvPr id="6" name="Picture 5">
          <a:extLst>
            <a:ext uri="{FF2B5EF4-FFF2-40B4-BE49-F238E27FC236}">
              <a16:creationId xmlns:a16="http://schemas.microsoft.com/office/drawing/2014/main" id="{DF359B34-9B26-B361-0543-E811583BD0AE}"/>
            </a:ext>
          </a:extLst>
        </xdr:cNvPr>
        <xdr:cNvPicPr>
          <a:picLocks noChangeAspect="1"/>
        </xdr:cNvPicPr>
      </xdr:nvPicPr>
      <xdr:blipFill>
        <a:blip xmlns:r="http://schemas.openxmlformats.org/officeDocument/2006/relationships" r:embed="rId5"/>
        <a:stretch>
          <a:fillRect/>
        </a:stretch>
      </xdr:blipFill>
      <xdr:spPr>
        <a:xfrm>
          <a:off x="38100" y="45672375"/>
          <a:ext cx="7219452" cy="4295775"/>
        </a:xfrm>
        <a:prstGeom prst="rect">
          <a:avLst/>
        </a:prstGeom>
      </xdr:spPr>
    </xdr:pic>
    <xdr:clientData/>
  </xdr:twoCellAnchor>
  <xdr:twoCellAnchor editAs="oneCell">
    <xdr:from>
      <xdr:col>1</xdr:col>
      <xdr:colOff>1</xdr:colOff>
      <xdr:row>341</xdr:row>
      <xdr:rowOff>0</xdr:rowOff>
    </xdr:from>
    <xdr:to>
      <xdr:col>5</xdr:col>
      <xdr:colOff>304800</xdr:colOff>
      <xdr:row>378</xdr:row>
      <xdr:rowOff>9756</xdr:rowOff>
    </xdr:to>
    <xdr:pic>
      <xdr:nvPicPr>
        <xdr:cNvPr id="7" name="Picture 6">
          <a:extLst>
            <a:ext uri="{FF2B5EF4-FFF2-40B4-BE49-F238E27FC236}">
              <a16:creationId xmlns:a16="http://schemas.microsoft.com/office/drawing/2014/main" id="{25E18D95-7AB8-6383-C732-C585F6C5B5DE}"/>
            </a:ext>
          </a:extLst>
        </xdr:cNvPr>
        <xdr:cNvPicPr>
          <a:picLocks noChangeAspect="1"/>
        </xdr:cNvPicPr>
      </xdr:nvPicPr>
      <xdr:blipFill>
        <a:blip xmlns:r="http://schemas.openxmlformats.org/officeDocument/2006/relationships" r:embed="rId6"/>
        <a:stretch>
          <a:fillRect/>
        </a:stretch>
      </xdr:blipFill>
      <xdr:spPr>
        <a:xfrm>
          <a:off x="38101" y="50444400"/>
          <a:ext cx="7791449" cy="5296131"/>
        </a:xfrm>
        <a:prstGeom prst="rect">
          <a:avLst/>
        </a:prstGeom>
      </xdr:spPr>
    </xdr:pic>
    <xdr:clientData/>
  </xdr:twoCellAnchor>
  <xdr:twoCellAnchor editAs="oneCell">
    <xdr:from>
      <xdr:col>1</xdr:col>
      <xdr:colOff>0</xdr:colOff>
      <xdr:row>387</xdr:row>
      <xdr:rowOff>0</xdr:rowOff>
    </xdr:from>
    <xdr:to>
      <xdr:col>2</xdr:col>
      <xdr:colOff>3619500</xdr:colOff>
      <xdr:row>409</xdr:row>
      <xdr:rowOff>134700</xdr:rowOff>
    </xdr:to>
    <xdr:pic>
      <xdr:nvPicPr>
        <xdr:cNvPr id="15" name="Picture 14">
          <a:extLst>
            <a:ext uri="{FF2B5EF4-FFF2-40B4-BE49-F238E27FC236}">
              <a16:creationId xmlns:a16="http://schemas.microsoft.com/office/drawing/2014/main" id="{2B8D09B3-EFC6-98B1-74EC-78535F472A9E}"/>
            </a:ext>
          </a:extLst>
        </xdr:cNvPr>
        <xdr:cNvPicPr>
          <a:picLocks noChangeAspect="1"/>
        </xdr:cNvPicPr>
      </xdr:nvPicPr>
      <xdr:blipFill>
        <a:blip xmlns:r="http://schemas.openxmlformats.org/officeDocument/2006/relationships" r:embed="rId7"/>
        <a:stretch>
          <a:fillRect/>
        </a:stretch>
      </xdr:blipFill>
      <xdr:spPr>
        <a:xfrm>
          <a:off x="38100" y="57816750"/>
          <a:ext cx="4352925" cy="3277950"/>
        </a:xfrm>
        <a:prstGeom prst="rect">
          <a:avLst/>
        </a:prstGeom>
      </xdr:spPr>
    </xdr:pic>
    <xdr:clientData/>
  </xdr:twoCellAnchor>
  <xdr:twoCellAnchor editAs="oneCell">
    <xdr:from>
      <xdr:col>1</xdr:col>
      <xdr:colOff>0</xdr:colOff>
      <xdr:row>413</xdr:row>
      <xdr:rowOff>1</xdr:rowOff>
    </xdr:from>
    <xdr:to>
      <xdr:col>3</xdr:col>
      <xdr:colOff>171450</xdr:colOff>
      <xdr:row>431</xdr:row>
      <xdr:rowOff>174901</xdr:rowOff>
    </xdr:to>
    <xdr:pic>
      <xdr:nvPicPr>
        <xdr:cNvPr id="17" name="Picture 16">
          <a:extLst>
            <a:ext uri="{FF2B5EF4-FFF2-40B4-BE49-F238E27FC236}">
              <a16:creationId xmlns:a16="http://schemas.microsoft.com/office/drawing/2014/main" id="{9B8985F9-B5E3-72A6-F0EB-670C3ACD1CDE}"/>
            </a:ext>
          </a:extLst>
        </xdr:cNvPr>
        <xdr:cNvPicPr>
          <a:picLocks noChangeAspect="1"/>
        </xdr:cNvPicPr>
      </xdr:nvPicPr>
      <xdr:blipFill>
        <a:blip xmlns:r="http://schemas.openxmlformats.org/officeDocument/2006/relationships" r:embed="rId8"/>
        <a:stretch>
          <a:fillRect/>
        </a:stretch>
      </xdr:blipFill>
      <xdr:spPr>
        <a:xfrm>
          <a:off x="38100" y="61702951"/>
          <a:ext cx="5095875" cy="37753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146050</xdr:colOff>
          <xdr:row>1</xdr:row>
          <xdr:rowOff>38100</xdr:rowOff>
        </xdr:from>
        <xdr:to>
          <xdr:col>3</xdr:col>
          <xdr:colOff>1936750</xdr:colOff>
          <xdr:row>3</xdr:row>
          <xdr:rowOff>114300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100" b="1" i="0" u="none" strike="noStrike" baseline="0">
                  <a:solidFill>
                    <a:srgbClr val="FF0000"/>
                  </a:solidFill>
                  <a:latin typeface="Arial"/>
                  <a:cs typeface="Arial"/>
                </a:rPr>
                <a:t>Replay selected case</a:t>
              </a:r>
            </a:p>
          </xdr:txBody>
        </xdr:sp>
        <xdr:clientData fPrintsWithSheet="0"/>
      </xdr:twoCellAnchor>
    </mc:Choice>
    <mc:Fallback/>
  </mc:AlternateContent>
  <xdr:twoCellAnchor editAs="absolute">
    <xdr:from>
      <xdr:col>4</xdr:col>
      <xdr:colOff>742949</xdr:colOff>
      <xdr:row>0</xdr:row>
      <xdr:rowOff>53975</xdr:rowOff>
    </xdr:from>
    <xdr:to>
      <xdr:col>7</xdr:col>
      <xdr:colOff>4622799</xdr:colOff>
      <xdr:row>3</xdr:row>
      <xdr:rowOff>34925</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21"/>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Enter the test case number (in the box on the left), tab out of the box, then press 'Replay selected case'.</a:t>
          </a:r>
        </a:p>
        <a:p>
          <a:pPr algn="l" rtl="0">
            <a:defRPr sz="1000"/>
          </a:pPr>
          <a:r>
            <a:rPr lang="en-GB" sz="900" b="0" i="0" u="none" strike="noStrike" baseline="0">
              <a:solidFill>
                <a:srgbClr val="008080"/>
              </a:solidFill>
              <a:latin typeface="Arial"/>
              <a:cs typeface="Arial"/>
            </a:rPr>
            <a:t>This will generate the test case and the results expected from processing this case through the SA tax calculation. </a:t>
          </a:r>
        </a:p>
        <a:p>
          <a:pPr algn="l" rtl="0">
            <a:defRPr sz="1000"/>
          </a:pPr>
          <a:r>
            <a:rPr lang="en-GB" sz="900" b="0" i="0" u="none" strike="noStrike" baseline="0">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2051050</xdr:colOff>
          <xdr:row>1</xdr:row>
          <xdr:rowOff>69850</xdr:rowOff>
        </xdr:from>
        <xdr:to>
          <xdr:col>4</xdr:col>
          <xdr:colOff>609600</xdr:colOff>
          <xdr:row>3</xdr:row>
          <xdr:rowOff>50800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1428750</xdr:colOff>
          <xdr:row>1</xdr:row>
          <xdr:rowOff>95250</xdr:rowOff>
        </xdr:from>
        <xdr:to>
          <xdr:col>1</xdr:col>
          <xdr:colOff>3124200</xdr:colOff>
          <xdr:row>3</xdr:row>
          <xdr:rowOff>50800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107950</xdr:colOff>
          <xdr:row>13</xdr:row>
          <xdr:rowOff>31750</xdr:rowOff>
        </xdr:from>
        <xdr:to>
          <xdr:col>11</xdr:col>
          <xdr:colOff>355600</xdr:colOff>
          <xdr:row>15</xdr:row>
          <xdr:rowOff>107950</xdr:rowOff>
        </xdr:to>
        <xdr:sp macro="" textlink="">
          <xdr:nvSpPr>
            <xdr:cNvPr id="43026" name="Button 18" hidden="1">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107950</xdr:colOff>
          <xdr:row>22</xdr:row>
          <xdr:rowOff>12700</xdr:rowOff>
        </xdr:from>
        <xdr:to>
          <xdr:col>11</xdr:col>
          <xdr:colOff>374650</xdr:colOff>
          <xdr:row>24</xdr:row>
          <xdr:rowOff>38100</xdr:rowOff>
        </xdr:to>
        <xdr:sp macro="" textlink="">
          <xdr:nvSpPr>
            <xdr:cNvPr id="43027" name="Button 19" hidden="1">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336550</xdr:colOff>
          <xdr:row>10</xdr:row>
          <xdr:rowOff>107950</xdr:rowOff>
        </xdr:to>
        <xdr:sp macro="" textlink="">
          <xdr:nvSpPr>
            <xdr:cNvPr id="43028" name="Button 20" hidden="1">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88900</xdr:colOff>
          <xdr:row>5</xdr:row>
          <xdr:rowOff>31750</xdr:rowOff>
        </xdr:from>
        <xdr:to>
          <xdr:col>11</xdr:col>
          <xdr:colOff>336550</xdr:colOff>
          <xdr:row>6</xdr:row>
          <xdr:rowOff>146050</xdr:rowOff>
        </xdr:to>
        <xdr:sp macro="" textlink="">
          <xdr:nvSpPr>
            <xdr:cNvPr id="43029" name="Button 21" hidden="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107950</xdr:colOff>
          <xdr:row>17</xdr:row>
          <xdr:rowOff>107950</xdr:rowOff>
        </xdr:from>
        <xdr:to>
          <xdr:col>11</xdr:col>
          <xdr:colOff>374650</xdr:colOff>
          <xdr:row>20</xdr:row>
          <xdr:rowOff>38100</xdr:rowOff>
        </xdr:to>
        <xdr:sp macro="" textlink="">
          <xdr:nvSpPr>
            <xdr:cNvPr id="43030" name="Button 22" hidden="1">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12700</xdr:rowOff>
        </xdr:from>
        <xdr:to>
          <xdr:col>3</xdr:col>
          <xdr:colOff>914400</xdr:colOff>
          <xdr:row>4</xdr:row>
          <xdr:rowOff>69850</xdr:rowOff>
        </xdr:to>
        <xdr:sp macro="" textlink="">
          <xdr:nvSpPr>
            <xdr:cNvPr id="43031" name="Drop Down 23" descr="Drop down button to select taxpayer's date of birth." hidden="1">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14</xdr:row>
          <xdr:rowOff>38100</xdr:rowOff>
        </xdr:from>
        <xdr:to>
          <xdr:col>3</xdr:col>
          <xdr:colOff>533400</xdr:colOff>
          <xdr:row>15</xdr:row>
          <xdr:rowOff>88900</xdr:rowOff>
        </xdr:to>
        <xdr:sp macro="" textlink="">
          <xdr:nvSpPr>
            <xdr:cNvPr id="43032" name="Drop Down 24" descr="Drop down button to select student loan repayment." hidden="1">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6</xdr:row>
          <xdr:rowOff>31750</xdr:rowOff>
        </xdr:from>
        <xdr:to>
          <xdr:col>3</xdr:col>
          <xdr:colOff>533400</xdr:colOff>
          <xdr:row>7</xdr:row>
          <xdr:rowOff>76200</xdr:rowOff>
        </xdr:to>
        <xdr:sp macro="" textlink="">
          <xdr:nvSpPr>
            <xdr:cNvPr id="43033" name="Drop Down 25" descr="Drop down button to select UK interest and dividends." hidden="1">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50800</xdr:rowOff>
        </xdr:from>
        <xdr:to>
          <xdr:col>5</xdr:col>
          <xdr:colOff>527050</xdr:colOff>
          <xdr:row>7</xdr:row>
          <xdr:rowOff>107950</xdr:rowOff>
        </xdr:to>
        <xdr:sp macro="" textlink="">
          <xdr:nvSpPr>
            <xdr:cNvPr id="43034" name="Drop Down 26" descr="Drop down button to select UK pensions received." hidden="1">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6</xdr:row>
          <xdr:rowOff>69850</xdr:rowOff>
        </xdr:from>
        <xdr:to>
          <xdr:col>7</xdr:col>
          <xdr:colOff>533400</xdr:colOff>
          <xdr:row>7</xdr:row>
          <xdr:rowOff>107950</xdr:rowOff>
        </xdr:to>
        <xdr:sp macro="" textlink="">
          <xdr:nvSpPr>
            <xdr:cNvPr id="43035" name="Drop Down 27" descr="Drop down button to select Other UK income." hidden="1">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565150</xdr:colOff>
          <xdr:row>11</xdr:row>
          <xdr:rowOff>88900</xdr:rowOff>
        </xdr:to>
        <xdr:sp macro="" textlink="">
          <xdr:nvSpPr>
            <xdr:cNvPr id="43036" name="Drop Down 28" descr="Drop down button to select Paying personal pensions." hidden="1">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10</xdr:row>
          <xdr:rowOff>50800</xdr:rowOff>
        </xdr:from>
        <xdr:to>
          <xdr:col>5</xdr:col>
          <xdr:colOff>527050</xdr:colOff>
          <xdr:row>11</xdr:row>
          <xdr:rowOff>107950</xdr:rowOff>
        </xdr:to>
        <xdr:sp macro="" textlink="">
          <xdr:nvSpPr>
            <xdr:cNvPr id="43037" name="Drop Down 29" descr="Drop down button to select Charitable giving." hidden="1">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10</xdr:row>
          <xdr:rowOff>38100</xdr:rowOff>
        </xdr:from>
        <xdr:to>
          <xdr:col>7</xdr:col>
          <xdr:colOff>546100</xdr:colOff>
          <xdr:row>11</xdr:row>
          <xdr:rowOff>88900</xdr:rowOff>
        </xdr:to>
        <xdr:sp macro="" textlink="">
          <xdr:nvSpPr>
            <xdr:cNvPr id="43038" name="Drop Down 30" descr="Drop down button to select Blind Person's allowance." hidden="1">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69850</xdr:rowOff>
        </xdr:from>
        <xdr:to>
          <xdr:col>3</xdr:col>
          <xdr:colOff>565150</xdr:colOff>
          <xdr:row>20</xdr:row>
          <xdr:rowOff>107950</xdr:rowOff>
        </xdr:to>
        <xdr:sp macro="" textlink="">
          <xdr:nvSpPr>
            <xdr:cNvPr id="43039" name="Drop Down 31" descr="Drop down button to select Gilt edged securities." hidden="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19</xdr:row>
          <xdr:rowOff>69850</xdr:rowOff>
        </xdr:from>
        <xdr:to>
          <xdr:col>5</xdr:col>
          <xdr:colOff>533400</xdr:colOff>
          <xdr:row>20</xdr:row>
          <xdr:rowOff>107950</xdr:rowOff>
        </xdr:to>
        <xdr:sp macro="" textlink="">
          <xdr:nvSpPr>
            <xdr:cNvPr id="43040" name="Drop Down 32" descr="Drop down button to select Life Insurance gains." hidden="1">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19</xdr:row>
          <xdr:rowOff>31750</xdr:rowOff>
        </xdr:from>
        <xdr:to>
          <xdr:col>7</xdr:col>
          <xdr:colOff>546100</xdr:colOff>
          <xdr:row>20</xdr:row>
          <xdr:rowOff>76200</xdr:rowOff>
        </xdr:to>
        <xdr:sp macro="" textlink="">
          <xdr:nvSpPr>
            <xdr:cNvPr id="43041" name="Drop Down 33" descr="Drop down button to select Stock dividends." hidden="1">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22</xdr:row>
          <xdr:rowOff>50800</xdr:rowOff>
        </xdr:from>
        <xdr:to>
          <xdr:col>3</xdr:col>
          <xdr:colOff>565150</xdr:colOff>
          <xdr:row>23</xdr:row>
          <xdr:rowOff>107950</xdr:rowOff>
        </xdr:to>
        <xdr:sp macro="" textlink="">
          <xdr:nvSpPr>
            <xdr:cNvPr id="43042" name="Drop Down 34" descr="Drop down button to select Share schemes." hidden="1">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22</xdr:row>
          <xdr:rowOff>31750</xdr:rowOff>
        </xdr:from>
        <xdr:to>
          <xdr:col>5</xdr:col>
          <xdr:colOff>527050</xdr:colOff>
          <xdr:row>23</xdr:row>
          <xdr:rowOff>76200</xdr:rowOff>
        </xdr:to>
        <xdr:sp macro="" textlink="">
          <xdr:nvSpPr>
            <xdr:cNvPr id="43043" name="Drop Down 35" descr="Drop down button to select Lump Sums." hidden="1">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50800</xdr:rowOff>
        </xdr:from>
        <xdr:to>
          <xdr:col>7</xdr:col>
          <xdr:colOff>565150</xdr:colOff>
          <xdr:row>23</xdr:row>
          <xdr:rowOff>107950</xdr:rowOff>
        </xdr:to>
        <xdr:sp macro="" textlink="">
          <xdr:nvSpPr>
            <xdr:cNvPr id="43044" name="Drop Down 36" descr="Drop down button to select Other deductions." hidden="1">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25</xdr:row>
          <xdr:rowOff>31750</xdr:rowOff>
        </xdr:from>
        <xdr:to>
          <xdr:col>3</xdr:col>
          <xdr:colOff>565150</xdr:colOff>
          <xdr:row>26</xdr:row>
          <xdr:rowOff>69850</xdr:rowOff>
        </xdr:to>
        <xdr:sp macro="" textlink="">
          <xdr:nvSpPr>
            <xdr:cNvPr id="43045" name="Drop Down 37" descr="Drop down button to select Other tax reliefs." hidden="1">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25</xdr:row>
          <xdr:rowOff>38100</xdr:rowOff>
        </xdr:from>
        <xdr:to>
          <xdr:col>5</xdr:col>
          <xdr:colOff>533400</xdr:colOff>
          <xdr:row>26</xdr:row>
          <xdr:rowOff>88900</xdr:rowOff>
        </xdr:to>
        <xdr:sp macro="" textlink="">
          <xdr:nvSpPr>
            <xdr:cNvPr id="43046" name="Drop Down 38" descr="Drop down button to select Married couple's allowance." hidden="1">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88900</xdr:colOff>
          <xdr:row>25</xdr:row>
          <xdr:rowOff>38100</xdr:rowOff>
        </xdr:from>
        <xdr:to>
          <xdr:col>7</xdr:col>
          <xdr:colOff>565150</xdr:colOff>
          <xdr:row>26</xdr:row>
          <xdr:rowOff>88900</xdr:rowOff>
        </xdr:to>
        <xdr:sp macro="" textlink="">
          <xdr:nvSpPr>
            <xdr:cNvPr id="43047" name="Drop Down 39" descr="Drop down button to select Other Income Tax losses." hidden="1">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14</xdr:row>
          <xdr:rowOff>31750</xdr:rowOff>
        </xdr:from>
        <xdr:to>
          <xdr:col>5</xdr:col>
          <xdr:colOff>546100</xdr:colOff>
          <xdr:row>15</xdr:row>
          <xdr:rowOff>76200</xdr:rowOff>
        </xdr:to>
        <xdr:sp macro="" textlink="">
          <xdr:nvSpPr>
            <xdr:cNvPr id="43051" name="Drop Down 43" descr="Drop down button to select High Income Child Benefit Charge." hidden="1">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14</xdr:row>
          <xdr:rowOff>31750</xdr:rowOff>
        </xdr:from>
        <xdr:to>
          <xdr:col>7</xdr:col>
          <xdr:colOff>527050</xdr:colOff>
          <xdr:row>15</xdr:row>
          <xdr:rowOff>69850</xdr:rowOff>
        </xdr:to>
        <xdr:sp macro="" textlink="">
          <xdr:nvSpPr>
            <xdr:cNvPr id="43053" name="Drop Down 45" descr="Drop down button to select Marriage Allowance Transfer." hidden="1">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266700</xdr:colOff>
      <xdr:row>10</xdr:row>
      <xdr:rowOff>104775</xdr:rowOff>
    </xdr:from>
    <xdr:to>
      <xdr:col>8</xdr:col>
      <xdr:colOff>390525</xdr:colOff>
      <xdr:row>11</xdr:row>
      <xdr:rowOff>142875</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305300" y="1628775"/>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165100</xdr:colOff>
          <xdr:row>10</xdr:row>
          <xdr:rowOff>88900</xdr:rowOff>
        </xdr:from>
        <xdr:to>
          <xdr:col>8</xdr:col>
          <xdr:colOff>469900</xdr:colOff>
          <xdr:row>12</xdr:row>
          <xdr:rowOff>0</xdr:rowOff>
        </xdr:to>
        <xdr:sp macro="" textlink="">
          <xdr:nvSpPr>
            <xdr:cNvPr id="44052" name="Check Box 20" descr="Tick box to select Class 4 NIC Exempt." hidden="1">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12700</xdr:colOff>
          <xdr:row>14</xdr:row>
          <xdr:rowOff>69850</xdr:rowOff>
        </xdr:from>
        <xdr:to>
          <xdr:col>11</xdr:col>
          <xdr:colOff>412750</xdr:colOff>
          <xdr:row>16</xdr:row>
          <xdr:rowOff>146050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5</xdr:row>
          <xdr:rowOff>107950</xdr:rowOff>
        </xdr:from>
        <xdr:to>
          <xdr:col>11</xdr:col>
          <xdr:colOff>412750</xdr:colOff>
          <xdr:row>7</xdr:row>
          <xdr:rowOff>88900</xdr:rowOff>
        </xdr:to>
        <xdr:sp macro="" textlink="">
          <xdr:nvSpPr>
            <xdr:cNvPr id="44057" name="Button 25" hidden="1">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18</xdr:row>
          <xdr:rowOff>88900</xdr:rowOff>
        </xdr:from>
        <xdr:to>
          <xdr:col>11</xdr:col>
          <xdr:colOff>412750</xdr:colOff>
          <xdr:row>20</xdr:row>
          <xdr:rowOff>114300</xdr:rowOff>
        </xdr:to>
        <xdr:sp macro="" textlink="">
          <xdr:nvSpPr>
            <xdr:cNvPr id="44058" name="Button 26" hidden="1">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2</xdr:row>
          <xdr:rowOff>0</xdr:rowOff>
        </xdr:from>
        <xdr:to>
          <xdr:col>11</xdr:col>
          <xdr:colOff>393700</xdr:colOff>
          <xdr:row>3</xdr:row>
          <xdr:rowOff>127000</xdr:rowOff>
        </xdr:to>
        <xdr:sp macro="" textlink="">
          <xdr:nvSpPr>
            <xdr:cNvPr id="44059" name="Button 27" hidden="1">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10</xdr:row>
          <xdr:rowOff>12700</xdr:rowOff>
        </xdr:from>
        <xdr:to>
          <xdr:col>11</xdr:col>
          <xdr:colOff>412750</xdr:colOff>
          <xdr:row>12</xdr:row>
          <xdr:rowOff>88900</xdr:rowOff>
        </xdr:to>
        <xdr:sp macro="" textlink="">
          <xdr:nvSpPr>
            <xdr:cNvPr id="44060" name="Button 28" hidden="1">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xdr:row>
          <xdr:rowOff>69850</xdr:rowOff>
        </xdr:from>
        <xdr:to>
          <xdr:col>3</xdr:col>
          <xdr:colOff>508000</xdr:colOff>
          <xdr:row>4</xdr:row>
          <xdr:rowOff>114300</xdr:rowOff>
        </xdr:to>
        <xdr:sp macro="" textlink="">
          <xdr:nvSpPr>
            <xdr:cNvPr id="44062" name="Drop Down 30" descr="Drop down button to select Employment 1." hidden="1">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3</xdr:row>
          <xdr:rowOff>50800</xdr:rowOff>
        </xdr:from>
        <xdr:to>
          <xdr:col>5</xdr:col>
          <xdr:colOff>533400</xdr:colOff>
          <xdr:row>4</xdr:row>
          <xdr:rowOff>107950</xdr:rowOff>
        </xdr:to>
        <xdr:sp macro="" textlink="">
          <xdr:nvSpPr>
            <xdr:cNvPr id="44063" name="Drop Down 31" descr="Drop down button to select Employment 2." hidden="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xdr:row>
          <xdr:rowOff>50800</xdr:rowOff>
        </xdr:from>
        <xdr:to>
          <xdr:col>8</xdr:col>
          <xdr:colOff>508000</xdr:colOff>
          <xdr:row>4</xdr:row>
          <xdr:rowOff>107950</xdr:rowOff>
        </xdr:to>
        <xdr:sp macro="" textlink="">
          <xdr:nvSpPr>
            <xdr:cNvPr id="44064" name="Drop Down 32" descr="Drop down button to select Ministers of Religion." hidden="1">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xdr:row>
          <xdr:rowOff>50800</xdr:rowOff>
        </xdr:from>
        <xdr:to>
          <xdr:col>3</xdr:col>
          <xdr:colOff>508000</xdr:colOff>
          <xdr:row>9</xdr:row>
          <xdr:rowOff>107950</xdr:rowOff>
        </xdr:to>
        <xdr:sp macro="" textlink="">
          <xdr:nvSpPr>
            <xdr:cNvPr id="44065" name="Drop Down 33" descr="Drop down button to select Short Self Employment." hidden="1">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8</xdr:row>
          <xdr:rowOff>69850</xdr:rowOff>
        </xdr:from>
        <xdr:to>
          <xdr:col>5</xdr:col>
          <xdr:colOff>527050</xdr:colOff>
          <xdr:row>9</xdr:row>
          <xdr:rowOff>107950</xdr:rowOff>
        </xdr:to>
        <xdr:sp macro="" textlink="">
          <xdr:nvSpPr>
            <xdr:cNvPr id="44066" name="Drop Down 34" descr="Drop down button to select Full Self Employment." hidden="1">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xdr:row>
          <xdr:rowOff>38100</xdr:rowOff>
        </xdr:from>
        <xdr:to>
          <xdr:col>8</xdr:col>
          <xdr:colOff>508000</xdr:colOff>
          <xdr:row>9</xdr:row>
          <xdr:rowOff>88900</xdr:rowOff>
        </xdr:to>
        <xdr:sp macro="" textlink="">
          <xdr:nvSpPr>
            <xdr:cNvPr id="44067" name="Drop Down 35" descr="Drop down button to select Lloyds Underwriter." hidden="1">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11</xdr:row>
          <xdr:rowOff>38100</xdr:rowOff>
        </xdr:from>
        <xdr:to>
          <xdr:col>3</xdr:col>
          <xdr:colOff>508000</xdr:colOff>
          <xdr:row>12</xdr:row>
          <xdr:rowOff>88900</xdr:rowOff>
        </xdr:to>
        <xdr:sp macro="" textlink="">
          <xdr:nvSpPr>
            <xdr:cNvPr id="44068" name="Drop Down 36" descr="Drop down button to select Short Partnership." hidden="1">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11</xdr:row>
          <xdr:rowOff>31750</xdr:rowOff>
        </xdr:from>
        <xdr:to>
          <xdr:col>5</xdr:col>
          <xdr:colOff>527050</xdr:colOff>
          <xdr:row>12</xdr:row>
          <xdr:rowOff>76200</xdr:rowOff>
        </xdr:to>
        <xdr:sp macro="" textlink="">
          <xdr:nvSpPr>
            <xdr:cNvPr id="44069" name="Drop Down 37" descr="Drop down button to select Full Partnership." hidden="1">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15</xdr:row>
          <xdr:rowOff>31750</xdr:rowOff>
        </xdr:from>
        <xdr:to>
          <xdr:col>3</xdr:col>
          <xdr:colOff>508000</xdr:colOff>
          <xdr:row>16</xdr:row>
          <xdr:rowOff>76200</xdr:rowOff>
        </xdr:to>
        <xdr:sp macro="" textlink="">
          <xdr:nvSpPr>
            <xdr:cNvPr id="44070" name="Drop Down 38" descr="Drop down button to select Income from Property." hidden="1">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15</xdr:row>
          <xdr:rowOff>31750</xdr:rowOff>
        </xdr:from>
        <xdr:to>
          <xdr:col>5</xdr:col>
          <xdr:colOff>527050</xdr:colOff>
          <xdr:row>16</xdr:row>
          <xdr:rowOff>76200</xdr:rowOff>
        </xdr:to>
        <xdr:sp macro="" textlink="">
          <xdr:nvSpPr>
            <xdr:cNvPr id="44071" name="Drop Down 39" descr="Drop down button to select Foreign Income." hidden="1">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15</xdr:row>
          <xdr:rowOff>31750</xdr:rowOff>
        </xdr:from>
        <xdr:to>
          <xdr:col>8</xdr:col>
          <xdr:colOff>508000</xdr:colOff>
          <xdr:row>16</xdr:row>
          <xdr:rowOff>76200</xdr:rowOff>
        </xdr:to>
        <xdr:sp macro="" textlink="">
          <xdr:nvSpPr>
            <xdr:cNvPr id="44072" name="Drop Down 40" descr="Drop down button to select Trust Income." hidden="1">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18</xdr:row>
          <xdr:rowOff>69850</xdr:rowOff>
        </xdr:from>
        <xdr:to>
          <xdr:col>3</xdr:col>
          <xdr:colOff>508000</xdr:colOff>
          <xdr:row>19</xdr:row>
          <xdr:rowOff>107950</xdr:rowOff>
        </xdr:to>
        <xdr:sp macro="" textlink="">
          <xdr:nvSpPr>
            <xdr:cNvPr id="44073" name="Drop Down 41" descr="Drop down button to select Capital Gains." hidden="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18</xdr:row>
          <xdr:rowOff>50800</xdr:rowOff>
        </xdr:from>
        <xdr:to>
          <xdr:col>5</xdr:col>
          <xdr:colOff>527050</xdr:colOff>
          <xdr:row>19</xdr:row>
          <xdr:rowOff>107950</xdr:rowOff>
        </xdr:to>
        <xdr:sp macro="" textlink="">
          <xdr:nvSpPr>
            <xdr:cNvPr id="44074" name="Drop Down 42" descr="Drop down button to select Residence etc." hidden="1">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18</xdr:row>
          <xdr:rowOff>50800</xdr:rowOff>
        </xdr:from>
        <xdr:to>
          <xdr:col>8</xdr:col>
          <xdr:colOff>508000</xdr:colOff>
          <xdr:row>19</xdr:row>
          <xdr:rowOff>107950</xdr:rowOff>
        </xdr:to>
        <xdr:sp macro="" textlink="">
          <xdr:nvSpPr>
            <xdr:cNvPr id="44079" name="Drop Down 47" descr="Drop down button to select Tax calculation summary." hidden="1">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165100</xdr:colOff>
          <xdr:row>12</xdr:row>
          <xdr:rowOff>31750</xdr:rowOff>
        </xdr:from>
        <xdr:to>
          <xdr:col>8</xdr:col>
          <xdr:colOff>469900</xdr:colOff>
          <xdr:row>13</xdr:row>
          <xdr:rowOff>107950</xdr:rowOff>
        </xdr:to>
        <xdr:sp macro="" textlink="">
          <xdr:nvSpPr>
            <xdr:cNvPr id="44080" name="Check Box 48" descr="Tick box to select Class 2 Voluntary." hidden="1">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50800</xdr:colOff>
          <xdr:row>21</xdr:row>
          <xdr:rowOff>38100</xdr:rowOff>
        </xdr:from>
        <xdr:to>
          <xdr:col>5</xdr:col>
          <xdr:colOff>527050</xdr:colOff>
          <xdr:row>22</xdr:row>
          <xdr:rowOff>88900</xdr:rowOff>
        </xdr:to>
        <xdr:sp macro="" textlink="">
          <xdr:nvSpPr>
            <xdr:cNvPr id="44081" name="Drop Down 49" descr="Drop down button to select Class 2 NIC." hidden="1">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50800</xdr:rowOff>
        </xdr:from>
        <xdr:to>
          <xdr:col>8</xdr:col>
          <xdr:colOff>527050</xdr:colOff>
          <xdr:row>22</xdr:row>
          <xdr:rowOff>107950</xdr:rowOff>
        </xdr:to>
        <xdr:sp macro="" textlink="">
          <xdr:nvSpPr>
            <xdr:cNvPr id="44082" name="Drop Down 50" descr="Drop down button to select Class 1 NIC." hidden="1">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Calculation (</a:t>
          </a:r>
          <a:r>
            <a:rPr lang="en-GB" sz="1000" b="0" i="0" u="none" strike="noStrike" baseline="0">
              <a:solidFill>
                <a:srgbClr val="008080"/>
              </a:solidFill>
              <a:latin typeface="Arial"/>
              <a:cs typeface="Arial"/>
            </a:rPr>
            <a:t>SA110</a:t>
          </a:r>
          <a:r>
            <a:rPr lang="en-GB" sz="1000" b="0" i="0" u="none" strike="noStrike" baseline="0">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Residence etc. (</a:t>
          </a:r>
          <a:r>
            <a:rPr lang="en-GB" sz="1000" b="0" i="0" u="none" strike="noStrike" baseline="0">
              <a:solidFill>
                <a:srgbClr val="008080"/>
              </a:solidFill>
              <a:latin typeface="Arial"/>
              <a:cs typeface="Arial"/>
            </a:rPr>
            <a:t>SA109</a:t>
          </a:r>
          <a:r>
            <a:rPr lang="en-GB" sz="1000" b="0" i="0" u="none" strike="noStrike" baseline="0">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Capital Gains (</a:t>
          </a:r>
          <a:r>
            <a:rPr lang="en-GB" sz="1000" b="0" i="0" u="none" strike="noStrike" baseline="0">
              <a:solidFill>
                <a:srgbClr val="008080"/>
              </a:solidFill>
              <a:latin typeface="Arial"/>
              <a:cs typeface="Arial"/>
            </a:rPr>
            <a:t>SA108</a:t>
          </a:r>
          <a:r>
            <a:rPr lang="en-GB" sz="1000" b="0" i="0" u="none" strike="noStrike" baseline="0">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Trust and Estates</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SA107</a:t>
          </a:r>
          <a:r>
            <a:rPr lang="en-GB" sz="1000" b="0" i="0" u="none" strike="noStrike" baseline="0">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Foreign (</a:t>
          </a:r>
          <a:r>
            <a:rPr lang="en-GB" sz="1000" b="0" i="0" u="none" strike="noStrike" baseline="0">
              <a:solidFill>
                <a:srgbClr val="008080"/>
              </a:solidFill>
              <a:latin typeface="Arial"/>
              <a:cs typeface="Arial"/>
            </a:rPr>
            <a:t>SA106</a:t>
          </a:r>
          <a:r>
            <a:rPr lang="en-GB" sz="1000" b="0" i="0" u="none" strike="noStrike" baseline="0">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Income from property</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SA105</a:t>
          </a:r>
          <a:r>
            <a:rPr lang="en-GB" sz="1000" b="0" i="0" u="none" strike="noStrike" baseline="0">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Partnership (</a:t>
          </a:r>
          <a:r>
            <a:rPr lang="en-GB" sz="1000" b="0" i="0" u="none" strike="noStrike" baseline="0">
              <a:solidFill>
                <a:srgbClr val="008080"/>
              </a:solidFill>
              <a:latin typeface="Arial"/>
              <a:cs typeface="Arial"/>
            </a:rPr>
            <a:t>SA104S/F</a:t>
          </a:r>
          <a:r>
            <a:rPr lang="en-GB" sz="1000" b="0" i="0" u="none" strike="noStrike" baseline="0">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Lloyd's Underwriters (</a:t>
          </a:r>
          <a:r>
            <a:rPr lang="en-GB" sz="1000" b="0" i="0" u="none" strike="noStrike" baseline="0">
              <a:solidFill>
                <a:srgbClr val="008080"/>
              </a:solidFill>
              <a:latin typeface="Arial"/>
              <a:cs typeface="Arial"/>
            </a:rPr>
            <a:t>SA103L</a:t>
          </a:r>
          <a:r>
            <a:rPr lang="en-GB" sz="1000" b="0" i="0" u="none" strike="noStrike" baseline="0">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Self employment (</a:t>
          </a:r>
          <a:r>
            <a:rPr lang="en-GB" sz="1000" b="0" i="0" u="none" strike="noStrike" baseline="0">
              <a:solidFill>
                <a:srgbClr val="008080"/>
              </a:solidFill>
              <a:latin typeface="Arial"/>
              <a:cs typeface="Arial"/>
            </a:rPr>
            <a:t>SA103S/F</a:t>
          </a:r>
          <a:r>
            <a:rPr lang="en-GB" sz="1000" b="0" i="0" u="none" strike="noStrike" baseline="0">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Ministers of Religion</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SA102M</a:t>
          </a:r>
          <a:r>
            <a:rPr lang="en-GB" sz="1000" b="0" i="0" u="none" strike="noStrike" baseline="0">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Employment (</a:t>
          </a:r>
          <a:r>
            <a:rPr lang="en-GB" sz="1000" b="0" i="0" u="none" strike="noStrike" baseline="0">
              <a:solidFill>
                <a:srgbClr val="008080"/>
              </a:solidFill>
              <a:latin typeface="Arial"/>
              <a:cs typeface="Arial"/>
            </a:rPr>
            <a:t>SA102</a:t>
          </a:r>
          <a:r>
            <a:rPr lang="en-GB" sz="1000" b="0" i="0" u="none" strike="noStrike" baseline="0">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Pension Charges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Married Couples Allowance</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Other Reliefs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Shares Schemes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Additional Information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69850</xdr:colOff>
          <xdr:row>8</xdr:row>
          <xdr:rowOff>31750</xdr:rowOff>
        </xdr:from>
        <xdr:to>
          <xdr:col>8</xdr:col>
          <xdr:colOff>31750</xdr:colOff>
          <xdr:row>9</xdr:row>
          <xdr:rowOff>38100</xdr:rowOff>
        </xdr:to>
        <xdr:sp macro="" textlink="">
          <xdr:nvSpPr>
            <xdr:cNvPr id="49208" name="Check Box 56" descr="Tick box to select Employment page." hidden="1">
              <a:extLst>
                <a:ext uri="{63B3BB69-23CF-44E3-9099-C40C66FF867C}">
                  <a14:compatExt spid="_x0000_s49208"/>
                </a:ext>
                <a:ext uri="{FF2B5EF4-FFF2-40B4-BE49-F238E27FC236}">
                  <a16:creationId xmlns:a16="http://schemas.microsoft.com/office/drawing/2014/main" id="{00000000-0008-0000-1300-00003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9</xdr:row>
          <xdr:rowOff>107950</xdr:rowOff>
        </xdr:from>
        <xdr:to>
          <xdr:col>8</xdr:col>
          <xdr:colOff>31750</xdr:colOff>
          <xdr:row>11</xdr:row>
          <xdr:rowOff>38100</xdr:rowOff>
        </xdr:to>
        <xdr:sp macro="" textlink="">
          <xdr:nvSpPr>
            <xdr:cNvPr id="49209" name="Check Box 57" descr="Tick box to select Ministers of Religion page." hidden="1">
              <a:extLst>
                <a:ext uri="{63B3BB69-23CF-44E3-9099-C40C66FF867C}">
                  <a14:compatExt spid="_x0000_s49209"/>
                </a:ext>
                <a:ext uri="{FF2B5EF4-FFF2-40B4-BE49-F238E27FC236}">
                  <a16:creationId xmlns:a16="http://schemas.microsoft.com/office/drawing/2014/main" id="{00000000-0008-0000-1300-00003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11</xdr:row>
          <xdr:rowOff>76200</xdr:rowOff>
        </xdr:from>
        <xdr:to>
          <xdr:col>8</xdr:col>
          <xdr:colOff>38100</xdr:colOff>
          <xdr:row>13</xdr:row>
          <xdr:rowOff>31750</xdr:rowOff>
        </xdr:to>
        <xdr:sp macro="" textlink="">
          <xdr:nvSpPr>
            <xdr:cNvPr id="49210" name="Check Box 58" descr="Tick box to select Self employment page." hidden="1">
              <a:extLst>
                <a:ext uri="{63B3BB69-23CF-44E3-9099-C40C66FF867C}">
                  <a14:compatExt spid="_x0000_s49210"/>
                </a:ext>
                <a:ext uri="{FF2B5EF4-FFF2-40B4-BE49-F238E27FC236}">
                  <a16:creationId xmlns:a16="http://schemas.microsoft.com/office/drawing/2014/main" id="{00000000-0008-0000-1300-00003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15</xdr:row>
          <xdr:rowOff>38100</xdr:rowOff>
        </xdr:from>
        <xdr:to>
          <xdr:col>8</xdr:col>
          <xdr:colOff>38100</xdr:colOff>
          <xdr:row>16</xdr:row>
          <xdr:rowOff>114300</xdr:rowOff>
        </xdr:to>
        <xdr:sp macro="" textlink="">
          <xdr:nvSpPr>
            <xdr:cNvPr id="49211" name="Check Box 59" descr="Tick box to select Partnership page." hidden="1">
              <a:extLst>
                <a:ext uri="{63B3BB69-23CF-44E3-9099-C40C66FF867C}">
                  <a14:compatExt spid="_x0000_s49211"/>
                </a:ext>
                <a:ext uri="{FF2B5EF4-FFF2-40B4-BE49-F238E27FC236}">
                  <a16:creationId xmlns:a16="http://schemas.microsoft.com/office/drawing/2014/main" id="{00000000-0008-0000-1300-00003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107950</xdr:rowOff>
        </xdr:from>
        <xdr:to>
          <xdr:col>10</xdr:col>
          <xdr:colOff>38100</xdr:colOff>
          <xdr:row>11</xdr:row>
          <xdr:rowOff>31750</xdr:rowOff>
        </xdr:to>
        <xdr:sp macro="" textlink="">
          <xdr:nvSpPr>
            <xdr:cNvPr id="49212" name="Check Box 60" descr="Tick box to select Foreign page." hidden="1">
              <a:extLst>
                <a:ext uri="{63B3BB69-23CF-44E3-9099-C40C66FF867C}">
                  <a14:compatExt spid="_x0000_s49212"/>
                </a:ext>
                <a:ext uri="{FF2B5EF4-FFF2-40B4-BE49-F238E27FC236}">
                  <a16:creationId xmlns:a16="http://schemas.microsoft.com/office/drawing/2014/main" id="{00000000-0008-0000-1300-00003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69850</xdr:rowOff>
        </xdr:from>
        <xdr:to>
          <xdr:col>10</xdr:col>
          <xdr:colOff>38100</xdr:colOff>
          <xdr:row>13</xdr:row>
          <xdr:rowOff>0</xdr:rowOff>
        </xdr:to>
        <xdr:sp macro="" textlink="">
          <xdr:nvSpPr>
            <xdr:cNvPr id="49213" name="Check Box 61" descr="Tick box to select Trusts and Estates page." hidden="1">
              <a:extLst>
                <a:ext uri="{63B3BB69-23CF-44E3-9099-C40C66FF867C}">
                  <a14:compatExt spid="_x0000_s49213"/>
                </a:ext>
                <a:ext uri="{FF2B5EF4-FFF2-40B4-BE49-F238E27FC236}">
                  <a16:creationId xmlns:a16="http://schemas.microsoft.com/office/drawing/2014/main" id="{00000000-0008-0000-1300-00003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127000</xdr:rowOff>
        </xdr:to>
        <xdr:sp macro="" textlink="">
          <xdr:nvSpPr>
            <xdr:cNvPr id="49214" name="Check Box 62" descr="Tick box to select Capital Gains page." hidden="1">
              <a:extLst>
                <a:ext uri="{63B3BB69-23CF-44E3-9099-C40C66FF867C}">
                  <a14:compatExt spid="_x0000_s49214"/>
                </a:ext>
                <a:ext uri="{FF2B5EF4-FFF2-40B4-BE49-F238E27FC236}">
                  <a16:creationId xmlns:a16="http://schemas.microsoft.com/office/drawing/2014/main" id="{00000000-0008-0000-1300-00003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31750</xdr:rowOff>
        </xdr:from>
        <xdr:to>
          <xdr:col>10</xdr:col>
          <xdr:colOff>38100</xdr:colOff>
          <xdr:row>9</xdr:row>
          <xdr:rowOff>38100</xdr:rowOff>
        </xdr:to>
        <xdr:sp macro="" textlink="">
          <xdr:nvSpPr>
            <xdr:cNvPr id="49215" name="Check Box 63" descr="Tick box to select Income from property page." hidden="1">
              <a:extLst>
                <a:ext uri="{63B3BB69-23CF-44E3-9099-C40C66FF867C}">
                  <a14:compatExt spid="_x0000_s49215"/>
                </a:ext>
                <a:ext uri="{FF2B5EF4-FFF2-40B4-BE49-F238E27FC236}">
                  <a16:creationId xmlns:a16="http://schemas.microsoft.com/office/drawing/2014/main" id="{00000000-0008-0000-1300-00003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13</xdr:row>
          <xdr:rowOff>69850</xdr:rowOff>
        </xdr:from>
        <xdr:to>
          <xdr:col>8</xdr:col>
          <xdr:colOff>38100</xdr:colOff>
          <xdr:row>15</xdr:row>
          <xdr:rowOff>12700</xdr:rowOff>
        </xdr:to>
        <xdr:sp macro="" textlink="">
          <xdr:nvSpPr>
            <xdr:cNvPr id="49216" name="Check Box 64" descr="Tick box to select Lloyds Underwriters page." hidden="1">
              <a:extLst>
                <a:ext uri="{63B3BB69-23CF-44E3-9099-C40C66FF867C}">
                  <a14:compatExt spid="_x0000_s49216"/>
                </a:ext>
                <a:ext uri="{FF2B5EF4-FFF2-40B4-BE49-F238E27FC236}">
                  <a16:creationId xmlns:a16="http://schemas.microsoft.com/office/drawing/2014/main" id="{00000000-0008-0000-1300-00004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50800</xdr:colOff>
          <xdr:row>21</xdr:row>
          <xdr:rowOff>69850</xdr:rowOff>
        </xdr:from>
        <xdr:to>
          <xdr:col>2</xdr:col>
          <xdr:colOff>1593850</xdr:colOff>
          <xdr:row>23</xdr:row>
          <xdr:rowOff>69850</xdr:rowOff>
        </xdr:to>
        <xdr:sp macro="" textlink="">
          <xdr:nvSpPr>
            <xdr:cNvPr id="49217" name="Button 65" hidden="1">
              <a:extLst>
                <a:ext uri="{63B3BB69-23CF-44E3-9099-C40C66FF867C}">
                  <a14:compatExt spid="_x0000_s49217"/>
                </a:ext>
                <a:ext uri="{FF2B5EF4-FFF2-40B4-BE49-F238E27FC236}">
                  <a16:creationId xmlns:a16="http://schemas.microsoft.com/office/drawing/2014/main" id="{00000000-0008-0000-1300-000041C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50800</xdr:rowOff>
        </xdr:from>
        <xdr:to>
          <xdr:col>6</xdr:col>
          <xdr:colOff>1212850</xdr:colOff>
          <xdr:row>23</xdr:row>
          <xdr:rowOff>76200</xdr:rowOff>
        </xdr:to>
        <xdr:sp macro="" textlink="">
          <xdr:nvSpPr>
            <xdr:cNvPr id="49218" name="Button 66" hidden="1">
              <a:extLst>
                <a:ext uri="{63B3BB69-23CF-44E3-9099-C40C66FF867C}">
                  <a14:compatExt spid="_x0000_s49218"/>
                </a:ext>
                <a:ext uri="{FF2B5EF4-FFF2-40B4-BE49-F238E27FC236}">
                  <a16:creationId xmlns:a16="http://schemas.microsoft.com/office/drawing/2014/main" id="{00000000-0008-0000-1300-000042C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400" b="1" i="0" u="none" strike="noStrike" baseline="0">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69850</xdr:rowOff>
        </xdr:from>
        <xdr:to>
          <xdr:col>10</xdr:col>
          <xdr:colOff>31750</xdr:colOff>
          <xdr:row>23</xdr:row>
          <xdr:rowOff>69850</xdr:rowOff>
        </xdr:to>
        <xdr:sp macro="" textlink="">
          <xdr:nvSpPr>
            <xdr:cNvPr id="49219" name="Button 67" hidden="1">
              <a:extLst>
                <a:ext uri="{63B3BB69-23CF-44E3-9099-C40C66FF867C}">
                  <a14:compatExt spid="_x0000_s49219"/>
                </a:ext>
                <a:ext uri="{FF2B5EF4-FFF2-40B4-BE49-F238E27FC236}">
                  <a16:creationId xmlns:a16="http://schemas.microsoft.com/office/drawing/2014/main" id="{00000000-0008-0000-1300-00004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31750</xdr:rowOff>
        </xdr:from>
        <xdr:to>
          <xdr:col>10</xdr:col>
          <xdr:colOff>38100</xdr:colOff>
          <xdr:row>16</xdr:row>
          <xdr:rowOff>114300</xdr:rowOff>
        </xdr:to>
        <xdr:sp macro="" textlink="">
          <xdr:nvSpPr>
            <xdr:cNvPr id="49220" name="Check Box 68" descr="Tick box to select Residence page." hidden="1">
              <a:extLst>
                <a:ext uri="{63B3BB69-23CF-44E3-9099-C40C66FF867C}">
                  <a14:compatExt spid="_x0000_s49220"/>
                </a:ext>
                <a:ext uri="{FF2B5EF4-FFF2-40B4-BE49-F238E27FC236}">
                  <a16:creationId xmlns:a16="http://schemas.microsoft.com/office/drawing/2014/main" id="{00000000-0008-0000-1300-00004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146050</xdr:rowOff>
        </xdr:from>
        <xdr:to>
          <xdr:col>10</xdr:col>
          <xdr:colOff>38100</xdr:colOff>
          <xdr:row>19</xdr:row>
          <xdr:rowOff>12700</xdr:rowOff>
        </xdr:to>
        <xdr:sp macro="" textlink="">
          <xdr:nvSpPr>
            <xdr:cNvPr id="49221" name="Check Box 69" descr="Tick box to select Calculation page." hidden="1">
              <a:extLst>
                <a:ext uri="{63B3BB69-23CF-44E3-9099-C40C66FF867C}">
                  <a14:compatExt spid="_x0000_s49221"/>
                </a:ext>
                <a:ext uri="{FF2B5EF4-FFF2-40B4-BE49-F238E27FC236}">
                  <a16:creationId xmlns:a16="http://schemas.microsoft.com/office/drawing/2014/main" id="{00000000-0008-0000-1300-00004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8</xdr:row>
          <xdr:rowOff>31750</xdr:rowOff>
        </xdr:from>
        <xdr:to>
          <xdr:col>4</xdr:col>
          <xdr:colOff>31750</xdr:colOff>
          <xdr:row>9</xdr:row>
          <xdr:rowOff>38100</xdr:rowOff>
        </xdr:to>
        <xdr:sp macro="" textlink="">
          <xdr:nvSpPr>
            <xdr:cNvPr id="49222" name="Check Box 70" descr="Tick box to select Additional Information page." hidden="1">
              <a:extLst>
                <a:ext uri="{63B3BB69-23CF-44E3-9099-C40C66FF867C}">
                  <a14:compatExt spid="_x0000_s49222"/>
                </a:ext>
                <a:ext uri="{FF2B5EF4-FFF2-40B4-BE49-F238E27FC236}">
                  <a16:creationId xmlns:a16="http://schemas.microsoft.com/office/drawing/2014/main" id="{00000000-0008-0000-1300-000046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10</xdr:row>
          <xdr:rowOff>12700</xdr:rowOff>
        </xdr:from>
        <xdr:to>
          <xdr:col>4</xdr:col>
          <xdr:colOff>31750</xdr:colOff>
          <xdr:row>11</xdr:row>
          <xdr:rowOff>88900</xdr:rowOff>
        </xdr:to>
        <xdr:sp macro="" textlink="">
          <xdr:nvSpPr>
            <xdr:cNvPr id="49223" name="Check Box 71" descr="Tick box to select Share Schemes page." hidden="1">
              <a:extLst>
                <a:ext uri="{63B3BB69-23CF-44E3-9099-C40C66FF867C}">
                  <a14:compatExt spid="_x0000_s49223"/>
                </a:ext>
                <a:ext uri="{FF2B5EF4-FFF2-40B4-BE49-F238E27FC236}">
                  <a16:creationId xmlns:a16="http://schemas.microsoft.com/office/drawing/2014/main" id="{00000000-0008-0000-1300-000047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12</xdr:row>
          <xdr:rowOff>31750</xdr:rowOff>
        </xdr:from>
        <xdr:to>
          <xdr:col>4</xdr:col>
          <xdr:colOff>31750</xdr:colOff>
          <xdr:row>13</xdr:row>
          <xdr:rowOff>107950</xdr:rowOff>
        </xdr:to>
        <xdr:sp macro="" textlink="">
          <xdr:nvSpPr>
            <xdr:cNvPr id="49224" name="Check Box 72" descr="Tick box to select Other reliefs page." hidden="1">
              <a:extLst>
                <a:ext uri="{63B3BB69-23CF-44E3-9099-C40C66FF867C}">
                  <a14:compatExt spid="_x0000_s49224"/>
                </a:ext>
                <a:ext uri="{FF2B5EF4-FFF2-40B4-BE49-F238E27FC236}">
                  <a16:creationId xmlns:a16="http://schemas.microsoft.com/office/drawing/2014/main" id="{00000000-0008-0000-1300-000048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14</xdr:row>
          <xdr:rowOff>38100</xdr:rowOff>
        </xdr:from>
        <xdr:to>
          <xdr:col>4</xdr:col>
          <xdr:colOff>31750</xdr:colOff>
          <xdr:row>15</xdr:row>
          <xdr:rowOff>114300</xdr:rowOff>
        </xdr:to>
        <xdr:sp macro="" textlink="">
          <xdr:nvSpPr>
            <xdr:cNvPr id="49225" name="Check Box 73" descr="Tick box to select Married Couples Allowance page." hidden="1">
              <a:extLst>
                <a:ext uri="{63B3BB69-23CF-44E3-9099-C40C66FF867C}">
                  <a14:compatExt spid="_x0000_s49225"/>
                </a:ext>
                <a:ext uri="{FF2B5EF4-FFF2-40B4-BE49-F238E27FC236}">
                  <a16:creationId xmlns:a16="http://schemas.microsoft.com/office/drawing/2014/main" id="{00000000-0008-0000-1300-000049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16</xdr:row>
          <xdr:rowOff>50800</xdr:rowOff>
        </xdr:from>
        <xdr:to>
          <xdr:col>4</xdr:col>
          <xdr:colOff>31750</xdr:colOff>
          <xdr:row>17</xdr:row>
          <xdr:rowOff>127000</xdr:rowOff>
        </xdr:to>
        <xdr:sp macro="" textlink="">
          <xdr:nvSpPr>
            <xdr:cNvPr id="49226" name="Check Box 74" descr="Tick box to select Pension Charges page." hidden="1">
              <a:extLst>
                <a:ext uri="{63B3BB69-23CF-44E3-9099-C40C66FF867C}">
                  <a14:compatExt spid="_x0000_s49226"/>
                </a:ext>
                <a:ext uri="{FF2B5EF4-FFF2-40B4-BE49-F238E27FC236}">
                  <a16:creationId xmlns:a16="http://schemas.microsoft.com/office/drawing/2014/main" id="{00000000-0008-0000-1300-00004A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Reset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Pressing this will remove all data from the calculation sheets and removes all additional pages.</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Calculate Now</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Once Tax return data has been entered on the input sheets press 'Calculate Now' to make the tabs for the calculation sheets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Amendments will not be reflected in the calculation sheets until 'Calculate Now' is pressed again.</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27432" bIns="0" anchor="t" upright="1"/>
        <a:lstStyle/>
        <a:p>
          <a:pPr algn="ctr" rtl="0">
            <a:defRPr sz="1000"/>
          </a:pPr>
          <a:r>
            <a:rPr lang="en-GB" sz="800" b="0" i="0" u="none" strike="noStrike" baseline="0">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Additional sheets.</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The tabs for the core return (INC1, INC2, REL1 &amp; REL2) are always visible. Tick the required additional information and additional pages to make additional tabs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When an additional sheet is removed (unticked) all data on that sheet is lost.</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Tax Calculation.</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GB" sz="1000" b="0" i="0" u="none" strike="noStrike" kern="0" cap="none" spc="0" normalizeH="0" baseline="0" noProof="0">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69850</xdr:colOff>
          <xdr:row>16</xdr:row>
          <xdr:rowOff>127000</xdr:rowOff>
        </xdr:from>
        <xdr:to>
          <xdr:col>8</xdr:col>
          <xdr:colOff>38100</xdr:colOff>
          <xdr:row>19</xdr:row>
          <xdr:rowOff>12700</xdr:rowOff>
        </xdr:to>
        <xdr:sp macro="" textlink="">
          <xdr:nvSpPr>
            <xdr:cNvPr id="2" name="Check Box 76" descr="Tick box to select National Insurance CL2 &amp; CL1 (NI) page." hidden="1">
              <a:extLst>
                <a:ext uri="{63B3BB69-23CF-44E3-9099-C40C66FF867C}">
                  <a14:compatExt spid="_x0000_s49228"/>
                </a:ext>
                <a:ext uri="{FF2B5EF4-FFF2-40B4-BE49-F238E27FC236}">
                  <a16:creationId xmlns:a16="http://schemas.microsoft.com/office/drawing/2014/main" id="{00000000-0008-0000-13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146050</xdr:rowOff>
        </xdr:from>
        <xdr:to>
          <xdr:col>6</xdr:col>
          <xdr:colOff>1212850</xdr:colOff>
          <xdr:row>26</xdr:row>
          <xdr:rowOff>12700</xdr:rowOff>
        </xdr:to>
        <xdr:sp macro="" textlink="">
          <xdr:nvSpPr>
            <xdr:cNvPr id="3" name="Button 78" hidden="1">
              <a:extLst>
                <a:ext uri="{63B3BB69-23CF-44E3-9099-C40C66FF867C}">
                  <a14:compatExt spid="_x0000_s49230"/>
                </a:ext>
                <a:ext uri="{FF2B5EF4-FFF2-40B4-BE49-F238E27FC236}">
                  <a16:creationId xmlns:a16="http://schemas.microsoft.com/office/drawing/2014/main" id="{00000000-0008-0000-13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400" b="1" i="0" u="none" strike="noStrike" baseline="0">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In-Year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If you are completing an in-year repayment calculation and you want to restrict the Personal Allowance tick the box below and enter the amount of PA in the box</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146050</xdr:rowOff>
        </xdr:from>
        <xdr:to>
          <xdr:col>8</xdr:col>
          <xdr:colOff>146050</xdr:colOff>
          <xdr:row>31</xdr:row>
          <xdr:rowOff>69850</xdr:rowOff>
        </xdr:to>
        <xdr:sp macro="" textlink="">
          <xdr:nvSpPr>
            <xdr:cNvPr id="49231" name="Check Box 79" descr="Tick box to select In-Year Calculation" hidden="1">
              <a:extLst>
                <a:ext uri="{63B3BB69-23CF-44E3-9099-C40C66FF867C}">
                  <a14:compatExt spid="_x0000_s49231"/>
                </a:ext>
                <a:ext uri="{FF2B5EF4-FFF2-40B4-BE49-F238E27FC236}">
                  <a16:creationId xmlns:a16="http://schemas.microsoft.com/office/drawing/2014/main" id="{00000000-0008-0000-1300-00004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12700</xdr:rowOff>
        </xdr:from>
        <xdr:to>
          <xdr:col>6</xdr:col>
          <xdr:colOff>812800</xdr:colOff>
          <xdr:row>5</xdr:row>
          <xdr:rowOff>12700</xdr:rowOff>
        </xdr:to>
        <xdr:sp macro="" textlink="">
          <xdr:nvSpPr>
            <xdr:cNvPr id="40964" name="Drop Down 4" descr="Drop down button to select Taxpayer's date of birth." hidden="1">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id="40971" name="Drop Down 11" descr="Drop down button to select Taxpayer status." hidden="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D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279400</xdr:colOff>
          <xdr:row>3</xdr:row>
          <xdr:rowOff>69850</xdr:rowOff>
        </xdr:from>
        <xdr:to>
          <xdr:col>3</xdr:col>
          <xdr:colOff>184150</xdr:colOff>
          <xdr:row>5</xdr:row>
          <xdr:rowOff>38100</xdr:rowOff>
        </xdr:to>
        <xdr:sp macro="" textlink="">
          <xdr:nvSpPr>
            <xdr:cNvPr id="39937" name="Check Box 1" descr="Tick box to select Registered blind." hidden="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D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38</xdr:row>
          <xdr:rowOff>69850</xdr:rowOff>
        </xdr:from>
        <xdr:to>
          <xdr:col>3</xdr:col>
          <xdr:colOff>184150</xdr:colOff>
          <xdr:row>40</xdr:row>
          <xdr:rowOff>38100</xdr:rowOff>
        </xdr:to>
        <xdr:sp macro="" textlink="">
          <xdr:nvSpPr>
            <xdr:cNvPr id="39943" name="Check Box 7" descr="Tick box to select Election to transfer personal allowance (box MAT_1 to MAT_5 all completed)." hidden="1">
              <a:extLst>
                <a:ext uri="{63B3BB69-23CF-44E3-9099-C40C66FF867C}">
                  <a14:compatExt spid="_x0000_s39943"/>
                </a:ext>
                <a:ext uri="{FF2B5EF4-FFF2-40B4-BE49-F238E27FC236}">
                  <a16:creationId xmlns:a16="http://schemas.microsoft.com/office/drawing/2014/main" id="{00000000-0008-0000-1D00-00000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44</xdr:row>
          <xdr:rowOff>69850</xdr:rowOff>
        </xdr:from>
        <xdr:to>
          <xdr:col>3</xdr:col>
          <xdr:colOff>184150</xdr:colOff>
          <xdr:row>46</xdr:row>
          <xdr:rowOff>38100</xdr:rowOff>
        </xdr:to>
        <xdr:sp macro="" textlink="">
          <xdr:nvSpPr>
            <xdr:cNvPr id="39946" name="Check Box 10" descr="Tick box to select MAT OUT." hidden="1">
              <a:extLst>
                <a:ext uri="{63B3BB69-23CF-44E3-9099-C40C66FF867C}">
                  <a14:compatExt spid="_x0000_s39946"/>
                </a:ext>
                <a:ext uri="{FF2B5EF4-FFF2-40B4-BE49-F238E27FC236}">
                  <a16:creationId xmlns:a16="http://schemas.microsoft.com/office/drawing/2014/main" id="{00000000-0008-0000-1D00-00000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44</xdr:row>
          <xdr:rowOff>69850</xdr:rowOff>
        </xdr:from>
        <xdr:to>
          <xdr:col>7</xdr:col>
          <xdr:colOff>184150</xdr:colOff>
          <xdr:row>46</xdr:row>
          <xdr:rowOff>38100</xdr:rowOff>
        </xdr:to>
        <xdr:sp macro="" textlink="">
          <xdr:nvSpPr>
            <xdr:cNvPr id="39947" name="Check Box 11" descr="Tick box to select MAT IN." hidden="1">
              <a:extLst>
                <a:ext uri="{63B3BB69-23CF-44E3-9099-C40C66FF867C}">
                  <a14:compatExt spid="_x0000_s39947"/>
                </a:ext>
                <a:ext uri="{FF2B5EF4-FFF2-40B4-BE49-F238E27FC236}">
                  <a16:creationId xmlns:a16="http://schemas.microsoft.com/office/drawing/2014/main" id="{00000000-0008-0000-1D00-00000B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31750</xdr:rowOff>
        </xdr:from>
        <xdr:to>
          <xdr:col>3</xdr:col>
          <xdr:colOff>412750</xdr:colOff>
          <xdr:row>14</xdr:row>
          <xdr:rowOff>69850</xdr:rowOff>
        </xdr:to>
        <xdr:sp macro="" textlink="">
          <xdr:nvSpPr>
            <xdr:cNvPr id="39949" name="Drop Down 13" descr="Drop down button to select Student Loan Plan type." hidden="1">
              <a:extLst>
                <a:ext uri="{63B3BB69-23CF-44E3-9099-C40C66FF867C}">
                  <a14:compatExt spid="_x0000_s39949"/>
                </a:ext>
                <a:ext uri="{FF2B5EF4-FFF2-40B4-BE49-F238E27FC236}">
                  <a16:creationId xmlns:a16="http://schemas.microsoft.com/office/drawing/2014/main" id="{00000000-0008-0000-1D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10</xdr:row>
          <xdr:rowOff>107950</xdr:rowOff>
        </xdr:from>
        <xdr:to>
          <xdr:col>3</xdr:col>
          <xdr:colOff>184150</xdr:colOff>
          <xdr:row>12</xdr:row>
          <xdr:rowOff>12700</xdr:rowOff>
        </xdr:to>
        <xdr:sp macro="" textlink="">
          <xdr:nvSpPr>
            <xdr:cNvPr id="39952" name="Check Box 16" descr="Drop down button to select Student Loan Payer." hidden="1">
              <a:extLst>
                <a:ext uri="{63B3BB69-23CF-44E3-9099-C40C66FF867C}">
                  <a14:compatExt spid="_x0000_s39952"/>
                </a:ext>
                <a:ext uri="{FF2B5EF4-FFF2-40B4-BE49-F238E27FC236}">
                  <a16:creationId xmlns:a16="http://schemas.microsoft.com/office/drawing/2014/main" id="{00000000-0008-0000-1D00-000010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17</xdr:row>
          <xdr:rowOff>31750</xdr:rowOff>
        </xdr:from>
        <xdr:to>
          <xdr:col>3</xdr:col>
          <xdr:colOff>419100</xdr:colOff>
          <xdr:row>18</xdr:row>
          <xdr:rowOff>69850</xdr:rowOff>
        </xdr:to>
        <xdr:sp macro="" textlink="">
          <xdr:nvSpPr>
            <xdr:cNvPr id="39961" name="Drop Down 25" descr="Drop down button to select Post graduate Loan Plan type." hidden="1">
              <a:extLst>
                <a:ext uri="{63B3BB69-23CF-44E3-9099-C40C66FF867C}">
                  <a14:compatExt spid="_x0000_s39961"/>
                </a:ext>
                <a:ext uri="{FF2B5EF4-FFF2-40B4-BE49-F238E27FC236}">
                  <a16:creationId xmlns:a16="http://schemas.microsoft.com/office/drawing/2014/main" id="{00000000-0008-0000-1D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488950</xdr:colOff>
          <xdr:row>11</xdr:row>
          <xdr:rowOff>76200</xdr:rowOff>
        </xdr:from>
        <xdr:to>
          <xdr:col>9</xdr:col>
          <xdr:colOff>31750</xdr:colOff>
          <xdr:row>13</xdr:row>
          <xdr:rowOff>50800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E00-00000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1E00-000003640000}"/>
            </a:ext>
          </a:extLst>
        </xdr:cNvPr>
        <xdr:cNvSpPr txBox="1">
          <a:spLocks noChangeArrowheads="1"/>
        </xdr:cNvSpPr>
      </xdr:nvSpPr>
      <xdr:spPr bwMode="auto">
        <a:xfrm>
          <a:off x="6858000" y="1581150"/>
          <a:ext cx="1133475" cy="13811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0000"/>
              </a:solidFill>
              <a:latin typeface="Arial"/>
              <a:cs typeface="Arial"/>
            </a:rPr>
            <a:t>Gains on UK life policies </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0000"/>
              </a:solidFill>
              <a:latin typeface="Arial"/>
              <a:cs typeface="Arial"/>
            </a:rPr>
            <a:t>Enter a single gain in boxes 4 &amp; 5 (or 6 &amp; 7, or 8, 9, &amp; 10).</a:t>
          </a:r>
        </a:p>
        <a:p>
          <a:pPr algn="l" rtl="0">
            <a:defRPr sz="1000"/>
          </a:pPr>
          <a:r>
            <a:rPr lang="en-GB" sz="800" b="0" i="0" u="none" strike="noStrike" baseline="0">
              <a:solidFill>
                <a:srgbClr val="000000"/>
              </a:solidFill>
              <a:latin typeface="Arial"/>
              <a:cs typeface="Arial"/>
            </a:rPr>
            <a:t>When there is more than one  leave these boxes blank and click 'multiple gains'.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203200</xdr:colOff>
          <xdr:row>22</xdr:row>
          <xdr:rowOff>146050</xdr:rowOff>
        </xdr:from>
        <xdr:to>
          <xdr:col>7</xdr:col>
          <xdr:colOff>38100</xdr:colOff>
          <xdr:row>24</xdr:row>
          <xdr:rowOff>152400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F00-000001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1F00-000002680000}"/>
            </a:ext>
          </a:extLst>
        </xdr:cNvPr>
        <xdr:cNvSpPr>
          <a:spLocks noChangeShapeType="1"/>
        </xdr:cNvSpPr>
      </xdr:nvSpPr>
      <xdr:spPr bwMode="auto">
        <a:xfrm>
          <a:off x="1533525" y="382905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4</xdr:row>
          <xdr:rowOff>0</xdr:rowOff>
        </xdr:from>
        <xdr:to>
          <xdr:col>4</xdr:col>
          <xdr:colOff>1708150</xdr:colOff>
          <xdr:row>5</xdr:row>
          <xdr:rowOff>50800</xdr:rowOff>
        </xdr:to>
        <xdr:sp macro="" textlink="">
          <xdr:nvSpPr>
            <xdr:cNvPr id="50177" name="Drop Down 1" descr="MCA Claim" hidden="1">
              <a:extLst>
                <a:ext uri="{63B3BB69-23CF-44E3-9099-C40C66FF867C}">
                  <a14:compatExt spid="_x0000_s50177"/>
                </a:ext>
                <a:ext uri="{FF2B5EF4-FFF2-40B4-BE49-F238E27FC236}">
                  <a16:creationId xmlns:a16="http://schemas.microsoft.com/office/drawing/2014/main" id="{00000000-0008-0000-22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1708150</xdr:colOff>
          <xdr:row>9</xdr:row>
          <xdr:rowOff>50800</xdr:rowOff>
        </xdr:to>
        <xdr:sp macro="" textlink="">
          <xdr:nvSpPr>
            <xdr:cNvPr id="50178" name="Drop Down 2" descr="Date of birth of older spouse" hidden="1">
              <a:extLst>
                <a:ext uri="{63B3BB69-23CF-44E3-9099-C40C66FF867C}">
                  <a14:compatExt spid="_x0000_s50178"/>
                </a:ext>
                <a:ext uri="{FF2B5EF4-FFF2-40B4-BE49-F238E27FC236}">
                  <a16:creationId xmlns:a16="http://schemas.microsoft.com/office/drawing/2014/main" id="{00000000-0008-0000-22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12700</xdr:rowOff>
        </xdr:from>
        <xdr:to>
          <xdr:col>4</xdr:col>
          <xdr:colOff>1708150</xdr:colOff>
          <xdr:row>13</xdr:row>
          <xdr:rowOff>69850</xdr:rowOff>
        </xdr:to>
        <xdr:sp macro="" textlink="">
          <xdr:nvSpPr>
            <xdr:cNvPr id="50179" name="Drop Down 3" descr="Amount allocated to lower income partner&#10;" hidden="1">
              <a:extLst>
                <a:ext uri="{63B3BB69-23CF-44E3-9099-C40C66FF867C}">
                  <a14:compatExt spid="_x0000_s50179"/>
                </a:ext>
                <a:ext uri="{FF2B5EF4-FFF2-40B4-BE49-F238E27FC236}">
                  <a16:creationId xmlns:a16="http://schemas.microsoft.com/office/drawing/2014/main" id="{00000000-0008-0000-22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16</xdr:row>
          <xdr:rowOff>12700</xdr:rowOff>
        </xdr:from>
        <xdr:to>
          <xdr:col>4</xdr:col>
          <xdr:colOff>1708150</xdr:colOff>
          <xdr:row>17</xdr:row>
          <xdr:rowOff>69850</xdr:rowOff>
        </xdr:to>
        <xdr:sp macro="" textlink="">
          <xdr:nvSpPr>
            <xdr:cNvPr id="50180" name="Drop Down 4" descr="Number of months married&#10;" hidden="1">
              <a:extLst>
                <a:ext uri="{63B3BB69-23CF-44E3-9099-C40C66FF867C}">
                  <a14:compatExt spid="_x0000_s50180"/>
                </a:ext>
                <a:ext uri="{FF2B5EF4-FFF2-40B4-BE49-F238E27FC236}">
                  <a16:creationId xmlns:a16="http://schemas.microsoft.com/office/drawing/2014/main" id="{00000000-0008-0000-22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298450</xdr:colOff>
          <xdr:row>35</xdr:row>
          <xdr:rowOff>31750</xdr:rowOff>
        </xdr:from>
        <xdr:to>
          <xdr:col>17</xdr:col>
          <xdr:colOff>1333500</xdr:colOff>
          <xdr:row>39</xdr:row>
          <xdr:rowOff>69850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2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857250</xdr:colOff>
          <xdr:row>24</xdr:row>
          <xdr:rowOff>50800</xdr:rowOff>
        </xdr:from>
        <xdr:to>
          <xdr:col>9</xdr:col>
          <xdr:colOff>2266950</xdr:colOff>
          <xdr:row>28</xdr:row>
          <xdr:rowOff>107950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2500-000001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0</xdr:colOff>
      <xdr:row>36</xdr:row>
      <xdr:rowOff>142875</xdr:rowOff>
    </xdr:from>
    <xdr:to>
      <xdr:col>8</xdr:col>
      <xdr:colOff>990600</xdr:colOff>
      <xdr:row>37</xdr:row>
      <xdr:rowOff>0</xdr:rowOff>
    </xdr:to>
    <xdr:sp macro="[0]!FSE_NICX_Click" textlink="">
      <xdr:nvSpPr>
        <xdr:cNvPr id="7179" name="Text Box 11">
          <a:extLst>
            <a:ext uri="{FF2B5EF4-FFF2-40B4-BE49-F238E27FC236}">
              <a16:creationId xmlns:a16="http://schemas.microsoft.com/office/drawing/2014/main" id="{00000000-0008-0000-26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a:t>
          </a:r>
          <a:endParaRPr lang="en-GB" sz="800" b="0" i="0" u="none" strike="noStrike" baseline="0">
            <a:solidFill>
              <a:srgbClr val="003366"/>
            </a:solidFill>
            <a:latin typeface="Arial"/>
            <a:cs typeface="Arial"/>
          </a:endParaRP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6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Excempt from paying Class 4 NIC </a:t>
          </a:r>
          <a:r>
            <a:rPr lang="en-GB" sz="800" b="0" i="0" u="none" strike="noStrike" baseline="0">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2</xdr:col>
          <xdr:colOff>336550</xdr:colOff>
          <xdr:row>16</xdr:row>
          <xdr:rowOff>107950</xdr:rowOff>
        </xdr:from>
        <xdr:to>
          <xdr:col>3</xdr:col>
          <xdr:colOff>241300</xdr:colOff>
          <xdr:row>18</xdr:row>
          <xdr:rowOff>12700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26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13</xdr:row>
          <xdr:rowOff>107950</xdr:rowOff>
        </xdr:from>
        <xdr:to>
          <xdr:col>3</xdr:col>
          <xdr:colOff>228600</xdr:colOff>
          <xdr:row>15</xdr:row>
          <xdr:rowOff>12700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26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203200</xdr:colOff>
          <xdr:row>23</xdr:row>
          <xdr:rowOff>88900</xdr:rowOff>
        </xdr:from>
        <xdr:to>
          <xdr:col>4</xdr:col>
          <xdr:colOff>1403350</xdr:colOff>
          <xdr:row>27</xdr:row>
          <xdr:rowOff>114300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2600-00000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twoCellAnchor>
    <xdr:from>
      <xdr:col>7</xdr:col>
      <xdr:colOff>0</xdr:colOff>
      <xdr:row>30</xdr:row>
      <xdr:rowOff>142875</xdr:rowOff>
    </xdr:from>
    <xdr:to>
      <xdr:col>8</xdr:col>
      <xdr:colOff>990600</xdr:colOff>
      <xdr:row>33</xdr:row>
      <xdr:rowOff>19050</xdr:rowOff>
    </xdr:to>
    <xdr:sp macro="[0]!FSE_NICX_Click" textlink="">
      <xdr:nvSpPr>
        <xdr:cNvPr id="4" name="Text Box 11">
          <a:extLst>
            <a:ext uri="{FF2B5EF4-FFF2-40B4-BE49-F238E27FC236}">
              <a16:creationId xmlns:a16="http://schemas.microsoft.com/office/drawing/2014/main" id="{00000000-0008-0000-2600-000004000000}"/>
            </a:ext>
          </a:extLst>
        </xdr:cNvPr>
        <xdr:cNvSpPr txBox="1">
          <a:spLocks noChangeArrowheads="1"/>
        </xdr:cNvSpPr>
      </xdr:nvSpPr>
      <xdr:spPr bwMode="auto">
        <a:xfrm>
          <a:off x="5476875" y="5000625"/>
          <a:ext cx="21526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31</xdr:row>
          <xdr:rowOff>107950</xdr:rowOff>
        </xdr:from>
        <xdr:to>
          <xdr:col>7</xdr:col>
          <xdr:colOff>260350</xdr:colOff>
          <xdr:row>33</xdr:row>
          <xdr:rowOff>12700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26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28</xdr:row>
          <xdr:rowOff>107950</xdr:rowOff>
        </xdr:from>
        <xdr:to>
          <xdr:col>7</xdr:col>
          <xdr:colOff>260350</xdr:colOff>
          <xdr:row>30</xdr:row>
          <xdr:rowOff>12700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26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7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ea typeface="+mn-ea"/>
              <a:cs typeface="Arial"/>
            </a:rPr>
            <a:t>Exempt from Class 4 NIC </a:t>
          </a:r>
          <a:r>
            <a:rPr lang="en-GB" sz="800" b="0" i="0" u="none" strike="noStrike" baseline="0">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374650</xdr:colOff>
          <xdr:row>15</xdr:row>
          <xdr:rowOff>146050</xdr:rowOff>
        </xdr:from>
        <xdr:to>
          <xdr:col>11</xdr:col>
          <xdr:colOff>266700</xdr:colOff>
          <xdr:row>17</xdr:row>
          <xdr:rowOff>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27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12</xdr:row>
          <xdr:rowOff>127000</xdr:rowOff>
        </xdr:from>
        <xdr:to>
          <xdr:col>11</xdr:col>
          <xdr:colOff>266700</xdr:colOff>
          <xdr:row>13</xdr:row>
          <xdr:rowOff>152400</xdr:rowOff>
        </xdr:to>
        <xdr:sp macro="" textlink="">
          <xdr:nvSpPr>
            <xdr:cNvPr id="2" name="Check Box 4" hidden="1">
              <a:extLst>
                <a:ext uri="{63B3BB69-23CF-44E3-9099-C40C66FF867C}">
                  <a14:compatExt spid="_x0000_s8196"/>
                </a:ext>
                <a:ext uri="{FF2B5EF4-FFF2-40B4-BE49-F238E27FC236}">
                  <a16:creationId xmlns:a16="http://schemas.microsoft.com/office/drawing/2014/main" id="{00000000-0008-0000-27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12700</xdr:colOff>
          <xdr:row>22</xdr:row>
          <xdr:rowOff>31750</xdr:rowOff>
        </xdr:from>
        <xdr:to>
          <xdr:col>13</xdr:col>
          <xdr:colOff>298450</xdr:colOff>
          <xdr:row>26</xdr:row>
          <xdr:rowOff>107950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2700-000006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10</xdr:col>
      <xdr:colOff>9525</xdr:colOff>
      <xdr:row>12</xdr:row>
      <xdr:rowOff>114300</xdr:rowOff>
    </xdr:from>
    <xdr:to>
      <xdr:col>11</xdr:col>
      <xdr:colOff>847725</xdr:colOff>
      <xdr:row>14</xdr:row>
      <xdr:rowOff>9525</xdr:rowOff>
    </xdr:to>
    <xdr:sp macro="[0]!FPS_NICX_Click" textlink="">
      <xdr:nvSpPr>
        <xdr:cNvPr id="9223" name="Text Box 7">
          <a:extLst>
            <a:ext uri="{FF2B5EF4-FFF2-40B4-BE49-F238E27FC236}">
              <a16:creationId xmlns:a16="http://schemas.microsoft.com/office/drawing/2014/main" id="{00000000-0008-0000-28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(FPS)</a:t>
          </a:r>
        </a:p>
      </xdr:txBody>
    </xdr:sp>
    <xdr:clientData/>
  </xdr:twoCellAnchor>
  <xdr:twoCellAnchor>
    <xdr:from>
      <xdr:col>2</xdr:col>
      <xdr:colOff>323850</xdr:colOff>
      <xdr:row>15</xdr:row>
      <xdr:rowOff>0</xdr:rowOff>
    </xdr:from>
    <xdr:to>
      <xdr:col>4</xdr:col>
      <xdr:colOff>981075</xdr:colOff>
      <xdr:row>16</xdr:row>
      <xdr:rowOff>133350</xdr:rowOff>
    </xdr:to>
    <xdr:sp macro="[0]!SPS_NICX_Click" textlink="">
      <xdr:nvSpPr>
        <xdr:cNvPr id="9221" name="Text Box 5">
          <a:extLst>
            <a:ext uri="{FF2B5EF4-FFF2-40B4-BE49-F238E27FC236}">
              <a16:creationId xmlns:a16="http://schemas.microsoft.com/office/drawing/2014/main" id="{00000000-0008-0000-28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298450</xdr:colOff>
          <xdr:row>15</xdr:row>
          <xdr:rowOff>107950</xdr:rowOff>
        </xdr:from>
        <xdr:to>
          <xdr:col>3</xdr:col>
          <xdr:colOff>266700</xdr:colOff>
          <xdr:row>17</xdr:row>
          <xdr:rowOff>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28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13</xdr:row>
          <xdr:rowOff>114300</xdr:rowOff>
        </xdr:from>
        <xdr:to>
          <xdr:col>10</xdr:col>
          <xdr:colOff>285750</xdr:colOff>
          <xdr:row>15</xdr:row>
          <xdr:rowOff>12700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28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12</xdr:row>
          <xdr:rowOff>114300</xdr:rowOff>
        </xdr:from>
        <xdr:to>
          <xdr:col>3</xdr:col>
          <xdr:colOff>260350</xdr:colOff>
          <xdr:row>14</xdr:row>
          <xdr:rowOff>12700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28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298450</xdr:colOff>
          <xdr:row>13</xdr:row>
          <xdr:rowOff>114300</xdr:rowOff>
        </xdr:from>
        <xdr:to>
          <xdr:col>7</xdr:col>
          <xdr:colOff>241300</xdr:colOff>
          <xdr:row>15</xdr:row>
          <xdr:rowOff>19050</xdr:rowOff>
        </xdr:to>
        <xdr:sp macro="" textlink="">
          <xdr:nvSpPr>
            <xdr:cNvPr id="2" name="Check Box 5" hidden="1">
              <a:extLst>
                <a:ext uri="{63B3BB69-23CF-44E3-9099-C40C66FF867C}">
                  <a14:compatExt spid="_x0000_s9221"/>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1365250</xdr:colOff>
          <xdr:row>1</xdr:row>
          <xdr:rowOff>114300</xdr:rowOff>
        </xdr:from>
        <xdr:to>
          <xdr:col>14</xdr:col>
          <xdr:colOff>831850</xdr:colOff>
          <xdr:row>5</xdr:row>
          <xdr:rowOff>95250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28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31750</xdr:colOff>
          <xdr:row>32</xdr:row>
          <xdr:rowOff>31750</xdr:rowOff>
        </xdr:from>
        <xdr:to>
          <xdr:col>3</xdr:col>
          <xdr:colOff>508000</xdr:colOff>
          <xdr:row>33</xdr:row>
          <xdr:rowOff>69850</xdr:rowOff>
        </xdr:to>
        <xdr:sp macro="" textlink="">
          <xdr:nvSpPr>
            <xdr:cNvPr id="84993" name="Drop Down 1" hidden="1">
              <a:extLst>
                <a:ext uri="{63B3BB69-23CF-44E3-9099-C40C66FF867C}">
                  <a14:compatExt spid="_x0000_s84993"/>
                </a:ext>
                <a:ext uri="{FF2B5EF4-FFF2-40B4-BE49-F238E27FC236}">
                  <a16:creationId xmlns:a16="http://schemas.microsoft.com/office/drawing/2014/main" id="{00000000-0008-0000-29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9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9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1050" b="0" i="1" u="none" strike="noStrike" kern="0" cap="none" spc="0" normalizeH="0" baseline="0" noProof="0">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9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9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1050" b="0" i="1" u="none" strike="noStrike" kern="0" cap="none" spc="0" normalizeH="0" baseline="0" noProof="0">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6</xdr:col>
      <xdr:colOff>257969</xdr:colOff>
      <xdr:row>16</xdr:row>
      <xdr:rowOff>0</xdr:rowOff>
    </xdr:from>
    <xdr:to>
      <xdr:col>7</xdr:col>
      <xdr:colOff>325834</xdr:colOff>
      <xdr:row>17</xdr:row>
      <xdr:rowOff>31750</xdr:rowOff>
    </xdr:to>
    <xdr:sp macro="[0]!MORESELECT_NICX_Click" textlink="">
      <xdr:nvSpPr>
        <xdr:cNvPr id="9" name="Text Box 45">
          <a:extLst>
            <a:ext uri="{FF2B5EF4-FFF2-40B4-BE49-F238E27FC236}">
              <a16:creationId xmlns:a16="http://schemas.microsoft.com/office/drawing/2014/main" id="{00000000-0008-0000-2900-000009000000}"/>
            </a:ext>
          </a:extLst>
        </xdr:cNvPr>
        <xdr:cNvSpPr txBox="1">
          <a:spLocks noChangeArrowheads="1"/>
        </xdr:cNvSpPr>
      </xdr:nvSpPr>
      <xdr:spPr bwMode="auto">
        <a:xfrm>
          <a:off x="4524375" y="25400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6</xdr:col>
          <xdr:colOff>1403350</xdr:colOff>
          <xdr:row>16</xdr:row>
          <xdr:rowOff>88900</xdr:rowOff>
        </xdr:from>
        <xdr:to>
          <xdr:col>7</xdr:col>
          <xdr:colOff>304800</xdr:colOff>
          <xdr:row>17</xdr:row>
          <xdr:rowOff>146050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2900-0000024C01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138906</xdr:colOff>
      <xdr:row>10</xdr:row>
      <xdr:rowOff>49610</xdr:rowOff>
    </xdr:from>
    <xdr:to>
      <xdr:col>7</xdr:col>
      <xdr:colOff>25796</xdr:colOff>
      <xdr:row>11</xdr:row>
      <xdr:rowOff>71835</xdr:rowOff>
    </xdr:to>
    <xdr:sp macro="[0]!MORESELECT_NICX_Click" textlink="">
      <xdr:nvSpPr>
        <xdr:cNvPr id="10" name="Text Box 45">
          <a:extLst>
            <a:ext uri="{FF2B5EF4-FFF2-40B4-BE49-F238E27FC236}">
              <a16:creationId xmlns:a16="http://schemas.microsoft.com/office/drawing/2014/main" id="{00000000-0008-0000-2900-00000A000000}"/>
            </a:ext>
          </a:extLst>
        </xdr:cNvPr>
        <xdr:cNvSpPr txBox="1">
          <a:spLocks noChangeArrowheads="1"/>
        </xdr:cNvSpPr>
      </xdr:nvSpPr>
      <xdr:spPr bwMode="auto">
        <a:xfrm>
          <a:off x="4405312" y="1637110"/>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6</xdr:col>
          <xdr:colOff>1384300</xdr:colOff>
          <xdr:row>10</xdr:row>
          <xdr:rowOff>127000</xdr:rowOff>
        </xdr:from>
        <xdr:to>
          <xdr:col>7</xdr:col>
          <xdr:colOff>298450</xdr:colOff>
          <xdr:row>12</xdr:row>
          <xdr:rowOff>31750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2900-0000034C01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298450</xdr:colOff>
          <xdr:row>25</xdr:row>
          <xdr:rowOff>114300</xdr:rowOff>
        </xdr:from>
        <xdr:to>
          <xdr:col>16</xdr:col>
          <xdr:colOff>260350</xdr:colOff>
          <xdr:row>27</xdr:row>
          <xdr:rowOff>31750</xdr:rowOff>
        </xdr:to>
        <xdr:sp macro="" textlink="">
          <xdr:nvSpPr>
            <xdr:cNvPr id="226308" name="Check Box 4" hidden="1">
              <a:extLst>
                <a:ext uri="{63B3BB69-23CF-44E3-9099-C40C66FF867C}">
                  <a14:compatExt spid="_x0000_s226308"/>
                </a:ext>
                <a:ext uri="{FF2B5EF4-FFF2-40B4-BE49-F238E27FC236}">
                  <a16:creationId xmlns:a16="http://schemas.microsoft.com/office/drawing/2014/main" id="{00000000-0008-0000-2B00-000004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203200</xdr:colOff>
          <xdr:row>7</xdr:row>
          <xdr:rowOff>107950</xdr:rowOff>
        </xdr:from>
        <xdr:to>
          <xdr:col>8</xdr:col>
          <xdr:colOff>431800</xdr:colOff>
          <xdr:row>10</xdr:row>
          <xdr:rowOff>69850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2C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Calculate Foreign Tax </a:t>
              </a:r>
            </a:p>
            <a:p>
              <a:pPr algn="ctr" rtl="0">
                <a:defRPr sz="1000"/>
              </a:pPr>
              <a:r>
                <a:rPr lang="en-GB" sz="1000" b="1" i="0" u="none" strike="noStrike" baseline="0">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6350</xdr:rowOff>
    </xdr:to>
    <xdr:sp macro="" textlink="">
      <xdr:nvSpPr>
        <xdr:cNvPr id="23562" name="Text Box 10">
          <a:extLst>
            <a:ext uri="{FF2B5EF4-FFF2-40B4-BE49-F238E27FC236}">
              <a16:creationId xmlns:a16="http://schemas.microsoft.com/office/drawing/2014/main" id="{00000000-0008-0000-2B00-00000A5C0000}"/>
            </a:ext>
          </a:extLst>
        </xdr:cNvPr>
        <xdr:cNvSpPr txBox="1">
          <a:spLocks noChangeArrowheads="1"/>
        </xdr:cNvSpPr>
      </xdr:nvSpPr>
      <xdr:spPr bwMode="auto">
        <a:xfrm>
          <a:off x="304800" y="247650"/>
          <a:ext cx="4019550" cy="60960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Foreign Tax Credit Relief on income</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8080"/>
              </a:solidFill>
              <a:latin typeface="Arial"/>
              <a:cs typeface="Arial"/>
            </a:rPr>
            <a:t>If Tax Credit Relief has already been calculated enter the result in box 2.</a:t>
          </a:r>
        </a:p>
        <a:p>
          <a:pPr algn="l" rtl="0">
            <a:defRPr sz="1000"/>
          </a:pPr>
          <a:r>
            <a:rPr lang="en-GB" sz="800" b="0" i="0" u="none" strike="noStrike" baseline="0">
              <a:solidFill>
                <a:srgbClr val="008080"/>
              </a:solidFill>
              <a:latin typeface="Arial"/>
              <a:cs typeface="Arial"/>
            </a:rPr>
            <a:t>Otherwise complete the remaining boxes, then click the 'Calculate Foreign Tax Credit Relief on income’ button to work out Tax Credit Relief on up to 10 items of income. </a:t>
          </a:r>
          <a:endParaRPr lang="en-GB" sz="800" b="0" i="0" u="none" strike="noStrike" baseline="0">
            <a:solidFill>
              <a:srgbClr val="000080"/>
            </a:solidFill>
            <a:latin typeface="Arial"/>
            <a:cs typeface="Arial"/>
          </a:endParaRPr>
        </a:p>
        <a:p>
          <a:pPr algn="l" rtl="0">
            <a:defRPr sz="1000"/>
          </a:pPr>
          <a:endParaRPr lang="en-GB" sz="800" b="0" i="0"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13</xdr:col>
          <xdr:colOff>88900</xdr:colOff>
          <xdr:row>40</xdr:row>
          <xdr:rowOff>146050</xdr:rowOff>
        </xdr:from>
        <xdr:to>
          <xdr:col>16</xdr:col>
          <xdr:colOff>488950</xdr:colOff>
          <xdr:row>42</xdr:row>
          <xdr:rowOff>107950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2C00-00000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11</xdr:col>
      <xdr:colOff>515117</xdr:colOff>
      <xdr:row>29</xdr:row>
      <xdr:rowOff>46718</xdr:rowOff>
    </xdr:from>
    <xdr:to>
      <xdr:col>16</xdr:col>
      <xdr:colOff>692919</xdr:colOff>
      <xdr:row>33</xdr:row>
      <xdr:rowOff>28467</xdr:rowOff>
    </xdr:to>
    <xdr:sp macro="" textlink="">
      <xdr:nvSpPr>
        <xdr:cNvPr id="23564" name="Text Box 12">
          <a:extLst>
            <a:ext uri="{FF2B5EF4-FFF2-40B4-BE49-F238E27FC236}">
              <a16:creationId xmlns:a16="http://schemas.microsoft.com/office/drawing/2014/main" id="{00000000-0008-0000-2B00-00000C5C0000}"/>
            </a:ext>
          </a:extLst>
        </xdr:cNvPr>
        <xdr:cNvSpPr txBox="1">
          <a:spLocks noChangeArrowheads="1"/>
        </xdr:cNvSpPr>
      </xdr:nvSpPr>
      <xdr:spPr bwMode="auto">
        <a:xfrm>
          <a:off x="5532751" y="4415858"/>
          <a:ext cx="3169219" cy="577062"/>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Gains on foreign life policies</a:t>
          </a:r>
          <a:endParaRPr lang="en-GB" sz="900" b="0" i="0" u="none" strike="noStrike" baseline="0">
            <a:solidFill>
              <a:srgbClr val="000000"/>
            </a:solidFill>
            <a:latin typeface="Arial"/>
            <a:cs typeface="Arial"/>
          </a:endParaRPr>
        </a:p>
        <a:p>
          <a:pPr algn="l" rtl="0">
            <a:defRPr sz="1000"/>
          </a:pPr>
          <a:r>
            <a:rPr lang="en-GB" sz="900" b="1" i="0" u="none" strike="noStrike" baseline="0">
              <a:solidFill>
                <a:srgbClr val="008080"/>
              </a:solidFill>
              <a:latin typeface="Arial"/>
              <a:cs typeface="Arial"/>
            </a:rPr>
            <a:t>S</a:t>
          </a:r>
          <a:r>
            <a:rPr lang="en-GB" sz="800" b="1" i="0" u="none" strike="noStrike" baseline="0">
              <a:solidFill>
                <a:srgbClr val="008080"/>
              </a:solidFill>
              <a:latin typeface="Arial"/>
              <a:cs typeface="Arial"/>
            </a:rPr>
            <a:t>ingle gain</a:t>
          </a:r>
          <a:r>
            <a:rPr lang="en-GB" sz="800" b="0" i="0" u="none" strike="noStrike" baseline="0">
              <a:solidFill>
                <a:srgbClr val="008080"/>
              </a:solidFill>
              <a:latin typeface="Arial"/>
              <a:cs typeface="Arial"/>
            </a:rPr>
            <a:t>: enter in boxes 43, 44 and 45. </a:t>
          </a:r>
        </a:p>
        <a:p>
          <a:pPr algn="l" rtl="0">
            <a:defRPr sz="1000"/>
          </a:pPr>
          <a:r>
            <a:rPr lang="en-GB" sz="800" b="1" i="0" u="none" strike="noStrike" baseline="0">
              <a:solidFill>
                <a:srgbClr val="008080"/>
              </a:solidFill>
              <a:latin typeface="Arial"/>
              <a:cs typeface="Arial"/>
            </a:rPr>
            <a:t>Multiple gains</a:t>
          </a:r>
          <a:r>
            <a:rPr lang="en-GB" sz="800" b="0" i="0" u="none" strike="noStrike" baseline="0">
              <a:solidFill>
                <a:srgbClr val="008080"/>
              </a:solidFill>
              <a:latin typeface="Arial"/>
              <a:cs typeface="Arial"/>
            </a:rPr>
            <a:t>: leave boxes 43 to 45 blank and click the 'multiple foreign life policy gains' button.</a:t>
          </a:r>
        </a:p>
      </xdr:txBody>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374650</xdr:colOff>
          <xdr:row>5</xdr:row>
          <xdr:rowOff>31750</xdr:rowOff>
        </xdr:from>
        <xdr:to>
          <xdr:col>12</xdr:col>
          <xdr:colOff>793750</xdr:colOff>
          <xdr:row>7</xdr:row>
          <xdr:rowOff>12700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2E00-000006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9</xdr:row>
          <xdr:rowOff>0</xdr:rowOff>
        </xdr:from>
        <xdr:to>
          <xdr:col>3</xdr:col>
          <xdr:colOff>38100</xdr:colOff>
          <xdr:row>10</xdr:row>
          <xdr:rowOff>38100</xdr:rowOff>
        </xdr:to>
        <xdr:sp macro="" textlink="">
          <xdr:nvSpPr>
            <xdr:cNvPr id="24584" name="Drop Down 8" hidden="1">
              <a:extLst>
                <a:ext uri="{63B3BB69-23CF-44E3-9099-C40C66FF867C}">
                  <a14:compatExt spid="_x0000_s24584"/>
                </a:ext>
                <a:ext uri="{FF2B5EF4-FFF2-40B4-BE49-F238E27FC236}">
                  <a16:creationId xmlns:a16="http://schemas.microsoft.com/office/drawing/2014/main" id="{00000000-0008-0000-2E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13</xdr:row>
          <xdr:rowOff>0</xdr:rowOff>
        </xdr:from>
        <xdr:to>
          <xdr:col>3</xdr:col>
          <xdr:colOff>31750</xdr:colOff>
          <xdr:row>14</xdr:row>
          <xdr:rowOff>38100</xdr:rowOff>
        </xdr:to>
        <xdr:sp macro="" textlink="">
          <xdr:nvSpPr>
            <xdr:cNvPr id="24585" name="Drop Down 9" hidden="1">
              <a:extLst>
                <a:ext uri="{63B3BB69-23CF-44E3-9099-C40C66FF867C}">
                  <a14:compatExt spid="_x0000_s24585"/>
                </a:ext>
                <a:ext uri="{FF2B5EF4-FFF2-40B4-BE49-F238E27FC236}">
                  <a16:creationId xmlns:a16="http://schemas.microsoft.com/office/drawing/2014/main" id="{00000000-0008-0000-2E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17</xdr:row>
          <xdr:rowOff>0</xdr:rowOff>
        </xdr:from>
        <xdr:to>
          <xdr:col>3</xdr:col>
          <xdr:colOff>50800</xdr:colOff>
          <xdr:row>18</xdr:row>
          <xdr:rowOff>38100</xdr:rowOff>
        </xdr:to>
        <xdr:sp macro="" textlink="">
          <xdr:nvSpPr>
            <xdr:cNvPr id="24586" name="Drop Down 10" hidden="1">
              <a:extLst>
                <a:ext uri="{63B3BB69-23CF-44E3-9099-C40C66FF867C}">
                  <a14:compatExt spid="_x0000_s24586"/>
                </a:ext>
                <a:ext uri="{FF2B5EF4-FFF2-40B4-BE49-F238E27FC236}">
                  <a16:creationId xmlns:a16="http://schemas.microsoft.com/office/drawing/2014/main" id="{00000000-0008-0000-2E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21</xdr:row>
          <xdr:rowOff>0</xdr:rowOff>
        </xdr:from>
        <xdr:to>
          <xdr:col>3</xdr:col>
          <xdr:colOff>50800</xdr:colOff>
          <xdr:row>22</xdr:row>
          <xdr:rowOff>38100</xdr:rowOff>
        </xdr:to>
        <xdr:sp macro="" textlink="">
          <xdr:nvSpPr>
            <xdr:cNvPr id="24587" name="Drop Down 11" hidden="1">
              <a:extLst>
                <a:ext uri="{63B3BB69-23CF-44E3-9099-C40C66FF867C}">
                  <a14:compatExt spid="_x0000_s24587"/>
                </a:ext>
                <a:ext uri="{FF2B5EF4-FFF2-40B4-BE49-F238E27FC236}">
                  <a16:creationId xmlns:a16="http://schemas.microsoft.com/office/drawing/2014/main" id="{00000000-0008-0000-2E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146050</xdr:rowOff>
        </xdr:from>
        <xdr:to>
          <xdr:col>10</xdr:col>
          <xdr:colOff>641350</xdr:colOff>
          <xdr:row>10</xdr:row>
          <xdr:rowOff>12700</xdr:rowOff>
        </xdr:to>
        <xdr:sp macro="" textlink="">
          <xdr:nvSpPr>
            <xdr:cNvPr id="24589" name="Drop Down 13" hidden="1">
              <a:extLst>
                <a:ext uri="{63B3BB69-23CF-44E3-9099-C40C66FF867C}">
                  <a14:compatExt spid="_x0000_s24589"/>
                </a:ext>
                <a:ext uri="{FF2B5EF4-FFF2-40B4-BE49-F238E27FC236}">
                  <a16:creationId xmlns:a16="http://schemas.microsoft.com/office/drawing/2014/main" id="{00000000-0008-0000-2E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146050</xdr:rowOff>
        </xdr:from>
        <xdr:to>
          <xdr:col>10</xdr:col>
          <xdr:colOff>641350</xdr:colOff>
          <xdr:row>14</xdr:row>
          <xdr:rowOff>12700</xdr:rowOff>
        </xdr:to>
        <xdr:sp macro="" textlink="">
          <xdr:nvSpPr>
            <xdr:cNvPr id="24590" name="Drop Down 14" hidden="1">
              <a:extLst>
                <a:ext uri="{63B3BB69-23CF-44E3-9099-C40C66FF867C}">
                  <a14:compatExt spid="_x0000_s24590"/>
                </a:ext>
                <a:ext uri="{FF2B5EF4-FFF2-40B4-BE49-F238E27FC236}">
                  <a16:creationId xmlns:a16="http://schemas.microsoft.com/office/drawing/2014/main" id="{00000000-0008-0000-2E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16</xdr:row>
          <xdr:rowOff>127000</xdr:rowOff>
        </xdr:from>
        <xdr:to>
          <xdr:col>10</xdr:col>
          <xdr:colOff>641350</xdr:colOff>
          <xdr:row>18</xdr:row>
          <xdr:rowOff>12700</xdr:rowOff>
        </xdr:to>
        <xdr:sp macro="" textlink="">
          <xdr:nvSpPr>
            <xdr:cNvPr id="24591" name="Drop Down 15" hidden="1">
              <a:extLst>
                <a:ext uri="{63B3BB69-23CF-44E3-9099-C40C66FF867C}">
                  <a14:compatExt spid="_x0000_s24591"/>
                </a:ext>
                <a:ext uri="{FF2B5EF4-FFF2-40B4-BE49-F238E27FC236}">
                  <a16:creationId xmlns:a16="http://schemas.microsoft.com/office/drawing/2014/main" id="{00000000-0008-0000-2E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146050</xdr:rowOff>
        </xdr:from>
        <xdr:to>
          <xdr:col>10</xdr:col>
          <xdr:colOff>641350</xdr:colOff>
          <xdr:row>22</xdr:row>
          <xdr:rowOff>31750</xdr:rowOff>
        </xdr:to>
        <xdr:sp macro="" textlink="">
          <xdr:nvSpPr>
            <xdr:cNvPr id="24592" name="Drop Down 16" hidden="1">
              <a:extLst>
                <a:ext uri="{63B3BB69-23CF-44E3-9099-C40C66FF867C}">
                  <a14:compatExt spid="_x0000_s24592"/>
                </a:ext>
                <a:ext uri="{FF2B5EF4-FFF2-40B4-BE49-F238E27FC236}">
                  <a16:creationId xmlns:a16="http://schemas.microsoft.com/office/drawing/2014/main" id="{00000000-0008-0000-2E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D00-000011600000}"/>
            </a:ext>
          </a:extLst>
        </xdr:cNvPr>
        <xdr:cNvSpPr txBox="1">
          <a:spLocks noChangeArrowheads="1"/>
        </xdr:cNvSpPr>
      </xdr:nvSpPr>
      <xdr:spPr bwMode="auto">
        <a:xfrm>
          <a:off x="10111317" y="158750"/>
          <a:ext cx="1533525" cy="43497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8080"/>
              </a:solidFill>
              <a:latin typeface="Arial"/>
              <a:cs typeface="Arial"/>
            </a:rPr>
            <a:t>Select the income type, enter the income from column B of the foreign pages,  and the tax from column C.</a:t>
          </a:r>
        </a:p>
        <a:p>
          <a:pPr algn="l" rtl="0">
            <a:defRPr sz="1000"/>
          </a:pPr>
          <a:r>
            <a:rPr lang="en-GB" sz="900" b="0" i="0" u="none" strike="noStrike" baseline="0">
              <a:solidFill>
                <a:srgbClr val="008080"/>
              </a:solidFill>
              <a:latin typeface="Arial"/>
              <a:cs typeface="Arial"/>
            </a:rPr>
            <a:t>	</a:t>
          </a:r>
        </a:p>
        <a:p>
          <a:pPr algn="l" rtl="0">
            <a:defRPr sz="1000"/>
          </a:pPr>
          <a:r>
            <a:rPr lang="en-GB" sz="900" b="0" i="0" u="none" strike="noStrike" baseline="0">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Press the 'Calculate FTCR and update box 2' button to calculate the FTCR due. </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31750</xdr:colOff>
          <xdr:row>25</xdr:row>
          <xdr:rowOff>0</xdr:rowOff>
        </xdr:from>
        <xdr:to>
          <xdr:col>3</xdr:col>
          <xdr:colOff>50800</xdr:colOff>
          <xdr:row>26</xdr:row>
          <xdr:rowOff>38100</xdr:rowOff>
        </xdr:to>
        <xdr:sp macro="" textlink="">
          <xdr:nvSpPr>
            <xdr:cNvPr id="24594" name="Drop Down 18" hidden="1">
              <a:extLst>
                <a:ext uri="{63B3BB69-23CF-44E3-9099-C40C66FF867C}">
                  <a14:compatExt spid="_x0000_s24594"/>
                </a:ext>
                <a:ext uri="{FF2B5EF4-FFF2-40B4-BE49-F238E27FC236}">
                  <a16:creationId xmlns:a16="http://schemas.microsoft.com/office/drawing/2014/main" id="{00000000-0008-0000-2E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146050</xdr:rowOff>
        </xdr:from>
        <xdr:to>
          <xdr:col>10</xdr:col>
          <xdr:colOff>641350</xdr:colOff>
          <xdr:row>26</xdr:row>
          <xdr:rowOff>12700</xdr:rowOff>
        </xdr:to>
        <xdr:sp macro="" textlink="">
          <xdr:nvSpPr>
            <xdr:cNvPr id="24595" name="Drop Down 19" hidden="1">
              <a:extLst>
                <a:ext uri="{63B3BB69-23CF-44E3-9099-C40C66FF867C}">
                  <a14:compatExt spid="_x0000_s24595"/>
                </a:ext>
                <a:ext uri="{FF2B5EF4-FFF2-40B4-BE49-F238E27FC236}">
                  <a16:creationId xmlns:a16="http://schemas.microsoft.com/office/drawing/2014/main" id="{00000000-0008-0000-2E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29</xdr:row>
          <xdr:rowOff>0</xdr:rowOff>
        </xdr:from>
        <xdr:to>
          <xdr:col>3</xdr:col>
          <xdr:colOff>50800</xdr:colOff>
          <xdr:row>30</xdr:row>
          <xdr:rowOff>38100</xdr:rowOff>
        </xdr:to>
        <xdr:sp macro="" textlink="">
          <xdr:nvSpPr>
            <xdr:cNvPr id="24596" name="Drop Down 20" hidden="1">
              <a:extLst>
                <a:ext uri="{63B3BB69-23CF-44E3-9099-C40C66FF867C}">
                  <a14:compatExt spid="_x0000_s24596"/>
                </a:ext>
                <a:ext uri="{FF2B5EF4-FFF2-40B4-BE49-F238E27FC236}">
                  <a16:creationId xmlns:a16="http://schemas.microsoft.com/office/drawing/2014/main" id="{00000000-0008-0000-2E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146050</xdr:rowOff>
        </xdr:from>
        <xdr:to>
          <xdr:col>10</xdr:col>
          <xdr:colOff>641350</xdr:colOff>
          <xdr:row>30</xdr:row>
          <xdr:rowOff>31750</xdr:rowOff>
        </xdr:to>
        <xdr:sp macro="" textlink="">
          <xdr:nvSpPr>
            <xdr:cNvPr id="24597" name="Drop Down 21" hidden="1">
              <a:extLst>
                <a:ext uri="{63B3BB69-23CF-44E3-9099-C40C66FF867C}">
                  <a14:compatExt spid="_x0000_s24597"/>
                </a:ext>
                <a:ext uri="{FF2B5EF4-FFF2-40B4-BE49-F238E27FC236}">
                  <a16:creationId xmlns:a16="http://schemas.microsoft.com/office/drawing/2014/main" id="{00000000-0008-0000-2E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33</xdr:row>
          <xdr:rowOff>0</xdr:rowOff>
        </xdr:from>
        <xdr:to>
          <xdr:col>3</xdr:col>
          <xdr:colOff>50800</xdr:colOff>
          <xdr:row>34</xdr:row>
          <xdr:rowOff>38100</xdr:rowOff>
        </xdr:to>
        <xdr:sp macro="" textlink="">
          <xdr:nvSpPr>
            <xdr:cNvPr id="24598" name="Drop Down 22" hidden="1">
              <a:extLst>
                <a:ext uri="{63B3BB69-23CF-44E3-9099-C40C66FF867C}">
                  <a14:compatExt spid="_x0000_s24598"/>
                </a:ext>
                <a:ext uri="{FF2B5EF4-FFF2-40B4-BE49-F238E27FC236}">
                  <a16:creationId xmlns:a16="http://schemas.microsoft.com/office/drawing/2014/main" id="{00000000-0008-0000-2E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146050</xdr:rowOff>
        </xdr:from>
        <xdr:to>
          <xdr:col>10</xdr:col>
          <xdr:colOff>641350</xdr:colOff>
          <xdr:row>34</xdr:row>
          <xdr:rowOff>31750</xdr:rowOff>
        </xdr:to>
        <xdr:sp macro="" textlink="">
          <xdr:nvSpPr>
            <xdr:cNvPr id="24599" name="Drop Down 23" hidden="1">
              <a:extLst>
                <a:ext uri="{63B3BB69-23CF-44E3-9099-C40C66FF867C}">
                  <a14:compatExt spid="_x0000_s24599"/>
                </a:ext>
                <a:ext uri="{FF2B5EF4-FFF2-40B4-BE49-F238E27FC236}">
                  <a16:creationId xmlns:a16="http://schemas.microsoft.com/office/drawing/2014/main" id="{00000000-0008-0000-2E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37</xdr:row>
          <xdr:rowOff>0</xdr:rowOff>
        </xdr:from>
        <xdr:to>
          <xdr:col>3</xdr:col>
          <xdr:colOff>50800</xdr:colOff>
          <xdr:row>38</xdr:row>
          <xdr:rowOff>38100</xdr:rowOff>
        </xdr:to>
        <xdr:sp macro="" textlink="">
          <xdr:nvSpPr>
            <xdr:cNvPr id="24600" name="Drop Down 24" hidden="1">
              <a:extLst>
                <a:ext uri="{63B3BB69-23CF-44E3-9099-C40C66FF867C}">
                  <a14:compatExt spid="_x0000_s24600"/>
                </a:ext>
                <a:ext uri="{FF2B5EF4-FFF2-40B4-BE49-F238E27FC236}">
                  <a16:creationId xmlns:a16="http://schemas.microsoft.com/office/drawing/2014/main" id="{00000000-0008-0000-2E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146050</xdr:rowOff>
        </xdr:from>
        <xdr:to>
          <xdr:col>10</xdr:col>
          <xdr:colOff>641350</xdr:colOff>
          <xdr:row>38</xdr:row>
          <xdr:rowOff>31750</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2E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41</xdr:row>
          <xdr:rowOff>0</xdr:rowOff>
        </xdr:from>
        <xdr:to>
          <xdr:col>3</xdr:col>
          <xdr:colOff>50800</xdr:colOff>
          <xdr:row>42</xdr:row>
          <xdr:rowOff>38100</xdr:rowOff>
        </xdr:to>
        <xdr:sp macro="" textlink="">
          <xdr:nvSpPr>
            <xdr:cNvPr id="24618" name="Drop Down 42" hidden="1">
              <a:extLst>
                <a:ext uri="{63B3BB69-23CF-44E3-9099-C40C66FF867C}">
                  <a14:compatExt spid="_x0000_s24618"/>
                </a:ext>
                <a:ext uri="{FF2B5EF4-FFF2-40B4-BE49-F238E27FC236}">
                  <a16:creationId xmlns:a16="http://schemas.microsoft.com/office/drawing/2014/main" id="{00000000-0008-0000-2E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146050</xdr:rowOff>
        </xdr:from>
        <xdr:to>
          <xdr:col>10</xdr:col>
          <xdr:colOff>641350</xdr:colOff>
          <xdr:row>42</xdr:row>
          <xdr:rowOff>12700</xdr:rowOff>
        </xdr:to>
        <xdr:sp macro="" textlink="">
          <xdr:nvSpPr>
            <xdr:cNvPr id="24619" name="Drop Down 43" hidden="1">
              <a:extLst>
                <a:ext uri="{63B3BB69-23CF-44E3-9099-C40C66FF867C}">
                  <a14:compatExt spid="_x0000_s24619"/>
                </a:ext>
                <a:ext uri="{FF2B5EF4-FFF2-40B4-BE49-F238E27FC236}">
                  <a16:creationId xmlns:a16="http://schemas.microsoft.com/office/drawing/2014/main" id="{00000000-0008-0000-2E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45</xdr:row>
          <xdr:rowOff>0</xdr:rowOff>
        </xdr:from>
        <xdr:to>
          <xdr:col>3</xdr:col>
          <xdr:colOff>50800</xdr:colOff>
          <xdr:row>46</xdr:row>
          <xdr:rowOff>38100</xdr:rowOff>
        </xdr:to>
        <xdr:sp macro="" textlink="">
          <xdr:nvSpPr>
            <xdr:cNvPr id="24620" name="Drop Down 44" hidden="1">
              <a:extLst>
                <a:ext uri="{63B3BB69-23CF-44E3-9099-C40C66FF867C}">
                  <a14:compatExt spid="_x0000_s24620"/>
                </a:ext>
                <a:ext uri="{FF2B5EF4-FFF2-40B4-BE49-F238E27FC236}">
                  <a16:creationId xmlns:a16="http://schemas.microsoft.com/office/drawing/2014/main" id="{00000000-0008-0000-2E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146050</xdr:rowOff>
        </xdr:from>
        <xdr:to>
          <xdr:col>10</xdr:col>
          <xdr:colOff>641350</xdr:colOff>
          <xdr:row>46</xdr:row>
          <xdr:rowOff>31750</xdr:rowOff>
        </xdr:to>
        <xdr:sp macro="" textlink="">
          <xdr:nvSpPr>
            <xdr:cNvPr id="24621" name="Drop Down 45" hidden="1">
              <a:extLst>
                <a:ext uri="{63B3BB69-23CF-44E3-9099-C40C66FF867C}">
                  <a14:compatExt spid="_x0000_s24621"/>
                </a:ext>
                <a:ext uri="{FF2B5EF4-FFF2-40B4-BE49-F238E27FC236}">
                  <a16:creationId xmlns:a16="http://schemas.microsoft.com/office/drawing/2014/main" id="{00000000-0008-0000-2E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184150</xdr:colOff>
          <xdr:row>20</xdr:row>
          <xdr:rowOff>12700</xdr:rowOff>
        </xdr:from>
        <xdr:to>
          <xdr:col>7</xdr:col>
          <xdr:colOff>0</xdr:colOff>
          <xdr:row>22</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2F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298450</xdr:colOff>
          <xdr:row>4</xdr:row>
          <xdr:rowOff>107950</xdr:rowOff>
        </xdr:from>
        <xdr:to>
          <xdr:col>3</xdr:col>
          <xdr:colOff>241300</xdr:colOff>
          <xdr:row>6</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3100-000003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8</xdr:row>
          <xdr:rowOff>114300</xdr:rowOff>
        </xdr:from>
        <xdr:to>
          <xdr:col>3</xdr:col>
          <xdr:colOff>241300</xdr:colOff>
          <xdr:row>10</xdr:row>
          <xdr:rowOff>12700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3100-000005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11</xdr:row>
          <xdr:rowOff>114300</xdr:rowOff>
        </xdr:from>
        <xdr:to>
          <xdr:col>3</xdr:col>
          <xdr:colOff>241300</xdr:colOff>
          <xdr:row>13</xdr:row>
          <xdr:rowOff>12700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3100-000007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4</xdr:row>
          <xdr:rowOff>114300</xdr:rowOff>
        </xdr:from>
        <xdr:to>
          <xdr:col>8</xdr:col>
          <xdr:colOff>266700</xdr:colOff>
          <xdr:row>6</xdr:row>
          <xdr:rowOff>12700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3100-000008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7</xdr:row>
          <xdr:rowOff>107950</xdr:rowOff>
        </xdr:from>
        <xdr:to>
          <xdr:col>8</xdr:col>
          <xdr:colOff>266700</xdr:colOff>
          <xdr:row>9</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3100-00000A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11</xdr:row>
          <xdr:rowOff>114300</xdr:rowOff>
        </xdr:from>
        <xdr:to>
          <xdr:col>8</xdr:col>
          <xdr:colOff>279400</xdr:colOff>
          <xdr:row>13</xdr:row>
          <xdr:rowOff>12700</xdr:rowOff>
        </xdr:to>
        <xdr:sp macro="" textlink="">
          <xdr:nvSpPr>
            <xdr:cNvPr id="3196" name="Check Box 124" hidden="1">
              <a:extLst>
                <a:ext uri="{63B3BB69-23CF-44E3-9099-C40C66FF867C}">
                  <a14:compatExt spid="_x0000_s3196"/>
                </a:ext>
                <a:ext uri="{FF2B5EF4-FFF2-40B4-BE49-F238E27FC236}">
                  <a16:creationId xmlns:a16="http://schemas.microsoft.com/office/drawing/2014/main" id="{00000000-0008-0000-3100-00007C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4</xdr:col>
      <xdr:colOff>725487</xdr:colOff>
      <xdr:row>0</xdr:row>
      <xdr:rowOff>400050</xdr:rowOff>
    </xdr:to>
    <xdr:pic>
      <xdr:nvPicPr>
        <xdr:cNvPr id="2" name="Picture 4">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gov.uk/government/publications/limit-on-income-tax-reliefs-hs204-self-assessment-helpsheet" TargetMode="External"/><Relationship Id="rId1" Type="http://schemas.openxmlformats.org/officeDocument/2006/relationships/hyperlink" Target="http://bg.inrev.gov.uk/tax/actionguides/40100/tax40072_main.htm"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3.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4.xml"/><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 Type="http://schemas.openxmlformats.org/officeDocument/2006/relationships/vmlDrawing" Target="../drawings/vmlDrawing4.vml"/><Relationship Id="rId21" Type="http://schemas.openxmlformats.org/officeDocument/2006/relationships/ctrlProp" Target="../ctrlProps/ctrlProp46.xml"/><Relationship Id="rId7" Type="http://schemas.openxmlformats.org/officeDocument/2006/relationships/ctrlProp" Target="../ctrlProps/ctrlProp32.x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2" Type="http://schemas.openxmlformats.org/officeDocument/2006/relationships/drawing" Target="../drawings/drawing5.xml"/><Relationship Id="rId16" Type="http://schemas.openxmlformats.org/officeDocument/2006/relationships/ctrlProp" Target="../ctrlProps/ctrlProp41.xml"/><Relationship Id="rId20" Type="http://schemas.openxmlformats.org/officeDocument/2006/relationships/ctrlProp" Target="../ctrlProps/ctrlProp45.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10" Type="http://schemas.openxmlformats.org/officeDocument/2006/relationships/ctrlProp" Target="../ctrlProps/ctrlProp35.xml"/><Relationship Id="rId19" Type="http://schemas.openxmlformats.org/officeDocument/2006/relationships/ctrlProp" Target="../ctrlProps/ctrlProp44.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2.bin"/><Relationship Id="rId1" Type="http://schemas.openxmlformats.org/officeDocument/2006/relationships/hyperlink" Target="mailto:D@munny" TargetMode="External"/><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18" Type="http://schemas.openxmlformats.org/officeDocument/2006/relationships/ctrlProp" Target="../ctrlProps/ctrlProp66.xml"/><Relationship Id="rId3" Type="http://schemas.openxmlformats.org/officeDocument/2006/relationships/vmlDrawing" Target="../drawings/vmlDrawing11.vml"/><Relationship Id="rId21" Type="http://schemas.openxmlformats.org/officeDocument/2006/relationships/ctrlProp" Target="../ctrlProps/ctrlProp69.x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2" Type="http://schemas.openxmlformats.org/officeDocument/2006/relationships/drawing" Target="../drawings/drawing6.xml"/><Relationship Id="rId16" Type="http://schemas.openxmlformats.org/officeDocument/2006/relationships/ctrlProp" Target="../ctrlProps/ctrlProp64.xml"/><Relationship Id="rId20" Type="http://schemas.openxmlformats.org/officeDocument/2006/relationships/ctrlProp" Target="../ctrlProps/ctrlProp68.xml"/><Relationship Id="rId1" Type="http://schemas.openxmlformats.org/officeDocument/2006/relationships/printerSettings" Target="../printerSettings/printerSettings20.bin"/><Relationship Id="rId6" Type="http://schemas.openxmlformats.org/officeDocument/2006/relationships/ctrlProp" Target="../ctrlProps/ctrlProp54.xml"/><Relationship Id="rId11" Type="http://schemas.openxmlformats.org/officeDocument/2006/relationships/ctrlProp" Target="../ctrlProps/ctrlProp59.xml"/><Relationship Id="rId24" Type="http://schemas.openxmlformats.org/officeDocument/2006/relationships/ctrlProp" Target="../ctrlProps/ctrlProp72.xml"/><Relationship Id="rId5" Type="http://schemas.openxmlformats.org/officeDocument/2006/relationships/ctrlProp" Target="../ctrlProps/ctrlProp53.xml"/><Relationship Id="rId15" Type="http://schemas.openxmlformats.org/officeDocument/2006/relationships/ctrlProp" Target="../ctrlProps/ctrlProp63.xml"/><Relationship Id="rId23" Type="http://schemas.openxmlformats.org/officeDocument/2006/relationships/ctrlProp" Target="../ctrlProps/ctrlProp71.xml"/><Relationship Id="rId10" Type="http://schemas.openxmlformats.org/officeDocument/2006/relationships/ctrlProp" Target="../ctrlProps/ctrlProp58.xml"/><Relationship Id="rId19" Type="http://schemas.openxmlformats.org/officeDocument/2006/relationships/ctrlProp" Target="../ctrlProps/ctrlProp67.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trlProp" Target="../ctrlProps/ctrlProp62.xml"/><Relationship Id="rId22"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27.bin"/><Relationship Id="rId6" Type="http://schemas.openxmlformats.org/officeDocument/2006/relationships/comments" Target="../comments7.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13.vml"/><Relationship Id="rId7" Type="http://schemas.openxmlformats.org/officeDocument/2006/relationships/ctrlProp" Target="../ctrlProps/ctrlProp79.xml"/><Relationship Id="rId2" Type="http://schemas.openxmlformats.org/officeDocument/2006/relationships/drawing" Target="../drawings/drawing9.xml"/><Relationship Id="rId1" Type="http://schemas.openxmlformats.org/officeDocument/2006/relationships/printerSettings" Target="../printerSettings/printerSettings30.bin"/><Relationship Id="rId6" Type="http://schemas.openxmlformats.org/officeDocument/2006/relationships/ctrlProp" Target="../ctrlProps/ctrlProp78.xml"/><Relationship Id="rId11" Type="http://schemas.openxmlformats.org/officeDocument/2006/relationships/comments" Target="../comments8.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31.bin"/><Relationship Id="rId4" Type="http://schemas.openxmlformats.org/officeDocument/2006/relationships/ctrlProp" Target="../ctrlProps/ctrlProp8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32.bin"/><Relationship Id="rId4" Type="http://schemas.openxmlformats.org/officeDocument/2006/relationships/ctrlProp" Target="../ctrlProps/ctrlProp8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88.xml"/><Relationship Id="rId2" Type="http://schemas.openxmlformats.org/officeDocument/2006/relationships/drawing" Target="../drawings/drawing12.xml"/><Relationship Id="rId1" Type="http://schemas.openxmlformats.org/officeDocument/2006/relationships/printerSettings" Target="../printerSettings/printerSettings35.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37.bin"/><Relationship Id="rId4" Type="http://schemas.openxmlformats.org/officeDocument/2006/relationships/ctrlProp" Target="../ctrlProps/ctrlProp89.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38.bin"/><Relationship Id="rId4" Type="http://schemas.openxmlformats.org/officeDocument/2006/relationships/ctrlProp" Target="../ctrlProps/ctrlProp90.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9.vml"/><Relationship Id="rId7" Type="http://schemas.openxmlformats.org/officeDocument/2006/relationships/ctrlProp" Target="../ctrlProps/ctrlProp94.xml"/><Relationship Id="rId2" Type="http://schemas.openxmlformats.org/officeDocument/2006/relationships/drawing" Target="../drawings/drawing15.xml"/><Relationship Id="rId1" Type="http://schemas.openxmlformats.org/officeDocument/2006/relationships/printerSettings" Target="../printerSettings/printerSettings39.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vmlDrawing" Target="../drawings/vmlDrawing21.vml"/><Relationship Id="rId7" Type="http://schemas.openxmlformats.org/officeDocument/2006/relationships/ctrlProp" Target="../ctrlProps/ctrlProp102.x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44.bin"/><Relationship Id="rId4" Type="http://schemas.openxmlformats.org/officeDocument/2006/relationships/ctrlProp" Target="../ctrlProps/ctrlProp107.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printerSettings" Target="../printerSettings/printerSettings47.bin"/><Relationship Id="rId21" Type="http://schemas.openxmlformats.org/officeDocument/2006/relationships/ctrlProp" Target="../ctrlProps/ctrlProp125.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2" Type="http://schemas.openxmlformats.org/officeDocument/2006/relationships/hyperlink" Target="https://www.gov.uk/government/collections/tax-treaties" TargetMode="External"/><Relationship Id="rId16" Type="http://schemas.openxmlformats.org/officeDocument/2006/relationships/ctrlProp" Target="../ctrlProps/ctrlProp120.xml"/><Relationship Id="rId20" Type="http://schemas.openxmlformats.org/officeDocument/2006/relationships/ctrlProp" Target="../ctrlProps/ctrlProp124.xml"/><Relationship Id="rId1" Type="http://schemas.openxmlformats.org/officeDocument/2006/relationships/hyperlink" Target="https://www.gov.uk/government/publications/double-taxation-treaties-territory-residents-with-uk-income" TargetMode="External"/><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5" Type="http://schemas.openxmlformats.org/officeDocument/2006/relationships/vmlDrawing" Target="../drawings/vmlDrawing25.vml"/><Relationship Id="rId15" Type="http://schemas.openxmlformats.org/officeDocument/2006/relationships/ctrlProp" Target="../ctrlProps/ctrlProp119.xml"/><Relationship Id="rId23" Type="http://schemas.openxmlformats.org/officeDocument/2006/relationships/ctrlProp" Target="../ctrlProps/ctrlProp127.xml"/><Relationship Id="rId10" Type="http://schemas.openxmlformats.org/officeDocument/2006/relationships/ctrlProp" Target="../ctrlProps/ctrlProp114.xml"/><Relationship Id="rId19" Type="http://schemas.openxmlformats.org/officeDocument/2006/relationships/ctrlProp" Target="../ctrlProps/ctrlProp123.xml"/><Relationship Id="rId4" Type="http://schemas.openxmlformats.org/officeDocument/2006/relationships/drawing" Target="../drawings/drawing21.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 Id="rId27" Type="http://schemas.openxmlformats.org/officeDocument/2006/relationships/comments" Target="../comments9.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48.bin"/><Relationship Id="rId4" Type="http://schemas.openxmlformats.org/officeDocument/2006/relationships/ctrlProp" Target="../ctrlProps/ctrlProp131.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27.vml"/><Relationship Id="rId7" Type="http://schemas.openxmlformats.org/officeDocument/2006/relationships/ctrlProp" Target="../ctrlProps/ctrlProp135.xml"/><Relationship Id="rId2" Type="http://schemas.openxmlformats.org/officeDocument/2006/relationships/drawing" Target="../drawings/drawing23.xml"/><Relationship Id="rId1" Type="http://schemas.openxmlformats.org/officeDocument/2006/relationships/printerSettings" Target="../printerSettings/printerSettings50.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 Id="rId9" Type="http://schemas.openxmlformats.org/officeDocument/2006/relationships/ctrlProp" Target="../ctrlProps/ctrlProp137.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O274"/>
  <sheetViews>
    <sheetView zoomScale="112" zoomScaleNormal="112" workbookViewId="0">
      <pane xSplit="1" ySplit="1" topLeftCell="C198" activePane="bottomRight" state="frozen"/>
      <selection pane="topRight" activeCell="B1" sqref="B1"/>
      <selection pane="bottomLeft" activeCell="A2" sqref="A2"/>
      <selection pane="bottomRight" activeCell="A235" sqref="A235:XFD235"/>
    </sheetView>
  </sheetViews>
  <sheetFormatPr defaultColWidth="5.54296875" defaultRowHeight="11.5" x14ac:dyDescent="0.25"/>
  <cols>
    <col min="1" max="1" width="4.54296875" style="8" customWidth="1"/>
    <col min="2" max="2" width="4.81640625" style="59" hidden="1" customWidth="1"/>
    <col min="3" max="5" width="5.81640625" style="59" bestFit="1" customWidth="1"/>
    <col min="6" max="8" width="6.1796875" style="59" bestFit="1" customWidth="1"/>
    <col min="9" max="9" width="4.453125" style="59" bestFit="1" customWidth="1"/>
    <col min="10" max="11" width="5" style="8" bestFit="1" customWidth="1"/>
    <col min="12" max="12" width="5.1796875" style="8" bestFit="1" customWidth="1"/>
    <col min="13" max="13" width="3.81640625" style="59" bestFit="1" customWidth="1"/>
    <col min="14" max="16" width="5.81640625" style="59" bestFit="1" customWidth="1"/>
    <col min="17" max="19" width="6.453125" style="59" bestFit="1" customWidth="1"/>
    <col min="20" max="20" width="5" style="59" bestFit="1" customWidth="1"/>
    <col min="21" max="21" width="5.1796875" style="59" bestFit="1" customWidth="1"/>
    <col min="22" max="22" width="4" style="59" bestFit="1" customWidth="1"/>
    <col min="23" max="24" width="6.453125" style="59" bestFit="1" customWidth="1"/>
    <col min="25" max="25" width="5.1796875" style="59" bestFit="1" customWidth="1"/>
    <col min="26" max="28" width="4.453125" style="59" bestFit="1" customWidth="1"/>
    <col min="29" max="30" width="4.54296875" style="59" bestFit="1" customWidth="1"/>
    <col min="31" max="32" width="4" style="59" bestFit="1" customWidth="1"/>
    <col min="33" max="33" width="7" style="59" bestFit="1" customWidth="1"/>
    <col min="34" max="35" width="5" style="59" bestFit="1" customWidth="1"/>
    <col min="36" max="37" width="4.81640625" style="59" bestFit="1" customWidth="1"/>
    <col min="38" max="38" width="4.54296875" style="59" bestFit="1" customWidth="1"/>
    <col min="39" max="39" width="4.81640625" style="59" bestFit="1" customWidth="1"/>
    <col min="40" max="40" width="5" style="59" bestFit="1" customWidth="1"/>
    <col min="41" max="41" width="4.54296875" style="59" bestFit="1" customWidth="1"/>
    <col min="42" max="16384" width="5.54296875" style="59"/>
  </cols>
  <sheetData>
    <row r="1" spans="1:41" s="8" customFormat="1" ht="12" thickBot="1" x14ac:dyDescent="0.3">
      <c r="A1" s="202">
        <v>274</v>
      </c>
      <c r="B1" s="1138" t="s">
        <v>0</v>
      </c>
      <c r="C1" s="1139" t="s">
        <v>1</v>
      </c>
      <c r="D1" s="1139" t="s">
        <v>2</v>
      </c>
      <c r="E1" s="1139" t="s">
        <v>3</v>
      </c>
      <c r="F1" s="1139" t="s">
        <v>4</v>
      </c>
      <c r="G1" s="1139" t="s">
        <v>5</v>
      </c>
      <c r="H1" s="1139" t="s">
        <v>6</v>
      </c>
      <c r="I1" s="1138" t="s">
        <v>7</v>
      </c>
      <c r="J1" s="175" t="s">
        <v>8</v>
      </c>
      <c r="K1" s="1124" t="s">
        <v>9</v>
      </c>
      <c r="L1" s="1139" t="s">
        <v>10</v>
      </c>
      <c r="M1" s="1138" t="s">
        <v>11</v>
      </c>
      <c r="N1" s="1139" t="s">
        <v>12</v>
      </c>
      <c r="O1" s="1139" t="s">
        <v>13</v>
      </c>
      <c r="P1" s="1139" t="s">
        <v>14</v>
      </c>
      <c r="Q1" s="1139" t="s">
        <v>15</v>
      </c>
      <c r="R1" s="1139" t="s">
        <v>16</v>
      </c>
      <c r="S1" s="1139" t="s">
        <v>17</v>
      </c>
      <c r="T1" s="1139" t="s">
        <v>18</v>
      </c>
      <c r="U1" s="1139" t="s">
        <v>19</v>
      </c>
      <c r="V1" s="1139" t="s">
        <v>20</v>
      </c>
      <c r="W1" s="1139" t="s">
        <v>21</v>
      </c>
      <c r="X1" s="1139" t="s">
        <v>22</v>
      </c>
      <c r="Y1" s="1139" t="s">
        <v>23</v>
      </c>
      <c r="Z1" s="1139" t="s">
        <v>24</v>
      </c>
      <c r="AA1" s="1139" t="s">
        <v>25</v>
      </c>
      <c r="AB1" s="1139" t="s">
        <v>26</v>
      </c>
      <c r="AC1" s="1139" t="s">
        <v>27</v>
      </c>
      <c r="AD1" s="1139" t="s">
        <v>28</v>
      </c>
      <c r="AE1" s="1140" t="s">
        <v>29</v>
      </c>
      <c r="AF1" s="1140" t="s">
        <v>30</v>
      </c>
      <c r="AG1" s="1140" t="s">
        <v>31</v>
      </c>
      <c r="AH1" s="1140" t="s">
        <v>32</v>
      </c>
      <c r="AI1" s="1139" t="s">
        <v>33</v>
      </c>
      <c r="AJ1" s="1139" t="s">
        <v>34</v>
      </c>
      <c r="AK1" s="1139" t="s">
        <v>35</v>
      </c>
      <c r="AL1" s="1139" t="s">
        <v>36</v>
      </c>
      <c r="AM1" s="1139" t="s">
        <v>37</v>
      </c>
      <c r="AN1" s="1139" t="s">
        <v>38</v>
      </c>
      <c r="AO1" s="1139" t="s">
        <v>39</v>
      </c>
    </row>
    <row r="2" spans="1:41" x14ac:dyDescent="0.25">
      <c r="A2" s="803">
        <v>1</v>
      </c>
      <c r="B2" s="804">
        <v>2</v>
      </c>
      <c r="C2" s="1066">
        <v>2</v>
      </c>
      <c r="D2" s="777">
        <v>1</v>
      </c>
      <c r="E2" s="777">
        <v>1</v>
      </c>
      <c r="F2" s="1066">
        <v>2</v>
      </c>
      <c r="G2" s="777">
        <v>1</v>
      </c>
      <c r="H2" s="777">
        <v>1</v>
      </c>
      <c r="I2" s="777">
        <v>1</v>
      </c>
      <c r="J2" s="777">
        <v>1</v>
      </c>
      <c r="K2" s="777">
        <v>2</v>
      </c>
      <c r="L2" s="1066">
        <v>2</v>
      </c>
      <c r="M2" s="1066">
        <v>1</v>
      </c>
      <c r="N2" s="777">
        <v>1</v>
      </c>
      <c r="O2" s="777">
        <v>1</v>
      </c>
      <c r="P2" s="777">
        <v>1</v>
      </c>
      <c r="Q2" s="777">
        <v>1</v>
      </c>
      <c r="R2" s="777">
        <v>1</v>
      </c>
      <c r="S2" s="777">
        <v>1</v>
      </c>
      <c r="T2" s="777">
        <v>1</v>
      </c>
      <c r="U2" s="777">
        <v>1</v>
      </c>
      <c r="V2" s="777">
        <v>1</v>
      </c>
      <c r="W2" s="1066">
        <v>1</v>
      </c>
      <c r="X2" s="777">
        <v>1</v>
      </c>
      <c r="Y2" s="777">
        <v>1</v>
      </c>
      <c r="Z2" s="777">
        <v>1</v>
      </c>
      <c r="AA2" s="777">
        <v>1</v>
      </c>
      <c r="AB2" s="777">
        <v>1</v>
      </c>
      <c r="AC2" s="777">
        <v>1</v>
      </c>
      <c r="AD2" s="777">
        <v>1</v>
      </c>
      <c r="AE2" s="777">
        <v>1</v>
      </c>
      <c r="AF2" s="777">
        <v>1</v>
      </c>
      <c r="AG2" s="777">
        <v>1</v>
      </c>
      <c r="AH2" s="777">
        <v>1</v>
      </c>
      <c r="AI2" s="1066">
        <v>2</v>
      </c>
      <c r="AJ2" s="777">
        <v>1</v>
      </c>
      <c r="AK2" s="777">
        <v>1</v>
      </c>
      <c r="AL2" s="777">
        <v>1</v>
      </c>
      <c r="AM2" s="777">
        <v>1</v>
      </c>
      <c r="AN2" s="777">
        <v>1</v>
      </c>
      <c r="AO2" s="777">
        <v>1</v>
      </c>
    </row>
    <row r="3" spans="1:41" x14ac:dyDescent="0.25">
      <c r="A3" s="1141">
        <v>2</v>
      </c>
      <c r="B3" s="804">
        <v>3</v>
      </c>
      <c r="C3" s="1066">
        <v>3</v>
      </c>
      <c r="D3" s="777">
        <v>1</v>
      </c>
      <c r="E3" s="777">
        <v>1</v>
      </c>
      <c r="F3" s="777">
        <v>1</v>
      </c>
      <c r="G3" s="777">
        <v>1</v>
      </c>
      <c r="H3" s="777">
        <v>1</v>
      </c>
      <c r="I3" s="777">
        <v>1</v>
      </c>
      <c r="J3" s="777">
        <v>1</v>
      </c>
      <c r="K3" s="777">
        <v>3</v>
      </c>
      <c r="L3" s="1066">
        <v>3</v>
      </c>
      <c r="M3" s="777">
        <v>1</v>
      </c>
      <c r="N3" s="777">
        <v>1</v>
      </c>
      <c r="O3" s="777">
        <v>1</v>
      </c>
      <c r="P3" s="777">
        <v>1</v>
      </c>
      <c r="Q3" s="777">
        <v>1</v>
      </c>
      <c r="R3" s="777">
        <v>1</v>
      </c>
      <c r="S3" s="777">
        <v>1</v>
      </c>
      <c r="T3" s="777">
        <v>1</v>
      </c>
      <c r="U3" s="777">
        <v>1</v>
      </c>
      <c r="V3" s="777">
        <v>1</v>
      </c>
      <c r="W3" s="1066">
        <v>3</v>
      </c>
      <c r="X3" s="777">
        <v>1</v>
      </c>
      <c r="Y3" s="777">
        <v>1</v>
      </c>
      <c r="Z3" s="777">
        <v>1</v>
      </c>
      <c r="AA3" s="777">
        <v>1</v>
      </c>
      <c r="AB3" s="777">
        <v>1</v>
      </c>
      <c r="AC3" s="777">
        <v>1</v>
      </c>
      <c r="AD3" s="777">
        <v>1</v>
      </c>
      <c r="AE3" s="777">
        <v>1</v>
      </c>
      <c r="AF3" s="777">
        <v>3</v>
      </c>
      <c r="AG3" s="777">
        <v>1</v>
      </c>
      <c r="AH3" s="777">
        <v>1</v>
      </c>
      <c r="AI3" s="1066">
        <v>3</v>
      </c>
      <c r="AJ3" s="777">
        <v>1</v>
      </c>
      <c r="AK3" s="777">
        <v>1</v>
      </c>
      <c r="AL3" s="777">
        <v>1</v>
      </c>
      <c r="AM3" s="777">
        <v>1</v>
      </c>
      <c r="AN3" s="777">
        <v>1</v>
      </c>
      <c r="AO3" s="1066">
        <v>3</v>
      </c>
    </row>
    <row r="4" spans="1:41" x14ac:dyDescent="0.25">
      <c r="A4" s="1141">
        <v>3</v>
      </c>
      <c r="B4" s="804">
        <v>4</v>
      </c>
      <c r="C4" s="1066">
        <v>4</v>
      </c>
      <c r="D4" s="777">
        <v>1</v>
      </c>
      <c r="E4" s="777">
        <v>1</v>
      </c>
      <c r="F4" s="1066">
        <v>4</v>
      </c>
      <c r="G4" s="1066">
        <v>4</v>
      </c>
      <c r="H4" s="777">
        <v>1</v>
      </c>
      <c r="I4" s="777">
        <v>1</v>
      </c>
      <c r="J4" s="777">
        <v>1</v>
      </c>
      <c r="K4" s="777">
        <v>1</v>
      </c>
      <c r="L4" s="1066">
        <v>4</v>
      </c>
      <c r="M4" s="1066">
        <v>4</v>
      </c>
      <c r="N4" s="777">
        <v>1</v>
      </c>
      <c r="O4" s="777">
        <v>1</v>
      </c>
      <c r="P4" s="777">
        <v>1</v>
      </c>
      <c r="Q4" s="777">
        <v>1</v>
      </c>
      <c r="R4" s="777">
        <v>1</v>
      </c>
      <c r="S4" s="777">
        <v>1</v>
      </c>
      <c r="T4" s="777">
        <v>1</v>
      </c>
      <c r="U4" s="777">
        <v>1</v>
      </c>
      <c r="V4" s="777">
        <v>1</v>
      </c>
      <c r="W4" s="1066">
        <v>4</v>
      </c>
      <c r="X4" s="777">
        <v>1</v>
      </c>
      <c r="Y4" s="777">
        <v>1</v>
      </c>
      <c r="Z4" s="777">
        <v>1</v>
      </c>
      <c r="AA4" s="1066">
        <v>4</v>
      </c>
      <c r="AB4" s="777">
        <v>1</v>
      </c>
      <c r="AC4" s="777">
        <v>1</v>
      </c>
      <c r="AD4" s="777">
        <v>1</v>
      </c>
      <c r="AE4" s="1066">
        <v>4</v>
      </c>
      <c r="AF4" s="1066">
        <v>4</v>
      </c>
      <c r="AG4" s="777">
        <v>1</v>
      </c>
      <c r="AH4" s="777">
        <v>1</v>
      </c>
      <c r="AI4" s="777">
        <v>1</v>
      </c>
      <c r="AJ4" s="777">
        <v>1</v>
      </c>
      <c r="AK4" s="777">
        <v>1</v>
      </c>
      <c r="AL4" s="777">
        <v>1</v>
      </c>
      <c r="AM4" s="777">
        <v>1</v>
      </c>
      <c r="AN4" s="777">
        <v>1</v>
      </c>
      <c r="AO4" s="1066">
        <v>4</v>
      </c>
    </row>
    <row r="5" spans="1:41" x14ac:dyDescent="0.25">
      <c r="A5" s="1141">
        <v>4</v>
      </c>
      <c r="B5" s="804">
        <v>5</v>
      </c>
      <c r="C5" s="1066">
        <v>5</v>
      </c>
      <c r="D5" s="777">
        <v>1</v>
      </c>
      <c r="E5" s="777">
        <v>1</v>
      </c>
      <c r="F5" s="777">
        <v>1</v>
      </c>
      <c r="G5" s="777">
        <v>1</v>
      </c>
      <c r="H5" s="777">
        <v>1</v>
      </c>
      <c r="I5" s="1066">
        <v>5</v>
      </c>
      <c r="J5" s="777">
        <v>1</v>
      </c>
      <c r="K5" s="777">
        <v>1</v>
      </c>
      <c r="L5" s="777">
        <v>1</v>
      </c>
      <c r="M5" s="777">
        <v>1</v>
      </c>
      <c r="N5" s="777">
        <v>1</v>
      </c>
      <c r="O5" s="777">
        <v>1</v>
      </c>
      <c r="P5" s="777">
        <v>1</v>
      </c>
      <c r="Q5" s="777">
        <v>1</v>
      </c>
      <c r="R5" s="777">
        <v>1</v>
      </c>
      <c r="S5" s="777">
        <v>1</v>
      </c>
      <c r="T5" s="777">
        <v>1</v>
      </c>
      <c r="U5" s="777">
        <v>1</v>
      </c>
      <c r="V5" s="777">
        <v>1</v>
      </c>
      <c r="W5" s="1066">
        <v>5</v>
      </c>
      <c r="X5" s="777">
        <v>1</v>
      </c>
      <c r="Y5" s="777">
        <v>1</v>
      </c>
      <c r="Z5" s="777">
        <v>1</v>
      </c>
      <c r="AA5" s="777">
        <v>1</v>
      </c>
      <c r="AB5" s="777">
        <v>1</v>
      </c>
      <c r="AC5" s="777">
        <v>1</v>
      </c>
      <c r="AD5" s="777">
        <v>1</v>
      </c>
      <c r="AE5" s="777">
        <v>1</v>
      </c>
      <c r="AF5" s="777">
        <v>5</v>
      </c>
      <c r="AG5" s="777">
        <v>1</v>
      </c>
      <c r="AH5" s="777">
        <v>1</v>
      </c>
      <c r="AI5" s="777">
        <v>1</v>
      </c>
      <c r="AJ5" s="777">
        <v>1</v>
      </c>
      <c r="AK5" s="777">
        <v>1</v>
      </c>
      <c r="AL5" s="777">
        <v>1</v>
      </c>
      <c r="AM5" s="777">
        <v>1</v>
      </c>
      <c r="AN5" s="777">
        <v>1</v>
      </c>
      <c r="AO5" s="777">
        <v>1</v>
      </c>
    </row>
    <row r="6" spans="1:41" x14ac:dyDescent="0.25">
      <c r="A6" s="1141">
        <v>5</v>
      </c>
      <c r="B6" s="804">
        <v>6</v>
      </c>
      <c r="C6" s="1066">
        <v>6</v>
      </c>
      <c r="D6" s="777">
        <v>1</v>
      </c>
      <c r="E6" s="777">
        <v>1</v>
      </c>
      <c r="F6" s="1066">
        <v>1</v>
      </c>
      <c r="G6" s="777">
        <v>1</v>
      </c>
      <c r="H6" s="777">
        <v>1</v>
      </c>
      <c r="I6" s="777">
        <v>1</v>
      </c>
      <c r="J6" s="777">
        <v>1</v>
      </c>
      <c r="K6" s="777">
        <v>1</v>
      </c>
      <c r="L6" s="1066">
        <v>6</v>
      </c>
      <c r="M6" s="777">
        <v>1</v>
      </c>
      <c r="N6" s="777">
        <v>1</v>
      </c>
      <c r="O6" s="777">
        <v>1</v>
      </c>
      <c r="P6" s="777">
        <v>1</v>
      </c>
      <c r="Q6" s="777">
        <v>1</v>
      </c>
      <c r="R6" s="777">
        <v>1</v>
      </c>
      <c r="S6" s="777">
        <v>1</v>
      </c>
      <c r="T6" s="777">
        <v>1</v>
      </c>
      <c r="U6" s="777">
        <v>1</v>
      </c>
      <c r="V6" s="777">
        <v>1</v>
      </c>
      <c r="W6" s="777">
        <v>1</v>
      </c>
      <c r="X6" s="777">
        <v>1</v>
      </c>
      <c r="Y6" s="777">
        <v>1</v>
      </c>
      <c r="Z6" s="777">
        <v>1</v>
      </c>
      <c r="AA6" s="1066">
        <v>6</v>
      </c>
      <c r="AB6" s="777">
        <v>1</v>
      </c>
      <c r="AC6" s="777">
        <v>1</v>
      </c>
      <c r="AD6" s="777">
        <v>1</v>
      </c>
      <c r="AE6" s="1066">
        <v>6</v>
      </c>
      <c r="AF6" s="777">
        <v>1</v>
      </c>
      <c r="AG6" s="777">
        <v>1</v>
      </c>
      <c r="AH6" s="777">
        <v>1</v>
      </c>
      <c r="AI6" s="777">
        <v>1</v>
      </c>
      <c r="AJ6" s="777">
        <v>1</v>
      </c>
      <c r="AK6" s="777">
        <v>1</v>
      </c>
      <c r="AL6" s="777">
        <v>1</v>
      </c>
      <c r="AM6" s="777">
        <v>1</v>
      </c>
      <c r="AN6" s="777">
        <v>1</v>
      </c>
      <c r="AO6" s="777">
        <v>1</v>
      </c>
    </row>
    <row r="7" spans="1:41" x14ac:dyDescent="0.25">
      <c r="A7" s="1141">
        <v>6</v>
      </c>
      <c r="B7" s="804">
        <v>7</v>
      </c>
      <c r="C7" s="1066">
        <v>7</v>
      </c>
      <c r="D7" s="1066">
        <v>7</v>
      </c>
      <c r="E7" s="777">
        <v>1</v>
      </c>
      <c r="F7" s="777">
        <v>1</v>
      </c>
      <c r="G7" s="777">
        <v>1</v>
      </c>
      <c r="H7" s="777">
        <v>1</v>
      </c>
      <c r="I7" s="777">
        <v>1</v>
      </c>
      <c r="J7" s="777">
        <v>1</v>
      </c>
      <c r="K7" s="777">
        <v>1</v>
      </c>
      <c r="L7" s="1066">
        <v>7</v>
      </c>
      <c r="M7" s="777">
        <v>1</v>
      </c>
      <c r="N7" s="777">
        <v>1</v>
      </c>
      <c r="O7" s="777">
        <v>1</v>
      </c>
      <c r="P7" s="777">
        <v>1</v>
      </c>
      <c r="Q7" s="777">
        <v>1</v>
      </c>
      <c r="R7" s="777">
        <v>1</v>
      </c>
      <c r="S7" s="777">
        <v>1</v>
      </c>
      <c r="T7" s="777">
        <v>1</v>
      </c>
      <c r="U7" s="777">
        <v>1</v>
      </c>
      <c r="V7" s="777">
        <v>1</v>
      </c>
      <c r="W7" s="777">
        <v>1</v>
      </c>
      <c r="X7" s="777">
        <v>1</v>
      </c>
      <c r="Y7" s="777">
        <v>1</v>
      </c>
      <c r="Z7" s="777">
        <v>1</v>
      </c>
      <c r="AA7" s="777">
        <v>1</v>
      </c>
      <c r="AB7" s="777">
        <v>1</v>
      </c>
      <c r="AC7" s="777">
        <v>1</v>
      </c>
      <c r="AD7" s="777">
        <v>1</v>
      </c>
      <c r="AE7" s="777">
        <v>1</v>
      </c>
      <c r="AF7" s="777">
        <v>1</v>
      </c>
      <c r="AG7" s="777">
        <v>1</v>
      </c>
      <c r="AH7" s="1066">
        <v>7</v>
      </c>
      <c r="AI7" s="777">
        <v>1</v>
      </c>
      <c r="AJ7" s="777">
        <v>1</v>
      </c>
      <c r="AK7" s="777">
        <v>1</v>
      </c>
      <c r="AL7" s="777">
        <v>1</v>
      </c>
      <c r="AM7" s="777">
        <v>1</v>
      </c>
      <c r="AN7" s="777">
        <v>1</v>
      </c>
      <c r="AO7" s="777">
        <v>1</v>
      </c>
    </row>
    <row r="8" spans="1:41" x14ac:dyDescent="0.25">
      <c r="A8" s="1141">
        <v>7</v>
      </c>
      <c r="B8" s="804">
        <v>8</v>
      </c>
      <c r="C8" s="777">
        <v>1</v>
      </c>
      <c r="D8" s="777">
        <v>8</v>
      </c>
      <c r="E8" s="777">
        <v>1</v>
      </c>
      <c r="F8" s="1066">
        <v>1</v>
      </c>
      <c r="G8" s="777">
        <v>1</v>
      </c>
      <c r="H8" s="777">
        <v>1</v>
      </c>
      <c r="I8" s="777">
        <v>1</v>
      </c>
      <c r="J8" s="777">
        <v>1</v>
      </c>
      <c r="K8" s="777">
        <v>1</v>
      </c>
      <c r="L8" s="777">
        <v>1</v>
      </c>
      <c r="M8" s="777">
        <v>1</v>
      </c>
      <c r="N8" s="777">
        <v>1</v>
      </c>
      <c r="O8" s="777">
        <v>1</v>
      </c>
      <c r="P8" s="777">
        <v>1</v>
      </c>
      <c r="Q8" s="777">
        <v>1</v>
      </c>
      <c r="R8" s="777">
        <v>1</v>
      </c>
      <c r="S8" s="777">
        <v>1</v>
      </c>
      <c r="T8" s="777">
        <v>1</v>
      </c>
      <c r="U8" s="1066">
        <v>8</v>
      </c>
      <c r="V8" s="777">
        <v>1</v>
      </c>
      <c r="W8" s="1066">
        <v>8</v>
      </c>
      <c r="X8" s="777">
        <v>1</v>
      </c>
      <c r="Y8" s="777">
        <v>1</v>
      </c>
      <c r="Z8" s="777">
        <v>1</v>
      </c>
      <c r="AA8" s="777">
        <v>1</v>
      </c>
      <c r="AB8" s="777">
        <v>1</v>
      </c>
      <c r="AC8" s="777">
        <v>1</v>
      </c>
      <c r="AD8" s="777">
        <v>1</v>
      </c>
      <c r="AE8" s="777">
        <v>1</v>
      </c>
      <c r="AF8" s="777">
        <v>8</v>
      </c>
      <c r="AG8" s="777">
        <v>1</v>
      </c>
      <c r="AH8" s="1066">
        <v>8</v>
      </c>
      <c r="AI8" s="777">
        <v>1</v>
      </c>
      <c r="AJ8" s="777">
        <v>1</v>
      </c>
      <c r="AK8" s="777">
        <v>1</v>
      </c>
      <c r="AL8" s="777">
        <v>1</v>
      </c>
      <c r="AM8" s="777">
        <v>1</v>
      </c>
      <c r="AN8" s="777">
        <v>1</v>
      </c>
      <c r="AO8" s="1066">
        <v>1</v>
      </c>
    </row>
    <row r="9" spans="1:41" x14ac:dyDescent="0.25">
      <c r="A9" s="1141">
        <v>8</v>
      </c>
      <c r="B9" s="804">
        <v>9</v>
      </c>
      <c r="C9" s="777">
        <v>9</v>
      </c>
      <c r="D9" s="1066">
        <v>9</v>
      </c>
      <c r="E9" s="777">
        <v>1</v>
      </c>
      <c r="F9" s="777">
        <v>1</v>
      </c>
      <c r="G9" s="777">
        <v>9</v>
      </c>
      <c r="H9" s="777">
        <v>1</v>
      </c>
      <c r="I9" s="777">
        <v>1</v>
      </c>
      <c r="J9" s="777">
        <v>1</v>
      </c>
      <c r="K9" s="777">
        <v>1</v>
      </c>
      <c r="L9" s="777">
        <v>1</v>
      </c>
      <c r="M9" s="777">
        <v>1</v>
      </c>
      <c r="N9" s="777">
        <v>1</v>
      </c>
      <c r="O9" s="777">
        <v>1</v>
      </c>
      <c r="P9" s="777">
        <v>1</v>
      </c>
      <c r="Q9" s="777">
        <v>1</v>
      </c>
      <c r="R9" s="777">
        <v>1</v>
      </c>
      <c r="S9" s="777">
        <v>1</v>
      </c>
      <c r="T9" s="777">
        <v>1</v>
      </c>
      <c r="U9" s="1066">
        <v>9</v>
      </c>
      <c r="V9" s="777">
        <v>1</v>
      </c>
      <c r="W9" s="777">
        <v>1</v>
      </c>
      <c r="X9" s="777">
        <v>1</v>
      </c>
      <c r="Y9" s="777">
        <v>1</v>
      </c>
      <c r="Z9" s="777">
        <v>1</v>
      </c>
      <c r="AA9" s="1066">
        <v>9</v>
      </c>
      <c r="AB9" s="777">
        <v>1</v>
      </c>
      <c r="AC9" s="777">
        <v>1</v>
      </c>
      <c r="AD9" s="777">
        <v>1</v>
      </c>
      <c r="AE9" s="777">
        <v>1</v>
      </c>
      <c r="AF9" s="777">
        <v>1</v>
      </c>
      <c r="AG9" s="777">
        <v>1</v>
      </c>
      <c r="AH9" s="1066">
        <v>9</v>
      </c>
      <c r="AI9" s="777">
        <v>1</v>
      </c>
      <c r="AJ9" s="777">
        <v>1</v>
      </c>
      <c r="AK9" s="777">
        <v>1</v>
      </c>
      <c r="AL9" s="777">
        <v>1</v>
      </c>
      <c r="AM9" s="777">
        <v>1</v>
      </c>
      <c r="AN9" s="777">
        <v>1</v>
      </c>
      <c r="AO9" s="777">
        <v>1</v>
      </c>
    </row>
    <row r="10" spans="1:41" x14ac:dyDescent="0.25">
      <c r="A10" s="1141">
        <v>9</v>
      </c>
      <c r="B10" s="804">
        <v>10</v>
      </c>
      <c r="C10" s="1066">
        <v>10</v>
      </c>
      <c r="D10" s="777">
        <v>1</v>
      </c>
      <c r="E10" s="1066">
        <v>10</v>
      </c>
      <c r="F10" s="777">
        <v>1</v>
      </c>
      <c r="G10" s="1066">
        <v>10</v>
      </c>
      <c r="H10" s="777">
        <v>1</v>
      </c>
      <c r="I10" s="1066">
        <v>10</v>
      </c>
      <c r="J10" s="777">
        <v>1</v>
      </c>
      <c r="K10" s="777">
        <v>1</v>
      </c>
      <c r="L10" s="777">
        <v>1</v>
      </c>
      <c r="M10" s="777">
        <v>1</v>
      </c>
      <c r="N10" s="777">
        <v>1</v>
      </c>
      <c r="O10" s="777">
        <v>1</v>
      </c>
      <c r="P10" s="777">
        <v>1</v>
      </c>
      <c r="Q10" s="777">
        <v>1</v>
      </c>
      <c r="R10" s="777">
        <v>1</v>
      </c>
      <c r="S10" s="777">
        <v>1</v>
      </c>
      <c r="T10" s="777">
        <v>1</v>
      </c>
      <c r="U10" s="777">
        <v>1</v>
      </c>
      <c r="V10" s="777">
        <v>1</v>
      </c>
      <c r="W10" s="777">
        <v>1</v>
      </c>
      <c r="X10" s="777">
        <v>1</v>
      </c>
      <c r="Y10" s="777">
        <v>1</v>
      </c>
      <c r="Z10" s="1066">
        <v>10</v>
      </c>
      <c r="AA10" s="777">
        <v>1</v>
      </c>
      <c r="AB10" s="777">
        <v>1</v>
      </c>
      <c r="AC10" s="777">
        <v>1</v>
      </c>
      <c r="AD10" s="777">
        <v>1</v>
      </c>
      <c r="AE10" s="1066">
        <v>10</v>
      </c>
      <c r="AF10" s="777">
        <v>1</v>
      </c>
      <c r="AG10" s="777">
        <v>10</v>
      </c>
      <c r="AH10" s="777">
        <v>1</v>
      </c>
      <c r="AI10" s="1066">
        <v>10</v>
      </c>
      <c r="AJ10" s="777">
        <v>1</v>
      </c>
      <c r="AK10" s="777">
        <v>1</v>
      </c>
      <c r="AL10" s="777">
        <v>1</v>
      </c>
      <c r="AM10" s="777">
        <v>1</v>
      </c>
      <c r="AN10" s="777">
        <v>1</v>
      </c>
      <c r="AO10" s="777">
        <v>1</v>
      </c>
    </row>
    <row r="11" spans="1:41" x14ac:dyDescent="0.25">
      <c r="A11" s="1141">
        <v>10</v>
      </c>
      <c r="B11" s="804">
        <v>11</v>
      </c>
      <c r="C11" s="1066">
        <v>11</v>
      </c>
      <c r="D11" s="1066">
        <v>11</v>
      </c>
      <c r="E11" s="777">
        <v>1</v>
      </c>
      <c r="F11" s="777">
        <v>1</v>
      </c>
      <c r="G11" s="1066">
        <v>11</v>
      </c>
      <c r="H11" s="777">
        <v>1</v>
      </c>
      <c r="I11" s="777">
        <v>1</v>
      </c>
      <c r="J11" s="777">
        <v>1</v>
      </c>
      <c r="K11" s="777">
        <v>1</v>
      </c>
      <c r="L11" s="777">
        <v>1</v>
      </c>
      <c r="M11" s="777">
        <v>1</v>
      </c>
      <c r="N11" s="777">
        <v>1</v>
      </c>
      <c r="O11" s="777">
        <v>1</v>
      </c>
      <c r="P11" s="777">
        <v>1</v>
      </c>
      <c r="Q11" s="777">
        <v>1</v>
      </c>
      <c r="R11" s="777">
        <v>1</v>
      </c>
      <c r="S11" s="777">
        <v>1</v>
      </c>
      <c r="T11" s="777">
        <v>1</v>
      </c>
      <c r="U11" s="777">
        <v>1</v>
      </c>
      <c r="V11" s="777">
        <v>1</v>
      </c>
      <c r="W11" s="777">
        <v>1</v>
      </c>
      <c r="X11" s="777">
        <v>1</v>
      </c>
      <c r="Y11" s="777">
        <v>1</v>
      </c>
      <c r="Z11" s="777">
        <v>1</v>
      </c>
      <c r="AA11" s="777">
        <v>1</v>
      </c>
      <c r="AB11" s="777">
        <v>1</v>
      </c>
      <c r="AC11" s="777">
        <v>1</v>
      </c>
      <c r="AD11" s="777">
        <v>1</v>
      </c>
      <c r="AE11" s="777">
        <v>1</v>
      </c>
      <c r="AF11" s="777">
        <v>1</v>
      </c>
      <c r="AG11" s="777">
        <v>1</v>
      </c>
      <c r="AH11" s="777">
        <v>1</v>
      </c>
      <c r="AI11" s="777">
        <v>1</v>
      </c>
      <c r="AJ11" s="777">
        <v>1</v>
      </c>
      <c r="AK11" s="777">
        <v>1</v>
      </c>
      <c r="AL11" s="777">
        <v>1</v>
      </c>
      <c r="AM11" s="777">
        <v>1</v>
      </c>
      <c r="AN11" s="777">
        <v>1</v>
      </c>
      <c r="AO11" s="777">
        <v>1</v>
      </c>
    </row>
    <row r="12" spans="1:41" x14ac:dyDescent="0.25">
      <c r="A12" s="1141">
        <v>11</v>
      </c>
      <c r="B12" s="804">
        <v>12</v>
      </c>
      <c r="C12" s="1066">
        <v>12</v>
      </c>
      <c r="D12" s="1066">
        <v>12</v>
      </c>
      <c r="E12" s="777">
        <v>1</v>
      </c>
      <c r="F12" s="1066">
        <v>12</v>
      </c>
      <c r="G12" s="1066">
        <v>12</v>
      </c>
      <c r="H12" s="777">
        <v>1</v>
      </c>
      <c r="I12" s="777">
        <v>1</v>
      </c>
      <c r="J12" s="777">
        <v>1</v>
      </c>
      <c r="K12" s="777">
        <v>1</v>
      </c>
      <c r="L12" s="777">
        <v>1</v>
      </c>
      <c r="M12" s="777">
        <v>1</v>
      </c>
      <c r="N12" s="777">
        <v>1</v>
      </c>
      <c r="O12" s="777">
        <v>1</v>
      </c>
      <c r="P12" s="777">
        <v>1</v>
      </c>
      <c r="Q12" s="777">
        <v>1</v>
      </c>
      <c r="R12" s="777">
        <v>1</v>
      </c>
      <c r="S12" s="777">
        <v>1</v>
      </c>
      <c r="T12" s="777">
        <v>1</v>
      </c>
      <c r="U12" s="777">
        <v>1</v>
      </c>
      <c r="V12" s="777">
        <v>1</v>
      </c>
      <c r="W12" s="1066">
        <v>12</v>
      </c>
      <c r="X12" s="777">
        <v>1</v>
      </c>
      <c r="Y12" s="777">
        <v>1</v>
      </c>
      <c r="Z12" s="777">
        <v>1</v>
      </c>
      <c r="AA12" s="777">
        <v>1</v>
      </c>
      <c r="AB12" s="777">
        <v>1</v>
      </c>
      <c r="AC12" s="777">
        <v>1</v>
      </c>
      <c r="AD12" s="777">
        <v>1</v>
      </c>
      <c r="AE12" s="777">
        <v>1</v>
      </c>
      <c r="AF12" s="777">
        <v>12</v>
      </c>
      <c r="AG12" s="777">
        <v>1</v>
      </c>
      <c r="AH12" s="1066">
        <v>12</v>
      </c>
      <c r="AI12" s="1066">
        <v>12</v>
      </c>
      <c r="AJ12" s="777">
        <v>1</v>
      </c>
      <c r="AK12" s="777">
        <v>1</v>
      </c>
      <c r="AL12" s="777">
        <v>1</v>
      </c>
      <c r="AM12" s="777">
        <v>1</v>
      </c>
      <c r="AN12" s="777">
        <v>1</v>
      </c>
      <c r="AO12" s="1066">
        <v>1</v>
      </c>
    </row>
    <row r="13" spans="1:41" x14ac:dyDescent="0.25">
      <c r="A13" s="1141">
        <v>12</v>
      </c>
      <c r="B13" s="804">
        <v>13</v>
      </c>
      <c r="C13" s="1066">
        <v>13</v>
      </c>
      <c r="D13" s="1066">
        <v>13</v>
      </c>
      <c r="E13" s="1066">
        <v>13</v>
      </c>
      <c r="F13" s="777">
        <v>1</v>
      </c>
      <c r="G13" s="777">
        <v>1</v>
      </c>
      <c r="H13" s="777">
        <v>1</v>
      </c>
      <c r="I13" s="777">
        <v>1</v>
      </c>
      <c r="J13" s="777">
        <v>1</v>
      </c>
      <c r="K13" s="777">
        <v>1</v>
      </c>
      <c r="L13" s="777">
        <v>1</v>
      </c>
      <c r="M13" s="777">
        <v>1</v>
      </c>
      <c r="N13" s="777">
        <v>1</v>
      </c>
      <c r="O13" s="777">
        <v>1</v>
      </c>
      <c r="P13" s="777">
        <v>1</v>
      </c>
      <c r="Q13" s="777">
        <v>1</v>
      </c>
      <c r="R13" s="777">
        <v>1</v>
      </c>
      <c r="S13" s="777">
        <v>1</v>
      </c>
      <c r="T13" s="777">
        <v>1</v>
      </c>
      <c r="U13" s="777">
        <v>1</v>
      </c>
      <c r="V13" s="777">
        <v>1</v>
      </c>
      <c r="W13" s="777">
        <v>1</v>
      </c>
      <c r="X13" s="777">
        <v>1</v>
      </c>
      <c r="Y13" s="777">
        <v>1</v>
      </c>
      <c r="Z13" s="777">
        <v>1</v>
      </c>
      <c r="AA13" s="777">
        <v>1</v>
      </c>
      <c r="AB13" s="777">
        <v>1</v>
      </c>
      <c r="AC13" s="777">
        <v>1</v>
      </c>
      <c r="AD13" s="777">
        <v>1</v>
      </c>
      <c r="AE13" s="777">
        <v>1</v>
      </c>
      <c r="AF13" s="777">
        <v>1</v>
      </c>
      <c r="AG13" s="777">
        <v>1</v>
      </c>
      <c r="AH13" s="777">
        <v>1</v>
      </c>
      <c r="AI13" s="777">
        <v>1</v>
      </c>
      <c r="AJ13" s="777">
        <v>1</v>
      </c>
      <c r="AK13" s="777">
        <v>1</v>
      </c>
      <c r="AL13" s="777">
        <v>1</v>
      </c>
      <c r="AM13" s="777">
        <v>1</v>
      </c>
      <c r="AN13" s="777">
        <v>1</v>
      </c>
      <c r="AO13" s="777">
        <v>1</v>
      </c>
    </row>
    <row r="14" spans="1:41" x14ac:dyDescent="0.25">
      <c r="A14" s="1141">
        <v>13</v>
      </c>
      <c r="B14" s="804">
        <v>14</v>
      </c>
      <c r="C14" s="1066">
        <v>14</v>
      </c>
      <c r="D14" s="1066">
        <v>14</v>
      </c>
      <c r="E14" s="1066">
        <v>14</v>
      </c>
      <c r="F14" s="1066">
        <v>1</v>
      </c>
      <c r="G14" s="1066">
        <v>14</v>
      </c>
      <c r="H14" s="777">
        <v>1</v>
      </c>
      <c r="I14" s="777">
        <v>1</v>
      </c>
      <c r="J14" s="777">
        <v>1</v>
      </c>
      <c r="K14" s="777">
        <v>1</v>
      </c>
      <c r="L14" s="777">
        <v>1</v>
      </c>
      <c r="M14" s="1066">
        <v>14</v>
      </c>
      <c r="N14" s="777">
        <v>1</v>
      </c>
      <c r="O14" s="777">
        <v>1</v>
      </c>
      <c r="P14" s="777">
        <v>1</v>
      </c>
      <c r="Q14" s="777">
        <v>1</v>
      </c>
      <c r="R14" s="777">
        <v>1</v>
      </c>
      <c r="S14" s="777">
        <v>1</v>
      </c>
      <c r="T14" s="777">
        <v>1</v>
      </c>
      <c r="U14" s="1066">
        <v>14</v>
      </c>
      <c r="V14" s="777">
        <v>1</v>
      </c>
      <c r="W14" s="1066">
        <v>14</v>
      </c>
      <c r="X14" s="777">
        <v>1</v>
      </c>
      <c r="Y14" s="777">
        <v>1</v>
      </c>
      <c r="Z14" s="1066">
        <v>14</v>
      </c>
      <c r="AA14" s="1066">
        <v>14</v>
      </c>
      <c r="AB14" s="777">
        <v>1</v>
      </c>
      <c r="AC14" s="777">
        <v>1</v>
      </c>
      <c r="AD14" s="777">
        <v>1</v>
      </c>
      <c r="AE14" s="777">
        <v>1</v>
      </c>
      <c r="AF14" s="1066">
        <v>14</v>
      </c>
      <c r="AG14" s="777">
        <v>1</v>
      </c>
      <c r="AH14" s="1066">
        <v>14</v>
      </c>
      <c r="AI14" s="1066">
        <v>14</v>
      </c>
      <c r="AJ14" s="777">
        <v>1</v>
      </c>
      <c r="AK14" s="777">
        <v>1</v>
      </c>
      <c r="AL14" s="777">
        <v>1</v>
      </c>
      <c r="AM14" s="777">
        <v>1</v>
      </c>
      <c r="AN14" s="777">
        <v>1</v>
      </c>
      <c r="AO14" s="1066">
        <v>14</v>
      </c>
    </row>
    <row r="15" spans="1:41" x14ac:dyDescent="0.25">
      <c r="A15" s="1141">
        <v>14</v>
      </c>
      <c r="B15" s="804">
        <v>15</v>
      </c>
      <c r="C15" s="1066">
        <v>15</v>
      </c>
      <c r="D15" s="777">
        <v>1</v>
      </c>
      <c r="E15" s="777">
        <v>1</v>
      </c>
      <c r="F15" s="777">
        <v>1</v>
      </c>
      <c r="G15" s="777">
        <v>1</v>
      </c>
      <c r="H15" s="777">
        <v>1</v>
      </c>
      <c r="I15" s="1066">
        <v>15</v>
      </c>
      <c r="J15" s="777">
        <v>1</v>
      </c>
      <c r="K15" s="777">
        <v>1</v>
      </c>
      <c r="L15" s="777">
        <v>1</v>
      </c>
      <c r="M15" s="777">
        <v>1</v>
      </c>
      <c r="N15" s="777">
        <v>1</v>
      </c>
      <c r="O15" s="777">
        <v>1</v>
      </c>
      <c r="P15" s="777">
        <v>1</v>
      </c>
      <c r="Q15" s="777">
        <v>1</v>
      </c>
      <c r="R15" s="777">
        <v>1</v>
      </c>
      <c r="S15" s="777">
        <v>1</v>
      </c>
      <c r="T15" s="777">
        <v>1</v>
      </c>
      <c r="U15" s="777">
        <v>1</v>
      </c>
      <c r="V15" s="777">
        <v>1</v>
      </c>
      <c r="W15" s="1066">
        <v>15</v>
      </c>
      <c r="X15" s="777">
        <v>1</v>
      </c>
      <c r="Y15" s="777">
        <v>1</v>
      </c>
      <c r="Z15" s="777">
        <v>1</v>
      </c>
      <c r="AA15" s="777">
        <v>1</v>
      </c>
      <c r="AB15" s="777">
        <v>1</v>
      </c>
      <c r="AC15" s="777">
        <v>1</v>
      </c>
      <c r="AD15" s="777">
        <v>1</v>
      </c>
      <c r="AE15" s="777">
        <v>1</v>
      </c>
      <c r="AF15" s="777">
        <v>15</v>
      </c>
      <c r="AG15" s="777">
        <v>1</v>
      </c>
      <c r="AH15" s="777">
        <v>1</v>
      </c>
      <c r="AI15" s="777">
        <v>1</v>
      </c>
      <c r="AJ15" s="777">
        <v>1</v>
      </c>
      <c r="AK15" s="777">
        <v>1</v>
      </c>
      <c r="AL15" s="777">
        <v>1</v>
      </c>
      <c r="AM15" s="777">
        <v>1</v>
      </c>
      <c r="AN15" s="777">
        <v>1</v>
      </c>
      <c r="AO15" s="1066">
        <v>1</v>
      </c>
    </row>
    <row r="16" spans="1:41" x14ac:dyDescent="0.25">
      <c r="A16" s="1141">
        <v>15</v>
      </c>
      <c r="B16" s="804">
        <v>16</v>
      </c>
      <c r="C16" s="1066">
        <v>16</v>
      </c>
      <c r="D16" s="777">
        <v>1</v>
      </c>
      <c r="E16" s="777">
        <v>1</v>
      </c>
      <c r="F16" s="1066">
        <v>1</v>
      </c>
      <c r="G16" s="777">
        <v>1</v>
      </c>
      <c r="H16" s="777">
        <v>1</v>
      </c>
      <c r="I16" s="1066">
        <v>16</v>
      </c>
      <c r="J16" s="777">
        <v>1</v>
      </c>
      <c r="K16" s="777">
        <v>1</v>
      </c>
      <c r="L16" s="777">
        <v>16</v>
      </c>
      <c r="M16" s="777">
        <v>1</v>
      </c>
      <c r="N16" s="777">
        <v>1</v>
      </c>
      <c r="O16" s="777">
        <v>1</v>
      </c>
      <c r="P16" s="777">
        <v>1</v>
      </c>
      <c r="Q16" s="777">
        <v>1</v>
      </c>
      <c r="R16" s="777">
        <v>1</v>
      </c>
      <c r="S16" s="777">
        <v>1</v>
      </c>
      <c r="T16" s="777">
        <v>1</v>
      </c>
      <c r="U16" s="777">
        <v>1</v>
      </c>
      <c r="V16" s="777">
        <v>1</v>
      </c>
      <c r="W16" s="777">
        <v>1</v>
      </c>
      <c r="X16" s="777">
        <v>1</v>
      </c>
      <c r="Y16" s="777">
        <v>1</v>
      </c>
      <c r="Z16" s="777">
        <v>1</v>
      </c>
      <c r="AA16" s="1066">
        <v>16</v>
      </c>
      <c r="AB16" s="777">
        <v>1</v>
      </c>
      <c r="AC16" s="777">
        <v>1</v>
      </c>
      <c r="AD16" s="777">
        <v>1</v>
      </c>
      <c r="AE16" s="1066">
        <v>16</v>
      </c>
      <c r="AF16" s="777">
        <v>1</v>
      </c>
      <c r="AG16" s="777">
        <v>1</v>
      </c>
      <c r="AH16" s="777">
        <v>1</v>
      </c>
      <c r="AI16" s="777">
        <v>1</v>
      </c>
      <c r="AJ16" s="777">
        <v>1</v>
      </c>
      <c r="AK16" s="777">
        <v>1</v>
      </c>
      <c r="AL16" s="777">
        <v>1</v>
      </c>
      <c r="AM16" s="777">
        <v>1</v>
      </c>
      <c r="AN16" s="777">
        <v>1</v>
      </c>
      <c r="AO16" s="777">
        <v>1</v>
      </c>
    </row>
    <row r="17" spans="1:41" x14ac:dyDescent="0.25">
      <c r="A17" s="1141">
        <v>16</v>
      </c>
      <c r="B17" s="804">
        <v>17</v>
      </c>
      <c r="C17" s="1066">
        <v>17</v>
      </c>
      <c r="D17" s="1066">
        <v>17</v>
      </c>
      <c r="E17" s="777">
        <v>1</v>
      </c>
      <c r="F17" s="777">
        <v>1</v>
      </c>
      <c r="G17" s="777">
        <v>1</v>
      </c>
      <c r="H17" s="1066">
        <v>1</v>
      </c>
      <c r="I17" s="777">
        <v>1</v>
      </c>
      <c r="J17" s="777">
        <v>1</v>
      </c>
      <c r="K17" s="777">
        <v>1</v>
      </c>
      <c r="L17" s="777">
        <v>1</v>
      </c>
      <c r="M17" s="777">
        <v>1</v>
      </c>
      <c r="N17" s="777">
        <v>1</v>
      </c>
      <c r="O17" s="777">
        <v>1</v>
      </c>
      <c r="P17" s="777">
        <v>1</v>
      </c>
      <c r="Q17" s="777">
        <v>1</v>
      </c>
      <c r="R17" s="777">
        <v>1</v>
      </c>
      <c r="S17" s="777">
        <v>1</v>
      </c>
      <c r="T17" s="777">
        <v>1</v>
      </c>
      <c r="U17" s="777">
        <v>1</v>
      </c>
      <c r="V17" s="777">
        <v>1</v>
      </c>
      <c r="W17" s="777">
        <v>1</v>
      </c>
      <c r="X17" s="777">
        <v>1</v>
      </c>
      <c r="Y17" s="777">
        <v>1</v>
      </c>
      <c r="Z17" s="777">
        <v>1</v>
      </c>
      <c r="AA17" s="777">
        <v>1</v>
      </c>
      <c r="AB17" s="777">
        <v>1</v>
      </c>
      <c r="AC17" s="777">
        <v>1</v>
      </c>
      <c r="AD17" s="777">
        <v>1</v>
      </c>
      <c r="AE17" s="777">
        <v>1</v>
      </c>
      <c r="AF17" s="777">
        <v>1</v>
      </c>
      <c r="AG17" s="777">
        <v>1</v>
      </c>
      <c r="AH17" s="777">
        <v>1</v>
      </c>
      <c r="AI17" s="1066">
        <v>17</v>
      </c>
      <c r="AJ17" s="777">
        <v>1</v>
      </c>
      <c r="AK17" s="777">
        <v>1</v>
      </c>
      <c r="AL17" s="777">
        <v>1</v>
      </c>
      <c r="AM17" s="777">
        <v>1</v>
      </c>
      <c r="AN17" s="777">
        <v>1</v>
      </c>
      <c r="AO17" s="777">
        <v>1</v>
      </c>
    </row>
    <row r="18" spans="1:41" x14ac:dyDescent="0.25">
      <c r="A18" s="1141">
        <v>17</v>
      </c>
      <c r="B18" s="804">
        <v>18</v>
      </c>
      <c r="C18" s="1066">
        <v>18</v>
      </c>
      <c r="D18" s="777">
        <v>1</v>
      </c>
      <c r="E18" s="777">
        <v>1</v>
      </c>
      <c r="F18" s="1066">
        <v>18</v>
      </c>
      <c r="G18" s="777">
        <v>1</v>
      </c>
      <c r="H18" s="777">
        <v>1</v>
      </c>
      <c r="I18" s="1066">
        <v>18</v>
      </c>
      <c r="J18" s="777">
        <v>1</v>
      </c>
      <c r="K18" s="777">
        <v>1</v>
      </c>
      <c r="L18" s="777">
        <v>1</v>
      </c>
      <c r="M18" s="777">
        <v>1</v>
      </c>
      <c r="N18" s="777">
        <v>1</v>
      </c>
      <c r="O18" s="777">
        <v>1</v>
      </c>
      <c r="P18" s="777">
        <v>1</v>
      </c>
      <c r="Q18" s="777">
        <v>1</v>
      </c>
      <c r="R18" s="777">
        <v>1</v>
      </c>
      <c r="S18" s="777">
        <v>1</v>
      </c>
      <c r="T18" s="777">
        <v>1</v>
      </c>
      <c r="U18" s="777">
        <v>1</v>
      </c>
      <c r="V18" s="777">
        <v>1</v>
      </c>
      <c r="W18" s="1066">
        <v>18</v>
      </c>
      <c r="X18" s="777">
        <v>1</v>
      </c>
      <c r="Y18" s="777">
        <v>1</v>
      </c>
      <c r="Z18" s="777">
        <v>1</v>
      </c>
      <c r="AA18" s="777">
        <v>1</v>
      </c>
      <c r="AB18" s="777">
        <v>1</v>
      </c>
      <c r="AC18" s="777">
        <v>1</v>
      </c>
      <c r="AD18" s="777">
        <v>1</v>
      </c>
      <c r="AE18" s="777">
        <v>1</v>
      </c>
      <c r="AF18" s="777">
        <v>18</v>
      </c>
      <c r="AG18" s="777">
        <v>1</v>
      </c>
      <c r="AH18" s="777">
        <v>1</v>
      </c>
      <c r="AI18" s="1066">
        <v>18</v>
      </c>
      <c r="AJ18" s="777">
        <v>1</v>
      </c>
      <c r="AK18" s="777">
        <v>1</v>
      </c>
      <c r="AL18" s="777">
        <v>1</v>
      </c>
      <c r="AM18" s="777">
        <v>1</v>
      </c>
      <c r="AN18" s="777">
        <v>1</v>
      </c>
      <c r="AO18" s="1066">
        <v>18</v>
      </c>
    </row>
    <row r="19" spans="1:41" x14ac:dyDescent="0.25">
      <c r="A19" s="1141">
        <v>18</v>
      </c>
      <c r="B19" s="804">
        <v>19</v>
      </c>
      <c r="C19" s="1066">
        <v>19</v>
      </c>
      <c r="D19" s="777">
        <v>1</v>
      </c>
      <c r="E19" s="777">
        <v>1</v>
      </c>
      <c r="F19" s="777">
        <v>1</v>
      </c>
      <c r="G19" s="777">
        <v>1</v>
      </c>
      <c r="H19" s="777">
        <v>1</v>
      </c>
      <c r="I19" s="777">
        <v>1</v>
      </c>
      <c r="J19" s="777">
        <v>1</v>
      </c>
      <c r="K19" s="777">
        <v>1</v>
      </c>
      <c r="L19" s="777">
        <v>1</v>
      </c>
      <c r="M19" s="777">
        <v>1</v>
      </c>
      <c r="N19" s="777">
        <v>1</v>
      </c>
      <c r="O19" s="777">
        <v>1</v>
      </c>
      <c r="P19" s="777">
        <v>1</v>
      </c>
      <c r="Q19" s="777">
        <v>1</v>
      </c>
      <c r="R19" s="777">
        <v>1</v>
      </c>
      <c r="S19" s="777">
        <v>1</v>
      </c>
      <c r="T19" s="777">
        <v>1</v>
      </c>
      <c r="U19" s="777">
        <v>1</v>
      </c>
      <c r="V19" s="777">
        <v>1</v>
      </c>
      <c r="W19" s="1066">
        <v>19</v>
      </c>
      <c r="X19" s="777">
        <v>1</v>
      </c>
      <c r="Y19" s="777">
        <v>1</v>
      </c>
      <c r="Z19" s="777">
        <v>1</v>
      </c>
      <c r="AA19" s="777">
        <v>1</v>
      </c>
      <c r="AB19" s="777">
        <v>1</v>
      </c>
      <c r="AC19" s="777">
        <v>1</v>
      </c>
      <c r="AD19" s="777">
        <v>1</v>
      </c>
      <c r="AE19" s="777">
        <v>1</v>
      </c>
      <c r="AF19" s="777">
        <v>19</v>
      </c>
      <c r="AG19" s="777">
        <v>1</v>
      </c>
      <c r="AH19" s="777">
        <v>1</v>
      </c>
      <c r="AI19" s="777">
        <v>1</v>
      </c>
      <c r="AJ19" s="777">
        <v>1</v>
      </c>
      <c r="AK19" s="777">
        <v>1</v>
      </c>
      <c r="AL19" s="777">
        <v>1</v>
      </c>
      <c r="AM19" s="777">
        <v>1</v>
      </c>
      <c r="AN19" s="777">
        <v>1</v>
      </c>
      <c r="AO19" s="1066">
        <v>19</v>
      </c>
    </row>
    <row r="20" spans="1:41" x14ac:dyDescent="0.25">
      <c r="A20" s="1141">
        <v>19</v>
      </c>
      <c r="B20" s="804">
        <v>20</v>
      </c>
      <c r="C20" s="1066">
        <v>20</v>
      </c>
      <c r="D20" s="1066">
        <v>1</v>
      </c>
      <c r="E20" s="777">
        <v>1</v>
      </c>
      <c r="F20" s="777">
        <v>1</v>
      </c>
      <c r="G20" s="1066">
        <v>20</v>
      </c>
      <c r="H20" s="777">
        <v>1</v>
      </c>
      <c r="I20" s="777">
        <v>1</v>
      </c>
      <c r="J20" s="777">
        <v>1</v>
      </c>
      <c r="K20" s="777">
        <v>1</v>
      </c>
      <c r="L20" s="777">
        <v>1</v>
      </c>
      <c r="M20" s="777">
        <v>1</v>
      </c>
      <c r="N20" s="777">
        <v>1</v>
      </c>
      <c r="O20" s="777">
        <v>1</v>
      </c>
      <c r="P20" s="777">
        <v>1</v>
      </c>
      <c r="Q20" s="777">
        <v>1</v>
      </c>
      <c r="R20" s="777">
        <v>1</v>
      </c>
      <c r="S20" s="777">
        <v>1</v>
      </c>
      <c r="T20" s="777">
        <v>1</v>
      </c>
      <c r="U20" s="777">
        <v>1</v>
      </c>
      <c r="V20" s="777">
        <v>1</v>
      </c>
      <c r="W20" s="1066">
        <v>20</v>
      </c>
      <c r="X20" s="777">
        <v>1</v>
      </c>
      <c r="Y20" s="777">
        <v>1</v>
      </c>
      <c r="Z20" s="777">
        <v>1</v>
      </c>
      <c r="AA20" s="777">
        <v>1</v>
      </c>
      <c r="AB20" s="777">
        <v>1</v>
      </c>
      <c r="AC20" s="777">
        <v>1</v>
      </c>
      <c r="AD20" s="777">
        <v>1</v>
      </c>
      <c r="AE20" s="777">
        <v>1</v>
      </c>
      <c r="AF20" s="777">
        <v>20</v>
      </c>
      <c r="AG20" s="777">
        <v>1</v>
      </c>
      <c r="AH20" s="777">
        <v>1</v>
      </c>
      <c r="AI20" s="777">
        <v>1</v>
      </c>
      <c r="AJ20" s="777">
        <v>1</v>
      </c>
      <c r="AK20" s="777">
        <v>1</v>
      </c>
      <c r="AL20" s="777">
        <v>1</v>
      </c>
      <c r="AM20" s="777">
        <v>1</v>
      </c>
      <c r="AN20" s="777">
        <v>1</v>
      </c>
      <c r="AO20" s="777">
        <v>1</v>
      </c>
    </row>
    <row r="21" spans="1:41" x14ac:dyDescent="0.25">
      <c r="A21" s="1141">
        <v>20</v>
      </c>
      <c r="B21" s="804">
        <v>21</v>
      </c>
      <c r="C21" s="1066">
        <v>21</v>
      </c>
      <c r="D21" s="777">
        <v>1</v>
      </c>
      <c r="E21" s="777">
        <v>1</v>
      </c>
      <c r="F21" s="1066">
        <v>21</v>
      </c>
      <c r="G21" s="777">
        <v>1</v>
      </c>
      <c r="H21" s="777">
        <v>1</v>
      </c>
      <c r="I21" s="777">
        <v>1</v>
      </c>
      <c r="J21" s="777">
        <v>1</v>
      </c>
      <c r="K21" s="777">
        <v>1</v>
      </c>
      <c r="L21" s="1066">
        <v>21</v>
      </c>
      <c r="M21" s="777">
        <v>1</v>
      </c>
      <c r="N21" s="777">
        <v>1</v>
      </c>
      <c r="O21" s="777">
        <v>1</v>
      </c>
      <c r="P21" s="777">
        <v>1</v>
      </c>
      <c r="Q21" s="777">
        <v>1</v>
      </c>
      <c r="R21" s="777">
        <v>1</v>
      </c>
      <c r="S21" s="777">
        <v>1</v>
      </c>
      <c r="T21" s="777">
        <v>1</v>
      </c>
      <c r="U21" s="777">
        <v>1</v>
      </c>
      <c r="V21" s="777">
        <v>1</v>
      </c>
      <c r="W21" s="1066">
        <v>21</v>
      </c>
      <c r="X21" s="777">
        <v>1</v>
      </c>
      <c r="Y21" s="777">
        <v>1</v>
      </c>
      <c r="Z21" s="777">
        <v>1</v>
      </c>
      <c r="AA21" s="777">
        <v>1</v>
      </c>
      <c r="AB21" s="777">
        <v>1</v>
      </c>
      <c r="AC21" s="777">
        <v>1</v>
      </c>
      <c r="AD21" s="777">
        <v>1</v>
      </c>
      <c r="AE21" s="777">
        <v>1</v>
      </c>
      <c r="AF21" s="777">
        <v>1</v>
      </c>
      <c r="AG21" s="777">
        <v>1</v>
      </c>
      <c r="AH21" s="777">
        <v>1</v>
      </c>
      <c r="AI21" s="777">
        <v>1</v>
      </c>
      <c r="AJ21" s="777">
        <v>1</v>
      </c>
      <c r="AK21" s="777">
        <v>1</v>
      </c>
      <c r="AL21" s="777">
        <v>1</v>
      </c>
      <c r="AM21" s="777">
        <v>1</v>
      </c>
      <c r="AN21" s="777">
        <v>1</v>
      </c>
      <c r="AO21" s="777">
        <v>1</v>
      </c>
    </row>
    <row r="22" spans="1:41" x14ac:dyDescent="0.25">
      <c r="A22" s="1141">
        <v>21</v>
      </c>
      <c r="B22" s="804">
        <v>22</v>
      </c>
      <c r="C22" s="1066">
        <v>22</v>
      </c>
      <c r="D22" s="777">
        <v>1</v>
      </c>
      <c r="E22" s="777">
        <v>1</v>
      </c>
      <c r="F22" s="777">
        <v>1</v>
      </c>
      <c r="G22" s="777">
        <v>1</v>
      </c>
      <c r="H22" s="777">
        <v>1</v>
      </c>
      <c r="I22" s="777">
        <v>22</v>
      </c>
      <c r="J22" s="777">
        <v>1</v>
      </c>
      <c r="K22" s="777">
        <v>1</v>
      </c>
      <c r="L22" s="777">
        <v>1</v>
      </c>
      <c r="M22" s="777">
        <v>1</v>
      </c>
      <c r="N22" s="777">
        <v>1</v>
      </c>
      <c r="O22" s="777">
        <v>1</v>
      </c>
      <c r="P22" s="777">
        <v>1</v>
      </c>
      <c r="Q22" s="777">
        <v>1</v>
      </c>
      <c r="R22" s="777">
        <v>1</v>
      </c>
      <c r="S22" s="777">
        <v>1</v>
      </c>
      <c r="T22" s="777">
        <v>1</v>
      </c>
      <c r="U22" s="777">
        <v>1</v>
      </c>
      <c r="V22" s="777">
        <v>1</v>
      </c>
      <c r="W22" s="1066">
        <v>22</v>
      </c>
      <c r="X22" s="777">
        <v>1</v>
      </c>
      <c r="Y22" s="777">
        <v>1</v>
      </c>
      <c r="Z22" s="777">
        <v>1</v>
      </c>
      <c r="AA22" s="777">
        <v>1</v>
      </c>
      <c r="AB22" s="777">
        <v>1</v>
      </c>
      <c r="AC22" s="777">
        <v>1</v>
      </c>
      <c r="AD22" s="777">
        <v>1</v>
      </c>
      <c r="AE22" s="777">
        <v>1</v>
      </c>
      <c r="AF22" s="777">
        <v>22</v>
      </c>
      <c r="AG22" s="777">
        <v>1</v>
      </c>
      <c r="AH22" s="777">
        <v>1</v>
      </c>
      <c r="AI22" s="777">
        <v>1</v>
      </c>
      <c r="AJ22" s="777">
        <v>1</v>
      </c>
      <c r="AK22" s="777">
        <v>1</v>
      </c>
      <c r="AL22" s="777">
        <v>1</v>
      </c>
      <c r="AM22" s="777">
        <v>1</v>
      </c>
      <c r="AN22" s="777">
        <v>1</v>
      </c>
      <c r="AO22" s="777">
        <v>1</v>
      </c>
    </row>
    <row r="23" spans="1:41" x14ac:dyDescent="0.25">
      <c r="A23" s="1141">
        <v>22</v>
      </c>
      <c r="B23" s="804">
        <v>23</v>
      </c>
      <c r="C23" s="1066">
        <v>23</v>
      </c>
      <c r="D23" s="777">
        <v>1</v>
      </c>
      <c r="E23" s="777">
        <v>23</v>
      </c>
      <c r="F23" s="777">
        <v>23</v>
      </c>
      <c r="G23" s="777">
        <v>23</v>
      </c>
      <c r="H23" s="777">
        <v>1</v>
      </c>
      <c r="I23" s="777">
        <v>1</v>
      </c>
      <c r="J23" s="777">
        <v>1</v>
      </c>
      <c r="K23" s="777">
        <v>1</v>
      </c>
      <c r="L23" s="777">
        <v>1</v>
      </c>
      <c r="M23" s="777">
        <v>1</v>
      </c>
      <c r="N23" s="777">
        <v>1</v>
      </c>
      <c r="O23" s="777">
        <v>1</v>
      </c>
      <c r="P23" s="777">
        <v>1</v>
      </c>
      <c r="Q23" s="777">
        <v>1</v>
      </c>
      <c r="R23" s="777">
        <v>1</v>
      </c>
      <c r="S23" s="777">
        <v>1</v>
      </c>
      <c r="T23" s="777">
        <v>1</v>
      </c>
      <c r="U23" s="777">
        <v>1</v>
      </c>
      <c r="V23" s="777">
        <v>1</v>
      </c>
      <c r="W23" s="1066">
        <v>23</v>
      </c>
      <c r="X23" s="777">
        <v>1</v>
      </c>
      <c r="Y23" s="777">
        <v>1</v>
      </c>
      <c r="Z23" s="1066">
        <v>23</v>
      </c>
      <c r="AA23" s="777">
        <v>1</v>
      </c>
      <c r="AB23" s="777">
        <v>1</v>
      </c>
      <c r="AC23" s="777">
        <v>1</v>
      </c>
      <c r="AD23" s="777">
        <v>1</v>
      </c>
      <c r="AE23" s="777">
        <v>23</v>
      </c>
      <c r="AF23" s="777">
        <v>23</v>
      </c>
      <c r="AG23" s="777">
        <v>1</v>
      </c>
      <c r="AH23" s="777">
        <v>1</v>
      </c>
      <c r="AI23" s="777">
        <v>23</v>
      </c>
      <c r="AJ23" s="777">
        <v>1</v>
      </c>
      <c r="AK23" s="777">
        <v>1</v>
      </c>
      <c r="AL23" s="777">
        <v>1</v>
      </c>
      <c r="AM23" s="777">
        <v>1</v>
      </c>
      <c r="AN23" s="777">
        <v>1</v>
      </c>
      <c r="AO23" s="777">
        <v>1</v>
      </c>
    </row>
    <row r="24" spans="1:41" x14ac:dyDescent="0.25">
      <c r="A24" s="1141">
        <v>23</v>
      </c>
      <c r="B24" s="804">
        <v>24</v>
      </c>
      <c r="C24" s="1066">
        <v>24</v>
      </c>
      <c r="D24" s="777">
        <v>1</v>
      </c>
      <c r="E24" s="777">
        <v>1</v>
      </c>
      <c r="F24" s="777">
        <v>24</v>
      </c>
      <c r="G24" s="777">
        <v>1</v>
      </c>
      <c r="H24" s="777">
        <v>1</v>
      </c>
      <c r="I24" s="777">
        <v>1</v>
      </c>
      <c r="J24" s="777">
        <v>1</v>
      </c>
      <c r="K24" s="777">
        <v>1</v>
      </c>
      <c r="L24" s="1066">
        <v>24</v>
      </c>
      <c r="M24" s="777">
        <v>1</v>
      </c>
      <c r="N24" s="777">
        <v>1</v>
      </c>
      <c r="O24" s="777">
        <v>1</v>
      </c>
      <c r="P24" s="777">
        <v>1</v>
      </c>
      <c r="Q24" s="777">
        <v>1</v>
      </c>
      <c r="R24" s="777">
        <v>1</v>
      </c>
      <c r="S24" s="777">
        <v>1</v>
      </c>
      <c r="T24" s="777">
        <v>1</v>
      </c>
      <c r="U24" s="777">
        <v>1</v>
      </c>
      <c r="V24" s="777">
        <v>1</v>
      </c>
      <c r="W24" s="1066">
        <v>24</v>
      </c>
      <c r="X24" s="777">
        <v>1</v>
      </c>
      <c r="Y24" s="777">
        <v>1</v>
      </c>
      <c r="Z24" s="777">
        <v>1</v>
      </c>
      <c r="AA24" s="777">
        <v>24</v>
      </c>
      <c r="AB24" s="777">
        <v>1</v>
      </c>
      <c r="AC24" s="777">
        <v>1</v>
      </c>
      <c r="AD24" s="777">
        <v>1</v>
      </c>
      <c r="AE24" s="777">
        <v>24</v>
      </c>
      <c r="AF24" s="777">
        <v>1</v>
      </c>
      <c r="AG24" s="777">
        <v>1</v>
      </c>
      <c r="AH24" s="777">
        <v>1</v>
      </c>
      <c r="AI24" s="1066">
        <v>24</v>
      </c>
      <c r="AJ24" s="777">
        <v>1</v>
      </c>
      <c r="AK24" s="777">
        <v>1</v>
      </c>
      <c r="AL24" s="777">
        <v>1</v>
      </c>
      <c r="AM24" s="777">
        <v>1</v>
      </c>
      <c r="AN24" s="777">
        <v>1</v>
      </c>
      <c r="AO24" s="1066">
        <v>24</v>
      </c>
    </row>
    <row r="25" spans="1:41" x14ac:dyDescent="0.25">
      <c r="A25" s="1141">
        <v>24</v>
      </c>
      <c r="B25" s="804">
        <v>25</v>
      </c>
      <c r="C25" s="1066">
        <v>25</v>
      </c>
      <c r="D25" s="1066">
        <v>25</v>
      </c>
      <c r="E25" s="1066">
        <v>25</v>
      </c>
      <c r="F25" s="777">
        <v>1</v>
      </c>
      <c r="G25" s="777">
        <v>1</v>
      </c>
      <c r="H25" s="1066">
        <v>25</v>
      </c>
      <c r="I25" s="777">
        <v>1</v>
      </c>
      <c r="J25" s="777">
        <v>1</v>
      </c>
      <c r="K25" s="777">
        <v>1</v>
      </c>
      <c r="L25" s="777">
        <v>1</v>
      </c>
      <c r="M25" s="777">
        <v>1</v>
      </c>
      <c r="N25" s="777">
        <v>1</v>
      </c>
      <c r="O25" s="777">
        <v>1</v>
      </c>
      <c r="P25" s="777">
        <v>1</v>
      </c>
      <c r="Q25" s="777">
        <v>1</v>
      </c>
      <c r="R25" s="777">
        <v>1</v>
      </c>
      <c r="S25" s="777">
        <v>1</v>
      </c>
      <c r="T25" s="777">
        <v>1</v>
      </c>
      <c r="U25" s="777">
        <v>1</v>
      </c>
      <c r="V25" s="777">
        <v>1</v>
      </c>
      <c r="W25" s="777">
        <v>1</v>
      </c>
      <c r="X25" s="777">
        <v>1</v>
      </c>
      <c r="Y25" s="777">
        <v>1</v>
      </c>
      <c r="Z25" s="777">
        <v>1</v>
      </c>
      <c r="AA25" s="777">
        <v>1</v>
      </c>
      <c r="AB25" s="777">
        <v>1</v>
      </c>
      <c r="AC25" s="777">
        <v>1</v>
      </c>
      <c r="AD25" s="777">
        <v>1</v>
      </c>
      <c r="AE25" s="777">
        <v>1</v>
      </c>
      <c r="AF25" s="777">
        <v>1</v>
      </c>
      <c r="AG25" s="777">
        <v>1</v>
      </c>
      <c r="AH25" s="777">
        <v>1</v>
      </c>
      <c r="AI25" s="777">
        <v>1</v>
      </c>
      <c r="AJ25" s="777">
        <v>1</v>
      </c>
      <c r="AK25" s="777">
        <v>1</v>
      </c>
      <c r="AL25" s="777">
        <v>1</v>
      </c>
      <c r="AM25" s="777">
        <v>1</v>
      </c>
      <c r="AN25" s="777">
        <v>1</v>
      </c>
      <c r="AO25" s="777">
        <v>1</v>
      </c>
    </row>
    <row r="26" spans="1:41" x14ac:dyDescent="0.25">
      <c r="A26" s="1141">
        <v>25</v>
      </c>
      <c r="B26" s="804">
        <v>26</v>
      </c>
      <c r="C26" s="1066">
        <v>26</v>
      </c>
      <c r="D26" s="1066">
        <v>26</v>
      </c>
      <c r="E26" s="1066">
        <v>26</v>
      </c>
      <c r="F26" s="777">
        <v>1</v>
      </c>
      <c r="G26" s="777">
        <v>1</v>
      </c>
      <c r="H26" s="777">
        <v>1</v>
      </c>
      <c r="I26" s="777">
        <v>1</v>
      </c>
      <c r="J26" s="777">
        <v>1</v>
      </c>
      <c r="K26" s="777">
        <v>1</v>
      </c>
      <c r="L26" s="777">
        <v>26</v>
      </c>
      <c r="M26" s="777">
        <v>1</v>
      </c>
      <c r="N26" s="777">
        <v>1</v>
      </c>
      <c r="O26" s="777">
        <v>1</v>
      </c>
      <c r="P26" s="777">
        <v>1</v>
      </c>
      <c r="Q26" s="777">
        <v>1</v>
      </c>
      <c r="R26" s="777">
        <v>1</v>
      </c>
      <c r="S26" s="777">
        <v>1</v>
      </c>
      <c r="T26" s="777">
        <v>1</v>
      </c>
      <c r="U26" s="777">
        <v>1</v>
      </c>
      <c r="V26" s="777">
        <v>1</v>
      </c>
      <c r="W26" s="1066">
        <v>26</v>
      </c>
      <c r="X26" s="777">
        <v>1</v>
      </c>
      <c r="Y26" s="777">
        <v>1</v>
      </c>
      <c r="Z26" s="1066">
        <v>26</v>
      </c>
      <c r="AA26" s="1066">
        <v>26</v>
      </c>
      <c r="AB26" s="777">
        <v>1</v>
      </c>
      <c r="AC26" s="777">
        <v>1</v>
      </c>
      <c r="AD26" s="777">
        <v>1</v>
      </c>
      <c r="AE26" s="777">
        <v>26</v>
      </c>
      <c r="AF26" s="1066">
        <v>26</v>
      </c>
      <c r="AG26" s="777">
        <v>1</v>
      </c>
      <c r="AH26" s="777">
        <v>1</v>
      </c>
      <c r="AI26" s="1066">
        <v>26</v>
      </c>
      <c r="AJ26" s="777">
        <v>1</v>
      </c>
      <c r="AK26" s="777">
        <v>1</v>
      </c>
      <c r="AL26" s="777">
        <v>1</v>
      </c>
      <c r="AM26" s="777">
        <v>1</v>
      </c>
      <c r="AN26" s="777">
        <v>1</v>
      </c>
      <c r="AO26" s="777">
        <v>1</v>
      </c>
    </row>
    <row r="27" spans="1:41" x14ac:dyDescent="0.25">
      <c r="A27" s="1141">
        <v>26</v>
      </c>
      <c r="B27" s="804">
        <v>27</v>
      </c>
      <c r="C27" s="777">
        <v>27</v>
      </c>
      <c r="D27" s="777">
        <v>1</v>
      </c>
      <c r="E27" s="777">
        <v>1</v>
      </c>
      <c r="F27" s="777">
        <v>1</v>
      </c>
      <c r="G27" s="1066">
        <v>27</v>
      </c>
      <c r="H27" s="777">
        <v>1</v>
      </c>
      <c r="I27" s="777">
        <v>1</v>
      </c>
      <c r="J27" s="777">
        <v>1</v>
      </c>
      <c r="K27" s="777">
        <v>1</v>
      </c>
      <c r="L27" s="1066">
        <v>27</v>
      </c>
      <c r="M27" s="777">
        <v>1</v>
      </c>
      <c r="N27" s="777">
        <v>1</v>
      </c>
      <c r="O27" s="777">
        <v>1</v>
      </c>
      <c r="P27" s="777">
        <v>1</v>
      </c>
      <c r="Q27" s="777">
        <v>1</v>
      </c>
      <c r="R27" s="777">
        <v>1</v>
      </c>
      <c r="S27" s="777">
        <v>1</v>
      </c>
      <c r="T27" s="777">
        <v>1</v>
      </c>
      <c r="U27" s="777">
        <v>1</v>
      </c>
      <c r="V27" s="777">
        <v>1</v>
      </c>
      <c r="W27" s="1066">
        <v>27</v>
      </c>
      <c r="X27" s="777">
        <v>1</v>
      </c>
      <c r="Y27" s="777">
        <v>1</v>
      </c>
      <c r="Z27" s="777">
        <v>1</v>
      </c>
      <c r="AA27" s="777">
        <v>1</v>
      </c>
      <c r="AB27" s="777">
        <v>1</v>
      </c>
      <c r="AC27" s="777">
        <v>1</v>
      </c>
      <c r="AD27" s="777">
        <v>1</v>
      </c>
      <c r="AE27" s="777">
        <v>1</v>
      </c>
      <c r="AF27" s="777">
        <v>27</v>
      </c>
      <c r="AG27" s="777">
        <v>1</v>
      </c>
      <c r="AH27" s="777">
        <v>1</v>
      </c>
      <c r="AI27" s="777">
        <v>1</v>
      </c>
      <c r="AJ27" s="777">
        <v>1</v>
      </c>
      <c r="AK27" s="777">
        <v>1</v>
      </c>
      <c r="AL27" s="777">
        <v>1</v>
      </c>
      <c r="AM27" s="777">
        <v>1</v>
      </c>
      <c r="AN27" s="777">
        <v>1</v>
      </c>
      <c r="AO27" s="777">
        <v>1</v>
      </c>
    </row>
    <row r="28" spans="1:41" x14ac:dyDescent="0.25">
      <c r="A28" s="1141">
        <v>27</v>
      </c>
      <c r="B28" s="804">
        <v>28</v>
      </c>
      <c r="C28" s="1066">
        <v>28</v>
      </c>
      <c r="D28" s="777">
        <v>1</v>
      </c>
      <c r="E28" s="777">
        <v>1</v>
      </c>
      <c r="F28" s="777">
        <v>1</v>
      </c>
      <c r="G28" s="777">
        <v>28</v>
      </c>
      <c r="H28" s="1066">
        <v>28</v>
      </c>
      <c r="I28" s="777">
        <v>1</v>
      </c>
      <c r="J28" s="777">
        <v>1</v>
      </c>
      <c r="K28" s="777">
        <v>1</v>
      </c>
      <c r="L28" s="1066">
        <v>28</v>
      </c>
      <c r="M28" s="777">
        <v>1</v>
      </c>
      <c r="N28" s="777">
        <v>1</v>
      </c>
      <c r="O28" s="777">
        <v>1</v>
      </c>
      <c r="P28" s="777">
        <v>1</v>
      </c>
      <c r="Q28" s="777">
        <v>1</v>
      </c>
      <c r="R28" s="777">
        <v>1</v>
      </c>
      <c r="S28" s="777">
        <v>1</v>
      </c>
      <c r="T28" s="777">
        <v>1</v>
      </c>
      <c r="U28" s="777">
        <v>1</v>
      </c>
      <c r="V28" s="777">
        <v>1</v>
      </c>
      <c r="W28" s="1066">
        <v>28</v>
      </c>
      <c r="X28" s="777">
        <v>1</v>
      </c>
      <c r="Y28" s="777">
        <v>1</v>
      </c>
      <c r="Z28" s="777">
        <v>1</v>
      </c>
      <c r="AA28" s="777">
        <v>28</v>
      </c>
      <c r="AB28" s="777">
        <v>1</v>
      </c>
      <c r="AC28" s="777">
        <v>1</v>
      </c>
      <c r="AD28" s="777">
        <v>1</v>
      </c>
      <c r="AE28" s="777">
        <v>28</v>
      </c>
      <c r="AF28" s="777">
        <v>28</v>
      </c>
      <c r="AG28" s="777">
        <v>1</v>
      </c>
      <c r="AH28" s="777">
        <v>1</v>
      </c>
      <c r="AI28" s="777">
        <v>28</v>
      </c>
      <c r="AJ28" s="777">
        <v>1</v>
      </c>
      <c r="AK28" s="777">
        <v>1</v>
      </c>
      <c r="AL28" s="777">
        <v>1</v>
      </c>
      <c r="AM28" s="777">
        <v>1</v>
      </c>
      <c r="AN28" s="777">
        <v>1</v>
      </c>
      <c r="AO28" s="777">
        <v>1</v>
      </c>
    </row>
    <row r="29" spans="1:41" x14ac:dyDescent="0.25">
      <c r="A29" s="1141">
        <v>28</v>
      </c>
      <c r="B29" s="804">
        <v>29</v>
      </c>
      <c r="C29" s="1066">
        <v>29</v>
      </c>
      <c r="D29" s="1066">
        <v>29</v>
      </c>
      <c r="E29" s="777">
        <v>1</v>
      </c>
      <c r="F29" s="777">
        <v>1</v>
      </c>
      <c r="G29" s="1066">
        <v>29</v>
      </c>
      <c r="H29" s="777">
        <v>1</v>
      </c>
      <c r="I29" s="777">
        <v>1</v>
      </c>
      <c r="J29" s="777">
        <v>1</v>
      </c>
      <c r="K29" s="777">
        <v>1</v>
      </c>
      <c r="L29" s="777">
        <v>1</v>
      </c>
      <c r="M29" s="777">
        <v>1</v>
      </c>
      <c r="N29" s="777">
        <v>1</v>
      </c>
      <c r="O29" s="777">
        <v>1</v>
      </c>
      <c r="P29" s="777">
        <v>1</v>
      </c>
      <c r="Q29" s="777">
        <v>1</v>
      </c>
      <c r="R29" s="777">
        <v>1</v>
      </c>
      <c r="S29" s="777">
        <v>1</v>
      </c>
      <c r="T29" s="777">
        <v>1</v>
      </c>
      <c r="U29" s="777">
        <v>1</v>
      </c>
      <c r="V29" s="777">
        <v>1</v>
      </c>
      <c r="W29" s="1066">
        <v>1</v>
      </c>
      <c r="X29" s="777">
        <v>1</v>
      </c>
      <c r="Y29" s="777">
        <v>1</v>
      </c>
      <c r="Z29" s="777">
        <v>1</v>
      </c>
      <c r="AA29" s="777">
        <v>1</v>
      </c>
      <c r="AB29" s="777">
        <v>1</v>
      </c>
      <c r="AC29" s="777">
        <v>1</v>
      </c>
      <c r="AD29" s="777">
        <v>1</v>
      </c>
      <c r="AE29" s="777">
        <v>1</v>
      </c>
      <c r="AF29" s="777">
        <v>1</v>
      </c>
      <c r="AG29" s="777">
        <v>1</v>
      </c>
      <c r="AH29" s="777">
        <v>1</v>
      </c>
      <c r="AI29" s="777">
        <v>1</v>
      </c>
      <c r="AJ29" s="777">
        <v>1</v>
      </c>
      <c r="AK29" s="777">
        <v>1</v>
      </c>
      <c r="AL29" s="777">
        <v>1</v>
      </c>
      <c r="AM29" s="777">
        <v>1</v>
      </c>
      <c r="AN29" s="777">
        <v>1</v>
      </c>
      <c r="AO29" s="777">
        <v>1</v>
      </c>
    </row>
    <row r="30" spans="1:41" x14ac:dyDescent="0.25">
      <c r="A30" s="1141">
        <v>29</v>
      </c>
      <c r="B30" s="804">
        <v>30</v>
      </c>
      <c r="C30" s="1066">
        <v>30</v>
      </c>
      <c r="D30" s="777">
        <v>1</v>
      </c>
      <c r="E30" s="777">
        <v>30</v>
      </c>
      <c r="F30" s="1066">
        <v>30</v>
      </c>
      <c r="G30" s="777">
        <v>1</v>
      </c>
      <c r="H30" s="777">
        <v>1</v>
      </c>
      <c r="I30" s="777">
        <v>30</v>
      </c>
      <c r="J30" s="777">
        <v>1</v>
      </c>
      <c r="K30" s="777">
        <v>1</v>
      </c>
      <c r="L30" s="777">
        <v>1</v>
      </c>
      <c r="M30" s="777">
        <v>1</v>
      </c>
      <c r="N30" s="777">
        <v>1</v>
      </c>
      <c r="O30" s="777">
        <v>1</v>
      </c>
      <c r="P30" s="777">
        <v>1</v>
      </c>
      <c r="Q30" s="777">
        <v>1</v>
      </c>
      <c r="R30" s="777">
        <v>1</v>
      </c>
      <c r="S30" s="777">
        <v>1</v>
      </c>
      <c r="T30" s="777">
        <v>1</v>
      </c>
      <c r="U30" s="777">
        <v>1</v>
      </c>
      <c r="V30" s="777">
        <v>1</v>
      </c>
      <c r="W30" s="1066">
        <v>30</v>
      </c>
      <c r="X30" s="777">
        <v>1</v>
      </c>
      <c r="Y30" s="777">
        <v>1</v>
      </c>
      <c r="Z30" s="777">
        <v>1</v>
      </c>
      <c r="AA30" s="777">
        <v>1</v>
      </c>
      <c r="AB30" s="777">
        <v>1</v>
      </c>
      <c r="AC30" s="777">
        <v>1</v>
      </c>
      <c r="AD30" s="777">
        <v>1</v>
      </c>
      <c r="AE30" s="777">
        <v>1</v>
      </c>
      <c r="AF30" s="777">
        <v>30</v>
      </c>
      <c r="AG30" s="777">
        <v>1</v>
      </c>
      <c r="AH30" s="777">
        <v>1</v>
      </c>
      <c r="AI30" s="777">
        <v>1</v>
      </c>
      <c r="AJ30" s="777">
        <v>1</v>
      </c>
      <c r="AK30" s="777">
        <v>1</v>
      </c>
      <c r="AL30" s="777">
        <v>1</v>
      </c>
      <c r="AM30" s="777">
        <v>1</v>
      </c>
      <c r="AN30" s="777">
        <v>1</v>
      </c>
      <c r="AO30" s="777">
        <v>1</v>
      </c>
    </row>
    <row r="31" spans="1:41" x14ac:dyDescent="0.25">
      <c r="A31" s="1141">
        <v>30</v>
      </c>
      <c r="B31" s="804">
        <v>31</v>
      </c>
      <c r="C31" s="1066">
        <v>31</v>
      </c>
      <c r="D31" s="777">
        <v>1</v>
      </c>
      <c r="E31" s="777">
        <v>1</v>
      </c>
      <c r="F31" s="1066">
        <v>31</v>
      </c>
      <c r="G31" s="777">
        <v>1</v>
      </c>
      <c r="H31" s="777">
        <v>1</v>
      </c>
      <c r="I31" s="777">
        <v>1</v>
      </c>
      <c r="J31" s="777">
        <v>1</v>
      </c>
      <c r="K31" s="777">
        <v>1</v>
      </c>
      <c r="L31" s="777">
        <v>1</v>
      </c>
      <c r="M31" s="777">
        <v>1</v>
      </c>
      <c r="N31" s="777">
        <v>1</v>
      </c>
      <c r="O31" s="777">
        <v>1</v>
      </c>
      <c r="P31" s="777">
        <v>1</v>
      </c>
      <c r="Q31" s="777">
        <v>1</v>
      </c>
      <c r="R31" s="777">
        <v>1</v>
      </c>
      <c r="S31" s="777">
        <v>1</v>
      </c>
      <c r="T31" s="777">
        <v>1</v>
      </c>
      <c r="U31" s="777">
        <v>1</v>
      </c>
      <c r="V31" s="777">
        <v>1</v>
      </c>
      <c r="W31" s="1066">
        <v>31</v>
      </c>
      <c r="X31" s="777">
        <v>1</v>
      </c>
      <c r="Y31" s="777">
        <v>1</v>
      </c>
      <c r="Z31" s="777">
        <v>1</v>
      </c>
      <c r="AA31" s="777">
        <v>31</v>
      </c>
      <c r="AB31" s="777">
        <v>1</v>
      </c>
      <c r="AC31" s="777">
        <v>1</v>
      </c>
      <c r="AD31" s="777">
        <v>1</v>
      </c>
      <c r="AE31" s="777">
        <v>31</v>
      </c>
      <c r="AF31" s="777">
        <v>31</v>
      </c>
      <c r="AG31" s="777">
        <v>1</v>
      </c>
      <c r="AH31" s="777">
        <v>1</v>
      </c>
      <c r="AI31" s="777">
        <v>1</v>
      </c>
      <c r="AJ31" s="777">
        <v>1</v>
      </c>
      <c r="AK31" s="777">
        <v>1</v>
      </c>
      <c r="AL31" s="777">
        <v>1</v>
      </c>
      <c r="AM31" s="777">
        <v>1</v>
      </c>
      <c r="AN31" s="777">
        <v>1</v>
      </c>
      <c r="AO31" s="777">
        <v>31</v>
      </c>
    </row>
    <row r="32" spans="1:41" x14ac:dyDescent="0.25">
      <c r="A32" s="1141">
        <v>31</v>
      </c>
      <c r="B32" s="804">
        <v>32</v>
      </c>
      <c r="C32" s="777">
        <v>1</v>
      </c>
      <c r="D32" s="1066">
        <v>32</v>
      </c>
      <c r="E32" s="777">
        <v>1</v>
      </c>
      <c r="F32" s="777">
        <v>32</v>
      </c>
      <c r="G32" s="777">
        <v>1</v>
      </c>
      <c r="H32" s="777">
        <v>1</v>
      </c>
      <c r="I32" s="777">
        <v>32</v>
      </c>
      <c r="J32" s="777">
        <v>1</v>
      </c>
      <c r="K32" s="777">
        <v>1</v>
      </c>
      <c r="L32" s="777">
        <v>1</v>
      </c>
      <c r="M32" s="777">
        <v>1</v>
      </c>
      <c r="N32" s="777">
        <v>1</v>
      </c>
      <c r="O32" s="777">
        <v>1</v>
      </c>
      <c r="P32" s="777">
        <v>1</v>
      </c>
      <c r="Q32" s="777">
        <v>1</v>
      </c>
      <c r="R32" s="777">
        <v>1</v>
      </c>
      <c r="S32" s="777">
        <v>1</v>
      </c>
      <c r="T32" s="777">
        <v>1</v>
      </c>
      <c r="U32" s="777">
        <v>1</v>
      </c>
      <c r="V32" s="777">
        <v>1</v>
      </c>
      <c r="W32" s="1066">
        <v>32</v>
      </c>
      <c r="X32" s="777">
        <v>1</v>
      </c>
      <c r="Y32" s="1066">
        <v>1</v>
      </c>
      <c r="Z32" s="777">
        <v>32</v>
      </c>
      <c r="AA32" s="777">
        <v>1</v>
      </c>
      <c r="AB32" s="777">
        <v>1</v>
      </c>
      <c r="AC32" s="777">
        <v>1</v>
      </c>
      <c r="AD32" s="777">
        <v>1</v>
      </c>
      <c r="AE32" s="777">
        <v>32</v>
      </c>
      <c r="AF32" s="777">
        <v>32</v>
      </c>
      <c r="AG32" s="777">
        <v>1</v>
      </c>
      <c r="AH32" s="777">
        <v>1</v>
      </c>
      <c r="AI32" s="777">
        <v>1</v>
      </c>
      <c r="AJ32" s="777">
        <v>1</v>
      </c>
      <c r="AK32" s="777">
        <v>1</v>
      </c>
      <c r="AL32" s="777">
        <v>1</v>
      </c>
      <c r="AM32" s="1066">
        <v>1</v>
      </c>
      <c r="AN32" s="777">
        <v>1</v>
      </c>
      <c r="AO32" s="777">
        <v>1</v>
      </c>
    </row>
    <row r="33" spans="1:41" x14ac:dyDescent="0.25">
      <c r="A33" s="1141">
        <v>32</v>
      </c>
      <c r="B33" s="804">
        <v>33</v>
      </c>
      <c r="C33" s="1066">
        <v>33</v>
      </c>
      <c r="D33" s="1066">
        <v>1</v>
      </c>
      <c r="E33" s="777">
        <v>1</v>
      </c>
      <c r="F33" s="777">
        <v>33</v>
      </c>
      <c r="G33" s="1066">
        <v>33</v>
      </c>
      <c r="H33" s="777">
        <v>1</v>
      </c>
      <c r="I33" s="777">
        <v>33</v>
      </c>
      <c r="J33" s="777">
        <v>1</v>
      </c>
      <c r="K33" s="777">
        <v>1</v>
      </c>
      <c r="L33" s="777">
        <v>1</v>
      </c>
      <c r="M33" s="777">
        <v>1</v>
      </c>
      <c r="N33" s="777">
        <v>1</v>
      </c>
      <c r="O33" s="777">
        <v>1</v>
      </c>
      <c r="P33" s="777">
        <v>1</v>
      </c>
      <c r="Q33" s="777">
        <v>1</v>
      </c>
      <c r="R33" s="777">
        <v>1</v>
      </c>
      <c r="S33" s="777">
        <v>1</v>
      </c>
      <c r="T33" s="1066">
        <v>1</v>
      </c>
      <c r="U33" s="777">
        <v>1</v>
      </c>
      <c r="V33" s="777">
        <v>1</v>
      </c>
      <c r="W33" s="1066">
        <v>33</v>
      </c>
      <c r="X33" s="1066">
        <v>1</v>
      </c>
      <c r="Y33" s="777">
        <v>1</v>
      </c>
      <c r="Z33" s="777">
        <v>1</v>
      </c>
      <c r="AA33" s="1066">
        <v>33</v>
      </c>
      <c r="AB33" s="1066">
        <v>1</v>
      </c>
      <c r="AC33" s="1066">
        <v>1</v>
      </c>
      <c r="AD33" s="777">
        <v>1</v>
      </c>
      <c r="AE33" s="777">
        <v>33</v>
      </c>
      <c r="AF33" s="1066">
        <v>33</v>
      </c>
      <c r="AG33" s="777">
        <v>1</v>
      </c>
      <c r="AH33" s="777">
        <v>1</v>
      </c>
      <c r="AI33" s="1066">
        <v>1</v>
      </c>
      <c r="AJ33" s="777">
        <v>1</v>
      </c>
      <c r="AK33" s="777">
        <v>1</v>
      </c>
      <c r="AL33" s="777">
        <v>1</v>
      </c>
      <c r="AM33" s="777">
        <v>1</v>
      </c>
      <c r="AN33" s="777">
        <v>1</v>
      </c>
      <c r="AO33" s="777">
        <v>1</v>
      </c>
    </row>
    <row r="34" spans="1:41" x14ac:dyDescent="0.25">
      <c r="A34" s="1141">
        <v>33</v>
      </c>
      <c r="B34" s="804">
        <v>34</v>
      </c>
      <c r="C34" s="1066">
        <v>34</v>
      </c>
      <c r="D34" s="777">
        <v>1</v>
      </c>
      <c r="E34" s="777">
        <v>1</v>
      </c>
      <c r="F34" s="777">
        <v>1</v>
      </c>
      <c r="G34" s="777">
        <v>1</v>
      </c>
      <c r="H34" s="777">
        <v>1</v>
      </c>
      <c r="I34" s="777">
        <v>34</v>
      </c>
      <c r="J34" s="777">
        <v>1</v>
      </c>
      <c r="K34" s="777">
        <v>1</v>
      </c>
      <c r="L34" s="777">
        <v>1</v>
      </c>
      <c r="M34" s="777">
        <v>1</v>
      </c>
      <c r="N34" s="777">
        <v>1</v>
      </c>
      <c r="O34" s="777">
        <v>1</v>
      </c>
      <c r="P34" s="777">
        <v>1</v>
      </c>
      <c r="Q34" s="1066">
        <v>1</v>
      </c>
      <c r="R34" s="777">
        <v>1</v>
      </c>
      <c r="S34" s="777">
        <v>1</v>
      </c>
      <c r="T34" s="777">
        <v>1</v>
      </c>
      <c r="U34" s="777">
        <v>1</v>
      </c>
      <c r="V34" s="777">
        <v>1</v>
      </c>
      <c r="W34" s="1066">
        <v>34</v>
      </c>
      <c r="X34" s="777">
        <v>1</v>
      </c>
      <c r="Y34" s="777">
        <v>1</v>
      </c>
      <c r="Z34" s="777">
        <v>1</v>
      </c>
      <c r="AA34" s="777">
        <v>34</v>
      </c>
      <c r="AB34" s="777">
        <v>1</v>
      </c>
      <c r="AC34" s="777">
        <v>1</v>
      </c>
      <c r="AD34" s="777">
        <v>1</v>
      </c>
      <c r="AE34" s="777">
        <v>34</v>
      </c>
      <c r="AF34" s="777">
        <v>34</v>
      </c>
      <c r="AG34" s="777">
        <v>1</v>
      </c>
      <c r="AH34" s="777">
        <v>1</v>
      </c>
      <c r="AI34" s="777">
        <v>34</v>
      </c>
      <c r="AJ34" s="777">
        <v>1</v>
      </c>
      <c r="AK34" s="777">
        <v>1</v>
      </c>
      <c r="AL34" s="777">
        <v>1</v>
      </c>
      <c r="AM34" s="1066">
        <v>1</v>
      </c>
      <c r="AN34" s="777">
        <v>1</v>
      </c>
      <c r="AO34" s="777">
        <v>1</v>
      </c>
    </row>
    <row r="35" spans="1:41" x14ac:dyDescent="0.25">
      <c r="A35" s="1141">
        <v>34</v>
      </c>
      <c r="B35" s="804">
        <v>35</v>
      </c>
      <c r="C35" s="1066">
        <v>35</v>
      </c>
      <c r="D35" s="777">
        <v>1</v>
      </c>
      <c r="E35" s="777">
        <v>1</v>
      </c>
      <c r="F35" s="1066">
        <v>35</v>
      </c>
      <c r="G35" s="777">
        <v>1</v>
      </c>
      <c r="H35" s="777">
        <v>1</v>
      </c>
      <c r="I35" s="777">
        <v>1</v>
      </c>
      <c r="J35" s="777">
        <v>1</v>
      </c>
      <c r="K35" s="777">
        <v>1</v>
      </c>
      <c r="L35" s="777">
        <v>1</v>
      </c>
      <c r="M35" s="777">
        <v>1</v>
      </c>
      <c r="N35" s="777">
        <v>1</v>
      </c>
      <c r="O35" s="1066">
        <v>1</v>
      </c>
      <c r="P35" s="777">
        <v>1</v>
      </c>
      <c r="Q35" s="777">
        <v>1</v>
      </c>
      <c r="R35" s="777">
        <v>1</v>
      </c>
      <c r="S35" s="777">
        <v>1</v>
      </c>
      <c r="T35" s="777">
        <v>1</v>
      </c>
      <c r="U35" s="777">
        <v>1</v>
      </c>
      <c r="V35" s="777">
        <v>1</v>
      </c>
      <c r="W35" s="777">
        <v>35</v>
      </c>
      <c r="X35" s="777">
        <v>1</v>
      </c>
      <c r="Y35" s="777">
        <v>1</v>
      </c>
      <c r="Z35" s="777">
        <v>1</v>
      </c>
      <c r="AA35" s="1066">
        <v>1</v>
      </c>
      <c r="AB35" s="777">
        <v>1</v>
      </c>
      <c r="AC35" s="777">
        <v>1</v>
      </c>
      <c r="AD35" s="777">
        <v>1</v>
      </c>
      <c r="AE35" s="777">
        <v>1</v>
      </c>
      <c r="AF35" s="777">
        <v>35</v>
      </c>
      <c r="AG35" s="777">
        <v>1</v>
      </c>
      <c r="AH35" s="777">
        <v>1</v>
      </c>
      <c r="AI35" s="777">
        <v>1</v>
      </c>
      <c r="AJ35" s="777">
        <v>1</v>
      </c>
      <c r="AK35" s="777">
        <v>1</v>
      </c>
      <c r="AL35" s="777">
        <v>1</v>
      </c>
      <c r="AM35" s="777">
        <v>1</v>
      </c>
      <c r="AN35" s="777">
        <v>1</v>
      </c>
      <c r="AO35" s="777">
        <v>35</v>
      </c>
    </row>
    <row r="36" spans="1:41" x14ac:dyDescent="0.25">
      <c r="A36" s="1141">
        <v>35</v>
      </c>
      <c r="B36" s="804">
        <v>36</v>
      </c>
      <c r="C36" s="1066">
        <v>36</v>
      </c>
      <c r="D36" s="1066">
        <v>1</v>
      </c>
      <c r="E36" s="777">
        <v>36</v>
      </c>
      <c r="F36" s="777">
        <v>1</v>
      </c>
      <c r="G36" s="777">
        <v>1</v>
      </c>
      <c r="H36" s="777">
        <v>1</v>
      </c>
      <c r="I36" s="777">
        <v>1</v>
      </c>
      <c r="J36" s="777">
        <v>1</v>
      </c>
      <c r="K36" s="777">
        <v>1</v>
      </c>
      <c r="L36" s="777">
        <v>1</v>
      </c>
      <c r="M36" s="777">
        <v>1</v>
      </c>
      <c r="N36" s="777">
        <v>1</v>
      </c>
      <c r="O36" s="1066">
        <v>1</v>
      </c>
      <c r="P36" s="777">
        <v>1</v>
      </c>
      <c r="Q36" s="777">
        <v>1</v>
      </c>
      <c r="R36" s="777">
        <v>1</v>
      </c>
      <c r="S36" s="777">
        <v>1</v>
      </c>
      <c r="T36" s="777">
        <v>1</v>
      </c>
      <c r="U36" s="777">
        <v>1</v>
      </c>
      <c r="V36" s="777">
        <v>1</v>
      </c>
      <c r="W36" s="777">
        <v>36</v>
      </c>
      <c r="X36" s="777">
        <v>1</v>
      </c>
      <c r="Y36" s="777">
        <v>1</v>
      </c>
      <c r="Z36" s="777">
        <v>1</v>
      </c>
      <c r="AA36" s="777">
        <v>36</v>
      </c>
      <c r="AB36" s="777">
        <v>1</v>
      </c>
      <c r="AC36" s="777">
        <v>1</v>
      </c>
      <c r="AD36" s="1066">
        <v>1</v>
      </c>
      <c r="AE36" s="777">
        <v>36</v>
      </c>
      <c r="AF36" s="777">
        <v>1</v>
      </c>
      <c r="AG36" s="777">
        <v>1</v>
      </c>
      <c r="AH36" s="777">
        <v>1</v>
      </c>
      <c r="AI36" s="777">
        <v>1</v>
      </c>
      <c r="AJ36" s="777">
        <v>1</v>
      </c>
      <c r="AK36" s="777">
        <v>1</v>
      </c>
      <c r="AL36" s="777">
        <v>1</v>
      </c>
      <c r="AM36" s="777">
        <v>1</v>
      </c>
      <c r="AN36" s="777">
        <v>1</v>
      </c>
      <c r="AO36" s="777">
        <v>1</v>
      </c>
    </row>
    <row r="37" spans="1:41" x14ac:dyDescent="0.25">
      <c r="A37" s="1141">
        <v>36</v>
      </c>
      <c r="B37" s="804">
        <v>37</v>
      </c>
      <c r="C37" s="1066">
        <v>37</v>
      </c>
      <c r="D37" s="1066">
        <v>37</v>
      </c>
      <c r="E37" s="777">
        <v>1</v>
      </c>
      <c r="F37" s="777">
        <v>1</v>
      </c>
      <c r="G37" s="777">
        <v>1</v>
      </c>
      <c r="H37" s="777">
        <v>1</v>
      </c>
      <c r="I37" s="777">
        <v>1</v>
      </c>
      <c r="J37" s="777">
        <v>1</v>
      </c>
      <c r="K37" s="777">
        <v>1</v>
      </c>
      <c r="L37" s="777">
        <v>1</v>
      </c>
      <c r="M37" s="777">
        <v>1</v>
      </c>
      <c r="N37" s="777">
        <v>1</v>
      </c>
      <c r="O37" s="1066">
        <v>1</v>
      </c>
      <c r="P37" s="777">
        <v>1</v>
      </c>
      <c r="Q37" s="777">
        <v>1</v>
      </c>
      <c r="R37" s="777">
        <v>1</v>
      </c>
      <c r="S37" s="777">
        <v>1</v>
      </c>
      <c r="T37" s="777">
        <v>1</v>
      </c>
      <c r="U37" s="777">
        <v>37</v>
      </c>
      <c r="V37" s="777">
        <v>1</v>
      </c>
      <c r="W37" s="777">
        <v>1</v>
      </c>
      <c r="X37" s="777">
        <v>1</v>
      </c>
      <c r="Y37" s="777">
        <v>1</v>
      </c>
      <c r="Z37" s="777">
        <v>1</v>
      </c>
      <c r="AA37" s="777">
        <v>37</v>
      </c>
      <c r="AB37" s="777">
        <v>1</v>
      </c>
      <c r="AC37" s="777">
        <v>1</v>
      </c>
      <c r="AD37" s="777">
        <v>1</v>
      </c>
      <c r="AE37" s="777">
        <v>1</v>
      </c>
      <c r="AF37" s="777">
        <v>1</v>
      </c>
      <c r="AG37" s="777">
        <v>1</v>
      </c>
      <c r="AH37" s="777">
        <v>1</v>
      </c>
      <c r="AI37" s="777">
        <v>37</v>
      </c>
      <c r="AJ37" s="777">
        <v>1</v>
      </c>
      <c r="AK37" s="777">
        <v>1</v>
      </c>
      <c r="AL37" s="777">
        <v>1</v>
      </c>
      <c r="AM37" s="777">
        <v>1</v>
      </c>
      <c r="AN37" s="777">
        <v>1</v>
      </c>
      <c r="AO37" s="777">
        <v>1</v>
      </c>
    </row>
    <row r="38" spans="1:41" x14ac:dyDescent="0.25">
      <c r="A38" s="1141">
        <v>37</v>
      </c>
      <c r="B38" s="804">
        <v>38</v>
      </c>
      <c r="C38" s="1066">
        <v>38</v>
      </c>
      <c r="D38" s="1066">
        <v>38</v>
      </c>
      <c r="E38" s="777">
        <v>38</v>
      </c>
      <c r="F38" s="777">
        <v>1</v>
      </c>
      <c r="G38" s="1066">
        <v>38</v>
      </c>
      <c r="H38" s="777">
        <v>1</v>
      </c>
      <c r="I38" s="777">
        <v>1</v>
      </c>
      <c r="J38" s="777">
        <v>1</v>
      </c>
      <c r="K38" s="777">
        <v>1</v>
      </c>
      <c r="L38" s="1066">
        <v>38</v>
      </c>
      <c r="M38" s="777">
        <v>1</v>
      </c>
      <c r="N38" s="777">
        <v>1</v>
      </c>
      <c r="O38" s="777">
        <v>1</v>
      </c>
      <c r="P38" s="1066">
        <v>1</v>
      </c>
      <c r="Q38" s="777">
        <v>1</v>
      </c>
      <c r="R38" s="777">
        <v>1</v>
      </c>
      <c r="S38" s="777">
        <v>1</v>
      </c>
      <c r="T38" s="777">
        <v>1</v>
      </c>
      <c r="U38" s="777">
        <v>1</v>
      </c>
      <c r="V38" s="777">
        <v>1</v>
      </c>
      <c r="W38" s="777">
        <v>1</v>
      </c>
      <c r="X38" s="777">
        <v>1</v>
      </c>
      <c r="Y38" s="777">
        <v>1</v>
      </c>
      <c r="Z38" s="1066">
        <v>1</v>
      </c>
      <c r="AA38" s="777">
        <v>1</v>
      </c>
      <c r="AB38" s="777">
        <v>1</v>
      </c>
      <c r="AC38" s="777">
        <v>1</v>
      </c>
      <c r="AD38" s="777">
        <v>1</v>
      </c>
      <c r="AE38" s="777">
        <v>1</v>
      </c>
      <c r="AF38" s="777">
        <v>1</v>
      </c>
      <c r="AG38" s="777">
        <v>1</v>
      </c>
      <c r="AH38" s="777">
        <v>1</v>
      </c>
      <c r="AI38" s="777">
        <v>38</v>
      </c>
      <c r="AJ38" s="777">
        <v>1</v>
      </c>
      <c r="AK38" s="777">
        <v>1</v>
      </c>
      <c r="AL38" s="777">
        <v>1</v>
      </c>
      <c r="AM38" s="1066">
        <v>1</v>
      </c>
      <c r="AN38" s="777">
        <v>1</v>
      </c>
      <c r="AO38" s="777">
        <v>1</v>
      </c>
    </row>
    <row r="39" spans="1:41" x14ac:dyDescent="0.25">
      <c r="A39" s="1141">
        <v>38</v>
      </c>
      <c r="B39" s="804">
        <v>39</v>
      </c>
      <c r="C39" s="777">
        <v>39</v>
      </c>
      <c r="D39" s="777">
        <v>1</v>
      </c>
      <c r="E39" s="777">
        <v>1</v>
      </c>
      <c r="F39" s="777">
        <v>1</v>
      </c>
      <c r="G39" s="777">
        <v>1</v>
      </c>
      <c r="H39" s="777">
        <v>1</v>
      </c>
      <c r="I39" s="1066">
        <v>1</v>
      </c>
      <c r="J39" s="777">
        <v>1</v>
      </c>
      <c r="K39" s="777">
        <v>1</v>
      </c>
      <c r="L39" s="777">
        <v>1</v>
      </c>
      <c r="M39" s="777">
        <v>39</v>
      </c>
      <c r="N39" s="777">
        <v>1</v>
      </c>
      <c r="O39" s="777">
        <v>1</v>
      </c>
      <c r="P39" s="777">
        <v>1</v>
      </c>
      <c r="Q39" s="777">
        <v>1</v>
      </c>
      <c r="R39" s="1066">
        <v>1</v>
      </c>
      <c r="S39" s="777">
        <v>1</v>
      </c>
      <c r="T39" s="777">
        <v>1</v>
      </c>
      <c r="U39" s="777">
        <v>1</v>
      </c>
      <c r="V39" s="777">
        <v>1</v>
      </c>
      <c r="W39" s="1066">
        <v>39</v>
      </c>
      <c r="X39" s="777">
        <v>1</v>
      </c>
      <c r="Y39" s="777">
        <v>1</v>
      </c>
      <c r="Z39" s="777">
        <v>1</v>
      </c>
      <c r="AA39" s="777">
        <v>39</v>
      </c>
      <c r="AB39" s="777">
        <v>1</v>
      </c>
      <c r="AC39" s="777">
        <v>1</v>
      </c>
      <c r="AD39" s="777">
        <v>1</v>
      </c>
      <c r="AE39" s="777">
        <v>39</v>
      </c>
      <c r="AF39" s="777">
        <v>1</v>
      </c>
      <c r="AG39" s="777">
        <v>1</v>
      </c>
      <c r="AH39" s="777">
        <v>1</v>
      </c>
      <c r="AI39" s="777">
        <v>1</v>
      </c>
      <c r="AJ39" s="1066">
        <v>1</v>
      </c>
      <c r="AK39" s="1066">
        <v>1</v>
      </c>
      <c r="AL39" s="777">
        <v>1</v>
      </c>
      <c r="AM39" s="777">
        <v>1</v>
      </c>
      <c r="AN39" s="777">
        <v>1</v>
      </c>
      <c r="AO39" s="777">
        <v>1</v>
      </c>
    </row>
    <row r="40" spans="1:41" x14ac:dyDescent="0.25">
      <c r="A40" s="1141">
        <v>39</v>
      </c>
      <c r="B40" s="804">
        <v>40</v>
      </c>
      <c r="C40" s="1066">
        <v>40</v>
      </c>
      <c r="D40" s="777">
        <v>1</v>
      </c>
      <c r="E40" s="777">
        <v>1</v>
      </c>
      <c r="F40" s="777">
        <v>40</v>
      </c>
      <c r="G40" s="777">
        <v>1</v>
      </c>
      <c r="H40" s="777">
        <v>1</v>
      </c>
      <c r="I40" s="777">
        <v>1</v>
      </c>
      <c r="J40" s="777">
        <v>1</v>
      </c>
      <c r="K40" s="777">
        <v>1</v>
      </c>
      <c r="L40" s="777">
        <v>1</v>
      </c>
      <c r="M40" s="777">
        <v>1</v>
      </c>
      <c r="N40" s="777">
        <v>1</v>
      </c>
      <c r="O40" s="777">
        <v>1</v>
      </c>
      <c r="P40" s="777">
        <v>1</v>
      </c>
      <c r="Q40" s="777">
        <v>1</v>
      </c>
      <c r="R40" s="777">
        <v>1</v>
      </c>
      <c r="S40" s="777">
        <v>1</v>
      </c>
      <c r="T40" s="1066">
        <v>1</v>
      </c>
      <c r="U40" s="777">
        <v>1</v>
      </c>
      <c r="V40" s="777">
        <v>1</v>
      </c>
      <c r="W40" s="1066">
        <v>40</v>
      </c>
      <c r="X40" s="777">
        <v>1</v>
      </c>
      <c r="Y40" s="777">
        <v>1</v>
      </c>
      <c r="Z40" s="777">
        <v>1</v>
      </c>
      <c r="AA40" s="777">
        <v>1</v>
      </c>
      <c r="AB40" s="777">
        <v>1</v>
      </c>
      <c r="AC40" s="777">
        <v>1</v>
      </c>
      <c r="AD40" s="777">
        <v>1</v>
      </c>
      <c r="AE40" s="777">
        <v>1</v>
      </c>
      <c r="AF40" s="777">
        <v>40</v>
      </c>
      <c r="AG40" s="777">
        <v>1</v>
      </c>
      <c r="AH40" s="777">
        <v>1</v>
      </c>
      <c r="AI40" s="777">
        <v>40</v>
      </c>
      <c r="AJ40" s="1066">
        <v>1</v>
      </c>
      <c r="AK40" s="1066">
        <v>1</v>
      </c>
      <c r="AL40" s="1066">
        <v>1</v>
      </c>
      <c r="AM40" s="777">
        <v>1</v>
      </c>
      <c r="AN40" s="777">
        <v>1</v>
      </c>
      <c r="AO40" s="777">
        <v>1</v>
      </c>
    </row>
    <row r="41" spans="1:41" x14ac:dyDescent="0.25">
      <c r="A41" s="1141">
        <v>40</v>
      </c>
      <c r="B41" s="804">
        <v>41</v>
      </c>
      <c r="C41" s="1066">
        <v>41</v>
      </c>
      <c r="D41" s="1066">
        <v>41</v>
      </c>
      <c r="E41" s="777">
        <v>1</v>
      </c>
      <c r="F41" s="777">
        <v>1</v>
      </c>
      <c r="G41" s="777">
        <v>41</v>
      </c>
      <c r="H41" s="777">
        <v>1</v>
      </c>
      <c r="I41" s="777">
        <v>1</v>
      </c>
      <c r="J41" s="777">
        <v>1</v>
      </c>
      <c r="K41" s="777">
        <v>1</v>
      </c>
      <c r="L41" s="777">
        <v>1</v>
      </c>
      <c r="M41" s="777">
        <v>1</v>
      </c>
      <c r="N41" s="777">
        <v>1</v>
      </c>
      <c r="O41" s="1066">
        <v>1</v>
      </c>
      <c r="P41" s="777">
        <v>1</v>
      </c>
      <c r="Q41" s="777">
        <v>1</v>
      </c>
      <c r="R41" s="777">
        <v>1</v>
      </c>
      <c r="S41" s="777">
        <v>1</v>
      </c>
      <c r="T41" s="777">
        <v>1</v>
      </c>
      <c r="U41" s="777">
        <v>1</v>
      </c>
      <c r="V41" s="777">
        <v>1</v>
      </c>
      <c r="W41" s="777">
        <v>41</v>
      </c>
      <c r="X41" s="777">
        <v>1</v>
      </c>
      <c r="Y41" s="777">
        <v>1</v>
      </c>
      <c r="Z41" s="777">
        <v>1</v>
      </c>
      <c r="AA41" s="777">
        <v>1</v>
      </c>
      <c r="AB41" s="777">
        <v>1</v>
      </c>
      <c r="AC41" s="777">
        <v>1</v>
      </c>
      <c r="AD41" s="777">
        <v>1</v>
      </c>
      <c r="AE41" s="777">
        <v>1</v>
      </c>
      <c r="AF41" s="777">
        <v>1</v>
      </c>
      <c r="AG41" s="777">
        <v>1</v>
      </c>
      <c r="AH41" s="777">
        <v>1</v>
      </c>
      <c r="AI41" s="1066">
        <v>1</v>
      </c>
      <c r="AJ41" s="777">
        <v>1</v>
      </c>
      <c r="AK41" s="777">
        <v>1</v>
      </c>
      <c r="AL41" s="777">
        <v>1</v>
      </c>
      <c r="AM41" s="777">
        <v>1</v>
      </c>
      <c r="AN41" s="777">
        <v>1</v>
      </c>
      <c r="AO41" s="777">
        <v>1</v>
      </c>
    </row>
    <row r="42" spans="1:41" x14ac:dyDescent="0.25">
      <c r="A42" s="1141">
        <v>41</v>
      </c>
      <c r="B42" s="804">
        <v>42</v>
      </c>
      <c r="C42" s="1066">
        <v>42</v>
      </c>
      <c r="D42" s="777">
        <v>1</v>
      </c>
      <c r="E42" s="1066">
        <v>42</v>
      </c>
      <c r="F42" s="1066">
        <v>42</v>
      </c>
      <c r="G42" s="777">
        <v>1</v>
      </c>
      <c r="H42" s="777">
        <v>1</v>
      </c>
      <c r="I42" s="1066">
        <v>42</v>
      </c>
      <c r="J42" s="777">
        <v>1</v>
      </c>
      <c r="K42" s="777">
        <v>1</v>
      </c>
      <c r="L42" s="777">
        <v>1</v>
      </c>
      <c r="M42" s="777">
        <v>1</v>
      </c>
      <c r="N42" s="777">
        <v>1</v>
      </c>
      <c r="O42" s="1066">
        <v>42</v>
      </c>
      <c r="P42" s="777">
        <v>1</v>
      </c>
      <c r="Q42" s="777">
        <v>1</v>
      </c>
      <c r="R42" s="777">
        <v>1</v>
      </c>
      <c r="S42" s="777">
        <v>1</v>
      </c>
      <c r="T42" s="777">
        <v>1</v>
      </c>
      <c r="U42" s="777">
        <v>1</v>
      </c>
      <c r="V42" s="777">
        <v>1</v>
      </c>
      <c r="W42" s="1066">
        <v>42</v>
      </c>
      <c r="X42" s="1066">
        <v>42</v>
      </c>
      <c r="Y42" s="777">
        <v>1</v>
      </c>
      <c r="Z42" s="777">
        <v>1</v>
      </c>
      <c r="AA42" s="777">
        <v>1</v>
      </c>
      <c r="AB42" s="777">
        <v>1</v>
      </c>
      <c r="AC42" s="777">
        <v>1</v>
      </c>
      <c r="AD42" s="777">
        <v>1</v>
      </c>
      <c r="AE42" s="777">
        <v>1</v>
      </c>
      <c r="AF42" s="777">
        <v>42</v>
      </c>
      <c r="AG42" s="777">
        <v>1</v>
      </c>
      <c r="AH42" s="777">
        <v>1</v>
      </c>
      <c r="AI42" s="777">
        <v>42</v>
      </c>
      <c r="AJ42" s="777">
        <v>1</v>
      </c>
      <c r="AK42" s="777">
        <v>1</v>
      </c>
      <c r="AL42" s="777">
        <v>1</v>
      </c>
      <c r="AM42" s="777">
        <v>1</v>
      </c>
      <c r="AN42" s="777">
        <v>1</v>
      </c>
      <c r="AO42" s="777">
        <v>1</v>
      </c>
    </row>
    <row r="43" spans="1:41" x14ac:dyDescent="0.25">
      <c r="A43" s="1141">
        <v>42</v>
      </c>
      <c r="B43" s="804">
        <v>43</v>
      </c>
      <c r="C43" s="1066">
        <v>43</v>
      </c>
      <c r="D43" s="777">
        <v>1</v>
      </c>
      <c r="E43" s="777">
        <v>1</v>
      </c>
      <c r="F43" s="777">
        <v>1</v>
      </c>
      <c r="G43" s="777">
        <v>1</v>
      </c>
      <c r="H43" s="777">
        <v>1</v>
      </c>
      <c r="I43" s="777">
        <v>1</v>
      </c>
      <c r="J43" s="777">
        <v>1</v>
      </c>
      <c r="K43" s="777">
        <v>1</v>
      </c>
      <c r="L43" s="1066">
        <v>43</v>
      </c>
      <c r="M43" s="777">
        <v>1</v>
      </c>
      <c r="N43" s="777">
        <v>1</v>
      </c>
      <c r="O43" s="777">
        <v>1</v>
      </c>
      <c r="P43" s="777">
        <v>1</v>
      </c>
      <c r="Q43" s="777">
        <v>1</v>
      </c>
      <c r="R43" s="777">
        <v>1</v>
      </c>
      <c r="S43" s="777">
        <v>1</v>
      </c>
      <c r="T43" s="777">
        <v>1</v>
      </c>
      <c r="U43" s="777">
        <v>1</v>
      </c>
      <c r="V43" s="777">
        <v>1</v>
      </c>
      <c r="W43" s="1066">
        <v>43</v>
      </c>
      <c r="X43" s="777">
        <v>1</v>
      </c>
      <c r="Y43" s="777">
        <v>1</v>
      </c>
      <c r="Z43" s="1066">
        <v>43</v>
      </c>
      <c r="AA43" s="777">
        <v>1</v>
      </c>
      <c r="AB43" s="777">
        <v>1</v>
      </c>
      <c r="AC43" s="777">
        <v>1</v>
      </c>
      <c r="AD43" s="777">
        <v>1</v>
      </c>
      <c r="AE43" s="777">
        <v>43</v>
      </c>
      <c r="AF43" s="1066">
        <v>43</v>
      </c>
      <c r="AG43" s="1066">
        <v>43</v>
      </c>
      <c r="AH43" s="777">
        <v>1</v>
      </c>
      <c r="AI43" s="777">
        <v>1</v>
      </c>
      <c r="AJ43" s="777">
        <v>1</v>
      </c>
      <c r="AK43" s="777">
        <v>1</v>
      </c>
      <c r="AL43" s="777">
        <v>1</v>
      </c>
      <c r="AM43" s="777">
        <v>1</v>
      </c>
      <c r="AN43" s="777">
        <v>1</v>
      </c>
      <c r="AO43" s="777">
        <v>1</v>
      </c>
    </row>
    <row r="44" spans="1:41" x14ac:dyDescent="0.25">
      <c r="A44" s="1141">
        <v>43</v>
      </c>
      <c r="B44" s="804">
        <v>44</v>
      </c>
      <c r="C44" s="1066">
        <v>44</v>
      </c>
      <c r="D44" s="777">
        <v>1</v>
      </c>
      <c r="E44" s="777">
        <v>1</v>
      </c>
      <c r="F44" s="777">
        <v>1</v>
      </c>
      <c r="G44" s="777">
        <v>1</v>
      </c>
      <c r="H44" s="1066">
        <v>44</v>
      </c>
      <c r="I44" s="777">
        <v>1</v>
      </c>
      <c r="J44" s="777">
        <v>1</v>
      </c>
      <c r="K44" s="777">
        <v>1</v>
      </c>
      <c r="L44" s="1066">
        <v>44</v>
      </c>
      <c r="M44" s="777">
        <v>1</v>
      </c>
      <c r="N44" s="777">
        <v>1</v>
      </c>
      <c r="O44" s="777">
        <v>1</v>
      </c>
      <c r="P44" s="777">
        <v>1</v>
      </c>
      <c r="Q44" s="777">
        <v>1</v>
      </c>
      <c r="R44" s="777">
        <v>1</v>
      </c>
      <c r="S44" s="777">
        <v>1</v>
      </c>
      <c r="T44" s="777">
        <v>1</v>
      </c>
      <c r="U44" s="777">
        <v>1</v>
      </c>
      <c r="V44" s="777">
        <v>1</v>
      </c>
      <c r="W44" s="1066">
        <v>44</v>
      </c>
      <c r="X44" s="777">
        <v>1</v>
      </c>
      <c r="Y44" s="777">
        <v>1</v>
      </c>
      <c r="Z44" s="777">
        <v>1</v>
      </c>
      <c r="AA44" s="777">
        <v>1</v>
      </c>
      <c r="AB44" s="777">
        <v>1</v>
      </c>
      <c r="AC44" s="777">
        <v>1</v>
      </c>
      <c r="AD44" s="777">
        <v>1</v>
      </c>
      <c r="AE44" s="777">
        <v>1</v>
      </c>
      <c r="AF44" s="777">
        <v>44</v>
      </c>
      <c r="AG44" s="777">
        <v>1</v>
      </c>
      <c r="AH44" s="777">
        <v>1</v>
      </c>
      <c r="AI44" s="777">
        <v>1</v>
      </c>
      <c r="AJ44" s="777">
        <v>1</v>
      </c>
      <c r="AK44" s="777">
        <v>1</v>
      </c>
      <c r="AL44" s="777">
        <v>1</v>
      </c>
      <c r="AM44" s="1066">
        <v>44</v>
      </c>
      <c r="AN44" s="777">
        <v>1</v>
      </c>
      <c r="AO44" s="777">
        <v>1</v>
      </c>
    </row>
    <row r="45" spans="1:41" x14ac:dyDescent="0.25">
      <c r="A45" s="1141">
        <v>44</v>
      </c>
      <c r="B45" s="804">
        <v>45</v>
      </c>
      <c r="C45" s="777">
        <v>1</v>
      </c>
      <c r="D45" s="777">
        <v>1</v>
      </c>
      <c r="E45" s="777">
        <v>1</v>
      </c>
      <c r="F45" s="777">
        <v>1</v>
      </c>
      <c r="G45" s="777">
        <v>1</v>
      </c>
      <c r="H45" s="777">
        <v>1</v>
      </c>
      <c r="I45" s="1066">
        <v>45</v>
      </c>
      <c r="J45" s="777">
        <v>1</v>
      </c>
      <c r="K45" s="777">
        <v>1</v>
      </c>
      <c r="L45" s="1066">
        <v>45</v>
      </c>
      <c r="M45" s="777">
        <v>1</v>
      </c>
      <c r="N45" s="777">
        <v>1</v>
      </c>
      <c r="O45" s="777">
        <v>1</v>
      </c>
      <c r="P45" s="777">
        <v>1</v>
      </c>
      <c r="Q45" s="777">
        <v>1</v>
      </c>
      <c r="R45" s="777">
        <v>1</v>
      </c>
      <c r="S45" s="777">
        <v>1</v>
      </c>
      <c r="T45" s="777">
        <v>1</v>
      </c>
      <c r="U45" s="777">
        <v>1</v>
      </c>
      <c r="V45" s="777">
        <v>1</v>
      </c>
      <c r="W45" s="777">
        <v>1</v>
      </c>
      <c r="X45" s="777">
        <v>1</v>
      </c>
      <c r="Y45" s="777">
        <v>1</v>
      </c>
      <c r="Z45" s="1066">
        <v>45</v>
      </c>
      <c r="AA45" s="1066">
        <v>45</v>
      </c>
      <c r="AB45" s="777">
        <v>1</v>
      </c>
      <c r="AC45" s="777">
        <v>1</v>
      </c>
      <c r="AD45" s="777">
        <v>1</v>
      </c>
      <c r="AE45" s="777">
        <v>45</v>
      </c>
      <c r="AF45" s="777">
        <v>1</v>
      </c>
      <c r="AG45" s="777">
        <v>1</v>
      </c>
      <c r="AH45" s="777">
        <v>1</v>
      </c>
      <c r="AI45" s="777">
        <v>1</v>
      </c>
      <c r="AJ45" s="777">
        <v>1</v>
      </c>
      <c r="AK45" s="777">
        <v>1</v>
      </c>
      <c r="AL45" s="1066">
        <v>45</v>
      </c>
      <c r="AM45" s="777">
        <v>1</v>
      </c>
      <c r="AN45" s="777">
        <v>1</v>
      </c>
      <c r="AO45" s="777">
        <v>1</v>
      </c>
    </row>
    <row r="46" spans="1:41" x14ac:dyDescent="0.25">
      <c r="A46" s="1141">
        <v>45</v>
      </c>
      <c r="B46" s="804">
        <v>46</v>
      </c>
      <c r="C46" s="777">
        <v>1</v>
      </c>
      <c r="D46" s="777">
        <v>1</v>
      </c>
      <c r="E46" s="777">
        <v>1</v>
      </c>
      <c r="F46" s="777">
        <v>1</v>
      </c>
      <c r="G46" s="777">
        <v>1</v>
      </c>
      <c r="H46" s="777">
        <v>1</v>
      </c>
      <c r="I46" s="777">
        <v>1</v>
      </c>
      <c r="J46" s="777">
        <v>1</v>
      </c>
      <c r="K46" s="777">
        <v>1</v>
      </c>
      <c r="L46" s="777">
        <v>1</v>
      </c>
      <c r="M46" s="777">
        <v>1</v>
      </c>
      <c r="N46" s="777">
        <v>1</v>
      </c>
      <c r="O46" s="1066">
        <v>46</v>
      </c>
      <c r="P46" s="777">
        <v>1</v>
      </c>
      <c r="Q46" s="777">
        <v>1</v>
      </c>
      <c r="R46" s="777">
        <v>1</v>
      </c>
      <c r="S46" s="777">
        <v>1</v>
      </c>
      <c r="T46" s="777">
        <v>1</v>
      </c>
      <c r="U46" s="1066">
        <v>46</v>
      </c>
      <c r="V46" s="777">
        <v>1</v>
      </c>
      <c r="W46" s="777">
        <v>1</v>
      </c>
      <c r="X46" s="777">
        <v>1</v>
      </c>
      <c r="Y46" s="777">
        <v>1</v>
      </c>
      <c r="Z46" s="777">
        <v>1</v>
      </c>
      <c r="AA46" s="777">
        <v>1</v>
      </c>
      <c r="AB46" s="777">
        <v>1</v>
      </c>
      <c r="AC46" s="777">
        <v>1</v>
      </c>
      <c r="AD46" s="777">
        <v>1</v>
      </c>
      <c r="AE46" s="777">
        <v>1</v>
      </c>
      <c r="AF46" s="777">
        <v>1</v>
      </c>
      <c r="AG46" s="777">
        <v>1</v>
      </c>
      <c r="AH46" s="1066">
        <v>46</v>
      </c>
      <c r="AI46" s="1066">
        <v>46</v>
      </c>
      <c r="AJ46" s="1066">
        <v>46</v>
      </c>
      <c r="AK46" s="777">
        <v>46</v>
      </c>
      <c r="AL46" s="777">
        <v>1</v>
      </c>
      <c r="AM46" s="777">
        <v>1</v>
      </c>
      <c r="AN46" s="777">
        <v>1</v>
      </c>
      <c r="AO46" s="777">
        <v>1</v>
      </c>
    </row>
    <row r="47" spans="1:41" x14ac:dyDescent="0.25">
      <c r="A47" s="1141">
        <v>46</v>
      </c>
      <c r="B47" s="804">
        <v>47</v>
      </c>
      <c r="C47" s="1066">
        <v>47</v>
      </c>
      <c r="D47" s="1066">
        <v>47</v>
      </c>
      <c r="E47" s="777">
        <v>1</v>
      </c>
      <c r="F47" s="777">
        <v>1</v>
      </c>
      <c r="G47" s="777">
        <v>1</v>
      </c>
      <c r="H47" s="777">
        <v>1</v>
      </c>
      <c r="I47" s="777">
        <v>1</v>
      </c>
      <c r="J47" s="777">
        <v>1</v>
      </c>
      <c r="K47" s="777">
        <v>1</v>
      </c>
      <c r="L47" s="777">
        <v>1</v>
      </c>
      <c r="M47" s="777">
        <v>1</v>
      </c>
      <c r="N47" s="777">
        <v>1</v>
      </c>
      <c r="O47" s="777">
        <v>1</v>
      </c>
      <c r="P47" s="777">
        <v>1</v>
      </c>
      <c r="Q47" s="777">
        <v>1</v>
      </c>
      <c r="R47" s="777">
        <v>1</v>
      </c>
      <c r="S47" s="777">
        <v>1</v>
      </c>
      <c r="T47" s="777">
        <v>1</v>
      </c>
      <c r="U47" s="777">
        <v>1</v>
      </c>
      <c r="V47" s="777">
        <v>1</v>
      </c>
      <c r="W47" s="777">
        <v>1</v>
      </c>
      <c r="X47" s="777">
        <v>1</v>
      </c>
      <c r="Y47" s="777">
        <v>1</v>
      </c>
      <c r="Z47" s="777">
        <v>1</v>
      </c>
      <c r="AA47" s="777">
        <v>1</v>
      </c>
      <c r="AB47" s="777">
        <v>1</v>
      </c>
      <c r="AC47" s="777">
        <v>1</v>
      </c>
      <c r="AD47" s="777">
        <v>1</v>
      </c>
      <c r="AE47" s="777">
        <v>1</v>
      </c>
      <c r="AF47" s="777">
        <v>1</v>
      </c>
      <c r="AG47" s="777">
        <v>1</v>
      </c>
      <c r="AH47" s="1066">
        <v>47</v>
      </c>
      <c r="AI47" s="777">
        <v>1</v>
      </c>
      <c r="AJ47" s="777">
        <v>1</v>
      </c>
      <c r="AK47" s="777">
        <v>1</v>
      </c>
      <c r="AL47" s="777">
        <v>1</v>
      </c>
      <c r="AM47" s="777">
        <v>1</v>
      </c>
      <c r="AN47" s="1066">
        <v>47</v>
      </c>
      <c r="AO47" s="777">
        <v>1</v>
      </c>
    </row>
    <row r="48" spans="1:41" x14ac:dyDescent="0.25">
      <c r="A48" s="1141">
        <v>47</v>
      </c>
      <c r="B48" s="804">
        <v>48</v>
      </c>
      <c r="C48" s="1066">
        <v>48</v>
      </c>
      <c r="D48" s="1066">
        <v>48</v>
      </c>
      <c r="E48" s="777">
        <v>1</v>
      </c>
      <c r="F48" s="777">
        <v>1</v>
      </c>
      <c r="G48" s="777">
        <v>1</v>
      </c>
      <c r="H48" s="777">
        <v>1</v>
      </c>
      <c r="I48" s="777">
        <v>1</v>
      </c>
      <c r="J48" s="777">
        <v>1</v>
      </c>
      <c r="K48" s="777">
        <v>1</v>
      </c>
      <c r="L48" s="777">
        <v>1</v>
      </c>
      <c r="M48" s="777">
        <v>1</v>
      </c>
      <c r="N48" s="777">
        <v>1</v>
      </c>
      <c r="O48" s="777">
        <v>1</v>
      </c>
      <c r="P48" s="777">
        <v>1</v>
      </c>
      <c r="Q48" s="777">
        <v>1</v>
      </c>
      <c r="R48" s="777">
        <v>1</v>
      </c>
      <c r="S48" s="777">
        <v>1</v>
      </c>
      <c r="T48" s="777">
        <v>1</v>
      </c>
      <c r="U48" s="777">
        <v>1</v>
      </c>
      <c r="V48" s="777">
        <v>1</v>
      </c>
      <c r="W48" s="777">
        <v>48</v>
      </c>
      <c r="X48" s="777">
        <v>1</v>
      </c>
      <c r="Y48" s="777">
        <v>1</v>
      </c>
      <c r="Z48" s="777">
        <v>1</v>
      </c>
      <c r="AA48" s="777">
        <v>1</v>
      </c>
      <c r="AB48" s="777">
        <v>1</v>
      </c>
      <c r="AC48" s="777">
        <v>1</v>
      </c>
      <c r="AD48" s="777">
        <v>1</v>
      </c>
      <c r="AE48" s="777">
        <v>1</v>
      </c>
      <c r="AF48" s="777">
        <v>1</v>
      </c>
      <c r="AG48" s="777">
        <v>1</v>
      </c>
      <c r="AH48" s="1066">
        <v>48</v>
      </c>
      <c r="AI48" s="1066">
        <v>48</v>
      </c>
      <c r="AJ48" s="777">
        <v>1</v>
      </c>
      <c r="AK48" s="777">
        <v>1</v>
      </c>
      <c r="AL48" s="777">
        <v>1</v>
      </c>
      <c r="AM48" s="777">
        <v>48</v>
      </c>
      <c r="AN48" s="1066">
        <v>48</v>
      </c>
      <c r="AO48" s="777">
        <v>1</v>
      </c>
    </row>
    <row r="49" spans="1:41" x14ac:dyDescent="0.25">
      <c r="A49" s="1141">
        <v>48</v>
      </c>
      <c r="B49" s="804">
        <v>49</v>
      </c>
      <c r="C49" s="1066">
        <v>49</v>
      </c>
      <c r="D49" s="1066">
        <v>49</v>
      </c>
      <c r="E49" s="777">
        <v>1</v>
      </c>
      <c r="F49" s="777">
        <v>1</v>
      </c>
      <c r="G49" s="777">
        <v>1</v>
      </c>
      <c r="H49" s="777">
        <v>1</v>
      </c>
      <c r="I49" s="777">
        <v>1</v>
      </c>
      <c r="J49" s="777">
        <v>1</v>
      </c>
      <c r="K49" s="777">
        <v>1</v>
      </c>
      <c r="L49" s="1066">
        <v>49</v>
      </c>
      <c r="M49" s="777">
        <v>1</v>
      </c>
      <c r="N49" s="777">
        <v>1</v>
      </c>
      <c r="O49" s="777">
        <v>1</v>
      </c>
      <c r="P49" s="777">
        <v>1</v>
      </c>
      <c r="Q49" s="777">
        <v>1</v>
      </c>
      <c r="R49" s="777">
        <v>1</v>
      </c>
      <c r="S49" s="777">
        <v>1</v>
      </c>
      <c r="T49" s="777">
        <v>1</v>
      </c>
      <c r="U49" s="777">
        <v>1</v>
      </c>
      <c r="V49" s="777">
        <v>1</v>
      </c>
      <c r="W49" s="777">
        <v>1</v>
      </c>
      <c r="X49" s="777">
        <v>1</v>
      </c>
      <c r="Y49" s="777">
        <v>1</v>
      </c>
      <c r="Z49" s="777">
        <v>1</v>
      </c>
      <c r="AA49" s="777">
        <v>1</v>
      </c>
      <c r="AB49" s="777">
        <v>1</v>
      </c>
      <c r="AC49" s="777">
        <v>1</v>
      </c>
      <c r="AD49" s="777">
        <v>1</v>
      </c>
      <c r="AE49" s="777">
        <v>1</v>
      </c>
      <c r="AF49" s="777">
        <v>1</v>
      </c>
      <c r="AG49" s="777">
        <v>1</v>
      </c>
      <c r="AH49" s="1066">
        <v>49</v>
      </c>
      <c r="AI49" s="1066">
        <v>49</v>
      </c>
      <c r="AJ49" s="777">
        <v>1</v>
      </c>
      <c r="AK49" s="777">
        <v>1</v>
      </c>
      <c r="AL49" s="777">
        <v>1</v>
      </c>
      <c r="AM49" s="777">
        <v>1</v>
      </c>
      <c r="AN49" s="1066">
        <v>49</v>
      </c>
      <c r="AO49" s="777">
        <v>1</v>
      </c>
    </row>
    <row r="50" spans="1:41" x14ac:dyDescent="0.25">
      <c r="A50" s="1141">
        <v>49</v>
      </c>
      <c r="B50" s="804">
        <v>50</v>
      </c>
      <c r="C50" s="777">
        <v>1</v>
      </c>
      <c r="D50" s="777">
        <v>1</v>
      </c>
      <c r="E50" s="777">
        <v>1</v>
      </c>
      <c r="F50" s="777">
        <v>1</v>
      </c>
      <c r="G50" s="777">
        <v>1</v>
      </c>
      <c r="H50" s="777">
        <v>1</v>
      </c>
      <c r="I50" s="777">
        <v>1</v>
      </c>
      <c r="J50" s="777">
        <v>1</v>
      </c>
      <c r="K50" s="777">
        <v>1</v>
      </c>
      <c r="L50" s="777">
        <v>1</v>
      </c>
      <c r="M50" s="1066">
        <v>50</v>
      </c>
      <c r="N50" s="777">
        <v>1</v>
      </c>
      <c r="O50" s="777">
        <v>1</v>
      </c>
      <c r="P50" s="777">
        <v>1</v>
      </c>
      <c r="Q50" s="1066">
        <v>50</v>
      </c>
      <c r="R50" s="777">
        <v>1</v>
      </c>
      <c r="S50" s="777">
        <v>1</v>
      </c>
      <c r="T50" s="1066">
        <v>50</v>
      </c>
      <c r="U50" s="777">
        <v>1</v>
      </c>
      <c r="V50" s="777">
        <v>1</v>
      </c>
      <c r="W50" s="1066">
        <v>50</v>
      </c>
      <c r="X50" s="1066">
        <v>50</v>
      </c>
      <c r="Y50" s="777">
        <v>1</v>
      </c>
      <c r="Z50" s="777">
        <v>1</v>
      </c>
      <c r="AA50" s="777">
        <v>1</v>
      </c>
      <c r="AB50" s="777">
        <v>1</v>
      </c>
      <c r="AC50" s="777">
        <v>1</v>
      </c>
      <c r="AD50" s="777">
        <v>1</v>
      </c>
      <c r="AE50" s="777">
        <v>1</v>
      </c>
      <c r="AF50" s="777">
        <v>50</v>
      </c>
      <c r="AG50" s="777">
        <v>1</v>
      </c>
      <c r="AH50" s="777">
        <v>1</v>
      </c>
      <c r="AI50" s="777">
        <v>1</v>
      </c>
      <c r="AJ50" s="777">
        <v>1</v>
      </c>
      <c r="AK50" s="777">
        <v>1</v>
      </c>
      <c r="AL50" s="777">
        <v>1</v>
      </c>
      <c r="AM50" s="777">
        <v>1</v>
      </c>
      <c r="AN50" s="777">
        <v>1</v>
      </c>
      <c r="AO50" s="1066">
        <v>50</v>
      </c>
    </row>
    <row r="51" spans="1:41" x14ac:dyDescent="0.25">
      <c r="A51" s="1141">
        <v>50</v>
      </c>
      <c r="B51" s="804">
        <v>51</v>
      </c>
      <c r="C51" s="777">
        <v>51</v>
      </c>
      <c r="D51" s="777">
        <v>51</v>
      </c>
      <c r="E51" s="777">
        <v>1</v>
      </c>
      <c r="F51" s="777">
        <v>1</v>
      </c>
      <c r="G51" s="777">
        <v>51</v>
      </c>
      <c r="H51" s="777">
        <v>1</v>
      </c>
      <c r="I51" s="777">
        <v>1</v>
      </c>
      <c r="J51" s="777">
        <v>1</v>
      </c>
      <c r="K51" s="777">
        <v>1</v>
      </c>
      <c r="L51" s="777">
        <v>1</v>
      </c>
      <c r="M51" s="777">
        <v>1</v>
      </c>
      <c r="N51" s="777">
        <v>1</v>
      </c>
      <c r="O51" s="777">
        <v>1</v>
      </c>
      <c r="P51" s="777">
        <v>1</v>
      </c>
      <c r="Q51" s="777">
        <v>1</v>
      </c>
      <c r="R51" s="777">
        <v>1</v>
      </c>
      <c r="S51" s="777">
        <v>1</v>
      </c>
      <c r="T51" s="777">
        <v>1</v>
      </c>
      <c r="U51" s="777">
        <v>1</v>
      </c>
      <c r="V51" s="777">
        <v>1</v>
      </c>
      <c r="W51" s="1066">
        <v>51</v>
      </c>
      <c r="X51" s="1066">
        <v>51</v>
      </c>
      <c r="Y51" s="777">
        <v>1</v>
      </c>
      <c r="Z51" s="777">
        <v>1</v>
      </c>
      <c r="AA51" s="777">
        <v>1</v>
      </c>
      <c r="AB51" s="777">
        <v>1</v>
      </c>
      <c r="AC51" s="777">
        <v>1</v>
      </c>
      <c r="AD51" s="1066">
        <v>51</v>
      </c>
      <c r="AE51" s="1066">
        <v>51</v>
      </c>
      <c r="AF51" s="1066">
        <v>51</v>
      </c>
      <c r="AG51" s="1066">
        <v>51</v>
      </c>
      <c r="AH51" s="777">
        <v>1</v>
      </c>
      <c r="AI51" s="777">
        <v>51</v>
      </c>
      <c r="AJ51" s="1066">
        <v>51</v>
      </c>
      <c r="AK51" s="1066">
        <v>51</v>
      </c>
      <c r="AL51" s="777">
        <v>1</v>
      </c>
      <c r="AM51" s="1066">
        <v>51</v>
      </c>
      <c r="AN51" s="777">
        <v>1</v>
      </c>
      <c r="AO51" s="777">
        <v>1</v>
      </c>
    </row>
    <row r="52" spans="1:41" x14ac:dyDescent="0.25">
      <c r="A52" s="1141">
        <v>51</v>
      </c>
      <c r="B52" s="804">
        <v>52</v>
      </c>
      <c r="C52" s="777">
        <v>1</v>
      </c>
      <c r="D52" s="777">
        <v>1</v>
      </c>
      <c r="E52" s="777">
        <v>1</v>
      </c>
      <c r="F52" s="1066">
        <v>52</v>
      </c>
      <c r="G52" s="777">
        <v>1</v>
      </c>
      <c r="H52" s="777">
        <v>1</v>
      </c>
      <c r="I52" s="777">
        <v>52</v>
      </c>
      <c r="J52" s="777">
        <v>1</v>
      </c>
      <c r="K52" s="777">
        <v>1</v>
      </c>
      <c r="L52" s="777">
        <v>1</v>
      </c>
      <c r="M52" s="777">
        <v>1</v>
      </c>
      <c r="N52" s="777">
        <v>1</v>
      </c>
      <c r="O52" s="777">
        <v>1</v>
      </c>
      <c r="P52" s="777">
        <v>1</v>
      </c>
      <c r="Q52" s="777">
        <v>1</v>
      </c>
      <c r="R52" s="777">
        <v>52</v>
      </c>
      <c r="S52" s="777">
        <v>1</v>
      </c>
      <c r="T52" s="1066">
        <v>52</v>
      </c>
      <c r="U52" s="777">
        <v>1</v>
      </c>
      <c r="V52" s="777">
        <v>1</v>
      </c>
      <c r="W52" s="777">
        <v>52</v>
      </c>
      <c r="X52" s="777">
        <v>1</v>
      </c>
      <c r="Y52" s="777">
        <v>1</v>
      </c>
      <c r="Z52" s="777">
        <v>1</v>
      </c>
      <c r="AA52" s="777">
        <v>1</v>
      </c>
      <c r="AB52" s="777">
        <v>1</v>
      </c>
      <c r="AC52" s="1066">
        <v>52</v>
      </c>
      <c r="AD52" s="1066">
        <v>52</v>
      </c>
      <c r="AE52" s="1066">
        <v>52</v>
      </c>
      <c r="AF52" s="777">
        <v>1</v>
      </c>
      <c r="AG52" s="777">
        <v>1</v>
      </c>
      <c r="AH52" s="777">
        <v>1</v>
      </c>
      <c r="AI52" s="777">
        <v>1</v>
      </c>
      <c r="AJ52" s="1066">
        <v>52</v>
      </c>
      <c r="AK52" s="1066">
        <v>52</v>
      </c>
      <c r="AL52" s="1066">
        <v>52</v>
      </c>
      <c r="AM52" s="777">
        <v>52</v>
      </c>
      <c r="AN52" s="777">
        <v>1</v>
      </c>
      <c r="AO52" s="777">
        <v>1</v>
      </c>
    </row>
    <row r="53" spans="1:41" x14ac:dyDescent="0.25">
      <c r="A53" s="1141">
        <v>52</v>
      </c>
      <c r="B53" s="804">
        <v>53</v>
      </c>
      <c r="C53" s="1066">
        <v>53</v>
      </c>
      <c r="D53" s="1066">
        <v>53</v>
      </c>
      <c r="E53" s="1066">
        <v>53</v>
      </c>
      <c r="F53" s="1066">
        <v>53</v>
      </c>
      <c r="G53" s="1066">
        <v>53</v>
      </c>
      <c r="H53" s="777">
        <v>1</v>
      </c>
      <c r="I53" s="777">
        <v>1</v>
      </c>
      <c r="J53" s="777">
        <v>1</v>
      </c>
      <c r="K53" s="777">
        <v>1</v>
      </c>
      <c r="L53" s="777">
        <v>1</v>
      </c>
      <c r="M53" s="1066">
        <v>53</v>
      </c>
      <c r="N53" s="1066">
        <v>53</v>
      </c>
      <c r="O53" s="1066">
        <v>53</v>
      </c>
      <c r="P53" s="1066">
        <v>53</v>
      </c>
      <c r="Q53" s="1066">
        <v>53</v>
      </c>
      <c r="R53" s="1066">
        <v>53</v>
      </c>
      <c r="S53" s="1066">
        <v>53</v>
      </c>
      <c r="T53" s="1066">
        <v>53</v>
      </c>
      <c r="U53" s="1066">
        <v>53</v>
      </c>
      <c r="V53" s="777">
        <v>1</v>
      </c>
      <c r="W53" s="1066">
        <v>53</v>
      </c>
      <c r="X53" s="1066">
        <v>53</v>
      </c>
      <c r="Y53" s="777">
        <v>1</v>
      </c>
      <c r="Z53" s="1066">
        <v>53</v>
      </c>
      <c r="AA53" s="777">
        <v>1</v>
      </c>
      <c r="AB53" s="777">
        <v>1</v>
      </c>
      <c r="AC53" s="1066">
        <v>53</v>
      </c>
      <c r="AD53" s="777">
        <v>1</v>
      </c>
      <c r="AE53" s="1066">
        <v>53</v>
      </c>
      <c r="AF53" s="1066">
        <v>53</v>
      </c>
      <c r="AG53" s="777">
        <v>53</v>
      </c>
      <c r="AH53" s="777">
        <v>1</v>
      </c>
      <c r="AI53" s="1066">
        <v>53</v>
      </c>
      <c r="AJ53" s="1066">
        <v>53</v>
      </c>
      <c r="AK53" s="1066">
        <v>53</v>
      </c>
      <c r="AL53" s="1066">
        <v>53</v>
      </c>
      <c r="AM53" s="1066">
        <v>53</v>
      </c>
      <c r="AN53" s="777">
        <v>1</v>
      </c>
      <c r="AO53" s="777">
        <v>1</v>
      </c>
    </row>
    <row r="54" spans="1:41" x14ac:dyDescent="0.25">
      <c r="A54" s="1141">
        <v>53</v>
      </c>
      <c r="B54" s="804">
        <v>54</v>
      </c>
      <c r="C54" s="1066">
        <v>54</v>
      </c>
      <c r="D54" s="777">
        <v>54</v>
      </c>
      <c r="E54" s="777">
        <v>54</v>
      </c>
      <c r="F54" s="777">
        <v>54</v>
      </c>
      <c r="G54" s="777">
        <v>54</v>
      </c>
      <c r="H54" s="777">
        <v>54</v>
      </c>
      <c r="I54" s="1066">
        <v>54</v>
      </c>
      <c r="J54" s="777">
        <v>1</v>
      </c>
      <c r="K54" s="777">
        <v>1</v>
      </c>
      <c r="L54" s="777">
        <v>1</v>
      </c>
      <c r="M54" s="777">
        <v>1</v>
      </c>
      <c r="N54" s="777">
        <v>1</v>
      </c>
      <c r="O54" s="777">
        <v>1</v>
      </c>
      <c r="P54" s="777">
        <v>1</v>
      </c>
      <c r="Q54" s="777">
        <v>54</v>
      </c>
      <c r="R54" s="1066">
        <v>54</v>
      </c>
      <c r="S54" s="777">
        <v>1</v>
      </c>
      <c r="T54" s="777">
        <v>1</v>
      </c>
      <c r="U54" s="777">
        <v>1</v>
      </c>
      <c r="V54" s="777">
        <v>1</v>
      </c>
      <c r="W54" s="1066">
        <v>54</v>
      </c>
      <c r="X54" s="777">
        <v>1</v>
      </c>
      <c r="Y54" s="777">
        <v>1</v>
      </c>
      <c r="Z54" s="1066">
        <v>54</v>
      </c>
      <c r="AA54" s="777">
        <v>54</v>
      </c>
      <c r="AB54" s="777">
        <v>1</v>
      </c>
      <c r="AC54" s="777">
        <v>1</v>
      </c>
      <c r="AD54" s="777">
        <v>1</v>
      </c>
      <c r="AE54" s="1066">
        <v>54</v>
      </c>
      <c r="AF54" s="777">
        <v>1</v>
      </c>
      <c r="AG54" s="777">
        <v>1</v>
      </c>
      <c r="AH54" s="777">
        <v>1</v>
      </c>
      <c r="AI54" s="777">
        <v>1</v>
      </c>
      <c r="AJ54" s="777">
        <v>1</v>
      </c>
      <c r="AK54" s="777">
        <v>1</v>
      </c>
      <c r="AL54" s="777">
        <v>1</v>
      </c>
      <c r="AM54" s="777">
        <v>1</v>
      </c>
      <c r="AN54" s="777">
        <v>1</v>
      </c>
      <c r="AO54" s="777">
        <v>1</v>
      </c>
    </row>
    <row r="55" spans="1:41" x14ac:dyDescent="0.25">
      <c r="A55" s="1141">
        <v>54</v>
      </c>
      <c r="B55" s="804">
        <v>55</v>
      </c>
      <c r="C55" s="1066">
        <v>55</v>
      </c>
      <c r="D55" s="777">
        <v>1</v>
      </c>
      <c r="E55" s="777">
        <v>1</v>
      </c>
      <c r="F55" s="1066">
        <v>55</v>
      </c>
      <c r="G55" s="777">
        <v>1</v>
      </c>
      <c r="H55" s="777">
        <v>1</v>
      </c>
      <c r="I55" s="1066">
        <v>55</v>
      </c>
      <c r="J55" s="777">
        <v>1</v>
      </c>
      <c r="K55" s="777">
        <v>1</v>
      </c>
      <c r="L55" s="777">
        <v>1</v>
      </c>
      <c r="M55" s="777">
        <v>1</v>
      </c>
      <c r="N55" s="777">
        <v>1</v>
      </c>
      <c r="O55" s="777">
        <v>1</v>
      </c>
      <c r="P55" s="777">
        <v>1</v>
      </c>
      <c r="Q55" s="777">
        <v>1</v>
      </c>
      <c r="R55" s="777">
        <v>1</v>
      </c>
      <c r="S55" s="777">
        <v>1</v>
      </c>
      <c r="T55" s="777">
        <v>1</v>
      </c>
      <c r="U55" s="777">
        <v>1</v>
      </c>
      <c r="V55" s="777">
        <v>1</v>
      </c>
      <c r="W55" s="1066">
        <v>55</v>
      </c>
      <c r="X55" s="1066">
        <v>55</v>
      </c>
      <c r="Y55" s="777">
        <v>1</v>
      </c>
      <c r="Z55" s="777">
        <v>1</v>
      </c>
      <c r="AA55" s="777">
        <v>1</v>
      </c>
      <c r="AB55" s="777">
        <v>1</v>
      </c>
      <c r="AC55" s="777">
        <v>1</v>
      </c>
      <c r="AD55" s="777">
        <v>1</v>
      </c>
      <c r="AE55" s="777">
        <v>1</v>
      </c>
      <c r="AF55" s="777">
        <v>55</v>
      </c>
      <c r="AG55" s="777">
        <v>1</v>
      </c>
      <c r="AH55" s="777">
        <v>1</v>
      </c>
      <c r="AI55" s="777">
        <v>1</v>
      </c>
      <c r="AJ55" s="777">
        <v>1</v>
      </c>
      <c r="AK55" s="777">
        <v>1</v>
      </c>
      <c r="AL55" s="777">
        <v>1</v>
      </c>
      <c r="AM55" s="777">
        <v>1</v>
      </c>
      <c r="AN55" s="777">
        <v>1</v>
      </c>
      <c r="AO55" s="777">
        <v>1</v>
      </c>
    </row>
    <row r="56" spans="1:41" x14ac:dyDescent="0.25">
      <c r="A56" s="1141">
        <v>55</v>
      </c>
      <c r="B56" s="804">
        <v>56</v>
      </c>
      <c r="C56" s="1066">
        <v>56</v>
      </c>
      <c r="D56" s="1066">
        <v>56</v>
      </c>
      <c r="E56" s="777">
        <v>1</v>
      </c>
      <c r="F56" s="777">
        <v>1</v>
      </c>
      <c r="G56" s="777">
        <v>56</v>
      </c>
      <c r="H56" s="777">
        <v>1</v>
      </c>
      <c r="I56" s="777">
        <v>1</v>
      </c>
      <c r="J56" s="777">
        <v>1</v>
      </c>
      <c r="K56" s="777">
        <v>1</v>
      </c>
      <c r="L56" s="777">
        <v>1</v>
      </c>
      <c r="M56" s="777">
        <v>1</v>
      </c>
      <c r="N56" s="777">
        <v>1</v>
      </c>
      <c r="O56" s="1066">
        <v>1</v>
      </c>
      <c r="P56" s="777">
        <v>1</v>
      </c>
      <c r="Q56" s="777">
        <v>1</v>
      </c>
      <c r="R56" s="777">
        <v>1</v>
      </c>
      <c r="S56" s="777">
        <v>1</v>
      </c>
      <c r="T56" s="777">
        <v>1</v>
      </c>
      <c r="U56" s="777">
        <v>1</v>
      </c>
      <c r="V56" s="777">
        <v>1</v>
      </c>
      <c r="W56" s="777">
        <v>56</v>
      </c>
      <c r="X56" s="777">
        <v>1</v>
      </c>
      <c r="Y56" s="777">
        <v>1</v>
      </c>
      <c r="Z56" s="777">
        <v>1</v>
      </c>
      <c r="AA56" s="777">
        <v>1</v>
      </c>
      <c r="AB56" s="777">
        <v>1</v>
      </c>
      <c r="AC56" s="777">
        <v>1</v>
      </c>
      <c r="AD56" s="777">
        <v>1</v>
      </c>
      <c r="AE56" s="777">
        <v>1</v>
      </c>
      <c r="AF56" s="777">
        <v>56</v>
      </c>
      <c r="AG56" s="777">
        <v>1</v>
      </c>
      <c r="AH56" s="777">
        <v>1</v>
      </c>
      <c r="AI56" s="777">
        <v>1</v>
      </c>
      <c r="AJ56" s="777">
        <v>56</v>
      </c>
      <c r="AK56" s="777">
        <v>56</v>
      </c>
      <c r="AL56" s="777">
        <v>1</v>
      </c>
      <c r="AM56" s="1066">
        <v>56</v>
      </c>
      <c r="AN56" s="777">
        <v>1</v>
      </c>
      <c r="AO56" s="777">
        <v>1</v>
      </c>
    </row>
    <row r="57" spans="1:41" x14ac:dyDescent="0.25">
      <c r="A57" s="1141">
        <v>56</v>
      </c>
      <c r="B57" s="804">
        <v>57</v>
      </c>
      <c r="C57" s="1066">
        <v>57</v>
      </c>
      <c r="D57" s="777">
        <v>1</v>
      </c>
      <c r="E57" s="777">
        <v>1</v>
      </c>
      <c r="F57" s="777">
        <v>1</v>
      </c>
      <c r="G57" s="777">
        <v>1</v>
      </c>
      <c r="H57" s="777">
        <v>1</v>
      </c>
      <c r="I57" s="777">
        <v>1</v>
      </c>
      <c r="J57" s="777">
        <v>1</v>
      </c>
      <c r="K57" s="777">
        <v>1</v>
      </c>
      <c r="L57" s="777">
        <v>1</v>
      </c>
      <c r="M57" s="777">
        <v>1</v>
      </c>
      <c r="N57" s="777">
        <v>1</v>
      </c>
      <c r="O57" s="1066">
        <v>57</v>
      </c>
      <c r="P57" s="777">
        <v>1</v>
      </c>
      <c r="Q57" s="777">
        <v>1</v>
      </c>
      <c r="R57" s="777">
        <v>1</v>
      </c>
      <c r="S57" s="777">
        <v>1</v>
      </c>
      <c r="T57" s="777">
        <v>1</v>
      </c>
      <c r="U57" s="777">
        <v>1</v>
      </c>
      <c r="V57" s="777">
        <v>1</v>
      </c>
      <c r="W57" s="1066">
        <v>57</v>
      </c>
      <c r="X57" s="777">
        <v>1</v>
      </c>
      <c r="Y57" s="777">
        <v>1</v>
      </c>
      <c r="Z57" s="777">
        <v>1</v>
      </c>
      <c r="AA57" s="777">
        <v>1</v>
      </c>
      <c r="AB57" s="777">
        <v>1</v>
      </c>
      <c r="AC57" s="777">
        <v>1</v>
      </c>
      <c r="AD57" s="777">
        <v>1</v>
      </c>
      <c r="AE57" s="777">
        <v>1</v>
      </c>
      <c r="AF57" s="777">
        <v>1</v>
      </c>
      <c r="AG57" s="777">
        <v>1</v>
      </c>
      <c r="AH57" s="1066">
        <v>57</v>
      </c>
      <c r="AI57" s="777">
        <v>1</v>
      </c>
      <c r="AJ57" s="777">
        <v>1</v>
      </c>
      <c r="AK57" s="777">
        <v>1</v>
      </c>
      <c r="AL57" s="777">
        <v>1</v>
      </c>
      <c r="AM57" s="777">
        <v>1</v>
      </c>
      <c r="AN57" s="777">
        <v>1</v>
      </c>
      <c r="AO57" s="777">
        <v>1</v>
      </c>
    </row>
    <row r="58" spans="1:41" x14ac:dyDescent="0.25">
      <c r="A58" s="1141">
        <v>57</v>
      </c>
      <c r="B58" s="804">
        <v>58</v>
      </c>
      <c r="C58" s="1066">
        <v>58</v>
      </c>
      <c r="D58" s="777">
        <v>1</v>
      </c>
      <c r="E58" s="777">
        <v>1</v>
      </c>
      <c r="F58" s="777">
        <v>1</v>
      </c>
      <c r="G58" s="777">
        <v>58</v>
      </c>
      <c r="H58" s="777">
        <v>1</v>
      </c>
      <c r="I58" s="777">
        <v>1</v>
      </c>
      <c r="J58" s="777">
        <v>1</v>
      </c>
      <c r="K58" s="777">
        <v>1</v>
      </c>
      <c r="L58" s="777">
        <v>1</v>
      </c>
      <c r="M58" s="777">
        <v>1</v>
      </c>
      <c r="N58" s="777">
        <v>1</v>
      </c>
      <c r="O58" s="777">
        <v>1</v>
      </c>
      <c r="P58" s="777">
        <v>1</v>
      </c>
      <c r="Q58" s="777">
        <v>1</v>
      </c>
      <c r="R58" s="777">
        <v>1</v>
      </c>
      <c r="S58" s="777">
        <v>1</v>
      </c>
      <c r="T58" s="1066">
        <v>58</v>
      </c>
      <c r="U58" s="777">
        <v>1</v>
      </c>
      <c r="V58" s="777">
        <v>1</v>
      </c>
      <c r="W58" s="1066">
        <v>58</v>
      </c>
      <c r="X58" s="777">
        <v>58</v>
      </c>
      <c r="Y58" s="777">
        <v>1</v>
      </c>
      <c r="Z58" s="777">
        <v>1</v>
      </c>
      <c r="AA58" s="777">
        <v>1</v>
      </c>
      <c r="AB58" s="777">
        <v>1</v>
      </c>
      <c r="AC58" s="777">
        <v>1</v>
      </c>
      <c r="AD58" s="777">
        <v>1</v>
      </c>
      <c r="AE58" s="777">
        <v>58</v>
      </c>
      <c r="AF58" s="777">
        <v>58</v>
      </c>
      <c r="AG58" s="777">
        <v>1</v>
      </c>
      <c r="AH58" s="777">
        <v>1</v>
      </c>
      <c r="AI58" s="777">
        <v>1</v>
      </c>
      <c r="AJ58" s="777">
        <v>1</v>
      </c>
      <c r="AK58" s="777">
        <v>1</v>
      </c>
      <c r="AL58" s="777">
        <v>1</v>
      </c>
      <c r="AM58" s="777">
        <v>1</v>
      </c>
      <c r="AN58" s="777">
        <v>1</v>
      </c>
      <c r="AO58" s="777">
        <v>1</v>
      </c>
    </row>
    <row r="59" spans="1:41" x14ac:dyDescent="0.25">
      <c r="A59" s="1141">
        <v>58</v>
      </c>
      <c r="B59" s="804">
        <v>59</v>
      </c>
      <c r="C59" s="777">
        <v>1</v>
      </c>
      <c r="D59" s="777">
        <v>1</v>
      </c>
      <c r="E59" s="777">
        <v>1</v>
      </c>
      <c r="F59" s="777">
        <v>1</v>
      </c>
      <c r="G59" s="777">
        <v>1</v>
      </c>
      <c r="H59" s="777">
        <v>1</v>
      </c>
      <c r="I59" s="777">
        <v>1</v>
      </c>
      <c r="J59" s="777">
        <v>1</v>
      </c>
      <c r="K59" s="777">
        <v>1</v>
      </c>
      <c r="L59" s="777">
        <v>1</v>
      </c>
      <c r="M59" s="777">
        <v>1</v>
      </c>
      <c r="N59" s="777">
        <v>1</v>
      </c>
      <c r="O59" s="777">
        <v>1</v>
      </c>
      <c r="P59" s="777">
        <v>1</v>
      </c>
      <c r="Q59" s="777">
        <v>1</v>
      </c>
      <c r="R59" s="777">
        <v>1</v>
      </c>
      <c r="S59" s="777">
        <v>1</v>
      </c>
      <c r="T59" s="777">
        <v>1</v>
      </c>
      <c r="U59" s="777">
        <v>1</v>
      </c>
      <c r="V59" s="777">
        <v>1</v>
      </c>
      <c r="W59" s="777">
        <v>59</v>
      </c>
      <c r="X59" s="777">
        <v>59</v>
      </c>
      <c r="Y59" s="777">
        <v>1</v>
      </c>
      <c r="Z59" s="777">
        <v>1</v>
      </c>
      <c r="AA59" s="1066">
        <v>1</v>
      </c>
      <c r="AB59" s="777">
        <v>1</v>
      </c>
      <c r="AC59" s="777">
        <v>1</v>
      </c>
      <c r="AD59" s="777">
        <v>1</v>
      </c>
      <c r="AE59" s="777">
        <v>59</v>
      </c>
      <c r="AF59" s="777">
        <v>1</v>
      </c>
      <c r="AG59" s="777">
        <v>1</v>
      </c>
      <c r="AH59" s="777">
        <v>1</v>
      </c>
      <c r="AI59" s="777">
        <v>1</v>
      </c>
      <c r="AJ59" s="777">
        <v>59</v>
      </c>
      <c r="AK59" s="777">
        <v>59</v>
      </c>
      <c r="AL59" s="777">
        <v>1</v>
      </c>
      <c r="AM59" s="777">
        <v>1</v>
      </c>
      <c r="AN59" s="777">
        <v>1</v>
      </c>
      <c r="AO59" s="777">
        <v>1</v>
      </c>
    </row>
    <row r="60" spans="1:41" x14ac:dyDescent="0.25">
      <c r="A60" s="1141">
        <v>59</v>
      </c>
      <c r="B60" s="804">
        <v>60</v>
      </c>
      <c r="C60" s="1066">
        <v>60</v>
      </c>
      <c r="D60" s="777">
        <v>1</v>
      </c>
      <c r="E60" s="777">
        <v>1</v>
      </c>
      <c r="F60" s="777">
        <v>1</v>
      </c>
      <c r="G60" s="777">
        <v>1</v>
      </c>
      <c r="H60" s="777">
        <v>1</v>
      </c>
      <c r="I60" s="777">
        <v>1</v>
      </c>
      <c r="J60" s="777">
        <v>1</v>
      </c>
      <c r="K60" s="777">
        <v>1</v>
      </c>
      <c r="L60" s="777">
        <v>1</v>
      </c>
      <c r="M60" s="777">
        <v>1</v>
      </c>
      <c r="N60" s="777">
        <v>1</v>
      </c>
      <c r="O60" s="777">
        <v>1</v>
      </c>
      <c r="P60" s="777">
        <v>1</v>
      </c>
      <c r="Q60" s="777">
        <v>1</v>
      </c>
      <c r="R60" s="777">
        <v>1</v>
      </c>
      <c r="S60" s="777">
        <v>1</v>
      </c>
      <c r="T60" s="1066">
        <v>60</v>
      </c>
      <c r="U60" s="777">
        <v>1</v>
      </c>
      <c r="V60" s="777">
        <v>1</v>
      </c>
      <c r="W60" s="777">
        <v>1</v>
      </c>
      <c r="X60" s="777">
        <v>1</v>
      </c>
      <c r="Y60" s="777">
        <v>1</v>
      </c>
      <c r="Z60" s="777">
        <v>1</v>
      </c>
      <c r="AA60" s="777">
        <v>1</v>
      </c>
      <c r="AB60" s="777">
        <v>1</v>
      </c>
      <c r="AC60" s="777">
        <v>1</v>
      </c>
      <c r="AD60" s="777">
        <v>1</v>
      </c>
      <c r="AE60" s="777">
        <v>1</v>
      </c>
      <c r="AF60" s="777">
        <v>1</v>
      </c>
      <c r="AG60" s="777">
        <v>1</v>
      </c>
      <c r="AH60" s="1066">
        <v>60</v>
      </c>
      <c r="AI60" s="1066">
        <v>60</v>
      </c>
      <c r="AJ60" s="777">
        <v>1</v>
      </c>
      <c r="AK60" s="777">
        <v>1</v>
      </c>
      <c r="AL60" s="777">
        <v>1</v>
      </c>
      <c r="AM60" s="777">
        <v>1</v>
      </c>
      <c r="AN60" s="1066">
        <v>60</v>
      </c>
      <c r="AO60" s="777">
        <v>1</v>
      </c>
    </row>
    <row r="61" spans="1:41" x14ac:dyDescent="0.25">
      <c r="A61" s="1141">
        <v>60</v>
      </c>
      <c r="B61" s="804">
        <v>61</v>
      </c>
      <c r="C61" s="1066">
        <v>61</v>
      </c>
      <c r="D61" s="777">
        <v>1</v>
      </c>
      <c r="E61" s="777">
        <v>1</v>
      </c>
      <c r="F61" s="777">
        <v>1</v>
      </c>
      <c r="G61" s="1066">
        <v>61</v>
      </c>
      <c r="H61" s="777">
        <v>1</v>
      </c>
      <c r="I61" s="777">
        <v>1</v>
      </c>
      <c r="J61" s="777">
        <v>1</v>
      </c>
      <c r="K61" s="777">
        <v>1</v>
      </c>
      <c r="L61" s="777">
        <v>1</v>
      </c>
      <c r="M61" s="777">
        <v>1</v>
      </c>
      <c r="N61" s="777">
        <v>1</v>
      </c>
      <c r="O61" s="1066">
        <v>61</v>
      </c>
      <c r="P61" s="777">
        <v>1</v>
      </c>
      <c r="Q61" s="777">
        <v>1</v>
      </c>
      <c r="R61" s="777">
        <v>1</v>
      </c>
      <c r="S61" s="777">
        <v>1</v>
      </c>
      <c r="T61" s="777">
        <v>1</v>
      </c>
      <c r="U61" s="777">
        <v>1</v>
      </c>
      <c r="V61" s="777">
        <v>1</v>
      </c>
      <c r="W61" s="777">
        <v>1</v>
      </c>
      <c r="X61" s="777">
        <v>1</v>
      </c>
      <c r="Y61" s="777">
        <v>1</v>
      </c>
      <c r="Z61" s="777">
        <v>1</v>
      </c>
      <c r="AA61" s="777">
        <v>1</v>
      </c>
      <c r="AB61" s="777">
        <v>1</v>
      </c>
      <c r="AC61" s="777">
        <v>1</v>
      </c>
      <c r="AD61" s="777">
        <v>1</v>
      </c>
      <c r="AE61" s="777">
        <v>1</v>
      </c>
      <c r="AF61" s="777">
        <v>1</v>
      </c>
      <c r="AG61" s="777">
        <v>1</v>
      </c>
      <c r="AH61" s="777">
        <v>1</v>
      </c>
      <c r="AI61" s="777">
        <v>1</v>
      </c>
      <c r="AJ61" s="777">
        <v>1</v>
      </c>
      <c r="AK61" s="777">
        <v>1</v>
      </c>
      <c r="AL61" s="1066">
        <v>61</v>
      </c>
      <c r="AM61" s="777">
        <v>1</v>
      </c>
      <c r="AN61" s="777">
        <v>1</v>
      </c>
      <c r="AO61" s="777">
        <v>1</v>
      </c>
    </row>
    <row r="62" spans="1:41" x14ac:dyDescent="0.25">
      <c r="A62" s="1141">
        <v>61</v>
      </c>
      <c r="B62" s="804">
        <v>62</v>
      </c>
      <c r="C62" s="1066">
        <v>62</v>
      </c>
      <c r="D62" s="1066">
        <v>62</v>
      </c>
      <c r="E62" s="777">
        <v>1</v>
      </c>
      <c r="F62" s="777">
        <v>1</v>
      </c>
      <c r="G62" s="777">
        <v>1</v>
      </c>
      <c r="H62" s="777">
        <v>1</v>
      </c>
      <c r="I62" s="777">
        <v>1</v>
      </c>
      <c r="J62" s="777">
        <v>1</v>
      </c>
      <c r="K62" s="777">
        <v>1</v>
      </c>
      <c r="L62" s="777">
        <v>1</v>
      </c>
      <c r="M62" s="777">
        <v>1</v>
      </c>
      <c r="N62" s="777">
        <v>1</v>
      </c>
      <c r="O62" s="1066">
        <v>62</v>
      </c>
      <c r="P62" s="777">
        <v>1</v>
      </c>
      <c r="Q62" s="777">
        <v>1</v>
      </c>
      <c r="R62" s="777">
        <v>1</v>
      </c>
      <c r="S62" s="777">
        <v>1</v>
      </c>
      <c r="T62" s="777">
        <v>1</v>
      </c>
      <c r="U62" s="777">
        <v>1</v>
      </c>
      <c r="V62" s="777">
        <v>1</v>
      </c>
      <c r="W62" s="1066">
        <v>62</v>
      </c>
      <c r="X62" s="777">
        <v>1</v>
      </c>
      <c r="Y62" s="777">
        <v>1</v>
      </c>
      <c r="Z62" s="777">
        <v>1</v>
      </c>
      <c r="AA62" s="777">
        <v>1</v>
      </c>
      <c r="AB62" s="777">
        <v>1</v>
      </c>
      <c r="AC62" s="777">
        <v>1</v>
      </c>
      <c r="AD62" s="777">
        <v>1</v>
      </c>
      <c r="AE62" s="777">
        <v>1</v>
      </c>
      <c r="AF62" s="777">
        <v>62</v>
      </c>
      <c r="AG62" s="777">
        <v>1</v>
      </c>
      <c r="AH62" s="1066">
        <v>62</v>
      </c>
      <c r="AI62" s="777">
        <v>1</v>
      </c>
      <c r="AJ62" s="777">
        <v>1</v>
      </c>
      <c r="AK62" s="777">
        <v>1</v>
      </c>
      <c r="AL62" s="777">
        <v>1</v>
      </c>
      <c r="AM62" s="777">
        <v>1</v>
      </c>
      <c r="AN62" s="777">
        <v>1</v>
      </c>
      <c r="AO62" s="777">
        <v>1</v>
      </c>
    </row>
    <row r="63" spans="1:41" x14ac:dyDescent="0.25">
      <c r="A63" s="1141">
        <v>62</v>
      </c>
      <c r="B63" s="804">
        <v>63</v>
      </c>
      <c r="C63" s="1066">
        <v>63</v>
      </c>
      <c r="D63" s="1066">
        <v>63</v>
      </c>
      <c r="E63" s="777">
        <v>1</v>
      </c>
      <c r="F63" s="777">
        <v>1</v>
      </c>
      <c r="G63" s="1066">
        <v>63</v>
      </c>
      <c r="H63" s="777">
        <v>1</v>
      </c>
      <c r="I63" s="777">
        <v>1</v>
      </c>
      <c r="J63" s="777">
        <v>1</v>
      </c>
      <c r="K63" s="777">
        <v>1</v>
      </c>
      <c r="L63" s="777">
        <v>1</v>
      </c>
      <c r="M63" s="777">
        <v>1</v>
      </c>
      <c r="N63" s="777">
        <v>1</v>
      </c>
      <c r="O63" s="777">
        <v>1</v>
      </c>
      <c r="P63" s="777">
        <v>1</v>
      </c>
      <c r="Q63" s="777">
        <v>1</v>
      </c>
      <c r="R63" s="777">
        <v>1</v>
      </c>
      <c r="S63" s="777">
        <v>1</v>
      </c>
      <c r="T63" s="777">
        <v>1</v>
      </c>
      <c r="U63" s="1066">
        <v>63</v>
      </c>
      <c r="V63" s="777">
        <v>1</v>
      </c>
      <c r="W63" s="777">
        <v>1</v>
      </c>
      <c r="X63" s="777">
        <v>1</v>
      </c>
      <c r="Y63" s="777">
        <v>1</v>
      </c>
      <c r="Z63" s="777">
        <v>1</v>
      </c>
      <c r="AA63" s="777">
        <v>1</v>
      </c>
      <c r="AB63" s="777">
        <v>1</v>
      </c>
      <c r="AC63" s="777">
        <v>1</v>
      </c>
      <c r="AD63" s="777">
        <v>1</v>
      </c>
      <c r="AE63" s="777">
        <v>1</v>
      </c>
      <c r="AF63" s="777">
        <v>1</v>
      </c>
      <c r="AG63" s="777">
        <v>1</v>
      </c>
      <c r="AH63" s="1066">
        <v>63</v>
      </c>
      <c r="AI63" s="777">
        <v>1</v>
      </c>
      <c r="AJ63" s="777">
        <v>1</v>
      </c>
      <c r="AK63" s="777">
        <v>1</v>
      </c>
      <c r="AL63" s="777">
        <v>1</v>
      </c>
      <c r="AM63" s="777">
        <v>1</v>
      </c>
      <c r="AN63" s="777">
        <v>1</v>
      </c>
      <c r="AO63" s="777">
        <v>1</v>
      </c>
    </row>
    <row r="64" spans="1:41" x14ac:dyDescent="0.25">
      <c r="A64" s="1141">
        <v>63</v>
      </c>
      <c r="B64" s="804">
        <v>64</v>
      </c>
      <c r="C64" s="1066">
        <v>64</v>
      </c>
      <c r="D64" s="777">
        <v>1</v>
      </c>
      <c r="E64" s="777">
        <v>1</v>
      </c>
      <c r="F64" s="777">
        <v>1</v>
      </c>
      <c r="G64" s="777">
        <v>1</v>
      </c>
      <c r="H64" s="1066">
        <v>64</v>
      </c>
      <c r="I64" s="777">
        <v>1</v>
      </c>
      <c r="J64" s="777">
        <v>1</v>
      </c>
      <c r="K64" s="777">
        <v>1</v>
      </c>
      <c r="L64" s="777">
        <v>1</v>
      </c>
      <c r="M64" s="1066">
        <v>64</v>
      </c>
      <c r="N64" s="777">
        <v>1</v>
      </c>
      <c r="O64" s="1066">
        <v>64</v>
      </c>
      <c r="P64" s="777">
        <v>1</v>
      </c>
      <c r="Q64" s="777">
        <v>1</v>
      </c>
      <c r="R64" s="777">
        <v>1</v>
      </c>
      <c r="S64" s="777">
        <v>1</v>
      </c>
      <c r="T64" s="1066">
        <v>64</v>
      </c>
      <c r="U64" s="777">
        <v>1</v>
      </c>
      <c r="V64" s="777">
        <v>1</v>
      </c>
      <c r="W64" s="1066">
        <v>64</v>
      </c>
      <c r="X64" s="777">
        <v>1</v>
      </c>
      <c r="Y64" s="777">
        <v>1</v>
      </c>
      <c r="Z64" s="777">
        <v>1</v>
      </c>
      <c r="AA64" s="777">
        <v>1</v>
      </c>
      <c r="AB64" s="777">
        <v>1</v>
      </c>
      <c r="AC64" s="777">
        <v>1</v>
      </c>
      <c r="AD64" s="777">
        <v>1</v>
      </c>
      <c r="AE64" s="777">
        <v>1</v>
      </c>
      <c r="AF64" s="777">
        <v>64</v>
      </c>
      <c r="AG64" s="777">
        <v>1</v>
      </c>
      <c r="AH64" s="777">
        <v>1</v>
      </c>
      <c r="AI64" s="777">
        <v>1</v>
      </c>
      <c r="AJ64" s="777">
        <v>1</v>
      </c>
      <c r="AK64" s="777">
        <v>1</v>
      </c>
      <c r="AL64" s="777">
        <v>1</v>
      </c>
      <c r="AM64" s="777">
        <v>1</v>
      </c>
      <c r="AN64" s="777">
        <v>1</v>
      </c>
      <c r="AO64" s="777">
        <v>1</v>
      </c>
    </row>
    <row r="65" spans="1:41" ht="12.65" customHeight="1" x14ac:dyDescent="0.25">
      <c r="A65" s="1141">
        <v>64</v>
      </c>
      <c r="B65" s="804">
        <v>65</v>
      </c>
      <c r="C65" s="777">
        <v>65</v>
      </c>
      <c r="D65" s="1066">
        <v>65</v>
      </c>
      <c r="E65" s="1066">
        <v>1</v>
      </c>
      <c r="F65" s="777">
        <v>1</v>
      </c>
      <c r="G65" s="1066">
        <v>65</v>
      </c>
      <c r="H65" s="777">
        <v>1</v>
      </c>
      <c r="I65" s="777">
        <v>1</v>
      </c>
      <c r="J65" s="777">
        <v>1</v>
      </c>
      <c r="K65" s="777">
        <v>1</v>
      </c>
      <c r="L65" s="777">
        <v>1</v>
      </c>
      <c r="M65" s="777">
        <v>1</v>
      </c>
      <c r="N65" s="777">
        <v>1</v>
      </c>
      <c r="O65" s="777">
        <v>1</v>
      </c>
      <c r="P65" s="777">
        <v>1</v>
      </c>
      <c r="Q65" s="777">
        <v>1</v>
      </c>
      <c r="R65" s="777">
        <v>1</v>
      </c>
      <c r="S65" s="777">
        <v>1</v>
      </c>
      <c r="T65" s="777">
        <v>1</v>
      </c>
      <c r="U65" s="777">
        <v>1</v>
      </c>
      <c r="V65" s="777">
        <v>1</v>
      </c>
      <c r="W65" s="777">
        <v>65</v>
      </c>
      <c r="X65" s="777">
        <v>1</v>
      </c>
      <c r="Y65" s="777">
        <v>1</v>
      </c>
      <c r="Z65" s="777">
        <v>1</v>
      </c>
      <c r="AA65" s="1066">
        <v>1</v>
      </c>
      <c r="AB65" s="777">
        <v>1</v>
      </c>
      <c r="AC65" s="777">
        <v>1</v>
      </c>
      <c r="AD65" s="777">
        <v>1</v>
      </c>
      <c r="AE65" s="777">
        <v>1</v>
      </c>
      <c r="AF65" s="777">
        <v>1</v>
      </c>
      <c r="AG65" s="777">
        <v>1</v>
      </c>
      <c r="AH65" s="1066">
        <v>65</v>
      </c>
      <c r="AI65" s="777">
        <v>65</v>
      </c>
      <c r="AJ65" s="777">
        <v>1</v>
      </c>
      <c r="AK65" s="777">
        <v>1</v>
      </c>
      <c r="AL65" s="777">
        <v>1</v>
      </c>
      <c r="AM65" s="1066">
        <v>65</v>
      </c>
      <c r="AN65" s="777">
        <v>1</v>
      </c>
      <c r="AO65" s="777">
        <v>1</v>
      </c>
    </row>
    <row r="66" spans="1:41" x14ac:dyDescent="0.25">
      <c r="A66" s="1141">
        <v>65</v>
      </c>
      <c r="B66" s="804">
        <v>66</v>
      </c>
      <c r="C66" s="1066">
        <v>66</v>
      </c>
      <c r="D66" s="1066">
        <v>66</v>
      </c>
      <c r="E66" s="1066">
        <v>66</v>
      </c>
      <c r="F66" s="777">
        <v>1</v>
      </c>
      <c r="G66" s="777">
        <v>1</v>
      </c>
      <c r="H66" s="777">
        <v>1</v>
      </c>
      <c r="I66" s="777">
        <v>1</v>
      </c>
      <c r="J66" s="777">
        <v>1</v>
      </c>
      <c r="K66" s="777">
        <v>1</v>
      </c>
      <c r="L66" s="777">
        <v>1</v>
      </c>
      <c r="M66" s="777">
        <v>1</v>
      </c>
      <c r="N66" s="777">
        <v>1</v>
      </c>
      <c r="O66" s="777">
        <v>1</v>
      </c>
      <c r="P66" s="777">
        <v>1</v>
      </c>
      <c r="Q66" s="777">
        <v>1</v>
      </c>
      <c r="R66" s="777">
        <v>1</v>
      </c>
      <c r="S66" s="777">
        <v>1</v>
      </c>
      <c r="T66" s="777">
        <v>1</v>
      </c>
      <c r="U66" s="777">
        <v>1</v>
      </c>
      <c r="V66" s="777">
        <v>1</v>
      </c>
      <c r="W66" s="777">
        <v>1</v>
      </c>
      <c r="X66" s="777">
        <v>1</v>
      </c>
      <c r="Y66" s="777">
        <v>1</v>
      </c>
      <c r="Z66" s="777">
        <v>1</v>
      </c>
      <c r="AA66" s="777">
        <v>1</v>
      </c>
      <c r="AB66" s="777">
        <v>1</v>
      </c>
      <c r="AC66" s="777">
        <v>1</v>
      </c>
      <c r="AD66" s="777">
        <v>1</v>
      </c>
      <c r="AE66" s="777">
        <v>1</v>
      </c>
      <c r="AF66" s="777">
        <v>1</v>
      </c>
      <c r="AG66" s="777">
        <v>1</v>
      </c>
      <c r="AH66" s="1066">
        <v>66</v>
      </c>
      <c r="AI66" s="777">
        <v>1</v>
      </c>
      <c r="AJ66" s="777">
        <v>1</v>
      </c>
      <c r="AK66" s="777">
        <v>1</v>
      </c>
      <c r="AL66" s="777">
        <v>1</v>
      </c>
      <c r="AM66" s="777">
        <v>1</v>
      </c>
      <c r="AN66" s="777">
        <v>1</v>
      </c>
      <c r="AO66" s="777">
        <v>1</v>
      </c>
    </row>
    <row r="67" spans="1:41" x14ac:dyDescent="0.25">
      <c r="A67" s="1141">
        <v>66</v>
      </c>
      <c r="B67" s="804">
        <v>67</v>
      </c>
      <c r="C67" s="1066">
        <v>67</v>
      </c>
      <c r="D67" s="1066">
        <v>67</v>
      </c>
      <c r="E67" s="1066">
        <v>67</v>
      </c>
      <c r="F67" s="777">
        <v>1</v>
      </c>
      <c r="G67" s="1066">
        <v>67</v>
      </c>
      <c r="H67" s="777">
        <v>1</v>
      </c>
      <c r="I67" s="777">
        <v>1</v>
      </c>
      <c r="J67" s="777">
        <v>1</v>
      </c>
      <c r="K67" s="777">
        <v>1</v>
      </c>
      <c r="L67" s="777">
        <v>1</v>
      </c>
      <c r="M67" s="777">
        <v>1</v>
      </c>
      <c r="N67" s="777">
        <v>1</v>
      </c>
      <c r="O67" s="777">
        <v>1</v>
      </c>
      <c r="P67" s="777">
        <v>1</v>
      </c>
      <c r="Q67" s="777">
        <v>1</v>
      </c>
      <c r="R67" s="777">
        <v>1</v>
      </c>
      <c r="S67" s="777">
        <v>1</v>
      </c>
      <c r="T67" s="777">
        <v>1</v>
      </c>
      <c r="U67" s="777">
        <v>1</v>
      </c>
      <c r="V67" s="777">
        <v>1</v>
      </c>
      <c r="W67" s="777">
        <v>1</v>
      </c>
      <c r="X67" s="777">
        <v>1</v>
      </c>
      <c r="Y67" s="777">
        <v>1</v>
      </c>
      <c r="Z67" s="777">
        <v>1</v>
      </c>
      <c r="AA67" s="777">
        <v>1</v>
      </c>
      <c r="AB67" s="777">
        <v>1</v>
      </c>
      <c r="AC67" s="777">
        <v>1</v>
      </c>
      <c r="AD67" s="777">
        <v>1</v>
      </c>
      <c r="AE67" s="777">
        <v>1</v>
      </c>
      <c r="AF67" s="777">
        <v>1</v>
      </c>
      <c r="AG67" s="777">
        <v>1</v>
      </c>
      <c r="AH67" s="1066">
        <v>67</v>
      </c>
      <c r="AI67" s="777">
        <v>1</v>
      </c>
      <c r="AJ67" s="777">
        <v>1</v>
      </c>
      <c r="AK67" s="777">
        <v>1</v>
      </c>
      <c r="AL67" s="777">
        <v>1</v>
      </c>
      <c r="AM67" s="777">
        <v>1</v>
      </c>
      <c r="AN67" s="777">
        <v>1</v>
      </c>
      <c r="AO67" s="777">
        <v>1</v>
      </c>
    </row>
    <row r="68" spans="1:41" x14ac:dyDescent="0.25">
      <c r="A68" s="1141">
        <v>67</v>
      </c>
      <c r="B68" s="804">
        <v>68</v>
      </c>
      <c r="C68" s="1066">
        <v>68</v>
      </c>
      <c r="D68" s="1066">
        <v>68</v>
      </c>
      <c r="E68" s="1066">
        <v>68</v>
      </c>
      <c r="F68" s="777">
        <v>1</v>
      </c>
      <c r="G68" s="777">
        <v>1</v>
      </c>
      <c r="H68" s="777">
        <v>1</v>
      </c>
      <c r="I68" s="777">
        <v>1</v>
      </c>
      <c r="J68" s="777">
        <v>1</v>
      </c>
      <c r="K68" s="777">
        <v>1</v>
      </c>
      <c r="L68" s="777">
        <v>1</v>
      </c>
      <c r="M68" s="777">
        <v>1</v>
      </c>
      <c r="N68" s="777">
        <v>1</v>
      </c>
      <c r="O68" s="777">
        <v>1</v>
      </c>
      <c r="P68" s="1066">
        <v>68</v>
      </c>
      <c r="Q68" s="777">
        <v>1</v>
      </c>
      <c r="R68" s="777">
        <v>1</v>
      </c>
      <c r="S68" s="777">
        <v>1</v>
      </c>
      <c r="T68" s="777">
        <v>1</v>
      </c>
      <c r="U68" s="777">
        <v>1</v>
      </c>
      <c r="V68" s="777">
        <v>1</v>
      </c>
      <c r="W68" s="1066">
        <v>68</v>
      </c>
      <c r="X68" s="777">
        <v>1</v>
      </c>
      <c r="Y68" s="777">
        <v>1</v>
      </c>
      <c r="Z68" s="777">
        <v>1</v>
      </c>
      <c r="AA68" s="777">
        <v>1</v>
      </c>
      <c r="AB68" s="777">
        <v>1</v>
      </c>
      <c r="AC68" s="777">
        <v>1</v>
      </c>
      <c r="AD68" s="777">
        <v>1</v>
      </c>
      <c r="AE68" s="777">
        <v>1</v>
      </c>
      <c r="AF68" s="777">
        <v>1</v>
      </c>
      <c r="AG68" s="777">
        <v>1</v>
      </c>
      <c r="AH68" s="1066">
        <v>68</v>
      </c>
      <c r="AI68" s="777">
        <v>1</v>
      </c>
      <c r="AJ68" s="777">
        <v>1</v>
      </c>
      <c r="AK68" s="777">
        <v>1</v>
      </c>
      <c r="AL68" s="777">
        <v>1</v>
      </c>
      <c r="AM68" s="777">
        <v>1</v>
      </c>
      <c r="AN68" s="777">
        <v>1</v>
      </c>
      <c r="AO68" s="777">
        <v>1</v>
      </c>
    </row>
    <row r="69" spans="1:41" x14ac:dyDescent="0.25">
      <c r="A69" s="1141">
        <v>68</v>
      </c>
      <c r="B69" s="804">
        <v>69</v>
      </c>
      <c r="C69" s="1066">
        <v>69</v>
      </c>
      <c r="D69" s="777">
        <v>69</v>
      </c>
      <c r="E69" s="777">
        <v>1</v>
      </c>
      <c r="F69" s="777">
        <v>1</v>
      </c>
      <c r="G69" s="777">
        <v>1</v>
      </c>
      <c r="H69" s="777">
        <v>1</v>
      </c>
      <c r="I69" s="777">
        <v>1</v>
      </c>
      <c r="J69" s="777">
        <v>1</v>
      </c>
      <c r="K69" s="777">
        <v>1</v>
      </c>
      <c r="L69" s="777">
        <v>1</v>
      </c>
      <c r="M69" s="777">
        <v>1</v>
      </c>
      <c r="N69" s="777">
        <v>1</v>
      </c>
      <c r="O69" s="777">
        <v>1</v>
      </c>
      <c r="P69" s="777">
        <v>1</v>
      </c>
      <c r="Q69" s="777">
        <v>1</v>
      </c>
      <c r="R69" s="777">
        <v>1</v>
      </c>
      <c r="S69" s="777">
        <v>1</v>
      </c>
      <c r="T69" s="777">
        <v>1</v>
      </c>
      <c r="U69" s="777">
        <v>1</v>
      </c>
      <c r="V69" s="777">
        <v>1</v>
      </c>
      <c r="W69" s="777">
        <v>1</v>
      </c>
      <c r="X69" s="777">
        <v>1</v>
      </c>
      <c r="Y69" s="777">
        <v>1</v>
      </c>
      <c r="Z69" s="777">
        <v>1</v>
      </c>
      <c r="AA69" s="777">
        <v>1</v>
      </c>
      <c r="AB69" s="777">
        <v>1</v>
      </c>
      <c r="AC69" s="777">
        <v>1</v>
      </c>
      <c r="AD69" s="777">
        <v>1</v>
      </c>
      <c r="AE69" s="777">
        <v>1</v>
      </c>
      <c r="AF69" s="777">
        <v>1</v>
      </c>
      <c r="AG69" s="777">
        <v>1</v>
      </c>
      <c r="AH69" s="1066">
        <v>69</v>
      </c>
      <c r="AI69" s="1066">
        <v>1</v>
      </c>
      <c r="AJ69" s="777">
        <v>1</v>
      </c>
      <c r="AK69" s="777">
        <v>1</v>
      </c>
      <c r="AL69" s="777">
        <v>1</v>
      </c>
      <c r="AM69" s="1066">
        <v>69</v>
      </c>
      <c r="AN69" s="777">
        <v>1</v>
      </c>
      <c r="AO69" s="777">
        <v>1</v>
      </c>
    </row>
    <row r="70" spans="1:41" x14ac:dyDescent="0.25">
      <c r="A70" s="1141">
        <v>69</v>
      </c>
      <c r="B70" s="804">
        <v>70</v>
      </c>
      <c r="C70" s="1066">
        <v>70</v>
      </c>
      <c r="D70" s="1066">
        <v>70</v>
      </c>
      <c r="E70" s="1066">
        <v>70</v>
      </c>
      <c r="F70" s="777">
        <v>1</v>
      </c>
      <c r="G70" s="1066">
        <v>70</v>
      </c>
      <c r="H70" s="777">
        <v>1</v>
      </c>
      <c r="I70" s="777">
        <v>1</v>
      </c>
      <c r="J70" s="777">
        <v>1</v>
      </c>
      <c r="K70" s="777">
        <v>1</v>
      </c>
      <c r="L70" s="777">
        <v>1</v>
      </c>
      <c r="M70" s="777">
        <v>1</v>
      </c>
      <c r="N70" s="1066">
        <v>70</v>
      </c>
      <c r="O70" s="777">
        <v>1</v>
      </c>
      <c r="P70" s="777">
        <v>1</v>
      </c>
      <c r="Q70" s="777">
        <v>1</v>
      </c>
      <c r="R70" s="777">
        <v>1</v>
      </c>
      <c r="S70" s="777">
        <v>1</v>
      </c>
      <c r="T70" s="777">
        <v>1</v>
      </c>
      <c r="U70" s="777">
        <v>1</v>
      </c>
      <c r="V70" s="777">
        <v>1</v>
      </c>
      <c r="W70" s="777">
        <v>1</v>
      </c>
      <c r="X70" s="777">
        <v>1</v>
      </c>
      <c r="Y70" s="777">
        <v>1</v>
      </c>
      <c r="Z70" s="777">
        <v>1</v>
      </c>
      <c r="AA70" s="777">
        <v>1</v>
      </c>
      <c r="AB70" s="777">
        <v>1</v>
      </c>
      <c r="AC70" s="777">
        <v>1</v>
      </c>
      <c r="AD70" s="777">
        <v>1</v>
      </c>
      <c r="AE70" s="777">
        <v>1</v>
      </c>
      <c r="AF70" s="777">
        <v>1</v>
      </c>
      <c r="AG70" s="777">
        <v>1</v>
      </c>
      <c r="AH70" s="1066">
        <v>70</v>
      </c>
      <c r="AI70" s="777">
        <v>1</v>
      </c>
      <c r="AJ70" s="777">
        <v>1</v>
      </c>
      <c r="AK70" s="777">
        <v>1</v>
      </c>
      <c r="AL70" s="777">
        <v>1</v>
      </c>
      <c r="AM70" s="1066">
        <v>70</v>
      </c>
      <c r="AN70" s="777">
        <v>1</v>
      </c>
      <c r="AO70" s="777">
        <v>1</v>
      </c>
    </row>
    <row r="71" spans="1:41" x14ac:dyDescent="0.25">
      <c r="A71" s="1141">
        <v>70</v>
      </c>
      <c r="B71" s="804">
        <v>71</v>
      </c>
      <c r="C71" s="1066">
        <v>71</v>
      </c>
      <c r="D71" s="1066">
        <v>71</v>
      </c>
      <c r="E71" s="777">
        <v>1</v>
      </c>
      <c r="F71" s="777">
        <v>1</v>
      </c>
      <c r="G71" s="777">
        <v>1</v>
      </c>
      <c r="H71" s="777">
        <v>1</v>
      </c>
      <c r="I71" s="777">
        <v>1</v>
      </c>
      <c r="J71" s="777">
        <v>1</v>
      </c>
      <c r="K71" s="777">
        <v>71</v>
      </c>
      <c r="L71" s="777">
        <v>1</v>
      </c>
      <c r="M71" s="777">
        <v>1</v>
      </c>
      <c r="N71" s="777">
        <v>1</v>
      </c>
      <c r="O71" s="777">
        <v>1</v>
      </c>
      <c r="P71" s="777">
        <v>1</v>
      </c>
      <c r="Q71" s="777">
        <v>71</v>
      </c>
      <c r="R71" s="777">
        <v>71</v>
      </c>
      <c r="S71" s="777">
        <v>1</v>
      </c>
      <c r="T71" s="777">
        <v>1</v>
      </c>
      <c r="U71" s="1066">
        <v>1</v>
      </c>
      <c r="V71" s="777">
        <v>1</v>
      </c>
      <c r="W71" s="777">
        <v>1</v>
      </c>
      <c r="X71" s="777">
        <v>1</v>
      </c>
      <c r="Y71" s="777">
        <v>1</v>
      </c>
      <c r="Z71" s="1066">
        <v>71</v>
      </c>
      <c r="AA71" s="777">
        <v>1</v>
      </c>
      <c r="AB71" s="777">
        <v>1</v>
      </c>
      <c r="AC71" s="777">
        <v>1</v>
      </c>
      <c r="AD71" s="777">
        <v>1</v>
      </c>
      <c r="AE71" s="777">
        <v>1</v>
      </c>
      <c r="AF71" s="777">
        <v>1</v>
      </c>
      <c r="AG71" s="777">
        <v>1</v>
      </c>
      <c r="AH71" s="1066">
        <v>71</v>
      </c>
      <c r="AI71" s="1066">
        <v>71</v>
      </c>
      <c r="AJ71" s="777">
        <v>1</v>
      </c>
      <c r="AK71" s="777">
        <v>1</v>
      </c>
      <c r="AL71" s="777">
        <v>1</v>
      </c>
      <c r="AM71" s="777">
        <v>1</v>
      </c>
      <c r="AN71" s="777">
        <v>1</v>
      </c>
      <c r="AO71" s="777">
        <v>1</v>
      </c>
    </row>
    <row r="72" spans="1:41" x14ac:dyDescent="0.25">
      <c r="A72" s="1141">
        <v>71</v>
      </c>
      <c r="B72" s="804">
        <v>72</v>
      </c>
      <c r="C72" s="1066">
        <v>72</v>
      </c>
      <c r="D72" s="777">
        <v>1</v>
      </c>
      <c r="E72" s="777">
        <v>1</v>
      </c>
      <c r="F72" s="777">
        <v>1</v>
      </c>
      <c r="G72" s="777">
        <v>1</v>
      </c>
      <c r="H72" s="777">
        <v>1</v>
      </c>
      <c r="I72" s="777">
        <v>1</v>
      </c>
      <c r="J72" s="777">
        <v>1</v>
      </c>
      <c r="K72" s="777">
        <v>1</v>
      </c>
      <c r="L72" s="777">
        <v>1</v>
      </c>
      <c r="M72" s="777">
        <v>1</v>
      </c>
      <c r="N72" s="777">
        <v>1</v>
      </c>
      <c r="O72" s="777">
        <v>1</v>
      </c>
      <c r="P72" s="777">
        <v>1</v>
      </c>
      <c r="Q72" s="777">
        <v>1</v>
      </c>
      <c r="R72" s="777">
        <v>1</v>
      </c>
      <c r="S72" s="777">
        <v>1</v>
      </c>
      <c r="T72" s="777">
        <v>1</v>
      </c>
      <c r="U72" s="1066">
        <v>72</v>
      </c>
      <c r="V72" s="777">
        <v>1</v>
      </c>
      <c r="W72" s="777">
        <v>1</v>
      </c>
      <c r="X72" s="777">
        <v>1</v>
      </c>
      <c r="Y72" s="777">
        <v>1</v>
      </c>
      <c r="Z72" s="777">
        <v>1</v>
      </c>
      <c r="AA72" s="777">
        <v>1</v>
      </c>
      <c r="AB72" s="777">
        <v>1</v>
      </c>
      <c r="AC72" s="777">
        <v>1</v>
      </c>
      <c r="AD72" s="777">
        <v>1</v>
      </c>
      <c r="AE72" s="777">
        <v>1</v>
      </c>
      <c r="AF72" s="777">
        <v>1</v>
      </c>
      <c r="AG72" s="777">
        <v>1</v>
      </c>
      <c r="AH72" s="1066">
        <v>72</v>
      </c>
      <c r="AI72" s="777">
        <v>1</v>
      </c>
      <c r="AJ72" s="777">
        <v>1</v>
      </c>
      <c r="AK72" s="777">
        <v>1</v>
      </c>
      <c r="AL72" s="777">
        <v>1</v>
      </c>
      <c r="AM72" s="1066">
        <v>1</v>
      </c>
      <c r="AN72" s="777">
        <v>1</v>
      </c>
      <c r="AO72" s="777">
        <v>1</v>
      </c>
    </row>
    <row r="73" spans="1:41" x14ac:dyDescent="0.25">
      <c r="A73" s="1141">
        <v>72</v>
      </c>
      <c r="B73" s="804">
        <v>73</v>
      </c>
      <c r="C73" s="1066">
        <v>73</v>
      </c>
      <c r="D73" s="1066">
        <v>73</v>
      </c>
      <c r="E73" s="1066">
        <v>73</v>
      </c>
      <c r="F73" s="777">
        <v>1</v>
      </c>
      <c r="G73" s="777">
        <v>1</v>
      </c>
      <c r="H73" s="777">
        <v>1</v>
      </c>
      <c r="I73" s="777">
        <v>1</v>
      </c>
      <c r="J73" s="777">
        <v>1</v>
      </c>
      <c r="K73" s="777">
        <v>1</v>
      </c>
      <c r="L73" s="777">
        <v>1</v>
      </c>
      <c r="M73" s="777">
        <v>1</v>
      </c>
      <c r="N73" s="777">
        <v>1</v>
      </c>
      <c r="O73" s="777">
        <v>1</v>
      </c>
      <c r="P73" s="777">
        <v>1</v>
      </c>
      <c r="Q73" s="777">
        <v>1</v>
      </c>
      <c r="R73" s="777">
        <v>1</v>
      </c>
      <c r="S73" s="777">
        <v>1</v>
      </c>
      <c r="T73" s="777">
        <v>1</v>
      </c>
      <c r="U73" s="1066">
        <v>73</v>
      </c>
      <c r="V73" s="777">
        <v>1</v>
      </c>
      <c r="W73" s="777">
        <v>1</v>
      </c>
      <c r="X73" s="777">
        <v>1</v>
      </c>
      <c r="Y73" s="777">
        <v>1</v>
      </c>
      <c r="Z73" s="777">
        <v>1</v>
      </c>
      <c r="AA73" s="777">
        <v>1</v>
      </c>
      <c r="AB73" s="777">
        <v>1</v>
      </c>
      <c r="AC73" s="777">
        <v>1</v>
      </c>
      <c r="AD73" s="777">
        <v>1</v>
      </c>
      <c r="AE73" s="777">
        <v>1</v>
      </c>
      <c r="AF73" s="777">
        <v>1</v>
      </c>
      <c r="AG73" s="777">
        <v>1</v>
      </c>
      <c r="AH73" s="1066">
        <v>73</v>
      </c>
      <c r="AI73" s="1066">
        <v>73</v>
      </c>
      <c r="AJ73" s="777">
        <v>1</v>
      </c>
      <c r="AK73" s="777">
        <v>1</v>
      </c>
      <c r="AL73" s="777">
        <v>1</v>
      </c>
      <c r="AM73" s="777">
        <v>1</v>
      </c>
      <c r="AN73" s="777">
        <v>1</v>
      </c>
      <c r="AO73" s="777">
        <v>1</v>
      </c>
    </row>
    <row r="74" spans="1:41" x14ac:dyDescent="0.25">
      <c r="A74" s="1141">
        <v>73</v>
      </c>
      <c r="B74" s="804">
        <v>74</v>
      </c>
      <c r="C74" s="1066">
        <v>74</v>
      </c>
      <c r="D74" s="1066">
        <v>74</v>
      </c>
      <c r="E74" s="777">
        <v>1</v>
      </c>
      <c r="F74" s="777">
        <v>1</v>
      </c>
      <c r="G74" s="1066">
        <v>74</v>
      </c>
      <c r="H74" s="777">
        <v>1</v>
      </c>
      <c r="I74" s="777">
        <v>1</v>
      </c>
      <c r="J74" s="777">
        <v>1</v>
      </c>
      <c r="K74" s="777">
        <v>1</v>
      </c>
      <c r="L74" s="777">
        <v>1</v>
      </c>
      <c r="M74" s="777">
        <v>1</v>
      </c>
      <c r="N74" s="777">
        <v>1</v>
      </c>
      <c r="O74" s="777">
        <v>1</v>
      </c>
      <c r="P74" s="777">
        <v>1</v>
      </c>
      <c r="Q74" s="777">
        <v>1</v>
      </c>
      <c r="R74" s="777">
        <v>1</v>
      </c>
      <c r="S74" s="777">
        <v>1</v>
      </c>
      <c r="T74" s="777">
        <v>1</v>
      </c>
      <c r="U74" s="1066">
        <v>74</v>
      </c>
      <c r="V74" s="777">
        <v>1</v>
      </c>
      <c r="W74" s="777">
        <v>1</v>
      </c>
      <c r="X74" s="777">
        <v>1</v>
      </c>
      <c r="Y74" s="777">
        <v>1</v>
      </c>
      <c r="Z74" s="777">
        <v>1</v>
      </c>
      <c r="AA74" s="777">
        <v>74</v>
      </c>
      <c r="AB74" s="777">
        <v>1</v>
      </c>
      <c r="AC74" s="777">
        <v>1</v>
      </c>
      <c r="AD74" s="777">
        <v>1</v>
      </c>
      <c r="AE74" s="777">
        <v>1</v>
      </c>
      <c r="AF74" s="777">
        <v>1</v>
      </c>
      <c r="AG74" s="777">
        <v>1</v>
      </c>
      <c r="AH74" s="1066">
        <v>74</v>
      </c>
      <c r="AI74" s="777">
        <v>1</v>
      </c>
      <c r="AJ74" s="777">
        <v>1</v>
      </c>
      <c r="AK74" s="777">
        <v>1</v>
      </c>
      <c r="AL74" s="777">
        <v>1</v>
      </c>
      <c r="AM74" s="777">
        <v>1</v>
      </c>
      <c r="AN74" s="777">
        <v>1</v>
      </c>
      <c r="AO74" s="777">
        <v>1</v>
      </c>
    </row>
    <row r="75" spans="1:41" ht="35.5" customHeight="1" x14ac:dyDescent="0.25">
      <c r="A75" s="1141">
        <v>74</v>
      </c>
      <c r="B75" s="804">
        <v>75</v>
      </c>
      <c r="C75" s="777">
        <v>75</v>
      </c>
      <c r="D75" s="1066">
        <v>75</v>
      </c>
      <c r="E75" s="777">
        <v>1</v>
      </c>
      <c r="F75" s="777">
        <v>1</v>
      </c>
      <c r="G75" s="777">
        <v>75</v>
      </c>
      <c r="H75" s="777">
        <v>1</v>
      </c>
      <c r="I75" s="777">
        <v>1</v>
      </c>
      <c r="J75" s="777">
        <v>1</v>
      </c>
      <c r="K75" s="777">
        <v>1</v>
      </c>
      <c r="L75" s="777">
        <v>1</v>
      </c>
      <c r="M75" s="777">
        <v>1</v>
      </c>
      <c r="N75" s="777">
        <v>1</v>
      </c>
      <c r="O75" s="777">
        <v>1</v>
      </c>
      <c r="P75" s="777">
        <v>1</v>
      </c>
      <c r="Q75" s="777">
        <v>1</v>
      </c>
      <c r="R75" s="777">
        <v>1</v>
      </c>
      <c r="S75" s="777">
        <v>1</v>
      </c>
      <c r="T75" s="777">
        <v>1</v>
      </c>
      <c r="U75" s="777">
        <v>1</v>
      </c>
      <c r="V75" s="777">
        <v>1</v>
      </c>
      <c r="W75" s="777">
        <v>1</v>
      </c>
      <c r="X75" s="777">
        <v>1</v>
      </c>
      <c r="Y75" s="777">
        <v>1</v>
      </c>
      <c r="Z75" s="777">
        <v>1</v>
      </c>
      <c r="AA75" s="777">
        <v>1</v>
      </c>
      <c r="AB75" s="777">
        <v>1</v>
      </c>
      <c r="AC75" s="777">
        <v>1</v>
      </c>
      <c r="AD75" s="777">
        <v>1</v>
      </c>
      <c r="AE75" s="777">
        <v>1</v>
      </c>
      <c r="AF75" s="777">
        <v>1</v>
      </c>
      <c r="AG75" s="777">
        <v>1</v>
      </c>
      <c r="AH75" s="1066">
        <v>75</v>
      </c>
      <c r="AI75" s="777">
        <v>1</v>
      </c>
      <c r="AJ75" s="777">
        <v>1</v>
      </c>
      <c r="AK75" s="777">
        <v>1</v>
      </c>
      <c r="AL75" s="777">
        <v>1</v>
      </c>
      <c r="AM75" s="1066">
        <v>1</v>
      </c>
      <c r="AN75" s="777">
        <v>1</v>
      </c>
      <c r="AO75" s="777">
        <v>1</v>
      </c>
    </row>
    <row r="76" spans="1:41" x14ac:dyDescent="0.25">
      <c r="A76" s="1141">
        <v>75</v>
      </c>
      <c r="B76" s="804">
        <v>76</v>
      </c>
      <c r="C76" s="1066">
        <v>76</v>
      </c>
      <c r="D76" s="1066">
        <v>76</v>
      </c>
      <c r="E76" s="777">
        <v>1</v>
      </c>
      <c r="F76" s="777">
        <v>1</v>
      </c>
      <c r="G76" s="777">
        <v>1</v>
      </c>
      <c r="H76" s="777">
        <v>1</v>
      </c>
      <c r="I76" s="777">
        <v>1</v>
      </c>
      <c r="J76" s="777">
        <v>1</v>
      </c>
      <c r="K76" s="777">
        <v>1</v>
      </c>
      <c r="L76" s="777">
        <v>1</v>
      </c>
      <c r="M76" s="777">
        <v>1</v>
      </c>
      <c r="N76" s="777">
        <v>1</v>
      </c>
      <c r="O76" s="777">
        <v>1</v>
      </c>
      <c r="P76" s="777">
        <v>1</v>
      </c>
      <c r="Q76" s="777">
        <v>1</v>
      </c>
      <c r="R76" s="777">
        <v>1</v>
      </c>
      <c r="S76" s="777">
        <v>1</v>
      </c>
      <c r="T76" s="777">
        <v>1</v>
      </c>
      <c r="U76" s="1066">
        <v>76</v>
      </c>
      <c r="V76" s="777">
        <v>1</v>
      </c>
      <c r="W76" s="777">
        <v>1</v>
      </c>
      <c r="X76" s="777">
        <v>1</v>
      </c>
      <c r="Y76" s="777">
        <v>1</v>
      </c>
      <c r="Z76" s="777">
        <v>1</v>
      </c>
      <c r="AA76" s="777">
        <v>1</v>
      </c>
      <c r="AB76" s="777">
        <v>1</v>
      </c>
      <c r="AC76" s="777">
        <v>1</v>
      </c>
      <c r="AD76" s="777">
        <v>1</v>
      </c>
      <c r="AE76" s="777">
        <v>1</v>
      </c>
      <c r="AF76" s="777">
        <v>1</v>
      </c>
      <c r="AG76" s="777">
        <v>1</v>
      </c>
      <c r="AH76" s="1066">
        <v>76</v>
      </c>
      <c r="AI76" s="777">
        <v>1</v>
      </c>
      <c r="AJ76" s="777">
        <v>1</v>
      </c>
      <c r="AK76" s="777">
        <v>1</v>
      </c>
      <c r="AL76" s="777">
        <v>1</v>
      </c>
      <c r="AM76" s="777">
        <v>1</v>
      </c>
      <c r="AN76" s="777">
        <v>1</v>
      </c>
      <c r="AO76" s="777">
        <v>1</v>
      </c>
    </row>
    <row r="77" spans="1:41" x14ac:dyDescent="0.25">
      <c r="A77" s="1141">
        <v>76</v>
      </c>
      <c r="B77" s="804">
        <v>77</v>
      </c>
      <c r="C77" s="1066">
        <v>77</v>
      </c>
      <c r="D77" s="777">
        <v>1</v>
      </c>
      <c r="E77" s="777">
        <v>1</v>
      </c>
      <c r="F77" s="777">
        <v>1</v>
      </c>
      <c r="G77" s="1066">
        <v>77</v>
      </c>
      <c r="H77" s="777">
        <v>1</v>
      </c>
      <c r="I77" s="777">
        <v>1</v>
      </c>
      <c r="J77" s="777">
        <v>1</v>
      </c>
      <c r="K77" s="777">
        <v>1</v>
      </c>
      <c r="L77" s="777">
        <v>1</v>
      </c>
      <c r="M77" s="777">
        <v>1</v>
      </c>
      <c r="N77" s="777">
        <v>1</v>
      </c>
      <c r="O77" s="777">
        <v>1</v>
      </c>
      <c r="P77" s="777">
        <v>1</v>
      </c>
      <c r="Q77" s="777">
        <v>1</v>
      </c>
      <c r="R77" s="777">
        <v>1</v>
      </c>
      <c r="S77" s="777">
        <v>1</v>
      </c>
      <c r="T77" s="1066">
        <v>77</v>
      </c>
      <c r="U77" s="777">
        <v>1</v>
      </c>
      <c r="V77" s="777">
        <v>1</v>
      </c>
      <c r="W77" s="777">
        <v>1</v>
      </c>
      <c r="X77" s="777">
        <v>1</v>
      </c>
      <c r="Y77" s="777">
        <v>1</v>
      </c>
      <c r="Z77" s="777">
        <v>77</v>
      </c>
      <c r="AA77" s="1066">
        <v>77</v>
      </c>
      <c r="AB77" s="777">
        <v>1</v>
      </c>
      <c r="AC77" s="777">
        <v>1</v>
      </c>
      <c r="AD77" s="777">
        <v>77</v>
      </c>
      <c r="AE77" s="777">
        <v>77</v>
      </c>
      <c r="AF77" s="777">
        <v>1</v>
      </c>
      <c r="AG77" s="777">
        <v>1</v>
      </c>
      <c r="AH77" s="777">
        <v>1</v>
      </c>
      <c r="AI77" s="777">
        <v>77</v>
      </c>
      <c r="AJ77" s="777">
        <v>77</v>
      </c>
      <c r="AK77" s="777">
        <v>77</v>
      </c>
      <c r="AL77" s="777">
        <v>1</v>
      </c>
      <c r="AM77" s="777">
        <v>1</v>
      </c>
      <c r="AN77" s="777">
        <v>1</v>
      </c>
      <c r="AO77" s="777">
        <v>1</v>
      </c>
    </row>
    <row r="78" spans="1:41" x14ac:dyDescent="0.25">
      <c r="A78" s="1141">
        <v>77</v>
      </c>
      <c r="B78" s="804">
        <v>78</v>
      </c>
      <c r="C78" s="777">
        <v>1</v>
      </c>
      <c r="D78" s="777">
        <v>1</v>
      </c>
      <c r="E78" s="777">
        <v>1</v>
      </c>
      <c r="F78" s="1066">
        <v>78</v>
      </c>
      <c r="G78" s="777">
        <v>1</v>
      </c>
      <c r="H78" s="777">
        <v>1</v>
      </c>
      <c r="I78" s="777">
        <v>1</v>
      </c>
      <c r="J78" s="777">
        <v>1</v>
      </c>
      <c r="K78" s="777">
        <v>1</v>
      </c>
      <c r="L78" s="777">
        <v>1</v>
      </c>
      <c r="M78" s="777">
        <v>1</v>
      </c>
      <c r="N78" s="777">
        <v>1</v>
      </c>
      <c r="O78" s="1066">
        <v>78</v>
      </c>
      <c r="P78" s="777">
        <v>1</v>
      </c>
      <c r="Q78" s="777">
        <v>1</v>
      </c>
      <c r="R78" s="777">
        <v>1</v>
      </c>
      <c r="S78" s="777">
        <v>1</v>
      </c>
      <c r="T78" s="1066">
        <v>78</v>
      </c>
      <c r="U78" s="777">
        <v>1</v>
      </c>
      <c r="V78" s="777">
        <v>1</v>
      </c>
      <c r="W78" s="777">
        <v>1</v>
      </c>
      <c r="X78" s="777">
        <v>1</v>
      </c>
      <c r="Y78" s="777">
        <v>1</v>
      </c>
      <c r="Z78" s="777">
        <v>1</v>
      </c>
      <c r="AA78" s="777">
        <v>1</v>
      </c>
      <c r="AB78" s="777">
        <v>1</v>
      </c>
      <c r="AC78" s="777">
        <v>1</v>
      </c>
      <c r="AD78" s="777">
        <v>78</v>
      </c>
      <c r="AE78" s="777">
        <v>1</v>
      </c>
      <c r="AF78" s="777">
        <v>1</v>
      </c>
      <c r="AG78" s="777">
        <v>1</v>
      </c>
      <c r="AH78" s="777">
        <v>1</v>
      </c>
      <c r="AI78" s="1066">
        <v>78</v>
      </c>
      <c r="AJ78" s="777">
        <v>1</v>
      </c>
      <c r="AK78" s="777">
        <v>1</v>
      </c>
      <c r="AL78" s="1066">
        <v>78</v>
      </c>
      <c r="AM78" s="777">
        <v>1</v>
      </c>
      <c r="AN78" s="777">
        <v>1</v>
      </c>
      <c r="AO78" s="777">
        <v>1</v>
      </c>
    </row>
    <row r="79" spans="1:41" x14ac:dyDescent="0.25">
      <c r="A79" s="1141">
        <v>78</v>
      </c>
      <c r="B79" s="804">
        <v>79</v>
      </c>
      <c r="C79" s="777">
        <v>1</v>
      </c>
      <c r="D79" s="1066">
        <v>79</v>
      </c>
      <c r="E79" s="777">
        <v>1</v>
      </c>
      <c r="F79" s="777">
        <v>1</v>
      </c>
      <c r="G79" s="1066">
        <v>79</v>
      </c>
      <c r="H79" s="777">
        <v>1</v>
      </c>
      <c r="I79" s="777">
        <v>1</v>
      </c>
      <c r="J79" s="777">
        <v>1</v>
      </c>
      <c r="K79" s="777">
        <v>1</v>
      </c>
      <c r="L79" s="777">
        <v>1</v>
      </c>
      <c r="M79" s="777">
        <v>1</v>
      </c>
      <c r="N79" s="777">
        <v>1</v>
      </c>
      <c r="O79" s="777">
        <v>1</v>
      </c>
      <c r="P79" s="777">
        <v>1</v>
      </c>
      <c r="Q79" s="777">
        <v>1</v>
      </c>
      <c r="R79" s="777">
        <v>1</v>
      </c>
      <c r="S79" s="777">
        <v>1</v>
      </c>
      <c r="T79" s="777">
        <v>1</v>
      </c>
      <c r="U79" s="1066">
        <v>1</v>
      </c>
      <c r="V79" s="777">
        <v>1</v>
      </c>
      <c r="W79" s="1066">
        <v>79</v>
      </c>
      <c r="X79" s="777">
        <v>1</v>
      </c>
      <c r="Y79" s="777">
        <v>1</v>
      </c>
      <c r="Z79" s="777">
        <v>1</v>
      </c>
      <c r="AA79" s="777">
        <v>79</v>
      </c>
      <c r="AB79" s="777">
        <v>1</v>
      </c>
      <c r="AC79" s="777">
        <v>1</v>
      </c>
      <c r="AD79" s="777">
        <v>79</v>
      </c>
      <c r="AE79" s="777">
        <v>1</v>
      </c>
      <c r="AF79" s="777">
        <v>1</v>
      </c>
      <c r="AG79" s="777">
        <v>1</v>
      </c>
      <c r="AH79" s="1066">
        <v>79</v>
      </c>
      <c r="AI79" s="1066">
        <v>79</v>
      </c>
      <c r="AJ79" s="777">
        <v>1</v>
      </c>
      <c r="AK79" s="777">
        <v>1</v>
      </c>
      <c r="AL79" s="777">
        <v>1</v>
      </c>
      <c r="AM79" s="1066">
        <v>79</v>
      </c>
      <c r="AN79" s="777">
        <v>1</v>
      </c>
      <c r="AO79" s="777">
        <v>1</v>
      </c>
    </row>
    <row r="80" spans="1:41" x14ac:dyDescent="0.25">
      <c r="A80" s="1141">
        <v>79</v>
      </c>
      <c r="B80" s="804">
        <v>80</v>
      </c>
      <c r="C80" s="777">
        <v>1</v>
      </c>
      <c r="D80" s="777">
        <v>1</v>
      </c>
      <c r="E80" s="777">
        <v>1</v>
      </c>
      <c r="F80" s="1066">
        <v>80</v>
      </c>
      <c r="G80" s="777">
        <v>1</v>
      </c>
      <c r="H80" s="777">
        <v>1</v>
      </c>
      <c r="I80" s="777">
        <v>1</v>
      </c>
      <c r="J80" s="777">
        <v>1</v>
      </c>
      <c r="K80" s="777">
        <v>1</v>
      </c>
      <c r="L80" s="777">
        <v>1</v>
      </c>
      <c r="M80" s="777">
        <v>1</v>
      </c>
      <c r="N80" s="777">
        <v>1</v>
      </c>
      <c r="O80" s="777">
        <v>1</v>
      </c>
      <c r="P80" s="777">
        <v>1</v>
      </c>
      <c r="Q80" s="777">
        <v>1</v>
      </c>
      <c r="R80" s="777">
        <v>1</v>
      </c>
      <c r="S80" s="777">
        <v>1</v>
      </c>
      <c r="T80" s="777">
        <v>1</v>
      </c>
      <c r="U80" s="777">
        <v>1</v>
      </c>
      <c r="V80" s="1066">
        <v>1</v>
      </c>
      <c r="W80" s="1066">
        <v>80</v>
      </c>
      <c r="X80" s="1066">
        <v>80</v>
      </c>
      <c r="Y80" s="777">
        <v>1</v>
      </c>
      <c r="Z80" s="777">
        <v>1</v>
      </c>
      <c r="AA80" s="777">
        <v>1</v>
      </c>
      <c r="AB80" s="777">
        <v>1</v>
      </c>
      <c r="AC80" s="777">
        <v>1</v>
      </c>
      <c r="AD80" s="777">
        <v>80</v>
      </c>
      <c r="AE80" s="777">
        <v>1</v>
      </c>
      <c r="AF80" s="777">
        <v>80</v>
      </c>
      <c r="AG80" s="777">
        <v>1</v>
      </c>
      <c r="AH80" s="777">
        <v>1</v>
      </c>
      <c r="AI80" s="777">
        <v>1</v>
      </c>
      <c r="AJ80" s="777">
        <v>1</v>
      </c>
      <c r="AK80" s="777">
        <v>1</v>
      </c>
      <c r="AL80" s="777">
        <v>1</v>
      </c>
      <c r="AM80" s="777">
        <v>1</v>
      </c>
      <c r="AN80" s="777">
        <v>1</v>
      </c>
      <c r="AO80" s="777">
        <v>1</v>
      </c>
    </row>
    <row r="81" spans="1:41" x14ac:dyDescent="0.25">
      <c r="A81" s="1141">
        <v>80</v>
      </c>
      <c r="B81" s="804">
        <v>81</v>
      </c>
      <c r="C81" s="1066">
        <v>81</v>
      </c>
      <c r="D81" s="1066">
        <v>81</v>
      </c>
      <c r="E81" s="777">
        <v>1</v>
      </c>
      <c r="F81" s="1066">
        <v>1</v>
      </c>
      <c r="G81" s="777">
        <v>1</v>
      </c>
      <c r="H81" s="777">
        <v>1</v>
      </c>
      <c r="I81" s="777">
        <v>1</v>
      </c>
      <c r="J81" s="777">
        <v>1</v>
      </c>
      <c r="K81" s="777">
        <v>1</v>
      </c>
      <c r="L81" s="777">
        <v>1</v>
      </c>
      <c r="M81" s="777">
        <v>1</v>
      </c>
      <c r="N81" s="777">
        <v>1</v>
      </c>
      <c r="O81" s="777">
        <v>1</v>
      </c>
      <c r="P81" s="777">
        <v>1</v>
      </c>
      <c r="Q81" s="777">
        <v>1</v>
      </c>
      <c r="R81" s="777">
        <v>1</v>
      </c>
      <c r="S81" s="777">
        <v>1</v>
      </c>
      <c r="T81" s="777">
        <v>1</v>
      </c>
      <c r="U81" s="1066">
        <v>81</v>
      </c>
      <c r="V81" s="777">
        <v>1</v>
      </c>
      <c r="W81" s="1066">
        <v>81</v>
      </c>
      <c r="X81" s="777">
        <v>1</v>
      </c>
      <c r="Y81" s="777">
        <v>1</v>
      </c>
      <c r="Z81" s="777">
        <v>1</v>
      </c>
      <c r="AA81" s="1066">
        <v>81</v>
      </c>
      <c r="AB81" s="777">
        <v>1</v>
      </c>
      <c r="AC81" s="777">
        <v>1</v>
      </c>
      <c r="AD81" s="777">
        <v>1</v>
      </c>
      <c r="AE81" s="777">
        <v>1</v>
      </c>
      <c r="AF81" s="1066">
        <v>81</v>
      </c>
      <c r="AG81" s="777">
        <v>1</v>
      </c>
      <c r="AH81" s="1066">
        <v>81</v>
      </c>
      <c r="AI81" s="777">
        <v>1</v>
      </c>
      <c r="AJ81" s="777">
        <v>1</v>
      </c>
      <c r="AK81" s="777">
        <v>1</v>
      </c>
      <c r="AL81" s="777">
        <v>1</v>
      </c>
      <c r="AM81" s="777">
        <v>1</v>
      </c>
      <c r="AN81" s="777">
        <v>1</v>
      </c>
      <c r="AO81" s="777">
        <v>1</v>
      </c>
    </row>
    <row r="82" spans="1:41" x14ac:dyDescent="0.25">
      <c r="A82" s="1141">
        <v>81</v>
      </c>
      <c r="B82" s="804">
        <v>82</v>
      </c>
      <c r="C82" s="1066">
        <v>82</v>
      </c>
      <c r="D82" s="1066">
        <v>1</v>
      </c>
      <c r="E82" s="777">
        <v>1</v>
      </c>
      <c r="F82" s="777">
        <v>1</v>
      </c>
      <c r="G82" s="1066">
        <v>82</v>
      </c>
      <c r="H82" s="1066">
        <v>82</v>
      </c>
      <c r="I82" s="777">
        <v>1</v>
      </c>
      <c r="J82" s="777">
        <v>1</v>
      </c>
      <c r="K82" s="777">
        <v>1</v>
      </c>
      <c r="L82" s="777">
        <v>1</v>
      </c>
      <c r="M82" s="777">
        <v>1</v>
      </c>
      <c r="N82" s="777">
        <v>1</v>
      </c>
      <c r="O82" s="777">
        <v>1</v>
      </c>
      <c r="P82" s="777">
        <v>1</v>
      </c>
      <c r="Q82" s="777">
        <v>1</v>
      </c>
      <c r="R82" s="777">
        <v>1</v>
      </c>
      <c r="S82" s="777">
        <v>1</v>
      </c>
      <c r="T82" s="777">
        <v>1</v>
      </c>
      <c r="U82" s="777">
        <v>1</v>
      </c>
      <c r="V82" s="777">
        <v>1</v>
      </c>
      <c r="W82" s="777">
        <v>1</v>
      </c>
      <c r="X82" s="777">
        <v>1</v>
      </c>
      <c r="Y82" s="777">
        <v>1</v>
      </c>
      <c r="Z82" s="777">
        <v>1</v>
      </c>
      <c r="AA82" s="777">
        <v>1</v>
      </c>
      <c r="AB82" s="777">
        <v>1</v>
      </c>
      <c r="AC82" s="777">
        <v>1</v>
      </c>
      <c r="AD82" s="777">
        <v>82</v>
      </c>
      <c r="AE82" s="777">
        <v>1</v>
      </c>
      <c r="AF82" s="777">
        <v>1</v>
      </c>
      <c r="AG82" s="777">
        <v>1</v>
      </c>
      <c r="AH82" s="777">
        <v>1</v>
      </c>
      <c r="AI82" s="777">
        <v>1</v>
      </c>
      <c r="AJ82" s="777">
        <v>1</v>
      </c>
      <c r="AK82" s="777">
        <v>1</v>
      </c>
      <c r="AL82" s="777">
        <v>1</v>
      </c>
      <c r="AM82" s="777">
        <v>1</v>
      </c>
      <c r="AN82" s="777">
        <v>1</v>
      </c>
      <c r="AO82" s="777">
        <v>1</v>
      </c>
    </row>
    <row r="83" spans="1:41" x14ac:dyDescent="0.25">
      <c r="A83" s="1141">
        <v>82</v>
      </c>
      <c r="B83" s="804">
        <v>83</v>
      </c>
      <c r="C83" s="1066">
        <v>83</v>
      </c>
      <c r="D83" s="1066">
        <v>83</v>
      </c>
      <c r="E83" s="1066">
        <v>83</v>
      </c>
      <c r="F83" s="1066">
        <v>83</v>
      </c>
      <c r="G83" s="1066">
        <v>83</v>
      </c>
      <c r="H83" s="777">
        <v>1</v>
      </c>
      <c r="I83" s="777">
        <v>1</v>
      </c>
      <c r="J83" s="777">
        <v>1</v>
      </c>
      <c r="K83" s="777">
        <v>1</v>
      </c>
      <c r="L83" s="777">
        <v>1</v>
      </c>
      <c r="M83" s="1066">
        <v>1</v>
      </c>
      <c r="N83" s="777">
        <v>1</v>
      </c>
      <c r="O83" s="777">
        <v>1</v>
      </c>
      <c r="P83" s="777">
        <v>1</v>
      </c>
      <c r="Q83" s="777">
        <v>1</v>
      </c>
      <c r="R83" s="777">
        <v>1</v>
      </c>
      <c r="S83" s="777">
        <v>1</v>
      </c>
      <c r="T83" s="777">
        <v>1</v>
      </c>
      <c r="U83" s="1066">
        <v>1</v>
      </c>
      <c r="V83" s="777">
        <v>1</v>
      </c>
      <c r="W83" s="1066">
        <v>83</v>
      </c>
      <c r="X83" s="777">
        <v>1</v>
      </c>
      <c r="Y83" s="777">
        <v>1</v>
      </c>
      <c r="Z83" s="777">
        <v>1</v>
      </c>
      <c r="AA83" s="1066">
        <v>83</v>
      </c>
      <c r="AB83" s="777">
        <v>1</v>
      </c>
      <c r="AC83" s="777">
        <v>1</v>
      </c>
      <c r="AD83" s="777">
        <v>83</v>
      </c>
      <c r="AE83" s="777">
        <v>1</v>
      </c>
      <c r="AF83" s="1066">
        <v>83</v>
      </c>
      <c r="AG83" s="777">
        <v>1</v>
      </c>
      <c r="AH83" s="1066">
        <v>83</v>
      </c>
      <c r="AI83" s="1066">
        <v>83</v>
      </c>
      <c r="AJ83" s="777">
        <v>1</v>
      </c>
      <c r="AK83" s="777">
        <v>1</v>
      </c>
      <c r="AL83" s="777">
        <v>1</v>
      </c>
      <c r="AM83" s="777">
        <v>1</v>
      </c>
      <c r="AN83" s="777">
        <v>1</v>
      </c>
      <c r="AO83" s="777">
        <v>1</v>
      </c>
    </row>
    <row r="84" spans="1:41" x14ac:dyDescent="0.25">
      <c r="A84" s="1141">
        <v>83</v>
      </c>
      <c r="B84" s="804">
        <v>84</v>
      </c>
      <c r="C84" s="1066">
        <v>84</v>
      </c>
      <c r="D84" s="1066">
        <v>84</v>
      </c>
      <c r="E84" s="777">
        <v>1</v>
      </c>
      <c r="F84" s="777">
        <v>1</v>
      </c>
      <c r="G84" s="1066">
        <v>84</v>
      </c>
      <c r="H84" s="777">
        <v>1</v>
      </c>
      <c r="I84" s="777">
        <v>1</v>
      </c>
      <c r="J84" s="777">
        <v>1</v>
      </c>
      <c r="K84" s="777">
        <v>84</v>
      </c>
      <c r="L84" s="777">
        <v>1</v>
      </c>
      <c r="M84" s="777">
        <v>1</v>
      </c>
      <c r="N84" s="1066">
        <v>84</v>
      </c>
      <c r="O84" s="777">
        <v>1</v>
      </c>
      <c r="P84" s="777">
        <v>1</v>
      </c>
      <c r="Q84" s="777">
        <v>1</v>
      </c>
      <c r="R84" s="777">
        <v>1</v>
      </c>
      <c r="S84" s="777">
        <v>1</v>
      </c>
      <c r="T84" s="1066">
        <v>84</v>
      </c>
      <c r="U84" s="777">
        <v>1</v>
      </c>
      <c r="V84" s="777">
        <v>1</v>
      </c>
      <c r="W84" s="777">
        <v>1</v>
      </c>
      <c r="X84" s="777">
        <v>1</v>
      </c>
      <c r="Y84" s="1066">
        <v>1</v>
      </c>
      <c r="Z84" s="1066">
        <v>1</v>
      </c>
      <c r="AA84" s="777">
        <v>1</v>
      </c>
      <c r="AB84" s="777">
        <v>1</v>
      </c>
      <c r="AC84" s="1066">
        <v>84</v>
      </c>
      <c r="AD84" s="777">
        <v>84</v>
      </c>
      <c r="AE84" s="777">
        <v>1</v>
      </c>
      <c r="AF84" s="777">
        <v>1</v>
      </c>
      <c r="AG84" s="777">
        <v>1</v>
      </c>
      <c r="AH84" s="1066">
        <v>84</v>
      </c>
      <c r="AI84" s="1066">
        <v>84</v>
      </c>
      <c r="AJ84" s="777">
        <v>1</v>
      </c>
      <c r="AK84" s="777">
        <v>1</v>
      </c>
      <c r="AL84" s="777">
        <v>1</v>
      </c>
      <c r="AM84" s="777">
        <v>1</v>
      </c>
      <c r="AN84" s="777">
        <v>1</v>
      </c>
      <c r="AO84" s="1066">
        <v>1</v>
      </c>
    </row>
    <row r="85" spans="1:41" x14ac:dyDescent="0.25">
      <c r="A85" s="1141">
        <v>84</v>
      </c>
      <c r="B85" s="804">
        <v>85</v>
      </c>
      <c r="C85" s="1066">
        <v>85</v>
      </c>
      <c r="D85" s="777">
        <v>85</v>
      </c>
      <c r="E85" s="777">
        <v>1</v>
      </c>
      <c r="F85" s="777">
        <v>85</v>
      </c>
      <c r="G85" s="777">
        <v>85</v>
      </c>
      <c r="H85" s="777">
        <v>1</v>
      </c>
      <c r="I85" s="777">
        <v>1</v>
      </c>
      <c r="J85" s="777">
        <v>1</v>
      </c>
      <c r="K85" s="777">
        <v>1</v>
      </c>
      <c r="L85" s="777">
        <v>1</v>
      </c>
      <c r="M85" s="777">
        <v>1</v>
      </c>
      <c r="N85" s="777">
        <v>1</v>
      </c>
      <c r="O85" s="1066">
        <v>85</v>
      </c>
      <c r="P85" s="777">
        <v>1</v>
      </c>
      <c r="Q85" s="777">
        <v>1</v>
      </c>
      <c r="R85" s="777">
        <v>1</v>
      </c>
      <c r="S85" s="777">
        <v>1</v>
      </c>
      <c r="T85" s="777">
        <v>1</v>
      </c>
      <c r="U85" s="777">
        <v>1</v>
      </c>
      <c r="V85" s="777">
        <v>1</v>
      </c>
      <c r="W85" s="777">
        <v>85</v>
      </c>
      <c r="X85" s="777">
        <v>1</v>
      </c>
      <c r="Y85" s="777">
        <v>1</v>
      </c>
      <c r="Z85" s="777">
        <v>85</v>
      </c>
      <c r="AA85" s="777">
        <v>1</v>
      </c>
      <c r="AB85" s="777">
        <v>1</v>
      </c>
      <c r="AC85" s="777">
        <v>1</v>
      </c>
      <c r="AD85" s="777">
        <v>85</v>
      </c>
      <c r="AE85" s="777">
        <v>1</v>
      </c>
      <c r="AF85" s="777">
        <v>1</v>
      </c>
      <c r="AG85" s="777">
        <v>1</v>
      </c>
      <c r="AH85" s="777">
        <v>1</v>
      </c>
      <c r="AI85" s="777">
        <v>85</v>
      </c>
      <c r="AJ85" s="1066">
        <v>85</v>
      </c>
      <c r="AK85" s="777">
        <v>85</v>
      </c>
      <c r="AL85" s="777">
        <v>1</v>
      </c>
      <c r="AM85" s="777">
        <v>85</v>
      </c>
      <c r="AN85" s="1066">
        <v>1</v>
      </c>
      <c r="AO85" s="777">
        <v>1</v>
      </c>
    </row>
    <row r="86" spans="1:41" x14ac:dyDescent="0.25">
      <c r="A86" s="1141">
        <v>85</v>
      </c>
      <c r="B86" s="804">
        <v>86</v>
      </c>
      <c r="C86" s="1066">
        <v>86</v>
      </c>
      <c r="D86" s="1066">
        <v>86</v>
      </c>
      <c r="E86" s="777">
        <v>1</v>
      </c>
      <c r="F86" s="777">
        <v>1</v>
      </c>
      <c r="G86" s="777">
        <v>1</v>
      </c>
      <c r="H86" s="777">
        <v>1</v>
      </c>
      <c r="I86" s="777">
        <v>1</v>
      </c>
      <c r="J86" s="777">
        <v>1</v>
      </c>
      <c r="K86" s="777">
        <v>1</v>
      </c>
      <c r="L86" s="777">
        <v>1</v>
      </c>
      <c r="M86" s="1066">
        <v>86</v>
      </c>
      <c r="N86" s="777">
        <v>1</v>
      </c>
      <c r="O86" s="777">
        <v>1</v>
      </c>
      <c r="P86" s="777">
        <v>1</v>
      </c>
      <c r="Q86" s="777">
        <v>1</v>
      </c>
      <c r="R86" s="777">
        <v>1</v>
      </c>
      <c r="S86" s="777">
        <v>1</v>
      </c>
      <c r="T86" s="777">
        <v>1</v>
      </c>
      <c r="U86" s="777">
        <v>1</v>
      </c>
      <c r="V86" s="777">
        <v>1</v>
      </c>
      <c r="W86" s="777">
        <v>1</v>
      </c>
      <c r="X86" s="777">
        <v>1</v>
      </c>
      <c r="Y86" s="777">
        <v>1</v>
      </c>
      <c r="Z86" s="777">
        <v>1</v>
      </c>
      <c r="AA86" s="777">
        <v>86</v>
      </c>
      <c r="AB86" s="777">
        <v>1</v>
      </c>
      <c r="AC86" s="777">
        <v>1</v>
      </c>
      <c r="AD86" s="777">
        <v>86</v>
      </c>
      <c r="AE86" s="777">
        <v>1</v>
      </c>
      <c r="AF86" s="777">
        <v>1</v>
      </c>
      <c r="AG86" s="777">
        <v>1</v>
      </c>
      <c r="AH86" s="1066">
        <v>86</v>
      </c>
      <c r="AI86" s="777">
        <v>1</v>
      </c>
      <c r="AJ86" s="777">
        <v>1</v>
      </c>
      <c r="AK86" s="777">
        <v>1</v>
      </c>
      <c r="AL86" s="777">
        <v>1</v>
      </c>
      <c r="AM86" s="777">
        <v>1</v>
      </c>
      <c r="AN86" s="777">
        <v>1</v>
      </c>
      <c r="AO86" s="777">
        <v>1</v>
      </c>
    </row>
    <row r="87" spans="1:41" x14ac:dyDescent="0.25">
      <c r="A87" s="1141">
        <v>86</v>
      </c>
      <c r="B87" s="804">
        <v>87</v>
      </c>
      <c r="C87" s="1066">
        <v>87</v>
      </c>
      <c r="D87" s="777">
        <v>1</v>
      </c>
      <c r="E87" s="777">
        <v>1</v>
      </c>
      <c r="F87" s="1066">
        <v>87</v>
      </c>
      <c r="G87" s="1066">
        <v>87</v>
      </c>
      <c r="H87" s="777">
        <v>1</v>
      </c>
      <c r="I87" s="777">
        <v>1</v>
      </c>
      <c r="J87" s="777">
        <v>1</v>
      </c>
      <c r="K87" s="777">
        <v>1</v>
      </c>
      <c r="L87" s="777">
        <v>1</v>
      </c>
      <c r="M87" s="777">
        <v>1</v>
      </c>
      <c r="N87" s="777">
        <v>1</v>
      </c>
      <c r="O87" s="777">
        <v>1</v>
      </c>
      <c r="P87" s="777">
        <v>1</v>
      </c>
      <c r="Q87" s="777">
        <v>1</v>
      </c>
      <c r="R87" s="777">
        <v>1</v>
      </c>
      <c r="S87" s="777">
        <v>1</v>
      </c>
      <c r="T87" s="777">
        <v>1</v>
      </c>
      <c r="U87" s="777">
        <v>1</v>
      </c>
      <c r="V87" s="1066">
        <v>1</v>
      </c>
      <c r="W87" s="777">
        <v>1</v>
      </c>
      <c r="X87" s="777">
        <v>1</v>
      </c>
      <c r="Y87" s="777">
        <v>1</v>
      </c>
      <c r="Z87" s="777">
        <v>1</v>
      </c>
      <c r="AA87" s="1066">
        <v>87</v>
      </c>
      <c r="AB87" s="777">
        <v>1</v>
      </c>
      <c r="AC87" s="777">
        <v>1</v>
      </c>
      <c r="AD87" s="777">
        <v>1</v>
      </c>
      <c r="AE87" s="1066">
        <v>87</v>
      </c>
      <c r="AF87" s="777">
        <v>1</v>
      </c>
      <c r="AG87" s="777">
        <v>1</v>
      </c>
      <c r="AH87" s="777">
        <v>1</v>
      </c>
      <c r="AI87" s="777">
        <v>1</v>
      </c>
      <c r="AJ87" s="777">
        <v>1</v>
      </c>
      <c r="AK87" s="777">
        <v>1</v>
      </c>
      <c r="AL87" s="777">
        <v>1</v>
      </c>
      <c r="AM87" s="777">
        <v>1</v>
      </c>
      <c r="AN87" s="777">
        <v>1</v>
      </c>
      <c r="AO87" s="777">
        <v>1</v>
      </c>
    </row>
    <row r="88" spans="1:41" x14ac:dyDescent="0.25">
      <c r="A88" s="1141">
        <v>87</v>
      </c>
      <c r="B88" s="804">
        <v>88</v>
      </c>
      <c r="C88" s="777">
        <v>1</v>
      </c>
      <c r="D88" s="1066">
        <v>88</v>
      </c>
      <c r="E88" s="1066">
        <v>88</v>
      </c>
      <c r="F88" s="1066">
        <v>1</v>
      </c>
      <c r="G88" s="1066">
        <v>88</v>
      </c>
      <c r="H88" s="777">
        <v>1</v>
      </c>
      <c r="I88" s="777">
        <v>1</v>
      </c>
      <c r="J88" s="777">
        <v>1</v>
      </c>
      <c r="K88" s="777">
        <v>1</v>
      </c>
      <c r="L88" s="777">
        <v>1</v>
      </c>
      <c r="M88" s="777">
        <v>1</v>
      </c>
      <c r="N88" s="777">
        <v>1</v>
      </c>
      <c r="O88" s="777">
        <v>1</v>
      </c>
      <c r="P88" s="777">
        <v>1</v>
      </c>
      <c r="Q88" s="777">
        <v>1</v>
      </c>
      <c r="R88" s="777">
        <v>1</v>
      </c>
      <c r="S88" s="777">
        <v>1</v>
      </c>
      <c r="T88" s="777">
        <v>1</v>
      </c>
      <c r="U88" s="777">
        <v>1</v>
      </c>
      <c r="V88" s="777">
        <v>1</v>
      </c>
      <c r="W88" s="777">
        <v>1</v>
      </c>
      <c r="X88" s="777">
        <v>1</v>
      </c>
      <c r="Y88" s="777">
        <v>1</v>
      </c>
      <c r="Z88" s="777">
        <v>1</v>
      </c>
      <c r="AA88" s="777">
        <v>88</v>
      </c>
      <c r="AB88" s="777">
        <v>1</v>
      </c>
      <c r="AC88" s="777">
        <v>1</v>
      </c>
      <c r="AD88" s="777">
        <v>1</v>
      </c>
      <c r="AE88" s="777">
        <v>1</v>
      </c>
      <c r="AF88" s="777">
        <v>1</v>
      </c>
      <c r="AG88" s="777">
        <v>1</v>
      </c>
      <c r="AH88" s="777">
        <v>88</v>
      </c>
      <c r="AI88" s="777">
        <v>1</v>
      </c>
      <c r="AJ88" s="777">
        <v>1</v>
      </c>
      <c r="AK88" s="777">
        <v>1</v>
      </c>
      <c r="AL88" s="777">
        <v>1</v>
      </c>
      <c r="AM88" s="777">
        <v>1</v>
      </c>
      <c r="AN88" s="777">
        <v>1</v>
      </c>
      <c r="AO88" s="777">
        <v>1</v>
      </c>
    </row>
    <row r="89" spans="1:41" x14ac:dyDescent="0.25">
      <c r="A89" s="1141">
        <v>88</v>
      </c>
      <c r="B89" s="804">
        <v>89</v>
      </c>
      <c r="C89" s="777">
        <v>89</v>
      </c>
      <c r="D89" s="777">
        <v>89</v>
      </c>
      <c r="E89" s="777">
        <v>1</v>
      </c>
      <c r="F89" s="1066">
        <v>1</v>
      </c>
      <c r="G89" s="777">
        <v>89</v>
      </c>
      <c r="H89" s="777">
        <v>1</v>
      </c>
      <c r="I89" s="777">
        <v>1</v>
      </c>
      <c r="J89" s="777">
        <v>1</v>
      </c>
      <c r="K89" s="777">
        <v>1</v>
      </c>
      <c r="L89" s="777">
        <v>1</v>
      </c>
      <c r="M89" s="777">
        <v>1</v>
      </c>
      <c r="N89" s="777">
        <v>1</v>
      </c>
      <c r="O89" s="777">
        <v>1</v>
      </c>
      <c r="P89" s="1066">
        <v>1</v>
      </c>
      <c r="Q89" s="777">
        <v>1</v>
      </c>
      <c r="R89" s="777">
        <v>1</v>
      </c>
      <c r="S89" s="777">
        <v>1</v>
      </c>
      <c r="T89" s="777">
        <v>1</v>
      </c>
      <c r="U89" s="777">
        <v>1</v>
      </c>
      <c r="V89" s="1066">
        <v>1</v>
      </c>
      <c r="W89" s="1066">
        <v>89</v>
      </c>
      <c r="X89" s="1066">
        <v>89</v>
      </c>
      <c r="Y89" s="777">
        <v>1</v>
      </c>
      <c r="Z89" s="777">
        <v>1</v>
      </c>
      <c r="AA89" s="777">
        <v>89</v>
      </c>
      <c r="AB89" s="777">
        <v>1</v>
      </c>
      <c r="AC89" s="777">
        <v>1</v>
      </c>
      <c r="AD89" s="777">
        <v>1</v>
      </c>
      <c r="AE89" s="777">
        <v>1</v>
      </c>
      <c r="AF89" s="777">
        <v>89</v>
      </c>
      <c r="AG89" s="777">
        <v>1</v>
      </c>
      <c r="AH89" s="777">
        <v>1</v>
      </c>
      <c r="AI89" s="777">
        <v>89</v>
      </c>
      <c r="AJ89" s="777">
        <v>1</v>
      </c>
      <c r="AK89" s="777">
        <v>1</v>
      </c>
      <c r="AL89" s="777">
        <v>1</v>
      </c>
      <c r="AM89" s="777">
        <v>1</v>
      </c>
      <c r="AN89" s="777">
        <v>1</v>
      </c>
      <c r="AO89" s="777">
        <v>1</v>
      </c>
    </row>
    <row r="90" spans="1:41" x14ac:dyDescent="0.25">
      <c r="A90" s="1141">
        <v>89</v>
      </c>
      <c r="B90" s="804">
        <v>90</v>
      </c>
      <c r="C90" s="777">
        <v>1</v>
      </c>
      <c r="D90" s="777">
        <v>1</v>
      </c>
      <c r="E90" s="777">
        <v>1</v>
      </c>
      <c r="F90" s="777">
        <v>1</v>
      </c>
      <c r="G90" s="777">
        <v>1</v>
      </c>
      <c r="H90" s="777">
        <v>1</v>
      </c>
      <c r="I90" s="777">
        <v>1</v>
      </c>
      <c r="J90" s="777">
        <v>1</v>
      </c>
      <c r="K90" s="777">
        <v>1</v>
      </c>
      <c r="L90" s="1066">
        <v>90</v>
      </c>
      <c r="M90" s="777">
        <v>1</v>
      </c>
      <c r="N90" s="777">
        <v>1</v>
      </c>
      <c r="O90" s="777">
        <v>1</v>
      </c>
      <c r="P90" s="777">
        <v>1</v>
      </c>
      <c r="Q90" s="777">
        <v>1</v>
      </c>
      <c r="R90" s="777">
        <v>1</v>
      </c>
      <c r="S90" s="777">
        <v>1</v>
      </c>
      <c r="T90" s="777">
        <v>1</v>
      </c>
      <c r="U90" s="777">
        <v>1</v>
      </c>
      <c r="V90" s="777">
        <v>1</v>
      </c>
      <c r="W90" s="1066">
        <v>90</v>
      </c>
      <c r="X90" s="777">
        <v>1</v>
      </c>
      <c r="Y90" s="777">
        <v>1</v>
      </c>
      <c r="Z90" s="1066">
        <v>90</v>
      </c>
      <c r="AA90" s="777">
        <v>90</v>
      </c>
      <c r="AB90" s="777">
        <v>1</v>
      </c>
      <c r="AC90" s="777">
        <v>1</v>
      </c>
      <c r="AD90" s="777">
        <v>1</v>
      </c>
      <c r="AE90" s="1066">
        <v>90</v>
      </c>
      <c r="AF90" s="1066">
        <v>90</v>
      </c>
      <c r="AG90" s="1066">
        <v>90</v>
      </c>
      <c r="AH90" s="777">
        <v>1</v>
      </c>
      <c r="AI90" s="777">
        <v>1</v>
      </c>
      <c r="AJ90" s="777">
        <v>1</v>
      </c>
      <c r="AK90" s="777">
        <v>1</v>
      </c>
      <c r="AL90" s="777">
        <v>1</v>
      </c>
      <c r="AM90" s="777">
        <v>1</v>
      </c>
      <c r="AN90" s="777">
        <v>1</v>
      </c>
      <c r="AO90" s="777">
        <v>1</v>
      </c>
    </row>
    <row r="91" spans="1:41" x14ac:dyDescent="0.25">
      <c r="A91" s="1141">
        <v>90</v>
      </c>
      <c r="B91" s="804">
        <v>91</v>
      </c>
      <c r="C91" s="1066">
        <v>91</v>
      </c>
      <c r="D91" s="1066">
        <v>91</v>
      </c>
      <c r="E91" s="1066">
        <v>91</v>
      </c>
      <c r="F91" s="777">
        <v>1</v>
      </c>
      <c r="G91" s="777">
        <v>1</v>
      </c>
      <c r="H91" s="777">
        <v>1</v>
      </c>
      <c r="I91" s="777">
        <v>1</v>
      </c>
      <c r="J91" s="777">
        <v>1</v>
      </c>
      <c r="K91" s="777">
        <v>1</v>
      </c>
      <c r="L91" s="777">
        <v>1</v>
      </c>
      <c r="M91" s="777">
        <v>1</v>
      </c>
      <c r="N91" s="777">
        <v>1</v>
      </c>
      <c r="O91" s="777">
        <v>1</v>
      </c>
      <c r="P91" s="777">
        <v>1</v>
      </c>
      <c r="Q91" s="777">
        <v>1</v>
      </c>
      <c r="R91" s="777">
        <v>1</v>
      </c>
      <c r="S91" s="777">
        <v>1</v>
      </c>
      <c r="T91" s="777">
        <v>1</v>
      </c>
      <c r="U91" s="777">
        <v>1</v>
      </c>
      <c r="V91" s="777">
        <v>1</v>
      </c>
      <c r="W91" s="777">
        <v>1</v>
      </c>
      <c r="X91" s="777">
        <v>1</v>
      </c>
      <c r="Y91" s="777">
        <v>1</v>
      </c>
      <c r="Z91" s="1066">
        <v>91</v>
      </c>
      <c r="AA91" s="777">
        <v>91</v>
      </c>
      <c r="AB91" s="777">
        <v>1</v>
      </c>
      <c r="AC91" s="777">
        <v>1</v>
      </c>
      <c r="AD91" s="1066">
        <v>91</v>
      </c>
      <c r="AE91" s="777">
        <v>1</v>
      </c>
      <c r="AF91" s="777">
        <v>1</v>
      </c>
      <c r="AG91" s="777">
        <v>1</v>
      </c>
      <c r="AH91" s="1066">
        <v>91</v>
      </c>
      <c r="AI91" s="777">
        <v>1</v>
      </c>
      <c r="AJ91" s="777">
        <v>1</v>
      </c>
      <c r="AK91" s="777">
        <v>1</v>
      </c>
      <c r="AL91" s="777">
        <v>1</v>
      </c>
      <c r="AM91" s="777">
        <v>1</v>
      </c>
      <c r="AN91" s="777">
        <v>1</v>
      </c>
      <c r="AO91" s="777">
        <v>1</v>
      </c>
    </row>
    <row r="92" spans="1:41" ht="11.25" customHeight="1" x14ac:dyDescent="0.25">
      <c r="A92" s="1141">
        <v>91</v>
      </c>
      <c r="B92" s="804">
        <v>92</v>
      </c>
      <c r="C92" s="1066">
        <v>1</v>
      </c>
      <c r="D92" s="777">
        <v>1</v>
      </c>
      <c r="E92" s="777">
        <v>1</v>
      </c>
      <c r="F92" s="777">
        <v>1</v>
      </c>
      <c r="G92" s="777">
        <v>92</v>
      </c>
      <c r="H92" s="777">
        <v>1</v>
      </c>
      <c r="I92" s="777">
        <v>1</v>
      </c>
      <c r="J92" s="777">
        <v>1</v>
      </c>
      <c r="K92" s="777">
        <v>1</v>
      </c>
      <c r="L92" s="777">
        <v>1</v>
      </c>
      <c r="M92" s="777">
        <v>1</v>
      </c>
      <c r="N92" s="777">
        <v>1</v>
      </c>
      <c r="O92" s="777">
        <v>1</v>
      </c>
      <c r="P92" s="777">
        <v>1</v>
      </c>
      <c r="Q92" s="777">
        <v>1</v>
      </c>
      <c r="R92" s="777">
        <v>92</v>
      </c>
      <c r="S92" s="1066">
        <v>1</v>
      </c>
      <c r="T92" s="777">
        <v>1</v>
      </c>
      <c r="U92" s="777">
        <v>1</v>
      </c>
      <c r="V92" s="1066">
        <v>92</v>
      </c>
      <c r="W92" s="1066">
        <v>92</v>
      </c>
      <c r="X92" s="777">
        <v>1</v>
      </c>
      <c r="Y92" s="777">
        <v>1</v>
      </c>
      <c r="Z92" s="777">
        <v>1</v>
      </c>
      <c r="AA92" s="777">
        <v>1</v>
      </c>
      <c r="AB92" s="777">
        <v>1</v>
      </c>
      <c r="AC92" s="777">
        <v>1</v>
      </c>
      <c r="AD92" s="777">
        <v>1</v>
      </c>
      <c r="AE92" s="777">
        <v>92</v>
      </c>
      <c r="AF92" s="777">
        <v>1</v>
      </c>
      <c r="AG92" s="777">
        <v>1</v>
      </c>
      <c r="AH92" s="777">
        <v>1</v>
      </c>
      <c r="AI92" s="1066">
        <v>92</v>
      </c>
      <c r="AJ92" s="777">
        <v>1</v>
      </c>
      <c r="AK92" s="777">
        <v>1</v>
      </c>
      <c r="AL92" s="777">
        <v>1</v>
      </c>
      <c r="AM92" s="777">
        <v>92</v>
      </c>
      <c r="AN92" s="777">
        <v>1</v>
      </c>
      <c r="AO92" s="777">
        <v>1</v>
      </c>
    </row>
    <row r="93" spans="1:41" x14ac:dyDescent="0.25">
      <c r="A93" s="1141">
        <v>92</v>
      </c>
      <c r="B93" s="804">
        <v>93</v>
      </c>
      <c r="C93" s="1066">
        <v>93</v>
      </c>
      <c r="D93" s="777">
        <v>1</v>
      </c>
      <c r="E93" s="777">
        <v>1</v>
      </c>
      <c r="F93" s="1066">
        <v>93</v>
      </c>
      <c r="G93" s="1066">
        <v>93</v>
      </c>
      <c r="H93" s="777">
        <v>1</v>
      </c>
      <c r="I93" s="777">
        <v>1</v>
      </c>
      <c r="J93" s="777">
        <v>1</v>
      </c>
      <c r="K93" s="777">
        <v>1</v>
      </c>
      <c r="L93" s="777">
        <v>1</v>
      </c>
      <c r="M93" s="777">
        <v>1</v>
      </c>
      <c r="N93" s="777">
        <v>1</v>
      </c>
      <c r="O93" s="1066">
        <v>1</v>
      </c>
      <c r="P93" s="777">
        <v>1</v>
      </c>
      <c r="Q93" s="777">
        <v>1</v>
      </c>
      <c r="R93" s="777">
        <v>1</v>
      </c>
      <c r="S93" s="777">
        <v>1</v>
      </c>
      <c r="T93" s="1066">
        <v>93</v>
      </c>
      <c r="U93" s="777">
        <v>1</v>
      </c>
      <c r="V93" s="777">
        <v>1</v>
      </c>
      <c r="W93" s="777">
        <v>1</v>
      </c>
      <c r="X93" s="777">
        <v>1</v>
      </c>
      <c r="Y93" s="777">
        <v>1</v>
      </c>
      <c r="Z93" s="777">
        <v>1</v>
      </c>
      <c r="AA93" s="1066">
        <v>93</v>
      </c>
      <c r="AB93" s="777">
        <v>1</v>
      </c>
      <c r="AC93" s="777">
        <v>1</v>
      </c>
      <c r="AD93" s="777">
        <v>1</v>
      </c>
      <c r="AE93" s="1066">
        <v>93</v>
      </c>
      <c r="AF93" s="777">
        <v>1</v>
      </c>
      <c r="AG93" s="777">
        <v>1</v>
      </c>
      <c r="AH93" s="777">
        <v>1</v>
      </c>
      <c r="AI93" s="1066">
        <v>93</v>
      </c>
      <c r="AJ93" s="777">
        <v>1</v>
      </c>
      <c r="AK93" s="777">
        <v>1</v>
      </c>
      <c r="AL93" s="777">
        <v>1</v>
      </c>
      <c r="AM93" s="777">
        <v>1</v>
      </c>
      <c r="AN93" s="777">
        <v>1</v>
      </c>
      <c r="AO93" s="777">
        <v>1</v>
      </c>
    </row>
    <row r="94" spans="1:41" x14ac:dyDescent="0.25">
      <c r="A94" s="1141">
        <v>93</v>
      </c>
      <c r="B94" s="804">
        <v>94</v>
      </c>
      <c r="C94" s="1066">
        <v>94</v>
      </c>
      <c r="D94" s="777">
        <v>1</v>
      </c>
      <c r="E94" s="777">
        <v>1</v>
      </c>
      <c r="F94" s="1066">
        <v>94</v>
      </c>
      <c r="G94" s="1066">
        <v>94</v>
      </c>
      <c r="H94" s="777">
        <v>1</v>
      </c>
      <c r="I94" s="777">
        <v>1</v>
      </c>
      <c r="J94" s="777">
        <v>1</v>
      </c>
      <c r="K94" s="777">
        <v>1</v>
      </c>
      <c r="L94" s="777">
        <v>1</v>
      </c>
      <c r="M94" s="777">
        <v>1</v>
      </c>
      <c r="N94" s="777">
        <v>1</v>
      </c>
      <c r="O94" s="1066">
        <v>1</v>
      </c>
      <c r="P94" s="777">
        <v>1</v>
      </c>
      <c r="Q94" s="777">
        <v>1</v>
      </c>
      <c r="R94" s="777">
        <v>1</v>
      </c>
      <c r="S94" s="777">
        <v>1</v>
      </c>
      <c r="T94" s="1066">
        <v>94</v>
      </c>
      <c r="U94" s="777">
        <v>1</v>
      </c>
      <c r="V94" s="777">
        <v>1</v>
      </c>
      <c r="W94" s="777">
        <v>1</v>
      </c>
      <c r="X94" s="777">
        <v>1</v>
      </c>
      <c r="Y94" s="777">
        <v>1</v>
      </c>
      <c r="Z94" s="777">
        <v>1</v>
      </c>
      <c r="AA94" s="1066">
        <v>94</v>
      </c>
      <c r="AB94" s="777">
        <v>1</v>
      </c>
      <c r="AC94" s="777">
        <v>1</v>
      </c>
      <c r="AD94" s="777">
        <v>1</v>
      </c>
      <c r="AE94" s="1066">
        <v>94</v>
      </c>
      <c r="AF94" s="777">
        <v>1</v>
      </c>
      <c r="AG94" s="777">
        <v>1</v>
      </c>
      <c r="AH94" s="777">
        <v>1</v>
      </c>
      <c r="AI94" s="1066">
        <v>94</v>
      </c>
      <c r="AJ94" s="777">
        <v>1</v>
      </c>
      <c r="AK94" s="777">
        <v>1</v>
      </c>
      <c r="AL94" s="777">
        <v>1</v>
      </c>
      <c r="AM94" s="777">
        <v>1</v>
      </c>
      <c r="AN94" s="777">
        <v>1</v>
      </c>
      <c r="AO94" s="777">
        <v>1</v>
      </c>
    </row>
    <row r="95" spans="1:41" x14ac:dyDescent="0.25">
      <c r="A95" s="1141">
        <v>94</v>
      </c>
      <c r="B95" s="804">
        <v>95</v>
      </c>
      <c r="C95" s="1066">
        <v>95</v>
      </c>
      <c r="D95" s="777">
        <v>1</v>
      </c>
      <c r="E95" s="1066">
        <v>95</v>
      </c>
      <c r="F95" s="1066">
        <v>95</v>
      </c>
      <c r="G95" s="1066">
        <v>95</v>
      </c>
      <c r="H95" s="777">
        <v>1</v>
      </c>
      <c r="I95" s="777">
        <v>1</v>
      </c>
      <c r="J95" s="777">
        <v>1</v>
      </c>
      <c r="K95" s="777">
        <v>1</v>
      </c>
      <c r="L95" s="777">
        <v>1</v>
      </c>
      <c r="M95" s="1066">
        <v>95</v>
      </c>
      <c r="N95" s="777">
        <v>1</v>
      </c>
      <c r="O95" s="1066">
        <v>95</v>
      </c>
      <c r="P95" s="1066">
        <v>95</v>
      </c>
      <c r="Q95" s="777">
        <v>1</v>
      </c>
      <c r="R95" s="777">
        <v>1</v>
      </c>
      <c r="S95" s="777">
        <v>1</v>
      </c>
      <c r="T95" s="777">
        <v>1</v>
      </c>
      <c r="U95" s="777">
        <v>1</v>
      </c>
      <c r="V95" s="777">
        <v>1</v>
      </c>
      <c r="W95" s="777">
        <v>1</v>
      </c>
      <c r="X95" s="777">
        <v>1</v>
      </c>
      <c r="Y95" s="1066">
        <v>95</v>
      </c>
      <c r="Z95" s="777">
        <v>1</v>
      </c>
      <c r="AA95" s="777">
        <v>1</v>
      </c>
      <c r="AB95" s="777">
        <v>1</v>
      </c>
      <c r="AC95" s="777">
        <v>1</v>
      </c>
      <c r="AD95" s="777">
        <v>1</v>
      </c>
      <c r="AE95" s="777">
        <v>1</v>
      </c>
      <c r="AF95" s="777">
        <v>1</v>
      </c>
      <c r="AG95" s="777">
        <v>1</v>
      </c>
      <c r="AH95" s="777">
        <v>1</v>
      </c>
      <c r="AI95" s="1066">
        <v>95</v>
      </c>
      <c r="AJ95" s="1066">
        <v>95</v>
      </c>
      <c r="AK95" s="1066">
        <v>95</v>
      </c>
      <c r="AL95" s="777">
        <v>1</v>
      </c>
      <c r="AM95" s="1066">
        <v>95</v>
      </c>
      <c r="AN95" s="777">
        <v>1</v>
      </c>
      <c r="AO95" s="1066">
        <v>95</v>
      </c>
    </row>
    <row r="96" spans="1:41" x14ac:dyDescent="0.25">
      <c r="A96" s="1141">
        <v>95</v>
      </c>
      <c r="B96" s="804">
        <v>96</v>
      </c>
      <c r="C96" s="777">
        <v>1</v>
      </c>
      <c r="D96" s="777">
        <v>1</v>
      </c>
      <c r="E96" s="777">
        <v>1</v>
      </c>
      <c r="F96" s="1066">
        <v>96</v>
      </c>
      <c r="G96" s="777">
        <v>1</v>
      </c>
      <c r="H96" s="777">
        <v>1</v>
      </c>
      <c r="I96" s="777">
        <v>1</v>
      </c>
      <c r="J96" s="777">
        <v>1</v>
      </c>
      <c r="K96" s="777">
        <v>1</v>
      </c>
      <c r="L96" s="777">
        <v>1</v>
      </c>
      <c r="M96" s="777">
        <v>1</v>
      </c>
      <c r="N96" s="1066">
        <v>96</v>
      </c>
      <c r="O96" s="777">
        <v>1</v>
      </c>
      <c r="P96" s="1066">
        <v>96</v>
      </c>
      <c r="Q96" s="777">
        <v>1</v>
      </c>
      <c r="R96" s="777">
        <v>1</v>
      </c>
      <c r="S96" s="777">
        <v>1</v>
      </c>
      <c r="T96" s="777">
        <v>1</v>
      </c>
      <c r="U96" s="777">
        <v>1</v>
      </c>
      <c r="V96" s="777">
        <v>1</v>
      </c>
      <c r="W96" s="777">
        <v>1</v>
      </c>
      <c r="X96" s="777">
        <v>1</v>
      </c>
      <c r="Y96" s="777">
        <v>1</v>
      </c>
      <c r="Z96" s="777">
        <v>1</v>
      </c>
      <c r="AA96" s="1066">
        <v>96</v>
      </c>
      <c r="AB96" s="777">
        <v>1</v>
      </c>
      <c r="AC96" s="777">
        <v>1</v>
      </c>
      <c r="AD96" s="777">
        <v>1</v>
      </c>
      <c r="AE96" s="1066">
        <v>96</v>
      </c>
      <c r="AF96" s="777">
        <v>1</v>
      </c>
      <c r="AG96" s="777">
        <v>1</v>
      </c>
      <c r="AH96" s="777">
        <v>1</v>
      </c>
      <c r="AI96" s="777">
        <v>1</v>
      </c>
      <c r="AJ96" s="777">
        <v>1</v>
      </c>
      <c r="AK96" s="777">
        <v>1</v>
      </c>
      <c r="AL96" s="777">
        <v>1</v>
      </c>
      <c r="AM96" s="777">
        <v>1</v>
      </c>
      <c r="AN96" s="777">
        <v>1</v>
      </c>
      <c r="AO96" s="777">
        <v>1</v>
      </c>
    </row>
    <row r="97" spans="1:41" x14ac:dyDescent="0.25">
      <c r="A97" s="1141">
        <v>96</v>
      </c>
      <c r="B97" s="804">
        <v>97</v>
      </c>
      <c r="C97" s="777">
        <v>97</v>
      </c>
      <c r="D97" s="1066">
        <v>97</v>
      </c>
      <c r="E97" s="777">
        <v>1</v>
      </c>
      <c r="F97" s="1066">
        <v>97</v>
      </c>
      <c r="G97" s="1066">
        <v>97</v>
      </c>
      <c r="H97" s="777">
        <v>1</v>
      </c>
      <c r="I97" s="777">
        <v>1</v>
      </c>
      <c r="J97" s="777">
        <v>1</v>
      </c>
      <c r="K97" s="777">
        <v>1</v>
      </c>
      <c r="L97" s="777">
        <v>1</v>
      </c>
      <c r="M97" s="777">
        <v>1</v>
      </c>
      <c r="N97" s="1066">
        <v>97</v>
      </c>
      <c r="O97" s="777">
        <v>1</v>
      </c>
      <c r="P97" s="1066">
        <v>97</v>
      </c>
      <c r="Q97" s="777">
        <v>1</v>
      </c>
      <c r="R97" s="777">
        <v>1</v>
      </c>
      <c r="S97" s="777">
        <v>97</v>
      </c>
      <c r="T97" s="1066">
        <v>97</v>
      </c>
      <c r="U97" s="777">
        <v>1</v>
      </c>
      <c r="V97" s="777">
        <v>1</v>
      </c>
      <c r="W97" s="1066">
        <v>97</v>
      </c>
      <c r="X97" s="777">
        <v>1</v>
      </c>
      <c r="Y97" s="777">
        <v>1</v>
      </c>
      <c r="Z97" s="777">
        <v>1</v>
      </c>
      <c r="AA97" s="1066">
        <v>97</v>
      </c>
      <c r="AB97" s="777">
        <v>1</v>
      </c>
      <c r="AC97" s="777">
        <v>1</v>
      </c>
      <c r="AD97" s="777">
        <v>1</v>
      </c>
      <c r="AE97" s="1066">
        <v>97</v>
      </c>
      <c r="AF97" s="1066">
        <v>97</v>
      </c>
      <c r="AG97" s="777">
        <v>1</v>
      </c>
      <c r="AH97" s="777">
        <v>1</v>
      </c>
      <c r="AI97" s="1066">
        <v>97</v>
      </c>
      <c r="AJ97" s="777">
        <v>1</v>
      </c>
      <c r="AK97" s="777">
        <v>1</v>
      </c>
      <c r="AL97" s="777">
        <v>1</v>
      </c>
      <c r="AM97" s="777">
        <v>1</v>
      </c>
      <c r="AN97" s="777">
        <v>1</v>
      </c>
      <c r="AO97" s="777">
        <v>1</v>
      </c>
    </row>
    <row r="98" spans="1:41" x14ac:dyDescent="0.25">
      <c r="A98" s="1141">
        <v>97</v>
      </c>
      <c r="B98" s="804">
        <v>98</v>
      </c>
      <c r="C98" s="777">
        <v>1</v>
      </c>
      <c r="D98" s="777">
        <v>1</v>
      </c>
      <c r="E98" s="1066">
        <v>98</v>
      </c>
      <c r="F98" s="1066">
        <v>98</v>
      </c>
      <c r="G98" s="1066">
        <v>98</v>
      </c>
      <c r="H98" s="777">
        <v>1</v>
      </c>
      <c r="I98" s="777">
        <v>1</v>
      </c>
      <c r="J98" s="777">
        <v>1</v>
      </c>
      <c r="K98" s="777">
        <v>1</v>
      </c>
      <c r="L98" s="777">
        <v>1</v>
      </c>
      <c r="M98" s="1066">
        <v>98</v>
      </c>
      <c r="N98" s="1066">
        <v>98</v>
      </c>
      <c r="O98" s="777">
        <v>1</v>
      </c>
      <c r="P98" s="777">
        <v>1</v>
      </c>
      <c r="Q98" s="777">
        <v>1</v>
      </c>
      <c r="R98" s="777">
        <v>1</v>
      </c>
      <c r="S98" s="777">
        <v>1</v>
      </c>
      <c r="T98" s="1066">
        <v>98</v>
      </c>
      <c r="U98" s="777">
        <v>1</v>
      </c>
      <c r="V98" s="777">
        <v>1</v>
      </c>
      <c r="W98" s="777">
        <v>1</v>
      </c>
      <c r="X98" s="777">
        <v>1</v>
      </c>
      <c r="Y98" s="777">
        <v>1</v>
      </c>
      <c r="Z98" s="777">
        <v>1</v>
      </c>
      <c r="AA98" s="777">
        <v>1</v>
      </c>
      <c r="AB98" s="777">
        <v>1</v>
      </c>
      <c r="AC98" s="1066">
        <v>98</v>
      </c>
      <c r="AD98" s="777">
        <v>1</v>
      </c>
      <c r="AE98" s="1066">
        <v>98</v>
      </c>
      <c r="AF98" s="777">
        <v>1</v>
      </c>
      <c r="AG98" s="777">
        <v>1</v>
      </c>
      <c r="AH98" s="777">
        <v>1</v>
      </c>
      <c r="AI98" s="777">
        <v>1</v>
      </c>
      <c r="AJ98" s="777">
        <v>1</v>
      </c>
      <c r="AK98" s="777">
        <v>1</v>
      </c>
      <c r="AL98" s="777">
        <v>1</v>
      </c>
      <c r="AM98" s="777">
        <v>1</v>
      </c>
      <c r="AN98" s="777">
        <v>1</v>
      </c>
      <c r="AO98" s="777">
        <v>1</v>
      </c>
    </row>
    <row r="99" spans="1:41" x14ac:dyDescent="0.25">
      <c r="A99" s="1141">
        <v>98</v>
      </c>
      <c r="B99" s="804">
        <v>99</v>
      </c>
      <c r="C99" s="777">
        <v>99</v>
      </c>
      <c r="D99" s="1066">
        <v>99</v>
      </c>
      <c r="E99" s="1066">
        <v>99</v>
      </c>
      <c r="F99" s="777">
        <v>1</v>
      </c>
      <c r="G99" s="777">
        <v>1</v>
      </c>
      <c r="H99" s="777">
        <v>1</v>
      </c>
      <c r="I99" s="777">
        <v>1</v>
      </c>
      <c r="J99" s="777">
        <v>1</v>
      </c>
      <c r="K99" s="777">
        <v>1</v>
      </c>
      <c r="L99" s="777">
        <v>1</v>
      </c>
      <c r="M99" s="777">
        <v>1</v>
      </c>
      <c r="N99" s="1066">
        <v>99</v>
      </c>
      <c r="O99" s="1066">
        <v>99</v>
      </c>
      <c r="P99" s="777">
        <v>1</v>
      </c>
      <c r="Q99" s="777">
        <v>1</v>
      </c>
      <c r="R99" s="777">
        <v>1</v>
      </c>
      <c r="S99" s="777">
        <v>1</v>
      </c>
      <c r="T99" s="777">
        <v>1</v>
      </c>
      <c r="U99" s="777">
        <v>1</v>
      </c>
      <c r="V99" s="777">
        <v>1</v>
      </c>
      <c r="W99" s="777">
        <v>1</v>
      </c>
      <c r="X99" s="777">
        <v>1</v>
      </c>
      <c r="Y99" s="777">
        <v>1</v>
      </c>
      <c r="Z99" s="777">
        <v>1</v>
      </c>
      <c r="AA99" s="777">
        <v>1</v>
      </c>
      <c r="AB99" s="777">
        <v>1</v>
      </c>
      <c r="AC99" s="1066">
        <v>99</v>
      </c>
      <c r="AD99" s="777">
        <v>1</v>
      </c>
      <c r="AE99" s="1066">
        <v>99</v>
      </c>
      <c r="AF99" s="777">
        <v>1</v>
      </c>
      <c r="AG99" s="1066">
        <v>99</v>
      </c>
      <c r="AH99" s="777">
        <v>1</v>
      </c>
      <c r="AI99" s="777">
        <v>1</v>
      </c>
      <c r="AJ99" s="777">
        <v>1</v>
      </c>
      <c r="AK99" s="777">
        <v>1</v>
      </c>
      <c r="AL99" s="777">
        <v>1</v>
      </c>
      <c r="AM99" s="777">
        <v>1</v>
      </c>
      <c r="AN99" s="777">
        <v>1</v>
      </c>
      <c r="AO99" s="777">
        <v>1</v>
      </c>
    </row>
    <row r="100" spans="1:41" x14ac:dyDescent="0.25">
      <c r="A100" s="1141">
        <v>99</v>
      </c>
      <c r="B100" s="804">
        <v>100</v>
      </c>
      <c r="C100" s="1066">
        <v>100</v>
      </c>
      <c r="D100" s="777">
        <v>1</v>
      </c>
      <c r="E100" s="777">
        <v>1</v>
      </c>
      <c r="F100" s="1066">
        <v>100</v>
      </c>
      <c r="G100" s="1066">
        <v>100</v>
      </c>
      <c r="H100" s="1066">
        <v>100</v>
      </c>
      <c r="I100" s="777">
        <v>1</v>
      </c>
      <c r="J100" s="777">
        <v>1</v>
      </c>
      <c r="K100" s="777">
        <v>1</v>
      </c>
      <c r="L100" s="777">
        <v>1</v>
      </c>
      <c r="M100" s="777">
        <v>1</v>
      </c>
      <c r="N100" s="777">
        <v>1</v>
      </c>
      <c r="O100" s="1066">
        <v>100</v>
      </c>
      <c r="P100" s="777">
        <v>1</v>
      </c>
      <c r="Q100" s="777">
        <v>1</v>
      </c>
      <c r="R100" s="777">
        <v>1</v>
      </c>
      <c r="S100" s="777">
        <v>1</v>
      </c>
      <c r="T100" s="777">
        <v>1</v>
      </c>
      <c r="U100" s="777">
        <v>1</v>
      </c>
      <c r="V100" s="777">
        <v>1</v>
      </c>
      <c r="W100" s="777">
        <v>1</v>
      </c>
      <c r="X100" s="777">
        <v>1</v>
      </c>
      <c r="Y100" s="777">
        <v>1</v>
      </c>
      <c r="Z100" s="777">
        <v>1</v>
      </c>
      <c r="AA100" s="777">
        <v>1</v>
      </c>
      <c r="AB100" s="777">
        <v>1</v>
      </c>
      <c r="AC100" s="777">
        <v>1</v>
      </c>
      <c r="AD100" s="1066">
        <v>100</v>
      </c>
      <c r="AE100" s="1066">
        <v>100</v>
      </c>
      <c r="AF100" s="777">
        <v>1</v>
      </c>
      <c r="AG100" s="777">
        <v>1</v>
      </c>
      <c r="AH100" s="777">
        <v>1</v>
      </c>
      <c r="AI100" s="777">
        <v>1</v>
      </c>
      <c r="AJ100" s="777">
        <v>1</v>
      </c>
      <c r="AK100" s="777">
        <v>1</v>
      </c>
      <c r="AL100" s="777">
        <v>1</v>
      </c>
      <c r="AM100" s="777">
        <v>1</v>
      </c>
      <c r="AN100" s="777">
        <v>1</v>
      </c>
      <c r="AO100" s="777">
        <v>1</v>
      </c>
    </row>
    <row r="101" spans="1:41" x14ac:dyDescent="0.25">
      <c r="A101" s="1141">
        <v>100</v>
      </c>
      <c r="B101" s="804">
        <v>101</v>
      </c>
      <c r="C101" s="1066">
        <v>101</v>
      </c>
      <c r="D101" s="777">
        <v>1</v>
      </c>
      <c r="E101" s="777">
        <v>1</v>
      </c>
      <c r="F101" s="777">
        <v>1</v>
      </c>
      <c r="G101" s="1066">
        <v>101</v>
      </c>
      <c r="H101" s="777">
        <v>1</v>
      </c>
      <c r="I101" s="777">
        <v>1</v>
      </c>
      <c r="J101" s="777">
        <v>1</v>
      </c>
      <c r="K101" s="777">
        <v>1</v>
      </c>
      <c r="L101" s="777">
        <v>1</v>
      </c>
      <c r="M101" s="777">
        <v>1</v>
      </c>
      <c r="N101" s="777">
        <v>1</v>
      </c>
      <c r="O101" s="777">
        <v>1</v>
      </c>
      <c r="P101" s="777">
        <v>1</v>
      </c>
      <c r="Q101" s="777">
        <v>1</v>
      </c>
      <c r="R101" s="777">
        <v>1</v>
      </c>
      <c r="S101" s="777">
        <v>1</v>
      </c>
      <c r="T101" s="777">
        <v>1</v>
      </c>
      <c r="U101" s="777">
        <v>1</v>
      </c>
      <c r="V101" s="777">
        <v>1</v>
      </c>
      <c r="W101" s="777">
        <v>1</v>
      </c>
      <c r="X101" s="777">
        <v>1</v>
      </c>
      <c r="Y101" s="777">
        <v>1</v>
      </c>
      <c r="Z101" s="777">
        <v>1</v>
      </c>
      <c r="AA101" s="777">
        <v>1</v>
      </c>
      <c r="AB101" s="777">
        <v>1</v>
      </c>
      <c r="AC101" s="777">
        <v>1</v>
      </c>
      <c r="AD101" s="1066">
        <v>101</v>
      </c>
      <c r="AE101" s="1066">
        <v>101</v>
      </c>
      <c r="AF101" s="777">
        <v>1</v>
      </c>
      <c r="AG101" s="777">
        <v>1</v>
      </c>
      <c r="AH101" s="777">
        <v>1</v>
      </c>
      <c r="AI101" s="1066">
        <v>101</v>
      </c>
      <c r="AJ101" s="777">
        <v>1</v>
      </c>
      <c r="AK101" s="777">
        <v>1</v>
      </c>
      <c r="AL101" s="777">
        <v>1</v>
      </c>
      <c r="AM101" s="777">
        <v>1</v>
      </c>
      <c r="AN101" s="777">
        <v>1</v>
      </c>
      <c r="AO101" s="777">
        <v>1</v>
      </c>
    </row>
    <row r="102" spans="1:41" x14ac:dyDescent="0.25">
      <c r="A102" s="1141">
        <v>101</v>
      </c>
      <c r="B102" s="804">
        <v>102</v>
      </c>
      <c r="C102" s="1066">
        <v>102</v>
      </c>
      <c r="D102" s="777">
        <v>1</v>
      </c>
      <c r="E102" s="777">
        <v>1</v>
      </c>
      <c r="F102" s="777">
        <v>1</v>
      </c>
      <c r="G102" s="1066">
        <v>102</v>
      </c>
      <c r="H102" s="777">
        <v>1</v>
      </c>
      <c r="I102" s="777">
        <v>1</v>
      </c>
      <c r="J102" s="777">
        <v>1</v>
      </c>
      <c r="K102" s="777">
        <v>1</v>
      </c>
      <c r="L102" s="777">
        <v>1</v>
      </c>
      <c r="M102" s="777">
        <v>1</v>
      </c>
      <c r="N102" s="777">
        <v>1</v>
      </c>
      <c r="O102" s="1066">
        <v>102</v>
      </c>
      <c r="P102" s="1066">
        <v>102</v>
      </c>
      <c r="Q102" s="777">
        <v>1</v>
      </c>
      <c r="R102" s="777">
        <v>1</v>
      </c>
      <c r="S102" s="777">
        <v>1</v>
      </c>
      <c r="T102" s="1066">
        <v>102</v>
      </c>
      <c r="U102" s="777">
        <v>1</v>
      </c>
      <c r="V102" s="777">
        <v>1</v>
      </c>
      <c r="W102" s="777">
        <v>102</v>
      </c>
      <c r="X102" s="777">
        <v>102</v>
      </c>
      <c r="Y102" s="777">
        <v>1</v>
      </c>
      <c r="Z102" s="777">
        <v>1</v>
      </c>
      <c r="AA102" s="777">
        <v>1</v>
      </c>
      <c r="AB102" s="777">
        <v>1</v>
      </c>
      <c r="AC102" s="777">
        <v>1</v>
      </c>
      <c r="AD102" s="1066">
        <v>102</v>
      </c>
      <c r="AE102" s="1066">
        <v>102</v>
      </c>
      <c r="AF102" s="777">
        <v>1</v>
      </c>
      <c r="AG102" s="777">
        <v>1</v>
      </c>
      <c r="AH102" s="777">
        <v>1</v>
      </c>
      <c r="AI102" s="1066">
        <v>102</v>
      </c>
      <c r="AJ102" s="777">
        <v>1</v>
      </c>
      <c r="AK102" s="777">
        <v>1</v>
      </c>
      <c r="AL102" s="777">
        <v>1</v>
      </c>
      <c r="AM102" s="1066">
        <v>102</v>
      </c>
      <c r="AN102" s="777">
        <v>1</v>
      </c>
      <c r="AO102" s="777">
        <v>1</v>
      </c>
    </row>
    <row r="103" spans="1:41" x14ac:dyDescent="0.25">
      <c r="A103" s="1141">
        <v>102</v>
      </c>
      <c r="B103" s="804">
        <v>103</v>
      </c>
      <c r="C103" s="1066">
        <v>103</v>
      </c>
      <c r="D103" s="777">
        <v>1</v>
      </c>
      <c r="E103" s="777">
        <v>1</v>
      </c>
      <c r="F103" s="777">
        <v>1</v>
      </c>
      <c r="G103" s="1066">
        <v>103</v>
      </c>
      <c r="H103" s="777">
        <v>1</v>
      </c>
      <c r="I103" s="1066">
        <v>103</v>
      </c>
      <c r="J103" s="777">
        <v>1</v>
      </c>
      <c r="K103" s="777">
        <v>1</v>
      </c>
      <c r="L103" s="777">
        <v>1</v>
      </c>
      <c r="M103" s="777">
        <v>1</v>
      </c>
      <c r="N103" s="777">
        <v>1</v>
      </c>
      <c r="O103" s="777">
        <v>1</v>
      </c>
      <c r="P103" s="777">
        <v>1</v>
      </c>
      <c r="Q103" s="777">
        <v>1</v>
      </c>
      <c r="R103" s="777">
        <v>1</v>
      </c>
      <c r="S103" s="777">
        <v>1</v>
      </c>
      <c r="T103" s="777">
        <v>1</v>
      </c>
      <c r="U103" s="777">
        <v>1</v>
      </c>
      <c r="V103" s="777">
        <v>1</v>
      </c>
      <c r="W103" s="1066">
        <v>103</v>
      </c>
      <c r="X103" s="1066">
        <v>103</v>
      </c>
      <c r="Y103" s="777">
        <v>1</v>
      </c>
      <c r="Z103" s="777">
        <v>1</v>
      </c>
      <c r="AA103" s="777">
        <v>1</v>
      </c>
      <c r="AB103" s="777">
        <v>1</v>
      </c>
      <c r="AC103" s="777">
        <v>1</v>
      </c>
      <c r="AD103" s="777">
        <v>1</v>
      </c>
      <c r="AE103" s="777">
        <v>1</v>
      </c>
      <c r="AF103" s="777">
        <v>103</v>
      </c>
      <c r="AG103" s="777">
        <v>1</v>
      </c>
      <c r="AH103" s="777">
        <v>1</v>
      </c>
      <c r="AI103" s="777">
        <v>103</v>
      </c>
      <c r="AJ103" s="777">
        <v>1</v>
      </c>
      <c r="AK103" s="777">
        <v>1</v>
      </c>
      <c r="AL103" s="777">
        <v>1</v>
      </c>
      <c r="AM103" s="777">
        <v>1</v>
      </c>
      <c r="AN103" s="777">
        <v>1</v>
      </c>
      <c r="AO103" s="1066">
        <v>103</v>
      </c>
    </row>
    <row r="104" spans="1:41" x14ac:dyDescent="0.25">
      <c r="A104" s="1141">
        <v>103</v>
      </c>
      <c r="B104" s="804">
        <v>104</v>
      </c>
      <c r="C104" s="777">
        <v>1</v>
      </c>
      <c r="D104" s="777">
        <v>1</v>
      </c>
      <c r="E104" s="777">
        <v>1</v>
      </c>
      <c r="F104" s="777">
        <v>1</v>
      </c>
      <c r="G104" s="1066">
        <v>104</v>
      </c>
      <c r="H104" s="777">
        <v>1</v>
      </c>
      <c r="I104" s="777">
        <v>1</v>
      </c>
      <c r="J104" s="777">
        <v>1</v>
      </c>
      <c r="K104" s="777">
        <v>1</v>
      </c>
      <c r="L104" s="777">
        <v>1</v>
      </c>
      <c r="M104" s="777">
        <v>1</v>
      </c>
      <c r="N104" s="777">
        <v>1</v>
      </c>
      <c r="O104" s="1066">
        <v>104</v>
      </c>
      <c r="P104" s="777">
        <v>1</v>
      </c>
      <c r="Q104" s="777">
        <v>1</v>
      </c>
      <c r="R104" s="777">
        <v>1</v>
      </c>
      <c r="S104" s="777">
        <v>1</v>
      </c>
      <c r="T104" s="1066">
        <v>104</v>
      </c>
      <c r="U104" s="777">
        <v>1</v>
      </c>
      <c r="V104" s="777">
        <v>1</v>
      </c>
      <c r="W104" s="777">
        <v>1</v>
      </c>
      <c r="X104" s="777">
        <v>1</v>
      </c>
      <c r="Y104" s="777">
        <v>1</v>
      </c>
      <c r="Z104" s="777">
        <v>104</v>
      </c>
      <c r="AA104" s="1066">
        <v>104</v>
      </c>
      <c r="AB104" s="777">
        <v>1</v>
      </c>
      <c r="AC104" s="777">
        <v>1</v>
      </c>
      <c r="AD104" s="777">
        <v>1</v>
      </c>
      <c r="AE104" s="1066">
        <v>104</v>
      </c>
      <c r="AF104" s="777">
        <v>1</v>
      </c>
      <c r="AG104" s="777">
        <v>1</v>
      </c>
      <c r="AH104" s="777">
        <v>1</v>
      </c>
      <c r="AI104" s="1066">
        <v>104</v>
      </c>
      <c r="AJ104" s="777">
        <v>1</v>
      </c>
      <c r="AK104" s="777">
        <v>1</v>
      </c>
      <c r="AL104" s="777">
        <v>1</v>
      </c>
      <c r="AM104" s="1066">
        <v>104</v>
      </c>
      <c r="AN104" s="777">
        <v>1</v>
      </c>
      <c r="AO104" s="777">
        <v>1</v>
      </c>
    </row>
    <row r="105" spans="1:41" x14ac:dyDescent="0.25">
      <c r="A105" s="1141">
        <v>104</v>
      </c>
      <c r="B105" s="804">
        <v>105</v>
      </c>
      <c r="C105" s="777">
        <v>1</v>
      </c>
      <c r="D105" s="777">
        <v>1</v>
      </c>
      <c r="E105" s="777">
        <v>1</v>
      </c>
      <c r="F105" s="777">
        <v>1</v>
      </c>
      <c r="G105" s="1066">
        <v>105</v>
      </c>
      <c r="H105" s="777">
        <v>1</v>
      </c>
      <c r="I105" s="777">
        <v>1</v>
      </c>
      <c r="J105" s="777">
        <v>1</v>
      </c>
      <c r="K105" s="777">
        <v>1</v>
      </c>
      <c r="L105" s="777">
        <v>1</v>
      </c>
      <c r="M105" s="777">
        <v>1</v>
      </c>
      <c r="N105" s="777">
        <v>1</v>
      </c>
      <c r="O105" s="1066">
        <v>105</v>
      </c>
      <c r="P105" s="777">
        <v>1</v>
      </c>
      <c r="Q105" s="777">
        <v>1</v>
      </c>
      <c r="R105" s="777">
        <v>1</v>
      </c>
      <c r="S105" s="777">
        <v>1</v>
      </c>
      <c r="T105" s="777">
        <v>1</v>
      </c>
      <c r="U105" s="777">
        <v>1</v>
      </c>
      <c r="V105" s="777">
        <v>1</v>
      </c>
      <c r="W105" s="1066">
        <v>105</v>
      </c>
      <c r="X105" s="777">
        <v>1</v>
      </c>
      <c r="Y105" s="777">
        <v>1</v>
      </c>
      <c r="Z105" s="1066">
        <v>105</v>
      </c>
      <c r="AA105" s="777">
        <v>1</v>
      </c>
      <c r="AB105" s="777">
        <v>1</v>
      </c>
      <c r="AC105" s="1066">
        <v>105</v>
      </c>
      <c r="AD105" s="777">
        <v>1</v>
      </c>
      <c r="AE105" s="1066">
        <v>105</v>
      </c>
      <c r="AF105" s="777">
        <v>1</v>
      </c>
      <c r="AG105" s="777">
        <v>1</v>
      </c>
      <c r="AH105" s="777">
        <v>1</v>
      </c>
      <c r="AI105" s="777">
        <v>1</v>
      </c>
      <c r="AJ105" s="777">
        <v>1</v>
      </c>
      <c r="AK105" s="777">
        <v>1</v>
      </c>
      <c r="AL105" s="777">
        <v>1</v>
      </c>
      <c r="AM105" s="777">
        <v>1</v>
      </c>
      <c r="AN105" s="777">
        <v>1</v>
      </c>
      <c r="AO105" s="777">
        <v>1</v>
      </c>
    </row>
    <row r="106" spans="1:41" x14ac:dyDescent="0.25">
      <c r="A106" s="1141">
        <v>105</v>
      </c>
      <c r="B106" s="804">
        <v>106</v>
      </c>
      <c r="C106" s="1066">
        <v>106</v>
      </c>
      <c r="D106" s="1066">
        <v>106</v>
      </c>
      <c r="E106" s="777">
        <v>1</v>
      </c>
      <c r="F106" s="777">
        <v>1</v>
      </c>
      <c r="G106" s="777">
        <v>1</v>
      </c>
      <c r="H106" s="777">
        <v>1</v>
      </c>
      <c r="I106" s="777">
        <v>1</v>
      </c>
      <c r="J106" s="777">
        <v>1</v>
      </c>
      <c r="K106" s="777">
        <v>1</v>
      </c>
      <c r="L106" s="777">
        <v>1</v>
      </c>
      <c r="M106" s="777">
        <v>1</v>
      </c>
      <c r="N106" s="777">
        <v>1</v>
      </c>
      <c r="O106" s="1066">
        <v>106</v>
      </c>
      <c r="P106" s="777">
        <v>1</v>
      </c>
      <c r="Q106" s="777">
        <v>1</v>
      </c>
      <c r="R106" s="777">
        <v>1</v>
      </c>
      <c r="S106" s="777">
        <v>1</v>
      </c>
      <c r="T106" s="777">
        <v>1</v>
      </c>
      <c r="U106" s="777">
        <v>1</v>
      </c>
      <c r="V106" s="777">
        <v>1</v>
      </c>
      <c r="W106" s="1066">
        <v>106</v>
      </c>
      <c r="X106" s="777">
        <v>1</v>
      </c>
      <c r="Y106" s="777">
        <v>1</v>
      </c>
      <c r="Z106" s="777">
        <v>1</v>
      </c>
      <c r="AA106" s="777">
        <v>1</v>
      </c>
      <c r="AB106" s="777">
        <v>1</v>
      </c>
      <c r="AC106" s="777">
        <v>1</v>
      </c>
      <c r="AD106" s="777">
        <v>1</v>
      </c>
      <c r="AE106" s="777">
        <v>1</v>
      </c>
      <c r="AF106" s="777">
        <v>106</v>
      </c>
      <c r="AG106" s="777">
        <v>1</v>
      </c>
      <c r="AH106" s="777">
        <v>1</v>
      </c>
      <c r="AI106" s="777">
        <v>1</v>
      </c>
      <c r="AJ106" s="777">
        <v>1</v>
      </c>
      <c r="AK106" s="777">
        <v>1</v>
      </c>
      <c r="AL106" s="777">
        <v>1</v>
      </c>
      <c r="AM106" s="777">
        <v>1</v>
      </c>
      <c r="AN106" s="777">
        <v>1</v>
      </c>
      <c r="AO106" s="777">
        <v>1</v>
      </c>
    </row>
    <row r="107" spans="1:41" x14ac:dyDescent="0.25">
      <c r="A107" s="1141">
        <v>106</v>
      </c>
      <c r="B107" s="804">
        <v>107</v>
      </c>
      <c r="C107" s="1066">
        <v>107</v>
      </c>
      <c r="D107" s="777">
        <v>1</v>
      </c>
      <c r="E107" s="777">
        <v>1</v>
      </c>
      <c r="F107" s="777">
        <v>107</v>
      </c>
      <c r="G107" s="777">
        <v>107</v>
      </c>
      <c r="H107" s="777">
        <v>1</v>
      </c>
      <c r="I107" s="777">
        <v>1</v>
      </c>
      <c r="J107" s="777">
        <v>1</v>
      </c>
      <c r="K107" s="777">
        <v>1</v>
      </c>
      <c r="L107" s="777">
        <v>1</v>
      </c>
      <c r="M107" s="777">
        <v>1</v>
      </c>
      <c r="N107" s="777">
        <v>1</v>
      </c>
      <c r="O107" s="1066">
        <v>107</v>
      </c>
      <c r="P107" s="777">
        <v>1</v>
      </c>
      <c r="Q107" s="777">
        <v>1</v>
      </c>
      <c r="R107" s="1066">
        <v>107</v>
      </c>
      <c r="S107" s="777">
        <v>1</v>
      </c>
      <c r="T107" s="777">
        <v>1</v>
      </c>
      <c r="U107" s="777">
        <v>1</v>
      </c>
      <c r="V107" s="777">
        <v>1</v>
      </c>
      <c r="W107" s="1066">
        <v>107</v>
      </c>
      <c r="X107" s="777">
        <v>1</v>
      </c>
      <c r="Y107" s="777">
        <v>1</v>
      </c>
      <c r="Z107" s="777">
        <v>1</v>
      </c>
      <c r="AA107" s="777">
        <v>1</v>
      </c>
      <c r="AB107" s="777">
        <v>1</v>
      </c>
      <c r="AC107" s="777">
        <v>1</v>
      </c>
      <c r="AD107" s="777">
        <v>1</v>
      </c>
      <c r="AE107" s="777">
        <v>1</v>
      </c>
      <c r="AF107" s="777">
        <v>107</v>
      </c>
      <c r="AG107" s="777">
        <v>1</v>
      </c>
      <c r="AH107" s="777">
        <v>1</v>
      </c>
      <c r="AI107" s="777">
        <v>1</v>
      </c>
      <c r="AJ107" s="777">
        <v>1</v>
      </c>
      <c r="AK107" s="777">
        <v>1</v>
      </c>
      <c r="AL107" s="777">
        <v>1</v>
      </c>
      <c r="AM107" s="777">
        <v>1</v>
      </c>
      <c r="AN107" s="777">
        <v>1</v>
      </c>
      <c r="AO107" s="777">
        <v>107</v>
      </c>
    </row>
    <row r="108" spans="1:41" x14ac:dyDescent="0.25">
      <c r="A108" s="1141">
        <v>107</v>
      </c>
      <c r="B108" s="804">
        <v>108</v>
      </c>
      <c r="C108" s="1066">
        <v>108</v>
      </c>
      <c r="D108" s="777">
        <v>1</v>
      </c>
      <c r="E108" s="777">
        <v>1</v>
      </c>
      <c r="F108" s="1066">
        <v>108</v>
      </c>
      <c r="G108" s="777">
        <v>1</v>
      </c>
      <c r="H108" s="777">
        <v>1</v>
      </c>
      <c r="I108" s="777">
        <v>1</v>
      </c>
      <c r="J108" s="777">
        <v>1</v>
      </c>
      <c r="K108" s="777">
        <v>1</v>
      </c>
      <c r="L108" s="777">
        <v>1</v>
      </c>
      <c r="M108" s="777">
        <v>1</v>
      </c>
      <c r="N108" s="777">
        <v>1</v>
      </c>
      <c r="O108" s="1066">
        <v>108</v>
      </c>
      <c r="P108" s="777">
        <v>1</v>
      </c>
      <c r="Q108" s="777">
        <v>1</v>
      </c>
      <c r="R108" s="777">
        <v>1</v>
      </c>
      <c r="S108" s="777">
        <v>1</v>
      </c>
      <c r="T108" s="777">
        <v>1</v>
      </c>
      <c r="U108" s="777">
        <v>1</v>
      </c>
      <c r="V108" s="777">
        <v>1</v>
      </c>
      <c r="W108" s="777">
        <v>1</v>
      </c>
      <c r="X108" s="777">
        <v>1</v>
      </c>
      <c r="Y108" s="777">
        <v>1</v>
      </c>
      <c r="Z108" s="777">
        <v>1</v>
      </c>
      <c r="AA108" s="777">
        <v>1</v>
      </c>
      <c r="AB108" s="777">
        <v>1</v>
      </c>
      <c r="AC108" s="1066">
        <v>108</v>
      </c>
      <c r="AD108" s="777">
        <v>1</v>
      </c>
      <c r="AE108" s="1066">
        <v>108</v>
      </c>
      <c r="AF108" s="777">
        <v>1</v>
      </c>
      <c r="AG108" s="777">
        <v>1</v>
      </c>
      <c r="AH108" s="777">
        <v>1</v>
      </c>
      <c r="AI108" s="777">
        <v>1</v>
      </c>
      <c r="AJ108" s="777">
        <v>1</v>
      </c>
      <c r="AK108" s="777">
        <v>1</v>
      </c>
      <c r="AL108" s="777">
        <v>1</v>
      </c>
      <c r="AM108" s="1066">
        <v>108</v>
      </c>
      <c r="AN108" s="777">
        <v>1</v>
      </c>
      <c r="AO108" s="777">
        <v>1</v>
      </c>
    </row>
    <row r="109" spans="1:41" x14ac:dyDescent="0.25">
      <c r="A109" s="1141">
        <v>108</v>
      </c>
      <c r="B109" s="804">
        <v>109</v>
      </c>
      <c r="C109" s="777">
        <v>1</v>
      </c>
      <c r="D109" s="1066">
        <v>109</v>
      </c>
      <c r="E109" s="777">
        <v>1</v>
      </c>
      <c r="F109" s="777">
        <v>1</v>
      </c>
      <c r="G109" s="777">
        <v>1</v>
      </c>
      <c r="H109" s="777">
        <v>1</v>
      </c>
      <c r="I109" s="777">
        <v>1</v>
      </c>
      <c r="J109" s="777">
        <v>1</v>
      </c>
      <c r="K109" s="777">
        <v>1</v>
      </c>
      <c r="L109" s="777">
        <v>1</v>
      </c>
      <c r="M109" s="777">
        <v>1</v>
      </c>
      <c r="N109" s="1066">
        <v>109</v>
      </c>
      <c r="O109" s="777">
        <v>109</v>
      </c>
      <c r="P109" s="1066">
        <v>109</v>
      </c>
      <c r="Q109" s="777">
        <v>1</v>
      </c>
      <c r="R109" s="777">
        <v>1</v>
      </c>
      <c r="S109" s="777">
        <v>1</v>
      </c>
      <c r="T109" s="1066">
        <v>109</v>
      </c>
      <c r="U109" s="777">
        <v>1</v>
      </c>
      <c r="V109" s="777">
        <v>1</v>
      </c>
      <c r="W109" s="777">
        <v>1</v>
      </c>
      <c r="X109" s="777">
        <v>1</v>
      </c>
      <c r="Y109" s="777">
        <v>1</v>
      </c>
      <c r="Z109" s="777">
        <v>1</v>
      </c>
      <c r="AA109" s="777">
        <v>1</v>
      </c>
      <c r="AB109" s="777">
        <v>1</v>
      </c>
      <c r="AC109" s="777">
        <v>1</v>
      </c>
      <c r="AD109" s="1066">
        <v>109</v>
      </c>
      <c r="AE109" s="777">
        <v>1</v>
      </c>
      <c r="AF109" s="777">
        <v>1</v>
      </c>
      <c r="AG109" s="777">
        <v>1</v>
      </c>
      <c r="AH109" s="1066">
        <v>109</v>
      </c>
      <c r="AI109" s="777">
        <v>1</v>
      </c>
      <c r="AJ109" s="777">
        <v>1</v>
      </c>
      <c r="AK109" s="777">
        <v>1</v>
      </c>
      <c r="AL109" s="1066">
        <v>109</v>
      </c>
      <c r="AM109" s="777">
        <v>1</v>
      </c>
      <c r="AN109" s="777">
        <v>1</v>
      </c>
      <c r="AO109" s="777">
        <v>1</v>
      </c>
    </row>
    <row r="110" spans="1:41" x14ac:dyDescent="0.25">
      <c r="A110" s="1141">
        <v>109</v>
      </c>
      <c r="B110" s="804">
        <v>110</v>
      </c>
      <c r="C110" s="777">
        <v>110</v>
      </c>
      <c r="D110" s="1066">
        <v>110</v>
      </c>
      <c r="E110" s="777">
        <v>1</v>
      </c>
      <c r="F110" s="777">
        <v>1</v>
      </c>
      <c r="G110" s="777">
        <v>1</v>
      </c>
      <c r="H110" s="777">
        <v>1</v>
      </c>
      <c r="I110" s="777">
        <v>1</v>
      </c>
      <c r="J110" s="777">
        <v>1</v>
      </c>
      <c r="K110" s="777">
        <v>1</v>
      </c>
      <c r="L110" s="777">
        <v>1</v>
      </c>
      <c r="M110" s="777">
        <v>1</v>
      </c>
      <c r="N110" s="777">
        <v>1</v>
      </c>
      <c r="O110" s="777">
        <v>1</v>
      </c>
      <c r="P110" s="1066">
        <v>110</v>
      </c>
      <c r="Q110" s="777">
        <v>1</v>
      </c>
      <c r="R110" s="777">
        <v>1</v>
      </c>
      <c r="S110" s="777">
        <v>1</v>
      </c>
      <c r="T110" s="1066">
        <v>110</v>
      </c>
      <c r="U110" s="777">
        <v>1</v>
      </c>
      <c r="V110" s="777">
        <v>1</v>
      </c>
      <c r="W110" s="1066">
        <v>110</v>
      </c>
      <c r="X110" s="1066">
        <v>110</v>
      </c>
      <c r="Y110" s="777">
        <v>1</v>
      </c>
      <c r="Z110" s="777">
        <v>1</v>
      </c>
      <c r="AA110" s="777">
        <v>1</v>
      </c>
      <c r="AB110" s="777">
        <v>1</v>
      </c>
      <c r="AC110" s="777">
        <v>1</v>
      </c>
      <c r="AD110" s="777">
        <v>1</v>
      </c>
      <c r="AE110" s="777">
        <v>1</v>
      </c>
      <c r="AF110" s="777">
        <v>110</v>
      </c>
      <c r="AG110" s="777">
        <v>1</v>
      </c>
      <c r="AH110" s="1066">
        <v>110</v>
      </c>
      <c r="AI110" s="1066">
        <v>110</v>
      </c>
      <c r="AJ110" s="1066">
        <v>1</v>
      </c>
      <c r="AK110" s="1066">
        <v>1</v>
      </c>
      <c r="AL110" s="777">
        <v>1</v>
      </c>
      <c r="AM110" s="777">
        <v>1</v>
      </c>
      <c r="AN110" s="777">
        <v>1</v>
      </c>
      <c r="AO110" s="777">
        <v>1</v>
      </c>
    </row>
    <row r="111" spans="1:41" x14ac:dyDescent="0.25">
      <c r="A111" s="1141">
        <v>110</v>
      </c>
      <c r="B111" s="804">
        <v>111</v>
      </c>
      <c r="C111" s="777">
        <v>1</v>
      </c>
      <c r="D111" s="777">
        <v>1</v>
      </c>
      <c r="E111" s="777">
        <v>1</v>
      </c>
      <c r="F111" s="1066">
        <v>1</v>
      </c>
      <c r="G111" s="1066">
        <v>1</v>
      </c>
      <c r="H111" s="777">
        <v>1</v>
      </c>
      <c r="I111" s="1066">
        <v>111</v>
      </c>
      <c r="J111" s="777">
        <v>1</v>
      </c>
      <c r="K111" s="777">
        <v>1</v>
      </c>
      <c r="L111" s="777">
        <v>1</v>
      </c>
      <c r="M111" s="777">
        <v>1</v>
      </c>
      <c r="N111" s="777">
        <v>1</v>
      </c>
      <c r="O111" s="777">
        <v>1</v>
      </c>
      <c r="P111" s="777">
        <v>1</v>
      </c>
      <c r="Q111" s="777">
        <v>1</v>
      </c>
      <c r="R111" s="777">
        <v>1</v>
      </c>
      <c r="S111" s="777">
        <v>1</v>
      </c>
      <c r="T111" s="1066">
        <v>111</v>
      </c>
      <c r="U111" s="777">
        <v>1</v>
      </c>
      <c r="V111" s="777">
        <v>1</v>
      </c>
      <c r="W111" s="777">
        <v>1</v>
      </c>
      <c r="X111" s="777">
        <v>1</v>
      </c>
      <c r="Y111" s="777">
        <v>1</v>
      </c>
      <c r="Z111" s="777">
        <v>1</v>
      </c>
      <c r="AA111" s="1066">
        <v>111</v>
      </c>
      <c r="AB111" s="777">
        <v>1</v>
      </c>
      <c r="AC111" s="777">
        <v>1</v>
      </c>
      <c r="AD111" s="1066">
        <v>111</v>
      </c>
      <c r="AE111" s="1066">
        <v>111</v>
      </c>
      <c r="AF111" s="777">
        <v>1</v>
      </c>
      <c r="AG111" s="777">
        <v>1</v>
      </c>
      <c r="AH111" s="777">
        <v>1</v>
      </c>
      <c r="AI111" s="777">
        <v>111</v>
      </c>
      <c r="AJ111" s="777">
        <v>1</v>
      </c>
      <c r="AK111" s="777">
        <v>1</v>
      </c>
      <c r="AL111" s="1066">
        <v>111</v>
      </c>
      <c r="AM111" s="1066">
        <v>111</v>
      </c>
      <c r="AN111" s="777">
        <v>1</v>
      </c>
      <c r="AO111" s="777">
        <v>1</v>
      </c>
    </row>
    <row r="112" spans="1:41" x14ac:dyDescent="0.25">
      <c r="A112" s="1141">
        <v>111</v>
      </c>
      <c r="B112" s="804">
        <v>112</v>
      </c>
      <c r="C112" s="777">
        <v>1</v>
      </c>
      <c r="D112" s="777">
        <v>1</v>
      </c>
      <c r="E112" s="777">
        <v>1</v>
      </c>
      <c r="F112" s="777">
        <v>1</v>
      </c>
      <c r="G112" s="777">
        <v>1</v>
      </c>
      <c r="H112" s="777">
        <v>1</v>
      </c>
      <c r="I112" s="777">
        <v>1</v>
      </c>
      <c r="J112" s="777">
        <v>1</v>
      </c>
      <c r="K112" s="777">
        <v>1</v>
      </c>
      <c r="L112" s="777">
        <v>1</v>
      </c>
      <c r="M112" s="777">
        <v>1</v>
      </c>
      <c r="N112" s="777">
        <v>1</v>
      </c>
      <c r="O112" s="777">
        <v>1</v>
      </c>
      <c r="P112" s="777">
        <v>1</v>
      </c>
      <c r="Q112" s="777">
        <v>1</v>
      </c>
      <c r="R112" s="777">
        <v>1</v>
      </c>
      <c r="S112" s="777">
        <v>1</v>
      </c>
      <c r="T112" s="777">
        <v>1</v>
      </c>
      <c r="U112" s="777">
        <v>1</v>
      </c>
      <c r="V112" s="777">
        <v>1</v>
      </c>
      <c r="W112" s="1066">
        <v>112</v>
      </c>
      <c r="X112" s="777">
        <v>1</v>
      </c>
      <c r="Y112" s="1066">
        <v>1</v>
      </c>
      <c r="Z112" s="777">
        <v>1</v>
      </c>
      <c r="AA112" s="777">
        <v>1</v>
      </c>
      <c r="AB112" s="777">
        <v>1</v>
      </c>
      <c r="AC112" s="777">
        <v>1</v>
      </c>
      <c r="AD112" s="777">
        <v>1</v>
      </c>
      <c r="AE112" s="777">
        <v>1</v>
      </c>
      <c r="AF112" s="777">
        <v>112</v>
      </c>
      <c r="AG112" s="777">
        <v>1</v>
      </c>
      <c r="AH112" s="777">
        <v>1</v>
      </c>
      <c r="AI112" s="777">
        <v>1</v>
      </c>
      <c r="AJ112" s="777">
        <v>1</v>
      </c>
      <c r="AK112" s="777">
        <v>1</v>
      </c>
      <c r="AL112" s="1066">
        <v>112</v>
      </c>
      <c r="AM112" s="777">
        <v>1</v>
      </c>
      <c r="AN112" s="777">
        <v>1</v>
      </c>
      <c r="AO112" s="1066">
        <v>112</v>
      </c>
    </row>
    <row r="113" spans="1:41" x14ac:dyDescent="0.25">
      <c r="A113" s="1141">
        <v>112</v>
      </c>
      <c r="B113" s="804">
        <v>113</v>
      </c>
      <c r="C113" s="1066">
        <v>113</v>
      </c>
      <c r="D113" s="777">
        <v>1</v>
      </c>
      <c r="E113" s="777">
        <v>1</v>
      </c>
      <c r="F113" s="777">
        <v>1</v>
      </c>
      <c r="G113" s="777">
        <v>1</v>
      </c>
      <c r="H113" s="777">
        <v>1</v>
      </c>
      <c r="I113" s="777">
        <v>1</v>
      </c>
      <c r="J113" s="777">
        <v>1</v>
      </c>
      <c r="K113" s="777">
        <v>1</v>
      </c>
      <c r="L113" s="777">
        <v>1</v>
      </c>
      <c r="M113" s="777">
        <v>1</v>
      </c>
      <c r="N113" s="777">
        <v>1</v>
      </c>
      <c r="O113" s="777">
        <v>1</v>
      </c>
      <c r="P113" s="777">
        <v>1</v>
      </c>
      <c r="Q113" s="777">
        <v>1</v>
      </c>
      <c r="R113" s="1066">
        <v>113</v>
      </c>
      <c r="S113" s="777">
        <v>1</v>
      </c>
      <c r="T113" s="777">
        <v>1</v>
      </c>
      <c r="U113" s="777">
        <v>1</v>
      </c>
      <c r="V113" s="777">
        <v>1</v>
      </c>
      <c r="W113" s="1066">
        <v>113</v>
      </c>
      <c r="X113" s="1066">
        <v>113</v>
      </c>
      <c r="Y113" s="777">
        <v>1</v>
      </c>
      <c r="Z113" s="777">
        <v>1</v>
      </c>
      <c r="AA113" s="777">
        <v>1</v>
      </c>
      <c r="AB113" s="777">
        <v>1</v>
      </c>
      <c r="AC113" s="777">
        <v>1</v>
      </c>
      <c r="AD113" s="777">
        <v>1</v>
      </c>
      <c r="AE113" s="777">
        <v>1</v>
      </c>
      <c r="AF113" s="777">
        <v>113</v>
      </c>
      <c r="AG113" s="777">
        <v>1</v>
      </c>
      <c r="AH113" s="777">
        <v>1</v>
      </c>
      <c r="AI113" s="1066">
        <v>113</v>
      </c>
      <c r="AJ113" s="777">
        <v>1</v>
      </c>
      <c r="AK113" s="777">
        <v>1</v>
      </c>
      <c r="AL113" s="777">
        <v>1</v>
      </c>
      <c r="AM113" s="777">
        <v>1</v>
      </c>
      <c r="AN113" s="777">
        <v>1</v>
      </c>
      <c r="AO113" s="1066">
        <v>113</v>
      </c>
    </row>
    <row r="114" spans="1:41" x14ac:dyDescent="0.25">
      <c r="A114" s="1141">
        <v>113</v>
      </c>
      <c r="B114" s="804">
        <v>114</v>
      </c>
      <c r="C114" s="1066">
        <v>114</v>
      </c>
      <c r="D114" s="777">
        <v>1</v>
      </c>
      <c r="E114" s="1066">
        <v>114</v>
      </c>
      <c r="F114" s="777">
        <v>1</v>
      </c>
      <c r="G114" s="1066">
        <v>114</v>
      </c>
      <c r="H114" s="777">
        <v>1</v>
      </c>
      <c r="I114" s="777">
        <v>1</v>
      </c>
      <c r="J114" s="777">
        <v>1</v>
      </c>
      <c r="K114" s="777">
        <v>1</v>
      </c>
      <c r="L114" s="777">
        <v>1</v>
      </c>
      <c r="M114" s="777">
        <v>1</v>
      </c>
      <c r="N114" s="777">
        <v>1</v>
      </c>
      <c r="O114" s="777">
        <v>1</v>
      </c>
      <c r="P114" s="777">
        <v>1</v>
      </c>
      <c r="Q114" s="777">
        <v>1</v>
      </c>
      <c r="R114" s="777">
        <v>1</v>
      </c>
      <c r="S114" s="777">
        <v>1</v>
      </c>
      <c r="T114" s="777">
        <v>1</v>
      </c>
      <c r="U114" s="777">
        <v>1</v>
      </c>
      <c r="V114" s="777">
        <v>1</v>
      </c>
      <c r="W114" s="777">
        <v>1</v>
      </c>
      <c r="X114" s="777">
        <v>1</v>
      </c>
      <c r="Y114" s="777">
        <v>1</v>
      </c>
      <c r="Z114" s="777">
        <v>1</v>
      </c>
      <c r="AA114" s="777">
        <v>1</v>
      </c>
      <c r="AB114" s="777">
        <v>1</v>
      </c>
      <c r="AC114" s="1066">
        <v>114</v>
      </c>
      <c r="AD114" s="1066">
        <v>114</v>
      </c>
      <c r="AE114" s="1066">
        <v>114</v>
      </c>
      <c r="AF114" s="777">
        <v>1</v>
      </c>
      <c r="AG114" s="777">
        <v>1</v>
      </c>
      <c r="AH114" s="777">
        <v>1</v>
      </c>
      <c r="AI114" s="1066">
        <v>114</v>
      </c>
      <c r="AJ114" s="1066">
        <v>114</v>
      </c>
      <c r="AK114" s="1066">
        <v>114</v>
      </c>
      <c r="AL114" s="1066">
        <v>114</v>
      </c>
      <c r="AM114" s="1066">
        <v>114</v>
      </c>
      <c r="AN114" s="777">
        <v>1</v>
      </c>
      <c r="AO114" s="777">
        <v>1</v>
      </c>
    </row>
    <row r="115" spans="1:41" x14ac:dyDescent="0.25">
      <c r="A115" s="1141">
        <v>114</v>
      </c>
      <c r="B115" s="804">
        <v>115</v>
      </c>
      <c r="C115" s="777">
        <v>1</v>
      </c>
      <c r="D115" s="777">
        <v>1</v>
      </c>
      <c r="E115" s="777">
        <v>1</v>
      </c>
      <c r="F115" s="777">
        <v>1</v>
      </c>
      <c r="G115" s="777">
        <v>1</v>
      </c>
      <c r="H115" s="777">
        <v>1</v>
      </c>
      <c r="I115" s="777">
        <v>1</v>
      </c>
      <c r="J115" s="777">
        <v>1</v>
      </c>
      <c r="K115" s="777">
        <v>1</v>
      </c>
      <c r="L115" s="777">
        <v>1</v>
      </c>
      <c r="M115" s="777">
        <v>1</v>
      </c>
      <c r="N115" s="777">
        <v>1</v>
      </c>
      <c r="O115" s="777">
        <v>1</v>
      </c>
      <c r="P115" s="777">
        <v>1</v>
      </c>
      <c r="Q115" s="1066">
        <v>115</v>
      </c>
      <c r="R115" s="777">
        <v>1</v>
      </c>
      <c r="S115" s="777">
        <v>1</v>
      </c>
      <c r="T115" s="777">
        <v>1</v>
      </c>
      <c r="U115" s="777">
        <v>1</v>
      </c>
      <c r="V115" s="777">
        <v>1</v>
      </c>
      <c r="W115" s="777">
        <v>1</v>
      </c>
      <c r="X115" s="777">
        <v>1</v>
      </c>
      <c r="Y115" s="777">
        <v>1</v>
      </c>
      <c r="Z115" s="1066">
        <v>115</v>
      </c>
      <c r="AA115" s="777">
        <v>1</v>
      </c>
      <c r="AB115" s="777">
        <v>1</v>
      </c>
      <c r="AC115" s="777">
        <v>1</v>
      </c>
      <c r="AD115" s="777">
        <v>1</v>
      </c>
      <c r="AE115" s="1066">
        <v>115</v>
      </c>
      <c r="AF115" s="777">
        <v>1</v>
      </c>
      <c r="AG115" s="777">
        <v>1</v>
      </c>
      <c r="AH115" s="777">
        <v>1</v>
      </c>
      <c r="AI115" s="777">
        <v>1</v>
      </c>
      <c r="AJ115" s="777">
        <v>1</v>
      </c>
      <c r="AK115" s="777">
        <v>1</v>
      </c>
      <c r="AL115" s="777">
        <v>1</v>
      </c>
      <c r="AM115" s="777">
        <v>1</v>
      </c>
      <c r="AN115" s="777">
        <v>1</v>
      </c>
      <c r="AO115" s="777">
        <v>1</v>
      </c>
    </row>
    <row r="116" spans="1:41" x14ac:dyDescent="0.25">
      <c r="A116" s="1141">
        <v>115</v>
      </c>
      <c r="B116" s="804">
        <v>116</v>
      </c>
      <c r="C116" s="777">
        <v>116</v>
      </c>
      <c r="D116" s="1066">
        <v>116</v>
      </c>
      <c r="E116" s="777">
        <v>1</v>
      </c>
      <c r="F116" s="777">
        <v>116</v>
      </c>
      <c r="G116" s="777">
        <v>1</v>
      </c>
      <c r="H116" s="777">
        <v>1</v>
      </c>
      <c r="I116" s="777">
        <v>1</v>
      </c>
      <c r="J116" s="777">
        <v>1</v>
      </c>
      <c r="K116" s="777">
        <v>1</v>
      </c>
      <c r="L116" s="777">
        <v>1</v>
      </c>
      <c r="M116" s="777">
        <v>1</v>
      </c>
      <c r="N116" s="777">
        <v>1</v>
      </c>
      <c r="O116" s="777">
        <v>1</v>
      </c>
      <c r="P116" s="777">
        <v>1</v>
      </c>
      <c r="Q116" s="777">
        <v>1</v>
      </c>
      <c r="R116" s="777">
        <v>1</v>
      </c>
      <c r="S116" s="777">
        <v>116</v>
      </c>
      <c r="T116" s="777">
        <v>1</v>
      </c>
      <c r="U116" s="777">
        <v>116</v>
      </c>
      <c r="V116" s="777">
        <v>116</v>
      </c>
      <c r="W116" s="777">
        <v>116</v>
      </c>
      <c r="X116" s="777">
        <v>116</v>
      </c>
      <c r="Y116" s="777">
        <v>1</v>
      </c>
      <c r="Z116" s="1066">
        <v>116</v>
      </c>
      <c r="AA116" s="1066">
        <v>1</v>
      </c>
      <c r="AB116" s="777">
        <v>1</v>
      </c>
      <c r="AC116" s="777">
        <v>116</v>
      </c>
      <c r="AD116" s="777">
        <v>1</v>
      </c>
      <c r="AE116" s="1066">
        <v>116</v>
      </c>
      <c r="AF116" s="777">
        <v>116</v>
      </c>
      <c r="AG116" s="777">
        <v>1</v>
      </c>
      <c r="AH116" s="777">
        <v>1</v>
      </c>
      <c r="AI116" s="777">
        <v>1</v>
      </c>
      <c r="AJ116" s="777">
        <v>1</v>
      </c>
      <c r="AK116" s="777">
        <v>1</v>
      </c>
      <c r="AL116" s="777">
        <v>1</v>
      </c>
      <c r="AM116" s="1066">
        <v>1</v>
      </c>
      <c r="AN116" s="777">
        <v>116</v>
      </c>
      <c r="AO116" s="777">
        <v>1</v>
      </c>
    </row>
    <row r="117" spans="1:41" x14ac:dyDescent="0.25">
      <c r="A117" s="1141">
        <v>116</v>
      </c>
      <c r="B117" s="804">
        <v>117</v>
      </c>
      <c r="C117" s="1066">
        <v>117</v>
      </c>
      <c r="D117" s="1066">
        <v>1</v>
      </c>
      <c r="E117" s="777">
        <v>1</v>
      </c>
      <c r="F117" s="777">
        <v>1</v>
      </c>
      <c r="G117" s="777">
        <v>1</v>
      </c>
      <c r="H117" s="777">
        <v>1</v>
      </c>
      <c r="I117" s="777">
        <v>1</v>
      </c>
      <c r="J117" s="777">
        <v>1</v>
      </c>
      <c r="K117" s="777">
        <v>1</v>
      </c>
      <c r="L117" s="777">
        <v>1</v>
      </c>
      <c r="M117" s="777">
        <v>1</v>
      </c>
      <c r="N117" s="777">
        <v>1</v>
      </c>
      <c r="O117" s="1066">
        <v>1</v>
      </c>
      <c r="P117" s="777">
        <v>1</v>
      </c>
      <c r="Q117" s="777">
        <v>1</v>
      </c>
      <c r="R117" s="777">
        <v>1</v>
      </c>
      <c r="S117" s="777">
        <v>117</v>
      </c>
      <c r="T117" s="777">
        <v>1</v>
      </c>
      <c r="U117" s="777">
        <v>1</v>
      </c>
      <c r="V117" s="777">
        <v>1</v>
      </c>
      <c r="W117" s="777">
        <v>117</v>
      </c>
      <c r="X117" s="777">
        <v>117</v>
      </c>
      <c r="Y117" s="777">
        <v>1</v>
      </c>
      <c r="Z117" s="777">
        <v>1</v>
      </c>
      <c r="AA117" s="777">
        <v>1</v>
      </c>
      <c r="AB117" s="777">
        <v>1</v>
      </c>
      <c r="AC117" s="777">
        <v>1</v>
      </c>
      <c r="AD117" s="777">
        <v>1</v>
      </c>
      <c r="AE117" s="777">
        <v>1</v>
      </c>
      <c r="AF117" s="777">
        <v>117</v>
      </c>
      <c r="AG117" s="1066">
        <v>1</v>
      </c>
      <c r="AH117" s="777">
        <v>1</v>
      </c>
      <c r="AI117" s="777">
        <v>1</v>
      </c>
      <c r="AJ117" s="777">
        <v>117</v>
      </c>
      <c r="AK117" s="777">
        <v>117</v>
      </c>
      <c r="AL117" s="777">
        <v>1</v>
      </c>
      <c r="AM117" s="777">
        <v>1</v>
      </c>
      <c r="AN117" s="777">
        <v>117</v>
      </c>
      <c r="AO117" s="777">
        <v>1</v>
      </c>
    </row>
    <row r="118" spans="1:41" x14ac:dyDescent="0.25">
      <c r="A118" s="1141">
        <v>117</v>
      </c>
      <c r="B118" s="804">
        <v>118</v>
      </c>
      <c r="C118" s="1066">
        <v>118</v>
      </c>
      <c r="D118" s="777">
        <v>1</v>
      </c>
      <c r="E118" s="1066">
        <v>118</v>
      </c>
      <c r="F118" s="777">
        <v>1</v>
      </c>
      <c r="G118" s="777">
        <v>1</v>
      </c>
      <c r="H118" s="777">
        <v>1</v>
      </c>
      <c r="I118" s="777">
        <v>1</v>
      </c>
      <c r="J118" s="777">
        <v>1</v>
      </c>
      <c r="K118" s="777">
        <v>1</v>
      </c>
      <c r="L118" s="777">
        <v>1</v>
      </c>
      <c r="M118" s="777">
        <v>1</v>
      </c>
      <c r="N118" s="777">
        <v>1</v>
      </c>
      <c r="O118" s="1066">
        <v>118</v>
      </c>
      <c r="P118" s="777">
        <v>1</v>
      </c>
      <c r="Q118" s="777">
        <v>1</v>
      </c>
      <c r="R118" s="777">
        <v>1</v>
      </c>
      <c r="S118" s="777">
        <v>1</v>
      </c>
      <c r="T118" s="777">
        <v>1</v>
      </c>
      <c r="U118" s="777">
        <v>1</v>
      </c>
      <c r="V118" s="777">
        <v>1</v>
      </c>
      <c r="W118" s="777">
        <v>1</v>
      </c>
      <c r="X118" s="777">
        <v>1</v>
      </c>
      <c r="Y118" s="777">
        <v>1</v>
      </c>
      <c r="Z118" s="777">
        <v>1</v>
      </c>
      <c r="AA118" s="777">
        <v>1</v>
      </c>
      <c r="AB118" s="777">
        <v>1</v>
      </c>
      <c r="AC118" s="777">
        <v>1</v>
      </c>
      <c r="AD118" s="777">
        <v>1</v>
      </c>
      <c r="AE118" s="777">
        <v>1</v>
      </c>
      <c r="AF118" s="777">
        <v>1</v>
      </c>
      <c r="AG118" s="777">
        <v>1</v>
      </c>
      <c r="AH118" s="777">
        <v>1</v>
      </c>
      <c r="AI118" s="777">
        <v>1</v>
      </c>
      <c r="AJ118" s="777">
        <v>1</v>
      </c>
      <c r="AK118" s="777">
        <v>1</v>
      </c>
      <c r="AL118" s="777">
        <v>1</v>
      </c>
      <c r="AM118" s="777">
        <v>1</v>
      </c>
      <c r="AN118" s="777">
        <v>1</v>
      </c>
      <c r="AO118" s="777">
        <v>1</v>
      </c>
    </row>
    <row r="119" spans="1:41" x14ac:dyDescent="0.25">
      <c r="A119" s="1141">
        <v>118</v>
      </c>
      <c r="B119" s="804">
        <v>119</v>
      </c>
      <c r="C119" s="1066">
        <v>119</v>
      </c>
      <c r="D119" s="777">
        <v>1</v>
      </c>
      <c r="E119" s="777">
        <v>1</v>
      </c>
      <c r="F119" s="777">
        <v>1</v>
      </c>
      <c r="G119" s="777">
        <v>119</v>
      </c>
      <c r="H119" s="777">
        <v>1</v>
      </c>
      <c r="I119" s="777">
        <v>1</v>
      </c>
      <c r="J119" s="777">
        <v>1</v>
      </c>
      <c r="K119" s="777">
        <v>1</v>
      </c>
      <c r="L119" s="777">
        <v>1</v>
      </c>
      <c r="M119" s="777">
        <v>1</v>
      </c>
      <c r="N119" s="777">
        <v>1</v>
      </c>
      <c r="O119" s="777">
        <v>1</v>
      </c>
      <c r="P119" s="777">
        <v>1</v>
      </c>
      <c r="Q119" s="777">
        <v>1</v>
      </c>
      <c r="R119" s="777">
        <v>1</v>
      </c>
      <c r="S119" s="777">
        <v>1</v>
      </c>
      <c r="T119" s="777">
        <v>119</v>
      </c>
      <c r="U119" s="777">
        <v>1</v>
      </c>
      <c r="V119" s="777">
        <v>1</v>
      </c>
      <c r="W119" s="777">
        <v>119</v>
      </c>
      <c r="X119" s="777">
        <v>119</v>
      </c>
      <c r="Y119" s="777">
        <v>1</v>
      </c>
      <c r="Z119" s="777">
        <v>1</v>
      </c>
      <c r="AA119" s="777">
        <v>119</v>
      </c>
      <c r="AB119" s="777">
        <v>1</v>
      </c>
      <c r="AC119" s="777">
        <v>1</v>
      </c>
      <c r="AD119" s="777">
        <v>1</v>
      </c>
      <c r="AE119" s="777">
        <v>1</v>
      </c>
      <c r="AF119" s="777">
        <v>1</v>
      </c>
      <c r="AG119" s="777">
        <v>1</v>
      </c>
      <c r="AH119" s="777">
        <v>1</v>
      </c>
      <c r="AI119" s="1066">
        <v>119</v>
      </c>
      <c r="AJ119" s="777">
        <v>119</v>
      </c>
      <c r="AK119" s="777">
        <v>119</v>
      </c>
      <c r="AL119" s="1066">
        <v>119</v>
      </c>
      <c r="AM119" s="777">
        <v>119</v>
      </c>
      <c r="AN119" s="777">
        <v>1</v>
      </c>
      <c r="AO119" s="777">
        <v>1</v>
      </c>
    </row>
    <row r="120" spans="1:41" x14ac:dyDescent="0.25">
      <c r="A120" s="1141">
        <v>119</v>
      </c>
      <c r="B120" s="804">
        <v>120</v>
      </c>
      <c r="C120" s="1066">
        <v>120</v>
      </c>
      <c r="D120" s="777">
        <v>120</v>
      </c>
      <c r="E120" s="777">
        <v>1</v>
      </c>
      <c r="F120" s="777">
        <v>120</v>
      </c>
      <c r="G120" s="777">
        <v>1</v>
      </c>
      <c r="H120" s="1066">
        <v>1</v>
      </c>
      <c r="I120" s="777">
        <v>1</v>
      </c>
      <c r="J120" s="777">
        <v>1</v>
      </c>
      <c r="K120" s="777">
        <v>1</v>
      </c>
      <c r="L120" s="777">
        <v>1</v>
      </c>
      <c r="M120" s="777">
        <v>1</v>
      </c>
      <c r="N120" s="777">
        <v>1</v>
      </c>
      <c r="O120" s="777">
        <v>1</v>
      </c>
      <c r="P120" s="777">
        <v>1</v>
      </c>
      <c r="Q120" s="777">
        <v>1</v>
      </c>
      <c r="R120" s="777">
        <v>1</v>
      </c>
      <c r="S120" s="777">
        <v>120</v>
      </c>
      <c r="T120" s="777">
        <v>1</v>
      </c>
      <c r="U120" s="1066">
        <v>120</v>
      </c>
      <c r="V120" s="777">
        <v>120</v>
      </c>
      <c r="W120" s="777">
        <v>120</v>
      </c>
      <c r="X120" s="777">
        <v>120</v>
      </c>
      <c r="Y120" s="777">
        <v>1</v>
      </c>
      <c r="Z120" s="777">
        <v>120</v>
      </c>
      <c r="AA120" s="777">
        <v>1</v>
      </c>
      <c r="AB120" s="777">
        <v>1</v>
      </c>
      <c r="AC120" s="777">
        <v>120</v>
      </c>
      <c r="AD120" s="777">
        <v>1</v>
      </c>
      <c r="AE120" s="777">
        <v>120</v>
      </c>
      <c r="AF120" s="777">
        <v>120</v>
      </c>
      <c r="AG120" s="777">
        <v>1</v>
      </c>
      <c r="AH120" s="1066">
        <v>1</v>
      </c>
      <c r="AI120" s="777">
        <v>1</v>
      </c>
      <c r="AJ120" s="777">
        <v>1</v>
      </c>
      <c r="AK120" s="777">
        <v>1</v>
      </c>
      <c r="AL120" s="777">
        <v>1</v>
      </c>
      <c r="AM120" s="777">
        <v>1</v>
      </c>
      <c r="AN120" s="1066">
        <v>120</v>
      </c>
      <c r="AO120" s="777">
        <v>1</v>
      </c>
    </row>
    <row r="121" spans="1:41" x14ac:dyDescent="0.25">
      <c r="A121" s="1141">
        <v>120</v>
      </c>
      <c r="B121" s="804">
        <v>121</v>
      </c>
      <c r="C121" s="1066">
        <v>121</v>
      </c>
      <c r="D121" s="777">
        <v>1</v>
      </c>
      <c r="E121" s="777">
        <v>1</v>
      </c>
      <c r="F121" s="777">
        <v>1</v>
      </c>
      <c r="G121" s="777">
        <v>1</v>
      </c>
      <c r="H121" s="777">
        <v>1</v>
      </c>
      <c r="I121" s="777">
        <v>1</v>
      </c>
      <c r="J121" s="777">
        <v>1</v>
      </c>
      <c r="K121" s="777">
        <v>1</v>
      </c>
      <c r="L121" s="777">
        <v>1</v>
      </c>
      <c r="M121" s="777">
        <v>1</v>
      </c>
      <c r="N121" s="777">
        <v>1</v>
      </c>
      <c r="O121" s="777">
        <v>1</v>
      </c>
      <c r="P121" s="777">
        <v>1</v>
      </c>
      <c r="Q121" s="777">
        <v>1</v>
      </c>
      <c r="R121" s="777">
        <v>1</v>
      </c>
      <c r="S121" s="777">
        <v>121</v>
      </c>
      <c r="T121" s="777">
        <v>1</v>
      </c>
      <c r="U121" s="777">
        <v>1</v>
      </c>
      <c r="V121" s="777">
        <v>1</v>
      </c>
      <c r="W121" s="1066">
        <v>121</v>
      </c>
      <c r="X121" s="777">
        <v>121</v>
      </c>
      <c r="Y121" s="777">
        <v>1</v>
      </c>
      <c r="Z121" s="777">
        <v>1</v>
      </c>
      <c r="AA121" s="777">
        <v>1</v>
      </c>
      <c r="AB121" s="777">
        <v>1</v>
      </c>
      <c r="AC121" s="777">
        <v>1</v>
      </c>
      <c r="AD121" s="777">
        <v>1</v>
      </c>
      <c r="AE121" s="777">
        <v>1</v>
      </c>
      <c r="AF121" s="777">
        <v>121</v>
      </c>
      <c r="AG121" s="777">
        <v>1</v>
      </c>
      <c r="AH121" s="777">
        <v>1</v>
      </c>
      <c r="AI121" s="777">
        <v>1</v>
      </c>
      <c r="AJ121" s="1066">
        <v>121</v>
      </c>
      <c r="AK121" s="1066">
        <v>121</v>
      </c>
      <c r="AL121" s="777">
        <v>1</v>
      </c>
      <c r="AM121" s="777">
        <v>1</v>
      </c>
      <c r="AN121" s="1066">
        <v>121</v>
      </c>
      <c r="AO121" s="777">
        <v>1</v>
      </c>
    </row>
    <row r="122" spans="1:41" x14ac:dyDescent="0.25">
      <c r="A122" s="1141">
        <v>121</v>
      </c>
      <c r="B122" s="804">
        <v>122</v>
      </c>
      <c r="C122" s="1066">
        <v>122</v>
      </c>
      <c r="D122" s="777">
        <v>1</v>
      </c>
      <c r="E122" s="777">
        <v>1</v>
      </c>
      <c r="F122" s="777">
        <v>1</v>
      </c>
      <c r="G122" s="777">
        <v>1</v>
      </c>
      <c r="H122" s="777">
        <v>1</v>
      </c>
      <c r="I122" s="1066">
        <v>122</v>
      </c>
      <c r="J122" s="777">
        <v>1</v>
      </c>
      <c r="K122" s="777">
        <v>1</v>
      </c>
      <c r="L122" s="777">
        <v>1</v>
      </c>
      <c r="M122" s="777">
        <v>1</v>
      </c>
      <c r="N122" s="777">
        <v>1</v>
      </c>
      <c r="O122" s="777">
        <v>1</v>
      </c>
      <c r="P122" s="777">
        <v>1</v>
      </c>
      <c r="Q122" s="777">
        <v>1</v>
      </c>
      <c r="R122" s="777">
        <v>1</v>
      </c>
      <c r="S122" s="777">
        <v>1</v>
      </c>
      <c r="T122" s="777">
        <v>1</v>
      </c>
      <c r="U122" s="777">
        <v>1</v>
      </c>
      <c r="V122" s="777">
        <v>1</v>
      </c>
      <c r="W122" s="1066">
        <v>122</v>
      </c>
      <c r="X122" s="777">
        <v>1</v>
      </c>
      <c r="Y122" s="777">
        <v>1</v>
      </c>
      <c r="Z122" s="777">
        <v>1</v>
      </c>
      <c r="AA122" s="777">
        <v>1</v>
      </c>
      <c r="AB122" s="777">
        <v>1</v>
      </c>
      <c r="AC122" s="1066">
        <v>122</v>
      </c>
      <c r="AD122" s="777">
        <v>1</v>
      </c>
      <c r="AE122" s="1066">
        <v>122</v>
      </c>
      <c r="AF122" s="777">
        <v>122</v>
      </c>
      <c r="AG122" s="777">
        <v>1</v>
      </c>
      <c r="AH122" s="777">
        <v>1</v>
      </c>
      <c r="AI122" s="777">
        <v>1</v>
      </c>
      <c r="AJ122" s="777">
        <v>1</v>
      </c>
      <c r="AK122" s="777">
        <v>1</v>
      </c>
      <c r="AL122" s="777">
        <v>1</v>
      </c>
      <c r="AM122" s="777">
        <v>1</v>
      </c>
      <c r="AN122" s="777">
        <v>1</v>
      </c>
      <c r="AO122" s="777">
        <v>122</v>
      </c>
    </row>
    <row r="123" spans="1:41" x14ac:dyDescent="0.25">
      <c r="A123" s="1141">
        <v>122</v>
      </c>
      <c r="B123" s="804">
        <v>123</v>
      </c>
      <c r="C123" s="777">
        <v>1</v>
      </c>
      <c r="D123" s="1066">
        <v>123</v>
      </c>
      <c r="E123" s="777">
        <v>1</v>
      </c>
      <c r="F123" s="777">
        <v>1</v>
      </c>
      <c r="G123" s="777">
        <v>1</v>
      </c>
      <c r="H123" s="777">
        <v>1</v>
      </c>
      <c r="I123" s="1066">
        <v>1</v>
      </c>
      <c r="J123" s="777">
        <v>1</v>
      </c>
      <c r="K123" s="777">
        <v>1</v>
      </c>
      <c r="L123" s="777">
        <v>1</v>
      </c>
      <c r="M123" s="777">
        <v>1</v>
      </c>
      <c r="N123" s="777">
        <v>1</v>
      </c>
      <c r="O123" s="777">
        <v>1</v>
      </c>
      <c r="P123" s="777">
        <v>1</v>
      </c>
      <c r="Q123" s="1066">
        <v>123</v>
      </c>
      <c r="R123" s="777">
        <v>1</v>
      </c>
      <c r="S123" s="777">
        <v>1</v>
      </c>
      <c r="T123" s="777">
        <v>1</v>
      </c>
      <c r="U123" s="777">
        <v>1</v>
      </c>
      <c r="V123" s="777">
        <v>1</v>
      </c>
      <c r="W123" s="1066">
        <v>123</v>
      </c>
      <c r="X123" s="777">
        <v>1</v>
      </c>
      <c r="Y123" s="777">
        <v>1</v>
      </c>
      <c r="Z123" s="777">
        <v>123</v>
      </c>
      <c r="AA123" s="777">
        <v>1</v>
      </c>
      <c r="AB123" s="777">
        <v>1</v>
      </c>
      <c r="AC123" s="777">
        <v>1</v>
      </c>
      <c r="AD123" s="777">
        <v>1</v>
      </c>
      <c r="AE123" s="777">
        <v>1</v>
      </c>
      <c r="AF123" s="777">
        <v>123</v>
      </c>
      <c r="AG123" s="777">
        <v>1</v>
      </c>
      <c r="AH123" s="777">
        <v>1</v>
      </c>
      <c r="AI123" s="777">
        <v>1</v>
      </c>
      <c r="AJ123" s="777">
        <v>1</v>
      </c>
      <c r="AK123" s="777">
        <v>1</v>
      </c>
      <c r="AL123" s="777">
        <v>1</v>
      </c>
      <c r="AM123" s="777">
        <v>1</v>
      </c>
      <c r="AN123" s="777">
        <v>1</v>
      </c>
      <c r="AO123" s="777">
        <v>1</v>
      </c>
    </row>
    <row r="124" spans="1:41" x14ac:dyDescent="0.25">
      <c r="A124" s="1141">
        <v>123</v>
      </c>
      <c r="B124" s="804">
        <v>124</v>
      </c>
      <c r="C124" s="1066">
        <v>124</v>
      </c>
      <c r="D124" s="1066">
        <v>124</v>
      </c>
      <c r="E124" s="777">
        <v>1</v>
      </c>
      <c r="F124" s="777">
        <v>1</v>
      </c>
      <c r="G124" s="1066">
        <v>124</v>
      </c>
      <c r="H124" s="777">
        <v>1</v>
      </c>
      <c r="I124" s="777">
        <v>1</v>
      </c>
      <c r="J124" s="777">
        <v>1</v>
      </c>
      <c r="K124" s="777">
        <v>1</v>
      </c>
      <c r="L124" s="777">
        <v>1</v>
      </c>
      <c r="M124" s="777">
        <v>1</v>
      </c>
      <c r="N124" s="777">
        <v>124</v>
      </c>
      <c r="O124" s="777">
        <v>1</v>
      </c>
      <c r="P124" s="777">
        <v>1</v>
      </c>
      <c r="Q124" s="777">
        <v>1</v>
      </c>
      <c r="R124" s="777">
        <v>1</v>
      </c>
      <c r="S124" s="777">
        <v>1</v>
      </c>
      <c r="T124" s="777">
        <v>1</v>
      </c>
      <c r="U124" s="1066">
        <v>1</v>
      </c>
      <c r="V124" s="1066">
        <v>1</v>
      </c>
      <c r="W124" s="777">
        <v>1</v>
      </c>
      <c r="X124" s="777">
        <v>1</v>
      </c>
      <c r="Y124" s="777">
        <v>1</v>
      </c>
      <c r="Z124" s="777">
        <v>1</v>
      </c>
      <c r="AA124" s="777">
        <v>1</v>
      </c>
      <c r="AB124" s="777">
        <v>1</v>
      </c>
      <c r="AC124" s="777">
        <v>124</v>
      </c>
      <c r="AD124" s="777">
        <v>1</v>
      </c>
      <c r="AE124" s="777">
        <v>1</v>
      </c>
      <c r="AF124" s="777">
        <v>1</v>
      </c>
      <c r="AG124" s="777">
        <v>1</v>
      </c>
      <c r="AH124" s="777">
        <v>1</v>
      </c>
      <c r="AI124" s="1066">
        <v>124</v>
      </c>
      <c r="AJ124" s="777">
        <v>124</v>
      </c>
      <c r="AK124" s="777">
        <v>124</v>
      </c>
      <c r="AL124" s="777">
        <v>1</v>
      </c>
      <c r="AM124" s="777">
        <v>124</v>
      </c>
      <c r="AN124" s="777">
        <v>1</v>
      </c>
      <c r="AO124" s="777">
        <v>1</v>
      </c>
    </row>
    <row r="125" spans="1:41" x14ac:dyDescent="0.25">
      <c r="A125" s="1141">
        <v>124</v>
      </c>
      <c r="B125" s="804">
        <v>125</v>
      </c>
      <c r="C125" s="1066">
        <v>125</v>
      </c>
      <c r="D125" s="777">
        <v>125</v>
      </c>
      <c r="E125" s="777">
        <v>1</v>
      </c>
      <c r="F125" s="777">
        <v>1</v>
      </c>
      <c r="G125" s="777">
        <v>1</v>
      </c>
      <c r="H125" s="777">
        <v>1</v>
      </c>
      <c r="I125" s="777">
        <v>1</v>
      </c>
      <c r="J125" s="777">
        <v>1</v>
      </c>
      <c r="K125" s="777">
        <v>1</v>
      </c>
      <c r="L125" s="777">
        <v>1</v>
      </c>
      <c r="M125" s="777">
        <v>1</v>
      </c>
      <c r="N125" s="777">
        <v>1</v>
      </c>
      <c r="O125" s="777">
        <v>1</v>
      </c>
      <c r="P125" s="777">
        <v>1</v>
      </c>
      <c r="Q125" s="777">
        <v>1</v>
      </c>
      <c r="R125" s="777">
        <v>1</v>
      </c>
      <c r="S125" s="777">
        <v>1</v>
      </c>
      <c r="T125" s="777">
        <v>1</v>
      </c>
      <c r="U125" s="1066">
        <v>1</v>
      </c>
      <c r="V125" s="777">
        <v>1</v>
      </c>
      <c r="W125" s="777">
        <v>125</v>
      </c>
      <c r="X125" s="777">
        <v>1</v>
      </c>
      <c r="Y125" s="777">
        <v>1</v>
      </c>
      <c r="Z125" s="1066">
        <v>1</v>
      </c>
      <c r="AA125" s="777">
        <v>1</v>
      </c>
      <c r="AB125" s="777">
        <v>1</v>
      </c>
      <c r="AC125" s="777">
        <v>1</v>
      </c>
      <c r="AD125" s="777">
        <v>125</v>
      </c>
      <c r="AE125" s="777">
        <v>1</v>
      </c>
      <c r="AF125" s="777">
        <v>1</v>
      </c>
      <c r="AG125" s="777">
        <v>1</v>
      </c>
      <c r="AH125" s="1066">
        <v>125</v>
      </c>
      <c r="AI125" s="777">
        <v>125</v>
      </c>
      <c r="AJ125" s="777">
        <v>1</v>
      </c>
      <c r="AK125" s="777">
        <v>1</v>
      </c>
      <c r="AL125" s="777">
        <v>1</v>
      </c>
      <c r="AM125" s="777">
        <v>1</v>
      </c>
      <c r="AN125" s="777">
        <v>1</v>
      </c>
      <c r="AO125" s="777">
        <v>1</v>
      </c>
    </row>
    <row r="126" spans="1:41" x14ac:dyDescent="0.25">
      <c r="A126" s="1141">
        <v>125</v>
      </c>
      <c r="B126" s="804">
        <v>126</v>
      </c>
      <c r="C126" s="1066">
        <v>126</v>
      </c>
      <c r="D126" s="777">
        <v>1</v>
      </c>
      <c r="E126" s="777">
        <v>126</v>
      </c>
      <c r="F126" s="777">
        <v>1</v>
      </c>
      <c r="G126" s="777">
        <v>126</v>
      </c>
      <c r="H126" s="777">
        <v>1</v>
      </c>
      <c r="I126" s="777">
        <v>1</v>
      </c>
      <c r="J126" s="777">
        <v>1</v>
      </c>
      <c r="K126" s="777">
        <v>1</v>
      </c>
      <c r="L126" s="777">
        <v>1</v>
      </c>
      <c r="M126" s="777">
        <v>1</v>
      </c>
      <c r="N126" s="777">
        <v>126</v>
      </c>
      <c r="O126" s="777">
        <v>1</v>
      </c>
      <c r="P126" s="1066">
        <v>126</v>
      </c>
      <c r="Q126" s="777">
        <v>1</v>
      </c>
      <c r="R126" s="777">
        <v>1</v>
      </c>
      <c r="S126" s="777">
        <v>1</v>
      </c>
      <c r="T126" s="777">
        <v>1</v>
      </c>
      <c r="U126" s="1066">
        <v>126</v>
      </c>
      <c r="V126" s="777">
        <v>1</v>
      </c>
      <c r="W126" s="777">
        <v>126</v>
      </c>
      <c r="X126" s="777">
        <v>1</v>
      </c>
      <c r="Y126" s="777">
        <v>1</v>
      </c>
      <c r="Z126" s="777">
        <v>1</v>
      </c>
      <c r="AA126" s="777">
        <v>1</v>
      </c>
      <c r="AB126" s="777">
        <v>1</v>
      </c>
      <c r="AC126" s="777">
        <v>1</v>
      </c>
      <c r="AD126" s="777">
        <v>126</v>
      </c>
      <c r="AE126" s="777">
        <v>1</v>
      </c>
      <c r="AF126" s="777">
        <v>1</v>
      </c>
      <c r="AG126" s="777">
        <v>1</v>
      </c>
      <c r="AH126" s="1066">
        <v>126</v>
      </c>
      <c r="AI126" s="777">
        <v>126</v>
      </c>
      <c r="AJ126" s="777">
        <v>1</v>
      </c>
      <c r="AK126" s="777">
        <v>1</v>
      </c>
      <c r="AL126" s="777">
        <v>1</v>
      </c>
      <c r="AM126" s="777">
        <v>126</v>
      </c>
      <c r="AN126" s="777">
        <v>1</v>
      </c>
      <c r="AO126" s="777">
        <v>1</v>
      </c>
    </row>
    <row r="127" spans="1:41" x14ac:dyDescent="0.25">
      <c r="A127" s="1141">
        <v>126</v>
      </c>
      <c r="B127" s="804">
        <v>127</v>
      </c>
      <c r="C127" s="777">
        <v>1</v>
      </c>
      <c r="D127" s="1066">
        <v>127</v>
      </c>
      <c r="E127" s="1066">
        <v>1</v>
      </c>
      <c r="F127" s="777">
        <v>1</v>
      </c>
      <c r="G127" s="777">
        <v>1</v>
      </c>
      <c r="H127" s="777">
        <v>1</v>
      </c>
      <c r="I127" s="777">
        <v>1</v>
      </c>
      <c r="J127" s="777">
        <v>1</v>
      </c>
      <c r="K127" s="777">
        <v>1</v>
      </c>
      <c r="L127" s="777">
        <v>1</v>
      </c>
      <c r="M127" s="777">
        <v>1</v>
      </c>
      <c r="N127" s="777">
        <v>1</v>
      </c>
      <c r="O127" s="777">
        <v>1</v>
      </c>
      <c r="P127" s="777">
        <v>1</v>
      </c>
      <c r="Q127" s="1066">
        <v>1</v>
      </c>
      <c r="R127" s="777">
        <v>1</v>
      </c>
      <c r="S127" s="777">
        <v>1</v>
      </c>
      <c r="T127" s="777">
        <v>127</v>
      </c>
      <c r="U127" s="1066">
        <v>1</v>
      </c>
      <c r="V127" s="777">
        <v>1</v>
      </c>
      <c r="W127" s="777">
        <v>127</v>
      </c>
      <c r="X127" s="777">
        <v>127</v>
      </c>
      <c r="Y127" s="777">
        <v>1</v>
      </c>
      <c r="Z127" s="777">
        <v>1</v>
      </c>
      <c r="AA127" s="777">
        <v>1</v>
      </c>
      <c r="AB127" s="777">
        <v>1</v>
      </c>
      <c r="AC127" s="777">
        <v>1</v>
      </c>
      <c r="AD127" s="777">
        <v>1</v>
      </c>
      <c r="AE127" s="777">
        <v>127</v>
      </c>
      <c r="AF127" s="777">
        <v>1</v>
      </c>
      <c r="AG127" s="777">
        <v>1</v>
      </c>
      <c r="AH127" s="777">
        <v>1</v>
      </c>
      <c r="AI127" s="777">
        <v>1</v>
      </c>
      <c r="AJ127" s="777">
        <v>1</v>
      </c>
      <c r="AK127" s="777">
        <v>1</v>
      </c>
      <c r="AL127" s="777">
        <v>1</v>
      </c>
      <c r="AM127" s="777">
        <v>1</v>
      </c>
      <c r="AN127" s="777">
        <v>1</v>
      </c>
      <c r="AO127" s="777">
        <v>1</v>
      </c>
    </row>
    <row r="128" spans="1:41" x14ac:dyDescent="0.25">
      <c r="A128" s="1141">
        <v>127</v>
      </c>
      <c r="B128" s="804">
        <v>128</v>
      </c>
      <c r="C128" s="777">
        <v>128</v>
      </c>
      <c r="D128" s="1066">
        <v>1</v>
      </c>
      <c r="E128" s="777">
        <v>1</v>
      </c>
      <c r="F128" s="777">
        <v>1</v>
      </c>
      <c r="G128" s="777">
        <v>1</v>
      </c>
      <c r="H128" s="777">
        <v>1</v>
      </c>
      <c r="I128" s="777">
        <v>1</v>
      </c>
      <c r="J128" s="777">
        <v>1</v>
      </c>
      <c r="K128" s="777">
        <v>1</v>
      </c>
      <c r="L128" s="777">
        <v>1</v>
      </c>
      <c r="M128" s="777">
        <v>1</v>
      </c>
      <c r="N128" s="777">
        <v>1</v>
      </c>
      <c r="O128" s="777">
        <v>1</v>
      </c>
      <c r="P128" s="777">
        <v>1</v>
      </c>
      <c r="Q128" s="777">
        <v>1</v>
      </c>
      <c r="R128" s="777">
        <v>1</v>
      </c>
      <c r="S128" s="777">
        <v>1</v>
      </c>
      <c r="T128" s="777">
        <v>1</v>
      </c>
      <c r="U128" s="777">
        <v>1</v>
      </c>
      <c r="V128" s="777">
        <v>1</v>
      </c>
      <c r="W128" s="1066">
        <v>128</v>
      </c>
      <c r="X128" s="777">
        <v>1</v>
      </c>
      <c r="Y128" s="1066">
        <v>128</v>
      </c>
      <c r="Z128" s="777">
        <v>128</v>
      </c>
      <c r="AA128" s="777">
        <v>128</v>
      </c>
      <c r="AB128" s="777">
        <v>1</v>
      </c>
      <c r="AC128" s="777">
        <v>1</v>
      </c>
      <c r="AD128" s="777">
        <v>1</v>
      </c>
      <c r="AE128" s="777">
        <v>1</v>
      </c>
      <c r="AF128" s="777">
        <v>1</v>
      </c>
      <c r="AG128" s="777">
        <v>1</v>
      </c>
      <c r="AH128" s="777">
        <v>1</v>
      </c>
      <c r="AI128" s="777">
        <v>1</v>
      </c>
      <c r="AJ128" s="777">
        <v>1</v>
      </c>
      <c r="AK128" s="777">
        <v>1</v>
      </c>
      <c r="AL128" s="777">
        <v>1</v>
      </c>
      <c r="AM128" s="777">
        <v>1</v>
      </c>
      <c r="AN128" s="777">
        <v>1</v>
      </c>
      <c r="AO128" s="777">
        <v>1</v>
      </c>
    </row>
    <row r="129" spans="1:41" x14ac:dyDescent="0.25">
      <c r="A129" s="1141">
        <v>128</v>
      </c>
      <c r="B129" s="804">
        <v>129</v>
      </c>
      <c r="C129" s="1066">
        <v>129</v>
      </c>
      <c r="D129" s="777">
        <v>1</v>
      </c>
      <c r="E129" s="777">
        <v>1</v>
      </c>
      <c r="F129" s="777">
        <v>1</v>
      </c>
      <c r="G129" s="1066">
        <v>129</v>
      </c>
      <c r="H129" s="777">
        <v>1</v>
      </c>
      <c r="I129" s="777">
        <v>1</v>
      </c>
      <c r="J129" s="777">
        <v>1</v>
      </c>
      <c r="K129" s="777">
        <v>1</v>
      </c>
      <c r="L129" s="777">
        <v>1</v>
      </c>
      <c r="M129" s="777">
        <v>1</v>
      </c>
      <c r="N129" s="777">
        <v>1</v>
      </c>
      <c r="O129" s="777">
        <v>1</v>
      </c>
      <c r="P129" s="777">
        <v>1</v>
      </c>
      <c r="Q129" s="777">
        <v>1</v>
      </c>
      <c r="R129" s="777">
        <v>1</v>
      </c>
      <c r="S129" s="777">
        <v>1</v>
      </c>
      <c r="T129" s="777">
        <v>1</v>
      </c>
      <c r="U129" s="777">
        <v>1</v>
      </c>
      <c r="V129" s="777">
        <v>1</v>
      </c>
      <c r="W129" s="777">
        <v>1</v>
      </c>
      <c r="X129" s="777">
        <v>1</v>
      </c>
      <c r="Y129" s="1066">
        <v>129</v>
      </c>
      <c r="Z129" s="777">
        <v>1</v>
      </c>
      <c r="AA129" s="777">
        <v>1</v>
      </c>
      <c r="AB129" s="777">
        <v>1</v>
      </c>
      <c r="AC129" s="777">
        <v>1</v>
      </c>
      <c r="AD129" s="777">
        <v>1</v>
      </c>
      <c r="AE129" s="777">
        <v>1</v>
      </c>
      <c r="AF129" s="777">
        <v>1</v>
      </c>
      <c r="AG129" s="777">
        <v>1</v>
      </c>
      <c r="AH129" s="777">
        <v>1</v>
      </c>
      <c r="AI129" s="777">
        <v>129</v>
      </c>
      <c r="AJ129" s="777">
        <v>1</v>
      </c>
      <c r="AK129" s="777">
        <v>1</v>
      </c>
      <c r="AL129" s="777">
        <v>1</v>
      </c>
      <c r="AM129" s="777">
        <v>1</v>
      </c>
      <c r="AN129" s="777">
        <v>1</v>
      </c>
      <c r="AO129" s="777">
        <v>1</v>
      </c>
    </row>
    <row r="130" spans="1:41" x14ac:dyDescent="0.25">
      <c r="A130" s="1141">
        <v>129</v>
      </c>
      <c r="B130" s="804">
        <v>130</v>
      </c>
      <c r="C130" s="1066">
        <v>130</v>
      </c>
      <c r="D130" s="777">
        <v>1</v>
      </c>
      <c r="E130" s="1066">
        <v>130</v>
      </c>
      <c r="F130" s="777">
        <v>1</v>
      </c>
      <c r="G130" s="777">
        <v>1</v>
      </c>
      <c r="H130" s="777">
        <v>1</v>
      </c>
      <c r="I130" s="777">
        <v>1</v>
      </c>
      <c r="J130" s="777">
        <v>1</v>
      </c>
      <c r="K130" s="777">
        <v>1</v>
      </c>
      <c r="L130" s="777">
        <v>1</v>
      </c>
      <c r="M130" s="777">
        <v>1</v>
      </c>
      <c r="N130" s="777">
        <v>1</v>
      </c>
      <c r="O130" s="777">
        <v>1</v>
      </c>
      <c r="P130" s="777">
        <v>1</v>
      </c>
      <c r="Q130" s="777">
        <v>1</v>
      </c>
      <c r="R130" s="777">
        <v>1</v>
      </c>
      <c r="S130" s="777">
        <v>1</v>
      </c>
      <c r="T130" s="777">
        <v>1</v>
      </c>
      <c r="U130" s="777">
        <v>1</v>
      </c>
      <c r="V130" s="777">
        <v>1</v>
      </c>
      <c r="W130" s="777">
        <v>1</v>
      </c>
      <c r="X130" s="777">
        <v>1</v>
      </c>
      <c r="Y130" s="1066">
        <v>130</v>
      </c>
      <c r="Z130" s="777">
        <v>1</v>
      </c>
      <c r="AA130" s="777">
        <v>1</v>
      </c>
      <c r="AB130" s="777">
        <v>1</v>
      </c>
      <c r="AC130" s="777">
        <v>1</v>
      </c>
      <c r="AD130" s="777">
        <v>1</v>
      </c>
      <c r="AE130" s="777">
        <v>1</v>
      </c>
      <c r="AF130" s="777">
        <v>1</v>
      </c>
      <c r="AG130" s="777">
        <v>1</v>
      </c>
      <c r="AH130" s="777">
        <v>1</v>
      </c>
      <c r="AI130" s="777">
        <v>1</v>
      </c>
      <c r="AJ130" s="777">
        <v>1</v>
      </c>
      <c r="AK130" s="777">
        <v>1</v>
      </c>
      <c r="AL130" s="777">
        <v>1</v>
      </c>
      <c r="AM130" s="777">
        <v>1</v>
      </c>
      <c r="AN130" s="777">
        <v>1</v>
      </c>
      <c r="AO130" s="777">
        <v>1</v>
      </c>
    </row>
    <row r="131" spans="1:41" x14ac:dyDescent="0.25">
      <c r="A131" s="1141">
        <v>130</v>
      </c>
      <c r="B131" s="804">
        <v>131</v>
      </c>
      <c r="C131" s="777">
        <v>1</v>
      </c>
      <c r="D131" s="777">
        <v>1</v>
      </c>
      <c r="E131" s="777">
        <v>1</v>
      </c>
      <c r="F131" s="777">
        <v>1</v>
      </c>
      <c r="G131" s="777">
        <v>1</v>
      </c>
      <c r="H131" s="777">
        <v>1</v>
      </c>
      <c r="I131" s="777">
        <v>1</v>
      </c>
      <c r="J131" s="777">
        <v>1</v>
      </c>
      <c r="K131" s="777">
        <v>1</v>
      </c>
      <c r="L131" s="777">
        <v>1</v>
      </c>
      <c r="M131" s="777">
        <v>1</v>
      </c>
      <c r="N131" s="777">
        <v>131</v>
      </c>
      <c r="O131" s="777">
        <v>1</v>
      </c>
      <c r="P131" s="777">
        <v>1</v>
      </c>
      <c r="Q131" s="777">
        <v>1</v>
      </c>
      <c r="R131" s="777">
        <v>1</v>
      </c>
      <c r="S131" s="777">
        <v>1</v>
      </c>
      <c r="T131" s="777">
        <v>1</v>
      </c>
      <c r="U131" s="777">
        <v>1</v>
      </c>
      <c r="V131" s="777">
        <v>1</v>
      </c>
      <c r="W131" s="1066">
        <v>131</v>
      </c>
      <c r="X131" s="777">
        <v>1</v>
      </c>
      <c r="Y131" s="777">
        <v>1</v>
      </c>
      <c r="Z131" s="1066">
        <v>131</v>
      </c>
      <c r="AA131" s="777">
        <v>1</v>
      </c>
      <c r="AB131" s="777">
        <v>1</v>
      </c>
      <c r="AC131" s="777">
        <v>1</v>
      </c>
      <c r="AD131" s="777">
        <v>1</v>
      </c>
      <c r="AE131" s="777">
        <v>1</v>
      </c>
      <c r="AF131" s="1066">
        <v>131</v>
      </c>
      <c r="AG131" s="777">
        <v>1</v>
      </c>
      <c r="AH131" s="1066">
        <v>131</v>
      </c>
      <c r="AI131" s="777">
        <v>1</v>
      </c>
      <c r="AJ131" s="777">
        <v>1</v>
      </c>
      <c r="AK131" s="777">
        <v>1</v>
      </c>
      <c r="AL131" s="777">
        <v>1</v>
      </c>
      <c r="AM131" s="1066">
        <v>131</v>
      </c>
      <c r="AN131" s="777">
        <v>1</v>
      </c>
      <c r="AO131" s="777">
        <v>1</v>
      </c>
    </row>
    <row r="132" spans="1:41" x14ac:dyDescent="0.25">
      <c r="A132" s="1141">
        <v>131</v>
      </c>
      <c r="B132" s="804">
        <v>132</v>
      </c>
      <c r="C132" s="777">
        <v>1</v>
      </c>
      <c r="D132" s="777">
        <v>1</v>
      </c>
      <c r="E132" s="1066">
        <v>132</v>
      </c>
      <c r="F132" s="777">
        <v>1</v>
      </c>
      <c r="G132" s="777">
        <v>1</v>
      </c>
      <c r="H132" s="777">
        <v>1</v>
      </c>
      <c r="I132" s="777">
        <v>1</v>
      </c>
      <c r="J132" s="777">
        <v>1</v>
      </c>
      <c r="K132" s="777">
        <v>1</v>
      </c>
      <c r="L132" s="777">
        <v>1</v>
      </c>
      <c r="M132" s="777">
        <v>1</v>
      </c>
      <c r="N132" s="777">
        <v>1</v>
      </c>
      <c r="O132" s="777">
        <v>1</v>
      </c>
      <c r="P132" s="777">
        <v>1</v>
      </c>
      <c r="Q132" s="777">
        <v>1</v>
      </c>
      <c r="R132" s="777">
        <v>1</v>
      </c>
      <c r="S132" s="777">
        <v>1</v>
      </c>
      <c r="T132" s="777">
        <v>1</v>
      </c>
      <c r="U132" s="777">
        <v>1</v>
      </c>
      <c r="V132" s="777">
        <v>1</v>
      </c>
      <c r="W132" s="1066">
        <v>132</v>
      </c>
      <c r="X132" s="1066">
        <v>132</v>
      </c>
      <c r="Y132" s="777">
        <v>1</v>
      </c>
      <c r="Z132" s="1066">
        <v>132</v>
      </c>
      <c r="AA132" s="777">
        <v>1</v>
      </c>
      <c r="AB132" s="777">
        <v>1</v>
      </c>
      <c r="AC132" s="777">
        <v>1</v>
      </c>
      <c r="AD132" s="777">
        <v>1</v>
      </c>
      <c r="AE132" s="1066">
        <v>132</v>
      </c>
      <c r="AF132" s="1066">
        <v>132</v>
      </c>
      <c r="AG132" s="1066">
        <v>132</v>
      </c>
      <c r="AH132" s="777">
        <v>1</v>
      </c>
      <c r="AI132" s="777">
        <v>132</v>
      </c>
      <c r="AJ132" s="777">
        <v>1</v>
      </c>
      <c r="AK132" s="777">
        <v>1</v>
      </c>
      <c r="AL132" s="777">
        <v>1</v>
      </c>
      <c r="AM132" s="1066">
        <v>132</v>
      </c>
      <c r="AN132" s="777">
        <v>1</v>
      </c>
      <c r="AO132" s="777">
        <v>1</v>
      </c>
    </row>
    <row r="133" spans="1:41" x14ac:dyDescent="0.25">
      <c r="A133" s="1141">
        <v>132</v>
      </c>
      <c r="B133" s="804">
        <v>133</v>
      </c>
      <c r="C133" s="1066">
        <v>133</v>
      </c>
      <c r="D133" s="777">
        <v>1</v>
      </c>
      <c r="E133" s="777">
        <v>1</v>
      </c>
      <c r="F133" s="777">
        <v>1</v>
      </c>
      <c r="G133" s="777">
        <v>1</v>
      </c>
      <c r="H133" s="777">
        <v>1</v>
      </c>
      <c r="I133" s="777">
        <v>1</v>
      </c>
      <c r="J133" s="777">
        <v>1</v>
      </c>
      <c r="K133" s="777">
        <v>1</v>
      </c>
      <c r="L133" s="777">
        <v>1</v>
      </c>
      <c r="M133" s="777">
        <v>1</v>
      </c>
      <c r="N133" s="777">
        <v>1</v>
      </c>
      <c r="O133" s="777">
        <v>1</v>
      </c>
      <c r="P133" s="777">
        <v>1</v>
      </c>
      <c r="Q133" s="777">
        <v>1</v>
      </c>
      <c r="R133" s="777">
        <v>1</v>
      </c>
      <c r="S133" s="777">
        <v>1</v>
      </c>
      <c r="T133" s="777">
        <v>1</v>
      </c>
      <c r="U133" s="777">
        <v>1</v>
      </c>
      <c r="V133" s="777">
        <v>1</v>
      </c>
      <c r="W133" s="777">
        <v>1</v>
      </c>
      <c r="X133" s="777">
        <v>1</v>
      </c>
      <c r="Y133" s="777">
        <v>1</v>
      </c>
      <c r="Z133" s="777">
        <v>1</v>
      </c>
      <c r="AA133" s="1066">
        <v>133</v>
      </c>
      <c r="AB133" s="777">
        <v>1</v>
      </c>
      <c r="AC133" s="777">
        <v>1</v>
      </c>
      <c r="AD133" s="777">
        <v>1</v>
      </c>
      <c r="AE133" s="1066">
        <v>133</v>
      </c>
      <c r="AF133" s="777">
        <v>1</v>
      </c>
      <c r="AG133" s="777">
        <v>1</v>
      </c>
      <c r="AH133" s="777">
        <v>1</v>
      </c>
      <c r="AI133" s="777">
        <v>1</v>
      </c>
      <c r="AJ133" s="777">
        <v>1</v>
      </c>
      <c r="AK133" s="777">
        <v>1</v>
      </c>
      <c r="AL133" s="777">
        <v>1</v>
      </c>
      <c r="AM133" s="777">
        <v>1</v>
      </c>
      <c r="AN133" s="777">
        <v>1</v>
      </c>
      <c r="AO133" s="777">
        <v>1</v>
      </c>
    </row>
    <row r="134" spans="1:41" x14ac:dyDescent="0.25">
      <c r="A134" s="1141">
        <v>133</v>
      </c>
      <c r="B134" s="804">
        <v>134</v>
      </c>
      <c r="C134" s="777">
        <v>1</v>
      </c>
      <c r="D134" s="777">
        <v>1</v>
      </c>
      <c r="E134" s="777">
        <v>1</v>
      </c>
      <c r="F134" s="777">
        <v>1</v>
      </c>
      <c r="G134" s="777">
        <v>1</v>
      </c>
      <c r="H134" s="777">
        <v>1</v>
      </c>
      <c r="I134" s="777">
        <v>1</v>
      </c>
      <c r="J134" s="777">
        <v>1</v>
      </c>
      <c r="K134" s="777">
        <v>1</v>
      </c>
      <c r="L134" s="777">
        <v>1</v>
      </c>
      <c r="M134" s="777">
        <v>1</v>
      </c>
      <c r="N134" s="777">
        <v>1</v>
      </c>
      <c r="O134" s="777">
        <v>1</v>
      </c>
      <c r="P134" s="777">
        <v>1</v>
      </c>
      <c r="Q134" s="777">
        <v>1</v>
      </c>
      <c r="R134" s="777">
        <v>1</v>
      </c>
      <c r="S134" s="777">
        <v>1</v>
      </c>
      <c r="T134" s="777">
        <v>1</v>
      </c>
      <c r="U134" s="777">
        <v>1</v>
      </c>
      <c r="V134" s="777">
        <v>1</v>
      </c>
      <c r="W134" s="1066">
        <v>134</v>
      </c>
      <c r="X134" s="777">
        <v>1</v>
      </c>
      <c r="Y134" s="777">
        <v>1</v>
      </c>
      <c r="Z134" s="777">
        <v>1</v>
      </c>
      <c r="AA134" s="1066">
        <v>134</v>
      </c>
      <c r="AB134" s="777">
        <v>1</v>
      </c>
      <c r="AC134" s="777">
        <v>1</v>
      </c>
      <c r="AD134" s="777">
        <v>1</v>
      </c>
      <c r="AE134" s="1066">
        <v>134</v>
      </c>
      <c r="AF134" s="1066">
        <v>1</v>
      </c>
      <c r="AG134" s="1066">
        <v>134</v>
      </c>
      <c r="AH134" s="777">
        <v>1</v>
      </c>
      <c r="AI134" s="777">
        <v>1</v>
      </c>
      <c r="AJ134" s="777">
        <v>1</v>
      </c>
      <c r="AK134" s="777">
        <v>1</v>
      </c>
      <c r="AL134" s="777">
        <v>1</v>
      </c>
      <c r="AM134" s="1066">
        <v>134</v>
      </c>
      <c r="AN134" s="777">
        <v>134</v>
      </c>
      <c r="AO134" s="777">
        <v>1</v>
      </c>
    </row>
    <row r="135" spans="1:41" x14ac:dyDescent="0.25">
      <c r="A135" s="1141">
        <v>134</v>
      </c>
      <c r="B135" s="804">
        <v>135</v>
      </c>
      <c r="C135" s="1066">
        <v>135</v>
      </c>
      <c r="D135" s="777">
        <v>1</v>
      </c>
      <c r="E135" s="777">
        <v>135</v>
      </c>
      <c r="F135" s="777">
        <v>1</v>
      </c>
      <c r="G135" s="777">
        <v>1</v>
      </c>
      <c r="H135" s="777">
        <v>1</v>
      </c>
      <c r="I135" s="777">
        <v>1</v>
      </c>
      <c r="J135" s="777">
        <v>1</v>
      </c>
      <c r="K135" s="777">
        <v>1</v>
      </c>
      <c r="L135" s="777">
        <v>1</v>
      </c>
      <c r="M135" s="777">
        <v>135</v>
      </c>
      <c r="N135" s="777">
        <v>1</v>
      </c>
      <c r="O135" s="777">
        <v>1</v>
      </c>
      <c r="P135" s="777">
        <v>1</v>
      </c>
      <c r="Q135" s="777">
        <v>1</v>
      </c>
      <c r="R135" s="777">
        <v>1</v>
      </c>
      <c r="S135" s="777">
        <v>1</v>
      </c>
      <c r="T135" s="777">
        <v>1</v>
      </c>
      <c r="U135" s="777">
        <v>1</v>
      </c>
      <c r="V135" s="777">
        <v>1</v>
      </c>
      <c r="W135" s="1066">
        <v>135</v>
      </c>
      <c r="X135" s="777">
        <v>135</v>
      </c>
      <c r="Y135" s="777">
        <v>1</v>
      </c>
      <c r="Z135" s="777">
        <v>1</v>
      </c>
      <c r="AA135" s="777">
        <v>1</v>
      </c>
      <c r="AB135" s="777">
        <v>1</v>
      </c>
      <c r="AC135" s="777">
        <v>1</v>
      </c>
      <c r="AD135" s="1066">
        <v>135</v>
      </c>
      <c r="AE135" s="1066">
        <v>135</v>
      </c>
      <c r="AF135" s="1066">
        <v>135</v>
      </c>
      <c r="AG135" s="777">
        <v>1</v>
      </c>
      <c r="AH135" s="777">
        <v>1</v>
      </c>
      <c r="AI135" s="777">
        <v>135</v>
      </c>
      <c r="AJ135" s="777">
        <v>1</v>
      </c>
      <c r="AK135" s="777">
        <v>1</v>
      </c>
      <c r="AL135" s="777">
        <v>1</v>
      </c>
      <c r="AM135" s="1066">
        <v>1</v>
      </c>
      <c r="AN135" s="777">
        <v>1</v>
      </c>
      <c r="AO135" s="777">
        <v>1</v>
      </c>
    </row>
    <row r="136" spans="1:41" x14ac:dyDescent="0.25">
      <c r="A136" s="1141">
        <v>135</v>
      </c>
      <c r="B136" s="804">
        <v>136</v>
      </c>
      <c r="C136" s="777">
        <v>1</v>
      </c>
      <c r="D136" s="777">
        <v>1</v>
      </c>
      <c r="E136" s="777">
        <v>1</v>
      </c>
      <c r="F136" s="777">
        <v>1</v>
      </c>
      <c r="G136" s="777">
        <v>1</v>
      </c>
      <c r="H136" s="777">
        <v>1</v>
      </c>
      <c r="I136" s="777">
        <v>1</v>
      </c>
      <c r="J136" s="777">
        <v>1</v>
      </c>
      <c r="K136" s="777">
        <v>1</v>
      </c>
      <c r="L136" s="777">
        <v>1</v>
      </c>
      <c r="M136" s="777">
        <v>1</v>
      </c>
      <c r="N136" s="777">
        <v>1</v>
      </c>
      <c r="O136" s="777">
        <v>1</v>
      </c>
      <c r="P136" s="777">
        <v>1</v>
      </c>
      <c r="Q136" s="777">
        <v>1</v>
      </c>
      <c r="R136" s="777">
        <v>1</v>
      </c>
      <c r="S136" s="777">
        <v>1</v>
      </c>
      <c r="T136" s="777">
        <v>1</v>
      </c>
      <c r="U136" s="777">
        <v>1</v>
      </c>
      <c r="V136" s="777">
        <v>1</v>
      </c>
      <c r="W136" s="1066">
        <v>136</v>
      </c>
      <c r="X136" s="777">
        <v>1</v>
      </c>
      <c r="Y136" s="777">
        <v>1</v>
      </c>
      <c r="Z136" s="777">
        <v>1</v>
      </c>
      <c r="AA136" s="1066">
        <v>136</v>
      </c>
      <c r="AB136" s="777">
        <v>1</v>
      </c>
      <c r="AC136" s="777">
        <v>1</v>
      </c>
      <c r="AD136" s="1066">
        <v>136</v>
      </c>
      <c r="AE136" s="777">
        <v>1</v>
      </c>
      <c r="AF136" s="1066">
        <v>136</v>
      </c>
      <c r="AG136" s="777">
        <v>1</v>
      </c>
      <c r="AH136" s="1066">
        <v>136</v>
      </c>
      <c r="AI136" s="777">
        <v>1</v>
      </c>
      <c r="AJ136" s="777">
        <v>1</v>
      </c>
      <c r="AK136" s="777">
        <v>1</v>
      </c>
      <c r="AL136" s="777">
        <v>1</v>
      </c>
      <c r="AM136" s="777">
        <v>1</v>
      </c>
      <c r="AN136" s="777">
        <v>1</v>
      </c>
      <c r="AO136" s="777">
        <v>1</v>
      </c>
    </row>
    <row r="137" spans="1:41" x14ac:dyDescent="0.25">
      <c r="A137" s="1141">
        <v>136</v>
      </c>
      <c r="B137" s="804">
        <v>137</v>
      </c>
      <c r="C137" s="777">
        <v>1</v>
      </c>
      <c r="D137" s="777">
        <v>1</v>
      </c>
      <c r="E137" s="777">
        <v>1</v>
      </c>
      <c r="F137" s="777">
        <v>1</v>
      </c>
      <c r="G137" s="777">
        <v>1</v>
      </c>
      <c r="H137" s="777">
        <v>1</v>
      </c>
      <c r="I137" s="777">
        <v>1</v>
      </c>
      <c r="J137" s="777">
        <v>1</v>
      </c>
      <c r="K137" s="777">
        <v>1</v>
      </c>
      <c r="L137" s="777">
        <v>1</v>
      </c>
      <c r="M137" s="777">
        <v>1</v>
      </c>
      <c r="N137" s="777">
        <v>1</v>
      </c>
      <c r="O137" s="1066">
        <v>137</v>
      </c>
      <c r="P137" s="777">
        <v>1</v>
      </c>
      <c r="Q137" s="777">
        <v>1</v>
      </c>
      <c r="R137" s="777">
        <v>1</v>
      </c>
      <c r="S137" s="777">
        <v>1</v>
      </c>
      <c r="T137" s="777">
        <v>1</v>
      </c>
      <c r="U137" s="777">
        <v>1</v>
      </c>
      <c r="V137" s="777">
        <v>1</v>
      </c>
      <c r="W137" s="1066">
        <v>137</v>
      </c>
      <c r="X137" s="777">
        <v>1</v>
      </c>
      <c r="Y137" s="777">
        <v>1</v>
      </c>
      <c r="Z137" s="777">
        <v>1</v>
      </c>
      <c r="AA137" s="777">
        <v>1</v>
      </c>
      <c r="AB137" s="777">
        <v>1</v>
      </c>
      <c r="AC137" s="777">
        <v>137</v>
      </c>
      <c r="AD137" s="777">
        <v>1</v>
      </c>
      <c r="AE137" s="777">
        <v>1</v>
      </c>
      <c r="AF137" s="777">
        <v>1</v>
      </c>
      <c r="AG137" s="777">
        <v>1</v>
      </c>
      <c r="AH137" s="777">
        <v>1</v>
      </c>
      <c r="AI137" s="1066">
        <v>137</v>
      </c>
      <c r="AJ137" s="777">
        <v>1</v>
      </c>
      <c r="AK137" s="777">
        <v>1</v>
      </c>
      <c r="AL137" s="777">
        <v>1</v>
      </c>
      <c r="AM137" s="777">
        <v>1</v>
      </c>
      <c r="AN137" s="777">
        <v>1</v>
      </c>
      <c r="AO137" s="777">
        <v>1</v>
      </c>
    </row>
    <row r="138" spans="1:41" x14ac:dyDescent="0.25">
      <c r="A138" s="1141">
        <v>137</v>
      </c>
      <c r="B138" s="804">
        <v>138</v>
      </c>
      <c r="C138" s="1066">
        <v>138</v>
      </c>
      <c r="D138" s="777">
        <v>1</v>
      </c>
      <c r="E138" s="777">
        <v>1</v>
      </c>
      <c r="F138" s="777">
        <v>1</v>
      </c>
      <c r="G138" s="777">
        <v>1</v>
      </c>
      <c r="H138" s="777">
        <v>1</v>
      </c>
      <c r="I138" s="1066">
        <v>138</v>
      </c>
      <c r="J138" s="777">
        <v>1</v>
      </c>
      <c r="K138" s="777">
        <v>1</v>
      </c>
      <c r="L138" s="777">
        <v>1</v>
      </c>
      <c r="M138" s="777">
        <v>1</v>
      </c>
      <c r="N138" s="777">
        <v>1</v>
      </c>
      <c r="O138" s="777">
        <v>1</v>
      </c>
      <c r="P138" s="777">
        <v>1</v>
      </c>
      <c r="Q138" s="777">
        <v>1</v>
      </c>
      <c r="R138" s="777">
        <v>1</v>
      </c>
      <c r="S138" s="777">
        <v>1</v>
      </c>
      <c r="T138" s="777">
        <v>1</v>
      </c>
      <c r="U138" s="777">
        <v>1</v>
      </c>
      <c r="V138" s="777">
        <v>1</v>
      </c>
      <c r="W138" s="1066">
        <v>138</v>
      </c>
      <c r="X138" s="777">
        <v>1</v>
      </c>
      <c r="Y138" s="777">
        <v>1</v>
      </c>
      <c r="Z138" s="777">
        <v>1</v>
      </c>
      <c r="AA138" s="777">
        <v>1</v>
      </c>
      <c r="AB138" s="777">
        <v>1</v>
      </c>
      <c r="AC138" s="777">
        <v>138</v>
      </c>
      <c r="AD138" s="777">
        <v>1</v>
      </c>
      <c r="AE138" s="777">
        <v>1</v>
      </c>
      <c r="AF138" s="777">
        <v>1</v>
      </c>
      <c r="AG138" s="777">
        <v>1</v>
      </c>
      <c r="AH138" s="777">
        <v>1</v>
      </c>
      <c r="AI138" s="777">
        <v>1</v>
      </c>
      <c r="AJ138" s="777">
        <v>1</v>
      </c>
      <c r="AK138" s="777">
        <v>1</v>
      </c>
      <c r="AL138" s="777">
        <v>1</v>
      </c>
      <c r="AM138" s="777">
        <v>1</v>
      </c>
      <c r="AN138" s="777">
        <v>1</v>
      </c>
      <c r="AO138" s="777">
        <v>1</v>
      </c>
    </row>
    <row r="139" spans="1:41" x14ac:dyDescent="0.25">
      <c r="A139" s="1141">
        <v>138</v>
      </c>
      <c r="B139" s="804">
        <v>139</v>
      </c>
      <c r="C139" s="1066">
        <v>139</v>
      </c>
      <c r="D139" s="777">
        <v>1</v>
      </c>
      <c r="E139" s="1066">
        <v>1</v>
      </c>
      <c r="F139" s="777">
        <v>139</v>
      </c>
      <c r="G139" s="777">
        <v>1</v>
      </c>
      <c r="H139" s="777">
        <v>1</v>
      </c>
      <c r="I139" s="1066">
        <v>139</v>
      </c>
      <c r="J139" s="777">
        <v>1</v>
      </c>
      <c r="K139" s="777">
        <v>1</v>
      </c>
      <c r="L139" s="777">
        <v>1</v>
      </c>
      <c r="M139" s="777">
        <v>1</v>
      </c>
      <c r="N139" s="777">
        <v>1</v>
      </c>
      <c r="O139" s="777">
        <v>1</v>
      </c>
      <c r="P139" s="777">
        <v>1</v>
      </c>
      <c r="Q139" s="777">
        <v>1</v>
      </c>
      <c r="R139" s="777">
        <v>1</v>
      </c>
      <c r="S139" s="777">
        <v>1</v>
      </c>
      <c r="T139" s="777">
        <v>1</v>
      </c>
      <c r="U139" s="777">
        <v>1</v>
      </c>
      <c r="V139" s="1066">
        <v>139</v>
      </c>
      <c r="W139" s="1066">
        <v>139</v>
      </c>
      <c r="X139" s="777">
        <v>1</v>
      </c>
      <c r="Y139" s="777">
        <v>1</v>
      </c>
      <c r="Z139" s="777">
        <v>139</v>
      </c>
      <c r="AA139" s="777">
        <v>1</v>
      </c>
      <c r="AB139" s="777">
        <v>1</v>
      </c>
      <c r="AC139" s="777">
        <v>1</v>
      </c>
      <c r="AD139" s="777">
        <v>1</v>
      </c>
      <c r="AE139" s="777">
        <v>1</v>
      </c>
      <c r="AF139" s="777">
        <v>139</v>
      </c>
      <c r="AG139" s="777">
        <v>1</v>
      </c>
      <c r="AH139" s="777">
        <v>1</v>
      </c>
      <c r="AI139" s="777">
        <v>1</v>
      </c>
      <c r="AJ139" s="777">
        <v>1</v>
      </c>
      <c r="AK139" s="777">
        <v>1</v>
      </c>
      <c r="AL139" s="777">
        <v>1</v>
      </c>
      <c r="AM139" s="777">
        <v>1</v>
      </c>
      <c r="AN139" s="777">
        <v>1</v>
      </c>
      <c r="AO139" s="777">
        <v>1</v>
      </c>
    </row>
    <row r="140" spans="1:41" x14ac:dyDescent="0.25">
      <c r="A140" s="1141">
        <v>139</v>
      </c>
      <c r="B140" s="804">
        <v>140</v>
      </c>
      <c r="C140" s="777">
        <v>140</v>
      </c>
      <c r="D140" s="777">
        <v>140</v>
      </c>
      <c r="E140" s="777">
        <v>140</v>
      </c>
      <c r="F140" s="777">
        <v>1</v>
      </c>
      <c r="G140" s="777">
        <v>1</v>
      </c>
      <c r="H140" s="777">
        <v>1</v>
      </c>
      <c r="I140" s="777">
        <v>1</v>
      </c>
      <c r="J140" s="777">
        <v>1</v>
      </c>
      <c r="K140" s="777">
        <v>1</v>
      </c>
      <c r="L140" s="777">
        <v>1</v>
      </c>
      <c r="M140" s="777">
        <v>1</v>
      </c>
      <c r="N140" s="777">
        <v>140</v>
      </c>
      <c r="O140" s="777">
        <v>1</v>
      </c>
      <c r="P140" s="777">
        <v>1</v>
      </c>
      <c r="Q140" s="777">
        <v>1</v>
      </c>
      <c r="R140" s="777">
        <v>1</v>
      </c>
      <c r="S140" s="777">
        <v>1</v>
      </c>
      <c r="T140" s="777">
        <v>1</v>
      </c>
      <c r="U140" s="777">
        <v>1</v>
      </c>
      <c r="V140" s="1066">
        <v>1</v>
      </c>
      <c r="W140" s="777">
        <v>140</v>
      </c>
      <c r="X140" s="777">
        <v>1</v>
      </c>
      <c r="Y140" s="777">
        <v>1</v>
      </c>
      <c r="Z140" s="777">
        <v>140</v>
      </c>
      <c r="AA140" s="1066">
        <v>140</v>
      </c>
      <c r="AB140" s="777">
        <v>1</v>
      </c>
      <c r="AC140" s="777">
        <v>140</v>
      </c>
      <c r="AD140" s="777">
        <v>140</v>
      </c>
      <c r="AE140" s="1066">
        <v>140</v>
      </c>
      <c r="AF140" s="777">
        <v>1</v>
      </c>
      <c r="AG140" s="777">
        <v>1</v>
      </c>
      <c r="AH140" s="777">
        <v>1</v>
      </c>
      <c r="AI140" s="777">
        <v>1</v>
      </c>
      <c r="AJ140" s="777">
        <v>140</v>
      </c>
      <c r="AK140" s="777">
        <v>140</v>
      </c>
      <c r="AL140" s="777">
        <v>1</v>
      </c>
      <c r="AM140" s="777">
        <v>140</v>
      </c>
      <c r="AN140" s="777">
        <v>1</v>
      </c>
      <c r="AO140" s="777">
        <v>1</v>
      </c>
    </row>
    <row r="141" spans="1:41" x14ac:dyDescent="0.25">
      <c r="A141" s="1141">
        <v>140</v>
      </c>
      <c r="B141" s="804">
        <v>141</v>
      </c>
      <c r="C141" s="777">
        <v>141</v>
      </c>
      <c r="D141" s="777">
        <v>1</v>
      </c>
      <c r="E141" s="777">
        <v>1</v>
      </c>
      <c r="F141" s="777">
        <v>1</v>
      </c>
      <c r="G141" s="777">
        <v>141</v>
      </c>
      <c r="H141" s="777">
        <v>1</v>
      </c>
      <c r="I141" s="777">
        <v>1</v>
      </c>
      <c r="J141" s="777">
        <v>1</v>
      </c>
      <c r="K141" s="777">
        <v>1</v>
      </c>
      <c r="L141" s="777">
        <v>1</v>
      </c>
      <c r="M141" s="777">
        <v>1</v>
      </c>
      <c r="N141" s="777">
        <v>1</v>
      </c>
      <c r="O141" s="777">
        <v>1</v>
      </c>
      <c r="P141" s="777">
        <v>1</v>
      </c>
      <c r="Q141" s="777">
        <v>1</v>
      </c>
      <c r="R141" s="777">
        <v>1</v>
      </c>
      <c r="S141" s="777">
        <v>1</v>
      </c>
      <c r="T141" s="777">
        <v>1</v>
      </c>
      <c r="U141" s="777">
        <v>1</v>
      </c>
      <c r="V141" s="1066">
        <v>1</v>
      </c>
      <c r="W141" s="777">
        <v>141</v>
      </c>
      <c r="X141" s="777">
        <v>141</v>
      </c>
      <c r="Y141" s="777">
        <v>1</v>
      </c>
      <c r="Z141" s="1066">
        <v>1</v>
      </c>
      <c r="AA141" s="777">
        <v>1</v>
      </c>
      <c r="AB141" s="777">
        <v>1</v>
      </c>
      <c r="AC141" s="777">
        <v>1</v>
      </c>
      <c r="AD141" s="777">
        <v>1</v>
      </c>
      <c r="AE141" s="1066">
        <v>141</v>
      </c>
      <c r="AF141" s="777">
        <v>1</v>
      </c>
      <c r="AG141" s="1066">
        <v>141</v>
      </c>
      <c r="AH141" s="777">
        <v>1</v>
      </c>
      <c r="AI141" s="1066">
        <v>141</v>
      </c>
      <c r="AJ141" s="777">
        <v>141</v>
      </c>
      <c r="AK141" s="777">
        <v>141</v>
      </c>
      <c r="AL141" s="777">
        <v>1</v>
      </c>
      <c r="AM141" s="777">
        <v>1</v>
      </c>
      <c r="AN141" s="777">
        <v>1</v>
      </c>
      <c r="AO141" s="777">
        <v>1</v>
      </c>
    </row>
    <row r="142" spans="1:41" x14ac:dyDescent="0.25">
      <c r="A142" s="1141">
        <v>141</v>
      </c>
      <c r="B142" s="804">
        <v>142</v>
      </c>
      <c r="C142" s="777">
        <v>1</v>
      </c>
      <c r="D142" s="777">
        <v>1</v>
      </c>
      <c r="E142" s="777">
        <v>1</v>
      </c>
      <c r="F142" s="777">
        <v>1</v>
      </c>
      <c r="G142" s="777">
        <v>1</v>
      </c>
      <c r="H142" s="777">
        <v>1</v>
      </c>
      <c r="I142" s="777">
        <v>1</v>
      </c>
      <c r="J142" s="777">
        <v>1</v>
      </c>
      <c r="K142" s="777">
        <v>1</v>
      </c>
      <c r="L142" s="777">
        <v>1</v>
      </c>
      <c r="M142" s="777">
        <v>1</v>
      </c>
      <c r="N142" s="777">
        <v>142</v>
      </c>
      <c r="O142" s="777">
        <v>1</v>
      </c>
      <c r="P142" s="777">
        <v>1</v>
      </c>
      <c r="Q142" s="777">
        <v>1</v>
      </c>
      <c r="R142" s="777">
        <v>1</v>
      </c>
      <c r="S142" s="777">
        <v>1</v>
      </c>
      <c r="T142" s="777">
        <v>142</v>
      </c>
      <c r="U142" s="777">
        <v>1</v>
      </c>
      <c r="V142" s="1066">
        <v>142</v>
      </c>
      <c r="W142" s="1066">
        <v>142</v>
      </c>
      <c r="X142" s="777">
        <v>1</v>
      </c>
      <c r="Y142" s="777">
        <v>1</v>
      </c>
      <c r="Z142" s="777">
        <v>1</v>
      </c>
      <c r="AA142" s="777">
        <v>1</v>
      </c>
      <c r="AB142" s="777">
        <v>1</v>
      </c>
      <c r="AC142" s="777">
        <v>142</v>
      </c>
      <c r="AD142" s="777">
        <v>1</v>
      </c>
      <c r="AE142" s="777">
        <v>1</v>
      </c>
      <c r="AF142" s="777">
        <v>142</v>
      </c>
      <c r="AG142" s="777">
        <v>1</v>
      </c>
      <c r="AH142" s="777">
        <v>1</v>
      </c>
      <c r="AI142" s="777">
        <v>142</v>
      </c>
      <c r="AJ142" s="1066">
        <v>142</v>
      </c>
      <c r="AK142" s="777">
        <v>142</v>
      </c>
      <c r="AL142" s="777">
        <v>1</v>
      </c>
      <c r="AM142" s="777">
        <v>1</v>
      </c>
      <c r="AN142" s="777">
        <v>1</v>
      </c>
      <c r="AO142" s="777">
        <v>1</v>
      </c>
    </row>
    <row r="143" spans="1:41" x14ac:dyDescent="0.25">
      <c r="A143" s="1141">
        <v>142</v>
      </c>
      <c r="B143" s="804">
        <v>143</v>
      </c>
      <c r="C143" s="777">
        <v>143</v>
      </c>
      <c r="D143" s="777">
        <v>1</v>
      </c>
      <c r="E143" s="777">
        <v>1</v>
      </c>
      <c r="F143" s="777">
        <v>1</v>
      </c>
      <c r="G143" s="777">
        <v>1</v>
      </c>
      <c r="H143" s="777">
        <v>1</v>
      </c>
      <c r="I143" s="777">
        <v>1</v>
      </c>
      <c r="J143" s="777">
        <v>1</v>
      </c>
      <c r="K143" s="777">
        <v>1</v>
      </c>
      <c r="L143" s="777">
        <v>1</v>
      </c>
      <c r="M143" s="777">
        <v>1</v>
      </c>
      <c r="N143" s="777">
        <v>1</v>
      </c>
      <c r="O143" s="777">
        <v>1</v>
      </c>
      <c r="P143" s="777">
        <v>1</v>
      </c>
      <c r="Q143" s="777">
        <v>1</v>
      </c>
      <c r="R143" s="777">
        <v>1</v>
      </c>
      <c r="S143" s="777">
        <v>1</v>
      </c>
      <c r="T143" s="777">
        <v>1</v>
      </c>
      <c r="U143" s="777">
        <v>1</v>
      </c>
      <c r="V143" s="1066">
        <v>1</v>
      </c>
      <c r="W143" s="1066">
        <v>143</v>
      </c>
      <c r="X143" s="777">
        <v>1</v>
      </c>
      <c r="Y143" s="777">
        <v>1</v>
      </c>
      <c r="Z143" s="777">
        <v>1</v>
      </c>
      <c r="AA143" s="777">
        <v>1</v>
      </c>
      <c r="AB143" s="777">
        <v>1</v>
      </c>
      <c r="AC143" s="777">
        <v>1</v>
      </c>
      <c r="AD143" s="777">
        <v>1</v>
      </c>
      <c r="AE143" s="777">
        <v>1</v>
      </c>
      <c r="AF143" s="777">
        <v>143</v>
      </c>
      <c r="AG143" s="777">
        <v>1</v>
      </c>
      <c r="AH143" s="777">
        <v>1</v>
      </c>
      <c r="AI143" s="777">
        <v>143</v>
      </c>
      <c r="AJ143" s="777">
        <v>1</v>
      </c>
      <c r="AK143" s="777">
        <v>1</v>
      </c>
      <c r="AL143" s="777">
        <v>1</v>
      </c>
      <c r="AM143" s="777">
        <v>143</v>
      </c>
      <c r="AN143" s="777">
        <v>1</v>
      </c>
      <c r="AO143" s="777">
        <v>1</v>
      </c>
    </row>
    <row r="144" spans="1:41" x14ac:dyDescent="0.25">
      <c r="A144" s="1141">
        <v>143</v>
      </c>
      <c r="B144" s="804">
        <v>144</v>
      </c>
      <c r="C144" s="1066">
        <v>144</v>
      </c>
      <c r="D144" s="777">
        <v>1</v>
      </c>
      <c r="E144" s="777">
        <v>144</v>
      </c>
      <c r="F144" s="777">
        <v>1</v>
      </c>
      <c r="G144" s="777">
        <v>1</v>
      </c>
      <c r="H144" s="777">
        <v>1</v>
      </c>
      <c r="I144" s="777">
        <v>1</v>
      </c>
      <c r="J144" s="777">
        <v>1</v>
      </c>
      <c r="K144" s="777">
        <v>1</v>
      </c>
      <c r="L144" s="777">
        <v>1</v>
      </c>
      <c r="M144" s="777">
        <v>1</v>
      </c>
      <c r="N144" s="777">
        <v>1</v>
      </c>
      <c r="O144" s="777">
        <v>1</v>
      </c>
      <c r="P144" s="777">
        <v>1</v>
      </c>
      <c r="Q144" s="777">
        <v>1</v>
      </c>
      <c r="R144" s="777">
        <v>1</v>
      </c>
      <c r="S144" s="777">
        <v>1</v>
      </c>
      <c r="T144" s="777">
        <v>1</v>
      </c>
      <c r="U144" s="777">
        <v>1</v>
      </c>
      <c r="V144" s="777">
        <v>1</v>
      </c>
      <c r="W144" s="777">
        <v>1</v>
      </c>
      <c r="X144" s="777">
        <v>1</v>
      </c>
      <c r="Y144" s="777">
        <v>1</v>
      </c>
      <c r="Z144" s="777">
        <v>1</v>
      </c>
      <c r="AA144" s="777">
        <v>1</v>
      </c>
      <c r="AB144" s="1066">
        <v>144</v>
      </c>
      <c r="AC144" s="777">
        <v>1</v>
      </c>
      <c r="AD144" s="777">
        <v>1</v>
      </c>
      <c r="AE144" s="1066">
        <v>144</v>
      </c>
      <c r="AF144" s="777">
        <v>1</v>
      </c>
      <c r="AG144" s="777">
        <v>1</v>
      </c>
      <c r="AH144" s="777">
        <v>1</v>
      </c>
      <c r="AI144" s="777">
        <v>144</v>
      </c>
      <c r="AJ144" s="777">
        <v>144</v>
      </c>
      <c r="AK144" s="777">
        <v>144</v>
      </c>
      <c r="AL144" s="777">
        <v>1</v>
      </c>
      <c r="AM144" s="777">
        <v>144</v>
      </c>
      <c r="AN144" s="777">
        <v>1</v>
      </c>
      <c r="AO144" s="777">
        <v>1</v>
      </c>
    </row>
    <row r="145" spans="1:41" x14ac:dyDescent="0.25">
      <c r="A145" s="1141">
        <v>144</v>
      </c>
      <c r="B145" s="804">
        <v>145</v>
      </c>
      <c r="C145" s="777">
        <v>145</v>
      </c>
      <c r="D145" s="777">
        <v>1</v>
      </c>
      <c r="E145" s="777">
        <v>1</v>
      </c>
      <c r="F145" s="777">
        <v>1</v>
      </c>
      <c r="G145" s="777">
        <v>145</v>
      </c>
      <c r="H145" s="777">
        <v>1</v>
      </c>
      <c r="I145" s="777">
        <v>1</v>
      </c>
      <c r="J145" s="777">
        <v>1</v>
      </c>
      <c r="K145" s="777">
        <v>1</v>
      </c>
      <c r="L145" s="777">
        <v>1</v>
      </c>
      <c r="M145" s="777">
        <v>1</v>
      </c>
      <c r="N145" s="777">
        <v>145</v>
      </c>
      <c r="O145" s="777">
        <v>1</v>
      </c>
      <c r="P145" s="777">
        <v>1</v>
      </c>
      <c r="Q145" s="777">
        <v>1</v>
      </c>
      <c r="R145" s="777">
        <v>1</v>
      </c>
      <c r="S145" s="777">
        <v>1</v>
      </c>
      <c r="T145" s="777">
        <v>1</v>
      </c>
      <c r="U145" s="777">
        <v>1</v>
      </c>
      <c r="V145" s="777">
        <v>1</v>
      </c>
      <c r="W145" s="777">
        <v>145</v>
      </c>
      <c r="X145" s="777">
        <v>1</v>
      </c>
      <c r="Y145" s="777">
        <v>1</v>
      </c>
      <c r="Z145" s="777">
        <v>1</v>
      </c>
      <c r="AA145" s="777">
        <v>1</v>
      </c>
      <c r="AB145" s="1066">
        <v>145</v>
      </c>
      <c r="AC145" s="777">
        <v>145</v>
      </c>
      <c r="AD145" s="777">
        <v>145</v>
      </c>
      <c r="AE145" s="1066">
        <v>145</v>
      </c>
      <c r="AF145" s="777">
        <v>1</v>
      </c>
      <c r="AG145" s="777">
        <v>1</v>
      </c>
      <c r="AH145" s="777">
        <v>1</v>
      </c>
      <c r="AI145" s="777">
        <v>1</v>
      </c>
      <c r="AJ145" s="777">
        <v>145</v>
      </c>
      <c r="AK145" s="777">
        <v>145</v>
      </c>
      <c r="AL145" s="777">
        <v>1</v>
      </c>
      <c r="AM145" s="1066">
        <v>145</v>
      </c>
      <c r="AN145" s="777">
        <v>1</v>
      </c>
      <c r="AO145" s="777">
        <v>1</v>
      </c>
    </row>
    <row r="146" spans="1:41" x14ac:dyDescent="0.25">
      <c r="A146" s="1141">
        <v>145</v>
      </c>
      <c r="B146" s="804">
        <v>146</v>
      </c>
      <c r="C146" s="777">
        <v>146</v>
      </c>
      <c r="D146" s="777">
        <v>146</v>
      </c>
      <c r="E146" s="777">
        <v>1</v>
      </c>
      <c r="F146" s="777">
        <v>1</v>
      </c>
      <c r="G146" s="777">
        <v>1</v>
      </c>
      <c r="H146" s="777">
        <v>1</v>
      </c>
      <c r="I146" s="777">
        <v>1</v>
      </c>
      <c r="J146" s="777">
        <v>1</v>
      </c>
      <c r="K146" s="777">
        <v>1</v>
      </c>
      <c r="L146" s="777">
        <v>1</v>
      </c>
      <c r="M146" s="777">
        <v>1</v>
      </c>
      <c r="N146" s="777">
        <v>1</v>
      </c>
      <c r="O146" s="777">
        <v>1</v>
      </c>
      <c r="P146" s="777">
        <v>1</v>
      </c>
      <c r="Q146" s="777">
        <v>1</v>
      </c>
      <c r="R146" s="777">
        <v>1</v>
      </c>
      <c r="S146" s="777">
        <v>1</v>
      </c>
      <c r="T146" s="777">
        <v>1</v>
      </c>
      <c r="U146" s="777">
        <v>1</v>
      </c>
      <c r="V146" s="777">
        <v>1</v>
      </c>
      <c r="W146" s="777">
        <v>146</v>
      </c>
      <c r="X146" s="777">
        <v>1</v>
      </c>
      <c r="Y146" s="777">
        <v>1</v>
      </c>
      <c r="Z146" s="777">
        <v>1</v>
      </c>
      <c r="AA146" s="777">
        <v>146</v>
      </c>
      <c r="AB146" s="1066">
        <v>146</v>
      </c>
      <c r="AC146" s="777">
        <v>1</v>
      </c>
      <c r="AD146" s="777">
        <v>1</v>
      </c>
      <c r="AE146" s="777">
        <v>1</v>
      </c>
      <c r="AF146" s="777">
        <v>1</v>
      </c>
      <c r="AG146" s="777">
        <v>1</v>
      </c>
      <c r="AH146" s="1066">
        <v>146</v>
      </c>
      <c r="AI146" s="777">
        <v>1</v>
      </c>
      <c r="AJ146" s="777">
        <v>146</v>
      </c>
      <c r="AK146" s="777">
        <v>146</v>
      </c>
      <c r="AL146" s="777">
        <v>1</v>
      </c>
      <c r="AM146" s="777">
        <v>1</v>
      </c>
      <c r="AN146" s="777">
        <v>1</v>
      </c>
      <c r="AO146" s="777">
        <v>146</v>
      </c>
    </row>
    <row r="147" spans="1:41" x14ac:dyDescent="0.25">
      <c r="A147" s="1141">
        <v>146</v>
      </c>
      <c r="B147" s="804">
        <v>147</v>
      </c>
      <c r="C147" s="777">
        <v>147</v>
      </c>
      <c r="D147" s="1066">
        <v>147</v>
      </c>
      <c r="E147" s="777">
        <v>1</v>
      </c>
      <c r="F147" s="777">
        <v>1</v>
      </c>
      <c r="G147" s="777">
        <v>1</v>
      </c>
      <c r="H147" s="777">
        <v>1</v>
      </c>
      <c r="I147" s="777">
        <v>1</v>
      </c>
      <c r="J147" s="777">
        <v>1</v>
      </c>
      <c r="K147" s="777">
        <v>1</v>
      </c>
      <c r="L147" s="777">
        <v>1</v>
      </c>
      <c r="M147" s="777">
        <v>1</v>
      </c>
      <c r="N147" s="777">
        <v>1</v>
      </c>
      <c r="O147" s="777">
        <v>147</v>
      </c>
      <c r="P147" s="777">
        <v>1</v>
      </c>
      <c r="Q147" s="777">
        <v>1</v>
      </c>
      <c r="R147" s="777">
        <v>1</v>
      </c>
      <c r="S147" s="777">
        <v>1</v>
      </c>
      <c r="T147" s="777">
        <v>1</v>
      </c>
      <c r="U147" s="777">
        <v>1</v>
      </c>
      <c r="V147" s="777">
        <v>1</v>
      </c>
      <c r="W147" s="777">
        <v>147</v>
      </c>
      <c r="X147" s="777">
        <v>1</v>
      </c>
      <c r="Y147" s="777">
        <v>1</v>
      </c>
      <c r="Z147" s="777">
        <v>1</v>
      </c>
      <c r="AA147" s="777">
        <v>147</v>
      </c>
      <c r="AB147" s="1066">
        <v>147</v>
      </c>
      <c r="AC147" s="777">
        <v>1</v>
      </c>
      <c r="AD147" s="777">
        <v>1</v>
      </c>
      <c r="AE147" s="777">
        <v>1</v>
      </c>
      <c r="AF147" s="777">
        <v>1</v>
      </c>
      <c r="AG147" s="777">
        <v>1</v>
      </c>
      <c r="AH147" s="1066">
        <v>147</v>
      </c>
      <c r="AI147" s="777">
        <v>147</v>
      </c>
      <c r="AJ147" s="777">
        <v>1</v>
      </c>
      <c r="AK147" s="777">
        <v>1</v>
      </c>
      <c r="AL147" s="777">
        <v>1</v>
      </c>
      <c r="AM147" s="777">
        <v>147</v>
      </c>
      <c r="AN147" s="777">
        <v>1</v>
      </c>
      <c r="AO147" s="777">
        <v>147</v>
      </c>
    </row>
    <row r="148" spans="1:41" x14ac:dyDescent="0.25">
      <c r="A148" s="1141">
        <v>147</v>
      </c>
      <c r="B148" s="804">
        <v>148</v>
      </c>
      <c r="C148" s="777">
        <v>148</v>
      </c>
      <c r="D148" s="777">
        <v>148</v>
      </c>
      <c r="E148" s="777">
        <v>1</v>
      </c>
      <c r="F148" s="777">
        <v>1</v>
      </c>
      <c r="G148" s="777">
        <v>148</v>
      </c>
      <c r="H148" s="777">
        <v>1</v>
      </c>
      <c r="I148" s="777">
        <v>1</v>
      </c>
      <c r="J148" s="777">
        <v>1</v>
      </c>
      <c r="K148" s="777">
        <v>1</v>
      </c>
      <c r="L148" s="777">
        <v>1</v>
      </c>
      <c r="M148" s="777">
        <v>1</v>
      </c>
      <c r="N148" s="777">
        <v>1</v>
      </c>
      <c r="O148" s="777">
        <v>1</v>
      </c>
      <c r="P148" s="777">
        <v>1</v>
      </c>
      <c r="Q148" s="777">
        <v>1</v>
      </c>
      <c r="R148" s="777">
        <v>1</v>
      </c>
      <c r="S148" s="777">
        <v>1</v>
      </c>
      <c r="T148" s="777">
        <v>1</v>
      </c>
      <c r="U148" s="777">
        <v>1</v>
      </c>
      <c r="V148" s="777">
        <v>1</v>
      </c>
      <c r="W148" s="777">
        <v>1</v>
      </c>
      <c r="X148" s="777">
        <v>1</v>
      </c>
      <c r="Y148" s="777">
        <v>1</v>
      </c>
      <c r="Z148" s="777">
        <v>1</v>
      </c>
      <c r="AA148" s="777">
        <v>1</v>
      </c>
      <c r="AB148" s="1066">
        <v>148</v>
      </c>
      <c r="AC148" s="777">
        <v>148</v>
      </c>
      <c r="AD148" s="777">
        <v>148</v>
      </c>
      <c r="AE148" s="1066">
        <v>148</v>
      </c>
      <c r="AF148" s="777">
        <v>1</v>
      </c>
      <c r="AG148" s="1066">
        <v>1</v>
      </c>
      <c r="AH148" s="777">
        <v>1</v>
      </c>
      <c r="AI148" s="1066">
        <v>148</v>
      </c>
      <c r="AJ148" s="777">
        <v>148</v>
      </c>
      <c r="AK148" s="777">
        <v>148</v>
      </c>
      <c r="AL148" s="777">
        <v>1</v>
      </c>
      <c r="AM148" s="777">
        <v>148</v>
      </c>
      <c r="AN148" s="777">
        <v>1</v>
      </c>
      <c r="AO148" s="777">
        <v>148</v>
      </c>
    </row>
    <row r="149" spans="1:41" x14ac:dyDescent="0.25">
      <c r="A149" s="1141">
        <v>148</v>
      </c>
      <c r="B149" s="804">
        <v>149</v>
      </c>
      <c r="C149" s="777">
        <v>149</v>
      </c>
      <c r="D149" s="777">
        <v>1</v>
      </c>
      <c r="E149" s="777">
        <v>1</v>
      </c>
      <c r="F149" s="777">
        <v>1</v>
      </c>
      <c r="G149" s="777">
        <v>1</v>
      </c>
      <c r="H149" s="777">
        <v>1</v>
      </c>
      <c r="I149" s="777">
        <v>1</v>
      </c>
      <c r="J149" s="777">
        <v>1</v>
      </c>
      <c r="K149" s="777">
        <v>1</v>
      </c>
      <c r="L149" s="777">
        <v>1</v>
      </c>
      <c r="M149" s="777">
        <v>1</v>
      </c>
      <c r="N149" s="777">
        <v>1</v>
      </c>
      <c r="O149" s="777">
        <v>1</v>
      </c>
      <c r="P149" s="777">
        <v>1</v>
      </c>
      <c r="Q149" s="777">
        <v>1</v>
      </c>
      <c r="R149" s="777">
        <v>1</v>
      </c>
      <c r="S149" s="777">
        <v>1</v>
      </c>
      <c r="T149" s="777">
        <v>1</v>
      </c>
      <c r="U149" s="777">
        <v>1</v>
      </c>
      <c r="V149" s="1066">
        <v>149</v>
      </c>
      <c r="W149" s="777">
        <v>149</v>
      </c>
      <c r="X149" s="777">
        <v>1</v>
      </c>
      <c r="Y149" s="777">
        <v>1</v>
      </c>
      <c r="Z149" s="777">
        <v>1</v>
      </c>
      <c r="AA149" s="777">
        <v>1</v>
      </c>
      <c r="AB149" s="1066">
        <v>149</v>
      </c>
      <c r="AC149" s="777">
        <v>149</v>
      </c>
      <c r="AD149" s="777">
        <v>1</v>
      </c>
      <c r="AE149" s="777">
        <v>1</v>
      </c>
      <c r="AF149" s="777">
        <v>1</v>
      </c>
      <c r="AG149" s="777">
        <v>1</v>
      </c>
      <c r="AH149" s="1066">
        <v>149</v>
      </c>
      <c r="AI149" s="777">
        <v>149</v>
      </c>
      <c r="AJ149" s="777">
        <v>149</v>
      </c>
      <c r="AK149" s="777">
        <v>149</v>
      </c>
      <c r="AL149" s="777">
        <v>1</v>
      </c>
      <c r="AM149" s="1066">
        <v>149</v>
      </c>
      <c r="AN149" s="777">
        <v>1</v>
      </c>
      <c r="AO149" s="777">
        <v>1</v>
      </c>
    </row>
    <row r="150" spans="1:41" x14ac:dyDescent="0.25">
      <c r="A150" s="1141">
        <v>149</v>
      </c>
      <c r="B150" s="804">
        <v>150</v>
      </c>
      <c r="C150" s="777">
        <v>150</v>
      </c>
      <c r="D150" s="777">
        <v>1</v>
      </c>
      <c r="E150" s="777">
        <v>1</v>
      </c>
      <c r="F150" s="777">
        <v>1</v>
      </c>
      <c r="G150" s="777">
        <v>1</v>
      </c>
      <c r="H150" s="777">
        <v>1</v>
      </c>
      <c r="I150" s="1066">
        <v>150</v>
      </c>
      <c r="J150" s="777">
        <v>1</v>
      </c>
      <c r="K150" s="777">
        <v>1</v>
      </c>
      <c r="L150" s="777">
        <v>1</v>
      </c>
      <c r="M150" s="777">
        <v>1</v>
      </c>
      <c r="N150" s="777">
        <v>1</v>
      </c>
      <c r="O150" s="777">
        <v>1</v>
      </c>
      <c r="P150" s="777">
        <v>1</v>
      </c>
      <c r="Q150" s="777">
        <v>1</v>
      </c>
      <c r="R150" s="777">
        <v>1</v>
      </c>
      <c r="S150" s="777">
        <v>1</v>
      </c>
      <c r="T150" s="777">
        <v>1</v>
      </c>
      <c r="U150" s="777">
        <v>1</v>
      </c>
      <c r="V150" s="777">
        <v>1</v>
      </c>
      <c r="W150" s="777">
        <v>1</v>
      </c>
      <c r="X150" s="777">
        <v>1</v>
      </c>
      <c r="Y150" s="777">
        <v>1</v>
      </c>
      <c r="Z150" s="777">
        <v>1</v>
      </c>
      <c r="AA150" s="777">
        <v>1</v>
      </c>
      <c r="AB150" s="1066">
        <v>150</v>
      </c>
      <c r="AC150" s="777">
        <v>1</v>
      </c>
      <c r="AD150" s="777">
        <v>1</v>
      </c>
      <c r="AE150" s="1066">
        <v>150</v>
      </c>
      <c r="AF150" s="777">
        <v>1</v>
      </c>
      <c r="AG150" s="777">
        <v>1</v>
      </c>
      <c r="AH150" s="777">
        <v>1</v>
      </c>
      <c r="AI150" s="777">
        <v>1</v>
      </c>
      <c r="AJ150" s="777">
        <v>1</v>
      </c>
      <c r="AK150" s="777">
        <v>1</v>
      </c>
      <c r="AL150" s="1066">
        <v>150</v>
      </c>
      <c r="AM150" s="777">
        <v>150</v>
      </c>
      <c r="AN150" s="777">
        <v>1</v>
      </c>
      <c r="AO150" s="777">
        <v>1</v>
      </c>
    </row>
    <row r="151" spans="1:41" x14ac:dyDescent="0.25">
      <c r="A151" s="1141">
        <v>150</v>
      </c>
      <c r="B151" s="804">
        <v>151</v>
      </c>
      <c r="C151" s="777">
        <v>151</v>
      </c>
      <c r="D151" s="777">
        <v>1</v>
      </c>
      <c r="E151" s="777">
        <v>1</v>
      </c>
      <c r="F151" s="777">
        <v>1</v>
      </c>
      <c r="G151" s="777">
        <v>151</v>
      </c>
      <c r="H151" s="777">
        <v>1</v>
      </c>
      <c r="I151" s="777">
        <v>1</v>
      </c>
      <c r="J151" s="777">
        <v>1</v>
      </c>
      <c r="K151" s="777">
        <v>1</v>
      </c>
      <c r="L151" s="777">
        <v>1</v>
      </c>
      <c r="M151" s="777">
        <v>1</v>
      </c>
      <c r="N151" s="777">
        <v>1</v>
      </c>
      <c r="O151" s="777">
        <v>1</v>
      </c>
      <c r="P151" s="777">
        <v>1</v>
      </c>
      <c r="Q151" s="777">
        <v>1</v>
      </c>
      <c r="R151" s="777">
        <v>1</v>
      </c>
      <c r="S151" s="777">
        <v>1</v>
      </c>
      <c r="T151" s="777">
        <v>1</v>
      </c>
      <c r="U151" s="777">
        <v>1</v>
      </c>
      <c r="V151" s="777">
        <v>1</v>
      </c>
      <c r="W151" s="777">
        <v>1</v>
      </c>
      <c r="X151" s="777">
        <v>1</v>
      </c>
      <c r="Y151" s="777">
        <v>1</v>
      </c>
      <c r="Z151" s="777">
        <v>1</v>
      </c>
      <c r="AA151" s="777">
        <v>1</v>
      </c>
      <c r="AB151" s="1066">
        <v>151</v>
      </c>
      <c r="AC151" s="777">
        <v>151</v>
      </c>
      <c r="AD151" s="777">
        <v>1</v>
      </c>
      <c r="AE151" s="1066">
        <v>151</v>
      </c>
      <c r="AF151" s="777">
        <v>1</v>
      </c>
      <c r="AG151" s="777">
        <v>1</v>
      </c>
      <c r="AH151" s="777">
        <v>1</v>
      </c>
      <c r="AI151" s="777">
        <v>1</v>
      </c>
      <c r="AJ151" s="777">
        <v>151</v>
      </c>
      <c r="AK151" s="777">
        <v>151</v>
      </c>
      <c r="AL151" s="777">
        <v>1</v>
      </c>
      <c r="AM151" s="777">
        <v>151</v>
      </c>
      <c r="AN151" s="777">
        <v>1</v>
      </c>
      <c r="AO151" s="777">
        <v>1</v>
      </c>
    </row>
    <row r="152" spans="1:41" x14ac:dyDescent="0.25">
      <c r="A152" s="1141">
        <v>151</v>
      </c>
      <c r="B152" s="804">
        <v>152</v>
      </c>
      <c r="C152" s="777">
        <v>152</v>
      </c>
      <c r="D152" s="777">
        <v>152</v>
      </c>
      <c r="E152" s="777">
        <v>1</v>
      </c>
      <c r="F152" s="777">
        <v>1</v>
      </c>
      <c r="G152" s="777">
        <v>1</v>
      </c>
      <c r="H152" s="777">
        <v>1</v>
      </c>
      <c r="I152" s="777">
        <v>1</v>
      </c>
      <c r="J152" s="777">
        <v>1</v>
      </c>
      <c r="K152" s="777">
        <v>1</v>
      </c>
      <c r="L152" s="777">
        <v>1</v>
      </c>
      <c r="M152" s="777">
        <v>1</v>
      </c>
      <c r="N152" s="777">
        <v>1</v>
      </c>
      <c r="O152" s="777">
        <v>1</v>
      </c>
      <c r="P152" s="777">
        <v>1</v>
      </c>
      <c r="Q152" s="777">
        <v>1</v>
      </c>
      <c r="R152" s="777">
        <v>1</v>
      </c>
      <c r="S152" s="777">
        <v>1</v>
      </c>
      <c r="T152" s="777">
        <v>1</v>
      </c>
      <c r="U152" s="777">
        <v>1</v>
      </c>
      <c r="V152" s="777">
        <v>1</v>
      </c>
      <c r="W152" s="777">
        <v>152</v>
      </c>
      <c r="X152" s="777">
        <v>1</v>
      </c>
      <c r="Y152" s="777">
        <v>1</v>
      </c>
      <c r="Z152" s="777">
        <v>1</v>
      </c>
      <c r="AA152" s="1066">
        <v>152</v>
      </c>
      <c r="AB152" s="1066">
        <v>152</v>
      </c>
      <c r="AC152" s="777">
        <v>1</v>
      </c>
      <c r="AD152" s="777">
        <v>1</v>
      </c>
      <c r="AE152" s="1066">
        <v>152</v>
      </c>
      <c r="AF152" s="777">
        <v>1</v>
      </c>
      <c r="AG152" s="777">
        <v>1</v>
      </c>
      <c r="AH152" s="777">
        <v>1</v>
      </c>
      <c r="AI152" s="777">
        <v>1</v>
      </c>
      <c r="AJ152" s="777">
        <v>1</v>
      </c>
      <c r="AK152" s="777">
        <v>1</v>
      </c>
      <c r="AL152" s="777">
        <v>1</v>
      </c>
      <c r="AM152" s="1066">
        <v>152</v>
      </c>
      <c r="AN152" s="777">
        <v>1</v>
      </c>
      <c r="AO152" s="777">
        <v>1</v>
      </c>
    </row>
    <row r="153" spans="1:41" x14ac:dyDescent="0.25">
      <c r="A153" s="1141">
        <v>152</v>
      </c>
      <c r="B153" s="804">
        <v>153</v>
      </c>
      <c r="C153" s="777">
        <v>1</v>
      </c>
      <c r="D153" s="777">
        <v>1</v>
      </c>
      <c r="E153" s="777">
        <v>1</v>
      </c>
      <c r="F153" s="777">
        <v>1</v>
      </c>
      <c r="G153" s="777">
        <v>153</v>
      </c>
      <c r="H153" s="777">
        <v>1</v>
      </c>
      <c r="I153" s="777">
        <v>1</v>
      </c>
      <c r="J153" s="777">
        <v>1</v>
      </c>
      <c r="K153" s="777">
        <v>1</v>
      </c>
      <c r="L153" s="777">
        <v>1</v>
      </c>
      <c r="M153" s="777">
        <v>1</v>
      </c>
      <c r="N153" s="777">
        <v>153</v>
      </c>
      <c r="O153" s="777">
        <v>153</v>
      </c>
      <c r="P153" s="777">
        <v>1</v>
      </c>
      <c r="Q153" s="777">
        <v>1</v>
      </c>
      <c r="R153" s="777">
        <v>1</v>
      </c>
      <c r="S153" s="777">
        <v>1</v>
      </c>
      <c r="T153" s="777">
        <v>1</v>
      </c>
      <c r="U153" s="777">
        <v>1</v>
      </c>
      <c r="V153" s="777">
        <v>1</v>
      </c>
      <c r="W153" s="1066">
        <v>153</v>
      </c>
      <c r="X153" s="777">
        <v>1</v>
      </c>
      <c r="Y153" s="777">
        <v>1</v>
      </c>
      <c r="Z153" s="777">
        <v>1</v>
      </c>
      <c r="AA153" s="777">
        <v>1</v>
      </c>
      <c r="AB153" s="1066">
        <v>153</v>
      </c>
      <c r="AC153" s="777">
        <v>1</v>
      </c>
      <c r="AD153" s="777">
        <v>1</v>
      </c>
      <c r="AE153" s="1066">
        <v>153</v>
      </c>
      <c r="AF153" s="777">
        <v>153</v>
      </c>
      <c r="AG153" s="777">
        <v>1</v>
      </c>
      <c r="AH153" s="777">
        <v>1</v>
      </c>
      <c r="AI153" s="777">
        <v>152</v>
      </c>
      <c r="AJ153" s="777">
        <v>153</v>
      </c>
      <c r="AK153" s="777">
        <v>153</v>
      </c>
      <c r="AL153" s="777">
        <v>1</v>
      </c>
      <c r="AM153" s="777">
        <v>153</v>
      </c>
      <c r="AN153" s="777">
        <v>153</v>
      </c>
      <c r="AO153" s="777">
        <v>1</v>
      </c>
    </row>
    <row r="154" spans="1:41" x14ac:dyDescent="0.25">
      <c r="A154" s="1141">
        <v>153</v>
      </c>
      <c r="B154" s="804">
        <v>154</v>
      </c>
      <c r="C154" s="1066">
        <v>154</v>
      </c>
      <c r="D154" s="777">
        <v>1</v>
      </c>
      <c r="E154" s="1066">
        <v>154</v>
      </c>
      <c r="F154" s="1066">
        <v>154</v>
      </c>
      <c r="G154" s="777">
        <v>1</v>
      </c>
      <c r="H154" s="777">
        <v>1</v>
      </c>
      <c r="I154" s="777">
        <v>1</v>
      </c>
      <c r="J154" s="777">
        <v>1</v>
      </c>
      <c r="K154" s="777">
        <v>1</v>
      </c>
      <c r="L154" s="777">
        <v>1</v>
      </c>
      <c r="M154" s="777">
        <v>1</v>
      </c>
      <c r="N154" s="777">
        <v>1</v>
      </c>
      <c r="O154" s="777">
        <v>1</v>
      </c>
      <c r="P154" s="777">
        <v>1</v>
      </c>
      <c r="Q154" s="777">
        <v>1</v>
      </c>
      <c r="R154" s="1066">
        <v>154</v>
      </c>
      <c r="S154" s="777">
        <v>1</v>
      </c>
      <c r="T154" s="777">
        <v>1</v>
      </c>
      <c r="U154" s="777">
        <v>1</v>
      </c>
      <c r="V154" s="777">
        <v>1</v>
      </c>
      <c r="W154" s="777">
        <v>154</v>
      </c>
      <c r="X154" s="777">
        <v>1</v>
      </c>
      <c r="Y154" s="777">
        <v>1</v>
      </c>
      <c r="Z154" s="777">
        <v>1</v>
      </c>
      <c r="AA154" s="777">
        <v>1</v>
      </c>
      <c r="AB154" s="1066">
        <v>1</v>
      </c>
      <c r="AC154" s="777">
        <v>1</v>
      </c>
      <c r="AD154" s="1066">
        <v>154</v>
      </c>
      <c r="AE154" s="1066">
        <v>154</v>
      </c>
      <c r="AF154" s="777">
        <v>1</v>
      </c>
      <c r="AG154" s="777">
        <v>1</v>
      </c>
      <c r="AH154" s="777">
        <v>1</v>
      </c>
      <c r="AI154" s="777">
        <v>1</v>
      </c>
      <c r="AJ154" s="777">
        <v>1</v>
      </c>
      <c r="AK154" s="777">
        <v>1</v>
      </c>
      <c r="AL154" s="777">
        <v>1</v>
      </c>
      <c r="AM154" s="777">
        <v>154</v>
      </c>
      <c r="AN154" s="777">
        <v>1</v>
      </c>
      <c r="AO154" s="777">
        <v>1</v>
      </c>
    </row>
    <row r="155" spans="1:41" x14ac:dyDescent="0.25">
      <c r="A155" s="1141">
        <v>154</v>
      </c>
      <c r="B155" s="804">
        <v>155</v>
      </c>
      <c r="C155" s="777">
        <v>155</v>
      </c>
      <c r="D155" s="1066">
        <v>155</v>
      </c>
      <c r="E155" s="1066">
        <v>155</v>
      </c>
      <c r="F155" s="777">
        <v>1</v>
      </c>
      <c r="G155" s="777">
        <v>155</v>
      </c>
      <c r="H155" s="777">
        <v>1</v>
      </c>
      <c r="I155" s="777">
        <v>1</v>
      </c>
      <c r="J155" s="777">
        <v>1</v>
      </c>
      <c r="K155" s="777">
        <v>1</v>
      </c>
      <c r="L155" s="777">
        <v>1</v>
      </c>
      <c r="M155" s="777">
        <v>1</v>
      </c>
      <c r="N155" s="777">
        <v>1</v>
      </c>
      <c r="O155" s="777">
        <v>1</v>
      </c>
      <c r="P155" s="777">
        <v>1</v>
      </c>
      <c r="Q155" s="777">
        <v>1</v>
      </c>
      <c r="R155" s="777">
        <v>1</v>
      </c>
      <c r="S155" s="777">
        <v>1</v>
      </c>
      <c r="T155" s="777">
        <v>155</v>
      </c>
      <c r="U155" s="1066">
        <v>155</v>
      </c>
      <c r="V155" s="777">
        <v>1</v>
      </c>
      <c r="W155" s="777">
        <v>155</v>
      </c>
      <c r="X155" s="777">
        <v>1</v>
      </c>
      <c r="Y155" s="1066">
        <v>155</v>
      </c>
      <c r="Z155" s="777">
        <v>1</v>
      </c>
      <c r="AA155" s="777">
        <v>1</v>
      </c>
      <c r="AB155" s="777">
        <v>1</v>
      </c>
      <c r="AC155" s="777">
        <v>155</v>
      </c>
      <c r="AD155" s="777">
        <v>155</v>
      </c>
      <c r="AE155" s="777">
        <v>1</v>
      </c>
      <c r="AF155" s="777">
        <v>155</v>
      </c>
      <c r="AG155" s="777">
        <v>1</v>
      </c>
      <c r="AH155" s="777">
        <v>1</v>
      </c>
      <c r="AI155" s="777">
        <v>1</v>
      </c>
      <c r="AJ155" s="777">
        <v>155</v>
      </c>
      <c r="AK155" s="777">
        <v>155</v>
      </c>
      <c r="AL155" s="777">
        <v>1</v>
      </c>
      <c r="AM155" s="777">
        <v>155</v>
      </c>
      <c r="AN155" s="777">
        <v>1</v>
      </c>
      <c r="AO155" s="777">
        <v>1</v>
      </c>
    </row>
    <row r="156" spans="1:41" x14ac:dyDescent="0.25">
      <c r="A156" s="1141">
        <v>155</v>
      </c>
      <c r="B156" s="804">
        <v>156</v>
      </c>
      <c r="C156" s="1066">
        <v>156</v>
      </c>
      <c r="D156" s="777">
        <v>1</v>
      </c>
      <c r="E156" s="1066">
        <v>156</v>
      </c>
      <c r="F156" s="777">
        <v>1</v>
      </c>
      <c r="G156" s="777">
        <v>156</v>
      </c>
      <c r="H156" s="777">
        <v>1</v>
      </c>
      <c r="I156" s="777">
        <v>1</v>
      </c>
      <c r="J156" s="777">
        <v>1</v>
      </c>
      <c r="K156" s="777">
        <v>1</v>
      </c>
      <c r="L156" s="777">
        <v>1</v>
      </c>
      <c r="M156" s="777">
        <v>1</v>
      </c>
      <c r="N156" s="777">
        <v>156</v>
      </c>
      <c r="O156" s="777">
        <v>1</v>
      </c>
      <c r="P156" s="777">
        <v>1</v>
      </c>
      <c r="Q156" s="777">
        <v>1</v>
      </c>
      <c r="R156" s="777">
        <v>156</v>
      </c>
      <c r="S156" s="777">
        <v>1</v>
      </c>
      <c r="T156" s="777">
        <v>156</v>
      </c>
      <c r="U156" s="777">
        <v>1</v>
      </c>
      <c r="V156" s="777">
        <v>1</v>
      </c>
      <c r="W156" s="1066">
        <v>156</v>
      </c>
      <c r="X156" s="777">
        <v>1</v>
      </c>
      <c r="Y156" s="777">
        <v>1</v>
      </c>
      <c r="Z156" s="777">
        <v>1</v>
      </c>
      <c r="AA156" s="777">
        <v>1</v>
      </c>
      <c r="AB156" s="777">
        <v>1</v>
      </c>
      <c r="AC156" s="777">
        <v>1</v>
      </c>
      <c r="AD156" s="777">
        <v>1</v>
      </c>
      <c r="AE156" s="777">
        <v>1</v>
      </c>
      <c r="AF156" s="777">
        <v>156</v>
      </c>
      <c r="AG156" s="777">
        <v>1</v>
      </c>
      <c r="AH156" s="777">
        <v>1</v>
      </c>
      <c r="AI156" s="777">
        <v>1</v>
      </c>
      <c r="AJ156" s="777">
        <v>156</v>
      </c>
      <c r="AK156" s="777">
        <v>156</v>
      </c>
      <c r="AL156" s="777">
        <v>1</v>
      </c>
      <c r="AM156" s="777">
        <v>156</v>
      </c>
      <c r="AN156" s="777">
        <v>1</v>
      </c>
      <c r="AO156" s="777">
        <v>1</v>
      </c>
    </row>
    <row r="157" spans="1:41" x14ac:dyDescent="0.25">
      <c r="A157" s="1141">
        <v>156</v>
      </c>
      <c r="B157" s="804">
        <v>157</v>
      </c>
      <c r="C157" s="1066">
        <v>157</v>
      </c>
      <c r="D157" s="777">
        <v>1</v>
      </c>
      <c r="E157" s="1066">
        <v>1</v>
      </c>
      <c r="F157" s="777">
        <v>1</v>
      </c>
      <c r="G157" s="777">
        <v>1</v>
      </c>
      <c r="H157" s="777">
        <v>1</v>
      </c>
      <c r="I157" s="777">
        <v>1</v>
      </c>
      <c r="J157" s="777">
        <v>1</v>
      </c>
      <c r="K157" s="777">
        <v>1</v>
      </c>
      <c r="L157" s="777">
        <v>1</v>
      </c>
      <c r="M157" s="777">
        <v>1</v>
      </c>
      <c r="N157" s="777">
        <v>1</v>
      </c>
      <c r="O157" s="777">
        <v>1</v>
      </c>
      <c r="P157" s="777">
        <v>1</v>
      </c>
      <c r="Q157" s="777">
        <v>1</v>
      </c>
      <c r="R157" s="777">
        <v>1</v>
      </c>
      <c r="S157" s="777">
        <v>1</v>
      </c>
      <c r="T157" s="777">
        <v>1</v>
      </c>
      <c r="U157" s="777">
        <v>1</v>
      </c>
      <c r="V157" s="777">
        <v>1</v>
      </c>
      <c r="W157" s="1066">
        <v>157</v>
      </c>
      <c r="X157" s="777">
        <v>1</v>
      </c>
      <c r="Y157" s="777">
        <v>1</v>
      </c>
      <c r="Z157" s="777">
        <v>157</v>
      </c>
      <c r="AA157" s="777">
        <v>1</v>
      </c>
      <c r="AB157" s="777">
        <v>1</v>
      </c>
      <c r="AC157" s="1066">
        <v>1</v>
      </c>
      <c r="AD157" s="777">
        <v>157</v>
      </c>
      <c r="AE157" s="1066">
        <v>157</v>
      </c>
      <c r="AF157" s="1066">
        <v>157</v>
      </c>
      <c r="AG157" s="1066">
        <v>157</v>
      </c>
      <c r="AH157" s="777">
        <v>1</v>
      </c>
      <c r="AI157" s="777">
        <v>1</v>
      </c>
      <c r="AJ157" s="777">
        <v>1</v>
      </c>
      <c r="AK157" s="777">
        <v>1</v>
      </c>
      <c r="AL157" s="777">
        <v>1</v>
      </c>
      <c r="AM157" s="777">
        <v>157</v>
      </c>
      <c r="AN157" s="777">
        <v>1</v>
      </c>
      <c r="AO157" s="777">
        <v>1</v>
      </c>
    </row>
    <row r="158" spans="1:41" x14ac:dyDescent="0.25">
      <c r="A158" s="1141">
        <v>157</v>
      </c>
      <c r="B158" s="804">
        <v>158</v>
      </c>
      <c r="C158" s="1066">
        <v>158</v>
      </c>
      <c r="D158" s="777">
        <v>1</v>
      </c>
      <c r="E158" s="777">
        <v>1</v>
      </c>
      <c r="F158" s="777">
        <v>1</v>
      </c>
      <c r="G158" s="777">
        <v>1</v>
      </c>
      <c r="H158" s="777">
        <v>1</v>
      </c>
      <c r="I158" s="777">
        <v>1</v>
      </c>
      <c r="J158" s="777">
        <v>1</v>
      </c>
      <c r="K158" s="777">
        <v>1</v>
      </c>
      <c r="L158" s="777">
        <v>1</v>
      </c>
      <c r="M158" s="777">
        <v>1</v>
      </c>
      <c r="N158" s="777">
        <v>1</v>
      </c>
      <c r="O158" s="777">
        <v>1</v>
      </c>
      <c r="P158" s="777">
        <v>1</v>
      </c>
      <c r="Q158" s="777">
        <v>1</v>
      </c>
      <c r="R158" s="777">
        <v>1</v>
      </c>
      <c r="S158" s="777">
        <v>1</v>
      </c>
      <c r="T158" s="777">
        <v>1</v>
      </c>
      <c r="U158" s="777">
        <v>1</v>
      </c>
      <c r="V158" s="777">
        <v>1</v>
      </c>
      <c r="W158" s="777">
        <v>1</v>
      </c>
      <c r="X158" s="777">
        <v>1</v>
      </c>
      <c r="Y158" s="777">
        <v>1</v>
      </c>
      <c r="Z158" s="1066">
        <v>158</v>
      </c>
      <c r="AA158" s="777">
        <v>1</v>
      </c>
      <c r="AB158" s="777">
        <v>1</v>
      </c>
      <c r="AC158" s="777">
        <v>1</v>
      </c>
      <c r="AD158" s="777">
        <v>1</v>
      </c>
      <c r="AE158" s="1066">
        <v>158</v>
      </c>
      <c r="AF158" s="777">
        <v>1</v>
      </c>
      <c r="AG158" s="1066">
        <v>158</v>
      </c>
      <c r="AH158" s="777">
        <v>1</v>
      </c>
      <c r="AI158" s="777">
        <v>1</v>
      </c>
      <c r="AJ158" s="777">
        <v>1</v>
      </c>
      <c r="AK158" s="777">
        <v>1</v>
      </c>
      <c r="AL158" s="777">
        <v>1</v>
      </c>
      <c r="AM158" s="1066">
        <v>158</v>
      </c>
      <c r="AN158" s="777">
        <v>1</v>
      </c>
      <c r="AO158" s="777">
        <v>1</v>
      </c>
    </row>
    <row r="159" spans="1:41" x14ac:dyDescent="0.25">
      <c r="A159" s="1141">
        <v>158</v>
      </c>
      <c r="B159" s="804">
        <v>159</v>
      </c>
      <c r="C159" s="1066">
        <v>159</v>
      </c>
      <c r="D159" s="777">
        <v>159</v>
      </c>
      <c r="E159" s="1066">
        <v>159</v>
      </c>
      <c r="F159" s="777">
        <v>159</v>
      </c>
      <c r="G159" s="777">
        <v>159</v>
      </c>
      <c r="H159" s="777">
        <v>1</v>
      </c>
      <c r="I159" s="777">
        <v>1</v>
      </c>
      <c r="J159" s="777">
        <v>1</v>
      </c>
      <c r="K159" s="777">
        <v>1</v>
      </c>
      <c r="L159" s="777">
        <v>1</v>
      </c>
      <c r="M159" s="777">
        <v>1</v>
      </c>
      <c r="N159" s="777">
        <v>1</v>
      </c>
      <c r="O159" s="777">
        <v>1</v>
      </c>
      <c r="P159" s="777">
        <v>1</v>
      </c>
      <c r="Q159" s="777">
        <v>1</v>
      </c>
      <c r="R159" s="777">
        <v>1</v>
      </c>
      <c r="S159" s="777">
        <v>1</v>
      </c>
      <c r="T159" s="777">
        <v>1</v>
      </c>
      <c r="U159" s="777">
        <v>1</v>
      </c>
      <c r="V159" s="777">
        <v>1</v>
      </c>
      <c r="W159" s="777">
        <v>159</v>
      </c>
      <c r="X159" s="777">
        <v>1</v>
      </c>
      <c r="Y159" s="777">
        <v>1</v>
      </c>
      <c r="Z159" s="777">
        <v>1</v>
      </c>
      <c r="AA159" s="1066">
        <v>159</v>
      </c>
      <c r="AB159" s="777">
        <v>1</v>
      </c>
      <c r="AC159" s="1066">
        <v>1</v>
      </c>
      <c r="AD159" s="777">
        <v>1</v>
      </c>
      <c r="AE159" s="1066">
        <v>159</v>
      </c>
      <c r="AF159" s="777">
        <v>1</v>
      </c>
      <c r="AG159" s="777">
        <v>1</v>
      </c>
      <c r="AH159" s="777">
        <v>1</v>
      </c>
      <c r="AI159" s="1066">
        <v>159</v>
      </c>
      <c r="AJ159" s="777">
        <v>159</v>
      </c>
      <c r="AK159" s="777">
        <v>159</v>
      </c>
      <c r="AL159" s="777">
        <v>1</v>
      </c>
      <c r="AM159" s="1066">
        <v>159</v>
      </c>
      <c r="AN159" s="777">
        <v>1</v>
      </c>
      <c r="AO159" s="777">
        <v>1</v>
      </c>
    </row>
    <row r="160" spans="1:41" x14ac:dyDescent="0.25">
      <c r="A160" s="1141">
        <v>159</v>
      </c>
      <c r="B160" s="804">
        <v>160</v>
      </c>
      <c r="C160" s="1066">
        <v>160</v>
      </c>
      <c r="D160" s="777">
        <v>1</v>
      </c>
      <c r="E160" s="777">
        <v>1</v>
      </c>
      <c r="F160" s="777">
        <v>1</v>
      </c>
      <c r="G160" s="777">
        <v>1</v>
      </c>
      <c r="H160" s="777">
        <v>1</v>
      </c>
      <c r="I160" s="777">
        <v>1</v>
      </c>
      <c r="J160" s="777">
        <v>1</v>
      </c>
      <c r="K160" s="777">
        <v>1</v>
      </c>
      <c r="L160" s="777">
        <v>1</v>
      </c>
      <c r="M160" s="777">
        <v>1</v>
      </c>
      <c r="N160" s="777">
        <v>1</v>
      </c>
      <c r="O160" s="777">
        <v>1</v>
      </c>
      <c r="P160" s="777">
        <v>1</v>
      </c>
      <c r="Q160" s="777">
        <v>1</v>
      </c>
      <c r="R160" s="777">
        <v>1</v>
      </c>
      <c r="S160" s="777">
        <v>1</v>
      </c>
      <c r="T160" s="777">
        <v>1</v>
      </c>
      <c r="U160" s="777">
        <v>1</v>
      </c>
      <c r="V160" s="777">
        <v>1</v>
      </c>
      <c r="W160" s="777">
        <v>1</v>
      </c>
      <c r="X160" s="777">
        <v>1</v>
      </c>
      <c r="Y160" s="777">
        <v>1</v>
      </c>
      <c r="Z160" s="1066">
        <v>160</v>
      </c>
      <c r="AA160" s="777">
        <v>1</v>
      </c>
      <c r="AB160" s="777">
        <v>1</v>
      </c>
      <c r="AC160" s="777">
        <v>1</v>
      </c>
      <c r="AD160" s="777">
        <v>1</v>
      </c>
      <c r="AE160" s="1066">
        <v>160</v>
      </c>
      <c r="AF160" s="777">
        <v>1</v>
      </c>
      <c r="AG160" s="1066">
        <v>160</v>
      </c>
      <c r="AH160" s="777">
        <v>1</v>
      </c>
      <c r="AI160" s="777">
        <v>1</v>
      </c>
      <c r="AJ160" s="777">
        <v>160</v>
      </c>
      <c r="AK160" s="777">
        <v>160</v>
      </c>
      <c r="AL160" s="777">
        <v>1</v>
      </c>
      <c r="AM160" s="1066">
        <v>160</v>
      </c>
      <c r="AN160" s="777">
        <v>1</v>
      </c>
      <c r="AO160" s="777">
        <v>1</v>
      </c>
    </row>
    <row r="161" spans="1:41" x14ac:dyDescent="0.25">
      <c r="A161" s="1141">
        <v>160</v>
      </c>
      <c r="B161" s="804">
        <v>161</v>
      </c>
      <c r="C161" s="1066">
        <v>161</v>
      </c>
      <c r="D161" s="777">
        <v>1</v>
      </c>
      <c r="E161" s="777">
        <v>1</v>
      </c>
      <c r="F161" s="777">
        <v>1</v>
      </c>
      <c r="G161" s="777">
        <v>1</v>
      </c>
      <c r="H161" s="777">
        <v>1</v>
      </c>
      <c r="I161" s="777">
        <v>1</v>
      </c>
      <c r="J161" s="777">
        <v>1</v>
      </c>
      <c r="K161" s="777">
        <v>1</v>
      </c>
      <c r="L161" s="777">
        <v>1</v>
      </c>
      <c r="M161" s="777">
        <v>1</v>
      </c>
      <c r="N161" s="777">
        <v>1</v>
      </c>
      <c r="O161" s="777">
        <v>1</v>
      </c>
      <c r="P161" s="777">
        <v>1</v>
      </c>
      <c r="Q161" s="777">
        <v>1</v>
      </c>
      <c r="R161" s="777">
        <v>1</v>
      </c>
      <c r="S161" s="777">
        <v>1</v>
      </c>
      <c r="T161" s="777">
        <v>1</v>
      </c>
      <c r="U161" s="777">
        <v>1</v>
      </c>
      <c r="V161" s="777">
        <v>1</v>
      </c>
      <c r="W161" s="777">
        <v>161</v>
      </c>
      <c r="X161" s="777">
        <v>1</v>
      </c>
      <c r="Y161" s="777">
        <v>1</v>
      </c>
      <c r="Z161" s="1066">
        <v>161</v>
      </c>
      <c r="AA161" s="1066">
        <v>161</v>
      </c>
      <c r="AB161" s="777">
        <v>1</v>
      </c>
      <c r="AC161" s="777">
        <v>1</v>
      </c>
      <c r="AD161" s="777">
        <v>161</v>
      </c>
      <c r="AE161" s="1066">
        <v>161</v>
      </c>
      <c r="AF161" s="777">
        <v>1</v>
      </c>
      <c r="AG161" s="777">
        <v>1</v>
      </c>
      <c r="AH161" s="777">
        <v>1</v>
      </c>
      <c r="AI161" s="777">
        <v>1</v>
      </c>
      <c r="AJ161" s="777">
        <v>1</v>
      </c>
      <c r="AK161" s="777">
        <v>1</v>
      </c>
      <c r="AL161" s="777">
        <v>1</v>
      </c>
      <c r="AM161" s="1066">
        <v>161</v>
      </c>
      <c r="AN161" s="777">
        <v>1</v>
      </c>
      <c r="AO161" s="777">
        <v>1</v>
      </c>
    </row>
    <row r="162" spans="1:41" x14ac:dyDescent="0.25">
      <c r="A162" s="1141">
        <v>161</v>
      </c>
      <c r="B162" s="804">
        <v>162</v>
      </c>
      <c r="C162" s="777">
        <v>162</v>
      </c>
      <c r="D162" s="777">
        <v>1</v>
      </c>
      <c r="E162" s="777">
        <v>1</v>
      </c>
      <c r="F162" s="777">
        <v>162</v>
      </c>
      <c r="G162" s="777">
        <v>1</v>
      </c>
      <c r="H162" s="777">
        <v>1</v>
      </c>
      <c r="I162" s="777">
        <v>1</v>
      </c>
      <c r="J162" s="777">
        <v>1</v>
      </c>
      <c r="K162" s="777">
        <v>1</v>
      </c>
      <c r="L162" s="777">
        <v>1</v>
      </c>
      <c r="M162" s="777">
        <v>1</v>
      </c>
      <c r="N162" s="777">
        <v>1</v>
      </c>
      <c r="O162" s="777">
        <v>1</v>
      </c>
      <c r="P162" s="777">
        <v>1</v>
      </c>
      <c r="Q162" s="777">
        <v>1</v>
      </c>
      <c r="R162" s="777">
        <v>1</v>
      </c>
      <c r="S162" s="777">
        <v>1</v>
      </c>
      <c r="T162" s="777">
        <v>162</v>
      </c>
      <c r="U162" s="777">
        <v>1</v>
      </c>
      <c r="V162" s="777">
        <v>1</v>
      </c>
      <c r="W162" s="777">
        <v>162</v>
      </c>
      <c r="X162" s="777">
        <v>1</v>
      </c>
      <c r="Y162" s="777">
        <v>1</v>
      </c>
      <c r="Z162" s="777">
        <v>1</v>
      </c>
      <c r="AA162" s="777">
        <v>162</v>
      </c>
      <c r="AB162" s="777">
        <v>1</v>
      </c>
      <c r="AC162" s="1066">
        <v>162</v>
      </c>
      <c r="AD162" s="777">
        <v>1</v>
      </c>
      <c r="AE162" s="1066">
        <v>162</v>
      </c>
      <c r="AF162" s="777">
        <v>1</v>
      </c>
      <c r="AG162" s="1066">
        <v>162</v>
      </c>
      <c r="AH162" s="777">
        <v>1</v>
      </c>
      <c r="AI162" s="777">
        <v>1</v>
      </c>
      <c r="AJ162" s="777">
        <v>162</v>
      </c>
      <c r="AK162" s="777">
        <v>162</v>
      </c>
      <c r="AL162" s="777">
        <v>1</v>
      </c>
      <c r="AM162" s="1066">
        <v>162</v>
      </c>
      <c r="AN162" s="777">
        <v>1</v>
      </c>
      <c r="AO162" s="777">
        <v>1</v>
      </c>
    </row>
    <row r="163" spans="1:41" x14ac:dyDescent="0.25">
      <c r="A163" s="1141">
        <v>162</v>
      </c>
      <c r="B163" s="804">
        <v>163</v>
      </c>
      <c r="C163" s="777">
        <v>163</v>
      </c>
      <c r="D163" s="777">
        <v>1</v>
      </c>
      <c r="E163" s="777">
        <v>1</v>
      </c>
      <c r="F163" s="777">
        <v>1</v>
      </c>
      <c r="G163" s="1066">
        <v>163</v>
      </c>
      <c r="H163" s="777">
        <v>1</v>
      </c>
      <c r="I163" s="777">
        <v>1</v>
      </c>
      <c r="J163" s="777">
        <v>1</v>
      </c>
      <c r="K163" s="777">
        <v>1</v>
      </c>
      <c r="L163" s="777">
        <v>1</v>
      </c>
      <c r="M163" s="777">
        <v>1</v>
      </c>
      <c r="N163" s="777">
        <v>163</v>
      </c>
      <c r="O163" s="777">
        <v>1</v>
      </c>
      <c r="P163" s="777">
        <v>1</v>
      </c>
      <c r="Q163" s="777">
        <v>1</v>
      </c>
      <c r="R163" s="777">
        <v>1</v>
      </c>
      <c r="S163" s="777">
        <v>163</v>
      </c>
      <c r="T163" s="777">
        <v>163</v>
      </c>
      <c r="U163" s="777">
        <v>1</v>
      </c>
      <c r="V163" s="777">
        <v>1</v>
      </c>
      <c r="W163" s="777">
        <v>163</v>
      </c>
      <c r="X163" s="777">
        <v>163</v>
      </c>
      <c r="Y163" s="777">
        <v>1</v>
      </c>
      <c r="Z163" s="777">
        <v>1</v>
      </c>
      <c r="AA163" s="777">
        <v>163</v>
      </c>
      <c r="AB163" s="777">
        <v>1</v>
      </c>
      <c r="AC163" s="1066">
        <v>163</v>
      </c>
      <c r="AD163" s="777">
        <v>1</v>
      </c>
      <c r="AE163" s="1066">
        <v>1</v>
      </c>
      <c r="AF163" s="777">
        <v>1</v>
      </c>
      <c r="AG163" s="777">
        <v>1</v>
      </c>
      <c r="AH163" s="1066">
        <v>1</v>
      </c>
      <c r="AI163" s="777">
        <v>1</v>
      </c>
      <c r="AJ163" s="777">
        <v>163</v>
      </c>
      <c r="AK163" s="777">
        <v>163</v>
      </c>
      <c r="AL163" s="777">
        <v>1</v>
      </c>
      <c r="AM163" s="1066">
        <v>163</v>
      </c>
      <c r="AN163" s="777">
        <v>1</v>
      </c>
      <c r="AO163" s="777">
        <v>1</v>
      </c>
    </row>
    <row r="164" spans="1:41" x14ac:dyDescent="0.25">
      <c r="A164" s="1141">
        <v>163</v>
      </c>
      <c r="B164" s="804">
        <v>164</v>
      </c>
      <c r="C164" s="777">
        <v>164</v>
      </c>
      <c r="D164" s="777">
        <v>164</v>
      </c>
      <c r="E164" s="777">
        <v>164</v>
      </c>
      <c r="F164" s="777">
        <v>1</v>
      </c>
      <c r="G164" s="777">
        <v>164</v>
      </c>
      <c r="H164" s="777">
        <v>1</v>
      </c>
      <c r="I164" s="777">
        <v>1</v>
      </c>
      <c r="J164" s="777">
        <v>1</v>
      </c>
      <c r="K164" s="777">
        <v>1</v>
      </c>
      <c r="L164" s="777">
        <v>1</v>
      </c>
      <c r="M164" s="777">
        <v>1</v>
      </c>
      <c r="N164" s="777">
        <v>1</v>
      </c>
      <c r="O164" s="777">
        <v>1</v>
      </c>
      <c r="P164" s="777">
        <v>1</v>
      </c>
      <c r="Q164" s="777">
        <v>1</v>
      </c>
      <c r="R164" s="777">
        <v>1</v>
      </c>
      <c r="S164" s="777">
        <v>1</v>
      </c>
      <c r="T164" s="777">
        <v>164</v>
      </c>
      <c r="U164" s="777">
        <v>1</v>
      </c>
      <c r="V164" s="777">
        <v>1</v>
      </c>
      <c r="W164" s="777">
        <v>164</v>
      </c>
      <c r="X164" s="777">
        <v>1</v>
      </c>
      <c r="Y164" s="777">
        <v>1</v>
      </c>
      <c r="Z164" s="777">
        <v>164</v>
      </c>
      <c r="AA164" s="777">
        <v>1</v>
      </c>
      <c r="AB164" s="777">
        <v>1</v>
      </c>
      <c r="AC164" s="777">
        <v>1</v>
      </c>
      <c r="AD164" s="1066">
        <v>164</v>
      </c>
      <c r="AE164" s="1066">
        <v>164</v>
      </c>
      <c r="AF164" s="777">
        <v>1</v>
      </c>
      <c r="AG164" s="777">
        <v>1</v>
      </c>
      <c r="AH164" s="777">
        <v>1</v>
      </c>
      <c r="AI164" s="777">
        <v>1</v>
      </c>
      <c r="AJ164" s="777">
        <v>164</v>
      </c>
      <c r="AK164" s="777">
        <v>164</v>
      </c>
      <c r="AL164" s="777">
        <v>1</v>
      </c>
      <c r="AM164" s="1066">
        <v>164</v>
      </c>
      <c r="AN164" s="777">
        <v>1</v>
      </c>
      <c r="AO164" s="777">
        <v>1</v>
      </c>
    </row>
    <row r="165" spans="1:41" x14ac:dyDescent="0.25">
      <c r="A165" s="1141">
        <v>164</v>
      </c>
      <c r="B165" s="804">
        <v>165</v>
      </c>
      <c r="C165" s="777">
        <v>1</v>
      </c>
      <c r="D165" s="777">
        <v>1</v>
      </c>
      <c r="E165" s="1066">
        <v>165</v>
      </c>
      <c r="F165" s="777">
        <v>1</v>
      </c>
      <c r="G165" s="777">
        <v>1</v>
      </c>
      <c r="H165" s="777">
        <v>1</v>
      </c>
      <c r="I165" s="777">
        <v>1</v>
      </c>
      <c r="J165" s="777">
        <v>1</v>
      </c>
      <c r="K165" s="777">
        <v>1</v>
      </c>
      <c r="L165" s="777">
        <v>1</v>
      </c>
      <c r="M165" s="777">
        <v>1</v>
      </c>
      <c r="N165" s="777">
        <v>1</v>
      </c>
      <c r="O165" s="1066">
        <v>165</v>
      </c>
      <c r="P165" s="777">
        <v>1</v>
      </c>
      <c r="Q165" s="777">
        <v>1</v>
      </c>
      <c r="R165" s="777">
        <v>1</v>
      </c>
      <c r="S165" s="777">
        <v>1</v>
      </c>
      <c r="T165" s="777">
        <v>1</v>
      </c>
      <c r="U165" s="777">
        <v>1</v>
      </c>
      <c r="V165" s="777">
        <v>1</v>
      </c>
      <c r="W165" s="777">
        <v>1</v>
      </c>
      <c r="X165" s="777">
        <v>1</v>
      </c>
      <c r="Y165" s="777">
        <v>1</v>
      </c>
      <c r="Z165" s="777">
        <v>1</v>
      </c>
      <c r="AA165" s="777">
        <v>1</v>
      </c>
      <c r="AB165" s="777">
        <v>1</v>
      </c>
      <c r="AC165" s="777">
        <v>1</v>
      </c>
      <c r="AD165" s="777">
        <v>1</v>
      </c>
      <c r="AE165" s="777">
        <v>1</v>
      </c>
      <c r="AF165" s="777">
        <v>1</v>
      </c>
      <c r="AG165" s="777">
        <v>1</v>
      </c>
      <c r="AH165" s="777">
        <v>1</v>
      </c>
      <c r="AI165" s="777">
        <v>1</v>
      </c>
      <c r="AJ165" s="777">
        <v>1</v>
      </c>
      <c r="AK165" s="777">
        <v>1</v>
      </c>
      <c r="AL165" s="777">
        <v>165</v>
      </c>
      <c r="AM165" s="1066">
        <v>165</v>
      </c>
      <c r="AN165" s="777">
        <v>165</v>
      </c>
      <c r="AO165" s="777">
        <v>1</v>
      </c>
    </row>
    <row r="166" spans="1:41" x14ac:dyDescent="0.25">
      <c r="A166" s="1141">
        <v>165</v>
      </c>
      <c r="B166" s="804">
        <v>166</v>
      </c>
      <c r="C166" s="777">
        <v>166</v>
      </c>
      <c r="D166" s="777">
        <v>1</v>
      </c>
      <c r="E166" s="777">
        <v>166</v>
      </c>
      <c r="F166" s="777">
        <v>1</v>
      </c>
      <c r="G166" s="777">
        <v>166</v>
      </c>
      <c r="H166" s="777">
        <v>1</v>
      </c>
      <c r="I166" s="777">
        <v>1</v>
      </c>
      <c r="J166" s="777">
        <v>1</v>
      </c>
      <c r="K166" s="777">
        <v>1</v>
      </c>
      <c r="L166" s="777">
        <v>1</v>
      </c>
      <c r="M166" s="777">
        <v>1</v>
      </c>
      <c r="N166" s="777">
        <v>1</v>
      </c>
      <c r="O166" s="1066">
        <v>1</v>
      </c>
      <c r="P166" s="777">
        <v>1</v>
      </c>
      <c r="Q166" s="777">
        <v>1</v>
      </c>
      <c r="R166" s="777">
        <v>1</v>
      </c>
      <c r="S166" s="777">
        <v>1</v>
      </c>
      <c r="T166" s="777">
        <v>1</v>
      </c>
      <c r="U166" s="777">
        <v>1</v>
      </c>
      <c r="V166" s="777">
        <v>1</v>
      </c>
      <c r="W166" s="1066">
        <v>166</v>
      </c>
      <c r="X166" s="777">
        <v>1</v>
      </c>
      <c r="Y166" s="777">
        <v>1</v>
      </c>
      <c r="Z166" s="777">
        <v>1</v>
      </c>
      <c r="AA166" s="777">
        <v>166</v>
      </c>
      <c r="AB166" s="777">
        <v>1</v>
      </c>
      <c r="AC166" s="777">
        <v>1</v>
      </c>
      <c r="AD166" s="777">
        <v>1</v>
      </c>
      <c r="AE166" s="777">
        <v>1</v>
      </c>
      <c r="AF166" s="777">
        <v>1</v>
      </c>
      <c r="AG166" s="777">
        <v>1</v>
      </c>
      <c r="AH166" s="777">
        <v>1</v>
      </c>
      <c r="AI166" s="777">
        <v>1</v>
      </c>
      <c r="AJ166" s="777">
        <v>1</v>
      </c>
      <c r="AK166" s="777">
        <v>1</v>
      </c>
      <c r="AL166" s="777">
        <v>1</v>
      </c>
      <c r="AM166" s="1066">
        <v>166</v>
      </c>
      <c r="AN166" s="777">
        <v>1</v>
      </c>
      <c r="AO166" s="777">
        <v>1</v>
      </c>
    </row>
    <row r="167" spans="1:41" x14ac:dyDescent="0.25">
      <c r="A167" s="1141">
        <v>166</v>
      </c>
      <c r="B167" s="804">
        <v>167</v>
      </c>
      <c r="C167" s="777">
        <v>1</v>
      </c>
      <c r="D167" s="777">
        <v>1</v>
      </c>
      <c r="E167" s="777">
        <v>1</v>
      </c>
      <c r="F167" s="777">
        <v>1</v>
      </c>
      <c r="G167" s="777">
        <v>1</v>
      </c>
      <c r="H167" s="777">
        <v>1</v>
      </c>
      <c r="I167" s="777">
        <v>1</v>
      </c>
      <c r="J167" s="777">
        <v>1</v>
      </c>
      <c r="K167" s="777">
        <v>1</v>
      </c>
      <c r="L167" s="777">
        <v>1</v>
      </c>
      <c r="M167" s="777">
        <v>1</v>
      </c>
      <c r="N167" s="777">
        <v>1</v>
      </c>
      <c r="O167" s="1066">
        <v>167</v>
      </c>
      <c r="P167" s="777">
        <v>1</v>
      </c>
      <c r="Q167" s="777">
        <v>1</v>
      </c>
      <c r="R167" s="777">
        <v>1</v>
      </c>
      <c r="S167" s="777">
        <v>1</v>
      </c>
      <c r="T167" s="777">
        <v>1</v>
      </c>
      <c r="U167" s="777">
        <v>1</v>
      </c>
      <c r="V167" s="777">
        <v>1</v>
      </c>
      <c r="W167" s="1066">
        <v>167</v>
      </c>
      <c r="X167" s="777">
        <v>1</v>
      </c>
      <c r="Y167" s="777">
        <v>1</v>
      </c>
      <c r="Z167" s="777">
        <v>1</v>
      </c>
      <c r="AA167" s="777">
        <v>1</v>
      </c>
      <c r="AB167" s="777">
        <v>1</v>
      </c>
      <c r="AC167" s="777">
        <v>1</v>
      </c>
      <c r="AD167" s="777">
        <v>1</v>
      </c>
      <c r="AE167" s="777">
        <v>1</v>
      </c>
      <c r="AF167" s="777">
        <v>167</v>
      </c>
      <c r="AG167" s="777">
        <v>1</v>
      </c>
      <c r="AH167" s="777">
        <v>1</v>
      </c>
      <c r="AI167" s="777">
        <v>1</v>
      </c>
      <c r="AJ167" s="777">
        <v>1</v>
      </c>
      <c r="AK167" s="777">
        <v>1</v>
      </c>
      <c r="AL167" s="777">
        <v>1</v>
      </c>
      <c r="AM167" s="1066">
        <v>167</v>
      </c>
      <c r="AN167" s="777">
        <v>1</v>
      </c>
      <c r="AO167" s="777">
        <v>1</v>
      </c>
    </row>
    <row r="168" spans="1:41" x14ac:dyDescent="0.25">
      <c r="A168" s="1141">
        <v>167</v>
      </c>
      <c r="B168" s="804">
        <v>168</v>
      </c>
      <c r="C168" s="777">
        <v>168</v>
      </c>
      <c r="D168" s="777">
        <v>1</v>
      </c>
      <c r="E168" s="777">
        <v>1</v>
      </c>
      <c r="F168" s="777">
        <v>1</v>
      </c>
      <c r="G168" s="777">
        <v>168</v>
      </c>
      <c r="H168" s="777">
        <v>1</v>
      </c>
      <c r="I168" s="777">
        <v>1</v>
      </c>
      <c r="J168" s="777">
        <v>1</v>
      </c>
      <c r="K168" s="777">
        <v>1</v>
      </c>
      <c r="L168" s="777">
        <v>1</v>
      </c>
      <c r="M168" s="777">
        <v>1</v>
      </c>
      <c r="N168" s="777">
        <v>1</v>
      </c>
      <c r="O168" s="1066">
        <v>168</v>
      </c>
      <c r="P168" s="777">
        <v>1</v>
      </c>
      <c r="Q168" s="777">
        <v>1</v>
      </c>
      <c r="R168" s="777">
        <v>1</v>
      </c>
      <c r="S168" s="777">
        <v>1</v>
      </c>
      <c r="T168" s="777">
        <v>1</v>
      </c>
      <c r="U168" s="777">
        <v>1</v>
      </c>
      <c r="V168" s="777">
        <v>1</v>
      </c>
      <c r="W168" s="1066">
        <v>168</v>
      </c>
      <c r="X168" s="777">
        <v>168</v>
      </c>
      <c r="Y168" s="777">
        <v>1</v>
      </c>
      <c r="Z168" s="777">
        <v>1</v>
      </c>
      <c r="AA168" s="777">
        <v>168</v>
      </c>
      <c r="AB168" s="777">
        <v>1</v>
      </c>
      <c r="AC168" s="777">
        <v>1</v>
      </c>
      <c r="AD168" s="777">
        <v>168</v>
      </c>
      <c r="AE168" s="777">
        <v>1</v>
      </c>
      <c r="AF168" s="777">
        <v>168</v>
      </c>
      <c r="AG168" s="777">
        <v>1</v>
      </c>
      <c r="AH168" s="777">
        <v>1</v>
      </c>
      <c r="AI168" s="777">
        <v>1</v>
      </c>
      <c r="AJ168" s="777">
        <v>168</v>
      </c>
      <c r="AK168" s="777">
        <v>168</v>
      </c>
      <c r="AL168" s="777">
        <v>1</v>
      </c>
      <c r="AM168" s="1066">
        <v>168</v>
      </c>
      <c r="AN168" s="777">
        <v>1</v>
      </c>
      <c r="AO168" s="777">
        <v>1</v>
      </c>
    </row>
    <row r="169" spans="1:41" x14ac:dyDescent="0.25">
      <c r="A169" s="1141">
        <v>168</v>
      </c>
      <c r="B169" s="804">
        <v>169</v>
      </c>
      <c r="C169" s="1066">
        <v>169</v>
      </c>
      <c r="D169" s="777">
        <v>1</v>
      </c>
      <c r="E169" s="777">
        <v>1</v>
      </c>
      <c r="F169" s="777">
        <v>1</v>
      </c>
      <c r="G169" s="777">
        <v>1</v>
      </c>
      <c r="H169" s="777">
        <v>1</v>
      </c>
      <c r="I169" s="777">
        <v>1</v>
      </c>
      <c r="J169" s="777">
        <v>1</v>
      </c>
      <c r="K169" s="777">
        <v>1</v>
      </c>
      <c r="L169" s="777">
        <v>1</v>
      </c>
      <c r="M169" s="777">
        <v>1</v>
      </c>
      <c r="N169" s="777">
        <v>1</v>
      </c>
      <c r="O169" s="777">
        <v>1</v>
      </c>
      <c r="P169" s="777">
        <v>1</v>
      </c>
      <c r="Q169" s="777">
        <v>1</v>
      </c>
      <c r="R169" s="777">
        <v>1</v>
      </c>
      <c r="S169" s="777">
        <v>1</v>
      </c>
      <c r="T169" s="1066">
        <v>1</v>
      </c>
      <c r="U169" s="777">
        <v>1</v>
      </c>
      <c r="V169" s="777">
        <v>1</v>
      </c>
      <c r="W169" s="1066">
        <v>169</v>
      </c>
      <c r="X169" s="777">
        <v>1</v>
      </c>
      <c r="Y169" s="777">
        <v>1</v>
      </c>
      <c r="Z169" s="1066">
        <v>169</v>
      </c>
      <c r="AA169" s="777">
        <v>1</v>
      </c>
      <c r="AB169" s="777">
        <v>1</v>
      </c>
      <c r="AC169" s="777">
        <v>169</v>
      </c>
      <c r="AD169" s="777">
        <v>1</v>
      </c>
      <c r="AE169" s="777">
        <v>1</v>
      </c>
      <c r="AF169" s="777">
        <v>169</v>
      </c>
      <c r="AG169" s="777">
        <v>1</v>
      </c>
      <c r="AH169" s="777">
        <v>1</v>
      </c>
      <c r="AI169" s="777">
        <v>1</v>
      </c>
      <c r="AJ169" s="777">
        <v>169</v>
      </c>
      <c r="AK169" s="777">
        <v>169</v>
      </c>
      <c r="AL169" s="777">
        <v>1</v>
      </c>
      <c r="AM169" s="1066">
        <v>169</v>
      </c>
      <c r="AN169" s="777">
        <v>1</v>
      </c>
      <c r="AO169" s="777">
        <v>1</v>
      </c>
    </row>
    <row r="170" spans="1:41" x14ac:dyDescent="0.25">
      <c r="A170" s="1141">
        <v>169</v>
      </c>
      <c r="B170" s="804">
        <v>170</v>
      </c>
      <c r="C170" s="1066">
        <v>170</v>
      </c>
      <c r="D170" s="777">
        <v>1</v>
      </c>
      <c r="E170" s="777">
        <v>1</v>
      </c>
      <c r="F170" s="777">
        <v>1</v>
      </c>
      <c r="G170" s="777">
        <v>1</v>
      </c>
      <c r="H170" s="777">
        <v>1</v>
      </c>
      <c r="I170" s="777">
        <v>1</v>
      </c>
      <c r="J170" s="777">
        <v>1</v>
      </c>
      <c r="K170" s="777">
        <v>1</v>
      </c>
      <c r="L170" s="777">
        <v>1</v>
      </c>
      <c r="M170" s="777">
        <v>1</v>
      </c>
      <c r="N170" s="777">
        <v>1</v>
      </c>
      <c r="O170" s="777">
        <v>1</v>
      </c>
      <c r="P170" s="777">
        <v>1</v>
      </c>
      <c r="Q170" s="777">
        <v>1</v>
      </c>
      <c r="R170" s="777">
        <v>1</v>
      </c>
      <c r="S170" s="777">
        <v>1</v>
      </c>
      <c r="T170" s="777">
        <v>1</v>
      </c>
      <c r="U170" s="777">
        <v>1</v>
      </c>
      <c r="V170" s="1066">
        <v>170</v>
      </c>
      <c r="W170" s="1066">
        <v>170</v>
      </c>
      <c r="X170" s="777">
        <v>1</v>
      </c>
      <c r="Y170" s="777">
        <v>1</v>
      </c>
      <c r="Z170" s="777">
        <v>1</v>
      </c>
      <c r="AA170" s="777">
        <v>1</v>
      </c>
      <c r="AB170" s="777">
        <v>1</v>
      </c>
      <c r="AC170" s="777">
        <v>1</v>
      </c>
      <c r="AD170" s="777">
        <v>1</v>
      </c>
      <c r="AE170" s="777">
        <v>1</v>
      </c>
      <c r="AF170" s="777">
        <v>170</v>
      </c>
      <c r="AG170" s="777">
        <v>1</v>
      </c>
      <c r="AH170" s="777">
        <v>1</v>
      </c>
      <c r="AI170" s="777">
        <v>1</v>
      </c>
      <c r="AJ170" s="777">
        <v>1</v>
      </c>
      <c r="AK170" s="777">
        <v>1</v>
      </c>
      <c r="AL170" s="777">
        <v>1</v>
      </c>
      <c r="AM170" s="777">
        <v>1</v>
      </c>
      <c r="AN170" s="777">
        <v>1</v>
      </c>
      <c r="AO170" s="777">
        <v>1</v>
      </c>
    </row>
    <row r="171" spans="1:41" x14ac:dyDescent="0.25">
      <c r="A171" s="1141">
        <v>170</v>
      </c>
      <c r="B171" s="804">
        <v>171</v>
      </c>
      <c r="C171" s="777">
        <v>1</v>
      </c>
      <c r="D171" s="777">
        <v>1</v>
      </c>
      <c r="E171" s="777">
        <v>1</v>
      </c>
      <c r="F171" s="777">
        <v>1</v>
      </c>
      <c r="G171" s="777">
        <v>1</v>
      </c>
      <c r="H171" s="777">
        <v>1</v>
      </c>
      <c r="I171" s="777">
        <v>1</v>
      </c>
      <c r="J171" s="777">
        <v>1</v>
      </c>
      <c r="K171" s="777">
        <v>1</v>
      </c>
      <c r="L171" s="777">
        <v>1</v>
      </c>
      <c r="M171" s="777">
        <v>1</v>
      </c>
      <c r="N171" s="777">
        <v>1</v>
      </c>
      <c r="O171" s="1066">
        <v>171</v>
      </c>
      <c r="P171" s="777">
        <v>1</v>
      </c>
      <c r="Q171" s="777">
        <v>1</v>
      </c>
      <c r="R171" s="1066">
        <v>171</v>
      </c>
      <c r="S171" s="777">
        <v>1</v>
      </c>
      <c r="T171" s="777">
        <v>1</v>
      </c>
      <c r="U171" s="777">
        <v>1</v>
      </c>
      <c r="V171" s="777">
        <v>1</v>
      </c>
      <c r="W171" s="777">
        <v>171</v>
      </c>
      <c r="X171" s="777">
        <v>1</v>
      </c>
      <c r="Y171" s="777">
        <v>1</v>
      </c>
      <c r="Z171" s="777">
        <v>1</v>
      </c>
      <c r="AA171" s="777">
        <v>1</v>
      </c>
      <c r="AB171" s="777">
        <v>1</v>
      </c>
      <c r="AC171" s="777">
        <v>1</v>
      </c>
      <c r="AD171" s="777">
        <v>1</v>
      </c>
      <c r="AE171" s="777">
        <v>1</v>
      </c>
      <c r="AF171" s="777">
        <v>1</v>
      </c>
      <c r="AG171" s="777">
        <v>1</v>
      </c>
      <c r="AH171" s="777">
        <v>1</v>
      </c>
      <c r="AI171" s="777">
        <v>1</v>
      </c>
      <c r="AJ171" s="777">
        <v>1</v>
      </c>
      <c r="AK171" s="777">
        <v>1</v>
      </c>
      <c r="AL171" s="777">
        <v>1</v>
      </c>
      <c r="AM171" s="777">
        <v>1</v>
      </c>
      <c r="AN171" s="777">
        <v>1</v>
      </c>
      <c r="AO171" s="777">
        <v>171</v>
      </c>
    </row>
    <row r="172" spans="1:41" x14ac:dyDescent="0.25">
      <c r="A172" s="1141">
        <v>171</v>
      </c>
      <c r="B172" s="804">
        <v>172</v>
      </c>
      <c r="C172" s="777">
        <v>1</v>
      </c>
      <c r="D172" s="1066">
        <v>172</v>
      </c>
      <c r="E172" s="777">
        <v>1</v>
      </c>
      <c r="F172" s="777">
        <v>1</v>
      </c>
      <c r="G172" s="777">
        <v>172</v>
      </c>
      <c r="H172" s="777">
        <v>1</v>
      </c>
      <c r="I172" s="777">
        <v>1</v>
      </c>
      <c r="J172" s="777">
        <v>1</v>
      </c>
      <c r="K172" s="777">
        <v>1</v>
      </c>
      <c r="L172" s="777">
        <v>1</v>
      </c>
      <c r="M172" s="777">
        <v>1</v>
      </c>
      <c r="N172" s="777">
        <v>1</v>
      </c>
      <c r="O172" s="1066">
        <v>172</v>
      </c>
      <c r="P172" s="777">
        <v>1</v>
      </c>
      <c r="Q172" s="777">
        <v>1</v>
      </c>
      <c r="R172" s="777">
        <v>1</v>
      </c>
      <c r="S172" s="777">
        <v>1</v>
      </c>
      <c r="T172" s="777">
        <v>1</v>
      </c>
      <c r="U172" s="777">
        <v>1</v>
      </c>
      <c r="V172" s="777">
        <v>1</v>
      </c>
      <c r="W172" s="777">
        <v>1</v>
      </c>
      <c r="X172" s="777">
        <v>1</v>
      </c>
      <c r="Y172" s="777">
        <v>1</v>
      </c>
      <c r="Z172" s="777">
        <v>1</v>
      </c>
      <c r="AA172" s="777">
        <v>1</v>
      </c>
      <c r="AB172" s="777">
        <v>1</v>
      </c>
      <c r="AC172" s="777">
        <v>1</v>
      </c>
      <c r="AD172" s="777">
        <v>1</v>
      </c>
      <c r="AE172" s="777">
        <v>1</v>
      </c>
      <c r="AF172" s="777">
        <v>1</v>
      </c>
      <c r="AG172" s="777">
        <v>1</v>
      </c>
      <c r="AH172" s="777">
        <v>1</v>
      </c>
      <c r="AI172" s="777">
        <v>1</v>
      </c>
      <c r="AJ172" s="777">
        <v>1</v>
      </c>
      <c r="AK172" s="777">
        <v>1</v>
      </c>
      <c r="AL172" s="777">
        <v>1</v>
      </c>
      <c r="AM172" s="777">
        <v>1</v>
      </c>
      <c r="AN172" s="777">
        <v>1</v>
      </c>
      <c r="AO172" s="777">
        <v>1</v>
      </c>
    </row>
    <row r="173" spans="1:41" x14ac:dyDescent="0.25">
      <c r="A173" s="1141">
        <v>172</v>
      </c>
      <c r="B173" s="804">
        <v>173</v>
      </c>
      <c r="C173" s="1066">
        <v>173</v>
      </c>
      <c r="D173" s="1066">
        <v>173</v>
      </c>
      <c r="E173" s="777">
        <v>1</v>
      </c>
      <c r="F173" s="777">
        <v>1</v>
      </c>
      <c r="G173" s="777">
        <v>1</v>
      </c>
      <c r="H173" s="777">
        <v>1</v>
      </c>
      <c r="I173" s="777">
        <v>1</v>
      </c>
      <c r="J173" s="777">
        <v>1</v>
      </c>
      <c r="K173" s="777">
        <v>1</v>
      </c>
      <c r="L173" s="777">
        <v>1</v>
      </c>
      <c r="M173" s="777">
        <v>1</v>
      </c>
      <c r="N173" s="777">
        <v>1</v>
      </c>
      <c r="O173" s="777">
        <v>1</v>
      </c>
      <c r="P173" s="1066">
        <v>173</v>
      </c>
      <c r="Q173" s="777">
        <v>1</v>
      </c>
      <c r="R173" s="777">
        <v>1</v>
      </c>
      <c r="S173" s="777">
        <v>1</v>
      </c>
      <c r="T173" s="777">
        <v>1</v>
      </c>
      <c r="U173" s="777">
        <v>1</v>
      </c>
      <c r="V173" s="777">
        <v>1</v>
      </c>
      <c r="W173" s="777">
        <v>1</v>
      </c>
      <c r="X173" s="777">
        <v>1</v>
      </c>
      <c r="Y173" s="777">
        <v>1</v>
      </c>
      <c r="Z173" s="777">
        <v>1</v>
      </c>
      <c r="AA173" s="777">
        <v>1</v>
      </c>
      <c r="AB173" s="777">
        <v>1</v>
      </c>
      <c r="AC173" s="777">
        <v>1</v>
      </c>
      <c r="AD173" s="777">
        <v>1</v>
      </c>
      <c r="AE173" s="777">
        <v>1</v>
      </c>
      <c r="AF173" s="777">
        <v>1</v>
      </c>
      <c r="AG173" s="777">
        <v>1</v>
      </c>
      <c r="AH173" s="1066">
        <v>173</v>
      </c>
      <c r="AI173" s="1066">
        <v>173</v>
      </c>
      <c r="AJ173" s="777">
        <v>1</v>
      </c>
      <c r="AK173" s="777">
        <v>1</v>
      </c>
      <c r="AL173" s="777">
        <v>1</v>
      </c>
      <c r="AM173" s="777">
        <v>1</v>
      </c>
      <c r="AN173" s="1066">
        <v>173</v>
      </c>
      <c r="AO173" s="777">
        <v>1</v>
      </c>
    </row>
    <row r="174" spans="1:41" x14ac:dyDescent="0.25">
      <c r="A174" s="1141">
        <v>173</v>
      </c>
      <c r="B174" s="804">
        <v>174</v>
      </c>
      <c r="C174" s="1066">
        <v>174</v>
      </c>
      <c r="D174" s="1066">
        <v>174</v>
      </c>
      <c r="E174" s="777">
        <v>1</v>
      </c>
      <c r="F174" s="777">
        <v>1</v>
      </c>
      <c r="G174" s="777">
        <v>1</v>
      </c>
      <c r="H174" s="777">
        <v>1</v>
      </c>
      <c r="I174" s="777">
        <v>1</v>
      </c>
      <c r="J174" s="777">
        <v>1</v>
      </c>
      <c r="K174" s="777">
        <v>1</v>
      </c>
      <c r="L174" s="777">
        <v>1</v>
      </c>
      <c r="M174" s="777">
        <v>1</v>
      </c>
      <c r="N174" s="777">
        <v>1</v>
      </c>
      <c r="O174" s="777">
        <v>1</v>
      </c>
      <c r="P174" s="1066">
        <v>174</v>
      </c>
      <c r="Q174" s="777">
        <v>1</v>
      </c>
      <c r="R174" s="777">
        <v>1</v>
      </c>
      <c r="S174" s="777">
        <v>1</v>
      </c>
      <c r="T174" s="777">
        <v>1</v>
      </c>
      <c r="U174" s="777">
        <v>1</v>
      </c>
      <c r="V174" s="777">
        <v>1</v>
      </c>
      <c r="W174" s="777">
        <v>1</v>
      </c>
      <c r="X174" s="777">
        <v>1</v>
      </c>
      <c r="Y174" s="777">
        <v>1</v>
      </c>
      <c r="Z174" s="777">
        <v>1</v>
      </c>
      <c r="AA174" s="777">
        <v>1</v>
      </c>
      <c r="AB174" s="777">
        <v>1</v>
      </c>
      <c r="AC174" s="777">
        <v>1</v>
      </c>
      <c r="AD174" s="777">
        <v>1</v>
      </c>
      <c r="AE174" s="777">
        <v>1</v>
      </c>
      <c r="AF174" s="777">
        <v>1</v>
      </c>
      <c r="AG174" s="777">
        <v>1</v>
      </c>
      <c r="AH174" s="1066">
        <v>174</v>
      </c>
      <c r="AI174" s="1066">
        <v>174</v>
      </c>
      <c r="AJ174" s="777">
        <v>1</v>
      </c>
      <c r="AK174" s="777">
        <v>1</v>
      </c>
      <c r="AL174" s="777">
        <v>1</v>
      </c>
      <c r="AM174" s="777">
        <v>1</v>
      </c>
      <c r="AN174" s="1066">
        <v>174</v>
      </c>
      <c r="AO174" s="777">
        <v>1</v>
      </c>
    </row>
    <row r="175" spans="1:41" x14ac:dyDescent="0.25">
      <c r="A175" s="1141">
        <v>174</v>
      </c>
      <c r="B175" s="804">
        <v>175</v>
      </c>
      <c r="C175" s="1066">
        <v>175</v>
      </c>
      <c r="D175" s="1066">
        <v>175</v>
      </c>
      <c r="E175" s="777">
        <v>1</v>
      </c>
      <c r="F175" s="777">
        <v>1</v>
      </c>
      <c r="G175" s="777">
        <v>1</v>
      </c>
      <c r="H175" s="777">
        <v>1</v>
      </c>
      <c r="I175" s="777">
        <v>1</v>
      </c>
      <c r="J175" s="777">
        <v>1</v>
      </c>
      <c r="K175" s="777">
        <v>1</v>
      </c>
      <c r="L175" s="777">
        <v>1</v>
      </c>
      <c r="M175" s="777">
        <v>1</v>
      </c>
      <c r="N175" s="777">
        <v>1</v>
      </c>
      <c r="O175" s="777">
        <v>1</v>
      </c>
      <c r="P175" s="777">
        <v>1</v>
      </c>
      <c r="Q175" s="777">
        <v>1</v>
      </c>
      <c r="R175" s="777">
        <v>1</v>
      </c>
      <c r="S175" s="777">
        <v>1</v>
      </c>
      <c r="T175" s="777">
        <v>1</v>
      </c>
      <c r="U175" s="777">
        <v>1</v>
      </c>
      <c r="V175" s="777">
        <v>1</v>
      </c>
      <c r="W175" s="777">
        <v>1</v>
      </c>
      <c r="X175" s="777">
        <v>1</v>
      </c>
      <c r="Y175" s="777">
        <v>1</v>
      </c>
      <c r="Z175" s="777">
        <v>1</v>
      </c>
      <c r="AA175" s="777">
        <v>1</v>
      </c>
      <c r="AB175" s="777">
        <v>1</v>
      </c>
      <c r="AC175" s="777">
        <v>1</v>
      </c>
      <c r="AD175" s="1066">
        <v>175</v>
      </c>
      <c r="AE175" s="1066">
        <v>1</v>
      </c>
      <c r="AF175" s="777">
        <v>1</v>
      </c>
      <c r="AG175" s="777">
        <v>1</v>
      </c>
      <c r="AH175" s="1066">
        <v>175</v>
      </c>
      <c r="AI175" s="1066">
        <v>175</v>
      </c>
      <c r="AJ175" s="777">
        <v>1</v>
      </c>
      <c r="AK175" s="777">
        <v>1</v>
      </c>
      <c r="AL175" s="777">
        <v>1</v>
      </c>
      <c r="AM175" s="777">
        <v>1</v>
      </c>
      <c r="AN175" s="1066">
        <v>175</v>
      </c>
      <c r="AO175" s="777">
        <v>1</v>
      </c>
    </row>
    <row r="176" spans="1:41" x14ac:dyDescent="0.25">
      <c r="A176" s="1141">
        <v>175</v>
      </c>
      <c r="B176" s="804">
        <v>176</v>
      </c>
      <c r="C176" s="1066">
        <v>176</v>
      </c>
      <c r="D176" s="777">
        <v>1</v>
      </c>
      <c r="E176" s="777">
        <v>1</v>
      </c>
      <c r="F176" s="777">
        <v>1</v>
      </c>
      <c r="G176" s="777">
        <v>1</v>
      </c>
      <c r="H176" s="777">
        <v>1</v>
      </c>
      <c r="I176" s="777">
        <v>1</v>
      </c>
      <c r="J176" s="777">
        <v>1</v>
      </c>
      <c r="K176" s="777">
        <v>1</v>
      </c>
      <c r="L176" s="777">
        <v>1</v>
      </c>
      <c r="M176" s="777">
        <v>1</v>
      </c>
      <c r="N176" s="777">
        <v>1</v>
      </c>
      <c r="O176" s="777">
        <v>176</v>
      </c>
      <c r="P176" s="777">
        <v>1</v>
      </c>
      <c r="Q176" s="777">
        <v>1</v>
      </c>
      <c r="R176" s="777">
        <v>1</v>
      </c>
      <c r="S176" s="777">
        <v>1</v>
      </c>
      <c r="T176" s="777">
        <v>1</v>
      </c>
      <c r="U176" s="777">
        <v>1</v>
      </c>
      <c r="V176" s="777">
        <v>1</v>
      </c>
      <c r="W176" s="1066">
        <v>176</v>
      </c>
      <c r="X176" s="777">
        <v>1</v>
      </c>
      <c r="Y176" s="777">
        <v>1</v>
      </c>
      <c r="Z176" s="777">
        <v>1</v>
      </c>
      <c r="AA176" s="777">
        <v>1</v>
      </c>
      <c r="AB176" s="777">
        <v>1</v>
      </c>
      <c r="AC176" s="777">
        <v>1</v>
      </c>
      <c r="AD176" s="777">
        <v>1</v>
      </c>
      <c r="AE176" s="777">
        <v>1</v>
      </c>
      <c r="AF176" s="777">
        <v>176</v>
      </c>
      <c r="AG176" s="777">
        <v>1</v>
      </c>
      <c r="AH176" s="777">
        <v>1</v>
      </c>
      <c r="AI176" s="777">
        <v>1</v>
      </c>
      <c r="AJ176" s="777">
        <v>1</v>
      </c>
      <c r="AK176" s="777">
        <v>1</v>
      </c>
      <c r="AL176" s="1066">
        <v>176</v>
      </c>
      <c r="AM176" s="777">
        <v>1</v>
      </c>
      <c r="AN176" s="777">
        <v>1</v>
      </c>
      <c r="AO176" s="777">
        <v>1</v>
      </c>
    </row>
    <row r="177" spans="1:41" x14ac:dyDescent="0.25">
      <c r="A177" s="1141">
        <v>176</v>
      </c>
      <c r="B177" s="804">
        <v>177</v>
      </c>
      <c r="C177" s="1066">
        <v>177</v>
      </c>
      <c r="D177" s="777">
        <v>1</v>
      </c>
      <c r="E177" s="777">
        <v>1</v>
      </c>
      <c r="F177" s="777">
        <v>1</v>
      </c>
      <c r="G177" s="777">
        <v>1</v>
      </c>
      <c r="H177" s="777">
        <v>1</v>
      </c>
      <c r="I177" s="777">
        <v>1</v>
      </c>
      <c r="J177" s="777">
        <v>1</v>
      </c>
      <c r="K177" s="777">
        <v>1</v>
      </c>
      <c r="L177" s="777">
        <v>1</v>
      </c>
      <c r="M177" s="777">
        <v>1</v>
      </c>
      <c r="N177" s="777">
        <v>1</v>
      </c>
      <c r="O177" s="777">
        <v>1</v>
      </c>
      <c r="P177" s="777">
        <v>1</v>
      </c>
      <c r="Q177" s="777">
        <v>1</v>
      </c>
      <c r="R177" s="777">
        <v>1</v>
      </c>
      <c r="S177" s="777">
        <v>1</v>
      </c>
      <c r="T177" s="777">
        <v>1</v>
      </c>
      <c r="U177" s="777">
        <v>1</v>
      </c>
      <c r="V177" s="1066">
        <v>177</v>
      </c>
      <c r="W177" s="777">
        <v>1</v>
      </c>
      <c r="X177" s="777">
        <v>1</v>
      </c>
      <c r="Y177" s="777">
        <v>1</v>
      </c>
      <c r="Z177" s="777">
        <v>1</v>
      </c>
      <c r="AA177" s="777">
        <v>1</v>
      </c>
      <c r="AB177" s="777">
        <v>1</v>
      </c>
      <c r="AC177" s="777">
        <v>1</v>
      </c>
      <c r="AD177" s="777">
        <v>1</v>
      </c>
      <c r="AE177" s="777">
        <v>1</v>
      </c>
      <c r="AF177" s="777">
        <v>1</v>
      </c>
      <c r="AG177" s="777">
        <v>1</v>
      </c>
      <c r="AH177" s="777">
        <v>1</v>
      </c>
      <c r="AI177" s="1066">
        <v>177</v>
      </c>
      <c r="AJ177" s="777">
        <v>1</v>
      </c>
      <c r="AK177" s="777">
        <v>1</v>
      </c>
      <c r="AL177" s="777">
        <v>1</v>
      </c>
      <c r="AM177" s="777">
        <v>1</v>
      </c>
      <c r="AN177" s="777">
        <v>1</v>
      </c>
      <c r="AO177" s="777">
        <v>1</v>
      </c>
    </row>
    <row r="178" spans="1:41" x14ac:dyDescent="0.25">
      <c r="A178" s="1141">
        <v>177</v>
      </c>
      <c r="B178" s="804">
        <v>178</v>
      </c>
      <c r="C178" s="1066">
        <v>178</v>
      </c>
      <c r="D178" s="1066">
        <v>178</v>
      </c>
      <c r="E178" s="1066">
        <v>178</v>
      </c>
      <c r="F178" s="777">
        <v>1</v>
      </c>
      <c r="G178" s="777">
        <v>1</v>
      </c>
      <c r="H178" s="777">
        <v>1</v>
      </c>
      <c r="I178" s="777">
        <v>1</v>
      </c>
      <c r="J178" s="777">
        <v>1</v>
      </c>
      <c r="K178" s="777">
        <v>1</v>
      </c>
      <c r="L178" s="777">
        <v>1</v>
      </c>
      <c r="M178" s="777">
        <v>1</v>
      </c>
      <c r="N178" s="777">
        <v>1</v>
      </c>
      <c r="O178" s="777">
        <v>1</v>
      </c>
      <c r="P178" s="777">
        <v>178</v>
      </c>
      <c r="Q178" s="777">
        <v>1</v>
      </c>
      <c r="R178" s="777">
        <v>178</v>
      </c>
      <c r="S178" s="777">
        <v>1</v>
      </c>
      <c r="T178" s="777">
        <v>1</v>
      </c>
      <c r="U178" s="1066">
        <v>1</v>
      </c>
      <c r="V178" s="777">
        <v>1</v>
      </c>
      <c r="W178" s="777">
        <v>178</v>
      </c>
      <c r="X178" s="777">
        <v>1</v>
      </c>
      <c r="Y178" s="777">
        <v>1</v>
      </c>
      <c r="Z178" s="777">
        <v>1</v>
      </c>
      <c r="AA178" s="777">
        <v>1</v>
      </c>
      <c r="AB178" s="777">
        <v>1</v>
      </c>
      <c r="AC178" s="777">
        <v>1</v>
      </c>
      <c r="AD178" s="777">
        <v>1</v>
      </c>
      <c r="AE178" s="777">
        <v>1</v>
      </c>
      <c r="AF178" s="777">
        <v>1</v>
      </c>
      <c r="AG178" s="777">
        <v>1</v>
      </c>
      <c r="AH178" s="777">
        <v>1</v>
      </c>
      <c r="AI178" s="777">
        <v>1</v>
      </c>
      <c r="AJ178" s="777">
        <v>1</v>
      </c>
      <c r="AK178" s="777">
        <v>1</v>
      </c>
      <c r="AL178" s="777">
        <v>1</v>
      </c>
      <c r="AM178" s="777">
        <v>1</v>
      </c>
      <c r="AN178" s="777">
        <v>1</v>
      </c>
      <c r="AO178" s="777">
        <v>178</v>
      </c>
    </row>
    <row r="179" spans="1:41" x14ac:dyDescent="0.25">
      <c r="A179" s="1141">
        <v>178</v>
      </c>
      <c r="B179" s="804">
        <v>179</v>
      </c>
      <c r="C179" s="1066">
        <v>179</v>
      </c>
      <c r="D179" s="1066">
        <v>179</v>
      </c>
      <c r="E179" s="1066">
        <v>179</v>
      </c>
      <c r="F179" s="777">
        <v>1</v>
      </c>
      <c r="G179" s="777">
        <v>179</v>
      </c>
      <c r="H179" s="777">
        <v>1</v>
      </c>
      <c r="I179" s="777">
        <v>1</v>
      </c>
      <c r="J179" s="777">
        <v>1</v>
      </c>
      <c r="K179" s="777">
        <v>1</v>
      </c>
      <c r="L179" s="777">
        <v>1</v>
      </c>
      <c r="M179" s="777">
        <v>1</v>
      </c>
      <c r="N179" s="777">
        <v>1</v>
      </c>
      <c r="O179" s="777">
        <v>1</v>
      </c>
      <c r="P179" s="777">
        <v>1</v>
      </c>
      <c r="Q179" s="777">
        <v>1</v>
      </c>
      <c r="R179" s="777">
        <v>1</v>
      </c>
      <c r="S179" s="777">
        <v>1</v>
      </c>
      <c r="T179" s="777">
        <v>1</v>
      </c>
      <c r="U179" s="1066">
        <v>1</v>
      </c>
      <c r="V179" s="777">
        <v>1</v>
      </c>
      <c r="W179" s="777">
        <v>179</v>
      </c>
      <c r="X179" s="777">
        <v>1</v>
      </c>
      <c r="Y179" s="777">
        <v>1</v>
      </c>
      <c r="Z179" s="777">
        <v>1</v>
      </c>
      <c r="AA179" s="777">
        <v>1</v>
      </c>
      <c r="AB179" s="777">
        <v>1</v>
      </c>
      <c r="AC179" s="777">
        <v>1</v>
      </c>
      <c r="AD179" s="777">
        <v>1</v>
      </c>
      <c r="AE179" s="777">
        <v>1</v>
      </c>
      <c r="AF179" s="777">
        <v>1</v>
      </c>
      <c r="AG179" s="777">
        <v>1</v>
      </c>
      <c r="AH179" s="777">
        <v>1</v>
      </c>
      <c r="AI179" s="777">
        <v>1</v>
      </c>
      <c r="AJ179" s="777">
        <v>1</v>
      </c>
      <c r="AK179" s="777">
        <v>1</v>
      </c>
      <c r="AL179" s="777">
        <v>1</v>
      </c>
      <c r="AM179" s="777">
        <v>1</v>
      </c>
      <c r="AN179" s="777">
        <v>179</v>
      </c>
      <c r="AO179" s="777">
        <v>1</v>
      </c>
    </row>
    <row r="180" spans="1:41" x14ac:dyDescent="0.25">
      <c r="A180" s="1141">
        <v>179</v>
      </c>
      <c r="B180" s="804">
        <v>180</v>
      </c>
      <c r="C180" s="1066">
        <v>180</v>
      </c>
      <c r="D180" s="1066">
        <v>180</v>
      </c>
      <c r="E180" s="1066">
        <v>180</v>
      </c>
      <c r="F180" s="777">
        <v>1</v>
      </c>
      <c r="G180" s="777">
        <v>1</v>
      </c>
      <c r="H180" s="777">
        <v>1</v>
      </c>
      <c r="I180" s="777">
        <v>1</v>
      </c>
      <c r="J180" s="777">
        <v>1</v>
      </c>
      <c r="K180" s="777">
        <v>1</v>
      </c>
      <c r="L180" s="777">
        <v>1</v>
      </c>
      <c r="M180" s="777">
        <v>1</v>
      </c>
      <c r="N180" s="777">
        <v>1</v>
      </c>
      <c r="O180" s="777">
        <v>1</v>
      </c>
      <c r="P180" s="777">
        <v>1</v>
      </c>
      <c r="Q180" s="777">
        <v>1</v>
      </c>
      <c r="R180" s="777">
        <v>1</v>
      </c>
      <c r="S180" s="777">
        <v>1</v>
      </c>
      <c r="T180" s="777">
        <v>1</v>
      </c>
      <c r="U180" s="1066">
        <v>1</v>
      </c>
      <c r="V180" s="777">
        <v>1</v>
      </c>
      <c r="W180" s="777">
        <v>180</v>
      </c>
      <c r="X180" s="777">
        <v>1</v>
      </c>
      <c r="Y180" s="777">
        <v>1</v>
      </c>
      <c r="Z180" s="777">
        <v>1</v>
      </c>
      <c r="AA180" s="777">
        <v>1</v>
      </c>
      <c r="AB180" s="777">
        <v>1</v>
      </c>
      <c r="AC180" s="777">
        <v>1</v>
      </c>
      <c r="AD180" s="777">
        <v>1</v>
      </c>
      <c r="AE180" s="777">
        <v>1</v>
      </c>
      <c r="AF180" s="777">
        <v>1</v>
      </c>
      <c r="AG180" s="777">
        <v>1</v>
      </c>
      <c r="AH180" s="777">
        <v>1</v>
      </c>
      <c r="AI180" s="777">
        <v>1</v>
      </c>
      <c r="AJ180" s="777">
        <v>1</v>
      </c>
      <c r="AK180" s="777">
        <v>1</v>
      </c>
      <c r="AL180" s="777">
        <v>1</v>
      </c>
      <c r="AM180" s="777">
        <v>1</v>
      </c>
      <c r="AN180" s="777">
        <v>1</v>
      </c>
      <c r="AO180" s="777">
        <v>1</v>
      </c>
    </row>
    <row r="181" spans="1:41" x14ac:dyDescent="0.25">
      <c r="A181" s="1141">
        <v>180</v>
      </c>
      <c r="B181" s="804">
        <v>181</v>
      </c>
      <c r="C181" s="1066">
        <v>181</v>
      </c>
      <c r="D181" s="1066">
        <v>181</v>
      </c>
      <c r="E181" s="1066">
        <v>181</v>
      </c>
      <c r="F181" s="777">
        <v>1</v>
      </c>
      <c r="G181" s="777">
        <v>181</v>
      </c>
      <c r="H181" s="777">
        <v>1</v>
      </c>
      <c r="I181" s="777">
        <v>1</v>
      </c>
      <c r="J181" s="777">
        <v>1</v>
      </c>
      <c r="K181" s="777">
        <v>1</v>
      </c>
      <c r="L181" s="777">
        <v>1</v>
      </c>
      <c r="M181" s="777">
        <v>1</v>
      </c>
      <c r="N181" s="777">
        <v>1</v>
      </c>
      <c r="O181" s="777">
        <v>1</v>
      </c>
      <c r="P181" s="777">
        <v>1</v>
      </c>
      <c r="Q181" s="777">
        <v>1</v>
      </c>
      <c r="R181" s="777">
        <v>1</v>
      </c>
      <c r="S181" s="777">
        <v>1</v>
      </c>
      <c r="T181" s="777">
        <v>1</v>
      </c>
      <c r="U181" s="1066">
        <v>1</v>
      </c>
      <c r="V181" s="777">
        <v>1</v>
      </c>
      <c r="W181" s="777">
        <v>181</v>
      </c>
      <c r="X181" s="777">
        <v>1</v>
      </c>
      <c r="Y181" s="777">
        <v>1</v>
      </c>
      <c r="Z181" s="777">
        <v>1</v>
      </c>
      <c r="AA181" s="777">
        <v>1</v>
      </c>
      <c r="AB181" s="777">
        <v>1</v>
      </c>
      <c r="AC181" s="777">
        <v>1</v>
      </c>
      <c r="AD181" s="777">
        <v>1</v>
      </c>
      <c r="AE181" s="777">
        <v>1</v>
      </c>
      <c r="AF181" s="777">
        <v>1</v>
      </c>
      <c r="AG181" s="777">
        <v>1</v>
      </c>
      <c r="AH181" s="777">
        <v>1</v>
      </c>
      <c r="AI181" s="777">
        <v>1</v>
      </c>
      <c r="AJ181" s="777">
        <v>1</v>
      </c>
      <c r="AK181" s="777">
        <v>1</v>
      </c>
      <c r="AL181" s="777">
        <v>1</v>
      </c>
      <c r="AM181" s="777">
        <v>1</v>
      </c>
      <c r="AN181" s="777">
        <v>1</v>
      </c>
      <c r="AO181" s="777">
        <v>1</v>
      </c>
    </row>
    <row r="182" spans="1:41" x14ac:dyDescent="0.25">
      <c r="A182" s="1141">
        <v>181</v>
      </c>
      <c r="B182" s="804">
        <v>182</v>
      </c>
      <c r="C182" s="1066">
        <v>182</v>
      </c>
      <c r="D182" s="777">
        <v>1</v>
      </c>
      <c r="E182" s="777">
        <v>1</v>
      </c>
      <c r="F182" s="777">
        <v>1</v>
      </c>
      <c r="G182" s="777">
        <v>182</v>
      </c>
      <c r="H182" s="777">
        <v>1</v>
      </c>
      <c r="I182" s="1066">
        <v>182</v>
      </c>
      <c r="J182" s="777">
        <v>1</v>
      </c>
      <c r="K182" s="777">
        <v>1</v>
      </c>
      <c r="L182" s="777">
        <v>1</v>
      </c>
      <c r="M182" s="777">
        <v>182</v>
      </c>
      <c r="N182" s="777">
        <v>1</v>
      </c>
      <c r="O182" s="777">
        <v>1</v>
      </c>
      <c r="P182" s="777">
        <v>1</v>
      </c>
      <c r="Q182" s="777">
        <v>1</v>
      </c>
      <c r="R182" s="777">
        <v>182</v>
      </c>
      <c r="S182" s="777">
        <v>1</v>
      </c>
      <c r="T182" s="777">
        <v>182</v>
      </c>
      <c r="U182" s="777">
        <v>1</v>
      </c>
      <c r="V182" s="777">
        <v>1</v>
      </c>
      <c r="W182" s="1066">
        <v>182</v>
      </c>
      <c r="X182" s="1066">
        <v>182</v>
      </c>
      <c r="Y182" s="777">
        <v>1</v>
      </c>
      <c r="Z182" s="777">
        <v>1</v>
      </c>
      <c r="AA182" s="777">
        <v>1</v>
      </c>
      <c r="AB182" s="777">
        <v>1</v>
      </c>
      <c r="AC182" s="777">
        <v>1</v>
      </c>
      <c r="AD182" s="777">
        <v>1</v>
      </c>
      <c r="AE182" s="777">
        <v>1</v>
      </c>
      <c r="AF182" s="777">
        <v>182</v>
      </c>
      <c r="AG182" s="777">
        <v>1</v>
      </c>
      <c r="AH182" s="777">
        <v>1</v>
      </c>
      <c r="AI182" s="777">
        <v>1</v>
      </c>
      <c r="AJ182" s="777">
        <v>1</v>
      </c>
      <c r="AK182" s="777">
        <v>1</v>
      </c>
      <c r="AL182" s="777">
        <v>1</v>
      </c>
      <c r="AM182" s="777">
        <v>182</v>
      </c>
      <c r="AN182" s="777">
        <v>1</v>
      </c>
      <c r="AO182" s="1066">
        <v>182</v>
      </c>
    </row>
    <row r="183" spans="1:41" x14ac:dyDescent="0.25">
      <c r="A183" s="1141">
        <v>182</v>
      </c>
      <c r="B183" s="804">
        <v>183</v>
      </c>
      <c r="C183" s="777">
        <v>183</v>
      </c>
      <c r="D183" s="777">
        <v>1</v>
      </c>
      <c r="E183" s="777">
        <v>1</v>
      </c>
      <c r="F183" s="777">
        <v>1</v>
      </c>
      <c r="G183" s="777">
        <v>1</v>
      </c>
      <c r="H183" s="777">
        <v>1</v>
      </c>
      <c r="I183" s="1066">
        <v>1</v>
      </c>
      <c r="J183" s="777">
        <v>1</v>
      </c>
      <c r="K183" s="777">
        <v>1</v>
      </c>
      <c r="L183" s="777">
        <v>1</v>
      </c>
      <c r="M183" s="777">
        <v>1</v>
      </c>
      <c r="N183" s="777">
        <v>1</v>
      </c>
      <c r="O183" s="777">
        <v>1</v>
      </c>
      <c r="P183" s="777">
        <v>1</v>
      </c>
      <c r="Q183" s="777">
        <v>1</v>
      </c>
      <c r="R183" s="777">
        <v>1</v>
      </c>
      <c r="S183" s="777">
        <v>1</v>
      </c>
      <c r="T183" s="777">
        <v>1</v>
      </c>
      <c r="U183" s="777">
        <v>1</v>
      </c>
      <c r="V183" s="777">
        <v>1</v>
      </c>
      <c r="W183" s="1066">
        <v>183</v>
      </c>
      <c r="X183" s="1066">
        <v>183</v>
      </c>
      <c r="Y183" s="777">
        <v>1</v>
      </c>
      <c r="Z183" s="777">
        <v>1</v>
      </c>
      <c r="AA183" s="777">
        <v>183</v>
      </c>
      <c r="AB183" s="777">
        <v>1</v>
      </c>
      <c r="AC183" s="777">
        <v>1</v>
      </c>
      <c r="AD183" s="777">
        <v>1</v>
      </c>
      <c r="AE183" s="777">
        <v>1</v>
      </c>
      <c r="AF183" s="777">
        <v>1</v>
      </c>
      <c r="AG183" s="777">
        <v>1</v>
      </c>
      <c r="AH183" s="777">
        <v>1</v>
      </c>
      <c r="AI183" s="777">
        <v>1</v>
      </c>
      <c r="AJ183" s="777">
        <v>1</v>
      </c>
      <c r="AK183" s="777">
        <v>1</v>
      </c>
      <c r="AL183" s="777">
        <v>1</v>
      </c>
      <c r="AM183" s="777">
        <v>1</v>
      </c>
      <c r="AN183" s="777">
        <v>1</v>
      </c>
      <c r="AO183" s="777">
        <v>1</v>
      </c>
    </row>
    <row r="184" spans="1:41" x14ac:dyDescent="0.25">
      <c r="A184" s="1141">
        <v>183</v>
      </c>
      <c r="B184" s="804">
        <v>184</v>
      </c>
      <c r="C184" s="1066">
        <v>184</v>
      </c>
      <c r="D184" s="1066">
        <v>184</v>
      </c>
      <c r="E184" s="777">
        <v>1</v>
      </c>
      <c r="F184" s="777">
        <v>1</v>
      </c>
      <c r="G184" s="777">
        <v>1</v>
      </c>
      <c r="H184" s="777">
        <v>1</v>
      </c>
      <c r="I184" s="777">
        <v>1</v>
      </c>
      <c r="J184" s="777">
        <v>1</v>
      </c>
      <c r="K184" s="777">
        <v>1</v>
      </c>
      <c r="L184" s="777">
        <v>1</v>
      </c>
      <c r="M184" s="777">
        <v>1</v>
      </c>
      <c r="N184" s="777">
        <v>1</v>
      </c>
      <c r="O184" s="1066">
        <v>184</v>
      </c>
      <c r="P184" s="777">
        <v>1</v>
      </c>
      <c r="Q184" s="777">
        <v>1</v>
      </c>
      <c r="R184" s="777">
        <v>1</v>
      </c>
      <c r="S184" s="777">
        <v>1</v>
      </c>
      <c r="T184" s="777">
        <v>1</v>
      </c>
      <c r="U184" s="777">
        <v>1</v>
      </c>
      <c r="V184" s="777">
        <v>1</v>
      </c>
      <c r="W184" s="777">
        <v>1</v>
      </c>
      <c r="X184" s="777">
        <v>1</v>
      </c>
      <c r="Y184" s="777">
        <v>1</v>
      </c>
      <c r="Z184" s="777">
        <v>1</v>
      </c>
      <c r="AA184" s="777">
        <v>1</v>
      </c>
      <c r="AB184" s="777">
        <v>1</v>
      </c>
      <c r="AC184" s="777">
        <v>1</v>
      </c>
      <c r="AD184" s="777">
        <v>1</v>
      </c>
      <c r="AE184" s="777">
        <v>1</v>
      </c>
      <c r="AF184" s="777">
        <v>1</v>
      </c>
      <c r="AG184" s="777">
        <v>1</v>
      </c>
      <c r="AH184" s="777">
        <v>1</v>
      </c>
      <c r="AI184" s="1066">
        <v>184</v>
      </c>
      <c r="AJ184" s="777">
        <v>1</v>
      </c>
      <c r="AK184" s="777">
        <v>1</v>
      </c>
      <c r="AL184" s="777">
        <v>1</v>
      </c>
      <c r="AM184" s="777">
        <v>1</v>
      </c>
      <c r="AN184" s="777">
        <v>1</v>
      </c>
      <c r="AO184" s="777">
        <v>1</v>
      </c>
    </row>
    <row r="185" spans="1:41" x14ac:dyDescent="0.25">
      <c r="A185" s="1141">
        <v>184</v>
      </c>
      <c r="B185" s="804">
        <v>185</v>
      </c>
      <c r="C185" s="777">
        <v>185</v>
      </c>
      <c r="D185" s="777">
        <v>185</v>
      </c>
      <c r="E185" s="777">
        <v>1</v>
      </c>
      <c r="F185" s="777">
        <v>1</v>
      </c>
      <c r="G185" s="777">
        <v>1</v>
      </c>
      <c r="H185" s="777">
        <v>1</v>
      </c>
      <c r="I185" s="777">
        <v>1</v>
      </c>
      <c r="J185" s="777">
        <v>1</v>
      </c>
      <c r="K185" s="777">
        <v>1</v>
      </c>
      <c r="L185" s="777">
        <v>1</v>
      </c>
      <c r="M185" s="777">
        <v>1</v>
      </c>
      <c r="N185" s="777">
        <v>1</v>
      </c>
      <c r="O185" s="777">
        <v>1</v>
      </c>
      <c r="P185" s="777">
        <v>1</v>
      </c>
      <c r="Q185" s="777">
        <v>1</v>
      </c>
      <c r="R185" s="777">
        <v>1</v>
      </c>
      <c r="S185" s="777">
        <v>1</v>
      </c>
      <c r="T185" s="777">
        <v>1</v>
      </c>
      <c r="U185" s="777">
        <v>1</v>
      </c>
      <c r="V185" s="777">
        <v>1</v>
      </c>
      <c r="W185" s="1066">
        <v>185</v>
      </c>
      <c r="X185" s="777">
        <v>1</v>
      </c>
      <c r="Y185" s="777">
        <v>1</v>
      </c>
      <c r="Z185" s="777">
        <v>1</v>
      </c>
      <c r="AA185" s="777">
        <v>1</v>
      </c>
      <c r="AB185" s="777">
        <v>1</v>
      </c>
      <c r="AC185" s="777">
        <v>1</v>
      </c>
      <c r="AD185" s="777">
        <v>1</v>
      </c>
      <c r="AE185" s="777">
        <v>1</v>
      </c>
      <c r="AF185" s="777">
        <v>185</v>
      </c>
      <c r="AG185" s="777">
        <v>1</v>
      </c>
      <c r="AH185" s="777">
        <v>1</v>
      </c>
      <c r="AI185" s="1066">
        <v>185</v>
      </c>
      <c r="AJ185" s="1066">
        <v>185</v>
      </c>
      <c r="AK185" s="1066">
        <v>185</v>
      </c>
      <c r="AL185" s="777">
        <v>1</v>
      </c>
      <c r="AM185" s="777">
        <v>1</v>
      </c>
      <c r="AN185" s="777">
        <v>1</v>
      </c>
      <c r="AO185" s="777">
        <v>1</v>
      </c>
    </row>
    <row r="186" spans="1:41" x14ac:dyDescent="0.25">
      <c r="A186" s="1141">
        <v>185</v>
      </c>
      <c r="B186" s="804">
        <v>186</v>
      </c>
      <c r="C186" s="1066">
        <v>186</v>
      </c>
      <c r="D186" s="777">
        <v>1</v>
      </c>
      <c r="E186" s="777">
        <v>1</v>
      </c>
      <c r="F186" s="777">
        <v>1</v>
      </c>
      <c r="G186" s="777">
        <v>1</v>
      </c>
      <c r="H186" s="777">
        <v>1</v>
      </c>
      <c r="I186" s="1066">
        <v>186</v>
      </c>
      <c r="J186" s="777">
        <v>1</v>
      </c>
      <c r="K186" s="777">
        <v>1</v>
      </c>
      <c r="L186" s="777">
        <v>1</v>
      </c>
      <c r="M186" s="777">
        <v>1</v>
      </c>
      <c r="N186" s="777">
        <v>1</v>
      </c>
      <c r="O186" s="1066">
        <v>186</v>
      </c>
      <c r="P186" s="777">
        <v>1</v>
      </c>
      <c r="Q186" s="777">
        <v>1</v>
      </c>
      <c r="R186" s="777">
        <v>1</v>
      </c>
      <c r="S186" s="777">
        <v>1</v>
      </c>
      <c r="T186" s="777">
        <v>1</v>
      </c>
      <c r="U186" s="777">
        <v>1</v>
      </c>
      <c r="V186" s="777">
        <v>1</v>
      </c>
      <c r="W186" s="777">
        <v>1</v>
      </c>
      <c r="X186" s="777">
        <v>1</v>
      </c>
      <c r="Y186" s="777">
        <v>1</v>
      </c>
      <c r="Z186" s="777">
        <v>1</v>
      </c>
      <c r="AA186" s="777">
        <v>1</v>
      </c>
      <c r="AB186" s="777">
        <v>1</v>
      </c>
      <c r="AC186" s="777">
        <v>1</v>
      </c>
      <c r="AD186" s="777">
        <v>1</v>
      </c>
      <c r="AE186" s="777">
        <v>1</v>
      </c>
      <c r="AF186" s="777">
        <v>1</v>
      </c>
      <c r="AG186" s="777">
        <v>1</v>
      </c>
      <c r="AH186" s="777">
        <v>1</v>
      </c>
      <c r="AI186" s="1066">
        <v>186</v>
      </c>
      <c r="AJ186" s="777">
        <v>1</v>
      </c>
      <c r="AK186" s="777">
        <v>1</v>
      </c>
      <c r="AL186" s="1066">
        <v>186</v>
      </c>
      <c r="AM186" s="777">
        <v>1</v>
      </c>
      <c r="AN186" s="777">
        <v>1</v>
      </c>
      <c r="AO186" s="777">
        <v>1</v>
      </c>
    </row>
    <row r="187" spans="1:41" x14ac:dyDescent="0.25">
      <c r="A187" s="1141">
        <v>186</v>
      </c>
      <c r="B187" s="804">
        <v>187</v>
      </c>
      <c r="C187" s="1066">
        <v>187</v>
      </c>
      <c r="D187" s="1066">
        <v>187</v>
      </c>
      <c r="E187" s="777">
        <v>1</v>
      </c>
      <c r="F187" s="777">
        <v>1</v>
      </c>
      <c r="G187" s="777">
        <v>1</v>
      </c>
      <c r="H187" s="777">
        <v>1</v>
      </c>
      <c r="I187" s="777">
        <v>1</v>
      </c>
      <c r="J187" s="777">
        <v>1</v>
      </c>
      <c r="K187" s="777">
        <v>1</v>
      </c>
      <c r="L187" s="777">
        <v>1</v>
      </c>
      <c r="M187" s="777">
        <v>1</v>
      </c>
      <c r="N187" s="777">
        <v>1</v>
      </c>
      <c r="O187" s="777">
        <v>1</v>
      </c>
      <c r="P187" s="1066">
        <v>187</v>
      </c>
      <c r="Q187" s="777">
        <v>1</v>
      </c>
      <c r="R187" s="777">
        <v>1</v>
      </c>
      <c r="S187" s="777">
        <v>1</v>
      </c>
      <c r="T187" s="777">
        <v>1</v>
      </c>
      <c r="U187" s="777">
        <v>1</v>
      </c>
      <c r="V187" s="1066">
        <v>1</v>
      </c>
      <c r="W187" s="777">
        <v>1</v>
      </c>
      <c r="X187" s="777">
        <v>1</v>
      </c>
      <c r="Y187" s="777">
        <v>1</v>
      </c>
      <c r="Z187" s="777">
        <v>1</v>
      </c>
      <c r="AA187" s="777">
        <v>1</v>
      </c>
      <c r="AB187" s="777">
        <v>1</v>
      </c>
      <c r="AC187" s="777">
        <v>1</v>
      </c>
      <c r="AD187" s="777">
        <v>1</v>
      </c>
      <c r="AE187" s="777">
        <v>1</v>
      </c>
      <c r="AF187" s="777">
        <v>1</v>
      </c>
      <c r="AG187" s="777">
        <v>1</v>
      </c>
      <c r="AH187" s="777">
        <v>1</v>
      </c>
      <c r="AI187" s="777">
        <v>1</v>
      </c>
      <c r="AJ187" s="777">
        <v>1</v>
      </c>
      <c r="AK187" s="777">
        <v>1</v>
      </c>
      <c r="AL187" s="777">
        <v>1</v>
      </c>
      <c r="AM187" s="777">
        <v>1</v>
      </c>
      <c r="AN187" s="777">
        <v>1</v>
      </c>
      <c r="AO187" s="777">
        <v>1</v>
      </c>
    </row>
    <row r="188" spans="1:41" x14ac:dyDescent="0.25">
      <c r="A188" s="1141">
        <v>187</v>
      </c>
      <c r="B188" s="804">
        <v>188</v>
      </c>
      <c r="C188" s="777">
        <v>188</v>
      </c>
      <c r="D188" s="1066">
        <v>188</v>
      </c>
      <c r="E188" s="777">
        <v>1</v>
      </c>
      <c r="F188" s="777">
        <v>1</v>
      </c>
      <c r="G188" s="777">
        <v>1</v>
      </c>
      <c r="H188" s="777">
        <v>1</v>
      </c>
      <c r="I188" s="777">
        <v>1</v>
      </c>
      <c r="J188" s="777">
        <v>1</v>
      </c>
      <c r="K188" s="777">
        <v>1</v>
      </c>
      <c r="L188" s="777">
        <v>1</v>
      </c>
      <c r="M188" s="777">
        <v>1</v>
      </c>
      <c r="N188" s="777">
        <v>1</v>
      </c>
      <c r="O188" s="777">
        <v>1</v>
      </c>
      <c r="P188" s="777">
        <v>1</v>
      </c>
      <c r="Q188" s="777">
        <v>1</v>
      </c>
      <c r="R188" s="777">
        <v>188</v>
      </c>
      <c r="S188" s="777">
        <v>1</v>
      </c>
      <c r="T188" s="777">
        <v>1</v>
      </c>
      <c r="U188" s="777">
        <v>1</v>
      </c>
      <c r="V188" s="1066">
        <v>1</v>
      </c>
      <c r="W188" s="777">
        <v>188</v>
      </c>
      <c r="X188" s="777">
        <v>1</v>
      </c>
      <c r="Y188" s="777">
        <v>1</v>
      </c>
      <c r="Z188" s="1066">
        <v>188</v>
      </c>
      <c r="AA188" s="777">
        <v>1</v>
      </c>
      <c r="AB188" s="777">
        <v>1</v>
      </c>
      <c r="AC188" s="777">
        <v>1</v>
      </c>
      <c r="AD188" s="777">
        <v>1</v>
      </c>
      <c r="AE188" s="1066">
        <v>1</v>
      </c>
      <c r="AF188" s="777">
        <v>1</v>
      </c>
      <c r="AG188" s="777">
        <v>1</v>
      </c>
      <c r="AH188" s="1066">
        <v>188</v>
      </c>
      <c r="AI188" s="777">
        <v>1</v>
      </c>
      <c r="AJ188" s="777">
        <v>1</v>
      </c>
      <c r="AK188" s="777">
        <v>1</v>
      </c>
      <c r="AL188" s="777">
        <v>1</v>
      </c>
      <c r="AM188" s="777">
        <v>1</v>
      </c>
      <c r="AN188" s="777">
        <v>1</v>
      </c>
      <c r="AO188" s="777">
        <v>1</v>
      </c>
    </row>
    <row r="189" spans="1:41" x14ac:dyDescent="0.25">
      <c r="A189" s="1141">
        <v>188</v>
      </c>
      <c r="B189" s="804">
        <v>189</v>
      </c>
      <c r="C189" s="1066">
        <v>189</v>
      </c>
      <c r="D189" s="777">
        <v>189</v>
      </c>
      <c r="E189" s="1066">
        <v>189</v>
      </c>
      <c r="F189" s="777">
        <v>1</v>
      </c>
      <c r="G189" s="777">
        <v>1</v>
      </c>
      <c r="H189" s="777">
        <v>1</v>
      </c>
      <c r="I189" s="777">
        <v>1</v>
      </c>
      <c r="J189" s="777">
        <v>1</v>
      </c>
      <c r="K189" s="777">
        <v>1</v>
      </c>
      <c r="L189" s="777">
        <v>1</v>
      </c>
      <c r="M189" s="777">
        <v>1</v>
      </c>
      <c r="N189" s="777">
        <v>1</v>
      </c>
      <c r="O189" s="1066">
        <v>189</v>
      </c>
      <c r="P189" s="1066">
        <v>189</v>
      </c>
      <c r="Q189" s="777">
        <v>1</v>
      </c>
      <c r="R189" s="777">
        <v>1</v>
      </c>
      <c r="S189" s="777">
        <v>1</v>
      </c>
      <c r="T189" s="777">
        <v>1</v>
      </c>
      <c r="U189" s="777">
        <v>1</v>
      </c>
      <c r="V189" s="1066">
        <v>189</v>
      </c>
      <c r="W189" s="777">
        <v>1</v>
      </c>
      <c r="X189" s="777">
        <v>1</v>
      </c>
      <c r="Y189" s="777">
        <v>1</v>
      </c>
      <c r="Z189" s="777">
        <v>1</v>
      </c>
      <c r="AA189" s="1066">
        <v>189</v>
      </c>
      <c r="AB189" s="777">
        <v>1</v>
      </c>
      <c r="AC189" s="777">
        <v>1</v>
      </c>
      <c r="AD189" s="777">
        <v>1</v>
      </c>
      <c r="AE189" s="1066">
        <v>1</v>
      </c>
      <c r="AF189" s="777">
        <v>1</v>
      </c>
      <c r="AG189" s="777">
        <v>1</v>
      </c>
      <c r="AH189" s="1066">
        <v>189</v>
      </c>
      <c r="AI189" s="1066">
        <v>189</v>
      </c>
      <c r="AJ189" s="777">
        <v>1</v>
      </c>
      <c r="AK189" s="777">
        <v>1</v>
      </c>
      <c r="AL189" s="777">
        <v>1</v>
      </c>
      <c r="AM189" s="777">
        <v>1</v>
      </c>
      <c r="AN189" s="777">
        <v>1</v>
      </c>
      <c r="AO189" s="777">
        <v>1</v>
      </c>
    </row>
    <row r="190" spans="1:41" x14ac:dyDescent="0.25">
      <c r="A190" s="1141">
        <v>189</v>
      </c>
      <c r="B190" s="804">
        <v>190</v>
      </c>
      <c r="C190" s="777">
        <v>190</v>
      </c>
      <c r="D190" s="777">
        <v>1</v>
      </c>
      <c r="E190" s="777">
        <v>1</v>
      </c>
      <c r="F190" s="777">
        <v>1</v>
      </c>
      <c r="G190" s="777">
        <v>1</v>
      </c>
      <c r="H190" s="777">
        <v>1</v>
      </c>
      <c r="I190" s="777">
        <v>1</v>
      </c>
      <c r="J190" s="777">
        <v>1</v>
      </c>
      <c r="K190" s="777">
        <v>1</v>
      </c>
      <c r="L190" s="777">
        <v>1</v>
      </c>
      <c r="M190" s="777">
        <v>1</v>
      </c>
      <c r="N190" s="777">
        <v>1</v>
      </c>
      <c r="O190" s="777">
        <v>1</v>
      </c>
      <c r="P190" s="777">
        <v>1</v>
      </c>
      <c r="Q190" s="777">
        <v>1</v>
      </c>
      <c r="R190" s="777">
        <v>190</v>
      </c>
      <c r="S190" s="777">
        <v>1</v>
      </c>
      <c r="T190" s="777">
        <v>1</v>
      </c>
      <c r="U190" s="777">
        <v>1</v>
      </c>
      <c r="V190" s="777">
        <v>1</v>
      </c>
      <c r="W190" s="1066">
        <v>190</v>
      </c>
      <c r="X190" s="777">
        <v>1</v>
      </c>
      <c r="Y190" s="777">
        <v>1</v>
      </c>
      <c r="Z190" s="777">
        <v>1</v>
      </c>
      <c r="AA190" s="777">
        <v>1</v>
      </c>
      <c r="AB190" s="777">
        <v>1</v>
      </c>
      <c r="AC190" s="777">
        <v>1</v>
      </c>
      <c r="AD190" s="777">
        <v>1</v>
      </c>
      <c r="AE190" s="777">
        <v>1</v>
      </c>
      <c r="AF190" s="777">
        <v>1</v>
      </c>
      <c r="AG190" s="777">
        <v>1</v>
      </c>
      <c r="AH190" s="777">
        <v>1</v>
      </c>
      <c r="AI190" s="777">
        <v>1</v>
      </c>
      <c r="AJ190" s="777">
        <v>1</v>
      </c>
      <c r="AK190" s="777">
        <v>1</v>
      </c>
      <c r="AL190" s="777">
        <v>1</v>
      </c>
      <c r="AM190" s="1066">
        <v>190</v>
      </c>
      <c r="AN190" s="777">
        <v>1</v>
      </c>
      <c r="AO190" s="1066">
        <v>190</v>
      </c>
    </row>
    <row r="191" spans="1:41" x14ac:dyDescent="0.25">
      <c r="A191" s="1141">
        <v>190</v>
      </c>
      <c r="B191" s="804">
        <v>191</v>
      </c>
      <c r="C191" s="777">
        <v>191</v>
      </c>
      <c r="D191" s="777">
        <v>1</v>
      </c>
      <c r="E191" s="1066">
        <v>191</v>
      </c>
      <c r="F191" s="1066">
        <v>191</v>
      </c>
      <c r="G191" s="1066">
        <v>191</v>
      </c>
      <c r="H191" s="777">
        <v>1</v>
      </c>
      <c r="I191" s="777">
        <v>1</v>
      </c>
      <c r="J191" s="777">
        <v>1</v>
      </c>
      <c r="K191" s="777">
        <v>1</v>
      </c>
      <c r="L191" s="777">
        <v>1</v>
      </c>
      <c r="M191" s="777">
        <v>1</v>
      </c>
      <c r="N191" s="1066">
        <v>191</v>
      </c>
      <c r="O191" s="777">
        <v>1</v>
      </c>
      <c r="P191" s="777">
        <v>1</v>
      </c>
      <c r="Q191" s="777">
        <v>1</v>
      </c>
      <c r="R191" s="777">
        <v>191</v>
      </c>
      <c r="S191" s="777">
        <v>1</v>
      </c>
      <c r="T191" s="1066">
        <v>191</v>
      </c>
      <c r="U191" s="777">
        <v>1</v>
      </c>
      <c r="V191" s="777">
        <v>1</v>
      </c>
      <c r="W191" s="777">
        <v>191</v>
      </c>
      <c r="X191" s="777">
        <v>1</v>
      </c>
      <c r="Y191" s="777">
        <v>1</v>
      </c>
      <c r="Z191" s="777">
        <v>1</v>
      </c>
      <c r="AA191" s="777">
        <v>1</v>
      </c>
      <c r="AB191" s="777">
        <v>1</v>
      </c>
      <c r="AC191" s="1066">
        <v>191</v>
      </c>
      <c r="AD191" s="777">
        <v>1</v>
      </c>
      <c r="AE191" s="1066">
        <v>191</v>
      </c>
      <c r="AF191" s="777">
        <v>1</v>
      </c>
      <c r="AG191" s="777">
        <v>1</v>
      </c>
      <c r="AH191" s="777">
        <v>1</v>
      </c>
      <c r="AI191" s="777">
        <v>1</v>
      </c>
      <c r="AJ191" s="777">
        <v>1</v>
      </c>
      <c r="AK191" s="777">
        <v>1</v>
      </c>
      <c r="AL191" s="777">
        <v>1</v>
      </c>
      <c r="AM191" s="777">
        <v>1</v>
      </c>
      <c r="AN191" s="777">
        <v>1</v>
      </c>
      <c r="AO191" s="777">
        <v>1</v>
      </c>
    </row>
    <row r="192" spans="1:41" x14ac:dyDescent="0.25">
      <c r="A192" s="1141">
        <v>191</v>
      </c>
      <c r="B192" s="804">
        <v>192</v>
      </c>
      <c r="C192" s="777">
        <v>1</v>
      </c>
      <c r="D192" s="777">
        <v>1</v>
      </c>
      <c r="E192" s="1066">
        <v>192</v>
      </c>
      <c r="F192" s="1066">
        <v>192</v>
      </c>
      <c r="G192" s="1066">
        <v>192</v>
      </c>
      <c r="H192" s="777">
        <v>1</v>
      </c>
      <c r="I192" s="777">
        <v>1</v>
      </c>
      <c r="J192" s="777">
        <v>1</v>
      </c>
      <c r="K192" s="777">
        <v>1</v>
      </c>
      <c r="L192" s="777">
        <v>1</v>
      </c>
      <c r="M192" s="777">
        <v>1</v>
      </c>
      <c r="N192" s="1066">
        <v>192</v>
      </c>
      <c r="O192" s="777">
        <v>192</v>
      </c>
      <c r="P192" s="777">
        <v>1</v>
      </c>
      <c r="Q192" s="777">
        <v>1</v>
      </c>
      <c r="R192" s="777">
        <v>1</v>
      </c>
      <c r="S192" s="777">
        <v>1</v>
      </c>
      <c r="T192" s="1066">
        <v>192</v>
      </c>
      <c r="U192" s="777">
        <v>1</v>
      </c>
      <c r="V192" s="777">
        <v>1</v>
      </c>
      <c r="W192" s="777">
        <v>192</v>
      </c>
      <c r="X192" s="777">
        <v>1</v>
      </c>
      <c r="Y192" s="777">
        <v>1</v>
      </c>
      <c r="Z192" s="777">
        <v>1</v>
      </c>
      <c r="AA192" s="777">
        <v>1</v>
      </c>
      <c r="AB192" s="777">
        <v>1</v>
      </c>
      <c r="AC192" s="1066">
        <v>192</v>
      </c>
      <c r="AD192" s="777">
        <v>1</v>
      </c>
      <c r="AE192" s="1066">
        <v>192</v>
      </c>
      <c r="AF192" s="777">
        <v>1</v>
      </c>
      <c r="AG192" s="777">
        <v>1</v>
      </c>
      <c r="AH192" s="777">
        <v>1</v>
      </c>
      <c r="AI192" s="777">
        <v>1</v>
      </c>
      <c r="AJ192" s="777">
        <v>1</v>
      </c>
      <c r="AK192" s="777">
        <v>1</v>
      </c>
      <c r="AL192" s="777">
        <v>1</v>
      </c>
      <c r="AM192" s="777">
        <v>1</v>
      </c>
      <c r="AN192" s="777">
        <v>1</v>
      </c>
      <c r="AO192" s="777">
        <v>1</v>
      </c>
    </row>
    <row r="193" spans="1:41" x14ac:dyDescent="0.25">
      <c r="A193" s="1141">
        <v>192</v>
      </c>
      <c r="B193" s="804">
        <v>193</v>
      </c>
      <c r="C193" s="1066">
        <v>193</v>
      </c>
      <c r="D193" s="777">
        <v>1</v>
      </c>
      <c r="E193" s="777">
        <v>1</v>
      </c>
      <c r="F193" s="777">
        <v>1</v>
      </c>
      <c r="G193" s="777">
        <v>1</v>
      </c>
      <c r="H193" s="777">
        <v>1</v>
      </c>
      <c r="I193" s="777">
        <v>1</v>
      </c>
      <c r="J193" s="1066">
        <v>193</v>
      </c>
      <c r="K193" s="1066">
        <v>1</v>
      </c>
      <c r="L193" s="777">
        <v>1</v>
      </c>
      <c r="M193" s="777">
        <v>1</v>
      </c>
      <c r="N193" s="777">
        <v>1</v>
      </c>
      <c r="O193" s="777">
        <v>1</v>
      </c>
      <c r="P193" s="777">
        <v>1</v>
      </c>
      <c r="Q193" s="777">
        <v>1</v>
      </c>
      <c r="R193" s="777">
        <v>193</v>
      </c>
      <c r="S193" s="777">
        <v>1</v>
      </c>
      <c r="T193" s="777">
        <v>1</v>
      </c>
      <c r="U193" s="777">
        <v>1</v>
      </c>
      <c r="V193" s="777">
        <v>1</v>
      </c>
      <c r="W193" s="777">
        <v>193</v>
      </c>
      <c r="X193" s="777">
        <v>1</v>
      </c>
      <c r="Y193" s="777">
        <v>1</v>
      </c>
      <c r="Z193" s="1066">
        <v>1</v>
      </c>
      <c r="AA193" s="777">
        <v>193</v>
      </c>
      <c r="AB193" s="777">
        <v>1</v>
      </c>
      <c r="AC193" s="777">
        <v>1</v>
      </c>
      <c r="AD193" s="777">
        <v>1</v>
      </c>
      <c r="AE193" s="1066">
        <v>193</v>
      </c>
      <c r="AF193" s="777">
        <v>1</v>
      </c>
      <c r="AG193" s="777">
        <v>1</v>
      </c>
      <c r="AH193" s="777">
        <v>1</v>
      </c>
      <c r="AI193" s="777">
        <v>1</v>
      </c>
      <c r="AJ193" s="777">
        <v>1</v>
      </c>
      <c r="AK193" s="777">
        <v>1</v>
      </c>
      <c r="AL193" s="777">
        <v>1</v>
      </c>
      <c r="AM193" s="777">
        <v>1</v>
      </c>
      <c r="AN193" s="777">
        <v>1</v>
      </c>
      <c r="AO193" s="777">
        <v>1</v>
      </c>
    </row>
    <row r="194" spans="1:41" x14ac:dyDescent="0.25">
      <c r="A194" s="1141">
        <v>193</v>
      </c>
      <c r="B194" s="804">
        <v>194</v>
      </c>
      <c r="C194" s="1066">
        <v>194</v>
      </c>
      <c r="D194" s="777">
        <v>1</v>
      </c>
      <c r="E194" s="777">
        <v>1</v>
      </c>
      <c r="F194" s="777">
        <v>1</v>
      </c>
      <c r="G194" s="777">
        <v>1</v>
      </c>
      <c r="H194" s="777">
        <v>1</v>
      </c>
      <c r="I194" s="777">
        <v>1</v>
      </c>
      <c r="J194" s="1066">
        <v>194</v>
      </c>
      <c r="K194" s="1066">
        <v>1</v>
      </c>
      <c r="L194" s="777">
        <v>1</v>
      </c>
      <c r="M194" s="777">
        <v>1</v>
      </c>
      <c r="N194" s="777">
        <v>1</v>
      </c>
      <c r="O194" s="777">
        <v>1</v>
      </c>
      <c r="P194" s="777">
        <v>1</v>
      </c>
      <c r="Q194" s="777">
        <v>1</v>
      </c>
      <c r="R194" s="777">
        <v>1</v>
      </c>
      <c r="S194" s="777">
        <v>1</v>
      </c>
      <c r="T194" s="777">
        <v>1</v>
      </c>
      <c r="U194" s="777">
        <v>1</v>
      </c>
      <c r="V194" s="777">
        <v>1</v>
      </c>
      <c r="W194" s="1066">
        <v>194</v>
      </c>
      <c r="X194" s="777">
        <v>1</v>
      </c>
      <c r="Y194" s="777">
        <v>1</v>
      </c>
      <c r="Z194" s="1066">
        <v>194</v>
      </c>
      <c r="AA194" s="777">
        <v>1</v>
      </c>
      <c r="AB194" s="777">
        <v>1</v>
      </c>
      <c r="AC194" s="777">
        <v>1</v>
      </c>
      <c r="AD194" s="777">
        <v>1</v>
      </c>
      <c r="AE194" s="1066">
        <v>194</v>
      </c>
      <c r="AF194" s="1066">
        <v>194</v>
      </c>
      <c r="AG194" s="777">
        <v>1</v>
      </c>
      <c r="AH194" s="777">
        <v>1</v>
      </c>
      <c r="AI194" s="777">
        <v>1</v>
      </c>
      <c r="AJ194" s="777">
        <v>1</v>
      </c>
      <c r="AK194" s="777">
        <v>1</v>
      </c>
      <c r="AL194" s="777">
        <v>1</v>
      </c>
      <c r="AM194" s="777">
        <v>1</v>
      </c>
      <c r="AN194" s="777">
        <v>1</v>
      </c>
      <c r="AO194" s="777">
        <v>1</v>
      </c>
    </row>
    <row r="195" spans="1:41" x14ac:dyDescent="0.25">
      <c r="A195" s="1141">
        <v>194</v>
      </c>
      <c r="B195" s="804">
        <v>195</v>
      </c>
      <c r="C195" s="1066">
        <v>195</v>
      </c>
      <c r="D195" s="777">
        <v>1</v>
      </c>
      <c r="E195" s="777">
        <v>1</v>
      </c>
      <c r="F195" s="777">
        <v>1</v>
      </c>
      <c r="G195" s="777">
        <v>1</v>
      </c>
      <c r="H195" s="777">
        <v>1</v>
      </c>
      <c r="I195" s="777">
        <v>1</v>
      </c>
      <c r="J195" s="1066">
        <v>195</v>
      </c>
      <c r="K195" s="1066">
        <v>1</v>
      </c>
      <c r="L195" s="777">
        <v>1</v>
      </c>
      <c r="M195" s="777">
        <v>1</v>
      </c>
      <c r="N195" s="777">
        <v>1</v>
      </c>
      <c r="O195" s="777">
        <v>1</v>
      </c>
      <c r="P195" s="777">
        <v>1</v>
      </c>
      <c r="Q195" s="777">
        <v>1</v>
      </c>
      <c r="R195" s="777">
        <v>1</v>
      </c>
      <c r="S195" s="777">
        <v>1</v>
      </c>
      <c r="T195" s="777">
        <v>195</v>
      </c>
      <c r="U195" s="777">
        <v>1</v>
      </c>
      <c r="V195" s="777">
        <v>1</v>
      </c>
      <c r="W195" s="1066">
        <v>195</v>
      </c>
      <c r="X195" s="777">
        <v>1</v>
      </c>
      <c r="Y195" s="777">
        <v>1</v>
      </c>
      <c r="Z195" s="777">
        <v>1</v>
      </c>
      <c r="AA195" s="777">
        <v>1</v>
      </c>
      <c r="AB195" s="777">
        <v>1</v>
      </c>
      <c r="AC195" s="777">
        <v>1</v>
      </c>
      <c r="AD195" s="777">
        <v>1</v>
      </c>
      <c r="AE195" s="777">
        <v>1</v>
      </c>
      <c r="AF195" s="777">
        <v>195</v>
      </c>
      <c r="AG195" s="777">
        <v>1</v>
      </c>
      <c r="AH195" s="777">
        <v>1</v>
      </c>
      <c r="AI195" s="777">
        <v>1</v>
      </c>
      <c r="AJ195" s="777">
        <v>1</v>
      </c>
      <c r="AK195" s="777">
        <v>1</v>
      </c>
      <c r="AL195" s="777">
        <v>1</v>
      </c>
      <c r="AM195" s="777">
        <v>1</v>
      </c>
      <c r="AN195" s="777">
        <v>1</v>
      </c>
      <c r="AO195" s="777">
        <v>1</v>
      </c>
    </row>
    <row r="196" spans="1:41" x14ac:dyDescent="0.25">
      <c r="A196" s="1141">
        <v>195</v>
      </c>
      <c r="B196" s="804">
        <v>196</v>
      </c>
      <c r="C196" s="777">
        <v>1</v>
      </c>
      <c r="D196" s="777">
        <v>1</v>
      </c>
      <c r="E196" s="777">
        <v>1</v>
      </c>
      <c r="F196" s="777">
        <v>1</v>
      </c>
      <c r="G196" s="1066">
        <v>196</v>
      </c>
      <c r="H196" s="777">
        <v>1</v>
      </c>
      <c r="I196" s="777">
        <v>1</v>
      </c>
      <c r="J196" s="1066">
        <v>196</v>
      </c>
      <c r="K196" s="1066">
        <v>1</v>
      </c>
      <c r="L196" s="777">
        <v>1</v>
      </c>
      <c r="M196" s="777">
        <v>1</v>
      </c>
      <c r="N196" s="777">
        <v>1</v>
      </c>
      <c r="O196" s="777">
        <v>1</v>
      </c>
      <c r="P196" s="777">
        <v>1</v>
      </c>
      <c r="Q196" s="777">
        <v>1</v>
      </c>
      <c r="R196" s="777">
        <v>1</v>
      </c>
      <c r="S196" s="777">
        <v>1</v>
      </c>
      <c r="T196" s="777">
        <v>1</v>
      </c>
      <c r="U196" s="777">
        <v>1</v>
      </c>
      <c r="V196" s="777">
        <v>1</v>
      </c>
      <c r="W196" s="1066">
        <v>196</v>
      </c>
      <c r="X196" s="777">
        <v>1</v>
      </c>
      <c r="Y196" s="777">
        <v>1</v>
      </c>
      <c r="Z196" s="1066">
        <v>196</v>
      </c>
      <c r="AA196" s="777">
        <v>1</v>
      </c>
      <c r="AB196" s="777">
        <v>1</v>
      </c>
      <c r="AC196" s="777">
        <v>1</v>
      </c>
      <c r="AD196" s="777">
        <v>1</v>
      </c>
      <c r="AE196" s="1066">
        <v>196</v>
      </c>
      <c r="AF196" s="777">
        <v>196</v>
      </c>
      <c r="AG196" s="777">
        <v>1</v>
      </c>
      <c r="AH196" s="777">
        <v>1</v>
      </c>
      <c r="AI196" s="777">
        <v>1</v>
      </c>
      <c r="AJ196" s="777">
        <v>1</v>
      </c>
      <c r="AK196" s="777">
        <v>1</v>
      </c>
      <c r="AL196" s="777">
        <v>1</v>
      </c>
      <c r="AM196" s="777">
        <v>1</v>
      </c>
      <c r="AN196" s="777">
        <v>1</v>
      </c>
      <c r="AO196" s="777">
        <v>1</v>
      </c>
    </row>
    <row r="197" spans="1:41" x14ac:dyDescent="0.25">
      <c r="A197" s="1141">
        <v>196</v>
      </c>
      <c r="B197" s="804">
        <v>197</v>
      </c>
      <c r="C197" s="1066">
        <v>197</v>
      </c>
      <c r="D197" s="777">
        <v>197</v>
      </c>
      <c r="E197" s="777">
        <v>1</v>
      </c>
      <c r="F197" s="1066">
        <v>197</v>
      </c>
      <c r="G197" s="777">
        <v>1</v>
      </c>
      <c r="H197" s="777">
        <v>1</v>
      </c>
      <c r="I197" s="777">
        <v>1</v>
      </c>
      <c r="J197" s="1066">
        <v>197</v>
      </c>
      <c r="K197" s="1066">
        <v>1</v>
      </c>
      <c r="L197" s="777">
        <v>1</v>
      </c>
      <c r="M197" s="777">
        <v>1</v>
      </c>
      <c r="N197" s="777">
        <v>1</v>
      </c>
      <c r="O197" s="777">
        <v>1</v>
      </c>
      <c r="P197" s="777">
        <v>197</v>
      </c>
      <c r="Q197" s="777">
        <v>1</v>
      </c>
      <c r="R197" s="777">
        <v>197</v>
      </c>
      <c r="S197" s="777">
        <v>1</v>
      </c>
      <c r="T197" s="777">
        <v>1</v>
      </c>
      <c r="U197" s="777">
        <v>1</v>
      </c>
      <c r="V197" s="777">
        <v>1</v>
      </c>
      <c r="W197" s="1066">
        <v>197</v>
      </c>
      <c r="X197" s="777">
        <v>1</v>
      </c>
      <c r="Y197" s="777">
        <v>1</v>
      </c>
      <c r="Z197" s="777">
        <v>1</v>
      </c>
      <c r="AA197" s="777">
        <v>1</v>
      </c>
      <c r="AB197" s="777">
        <v>1</v>
      </c>
      <c r="AC197" s="777">
        <v>1</v>
      </c>
      <c r="AD197" s="777">
        <v>1</v>
      </c>
      <c r="AE197" s="777">
        <v>1</v>
      </c>
      <c r="AF197" s="777">
        <v>197</v>
      </c>
      <c r="AG197" s="777">
        <v>1</v>
      </c>
      <c r="AH197" s="777">
        <v>1</v>
      </c>
      <c r="AI197" s="777">
        <v>1</v>
      </c>
      <c r="AJ197" s="777">
        <v>1</v>
      </c>
      <c r="AK197" s="777">
        <v>1</v>
      </c>
      <c r="AL197" s="777">
        <v>1</v>
      </c>
      <c r="AM197" s="777">
        <v>1</v>
      </c>
      <c r="AN197" s="777">
        <v>1</v>
      </c>
      <c r="AO197" s="777">
        <v>197</v>
      </c>
    </row>
    <row r="198" spans="1:41" x14ac:dyDescent="0.25">
      <c r="A198" s="1141">
        <v>197</v>
      </c>
      <c r="B198" s="804">
        <v>198</v>
      </c>
      <c r="C198" s="1066">
        <v>198</v>
      </c>
      <c r="D198" s="777">
        <v>1</v>
      </c>
      <c r="E198" s="1066">
        <v>198</v>
      </c>
      <c r="F198" s="777">
        <v>1</v>
      </c>
      <c r="G198" s="1066">
        <v>198</v>
      </c>
      <c r="H198" s="777">
        <v>1</v>
      </c>
      <c r="I198" s="777">
        <v>1</v>
      </c>
      <c r="J198" s="777">
        <v>1</v>
      </c>
      <c r="K198" s="777">
        <v>1</v>
      </c>
      <c r="L198" s="777">
        <v>1</v>
      </c>
      <c r="M198" s="777">
        <v>1</v>
      </c>
      <c r="N198" s="777">
        <v>1</v>
      </c>
      <c r="O198" s="777">
        <v>1</v>
      </c>
      <c r="P198" s="777">
        <v>1</v>
      </c>
      <c r="Q198" s="777">
        <v>1</v>
      </c>
      <c r="R198" s="777">
        <v>1</v>
      </c>
      <c r="S198" s="777">
        <v>1</v>
      </c>
      <c r="T198" s="1066">
        <v>198</v>
      </c>
      <c r="U198" s="777">
        <v>1</v>
      </c>
      <c r="V198" s="1066">
        <v>198</v>
      </c>
      <c r="W198" s="1066">
        <v>198</v>
      </c>
      <c r="X198" s="777">
        <v>1</v>
      </c>
      <c r="Y198" s="777">
        <v>1</v>
      </c>
      <c r="Z198" s="777">
        <v>1</v>
      </c>
      <c r="AA198" s="777">
        <v>1</v>
      </c>
      <c r="AB198" s="777">
        <v>1</v>
      </c>
      <c r="AC198" s="777">
        <v>1</v>
      </c>
      <c r="AD198" s="777">
        <v>1</v>
      </c>
      <c r="AE198" s="777">
        <v>1</v>
      </c>
      <c r="AF198" s="777">
        <v>198</v>
      </c>
      <c r="AG198" s="777">
        <v>1</v>
      </c>
      <c r="AH198" s="777">
        <v>1</v>
      </c>
      <c r="AI198" s="777">
        <v>1</v>
      </c>
      <c r="AJ198" s="777">
        <v>1</v>
      </c>
      <c r="AK198" s="777">
        <v>1</v>
      </c>
      <c r="AL198" s="777">
        <v>1</v>
      </c>
      <c r="AM198" s="777">
        <v>1</v>
      </c>
      <c r="AN198" s="777">
        <v>1</v>
      </c>
      <c r="AO198" s="777">
        <v>1</v>
      </c>
    </row>
    <row r="199" spans="1:41" x14ac:dyDescent="0.25">
      <c r="A199" s="1141">
        <v>198</v>
      </c>
      <c r="B199" s="804">
        <v>199</v>
      </c>
      <c r="C199" s="1066">
        <v>199</v>
      </c>
      <c r="D199" s="1066">
        <v>199</v>
      </c>
      <c r="E199" s="777">
        <v>1</v>
      </c>
      <c r="F199" s="777">
        <v>1</v>
      </c>
      <c r="G199" s="777">
        <v>199</v>
      </c>
      <c r="H199" s="1066">
        <v>199</v>
      </c>
      <c r="I199" s="777">
        <v>1</v>
      </c>
      <c r="J199" s="777">
        <v>1</v>
      </c>
      <c r="K199" s="777">
        <v>1</v>
      </c>
      <c r="L199" s="777">
        <v>1</v>
      </c>
      <c r="M199" s="777">
        <v>1</v>
      </c>
      <c r="N199" s="1066">
        <v>199</v>
      </c>
      <c r="O199" s="777">
        <v>1</v>
      </c>
      <c r="P199" s="777">
        <v>1</v>
      </c>
      <c r="Q199" s="777">
        <v>1</v>
      </c>
      <c r="R199" s="777">
        <v>1</v>
      </c>
      <c r="S199" s="777">
        <v>1</v>
      </c>
      <c r="T199" s="777">
        <v>1</v>
      </c>
      <c r="U199" s="777">
        <v>1</v>
      </c>
      <c r="V199" s="1066">
        <v>199</v>
      </c>
      <c r="W199" s="777">
        <v>199</v>
      </c>
      <c r="X199" s="777">
        <v>1</v>
      </c>
      <c r="Y199" s="777">
        <v>1</v>
      </c>
      <c r="Z199" s="777">
        <v>1</v>
      </c>
      <c r="AA199" s="777">
        <v>1</v>
      </c>
      <c r="AB199" s="777">
        <v>1</v>
      </c>
      <c r="AC199" s="777">
        <v>1</v>
      </c>
      <c r="AD199" s="777">
        <v>1</v>
      </c>
      <c r="AE199" s="777">
        <v>1</v>
      </c>
      <c r="AF199" s="777">
        <v>1</v>
      </c>
      <c r="AG199" s="777">
        <v>1</v>
      </c>
      <c r="AH199" s="777">
        <v>1</v>
      </c>
      <c r="AI199" s="777">
        <v>1</v>
      </c>
      <c r="AJ199" s="777">
        <v>1</v>
      </c>
      <c r="AK199" s="777">
        <v>1</v>
      </c>
      <c r="AL199" s="777">
        <v>1</v>
      </c>
      <c r="AM199" s="777">
        <v>1</v>
      </c>
      <c r="AN199" s="777">
        <v>1</v>
      </c>
      <c r="AO199" s="777">
        <v>1</v>
      </c>
    </row>
    <row r="200" spans="1:41" x14ac:dyDescent="0.25">
      <c r="A200" s="1141">
        <v>199</v>
      </c>
      <c r="B200" s="804">
        <v>200</v>
      </c>
      <c r="C200" s="1066">
        <v>200</v>
      </c>
      <c r="D200" s="1066">
        <v>200</v>
      </c>
      <c r="E200" s="777">
        <v>1</v>
      </c>
      <c r="F200" s="777">
        <v>1</v>
      </c>
      <c r="G200" s="777">
        <v>1</v>
      </c>
      <c r="H200" s="777">
        <v>1</v>
      </c>
      <c r="I200" s="777">
        <v>200</v>
      </c>
      <c r="J200" s="777">
        <v>1</v>
      </c>
      <c r="K200" s="777">
        <v>1</v>
      </c>
      <c r="L200" s="777">
        <v>1</v>
      </c>
      <c r="M200" s="777">
        <v>1</v>
      </c>
      <c r="N200" s="777">
        <v>1</v>
      </c>
      <c r="O200" s="1066">
        <v>200</v>
      </c>
      <c r="P200" s="1066">
        <v>200</v>
      </c>
      <c r="Q200" s="777">
        <v>1</v>
      </c>
      <c r="R200" s="777">
        <v>1</v>
      </c>
      <c r="S200" s="777">
        <v>1</v>
      </c>
      <c r="T200" s="777">
        <v>1</v>
      </c>
      <c r="U200" s="777">
        <v>1</v>
      </c>
      <c r="V200" s="1066">
        <v>200</v>
      </c>
      <c r="W200" s="777">
        <v>1</v>
      </c>
      <c r="X200" s="777">
        <v>1</v>
      </c>
      <c r="Y200" s="777">
        <v>1</v>
      </c>
      <c r="Z200" s="777">
        <v>1</v>
      </c>
      <c r="AA200" s="777">
        <v>200</v>
      </c>
      <c r="AB200" s="777">
        <v>1</v>
      </c>
      <c r="AC200" s="777">
        <v>1</v>
      </c>
      <c r="AD200" s="777">
        <v>1</v>
      </c>
      <c r="AE200" s="777">
        <v>1</v>
      </c>
      <c r="AF200" s="777">
        <v>1</v>
      </c>
      <c r="AG200" s="777">
        <v>1</v>
      </c>
      <c r="AH200" s="777">
        <v>1</v>
      </c>
      <c r="AI200" s="777">
        <v>1</v>
      </c>
      <c r="AJ200" s="777">
        <v>1</v>
      </c>
      <c r="AK200" s="777">
        <v>1</v>
      </c>
      <c r="AL200" s="777">
        <v>1</v>
      </c>
      <c r="AM200" s="1066">
        <v>200</v>
      </c>
      <c r="AN200" s="777">
        <v>1</v>
      </c>
      <c r="AO200" s="777">
        <v>1</v>
      </c>
    </row>
    <row r="201" spans="1:41" x14ac:dyDescent="0.25">
      <c r="A201" s="1141">
        <v>200</v>
      </c>
      <c r="B201" s="804">
        <v>201</v>
      </c>
      <c r="C201" s="777">
        <v>201</v>
      </c>
      <c r="D201" s="1066">
        <v>201</v>
      </c>
      <c r="E201" s="1066">
        <v>201</v>
      </c>
      <c r="F201" s="777">
        <v>1</v>
      </c>
      <c r="G201" s="777">
        <v>1</v>
      </c>
      <c r="H201" s="777">
        <v>1</v>
      </c>
      <c r="I201" s="777">
        <v>1</v>
      </c>
      <c r="J201" s="777">
        <v>1</v>
      </c>
      <c r="K201" s="777">
        <v>1</v>
      </c>
      <c r="L201" s="777">
        <v>1</v>
      </c>
      <c r="M201" s="777">
        <v>201</v>
      </c>
      <c r="N201" s="777">
        <v>1</v>
      </c>
      <c r="O201" s="777">
        <v>1</v>
      </c>
      <c r="P201" s="777">
        <v>1</v>
      </c>
      <c r="Q201" s="777">
        <v>1</v>
      </c>
      <c r="R201" s="777">
        <v>1</v>
      </c>
      <c r="S201" s="777">
        <v>1</v>
      </c>
      <c r="T201" s="777">
        <v>1</v>
      </c>
      <c r="U201" s="777">
        <v>1</v>
      </c>
      <c r="V201" s="777">
        <v>1</v>
      </c>
      <c r="W201" s="1066">
        <v>201</v>
      </c>
      <c r="X201" s="777">
        <v>1</v>
      </c>
      <c r="Y201" s="777">
        <v>1</v>
      </c>
      <c r="Z201" s="777">
        <v>1</v>
      </c>
      <c r="AA201" s="777">
        <v>1</v>
      </c>
      <c r="AB201" s="777">
        <v>1</v>
      </c>
      <c r="AC201" s="777">
        <v>1</v>
      </c>
      <c r="AD201" s="777">
        <v>1</v>
      </c>
      <c r="AE201" s="777">
        <v>1</v>
      </c>
      <c r="AF201" s="777">
        <v>201</v>
      </c>
      <c r="AG201" s="777">
        <v>1</v>
      </c>
      <c r="AH201" s="1066">
        <v>201</v>
      </c>
      <c r="AI201" s="777">
        <v>1</v>
      </c>
      <c r="AJ201" s="777">
        <v>1</v>
      </c>
      <c r="AK201" s="777">
        <v>1</v>
      </c>
      <c r="AL201" s="777">
        <v>1</v>
      </c>
      <c r="AM201" s="777">
        <v>1</v>
      </c>
      <c r="AN201" s="777">
        <v>1</v>
      </c>
      <c r="AO201" s="777">
        <v>1</v>
      </c>
    </row>
    <row r="202" spans="1:41" x14ac:dyDescent="0.25">
      <c r="A202" s="1141">
        <v>201</v>
      </c>
      <c r="B202" s="804">
        <v>202</v>
      </c>
      <c r="C202" s="1066">
        <v>202</v>
      </c>
      <c r="D202" s="777">
        <v>1</v>
      </c>
      <c r="E202" s="1066">
        <v>202</v>
      </c>
      <c r="F202" s="777">
        <v>1</v>
      </c>
      <c r="G202" s="777">
        <v>1</v>
      </c>
      <c r="H202" s="777">
        <v>1</v>
      </c>
      <c r="I202" s="777">
        <v>1</v>
      </c>
      <c r="J202" s="1066">
        <v>202</v>
      </c>
      <c r="K202" s="1066">
        <v>1</v>
      </c>
      <c r="L202" s="777">
        <v>1</v>
      </c>
      <c r="M202" s="777">
        <v>1</v>
      </c>
      <c r="N202" s="777">
        <v>1</v>
      </c>
      <c r="O202" s="1066">
        <v>202</v>
      </c>
      <c r="P202" s="1066">
        <v>202</v>
      </c>
      <c r="Q202" s="777">
        <v>1</v>
      </c>
      <c r="R202" s="777">
        <v>1</v>
      </c>
      <c r="S202" s="777">
        <v>1</v>
      </c>
      <c r="T202" s="777">
        <v>1</v>
      </c>
      <c r="U202" s="777">
        <v>1</v>
      </c>
      <c r="V202" s="777">
        <v>1</v>
      </c>
      <c r="W202" s="1066">
        <v>202</v>
      </c>
      <c r="X202" s="1066">
        <v>202</v>
      </c>
      <c r="Y202" s="777">
        <v>1</v>
      </c>
      <c r="Z202" s="1066">
        <v>202</v>
      </c>
      <c r="AA202" s="777">
        <v>1</v>
      </c>
      <c r="AB202" s="777">
        <v>1</v>
      </c>
      <c r="AC202" s="777">
        <v>1</v>
      </c>
      <c r="AD202" s="1066">
        <v>202</v>
      </c>
      <c r="AE202" s="1066">
        <v>202</v>
      </c>
      <c r="AF202" s="1066">
        <v>202</v>
      </c>
      <c r="AG202" s="777">
        <v>1</v>
      </c>
      <c r="AH202" s="777">
        <v>1</v>
      </c>
      <c r="AI202" s="1066">
        <v>202</v>
      </c>
      <c r="AJ202" s="777">
        <v>1</v>
      </c>
      <c r="AK202" s="777">
        <v>1</v>
      </c>
      <c r="AL202" s="1066">
        <v>202</v>
      </c>
      <c r="AM202" s="777">
        <v>1</v>
      </c>
      <c r="AN202" s="777">
        <v>1</v>
      </c>
      <c r="AO202" s="777">
        <v>1</v>
      </c>
    </row>
    <row r="203" spans="1:41" x14ac:dyDescent="0.25">
      <c r="A203" s="1141">
        <v>202</v>
      </c>
      <c r="B203" s="804">
        <v>203</v>
      </c>
      <c r="C203" s="777">
        <v>1</v>
      </c>
      <c r="D203" s="777">
        <v>1</v>
      </c>
      <c r="E203" s="777">
        <v>1</v>
      </c>
      <c r="F203" s="777">
        <v>1</v>
      </c>
      <c r="G203" s="777">
        <v>1</v>
      </c>
      <c r="H203" s="777">
        <v>1</v>
      </c>
      <c r="I203" s="777">
        <v>1</v>
      </c>
      <c r="J203" s="777">
        <v>1</v>
      </c>
      <c r="K203" s="777">
        <v>1</v>
      </c>
      <c r="L203" s="777">
        <v>1</v>
      </c>
      <c r="M203" s="777">
        <v>1</v>
      </c>
      <c r="N203" s="777">
        <v>1</v>
      </c>
      <c r="O203" s="777">
        <v>1</v>
      </c>
      <c r="P203" s="777">
        <v>1</v>
      </c>
      <c r="Q203" s="777">
        <v>1</v>
      </c>
      <c r="R203" s="777">
        <v>1</v>
      </c>
      <c r="S203" s="777">
        <v>1</v>
      </c>
      <c r="T203" s="1066">
        <v>203</v>
      </c>
      <c r="U203" s="777">
        <v>1</v>
      </c>
      <c r="V203" s="1066">
        <v>203</v>
      </c>
      <c r="W203" s="1066">
        <v>203</v>
      </c>
      <c r="X203" s="1066">
        <v>203</v>
      </c>
      <c r="Y203" s="777">
        <v>1</v>
      </c>
      <c r="Z203" s="777">
        <v>1</v>
      </c>
      <c r="AA203" s="1066">
        <v>203</v>
      </c>
      <c r="AB203" s="777">
        <v>1</v>
      </c>
      <c r="AC203" s="777">
        <v>1</v>
      </c>
      <c r="AD203" s="777">
        <v>1</v>
      </c>
      <c r="AE203" s="1066">
        <v>1</v>
      </c>
      <c r="AF203" s="1066">
        <v>203</v>
      </c>
      <c r="AG203" s="1066">
        <v>1</v>
      </c>
      <c r="AH203" s="777">
        <v>1</v>
      </c>
      <c r="AI203" s="1066">
        <v>203</v>
      </c>
      <c r="AJ203" s="777">
        <v>1</v>
      </c>
      <c r="AK203" s="777">
        <v>1</v>
      </c>
      <c r="AL203" s="777">
        <v>1</v>
      </c>
      <c r="AM203" s="777">
        <v>1</v>
      </c>
      <c r="AN203" s="777">
        <v>1</v>
      </c>
      <c r="AO203" s="777">
        <v>1</v>
      </c>
    </row>
    <row r="204" spans="1:41" x14ac:dyDescent="0.25">
      <c r="A204" s="1141">
        <v>203</v>
      </c>
      <c r="B204" s="804">
        <v>204</v>
      </c>
      <c r="C204" s="1066">
        <v>204</v>
      </c>
      <c r="D204" s="777">
        <v>1</v>
      </c>
      <c r="E204" s="777">
        <v>1</v>
      </c>
      <c r="F204" s="1066">
        <v>204</v>
      </c>
      <c r="G204" s="1066">
        <v>204</v>
      </c>
      <c r="H204" s="777">
        <v>1</v>
      </c>
      <c r="I204" s="777">
        <v>1</v>
      </c>
      <c r="J204" s="777">
        <v>1</v>
      </c>
      <c r="K204" s="777">
        <v>1</v>
      </c>
      <c r="L204" s="777">
        <v>1</v>
      </c>
      <c r="M204" s="777">
        <v>1</v>
      </c>
      <c r="N204" s="777">
        <v>1</v>
      </c>
      <c r="O204" s="777">
        <v>1</v>
      </c>
      <c r="P204" s="777">
        <v>1</v>
      </c>
      <c r="Q204" s="777">
        <v>1</v>
      </c>
      <c r="R204" s="777">
        <v>1</v>
      </c>
      <c r="S204" s="777">
        <v>1</v>
      </c>
      <c r="T204" s="777">
        <v>1</v>
      </c>
      <c r="U204" s="777">
        <v>1</v>
      </c>
      <c r="V204" s="777">
        <v>1</v>
      </c>
      <c r="W204" s="777">
        <v>1</v>
      </c>
      <c r="X204" s="777">
        <v>1</v>
      </c>
      <c r="Y204" s="777">
        <v>1</v>
      </c>
      <c r="Z204" s="777">
        <v>1</v>
      </c>
      <c r="AA204" s="777">
        <v>1</v>
      </c>
      <c r="AB204" s="777">
        <v>1</v>
      </c>
      <c r="AC204" s="777">
        <v>1</v>
      </c>
      <c r="AD204" s="1066">
        <v>204</v>
      </c>
      <c r="AE204" s="1066">
        <v>204</v>
      </c>
      <c r="AF204" s="777">
        <v>1</v>
      </c>
      <c r="AG204" s="1066">
        <v>204</v>
      </c>
      <c r="AH204" s="777">
        <v>1</v>
      </c>
      <c r="AI204" s="777">
        <v>1</v>
      </c>
      <c r="AJ204" s="777">
        <v>1</v>
      </c>
      <c r="AK204" s="777">
        <v>1</v>
      </c>
      <c r="AL204" s="777">
        <v>1</v>
      </c>
      <c r="AM204" s="777">
        <v>1</v>
      </c>
      <c r="AN204" s="777">
        <v>1</v>
      </c>
      <c r="AO204" s="777">
        <v>1</v>
      </c>
    </row>
    <row r="205" spans="1:41" x14ac:dyDescent="0.25">
      <c r="A205" s="1141">
        <v>204</v>
      </c>
      <c r="B205" s="804">
        <v>205</v>
      </c>
      <c r="C205" s="1066">
        <v>205</v>
      </c>
      <c r="D205" s="777">
        <v>1</v>
      </c>
      <c r="E205" s="777">
        <v>1</v>
      </c>
      <c r="F205" s="777">
        <v>1</v>
      </c>
      <c r="G205" s="777">
        <v>1</v>
      </c>
      <c r="H205" s="777">
        <v>1</v>
      </c>
      <c r="I205" s="777">
        <v>1</v>
      </c>
      <c r="J205" s="777">
        <v>1</v>
      </c>
      <c r="K205" s="777">
        <v>1</v>
      </c>
      <c r="L205" s="777">
        <v>1</v>
      </c>
      <c r="M205" s="777">
        <v>1</v>
      </c>
      <c r="N205" s="777">
        <v>1</v>
      </c>
      <c r="O205" s="777">
        <v>1</v>
      </c>
      <c r="P205" s="777">
        <v>1</v>
      </c>
      <c r="Q205" s="777">
        <v>1</v>
      </c>
      <c r="R205" s="777">
        <v>1</v>
      </c>
      <c r="S205" s="1066">
        <v>205</v>
      </c>
      <c r="T205" s="777">
        <v>1</v>
      </c>
      <c r="U205" s="777">
        <v>1</v>
      </c>
      <c r="V205" s="1066">
        <v>205</v>
      </c>
      <c r="W205" s="1066">
        <v>205</v>
      </c>
      <c r="X205" s="777">
        <v>1</v>
      </c>
      <c r="Y205" s="777">
        <v>1</v>
      </c>
      <c r="Z205" s="777">
        <v>1</v>
      </c>
      <c r="AA205" s="777">
        <v>1</v>
      </c>
      <c r="AB205" s="777">
        <v>1</v>
      </c>
      <c r="AC205" s="1066">
        <v>205</v>
      </c>
      <c r="AD205" s="777">
        <v>1</v>
      </c>
      <c r="AE205" s="1066">
        <v>205</v>
      </c>
      <c r="AF205" s="1066">
        <v>205</v>
      </c>
      <c r="AG205" s="1066">
        <v>205</v>
      </c>
      <c r="AH205" s="777">
        <v>1</v>
      </c>
      <c r="AI205" s="777">
        <v>1</v>
      </c>
      <c r="AJ205" s="777">
        <v>1</v>
      </c>
      <c r="AK205" s="777">
        <v>1</v>
      </c>
      <c r="AL205" s="777">
        <v>1</v>
      </c>
      <c r="AM205" s="777">
        <v>1</v>
      </c>
      <c r="AN205" s="777">
        <v>1</v>
      </c>
      <c r="AO205" s="777">
        <v>1</v>
      </c>
    </row>
    <row r="206" spans="1:41" x14ac:dyDescent="0.25">
      <c r="A206" s="1141">
        <v>205</v>
      </c>
      <c r="B206" s="804">
        <v>206</v>
      </c>
      <c r="C206" s="777">
        <v>1</v>
      </c>
      <c r="D206" s="777">
        <v>1</v>
      </c>
      <c r="E206" s="777">
        <v>1</v>
      </c>
      <c r="F206" s="777">
        <v>1</v>
      </c>
      <c r="G206" s="777">
        <v>1</v>
      </c>
      <c r="H206" s="777">
        <v>1</v>
      </c>
      <c r="I206" s="777">
        <v>1</v>
      </c>
      <c r="J206" s="777">
        <v>1</v>
      </c>
      <c r="K206" s="777">
        <v>1</v>
      </c>
      <c r="L206" s="777">
        <v>1</v>
      </c>
      <c r="M206" s="777">
        <v>1</v>
      </c>
      <c r="N206" s="777">
        <v>1</v>
      </c>
      <c r="O206" s="777">
        <v>1</v>
      </c>
      <c r="P206" s="777">
        <v>1</v>
      </c>
      <c r="Q206" s="777">
        <v>1</v>
      </c>
      <c r="R206" s="777">
        <v>1</v>
      </c>
      <c r="S206" s="777">
        <v>1</v>
      </c>
      <c r="T206" s="777">
        <v>1</v>
      </c>
      <c r="U206" s="777">
        <v>1</v>
      </c>
      <c r="V206" s="1066">
        <v>206</v>
      </c>
      <c r="W206" s="1066">
        <v>206</v>
      </c>
      <c r="X206" s="777">
        <v>1</v>
      </c>
      <c r="Y206" s="777">
        <v>1</v>
      </c>
      <c r="Z206" s="777">
        <v>1</v>
      </c>
      <c r="AA206" s="777">
        <v>1</v>
      </c>
      <c r="AB206" s="777">
        <v>1</v>
      </c>
      <c r="AC206" s="1066">
        <v>206</v>
      </c>
      <c r="AD206" s="777">
        <v>1</v>
      </c>
      <c r="AE206" s="1066">
        <v>206</v>
      </c>
      <c r="AF206" s="1066">
        <v>206</v>
      </c>
      <c r="AG206" s="1066">
        <v>206</v>
      </c>
      <c r="AH206" s="777">
        <v>1</v>
      </c>
      <c r="AI206" s="777">
        <v>1</v>
      </c>
      <c r="AJ206" s="777">
        <v>1</v>
      </c>
      <c r="AK206" s="777">
        <v>1</v>
      </c>
      <c r="AL206" s="777">
        <v>1</v>
      </c>
      <c r="AM206" s="777">
        <v>1</v>
      </c>
      <c r="AN206" s="1066">
        <v>206</v>
      </c>
      <c r="AO206" s="777">
        <v>1</v>
      </c>
    </row>
    <row r="207" spans="1:41" x14ac:dyDescent="0.25">
      <c r="A207" s="1141">
        <v>206</v>
      </c>
      <c r="B207" s="804">
        <v>207</v>
      </c>
      <c r="C207" s="777">
        <v>1</v>
      </c>
      <c r="D207" s="777">
        <v>1</v>
      </c>
      <c r="E207" s="777">
        <v>1</v>
      </c>
      <c r="F207" s="777">
        <v>1</v>
      </c>
      <c r="G207" s="777">
        <v>1</v>
      </c>
      <c r="H207" s="777">
        <v>1</v>
      </c>
      <c r="I207" s="777">
        <v>1</v>
      </c>
      <c r="J207" s="777">
        <v>1</v>
      </c>
      <c r="K207" s="777">
        <v>1</v>
      </c>
      <c r="L207" s="777">
        <v>1</v>
      </c>
      <c r="M207" s="777">
        <v>1</v>
      </c>
      <c r="N207" s="777">
        <v>1</v>
      </c>
      <c r="O207" s="777">
        <v>1</v>
      </c>
      <c r="P207" s="777">
        <v>1</v>
      </c>
      <c r="Q207" s="777">
        <v>1</v>
      </c>
      <c r="R207" s="777">
        <v>1</v>
      </c>
      <c r="S207" s="777">
        <v>1</v>
      </c>
      <c r="T207" s="777">
        <v>1</v>
      </c>
      <c r="U207" s="777">
        <v>1</v>
      </c>
      <c r="V207" s="777">
        <v>1</v>
      </c>
      <c r="W207" s="1066">
        <v>207</v>
      </c>
      <c r="X207" s="1066">
        <v>207</v>
      </c>
      <c r="Y207" s="777">
        <v>1</v>
      </c>
      <c r="Z207" s="1066">
        <v>207</v>
      </c>
      <c r="AA207" s="1066">
        <v>207</v>
      </c>
      <c r="AB207" s="777">
        <v>1</v>
      </c>
      <c r="AC207" s="1066">
        <v>207</v>
      </c>
      <c r="AD207" s="777">
        <v>1</v>
      </c>
      <c r="AE207" s="1066">
        <v>207</v>
      </c>
      <c r="AF207" s="1066">
        <v>207</v>
      </c>
      <c r="AG207" s="777">
        <v>1</v>
      </c>
      <c r="AH207" s="777">
        <v>1</v>
      </c>
      <c r="AI207" s="1066">
        <v>207</v>
      </c>
      <c r="AJ207" s="777">
        <v>1</v>
      </c>
      <c r="AK207" s="777">
        <v>1</v>
      </c>
      <c r="AL207" s="777">
        <v>1</v>
      </c>
      <c r="AM207" s="1066">
        <v>207</v>
      </c>
      <c r="AN207" s="777">
        <v>1</v>
      </c>
      <c r="AO207" s="777">
        <v>1</v>
      </c>
    </row>
    <row r="208" spans="1:41" x14ac:dyDescent="0.25">
      <c r="A208" s="1141">
        <v>207</v>
      </c>
      <c r="B208" s="804">
        <v>208</v>
      </c>
      <c r="C208" s="777">
        <v>1</v>
      </c>
      <c r="D208" s="777">
        <v>1</v>
      </c>
      <c r="E208" s="777">
        <v>1</v>
      </c>
      <c r="F208" s="777">
        <v>1</v>
      </c>
      <c r="G208" s="777">
        <v>1</v>
      </c>
      <c r="H208" s="777">
        <v>1</v>
      </c>
      <c r="I208" s="777">
        <v>1</v>
      </c>
      <c r="J208" s="777">
        <v>1</v>
      </c>
      <c r="K208" s="777">
        <v>1</v>
      </c>
      <c r="L208" s="777">
        <v>1</v>
      </c>
      <c r="M208" s="777">
        <v>1</v>
      </c>
      <c r="N208" s="777">
        <v>1</v>
      </c>
      <c r="O208" s="777">
        <v>1</v>
      </c>
      <c r="P208" s="777">
        <v>1</v>
      </c>
      <c r="Q208" s="777">
        <v>1</v>
      </c>
      <c r="R208" s="777">
        <v>1</v>
      </c>
      <c r="S208" s="777">
        <v>1</v>
      </c>
      <c r="T208" s="1066">
        <v>208</v>
      </c>
      <c r="U208" s="777">
        <v>1</v>
      </c>
      <c r="V208" s="777">
        <v>1</v>
      </c>
      <c r="W208" s="777">
        <v>1</v>
      </c>
      <c r="X208" s="777">
        <v>1</v>
      </c>
      <c r="Y208" s="777">
        <v>1</v>
      </c>
      <c r="Z208" s="777">
        <v>1</v>
      </c>
      <c r="AA208" s="1066">
        <v>208</v>
      </c>
      <c r="AB208" s="777">
        <v>1</v>
      </c>
      <c r="AC208" s="777">
        <v>1</v>
      </c>
      <c r="AD208" s="777">
        <v>1</v>
      </c>
      <c r="AE208" s="1066">
        <v>208</v>
      </c>
      <c r="AF208" s="777">
        <v>1</v>
      </c>
      <c r="AG208" s="777">
        <v>1</v>
      </c>
      <c r="AH208" s="777">
        <v>1</v>
      </c>
      <c r="AI208" s="777">
        <v>1</v>
      </c>
      <c r="AJ208" s="777">
        <v>1</v>
      </c>
      <c r="AK208" s="777">
        <v>1</v>
      </c>
      <c r="AL208" s="777">
        <v>1</v>
      </c>
      <c r="AM208" s="777">
        <v>1</v>
      </c>
      <c r="AN208" s="777">
        <v>1</v>
      </c>
      <c r="AO208" s="1066">
        <v>208</v>
      </c>
    </row>
    <row r="209" spans="1:41" x14ac:dyDescent="0.25">
      <c r="A209" s="1141">
        <v>208</v>
      </c>
      <c r="B209" s="804">
        <v>209</v>
      </c>
      <c r="C209" s="1066">
        <v>209</v>
      </c>
      <c r="D209" s="1066">
        <v>209</v>
      </c>
      <c r="E209" s="777">
        <v>1</v>
      </c>
      <c r="F209" s="777">
        <v>1</v>
      </c>
      <c r="G209" s="1066">
        <v>1</v>
      </c>
      <c r="H209" s="777">
        <v>1</v>
      </c>
      <c r="I209" s="777">
        <v>1</v>
      </c>
      <c r="J209" s="777">
        <v>1</v>
      </c>
      <c r="K209" s="777">
        <v>1</v>
      </c>
      <c r="L209" s="777">
        <v>1</v>
      </c>
      <c r="M209" s="777">
        <v>1</v>
      </c>
      <c r="N209" s="777">
        <v>1</v>
      </c>
      <c r="O209" s="777">
        <v>209</v>
      </c>
      <c r="P209" s="777">
        <v>1</v>
      </c>
      <c r="Q209" s="777">
        <v>1</v>
      </c>
      <c r="R209" s="777">
        <v>209</v>
      </c>
      <c r="S209" s="777">
        <v>1</v>
      </c>
      <c r="T209" s="777">
        <v>1</v>
      </c>
      <c r="U209" s="777">
        <v>1</v>
      </c>
      <c r="V209" s="777">
        <v>1</v>
      </c>
      <c r="W209" s="777">
        <v>209</v>
      </c>
      <c r="X209" s="777">
        <v>1</v>
      </c>
      <c r="Y209" s="777">
        <v>1</v>
      </c>
      <c r="Z209" s="777">
        <v>1</v>
      </c>
      <c r="AA209" s="777">
        <v>1</v>
      </c>
      <c r="AB209" s="777">
        <v>1</v>
      </c>
      <c r="AC209" s="777">
        <v>1</v>
      </c>
      <c r="AD209" s="777">
        <v>1</v>
      </c>
      <c r="AE209" s="777">
        <v>1</v>
      </c>
      <c r="AF209" s="777">
        <v>1</v>
      </c>
      <c r="AG209" s="777">
        <v>1</v>
      </c>
      <c r="AH209" s="1066">
        <v>209</v>
      </c>
      <c r="AI209" s="1066">
        <v>209</v>
      </c>
      <c r="AJ209" s="777">
        <v>1</v>
      </c>
      <c r="AK209" s="777">
        <v>1</v>
      </c>
      <c r="AL209" s="777">
        <v>1</v>
      </c>
      <c r="AM209" s="777">
        <v>1</v>
      </c>
      <c r="AN209" s="1066">
        <v>209</v>
      </c>
      <c r="AO209" s="777">
        <v>1</v>
      </c>
    </row>
    <row r="210" spans="1:41" x14ac:dyDescent="0.25">
      <c r="A210" s="1141">
        <v>209</v>
      </c>
      <c r="B210" s="804">
        <v>210</v>
      </c>
      <c r="C210" s="777">
        <v>1</v>
      </c>
      <c r="D210" s="777">
        <v>1</v>
      </c>
      <c r="E210" s="777">
        <v>1</v>
      </c>
      <c r="F210" s="777">
        <v>1</v>
      </c>
      <c r="G210" s="777">
        <v>1</v>
      </c>
      <c r="H210" s="777">
        <v>1</v>
      </c>
      <c r="I210" s="777">
        <v>1</v>
      </c>
      <c r="J210" s="777">
        <v>1</v>
      </c>
      <c r="K210" s="777">
        <v>1</v>
      </c>
      <c r="L210" s="777">
        <v>1</v>
      </c>
      <c r="M210" s="777">
        <v>1</v>
      </c>
      <c r="N210" s="777">
        <v>1</v>
      </c>
      <c r="O210" s="777">
        <v>1</v>
      </c>
      <c r="P210" s="777">
        <v>1</v>
      </c>
      <c r="Q210" s="777">
        <v>1</v>
      </c>
      <c r="R210" s="777">
        <v>1</v>
      </c>
      <c r="S210" s="777">
        <v>1</v>
      </c>
      <c r="T210" s="777">
        <v>1</v>
      </c>
      <c r="U210" s="777">
        <v>1</v>
      </c>
      <c r="V210" s="777">
        <v>1</v>
      </c>
      <c r="W210" s="777">
        <v>1</v>
      </c>
      <c r="X210" s="777">
        <v>1</v>
      </c>
      <c r="Y210" s="777">
        <v>1</v>
      </c>
      <c r="Z210" s="777">
        <v>1</v>
      </c>
      <c r="AA210" s="777">
        <v>1</v>
      </c>
      <c r="AB210" s="777">
        <v>1</v>
      </c>
      <c r="AC210" s="777">
        <v>1</v>
      </c>
      <c r="AD210" s="1066">
        <v>210</v>
      </c>
      <c r="AE210" s="1066">
        <v>210</v>
      </c>
      <c r="AF210" s="777">
        <v>1</v>
      </c>
      <c r="AG210" s="777">
        <v>1</v>
      </c>
      <c r="AH210" s="777">
        <v>1</v>
      </c>
      <c r="AI210" s="777">
        <v>1</v>
      </c>
      <c r="AJ210" s="777">
        <v>1</v>
      </c>
      <c r="AK210" s="777">
        <v>1</v>
      </c>
      <c r="AL210" s="777">
        <v>1</v>
      </c>
      <c r="AM210" s="777">
        <v>1</v>
      </c>
      <c r="AN210" s="777">
        <v>1</v>
      </c>
      <c r="AO210" s="777">
        <v>1</v>
      </c>
    </row>
    <row r="211" spans="1:41" x14ac:dyDescent="0.25">
      <c r="A211" s="1141">
        <v>210</v>
      </c>
      <c r="B211" s="804">
        <v>211</v>
      </c>
      <c r="C211" s="1066">
        <v>211</v>
      </c>
      <c r="D211" s="777">
        <v>1</v>
      </c>
      <c r="E211" s="777">
        <v>1</v>
      </c>
      <c r="F211" s="777">
        <v>1</v>
      </c>
      <c r="G211" s="777">
        <v>1</v>
      </c>
      <c r="H211" s="777">
        <v>1</v>
      </c>
      <c r="I211" s="777">
        <v>1</v>
      </c>
      <c r="J211" s="777">
        <v>1</v>
      </c>
      <c r="K211" s="777">
        <v>1</v>
      </c>
      <c r="L211" s="777">
        <v>1</v>
      </c>
      <c r="M211" s="777">
        <v>1</v>
      </c>
      <c r="N211" s="777">
        <v>1</v>
      </c>
      <c r="O211" s="777">
        <v>1</v>
      </c>
      <c r="P211" s="777">
        <v>1</v>
      </c>
      <c r="Q211" s="777">
        <v>1</v>
      </c>
      <c r="R211" s="777">
        <v>1</v>
      </c>
      <c r="S211" s="1066">
        <v>211</v>
      </c>
      <c r="T211" s="777">
        <v>1</v>
      </c>
      <c r="U211" s="777">
        <v>1</v>
      </c>
      <c r="V211" s="1066">
        <v>211</v>
      </c>
      <c r="W211" s="1066">
        <v>211</v>
      </c>
      <c r="X211" s="777">
        <v>1</v>
      </c>
      <c r="Y211" s="777">
        <v>1</v>
      </c>
      <c r="Z211" s="777">
        <v>1</v>
      </c>
      <c r="AA211" s="777">
        <v>1</v>
      </c>
      <c r="AB211" s="777">
        <v>1</v>
      </c>
      <c r="AC211" s="777">
        <v>1</v>
      </c>
      <c r="AD211" s="777">
        <v>1</v>
      </c>
      <c r="AE211" s="777">
        <v>1</v>
      </c>
      <c r="AF211" s="777">
        <v>211</v>
      </c>
      <c r="AG211" s="777">
        <v>1</v>
      </c>
      <c r="AH211" s="1066">
        <v>211</v>
      </c>
      <c r="AI211" s="1066">
        <v>211</v>
      </c>
      <c r="AJ211" s="777">
        <v>1</v>
      </c>
      <c r="AK211" s="777">
        <v>1</v>
      </c>
      <c r="AL211" s="777">
        <v>1</v>
      </c>
      <c r="AM211" s="777">
        <v>1</v>
      </c>
      <c r="AN211" s="1066">
        <v>211</v>
      </c>
      <c r="AO211" s="777">
        <v>1</v>
      </c>
    </row>
    <row r="212" spans="1:41" x14ac:dyDescent="0.25">
      <c r="A212" s="1141">
        <v>211</v>
      </c>
      <c r="B212" s="804">
        <v>212</v>
      </c>
      <c r="C212" s="1066">
        <v>212</v>
      </c>
      <c r="D212" s="777">
        <v>212</v>
      </c>
      <c r="E212" s="777">
        <v>1</v>
      </c>
      <c r="F212" s="777">
        <v>1</v>
      </c>
      <c r="G212" s="777">
        <v>1</v>
      </c>
      <c r="H212" s="777">
        <v>1</v>
      </c>
      <c r="I212" s="777">
        <v>1</v>
      </c>
      <c r="J212" s="777">
        <v>1</v>
      </c>
      <c r="K212" s="777">
        <v>1</v>
      </c>
      <c r="L212" s="777">
        <v>1</v>
      </c>
      <c r="M212" s="777">
        <v>1</v>
      </c>
      <c r="N212" s="777">
        <v>1</v>
      </c>
      <c r="O212" s="777">
        <v>1</v>
      </c>
      <c r="P212" s="777">
        <v>1</v>
      </c>
      <c r="Q212" s="777">
        <v>1</v>
      </c>
      <c r="R212" s="777">
        <v>212</v>
      </c>
      <c r="S212" s="1066">
        <v>1</v>
      </c>
      <c r="T212" s="777">
        <v>1</v>
      </c>
      <c r="U212" s="777">
        <v>1</v>
      </c>
      <c r="V212" s="1066">
        <v>212</v>
      </c>
      <c r="W212" s="1066">
        <v>212</v>
      </c>
      <c r="X212" s="777">
        <v>1</v>
      </c>
      <c r="Y212" s="777">
        <v>1</v>
      </c>
      <c r="Z212" s="777">
        <v>1</v>
      </c>
      <c r="AA212" s="777">
        <v>1</v>
      </c>
      <c r="AB212" s="777">
        <v>1</v>
      </c>
      <c r="AC212" s="777">
        <v>1</v>
      </c>
      <c r="AD212" s="777">
        <v>1</v>
      </c>
      <c r="AE212" s="777">
        <v>1</v>
      </c>
      <c r="AF212" s="777">
        <v>212</v>
      </c>
      <c r="AG212" s="777">
        <v>1</v>
      </c>
      <c r="AH212" s="1066">
        <v>212</v>
      </c>
      <c r="AI212" s="1066">
        <v>212</v>
      </c>
      <c r="AJ212" s="777">
        <v>212</v>
      </c>
      <c r="AK212" s="777">
        <v>1</v>
      </c>
      <c r="AL212" s="777">
        <v>1</v>
      </c>
      <c r="AM212" s="1066">
        <v>212</v>
      </c>
      <c r="AN212" s="1066">
        <v>212</v>
      </c>
      <c r="AO212" s="777">
        <v>212</v>
      </c>
    </row>
    <row r="213" spans="1:41" x14ac:dyDescent="0.25">
      <c r="A213" s="1141">
        <v>212</v>
      </c>
      <c r="B213" s="804">
        <v>213</v>
      </c>
      <c r="C213" s="1066">
        <v>213</v>
      </c>
      <c r="D213" s="777">
        <v>1</v>
      </c>
      <c r="E213" s="777">
        <v>1</v>
      </c>
      <c r="F213" s="777">
        <v>1</v>
      </c>
      <c r="G213" s="1066">
        <v>213</v>
      </c>
      <c r="H213" s="777">
        <v>1</v>
      </c>
      <c r="I213" s="777">
        <v>1</v>
      </c>
      <c r="J213" s="777">
        <v>1</v>
      </c>
      <c r="K213" s="777">
        <v>1</v>
      </c>
      <c r="L213" s="777">
        <v>1</v>
      </c>
      <c r="M213" s="777">
        <v>1</v>
      </c>
      <c r="N213" s="777">
        <v>1</v>
      </c>
      <c r="O213" s="777">
        <v>1</v>
      </c>
      <c r="P213" s="777">
        <v>1</v>
      </c>
      <c r="Q213" s="777">
        <v>1</v>
      </c>
      <c r="R213" s="777">
        <v>1</v>
      </c>
      <c r="S213" s="777">
        <v>1</v>
      </c>
      <c r="T213" s="777">
        <v>1</v>
      </c>
      <c r="U213" s="777">
        <v>1</v>
      </c>
      <c r="V213" s="777">
        <v>1</v>
      </c>
      <c r="W213" s="777">
        <v>1</v>
      </c>
      <c r="X213" s="777">
        <v>1</v>
      </c>
      <c r="Y213" s="777">
        <v>1</v>
      </c>
      <c r="Z213" s="777">
        <v>1</v>
      </c>
      <c r="AA213" s="777">
        <v>1</v>
      </c>
      <c r="AB213" s="777">
        <v>1</v>
      </c>
      <c r="AC213" s="777">
        <v>1</v>
      </c>
      <c r="AD213" s="777">
        <v>1</v>
      </c>
      <c r="AE213" s="777">
        <v>1</v>
      </c>
      <c r="AF213" s="777">
        <v>1</v>
      </c>
      <c r="AG213" s="777">
        <v>1</v>
      </c>
      <c r="AH213" s="777">
        <v>1</v>
      </c>
      <c r="AI213" s="777">
        <v>1</v>
      </c>
      <c r="AJ213" s="777">
        <v>213</v>
      </c>
      <c r="AK213" s="777">
        <v>213</v>
      </c>
      <c r="AL213" s="777">
        <v>1</v>
      </c>
      <c r="AM213" s="777">
        <v>1</v>
      </c>
      <c r="AN213" s="777">
        <v>1</v>
      </c>
      <c r="AO213" s="777">
        <v>1</v>
      </c>
    </row>
    <row r="214" spans="1:41" x14ac:dyDescent="0.25">
      <c r="A214" s="1141">
        <v>213</v>
      </c>
      <c r="B214" s="804">
        <v>214</v>
      </c>
      <c r="C214" s="777">
        <v>214</v>
      </c>
      <c r="D214" s="777">
        <v>1</v>
      </c>
      <c r="E214" s="777">
        <v>1</v>
      </c>
      <c r="F214" s="777">
        <v>1</v>
      </c>
      <c r="G214" s="1066">
        <v>1</v>
      </c>
      <c r="H214" s="777">
        <v>1</v>
      </c>
      <c r="I214" s="777">
        <v>1</v>
      </c>
      <c r="J214" s="1066">
        <v>214</v>
      </c>
      <c r="K214" s="1066">
        <v>1</v>
      </c>
      <c r="L214" s="777">
        <v>1</v>
      </c>
      <c r="M214" s="777">
        <v>1</v>
      </c>
      <c r="N214" s="777">
        <v>1</v>
      </c>
      <c r="O214" s="777">
        <v>1</v>
      </c>
      <c r="P214" s="777">
        <v>1</v>
      </c>
      <c r="Q214" s="777">
        <v>1</v>
      </c>
      <c r="R214" s="777">
        <v>1</v>
      </c>
      <c r="S214" s="777">
        <v>1</v>
      </c>
      <c r="T214" s="777">
        <v>1</v>
      </c>
      <c r="U214" s="777">
        <v>1</v>
      </c>
      <c r="V214" s="777">
        <v>1</v>
      </c>
      <c r="W214" s="1066">
        <v>214</v>
      </c>
      <c r="X214" s="777">
        <v>1</v>
      </c>
      <c r="Y214" s="777">
        <v>1</v>
      </c>
      <c r="Z214" s="777">
        <v>1</v>
      </c>
      <c r="AA214" s="777">
        <v>214</v>
      </c>
      <c r="AB214" s="777">
        <v>1</v>
      </c>
      <c r="AC214" s="777">
        <v>1</v>
      </c>
      <c r="AD214" s="777">
        <v>1</v>
      </c>
      <c r="AE214" s="777">
        <v>1</v>
      </c>
      <c r="AF214" s="777">
        <v>214</v>
      </c>
      <c r="AG214" s="777">
        <v>1</v>
      </c>
      <c r="AH214" s="777">
        <v>1</v>
      </c>
      <c r="AI214" s="777">
        <v>1</v>
      </c>
      <c r="AJ214" s="777">
        <v>214</v>
      </c>
      <c r="AK214" s="777">
        <v>214</v>
      </c>
      <c r="AL214" s="777">
        <v>1</v>
      </c>
      <c r="AM214" s="1066">
        <v>214</v>
      </c>
      <c r="AN214" s="1066">
        <v>214</v>
      </c>
      <c r="AO214" s="777">
        <v>1</v>
      </c>
    </row>
    <row r="215" spans="1:41" x14ac:dyDescent="0.25">
      <c r="A215" s="1141">
        <v>214</v>
      </c>
      <c r="B215" s="804">
        <v>215</v>
      </c>
      <c r="C215" s="1066">
        <v>215</v>
      </c>
      <c r="D215" s="1066">
        <v>215</v>
      </c>
      <c r="E215" s="777">
        <v>1</v>
      </c>
      <c r="F215" s="777">
        <v>1</v>
      </c>
      <c r="G215" s="777">
        <v>215</v>
      </c>
      <c r="H215" s="777">
        <v>1</v>
      </c>
      <c r="I215" s="777">
        <v>1</v>
      </c>
      <c r="J215" s="777">
        <v>1</v>
      </c>
      <c r="K215" s="777">
        <v>1</v>
      </c>
      <c r="L215" s="777">
        <v>1</v>
      </c>
      <c r="M215" s="777">
        <v>1</v>
      </c>
      <c r="N215" s="777">
        <v>1</v>
      </c>
      <c r="O215" s="777">
        <v>1</v>
      </c>
      <c r="P215" s="777">
        <v>1</v>
      </c>
      <c r="Q215" s="777">
        <v>1</v>
      </c>
      <c r="R215" s="777">
        <v>1</v>
      </c>
      <c r="S215" s="777">
        <v>1</v>
      </c>
      <c r="T215" s="777">
        <v>1</v>
      </c>
      <c r="U215" s="777">
        <v>1</v>
      </c>
      <c r="V215" s="777">
        <v>1</v>
      </c>
      <c r="W215" s="777">
        <v>215</v>
      </c>
      <c r="X215" s="777">
        <v>1</v>
      </c>
      <c r="Y215" s="777">
        <v>1</v>
      </c>
      <c r="Z215" s="777">
        <v>1</v>
      </c>
      <c r="AA215" s="777">
        <v>215</v>
      </c>
      <c r="AB215" s="777">
        <v>1</v>
      </c>
      <c r="AC215" s="777">
        <v>1</v>
      </c>
      <c r="AD215" s="777">
        <v>1</v>
      </c>
      <c r="AE215" s="777">
        <v>1</v>
      </c>
      <c r="AF215" s="777">
        <v>1</v>
      </c>
      <c r="AG215" s="777">
        <v>1</v>
      </c>
      <c r="AH215" s="777">
        <v>1</v>
      </c>
      <c r="AI215" s="777">
        <v>1</v>
      </c>
      <c r="AJ215" s="1066">
        <v>215</v>
      </c>
      <c r="AK215" s="1066">
        <v>215</v>
      </c>
      <c r="AL215" s="777">
        <v>1</v>
      </c>
      <c r="AM215" s="1066">
        <v>215</v>
      </c>
      <c r="AN215" s="1066">
        <v>215</v>
      </c>
      <c r="AO215" s="777">
        <v>1</v>
      </c>
    </row>
    <row r="216" spans="1:41" x14ac:dyDescent="0.25">
      <c r="A216" s="1141">
        <v>215</v>
      </c>
      <c r="B216" s="804">
        <v>216</v>
      </c>
      <c r="C216" s="777">
        <v>1</v>
      </c>
      <c r="D216" s="1066">
        <v>216</v>
      </c>
      <c r="E216" s="777">
        <v>1</v>
      </c>
      <c r="F216" s="777">
        <v>1</v>
      </c>
      <c r="G216" s="777">
        <v>1</v>
      </c>
      <c r="H216" s="777">
        <v>1</v>
      </c>
      <c r="I216" s="777">
        <v>1</v>
      </c>
      <c r="J216" s="777">
        <v>1</v>
      </c>
      <c r="K216" s="777">
        <v>1</v>
      </c>
      <c r="L216" s="777">
        <v>1</v>
      </c>
      <c r="M216" s="777">
        <v>1</v>
      </c>
      <c r="N216" s="777">
        <v>216</v>
      </c>
      <c r="O216" s="777">
        <v>1</v>
      </c>
      <c r="P216" s="777">
        <v>1</v>
      </c>
      <c r="Q216" s="777">
        <v>1</v>
      </c>
      <c r="R216" s="777">
        <v>1</v>
      </c>
      <c r="S216" s="777">
        <v>1</v>
      </c>
      <c r="T216" s="777">
        <v>1</v>
      </c>
      <c r="U216" s="777">
        <v>1</v>
      </c>
      <c r="V216" s="777">
        <v>1</v>
      </c>
      <c r="W216" s="777">
        <v>1</v>
      </c>
      <c r="X216" s="777">
        <v>1</v>
      </c>
      <c r="Y216" s="777">
        <v>1</v>
      </c>
      <c r="Z216" s="777">
        <v>1</v>
      </c>
      <c r="AA216" s="777">
        <v>216</v>
      </c>
      <c r="AB216" s="777">
        <v>1</v>
      </c>
      <c r="AC216" s="777">
        <v>1</v>
      </c>
      <c r="AD216" s="777">
        <v>1</v>
      </c>
      <c r="AE216" s="777">
        <v>1</v>
      </c>
      <c r="AF216" s="777">
        <v>1</v>
      </c>
      <c r="AG216" s="777">
        <v>1</v>
      </c>
      <c r="AH216" s="777">
        <v>1</v>
      </c>
      <c r="AI216" s="777">
        <v>1</v>
      </c>
      <c r="AJ216" s="1066">
        <v>216</v>
      </c>
      <c r="AK216" s="1066">
        <v>216</v>
      </c>
      <c r="AL216" s="777">
        <v>1</v>
      </c>
      <c r="AM216" s="1066">
        <v>216</v>
      </c>
      <c r="AN216" s="1066">
        <v>216</v>
      </c>
      <c r="AO216" s="777">
        <v>1</v>
      </c>
    </row>
    <row r="217" spans="1:41" x14ac:dyDescent="0.25">
      <c r="A217" s="1141">
        <v>216</v>
      </c>
      <c r="B217" s="804">
        <v>217</v>
      </c>
      <c r="C217" s="777">
        <v>1</v>
      </c>
      <c r="D217" s="1066">
        <v>217</v>
      </c>
      <c r="E217" s="777">
        <v>1</v>
      </c>
      <c r="F217" s="777">
        <v>217</v>
      </c>
      <c r="G217" s="777">
        <v>1</v>
      </c>
      <c r="H217" s="777">
        <v>1</v>
      </c>
      <c r="I217" s="777">
        <v>1</v>
      </c>
      <c r="J217" s="777">
        <v>1</v>
      </c>
      <c r="K217" s="777">
        <v>1</v>
      </c>
      <c r="L217" s="777">
        <v>1</v>
      </c>
      <c r="M217" s="777">
        <v>1</v>
      </c>
      <c r="N217" s="777">
        <v>1</v>
      </c>
      <c r="O217" s="777">
        <v>1</v>
      </c>
      <c r="P217" s="777">
        <v>1</v>
      </c>
      <c r="Q217" s="777">
        <v>1</v>
      </c>
      <c r="R217" s="777">
        <v>1</v>
      </c>
      <c r="S217" s="777">
        <v>1</v>
      </c>
      <c r="T217" s="777">
        <v>1</v>
      </c>
      <c r="U217" s="777">
        <v>1</v>
      </c>
      <c r="V217" s="777">
        <v>1</v>
      </c>
      <c r="W217" s="777">
        <v>217</v>
      </c>
      <c r="X217" s="777">
        <v>1</v>
      </c>
      <c r="Y217" s="777">
        <v>1</v>
      </c>
      <c r="Z217" s="777">
        <v>1</v>
      </c>
      <c r="AA217" s="777">
        <v>217</v>
      </c>
      <c r="AB217" s="777">
        <v>1</v>
      </c>
      <c r="AC217" s="777">
        <v>1</v>
      </c>
      <c r="AD217" s="777">
        <v>217</v>
      </c>
      <c r="AE217" s="777">
        <v>1</v>
      </c>
      <c r="AF217" s="777">
        <v>1</v>
      </c>
      <c r="AG217" s="777">
        <v>1</v>
      </c>
      <c r="AH217" s="777">
        <v>1</v>
      </c>
      <c r="AI217" s="777">
        <v>1</v>
      </c>
      <c r="AJ217" s="1066">
        <v>217</v>
      </c>
      <c r="AK217" s="1066">
        <v>217</v>
      </c>
      <c r="AL217" s="777">
        <v>1</v>
      </c>
      <c r="AM217" s="1066">
        <v>217</v>
      </c>
      <c r="AN217" s="1066">
        <v>217</v>
      </c>
      <c r="AO217" s="777">
        <v>1</v>
      </c>
    </row>
    <row r="218" spans="1:41" x14ac:dyDescent="0.25">
      <c r="A218" s="1141">
        <v>217</v>
      </c>
      <c r="B218" s="804">
        <v>218</v>
      </c>
      <c r="C218" s="777">
        <v>218</v>
      </c>
      <c r="D218" s="1066">
        <v>218</v>
      </c>
      <c r="E218" s="777">
        <v>1</v>
      </c>
      <c r="F218" s="777">
        <v>1</v>
      </c>
      <c r="G218" s="777">
        <v>218</v>
      </c>
      <c r="H218" s="777">
        <v>1</v>
      </c>
      <c r="I218" s="777">
        <v>1</v>
      </c>
      <c r="J218" s="777">
        <v>1</v>
      </c>
      <c r="K218" s="777">
        <v>1</v>
      </c>
      <c r="L218" s="777">
        <v>1</v>
      </c>
      <c r="M218" s="777">
        <v>1</v>
      </c>
      <c r="N218" s="777">
        <v>1</v>
      </c>
      <c r="O218" s="777">
        <v>1</v>
      </c>
      <c r="P218" s="777">
        <v>1</v>
      </c>
      <c r="Q218" s="777">
        <v>1</v>
      </c>
      <c r="R218" s="777">
        <v>1</v>
      </c>
      <c r="S218" s="777">
        <v>1</v>
      </c>
      <c r="T218" s="777">
        <v>218</v>
      </c>
      <c r="U218" s="777">
        <v>1</v>
      </c>
      <c r="V218" s="777">
        <v>1</v>
      </c>
      <c r="W218" s="777">
        <v>218</v>
      </c>
      <c r="X218" s="777">
        <v>1</v>
      </c>
      <c r="Y218" s="777">
        <v>1</v>
      </c>
      <c r="Z218" s="777">
        <v>1</v>
      </c>
      <c r="AA218" s="777">
        <v>218</v>
      </c>
      <c r="AB218" s="777">
        <v>1</v>
      </c>
      <c r="AC218" s="777">
        <v>218</v>
      </c>
      <c r="AD218" s="777">
        <v>1</v>
      </c>
      <c r="AE218" s="777">
        <v>1</v>
      </c>
      <c r="AF218" s="777">
        <v>1</v>
      </c>
      <c r="AG218" s="777">
        <v>1</v>
      </c>
      <c r="AH218" s="777">
        <v>1</v>
      </c>
      <c r="AI218" s="777">
        <v>1</v>
      </c>
      <c r="AJ218" s="1066">
        <v>218</v>
      </c>
      <c r="AK218" s="1066">
        <v>218</v>
      </c>
      <c r="AL218" s="777">
        <v>1</v>
      </c>
      <c r="AM218" s="1066">
        <v>218</v>
      </c>
      <c r="AN218" s="1066">
        <v>218</v>
      </c>
      <c r="AO218" s="777">
        <v>1</v>
      </c>
    </row>
    <row r="219" spans="1:41" x14ac:dyDescent="0.25">
      <c r="A219" s="1141">
        <v>218</v>
      </c>
      <c r="B219" s="804">
        <v>219</v>
      </c>
      <c r="C219" s="1066">
        <v>219</v>
      </c>
      <c r="D219" s="777">
        <v>1</v>
      </c>
      <c r="E219" s="777">
        <v>1</v>
      </c>
      <c r="F219" s="777">
        <v>1</v>
      </c>
      <c r="G219" s="777">
        <v>1</v>
      </c>
      <c r="H219" s="777">
        <v>1</v>
      </c>
      <c r="I219" s="777">
        <v>1</v>
      </c>
      <c r="J219" s="777">
        <v>1</v>
      </c>
      <c r="K219" s="777">
        <v>1</v>
      </c>
      <c r="L219" s="777">
        <v>1</v>
      </c>
      <c r="M219" s="777">
        <v>1</v>
      </c>
      <c r="N219" s="1066">
        <v>219</v>
      </c>
      <c r="O219" s="777">
        <v>1</v>
      </c>
      <c r="P219" s="777">
        <v>1</v>
      </c>
      <c r="Q219" s="777">
        <v>1</v>
      </c>
      <c r="R219" s="777">
        <v>1</v>
      </c>
      <c r="S219" s="777">
        <v>1</v>
      </c>
      <c r="T219" s="1066">
        <v>219</v>
      </c>
      <c r="U219" s="777">
        <v>1</v>
      </c>
      <c r="V219" s="777">
        <v>1</v>
      </c>
      <c r="W219" s="777">
        <v>1</v>
      </c>
      <c r="X219" s="777">
        <v>1</v>
      </c>
      <c r="Y219" s="777">
        <v>1</v>
      </c>
      <c r="Z219" s="777">
        <v>1</v>
      </c>
      <c r="AA219" s="777">
        <v>1</v>
      </c>
      <c r="AB219" s="777">
        <v>1</v>
      </c>
      <c r="AC219" s="777">
        <v>1</v>
      </c>
      <c r="AD219" s="777">
        <v>1</v>
      </c>
      <c r="AE219" s="777">
        <v>1</v>
      </c>
      <c r="AF219" s="777">
        <v>1</v>
      </c>
      <c r="AG219" s="777">
        <v>1</v>
      </c>
      <c r="AH219" s="777">
        <v>1</v>
      </c>
      <c r="AI219" s="777">
        <v>1</v>
      </c>
      <c r="AJ219" s="777">
        <v>1</v>
      </c>
      <c r="AK219" s="777">
        <v>1</v>
      </c>
      <c r="AL219" s="777">
        <v>1</v>
      </c>
      <c r="AM219" s="777">
        <v>1</v>
      </c>
      <c r="AN219" s="1066">
        <v>219</v>
      </c>
      <c r="AO219" s="777">
        <v>1</v>
      </c>
    </row>
    <row r="220" spans="1:41" x14ac:dyDescent="0.25">
      <c r="A220" s="1141">
        <v>219</v>
      </c>
      <c r="B220" s="804">
        <v>220</v>
      </c>
      <c r="C220" s="1066">
        <v>220</v>
      </c>
      <c r="D220" s="777">
        <v>1</v>
      </c>
      <c r="E220" s="777">
        <v>1</v>
      </c>
      <c r="F220" s="777">
        <v>1</v>
      </c>
      <c r="G220" s="777">
        <v>220</v>
      </c>
      <c r="H220" s="777">
        <v>1</v>
      </c>
      <c r="I220" s="777">
        <v>1</v>
      </c>
      <c r="J220" s="777">
        <v>1</v>
      </c>
      <c r="K220" s="777">
        <v>1</v>
      </c>
      <c r="L220" s="777">
        <v>1</v>
      </c>
      <c r="M220" s="777">
        <v>1</v>
      </c>
      <c r="N220" s="777">
        <v>1</v>
      </c>
      <c r="O220" s="777">
        <v>1</v>
      </c>
      <c r="P220" s="777">
        <v>1</v>
      </c>
      <c r="Q220" s="777">
        <v>1</v>
      </c>
      <c r="R220" s="777">
        <v>1</v>
      </c>
      <c r="S220" s="777">
        <v>1</v>
      </c>
      <c r="T220" s="777">
        <v>1</v>
      </c>
      <c r="U220" s="777">
        <v>1</v>
      </c>
      <c r="V220" s="777">
        <v>1</v>
      </c>
      <c r="W220" s="1066">
        <v>220</v>
      </c>
      <c r="X220" s="777">
        <v>1</v>
      </c>
      <c r="Y220" s="777">
        <v>1</v>
      </c>
      <c r="Z220" s="777">
        <v>1</v>
      </c>
      <c r="AA220" s="1066">
        <v>220</v>
      </c>
      <c r="AB220" s="777">
        <v>1</v>
      </c>
      <c r="AC220" s="777">
        <v>1</v>
      </c>
      <c r="AD220" s="777">
        <v>1</v>
      </c>
      <c r="AE220" s="1066">
        <v>220</v>
      </c>
      <c r="AF220" s="1066">
        <v>1</v>
      </c>
      <c r="AG220" s="777">
        <v>1</v>
      </c>
      <c r="AH220" s="777">
        <v>1</v>
      </c>
      <c r="AI220" s="777">
        <v>1</v>
      </c>
      <c r="AJ220" s="777">
        <v>1</v>
      </c>
      <c r="AK220" s="777">
        <v>1</v>
      </c>
      <c r="AL220" s="777">
        <v>1</v>
      </c>
      <c r="AM220" s="777">
        <v>1</v>
      </c>
      <c r="AN220" s="777">
        <v>1</v>
      </c>
      <c r="AO220" s="777">
        <v>1</v>
      </c>
    </row>
    <row r="221" spans="1:41" x14ac:dyDescent="0.25">
      <c r="A221" s="1141">
        <v>220</v>
      </c>
      <c r="B221" s="804">
        <v>221</v>
      </c>
      <c r="C221" s="1066">
        <v>221</v>
      </c>
      <c r="D221" s="1066">
        <v>221</v>
      </c>
      <c r="E221" s="777">
        <v>1</v>
      </c>
      <c r="F221" s="777">
        <v>1</v>
      </c>
      <c r="G221" s="777">
        <v>221</v>
      </c>
      <c r="H221" s="777">
        <v>1</v>
      </c>
      <c r="I221" s="777">
        <v>1</v>
      </c>
      <c r="J221" s="777">
        <v>1</v>
      </c>
      <c r="K221" s="777">
        <v>1</v>
      </c>
      <c r="L221" s="777">
        <v>1</v>
      </c>
      <c r="M221" s="777">
        <v>1</v>
      </c>
      <c r="N221" s="777">
        <v>1</v>
      </c>
      <c r="O221" s="777">
        <v>1</v>
      </c>
      <c r="P221" s="777">
        <v>1</v>
      </c>
      <c r="Q221" s="777">
        <v>1</v>
      </c>
      <c r="R221" s="777">
        <v>221</v>
      </c>
      <c r="S221" s="777">
        <v>1</v>
      </c>
      <c r="T221" s="777">
        <v>1</v>
      </c>
      <c r="U221" s="777">
        <v>1</v>
      </c>
      <c r="V221" s="777">
        <v>1</v>
      </c>
      <c r="W221" s="777">
        <v>221</v>
      </c>
      <c r="X221" s="777">
        <v>1</v>
      </c>
      <c r="Y221" s="777">
        <v>1</v>
      </c>
      <c r="Z221" s="777">
        <v>1</v>
      </c>
      <c r="AA221" s="777">
        <v>1</v>
      </c>
      <c r="AB221" s="777">
        <v>1</v>
      </c>
      <c r="AC221" s="777">
        <v>1</v>
      </c>
      <c r="AD221" s="777">
        <v>1</v>
      </c>
      <c r="AE221" s="777">
        <v>1</v>
      </c>
      <c r="AF221" s="777">
        <v>1</v>
      </c>
      <c r="AG221" s="777">
        <v>1</v>
      </c>
      <c r="AH221" s="1066">
        <v>221</v>
      </c>
      <c r="AI221" s="777">
        <v>1</v>
      </c>
      <c r="AJ221" s="1066">
        <v>221</v>
      </c>
      <c r="AK221" s="1066">
        <v>221</v>
      </c>
      <c r="AL221" s="777">
        <v>1</v>
      </c>
      <c r="AM221" s="1066">
        <v>221</v>
      </c>
      <c r="AN221" s="1066">
        <v>1</v>
      </c>
      <c r="AO221" s="777">
        <v>1</v>
      </c>
    </row>
    <row r="222" spans="1:41" x14ac:dyDescent="0.25">
      <c r="A222" s="1141">
        <v>221</v>
      </c>
      <c r="B222" s="804">
        <v>222</v>
      </c>
      <c r="C222" s="1066">
        <v>222</v>
      </c>
      <c r="D222" s="1066">
        <v>222</v>
      </c>
      <c r="E222" s="777">
        <v>1</v>
      </c>
      <c r="F222" s="777">
        <v>1</v>
      </c>
      <c r="G222" s="777">
        <v>1</v>
      </c>
      <c r="H222" s="777">
        <v>1</v>
      </c>
      <c r="I222" s="777">
        <v>1</v>
      </c>
      <c r="J222" s="777">
        <v>1</v>
      </c>
      <c r="K222" s="777">
        <v>1</v>
      </c>
      <c r="L222" s="1066">
        <v>222</v>
      </c>
      <c r="M222" s="777">
        <v>1</v>
      </c>
      <c r="N222" s="777">
        <v>1</v>
      </c>
      <c r="O222" s="777">
        <v>1</v>
      </c>
      <c r="P222" s="777">
        <v>1</v>
      </c>
      <c r="Q222" s="777">
        <v>1</v>
      </c>
      <c r="R222" s="777">
        <v>222</v>
      </c>
      <c r="S222" s="777">
        <v>1</v>
      </c>
      <c r="T222" s="777">
        <v>1</v>
      </c>
      <c r="U222" s="777">
        <v>1</v>
      </c>
      <c r="V222" s="777">
        <v>1</v>
      </c>
      <c r="W222" s="777">
        <v>222</v>
      </c>
      <c r="X222" s="777">
        <v>1</v>
      </c>
      <c r="Y222" s="777">
        <v>1</v>
      </c>
      <c r="Z222" s="777">
        <v>1</v>
      </c>
      <c r="AA222" s="777">
        <v>1</v>
      </c>
      <c r="AB222" s="777">
        <v>1</v>
      </c>
      <c r="AC222" s="777">
        <v>1</v>
      </c>
      <c r="AD222" s="777">
        <v>1</v>
      </c>
      <c r="AE222" s="777">
        <v>1</v>
      </c>
      <c r="AF222" s="777">
        <v>1</v>
      </c>
      <c r="AG222" s="777">
        <v>1</v>
      </c>
      <c r="AH222" s="777">
        <v>1</v>
      </c>
      <c r="AI222" s="777">
        <v>1</v>
      </c>
      <c r="AJ222" s="777">
        <v>1</v>
      </c>
      <c r="AK222" s="777">
        <v>1</v>
      </c>
      <c r="AL222" s="777">
        <v>1</v>
      </c>
      <c r="AM222" s="777">
        <v>1</v>
      </c>
      <c r="AN222" s="777">
        <v>1</v>
      </c>
      <c r="AO222" s="777">
        <v>1</v>
      </c>
    </row>
    <row r="223" spans="1:41" x14ac:dyDescent="0.25">
      <c r="A223" s="1141">
        <v>222</v>
      </c>
      <c r="B223" s="804">
        <v>223</v>
      </c>
      <c r="C223" s="1066">
        <v>223</v>
      </c>
      <c r="D223" s="777">
        <v>1</v>
      </c>
      <c r="E223" s="777">
        <v>1</v>
      </c>
      <c r="F223" s="777">
        <v>1</v>
      </c>
      <c r="G223" s="777">
        <v>1</v>
      </c>
      <c r="H223" s="777">
        <v>1</v>
      </c>
      <c r="I223" s="777">
        <v>1</v>
      </c>
      <c r="J223" s="777">
        <v>1</v>
      </c>
      <c r="K223" s="777">
        <v>1</v>
      </c>
      <c r="L223" s="777">
        <v>223</v>
      </c>
      <c r="M223" s="777">
        <v>1</v>
      </c>
      <c r="N223" s="777">
        <v>1</v>
      </c>
      <c r="O223" s="777">
        <v>1</v>
      </c>
      <c r="P223" s="777">
        <v>1</v>
      </c>
      <c r="Q223" s="777">
        <v>223</v>
      </c>
      <c r="R223" s="1066">
        <v>223</v>
      </c>
      <c r="S223" s="777">
        <v>1</v>
      </c>
      <c r="T223" s="777">
        <v>223</v>
      </c>
      <c r="U223" s="777">
        <v>1</v>
      </c>
      <c r="V223" s="777">
        <v>1</v>
      </c>
      <c r="W223" s="1066">
        <v>223</v>
      </c>
      <c r="X223" s="1066">
        <v>223</v>
      </c>
      <c r="Y223" s="777">
        <v>1</v>
      </c>
      <c r="Z223" s="777">
        <v>1</v>
      </c>
      <c r="AA223" s="777">
        <v>1</v>
      </c>
      <c r="AB223" s="777">
        <v>1</v>
      </c>
      <c r="AC223" s="777">
        <v>1</v>
      </c>
      <c r="AD223" s="777">
        <v>1</v>
      </c>
      <c r="AE223" s="777">
        <v>1</v>
      </c>
      <c r="AF223" s="777">
        <v>1</v>
      </c>
      <c r="AG223" s="777">
        <v>1</v>
      </c>
      <c r="AH223" s="777">
        <v>1</v>
      </c>
      <c r="AI223" s="777">
        <v>223</v>
      </c>
      <c r="AJ223" s="777">
        <v>1</v>
      </c>
      <c r="AK223" s="777">
        <v>1</v>
      </c>
      <c r="AL223" s="777">
        <v>1</v>
      </c>
      <c r="AM223" s="777">
        <v>1</v>
      </c>
      <c r="AN223" s="777">
        <v>1</v>
      </c>
      <c r="AO223" s="777">
        <v>1</v>
      </c>
    </row>
    <row r="224" spans="1:41" x14ac:dyDescent="0.25">
      <c r="A224" s="1141">
        <v>223</v>
      </c>
      <c r="B224" s="804">
        <v>224</v>
      </c>
      <c r="C224" s="1066">
        <v>224</v>
      </c>
      <c r="D224" s="1066">
        <v>224</v>
      </c>
      <c r="E224" s="777">
        <v>1</v>
      </c>
      <c r="F224" s="777">
        <v>1</v>
      </c>
      <c r="G224" s="777">
        <v>1</v>
      </c>
      <c r="H224" s="777">
        <v>1</v>
      </c>
      <c r="I224" s="777">
        <v>1</v>
      </c>
      <c r="J224" s="777">
        <v>1</v>
      </c>
      <c r="K224" s="777">
        <v>1</v>
      </c>
      <c r="L224" s="777">
        <v>1</v>
      </c>
      <c r="M224" s="777">
        <v>1</v>
      </c>
      <c r="N224" s="777">
        <v>1</v>
      </c>
      <c r="O224" s="777">
        <v>1</v>
      </c>
      <c r="P224" s="777">
        <v>1</v>
      </c>
      <c r="Q224" s="777">
        <v>1</v>
      </c>
      <c r="R224" s="777">
        <v>224</v>
      </c>
      <c r="S224" s="777">
        <v>1</v>
      </c>
      <c r="T224" s="777">
        <v>1</v>
      </c>
      <c r="U224" s="777">
        <v>1</v>
      </c>
      <c r="V224" s="777">
        <v>1</v>
      </c>
      <c r="W224" s="777">
        <v>1</v>
      </c>
      <c r="X224" s="777">
        <v>1</v>
      </c>
      <c r="Y224" s="777">
        <v>1</v>
      </c>
      <c r="Z224" s="777">
        <v>1</v>
      </c>
      <c r="AA224" s="777">
        <v>1</v>
      </c>
      <c r="AB224" s="777">
        <v>1</v>
      </c>
      <c r="AC224" s="777">
        <v>1</v>
      </c>
      <c r="AD224" s="777">
        <v>1</v>
      </c>
      <c r="AE224" s="777">
        <v>1</v>
      </c>
      <c r="AF224" s="777">
        <v>1</v>
      </c>
      <c r="AG224" s="777">
        <v>1</v>
      </c>
      <c r="AH224" s="777">
        <v>1</v>
      </c>
      <c r="AI224" s="1066">
        <v>224</v>
      </c>
      <c r="AJ224" s="777">
        <v>1</v>
      </c>
      <c r="AK224" s="777">
        <v>1</v>
      </c>
      <c r="AL224" s="777">
        <v>1</v>
      </c>
      <c r="AM224" s="1066">
        <v>224</v>
      </c>
      <c r="AN224" s="777">
        <v>1</v>
      </c>
      <c r="AO224" s="777">
        <v>1</v>
      </c>
    </row>
    <row r="225" spans="1:41" x14ac:dyDescent="0.25">
      <c r="A225" s="1141">
        <v>224</v>
      </c>
      <c r="B225" s="804">
        <v>225</v>
      </c>
      <c r="C225" s="1066">
        <v>225</v>
      </c>
      <c r="D225" s="1066">
        <v>225</v>
      </c>
      <c r="E225" s="777">
        <v>1</v>
      </c>
      <c r="F225" s="777">
        <v>1</v>
      </c>
      <c r="G225" s="777">
        <v>1</v>
      </c>
      <c r="H225" s="777">
        <v>1</v>
      </c>
      <c r="I225" s="777">
        <v>1</v>
      </c>
      <c r="J225" s="777">
        <v>1</v>
      </c>
      <c r="K225" s="777">
        <v>1</v>
      </c>
      <c r="L225" s="777">
        <v>1</v>
      </c>
      <c r="M225" s="777">
        <v>1</v>
      </c>
      <c r="N225" s="777">
        <v>1</v>
      </c>
      <c r="O225" s="777">
        <v>1</v>
      </c>
      <c r="P225" s="777">
        <v>1</v>
      </c>
      <c r="Q225" s="777">
        <v>1</v>
      </c>
      <c r="R225" s="777">
        <v>225</v>
      </c>
      <c r="S225" s="777">
        <v>1</v>
      </c>
      <c r="T225" s="777">
        <v>1</v>
      </c>
      <c r="U225" s="777">
        <v>1</v>
      </c>
      <c r="V225" s="777">
        <v>1</v>
      </c>
      <c r="W225" s="777">
        <v>225</v>
      </c>
      <c r="X225" s="777">
        <v>225</v>
      </c>
      <c r="Y225" s="777">
        <v>1</v>
      </c>
      <c r="Z225" s="1066">
        <v>225</v>
      </c>
      <c r="AA225" s="777">
        <v>1</v>
      </c>
      <c r="AB225" s="777">
        <v>1</v>
      </c>
      <c r="AC225" s="777">
        <v>1</v>
      </c>
      <c r="AD225" s="777">
        <v>1</v>
      </c>
      <c r="AE225" s="777">
        <v>1</v>
      </c>
      <c r="AF225" s="777">
        <v>1</v>
      </c>
      <c r="AG225" s="777">
        <v>1</v>
      </c>
      <c r="AH225" s="777">
        <v>1</v>
      </c>
      <c r="AI225" s="777">
        <v>225</v>
      </c>
      <c r="AJ225" s="777">
        <v>225</v>
      </c>
      <c r="AK225" s="777">
        <v>225</v>
      </c>
      <c r="AL225" s="777">
        <v>1</v>
      </c>
      <c r="AM225" s="777">
        <v>1</v>
      </c>
      <c r="AN225" s="777">
        <v>1</v>
      </c>
      <c r="AO225" s="777">
        <v>1</v>
      </c>
    </row>
    <row r="226" spans="1:41" x14ac:dyDescent="0.25">
      <c r="A226" s="1141">
        <v>225</v>
      </c>
      <c r="B226" s="804">
        <v>226</v>
      </c>
      <c r="C226" s="1066">
        <v>226</v>
      </c>
      <c r="D226" s="777">
        <v>1</v>
      </c>
      <c r="E226" s="777">
        <v>1</v>
      </c>
      <c r="F226" s="777">
        <v>1</v>
      </c>
      <c r="G226" s="777">
        <v>1</v>
      </c>
      <c r="H226" s="777">
        <v>1</v>
      </c>
      <c r="I226" s="777">
        <v>1</v>
      </c>
      <c r="J226" s="777">
        <v>1</v>
      </c>
      <c r="K226" s="777">
        <v>1</v>
      </c>
      <c r="L226" s="777">
        <v>1</v>
      </c>
      <c r="M226" s="777">
        <v>1</v>
      </c>
      <c r="N226" s="777">
        <v>1</v>
      </c>
      <c r="O226" s="777">
        <v>1</v>
      </c>
      <c r="P226" s="777">
        <v>1</v>
      </c>
      <c r="Q226" s="777">
        <v>1</v>
      </c>
      <c r="R226" s="777">
        <v>226</v>
      </c>
      <c r="S226" s="777">
        <v>1</v>
      </c>
      <c r="T226" s="777">
        <v>1</v>
      </c>
      <c r="U226" s="777">
        <v>1</v>
      </c>
      <c r="V226" s="777">
        <v>1</v>
      </c>
      <c r="W226" s="777">
        <v>1</v>
      </c>
      <c r="X226" s="777">
        <v>1</v>
      </c>
      <c r="Y226" s="777">
        <v>1</v>
      </c>
      <c r="Z226" s="1066">
        <v>226</v>
      </c>
      <c r="AA226" s="777">
        <v>1</v>
      </c>
      <c r="AB226" s="777">
        <v>1</v>
      </c>
      <c r="AC226" s="777">
        <v>1</v>
      </c>
      <c r="AD226" s="777">
        <v>1</v>
      </c>
      <c r="AE226" s="777">
        <v>1</v>
      </c>
      <c r="AF226" s="777">
        <v>1</v>
      </c>
      <c r="AG226" s="777">
        <v>1</v>
      </c>
      <c r="AH226" s="777">
        <v>1</v>
      </c>
      <c r="AI226" s="777">
        <v>1</v>
      </c>
      <c r="AJ226" s="777">
        <v>1</v>
      </c>
      <c r="AK226" s="777">
        <v>1</v>
      </c>
      <c r="AL226" s="777">
        <v>1</v>
      </c>
      <c r="AM226" s="777">
        <v>1</v>
      </c>
      <c r="AN226" s="1066">
        <v>1</v>
      </c>
      <c r="AO226" s="777">
        <v>1</v>
      </c>
    </row>
    <row r="227" spans="1:41" x14ac:dyDescent="0.25">
      <c r="A227" s="1141">
        <v>226</v>
      </c>
      <c r="B227" s="804">
        <v>227</v>
      </c>
      <c r="C227" s="1066">
        <v>227</v>
      </c>
      <c r="D227" s="777">
        <v>1</v>
      </c>
      <c r="E227" s="777">
        <v>1</v>
      </c>
      <c r="F227" s="777">
        <v>1</v>
      </c>
      <c r="G227" s="1066">
        <v>227</v>
      </c>
      <c r="H227" s="777">
        <v>1</v>
      </c>
      <c r="I227" s="777">
        <v>1</v>
      </c>
      <c r="J227" s="777">
        <v>1</v>
      </c>
      <c r="K227" s="777">
        <v>1</v>
      </c>
      <c r="L227" s="777">
        <v>1</v>
      </c>
      <c r="M227" s="777">
        <v>1</v>
      </c>
      <c r="N227" s="777">
        <v>1</v>
      </c>
      <c r="O227" s="777">
        <v>1</v>
      </c>
      <c r="P227" s="777">
        <v>1</v>
      </c>
      <c r="Q227" s="777">
        <v>1</v>
      </c>
      <c r="R227" s="777">
        <v>227</v>
      </c>
      <c r="S227" s="777">
        <v>1</v>
      </c>
      <c r="T227" s="777">
        <v>1</v>
      </c>
      <c r="U227" s="777">
        <v>1</v>
      </c>
      <c r="V227" s="777">
        <v>1</v>
      </c>
      <c r="W227" s="777">
        <v>1</v>
      </c>
      <c r="X227" s="777">
        <v>1</v>
      </c>
      <c r="Y227" s="777">
        <v>1</v>
      </c>
      <c r="Z227" s="1066">
        <v>227</v>
      </c>
      <c r="AA227" s="777">
        <v>1</v>
      </c>
      <c r="AB227" s="777">
        <v>1</v>
      </c>
      <c r="AC227" s="1066">
        <v>227</v>
      </c>
      <c r="AD227" s="777">
        <v>1</v>
      </c>
      <c r="AE227" s="777">
        <v>1</v>
      </c>
      <c r="AF227" s="777">
        <v>1</v>
      </c>
      <c r="AG227" s="777">
        <v>1</v>
      </c>
      <c r="AH227" s="777">
        <v>1</v>
      </c>
      <c r="AI227" s="777">
        <v>1</v>
      </c>
      <c r="AJ227" s="777">
        <v>1</v>
      </c>
      <c r="AK227" s="777">
        <v>1</v>
      </c>
      <c r="AL227" s="777">
        <v>1</v>
      </c>
      <c r="AM227" s="777">
        <v>1</v>
      </c>
      <c r="AN227" s="777">
        <v>1</v>
      </c>
      <c r="AO227" s="777">
        <v>1</v>
      </c>
    </row>
    <row r="228" spans="1:41" x14ac:dyDescent="0.25">
      <c r="A228" s="1141">
        <v>227</v>
      </c>
      <c r="B228" s="804">
        <v>228</v>
      </c>
      <c r="C228" s="1066">
        <v>228</v>
      </c>
      <c r="D228" s="1066">
        <v>228</v>
      </c>
      <c r="E228" s="777">
        <v>1</v>
      </c>
      <c r="F228" s="777">
        <v>1</v>
      </c>
      <c r="G228" s="777">
        <v>1</v>
      </c>
      <c r="H228" s="777">
        <v>1</v>
      </c>
      <c r="I228" s="777">
        <v>1</v>
      </c>
      <c r="J228" s="777">
        <v>1</v>
      </c>
      <c r="K228" s="777">
        <v>1</v>
      </c>
      <c r="L228" s="777">
        <v>1</v>
      </c>
      <c r="M228" s="777">
        <v>1</v>
      </c>
      <c r="N228" s="777">
        <v>1</v>
      </c>
      <c r="O228" s="777">
        <v>1</v>
      </c>
      <c r="P228" s="777">
        <v>1</v>
      </c>
      <c r="Q228" s="777">
        <v>1</v>
      </c>
      <c r="R228" s="777">
        <v>1</v>
      </c>
      <c r="S228" s="777">
        <v>1</v>
      </c>
      <c r="T228" s="777">
        <v>1</v>
      </c>
      <c r="U228" s="777">
        <v>1</v>
      </c>
      <c r="V228" s="777">
        <v>1</v>
      </c>
      <c r="W228" s="777">
        <v>1</v>
      </c>
      <c r="X228" s="777">
        <v>1</v>
      </c>
      <c r="Y228" s="777">
        <v>1</v>
      </c>
      <c r="Z228" s="777">
        <v>1</v>
      </c>
      <c r="AA228" s="777">
        <v>228</v>
      </c>
      <c r="AB228" s="777">
        <v>1</v>
      </c>
      <c r="AC228" s="777">
        <v>1</v>
      </c>
      <c r="AD228" s="777">
        <v>1</v>
      </c>
      <c r="AE228" s="777">
        <v>228</v>
      </c>
      <c r="AF228" s="777">
        <v>1</v>
      </c>
      <c r="AG228" s="777">
        <v>1</v>
      </c>
      <c r="AH228" s="777">
        <v>1</v>
      </c>
      <c r="AI228" s="777">
        <v>1</v>
      </c>
      <c r="AJ228" s="777">
        <v>1</v>
      </c>
      <c r="AK228" s="777">
        <v>1</v>
      </c>
      <c r="AL228" s="777">
        <v>1</v>
      </c>
      <c r="AM228" s="777">
        <v>1</v>
      </c>
      <c r="AN228" s="777">
        <v>1</v>
      </c>
      <c r="AO228" s="777">
        <v>228</v>
      </c>
    </row>
    <row r="229" spans="1:41" x14ac:dyDescent="0.25">
      <c r="A229" s="1141">
        <v>228</v>
      </c>
      <c r="B229" s="804">
        <v>229</v>
      </c>
      <c r="C229" s="1066">
        <v>229</v>
      </c>
      <c r="D229" s="1066">
        <v>229</v>
      </c>
      <c r="E229" s="777">
        <v>1</v>
      </c>
      <c r="F229" s="777">
        <v>1</v>
      </c>
      <c r="G229" s="777">
        <v>229</v>
      </c>
      <c r="H229" s="777">
        <v>1</v>
      </c>
      <c r="I229" s="777">
        <v>1</v>
      </c>
      <c r="J229" s="777">
        <v>1</v>
      </c>
      <c r="K229" s="777">
        <v>1</v>
      </c>
      <c r="L229" s="777">
        <v>1</v>
      </c>
      <c r="M229" s="777">
        <v>1</v>
      </c>
      <c r="N229" s="777">
        <v>1</v>
      </c>
      <c r="O229" s="777">
        <v>1</v>
      </c>
      <c r="P229" s="777">
        <v>1</v>
      </c>
      <c r="Q229" s="777">
        <v>229</v>
      </c>
      <c r="R229" s="777">
        <v>229</v>
      </c>
      <c r="S229" s="777">
        <v>1</v>
      </c>
      <c r="T229" s="777">
        <v>1</v>
      </c>
      <c r="U229" s="777">
        <v>1</v>
      </c>
      <c r="V229" s="777">
        <v>1</v>
      </c>
      <c r="W229" s="777">
        <v>229</v>
      </c>
      <c r="X229" s="777">
        <v>1</v>
      </c>
      <c r="Y229" s="777">
        <v>1</v>
      </c>
      <c r="Z229" s="777">
        <v>1</v>
      </c>
      <c r="AA229" s="777">
        <v>1</v>
      </c>
      <c r="AB229" s="777">
        <v>1</v>
      </c>
      <c r="AC229" s="777">
        <v>1</v>
      </c>
      <c r="AD229" s="777">
        <v>1</v>
      </c>
      <c r="AE229" s="777">
        <v>1</v>
      </c>
      <c r="AF229" s="777">
        <v>1</v>
      </c>
      <c r="AG229" s="777">
        <v>1</v>
      </c>
      <c r="AH229" s="777">
        <v>1</v>
      </c>
      <c r="AI229" s="777">
        <v>1</v>
      </c>
      <c r="AJ229" s="777">
        <v>1</v>
      </c>
      <c r="AK229" s="777">
        <v>1</v>
      </c>
      <c r="AL229" s="777">
        <v>1</v>
      </c>
      <c r="AM229" s="777">
        <v>1</v>
      </c>
      <c r="AN229" s="777">
        <v>1</v>
      </c>
      <c r="AO229" s="777">
        <v>1</v>
      </c>
    </row>
    <row r="230" spans="1:41" x14ac:dyDescent="0.25">
      <c r="A230" s="1141">
        <v>229</v>
      </c>
      <c r="B230" s="804">
        <v>230</v>
      </c>
      <c r="C230" s="1066">
        <v>230</v>
      </c>
      <c r="D230" s="777">
        <v>1</v>
      </c>
      <c r="E230" s="777">
        <v>1</v>
      </c>
      <c r="F230" s="777">
        <v>230</v>
      </c>
      <c r="G230" s="777">
        <v>1</v>
      </c>
      <c r="H230" s="777">
        <v>1</v>
      </c>
      <c r="I230" s="777">
        <v>1</v>
      </c>
      <c r="J230" s="777">
        <v>1</v>
      </c>
      <c r="K230" s="777">
        <v>1</v>
      </c>
      <c r="L230" s="777">
        <v>1</v>
      </c>
      <c r="M230" s="777">
        <v>1</v>
      </c>
      <c r="N230" s="777">
        <v>1</v>
      </c>
      <c r="O230" s="777">
        <v>1</v>
      </c>
      <c r="P230" s="777">
        <v>1</v>
      </c>
      <c r="Q230" s="777">
        <v>1</v>
      </c>
      <c r="R230" s="777">
        <v>1</v>
      </c>
      <c r="S230" s="777">
        <v>1</v>
      </c>
      <c r="T230" s="777">
        <v>1</v>
      </c>
      <c r="U230" s="777">
        <v>1</v>
      </c>
      <c r="V230" s="777">
        <v>1</v>
      </c>
      <c r="W230" s="1066">
        <v>230</v>
      </c>
      <c r="X230" s="777">
        <v>1</v>
      </c>
      <c r="Y230" s="777">
        <v>1</v>
      </c>
      <c r="Z230" s="777">
        <v>1</v>
      </c>
      <c r="AA230" s="777">
        <v>1</v>
      </c>
      <c r="AB230" s="777">
        <v>1</v>
      </c>
      <c r="AC230" s="777">
        <v>230</v>
      </c>
      <c r="AD230" s="777">
        <v>1</v>
      </c>
      <c r="AE230" s="777">
        <v>1</v>
      </c>
      <c r="AF230" s="777">
        <v>230</v>
      </c>
      <c r="AG230" s="777">
        <v>1</v>
      </c>
      <c r="AH230" s="777">
        <v>1</v>
      </c>
      <c r="AI230" s="777">
        <v>1</v>
      </c>
      <c r="AJ230" s="777">
        <v>1</v>
      </c>
      <c r="AK230" s="777">
        <v>1</v>
      </c>
      <c r="AL230" s="777">
        <v>1</v>
      </c>
      <c r="AM230" s="777">
        <v>1</v>
      </c>
      <c r="AN230" s="777">
        <v>1</v>
      </c>
      <c r="AO230" s="777">
        <v>1</v>
      </c>
    </row>
    <row r="231" spans="1:41" x14ac:dyDescent="0.25">
      <c r="A231" s="1141">
        <v>230</v>
      </c>
      <c r="B231" s="804">
        <v>231</v>
      </c>
      <c r="C231" s="1066">
        <v>231</v>
      </c>
      <c r="D231" s="1066">
        <v>231</v>
      </c>
      <c r="E231" s="777">
        <v>1</v>
      </c>
      <c r="F231" s="777">
        <v>1</v>
      </c>
      <c r="G231" s="1066">
        <v>231</v>
      </c>
      <c r="H231" s="777">
        <v>1</v>
      </c>
      <c r="I231" s="777">
        <v>1</v>
      </c>
      <c r="J231" s="777">
        <v>1</v>
      </c>
      <c r="K231" s="777">
        <v>1</v>
      </c>
      <c r="L231" s="777">
        <v>1</v>
      </c>
      <c r="M231" s="777">
        <v>1</v>
      </c>
      <c r="N231" s="777">
        <v>1</v>
      </c>
      <c r="O231" s="777">
        <v>1</v>
      </c>
      <c r="P231" s="777">
        <v>1</v>
      </c>
      <c r="Q231" s="777">
        <v>1</v>
      </c>
      <c r="R231" s="777">
        <v>231</v>
      </c>
      <c r="S231" s="777">
        <v>1</v>
      </c>
      <c r="T231" s="777">
        <v>1</v>
      </c>
      <c r="U231" s="777">
        <v>1</v>
      </c>
      <c r="V231" s="777">
        <v>1</v>
      </c>
      <c r="W231" s="777">
        <v>231</v>
      </c>
      <c r="X231" s="777">
        <v>1</v>
      </c>
      <c r="Y231" s="777">
        <v>1</v>
      </c>
      <c r="Z231" s="777">
        <v>1</v>
      </c>
      <c r="AA231" s="777">
        <v>1</v>
      </c>
      <c r="AB231" s="777">
        <v>1</v>
      </c>
      <c r="AC231" s="777">
        <v>1</v>
      </c>
      <c r="AD231" s="777">
        <v>1</v>
      </c>
      <c r="AE231" s="777">
        <v>1</v>
      </c>
      <c r="AF231" s="777">
        <v>1</v>
      </c>
      <c r="AG231" s="777">
        <v>1</v>
      </c>
      <c r="AH231" s="777">
        <v>1</v>
      </c>
      <c r="AI231" s="777">
        <v>231</v>
      </c>
      <c r="AJ231" s="777">
        <v>1</v>
      </c>
      <c r="AK231" s="777">
        <v>1</v>
      </c>
      <c r="AL231" s="777">
        <v>1</v>
      </c>
      <c r="AM231" s="777">
        <v>1</v>
      </c>
      <c r="AN231" s="777">
        <v>1</v>
      </c>
      <c r="AO231" s="777">
        <v>1</v>
      </c>
    </row>
    <row r="232" spans="1:41" x14ac:dyDescent="0.25">
      <c r="A232" s="1141">
        <v>231</v>
      </c>
      <c r="B232" s="804">
        <v>232</v>
      </c>
      <c r="C232" s="1066">
        <v>232</v>
      </c>
      <c r="D232" s="777">
        <v>1</v>
      </c>
      <c r="E232" s="777">
        <v>1</v>
      </c>
      <c r="F232" s="777">
        <v>1</v>
      </c>
      <c r="G232" s="777">
        <v>232</v>
      </c>
      <c r="H232" s="777">
        <v>1</v>
      </c>
      <c r="I232" s="777">
        <v>1</v>
      </c>
      <c r="J232" s="777">
        <v>1</v>
      </c>
      <c r="K232" s="777">
        <v>1</v>
      </c>
      <c r="L232" s="777">
        <v>1</v>
      </c>
      <c r="M232" s="777">
        <v>1</v>
      </c>
      <c r="N232" s="777">
        <v>1</v>
      </c>
      <c r="O232" s="1066">
        <v>232</v>
      </c>
      <c r="P232" s="777">
        <v>232</v>
      </c>
      <c r="Q232" s="777">
        <v>1</v>
      </c>
      <c r="R232" s="777">
        <v>232</v>
      </c>
      <c r="S232" s="777">
        <v>1</v>
      </c>
      <c r="T232" s="777">
        <v>1</v>
      </c>
      <c r="U232" s="777">
        <v>1</v>
      </c>
      <c r="V232" s="777">
        <v>1</v>
      </c>
      <c r="W232" s="777">
        <v>232</v>
      </c>
      <c r="X232" s="777">
        <v>1</v>
      </c>
      <c r="Y232" s="777">
        <v>1</v>
      </c>
      <c r="Z232" s="777">
        <v>1</v>
      </c>
      <c r="AA232" s="777">
        <v>1</v>
      </c>
      <c r="AB232" s="777">
        <v>1</v>
      </c>
      <c r="AC232" s="777">
        <v>1</v>
      </c>
      <c r="AD232" s="777">
        <v>1</v>
      </c>
      <c r="AE232" s="777">
        <v>1</v>
      </c>
      <c r="AF232" s="777">
        <v>1</v>
      </c>
      <c r="AG232" s="777">
        <v>1</v>
      </c>
      <c r="AH232" s="777">
        <v>1</v>
      </c>
      <c r="AI232" s="777">
        <v>1</v>
      </c>
      <c r="AJ232" s="777">
        <v>232</v>
      </c>
      <c r="AK232" s="777">
        <v>232</v>
      </c>
      <c r="AL232" s="777">
        <v>1</v>
      </c>
      <c r="AM232" s="777">
        <v>232</v>
      </c>
      <c r="AN232" s="777">
        <v>1</v>
      </c>
      <c r="AO232" s="777">
        <v>1</v>
      </c>
    </row>
    <row r="233" spans="1:41" x14ac:dyDescent="0.25">
      <c r="A233" s="1141">
        <v>232</v>
      </c>
      <c r="B233" s="804">
        <v>233</v>
      </c>
      <c r="C233" s="1066">
        <v>233</v>
      </c>
      <c r="D233" s="1066">
        <v>233</v>
      </c>
      <c r="E233" s="777">
        <v>1</v>
      </c>
      <c r="F233" s="777">
        <v>1</v>
      </c>
      <c r="G233" s="777">
        <v>1</v>
      </c>
      <c r="H233" s="777">
        <v>1</v>
      </c>
      <c r="I233" s="777">
        <v>1</v>
      </c>
      <c r="J233" s="777">
        <v>1</v>
      </c>
      <c r="K233" s="777">
        <v>1</v>
      </c>
      <c r="L233" s="777">
        <v>1</v>
      </c>
      <c r="M233" s="777">
        <v>1</v>
      </c>
      <c r="N233" s="777">
        <v>1</v>
      </c>
      <c r="O233" s="777">
        <v>1</v>
      </c>
      <c r="P233" s="777">
        <v>1</v>
      </c>
      <c r="Q233" s="777">
        <v>1</v>
      </c>
      <c r="R233" s="1066">
        <v>233</v>
      </c>
      <c r="S233" s="777">
        <v>1</v>
      </c>
      <c r="T233" s="777">
        <v>1</v>
      </c>
      <c r="U233" s="777">
        <v>1</v>
      </c>
      <c r="V233" s="777">
        <v>1</v>
      </c>
      <c r="W233" s="777">
        <v>1</v>
      </c>
      <c r="X233" s="777">
        <v>1</v>
      </c>
      <c r="Y233" s="777">
        <v>1</v>
      </c>
      <c r="Z233" s="777">
        <v>1</v>
      </c>
      <c r="AA233" s="777">
        <v>1</v>
      </c>
      <c r="AB233" s="777">
        <v>1</v>
      </c>
      <c r="AC233" s="777">
        <v>1</v>
      </c>
      <c r="AD233" s="777">
        <v>1</v>
      </c>
      <c r="AE233" s="777">
        <v>1</v>
      </c>
      <c r="AF233" s="777">
        <v>1</v>
      </c>
      <c r="AG233" s="777">
        <v>1</v>
      </c>
      <c r="AH233" s="777">
        <v>1</v>
      </c>
      <c r="AI233" s="777">
        <v>1</v>
      </c>
      <c r="AJ233" s="777">
        <v>1</v>
      </c>
      <c r="AK233" s="777">
        <v>1</v>
      </c>
      <c r="AL233" s="777">
        <v>1</v>
      </c>
      <c r="AM233" s="777">
        <v>1</v>
      </c>
      <c r="AN233" s="777">
        <v>1</v>
      </c>
      <c r="AO233" s="777">
        <v>1</v>
      </c>
    </row>
    <row r="234" spans="1:41" x14ac:dyDescent="0.25">
      <c r="A234" s="1141">
        <v>233</v>
      </c>
      <c r="B234" s="804">
        <v>234</v>
      </c>
      <c r="C234" s="1066">
        <v>234</v>
      </c>
      <c r="D234" s="1066">
        <v>234</v>
      </c>
      <c r="E234" s="1066">
        <v>234</v>
      </c>
      <c r="F234" s="777">
        <v>1</v>
      </c>
      <c r="G234" s="1066">
        <v>234</v>
      </c>
      <c r="H234" s="777">
        <v>1</v>
      </c>
      <c r="I234" s="777">
        <v>1</v>
      </c>
      <c r="J234" s="777">
        <v>1</v>
      </c>
      <c r="K234" s="777">
        <v>1</v>
      </c>
      <c r="L234" s="777">
        <v>1</v>
      </c>
      <c r="M234" s="777">
        <v>1</v>
      </c>
      <c r="N234" s="777">
        <v>1</v>
      </c>
      <c r="O234" s="777">
        <v>1</v>
      </c>
      <c r="P234" s="777">
        <v>1</v>
      </c>
      <c r="Q234" s="777">
        <v>1</v>
      </c>
      <c r="R234" s="777">
        <v>234</v>
      </c>
      <c r="S234" s="777">
        <v>1</v>
      </c>
      <c r="T234" s="777">
        <v>1</v>
      </c>
      <c r="U234" s="777">
        <v>1</v>
      </c>
      <c r="V234" s="777">
        <v>1</v>
      </c>
      <c r="W234" s="777">
        <v>234</v>
      </c>
      <c r="X234" s="777">
        <v>1</v>
      </c>
      <c r="Y234" s="777">
        <v>1</v>
      </c>
      <c r="Z234" s="777">
        <v>1</v>
      </c>
      <c r="AA234" s="777">
        <v>1</v>
      </c>
      <c r="AB234" s="777">
        <v>1</v>
      </c>
      <c r="AC234" s="777">
        <v>1</v>
      </c>
      <c r="AD234" s="777">
        <v>1</v>
      </c>
      <c r="AE234" s="777">
        <v>1</v>
      </c>
      <c r="AF234" s="777">
        <v>1</v>
      </c>
      <c r="AG234" s="777">
        <v>1</v>
      </c>
      <c r="AH234" s="777">
        <v>1</v>
      </c>
      <c r="AI234" s="777">
        <v>1</v>
      </c>
      <c r="AJ234" s="1066">
        <v>234</v>
      </c>
      <c r="AK234" s="777">
        <v>234</v>
      </c>
      <c r="AL234" s="777">
        <v>1</v>
      </c>
      <c r="AM234" s="777">
        <v>1</v>
      </c>
      <c r="AN234" s="777">
        <v>1</v>
      </c>
      <c r="AO234" s="777">
        <v>1</v>
      </c>
    </row>
    <row r="235" spans="1:41" x14ac:dyDescent="0.25">
      <c r="A235" s="1141">
        <v>234</v>
      </c>
      <c r="B235" s="804">
        <v>235</v>
      </c>
      <c r="C235" s="1066">
        <v>235</v>
      </c>
      <c r="D235" s="1066">
        <v>235</v>
      </c>
      <c r="E235" s="777">
        <v>1</v>
      </c>
      <c r="F235" s="777">
        <v>1</v>
      </c>
      <c r="G235" s="777">
        <v>235</v>
      </c>
      <c r="H235" s="777">
        <v>235</v>
      </c>
      <c r="I235" s="777">
        <v>1</v>
      </c>
      <c r="J235" s="777">
        <v>1</v>
      </c>
      <c r="K235" s="777">
        <v>1</v>
      </c>
      <c r="L235" s="777">
        <v>1</v>
      </c>
      <c r="M235" s="777">
        <v>1</v>
      </c>
      <c r="N235" s="777">
        <v>1</v>
      </c>
      <c r="O235" s="777">
        <v>1</v>
      </c>
      <c r="P235" s="777">
        <v>1</v>
      </c>
      <c r="Q235" s="777">
        <v>1</v>
      </c>
      <c r="R235" s="777">
        <v>235</v>
      </c>
      <c r="S235" s="777">
        <v>1</v>
      </c>
      <c r="T235" s="777">
        <v>1</v>
      </c>
      <c r="U235" s="777">
        <v>1</v>
      </c>
      <c r="V235" s="777">
        <v>1</v>
      </c>
      <c r="W235" s="777">
        <v>235</v>
      </c>
      <c r="X235" s="777">
        <v>1</v>
      </c>
      <c r="Y235" s="777">
        <v>1</v>
      </c>
      <c r="Z235" s="777">
        <v>1</v>
      </c>
      <c r="AA235" s="777">
        <v>1</v>
      </c>
      <c r="AB235" s="777">
        <v>1</v>
      </c>
      <c r="AC235" s="777">
        <v>1</v>
      </c>
      <c r="AD235" s="777">
        <v>1</v>
      </c>
      <c r="AE235" s="777">
        <v>1</v>
      </c>
      <c r="AF235" s="777">
        <v>1</v>
      </c>
      <c r="AG235" s="777">
        <v>1</v>
      </c>
      <c r="AH235" s="777">
        <v>1</v>
      </c>
      <c r="AI235" s="777">
        <v>1</v>
      </c>
      <c r="AJ235" s="777">
        <v>1</v>
      </c>
      <c r="AK235" s="777">
        <v>1</v>
      </c>
      <c r="AL235" s="777">
        <v>1</v>
      </c>
      <c r="AM235" s="777">
        <v>1</v>
      </c>
      <c r="AN235" s="777">
        <v>1</v>
      </c>
      <c r="AO235" s="777">
        <v>1</v>
      </c>
    </row>
    <row r="236" spans="1:41" x14ac:dyDescent="0.25">
      <c r="A236" s="1141">
        <v>235</v>
      </c>
      <c r="B236" s="804">
        <v>236</v>
      </c>
      <c r="C236" s="1066">
        <v>236</v>
      </c>
      <c r="D236" s="1066">
        <v>236</v>
      </c>
      <c r="E236" s="777">
        <v>1</v>
      </c>
      <c r="F236" s="1066">
        <v>236</v>
      </c>
      <c r="G236" s="1066">
        <v>236</v>
      </c>
      <c r="H236" s="777">
        <v>1</v>
      </c>
      <c r="I236" s="777">
        <v>1</v>
      </c>
      <c r="J236" s="777">
        <v>236</v>
      </c>
      <c r="K236" s="777">
        <v>1</v>
      </c>
      <c r="L236" s="777">
        <v>1</v>
      </c>
      <c r="M236" s="777">
        <v>1</v>
      </c>
      <c r="N236" s="777">
        <v>1</v>
      </c>
      <c r="O236" s="777">
        <v>1</v>
      </c>
      <c r="P236" s="777">
        <v>1</v>
      </c>
      <c r="Q236" s="777">
        <v>1</v>
      </c>
      <c r="R236" s="777">
        <v>236</v>
      </c>
      <c r="S236" s="777">
        <v>1</v>
      </c>
      <c r="T236" s="777">
        <v>1</v>
      </c>
      <c r="U236" s="777">
        <v>1</v>
      </c>
      <c r="V236" s="777">
        <v>1</v>
      </c>
      <c r="W236" s="1066">
        <v>236</v>
      </c>
      <c r="X236" s="777">
        <v>236</v>
      </c>
      <c r="Y236" s="777">
        <v>1</v>
      </c>
      <c r="Z236" s="777">
        <v>1</v>
      </c>
      <c r="AA236" s="777">
        <v>1</v>
      </c>
      <c r="AB236" s="777">
        <v>1</v>
      </c>
      <c r="AC236" s="777">
        <v>236</v>
      </c>
      <c r="AD236" s="777">
        <v>1</v>
      </c>
      <c r="AE236" s="777">
        <v>1</v>
      </c>
      <c r="AF236" s="777">
        <v>236</v>
      </c>
      <c r="AG236" s="777">
        <v>1</v>
      </c>
      <c r="AH236" s="777">
        <v>1</v>
      </c>
      <c r="AI236" s="777">
        <v>1</v>
      </c>
      <c r="AJ236" s="777">
        <v>1</v>
      </c>
      <c r="AK236" s="777">
        <v>1</v>
      </c>
      <c r="AL236" s="777">
        <v>1</v>
      </c>
      <c r="AM236" s="777">
        <v>1</v>
      </c>
      <c r="AN236" s="777">
        <v>1</v>
      </c>
      <c r="AO236" s="777">
        <v>1</v>
      </c>
    </row>
    <row r="237" spans="1:41" x14ac:dyDescent="0.25">
      <c r="A237" s="1141">
        <v>236</v>
      </c>
      <c r="B237" s="804">
        <v>237</v>
      </c>
      <c r="C237" s="1066">
        <v>237</v>
      </c>
      <c r="D237" s="1066">
        <v>237</v>
      </c>
      <c r="E237" s="1066">
        <v>237</v>
      </c>
      <c r="F237" s="777">
        <v>1</v>
      </c>
      <c r="G237" s="1066">
        <v>237</v>
      </c>
      <c r="H237" s="777">
        <v>1</v>
      </c>
      <c r="I237" s="777">
        <v>1</v>
      </c>
      <c r="J237" s="777">
        <v>1</v>
      </c>
      <c r="K237" s="777">
        <v>1</v>
      </c>
      <c r="L237" s="777">
        <v>1</v>
      </c>
      <c r="M237" s="777">
        <v>1</v>
      </c>
      <c r="N237" s="1066">
        <v>237</v>
      </c>
      <c r="O237" s="777">
        <v>1</v>
      </c>
      <c r="P237" s="777">
        <v>1</v>
      </c>
      <c r="Q237" s="777">
        <v>1</v>
      </c>
      <c r="R237" s="777">
        <v>237</v>
      </c>
      <c r="S237" s="777">
        <v>1</v>
      </c>
      <c r="T237" s="777">
        <v>1</v>
      </c>
      <c r="U237" s="777">
        <v>1</v>
      </c>
      <c r="V237" s="777">
        <v>1</v>
      </c>
      <c r="W237" s="1066">
        <v>237</v>
      </c>
      <c r="X237" s="777">
        <v>1</v>
      </c>
      <c r="Y237" s="777">
        <v>1</v>
      </c>
      <c r="Z237" s="777">
        <v>1</v>
      </c>
      <c r="AA237" s="777">
        <v>1</v>
      </c>
      <c r="AB237" s="777">
        <v>1</v>
      </c>
      <c r="AC237" s="777">
        <v>1</v>
      </c>
      <c r="AD237" s="777">
        <v>1</v>
      </c>
      <c r="AE237" s="777">
        <v>1</v>
      </c>
      <c r="AF237" s="777">
        <v>237</v>
      </c>
      <c r="AG237" s="777">
        <v>1</v>
      </c>
      <c r="AH237" s="777">
        <v>1</v>
      </c>
      <c r="AI237" s="777">
        <v>237</v>
      </c>
      <c r="AJ237" s="1066">
        <v>237</v>
      </c>
      <c r="AK237" s="1066">
        <v>237</v>
      </c>
      <c r="AL237" s="777">
        <v>1</v>
      </c>
      <c r="AM237" s="1066">
        <v>237</v>
      </c>
      <c r="AN237" s="777">
        <v>1</v>
      </c>
      <c r="AO237" s="777">
        <v>1</v>
      </c>
    </row>
    <row r="238" spans="1:41" x14ac:dyDescent="0.25">
      <c r="A238" s="1141">
        <v>237</v>
      </c>
      <c r="B238" s="804">
        <v>238</v>
      </c>
      <c r="C238" s="1066">
        <v>238</v>
      </c>
      <c r="D238" s="777">
        <v>1</v>
      </c>
      <c r="E238" s="777">
        <v>1</v>
      </c>
      <c r="F238" s="1066">
        <v>238</v>
      </c>
      <c r="G238" s="777">
        <v>1</v>
      </c>
      <c r="H238" s="777">
        <v>1</v>
      </c>
      <c r="I238" s="777">
        <v>1</v>
      </c>
      <c r="J238" s="777">
        <v>1</v>
      </c>
      <c r="K238" s="777">
        <v>1</v>
      </c>
      <c r="L238" s="777">
        <v>1</v>
      </c>
      <c r="M238" s="777">
        <v>1</v>
      </c>
      <c r="N238" s="777">
        <v>1</v>
      </c>
      <c r="O238" s="777">
        <v>1</v>
      </c>
      <c r="P238" s="777">
        <v>1</v>
      </c>
      <c r="Q238" s="777">
        <v>1</v>
      </c>
      <c r="R238" s="777">
        <v>238</v>
      </c>
      <c r="S238" s="777">
        <v>1</v>
      </c>
      <c r="T238" s="777">
        <v>1</v>
      </c>
      <c r="U238" s="777">
        <v>1</v>
      </c>
      <c r="V238" s="777">
        <v>1</v>
      </c>
      <c r="W238" s="1066">
        <v>238</v>
      </c>
      <c r="X238" s="777">
        <v>1</v>
      </c>
      <c r="Y238" s="777">
        <v>1</v>
      </c>
      <c r="Z238" s="777">
        <v>1</v>
      </c>
      <c r="AA238" s="777">
        <v>1</v>
      </c>
      <c r="AB238" s="777">
        <v>1</v>
      </c>
      <c r="AC238" s="777">
        <v>1</v>
      </c>
      <c r="AD238" s="777">
        <v>1</v>
      </c>
      <c r="AE238" s="777">
        <v>1</v>
      </c>
      <c r="AF238" s="777">
        <v>1</v>
      </c>
      <c r="AG238" s="777">
        <v>1</v>
      </c>
      <c r="AH238" s="777">
        <v>1</v>
      </c>
      <c r="AI238" s="777">
        <v>1</v>
      </c>
      <c r="AJ238" s="777">
        <v>1</v>
      </c>
      <c r="AK238" s="777">
        <v>1</v>
      </c>
      <c r="AL238" s="777">
        <v>1</v>
      </c>
      <c r="AM238" s="777">
        <v>1</v>
      </c>
      <c r="AN238" s="777">
        <v>1</v>
      </c>
      <c r="AO238" s="777">
        <v>1</v>
      </c>
    </row>
    <row r="239" spans="1:41" x14ac:dyDescent="0.25">
      <c r="A239" s="1141">
        <v>238</v>
      </c>
      <c r="B239" s="804">
        <v>239</v>
      </c>
      <c r="C239" s="1066">
        <v>239</v>
      </c>
      <c r="D239" s="1066">
        <v>239</v>
      </c>
      <c r="E239" s="777">
        <v>1</v>
      </c>
      <c r="F239" s="777">
        <v>1</v>
      </c>
      <c r="G239" s="777">
        <v>1</v>
      </c>
      <c r="H239" s="777">
        <v>1</v>
      </c>
      <c r="I239" s="777">
        <v>1</v>
      </c>
      <c r="J239" s="777">
        <v>1</v>
      </c>
      <c r="K239" s="777">
        <v>1</v>
      </c>
      <c r="L239" s="777">
        <v>1</v>
      </c>
      <c r="M239" s="777">
        <v>1</v>
      </c>
      <c r="N239" s="777">
        <v>239</v>
      </c>
      <c r="O239" s="777">
        <v>1</v>
      </c>
      <c r="P239" s="777">
        <v>1</v>
      </c>
      <c r="Q239" s="777">
        <v>1</v>
      </c>
      <c r="R239" s="777">
        <v>239</v>
      </c>
      <c r="S239" s="777">
        <v>1</v>
      </c>
      <c r="T239" s="777">
        <v>1</v>
      </c>
      <c r="U239" s="777">
        <v>1</v>
      </c>
      <c r="V239" s="777">
        <v>1</v>
      </c>
      <c r="W239" s="1066">
        <v>239</v>
      </c>
      <c r="X239" s="777">
        <v>1</v>
      </c>
      <c r="Y239" s="777">
        <v>1</v>
      </c>
      <c r="Z239" s="777">
        <v>1</v>
      </c>
      <c r="AA239" s="777">
        <v>1</v>
      </c>
      <c r="AB239" s="777">
        <v>1</v>
      </c>
      <c r="AC239" s="777">
        <v>1</v>
      </c>
      <c r="AD239" s="777">
        <v>1</v>
      </c>
      <c r="AE239" s="777">
        <v>1</v>
      </c>
      <c r="AF239" s="777">
        <v>1</v>
      </c>
      <c r="AG239" s="777">
        <v>1</v>
      </c>
      <c r="AH239" s="777">
        <v>1</v>
      </c>
      <c r="AI239" s="777">
        <v>1</v>
      </c>
      <c r="AJ239" s="1066">
        <v>239</v>
      </c>
      <c r="AK239" s="777">
        <v>239</v>
      </c>
      <c r="AL239" s="777">
        <v>1</v>
      </c>
      <c r="AM239" s="1066">
        <v>239</v>
      </c>
      <c r="AN239" s="777">
        <v>1</v>
      </c>
      <c r="AO239" s="777">
        <v>1</v>
      </c>
    </row>
    <row r="240" spans="1:41" x14ac:dyDescent="0.25">
      <c r="A240" s="1141">
        <v>239</v>
      </c>
      <c r="B240" s="804">
        <v>240</v>
      </c>
      <c r="C240" s="1066">
        <v>240</v>
      </c>
      <c r="D240" s="777">
        <v>240</v>
      </c>
      <c r="E240" s="777">
        <v>240</v>
      </c>
      <c r="F240" s="777">
        <v>1</v>
      </c>
      <c r="G240" s="777">
        <v>1</v>
      </c>
      <c r="H240" s="777">
        <v>1</v>
      </c>
      <c r="I240" s="777">
        <v>1</v>
      </c>
      <c r="J240" s="777">
        <v>1</v>
      </c>
      <c r="K240" s="777">
        <v>1</v>
      </c>
      <c r="L240" s="777">
        <v>1</v>
      </c>
      <c r="M240" s="777">
        <v>1</v>
      </c>
      <c r="N240" s="777">
        <v>1</v>
      </c>
      <c r="O240" s="777">
        <v>1</v>
      </c>
      <c r="P240" s="777">
        <v>1</v>
      </c>
      <c r="Q240" s="777">
        <v>1</v>
      </c>
      <c r="R240" s="1066">
        <v>240</v>
      </c>
      <c r="S240" s="777">
        <v>1</v>
      </c>
      <c r="T240" s="777">
        <v>1</v>
      </c>
      <c r="U240" s="777">
        <v>1</v>
      </c>
      <c r="V240" s="777">
        <v>1</v>
      </c>
      <c r="W240" s="1066">
        <v>240</v>
      </c>
      <c r="X240" s="777">
        <v>240</v>
      </c>
      <c r="Y240" s="777">
        <v>1</v>
      </c>
      <c r="Z240" s="777">
        <v>1</v>
      </c>
      <c r="AA240" s="777">
        <v>1</v>
      </c>
      <c r="AB240" s="777">
        <v>1</v>
      </c>
      <c r="AC240" s="777">
        <v>1</v>
      </c>
      <c r="AD240" s="777">
        <v>1</v>
      </c>
      <c r="AE240" s="777">
        <v>1</v>
      </c>
      <c r="AF240" s="777">
        <v>240</v>
      </c>
      <c r="AG240" s="777">
        <v>1</v>
      </c>
      <c r="AH240" s="777">
        <v>1</v>
      </c>
      <c r="AI240" s="777">
        <v>240</v>
      </c>
      <c r="AJ240" s="777">
        <v>240</v>
      </c>
      <c r="AK240" s="777">
        <v>240</v>
      </c>
      <c r="AL240" s="777">
        <v>1</v>
      </c>
      <c r="AM240" s="777">
        <v>1</v>
      </c>
      <c r="AN240" s="777">
        <v>1</v>
      </c>
      <c r="AO240" s="777">
        <v>1</v>
      </c>
    </row>
    <row r="241" spans="1:41" x14ac:dyDescent="0.25">
      <c r="A241" s="1141">
        <v>240</v>
      </c>
      <c r="B241" s="804">
        <v>241</v>
      </c>
      <c r="C241" s="1066">
        <v>241</v>
      </c>
      <c r="D241" s="1066">
        <v>241</v>
      </c>
      <c r="E241" s="777">
        <v>1</v>
      </c>
      <c r="F241" s="777">
        <v>241</v>
      </c>
      <c r="G241" s="777">
        <v>1</v>
      </c>
      <c r="H241" s="777">
        <v>1</v>
      </c>
      <c r="I241" s="777">
        <v>1</v>
      </c>
      <c r="J241" s="777">
        <v>241</v>
      </c>
      <c r="K241" s="777">
        <v>1</v>
      </c>
      <c r="L241" s="777">
        <v>1</v>
      </c>
      <c r="M241" s="777">
        <v>1</v>
      </c>
      <c r="N241" s="777">
        <v>1</v>
      </c>
      <c r="O241" s="1066">
        <v>241</v>
      </c>
      <c r="P241" s="777">
        <v>1</v>
      </c>
      <c r="Q241" s="777">
        <v>1</v>
      </c>
      <c r="R241" s="1066">
        <v>241</v>
      </c>
      <c r="S241" s="777">
        <v>1</v>
      </c>
      <c r="T241" s="777">
        <v>241</v>
      </c>
      <c r="U241" s="777">
        <v>1</v>
      </c>
      <c r="V241" s="777">
        <v>1</v>
      </c>
      <c r="W241" s="777">
        <v>241</v>
      </c>
      <c r="X241" s="777">
        <v>1</v>
      </c>
      <c r="Y241" s="777">
        <v>1</v>
      </c>
      <c r="Z241" s="777">
        <v>1</v>
      </c>
      <c r="AA241" s="777">
        <v>1</v>
      </c>
      <c r="AB241" s="777">
        <v>1</v>
      </c>
      <c r="AC241" s="777">
        <v>1</v>
      </c>
      <c r="AD241" s="777">
        <v>1</v>
      </c>
      <c r="AE241" s="777">
        <v>1</v>
      </c>
      <c r="AF241" s="777">
        <v>1</v>
      </c>
      <c r="AG241" s="777">
        <v>1</v>
      </c>
      <c r="AH241" s="777">
        <v>1</v>
      </c>
      <c r="AI241" s="777">
        <v>241</v>
      </c>
      <c r="AJ241" s="777">
        <v>1</v>
      </c>
      <c r="AK241" s="777">
        <v>1</v>
      </c>
      <c r="AL241" s="777">
        <v>1</v>
      </c>
      <c r="AM241" s="777">
        <v>1</v>
      </c>
      <c r="AN241" s="777">
        <v>1</v>
      </c>
      <c r="AO241" s="777">
        <v>1</v>
      </c>
    </row>
    <row r="242" spans="1:41" x14ac:dyDescent="0.25">
      <c r="A242" s="1141">
        <v>241</v>
      </c>
      <c r="B242" s="804">
        <v>242</v>
      </c>
      <c r="C242" s="1066">
        <v>242</v>
      </c>
      <c r="D242" s="777">
        <v>1</v>
      </c>
      <c r="E242" s="777">
        <v>1</v>
      </c>
      <c r="F242" s="777">
        <v>1</v>
      </c>
      <c r="G242" s="777">
        <v>1</v>
      </c>
      <c r="H242" s="777">
        <v>1</v>
      </c>
      <c r="I242" s="777">
        <v>1</v>
      </c>
      <c r="J242" s="777">
        <v>1</v>
      </c>
      <c r="K242" s="777">
        <v>1</v>
      </c>
      <c r="L242" s="777">
        <v>1</v>
      </c>
      <c r="M242" s="777">
        <v>1</v>
      </c>
      <c r="N242" s="777">
        <v>1</v>
      </c>
      <c r="O242" s="777">
        <v>1</v>
      </c>
      <c r="P242" s="777">
        <v>1</v>
      </c>
      <c r="Q242" s="777">
        <v>1</v>
      </c>
      <c r="R242" s="1066">
        <v>242</v>
      </c>
      <c r="S242" s="777">
        <v>1</v>
      </c>
      <c r="T242" s="777">
        <v>1</v>
      </c>
      <c r="U242" s="777">
        <v>1</v>
      </c>
      <c r="V242" s="777">
        <v>1</v>
      </c>
      <c r="W242" s="1066">
        <v>242</v>
      </c>
      <c r="X242" s="777">
        <v>1</v>
      </c>
      <c r="Y242" s="777">
        <v>1</v>
      </c>
      <c r="Z242" s="777">
        <v>1</v>
      </c>
      <c r="AA242" s="777">
        <v>1</v>
      </c>
      <c r="AB242" s="777">
        <v>1</v>
      </c>
      <c r="AC242" s="777">
        <v>1</v>
      </c>
      <c r="AD242" s="777">
        <v>1</v>
      </c>
      <c r="AE242" s="777">
        <v>1</v>
      </c>
      <c r="AF242" s="777">
        <v>242</v>
      </c>
      <c r="AG242" s="777">
        <v>1</v>
      </c>
      <c r="AH242" s="777">
        <v>1</v>
      </c>
      <c r="AI242" s="777">
        <v>1</v>
      </c>
      <c r="AJ242" s="777">
        <v>242</v>
      </c>
      <c r="AK242" s="777">
        <v>1</v>
      </c>
      <c r="AL242" s="777">
        <v>242</v>
      </c>
      <c r="AM242" s="777">
        <v>242</v>
      </c>
      <c r="AN242" s="777">
        <v>242</v>
      </c>
      <c r="AO242" s="777">
        <v>1</v>
      </c>
    </row>
    <row r="243" spans="1:41" x14ac:dyDescent="0.25">
      <c r="A243" s="1141">
        <v>242</v>
      </c>
      <c r="B243" s="804">
        <v>243</v>
      </c>
      <c r="C243" s="1066">
        <v>243</v>
      </c>
      <c r="D243" s="777">
        <v>1</v>
      </c>
      <c r="E243" s="1066">
        <v>243</v>
      </c>
      <c r="F243" s="777">
        <v>243</v>
      </c>
      <c r="G243" s="777">
        <v>243</v>
      </c>
      <c r="H243" s="777">
        <v>1</v>
      </c>
      <c r="I243" s="777">
        <v>1</v>
      </c>
      <c r="J243" s="777">
        <v>1</v>
      </c>
      <c r="K243" s="777">
        <v>1</v>
      </c>
      <c r="L243" s="777">
        <v>1</v>
      </c>
      <c r="M243" s="777">
        <v>1</v>
      </c>
      <c r="N243" s="777">
        <v>1</v>
      </c>
      <c r="O243" s="777">
        <v>1</v>
      </c>
      <c r="P243" s="777">
        <v>1</v>
      </c>
      <c r="Q243" s="777">
        <v>243</v>
      </c>
      <c r="R243" s="1066">
        <v>243</v>
      </c>
      <c r="S243" s="777">
        <v>1</v>
      </c>
      <c r="T243" s="777">
        <v>1</v>
      </c>
      <c r="U243" s="777">
        <v>1</v>
      </c>
      <c r="V243" s="777">
        <v>1</v>
      </c>
      <c r="W243" s="777">
        <v>243</v>
      </c>
      <c r="X243" s="777">
        <v>1</v>
      </c>
      <c r="Y243" s="777">
        <v>1</v>
      </c>
      <c r="Z243" s="777">
        <v>1</v>
      </c>
      <c r="AA243" s="777">
        <v>243</v>
      </c>
      <c r="AB243" s="777">
        <v>1</v>
      </c>
      <c r="AC243" s="777">
        <v>1</v>
      </c>
      <c r="AD243" s="777">
        <v>1</v>
      </c>
      <c r="AE243" s="777">
        <v>1</v>
      </c>
      <c r="AF243" s="777">
        <v>1</v>
      </c>
      <c r="AG243" s="777">
        <v>1</v>
      </c>
      <c r="AH243" s="777">
        <v>1</v>
      </c>
      <c r="AI243" s="777">
        <v>1</v>
      </c>
      <c r="AJ243" s="777">
        <v>243</v>
      </c>
      <c r="AK243" s="777">
        <v>243</v>
      </c>
      <c r="AL243" s="777">
        <v>1</v>
      </c>
      <c r="AM243" s="777">
        <v>1</v>
      </c>
      <c r="AN243" s="777">
        <v>1</v>
      </c>
      <c r="AO243" s="777">
        <v>1</v>
      </c>
    </row>
    <row r="244" spans="1:41" x14ac:dyDescent="0.25">
      <c r="A244" s="1141">
        <v>243</v>
      </c>
      <c r="B244" s="804">
        <v>244</v>
      </c>
      <c r="C244" s="1066">
        <v>244</v>
      </c>
      <c r="D244" s="1066">
        <v>244</v>
      </c>
      <c r="E244" s="777">
        <v>1</v>
      </c>
      <c r="F244" s="777">
        <v>1</v>
      </c>
      <c r="G244" s="777">
        <v>1</v>
      </c>
      <c r="H244" s="777">
        <v>1</v>
      </c>
      <c r="I244" s="777">
        <v>1</v>
      </c>
      <c r="J244" s="777">
        <v>1</v>
      </c>
      <c r="K244" s="777">
        <v>1</v>
      </c>
      <c r="L244" s="1066">
        <v>244</v>
      </c>
      <c r="M244" s="777">
        <v>1</v>
      </c>
      <c r="N244" s="777">
        <v>1</v>
      </c>
      <c r="O244" s="777">
        <v>244</v>
      </c>
      <c r="P244" s="777">
        <v>1</v>
      </c>
      <c r="Q244" s="777">
        <v>1</v>
      </c>
      <c r="R244" s="777">
        <v>244</v>
      </c>
      <c r="S244" s="777">
        <v>1</v>
      </c>
      <c r="T244" s="777">
        <v>1</v>
      </c>
      <c r="U244" s="777">
        <v>1</v>
      </c>
      <c r="V244" s="777">
        <v>1</v>
      </c>
      <c r="W244" s="777">
        <v>244</v>
      </c>
      <c r="X244" s="777">
        <v>1</v>
      </c>
      <c r="Y244" s="777">
        <v>1</v>
      </c>
      <c r="Z244" s="777">
        <v>1</v>
      </c>
      <c r="AA244" s="777">
        <v>1</v>
      </c>
      <c r="AB244" s="777">
        <v>1</v>
      </c>
      <c r="AC244" s="777">
        <v>1</v>
      </c>
      <c r="AD244" s="777">
        <v>1</v>
      </c>
      <c r="AE244" s="777">
        <v>1</v>
      </c>
      <c r="AF244" s="777">
        <v>1</v>
      </c>
      <c r="AG244" s="777">
        <v>1</v>
      </c>
      <c r="AH244" s="777">
        <v>1</v>
      </c>
      <c r="AI244" s="777">
        <v>1</v>
      </c>
      <c r="AJ244" s="777">
        <v>1</v>
      </c>
      <c r="AK244" s="777">
        <v>1</v>
      </c>
      <c r="AL244" s="777">
        <v>1</v>
      </c>
      <c r="AM244" s="777">
        <v>1</v>
      </c>
      <c r="AN244" s="777">
        <v>1</v>
      </c>
      <c r="AO244" s="777">
        <v>1</v>
      </c>
    </row>
    <row r="245" spans="1:41" x14ac:dyDescent="0.25">
      <c r="A245" s="1141">
        <v>244</v>
      </c>
      <c r="B245" s="804">
        <v>245</v>
      </c>
      <c r="C245" s="1066">
        <v>245</v>
      </c>
      <c r="D245" s="1066">
        <v>245</v>
      </c>
      <c r="E245" s="777">
        <v>1</v>
      </c>
      <c r="F245" s="777">
        <v>1</v>
      </c>
      <c r="G245" s="777">
        <v>1</v>
      </c>
      <c r="H245" s="777">
        <v>1</v>
      </c>
      <c r="I245" s="777">
        <v>1</v>
      </c>
      <c r="J245" s="777">
        <v>1</v>
      </c>
      <c r="K245" s="777">
        <v>1</v>
      </c>
      <c r="L245" s="1066">
        <v>245</v>
      </c>
      <c r="M245" s="777">
        <v>1</v>
      </c>
      <c r="N245" s="777">
        <v>1</v>
      </c>
      <c r="O245" s="777">
        <v>1</v>
      </c>
      <c r="P245" s="777">
        <v>1</v>
      </c>
      <c r="Q245" s="777">
        <v>1</v>
      </c>
      <c r="R245" s="777">
        <v>1</v>
      </c>
      <c r="S245" s="777">
        <v>1</v>
      </c>
      <c r="T245" s="777">
        <v>1</v>
      </c>
      <c r="U245" s="777">
        <v>1</v>
      </c>
      <c r="V245" s="777">
        <v>1</v>
      </c>
      <c r="W245" s="777">
        <v>1</v>
      </c>
      <c r="X245" s="777">
        <v>1</v>
      </c>
      <c r="Y245" s="777">
        <v>1</v>
      </c>
      <c r="Z245" s="777">
        <v>1</v>
      </c>
      <c r="AA245" s="777">
        <v>1</v>
      </c>
      <c r="AB245" s="777">
        <v>1</v>
      </c>
      <c r="AC245" s="777">
        <v>1</v>
      </c>
      <c r="AD245" s="777">
        <v>1</v>
      </c>
      <c r="AE245" s="777">
        <v>1</v>
      </c>
      <c r="AF245" s="777">
        <v>1</v>
      </c>
      <c r="AG245" s="777">
        <v>1</v>
      </c>
      <c r="AH245" s="777">
        <v>1</v>
      </c>
      <c r="AI245" s="777">
        <v>1</v>
      </c>
      <c r="AJ245" s="777">
        <v>1</v>
      </c>
      <c r="AK245" s="777">
        <v>1</v>
      </c>
      <c r="AL245" s="777">
        <v>1</v>
      </c>
      <c r="AM245" s="777">
        <v>1</v>
      </c>
      <c r="AN245" s="777">
        <v>1</v>
      </c>
      <c r="AO245" s="777">
        <v>1</v>
      </c>
    </row>
    <row r="246" spans="1:41" x14ac:dyDescent="0.25">
      <c r="A246" s="1141">
        <v>245</v>
      </c>
      <c r="B246" s="804">
        <v>246</v>
      </c>
      <c r="C246" s="1066">
        <v>246</v>
      </c>
      <c r="D246" s="777">
        <v>1</v>
      </c>
      <c r="E246" s="777">
        <v>1</v>
      </c>
      <c r="F246" s="777">
        <v>246</v>
      </c>
      <c r="G246" s="777">
        <v>246</v>
      </c>
      <c r="H246" s="777">
        <v>1</v>
      </c>
      <c r="I246" s="777">
        <v>1</v>
      </c>
      <c r="J246" s="777">
        <v>1</v>
      </c>
      <c r="K246" s="777">
        <v>1</v>
      </c>
      <c r="L246" s="777">
        <v>1</v>
      </c>
      <c r="M246" s="777">
        <v>1</v>
      </c>
      <c r="N246" s="777">
        <v>1</v>
      </c>
      <c r="O246" s="777">
        <v>1</v>
      </c>
      <c r="P246" s="777">
        <v>1</v>
      </c>
      <c r="Q246" s="777">
        <v>1</v>
      </c>
      <c r="R246" s="1066">
        <v>246</v>
      </c>
      <c r="S246" s="777">
        <v>1</v>
      </c>
      <c r="T246" s="777">
        <v>1</v>
      </c>
      <c r="U246" s="777">
        <v>1</v>
      </c>
      <c r="V246" s="777">
        <v>1</v>
      </c>
      <c r="W246" s="1066">
        <v>246</v>
      </c>
      <c r="X246" s="777">
        <v>1</v>
      </c>
      <c r="Y246" s="777">
        <v>1</v>
      </c>
      <c r="Z246" s="777">
        <v>246</v>
      </c>
      <c r="AA246" s="777">
        <v>1</v>
      </c>
      <c r="AB246" s="777">
        <v>1</v>
      </c>
      <c r="AC246" s="777">
        <v>1</v>
      </c>
      <c r="AD246" s="1066">
        <v>246</v>
      </c>
      <c r="AE246" s="1066">
        <v>246</v>
      </c>
      <c r="AF246" s="777">
        <v>1</v>
      </c>
      <c r="AG246" s="1066">
        <v>246</v>
      </c>
      <c r="AH246" s="777">
        <v>1</v>
      </c>
      <c r="AI246" s="1066">
        <v>246</v>
      </c>
      <c r="AJ246" s="777">
        <v>1</v>
      </c>
      <c r="AK246" s="777">
        <v>1</v>
      </c>
      <c r="AL246" s="777">
        <v>1</v>
      </c>
      <c r="AM246" s="777">
        <v>1</v>
      </c>
      <c r="AN246" s="777">
        <v>1</v>
      </c>
      <c r="AO246" s="777">
        <v>1</v>
      </c>
    </row>
    <row r="247" spans="1:41" x14ac:dyDescent="0.25">
      <c r="A247" s="1141">
        <v>246</v>
      </c>
      <c r="B247" s="804">
        <v>247</v>
      </c>
      <c r="C247" s="1066">
        <v>247</v>
      </c>
      <c r="D247" s="777">
        <v>1</v>
      </c>
      <c r="E247" s="777">
        <v>1</v>
      </c>
      <c r="F247" s="777">
        <v>1</v>
      </c>
      <c r="G247" s="777">
        <v>1</v>
      </c>
      <c r="H247" s="777">
        <v>1</v>
      </c>
      <c r="I247" s="777">
        <v>1</v>
      </c>
      <c r="J247" s="777">
        <v>1</v>
      </c>
      <c r="K247" s="777">
        <v>1</v>
      </c>
      <c r="L247" s="777">
        <v>1</v>
      </c>
      <c r="M247" s="777">
        <v>1</v>
      </c>
      <c r="N247" s="777">
        <v>1</v>
      </c>
      <c r="O247" s="777">
        <v>1</v>
      </c>
      <c r="P247" s="777">
        <v>1</v>
      </c>
      <c r="Q247" s="777">
        <v>1</v>
      </c>
      <c r="R247" s="777">
        <v>1</v>
      </c>
      <c r="S247" s="777">
        <v>1</v>
      </c>
      <c r="T247" s="777">
        <v>1</v>
      </c>
      <c r="U247" s="777">
        <v>1</v>
      </c>
      <c r="V247" s="777">
        <v>1</v>
      </c>
      <c r="W247" s="777">
        <v>1</v>
      </c>
      <c r="X247" s="777">
        <v>1</v>
      </c>
      <c r="Y247" s="777">
        <v>1</v>
      </c>
      <c r="Z247" s="777">
        <v>1</v>
      </c>
      <c r="AA247" s="777">
        <v>1</v>
      </c>
      <c r="AB247" s="777">
        <v>1</v>
      </c>
      <c r="AC247" s="777">
        <v>1</v>
      </c>
      <c r="AD247" s="777">
        <v>1</v>
      </c>
      <c r="AE247" s="777">
        <v>1</v>
      </c>
      <c r="AF247" s="777">
        <v>1</v>
      </c>
      <c r="AG247" s="777">
        <v>1</v>
      </c>
      <c r="AH247" s="777">
        <v>1</v>
      </c>
      <c r="AI247" s="1066">
        <v>247</v>
      </c>
      <c r="AJ247" s="777">
        <v>1</v>
      </c>
      <c r="AK247" s="777">
        <v>1</v>
      </c>
      <c r="AL247" s="1066">
        <v>247</v>
      </c>
      <c r="AM247" s="777">
        <v>1</v>
      </c>
      <c r="AN247" s="1066">
        <v>247</v>
      </c>
      <c r="AO247" s="777">
        <v>1</v>
      </c>
    </row>
    <row r="248" spans="1:41" x14ac:dyDescent="0.25">
      <c r="A248" s="1141">
        <v>247</v>
      </c>
      <c r="B248" s="804">
        <v>248</v>
      </c>
      <c r="C248" s="1066">
        <v>1</v>
      </c>
      <c r="D248" s="777">
        <v>1</v>
      </c>
      <c r="E248" s="777">
        <v>1</v>
      </c>
      <c r="F248" s="777">
        <v>1</v>
      </c>
      <c r="G248" s="777">
        <v>1</v>
      </c>
      <c r="H248" s="777">
        <v>1</v>
      </c>
      <c r="I248" s="777">
        <v>1</v>
      </c>
      <c r="J248" s="777">
        <v>1</v>
      </c>
      <c r="K248" s="777">
        <v>1</v>
      </c>
      <c r="L248" s="777">
        <v>1</v>
      </c>
      <c r="M248" s="777">
        <v>1</v>
      </c>
      <c r="N248" s="777">
        <v>1</v>
      </c>
      <c r="O248" s="777">
        <v>1</v>
      </c>
      <c r="P248" s="777">
        <v>1</v>
      </c>
      <c r="Q248" s="777">
        <v>1</v>
      </c>
      <c r="R248" s="777">
        <v>1</v>
      </c>
      <c r="S248" s="777">
        <v>1</v>
      </c>
      <c r="T248" s="1066">
        <v>248</v>
      </c>
      <c r="U248" s="777">
        <v>1</v>
      </c>
      <c r="V248" s="777">
        <v>1</v>
      </c>
      <c r="W248" s="777">
        <v>1</v>
      </c>
      <c r="X248" s="777">
        <v>1</v>
      </c>
      <c r="Y248" s="777">
        <v>1</v>
      </c>
      <c r="Z248" s="777">
        <v>1</v>
      </c>
      <c r="AA248" s="777">
        <v>1</v>
      </c>
      <c r="AB248" s="777">
        <v>1</v>
      </c>
      <c r="AC248" s="777">
        <v>1</v>
      </c>
      <c r="AD248" s="1066">
        <v>248</v>
      </c>
      <c r="AE248" s="777">
        <v>248</v>
      </c>
      <c r="AF248" s="777">
        <v>1</v>
      </c>
      <c r="AG248" s="777">
        <v>1</v>
      </c>
      <c r="AH248" s="1066">
        <v>248</v>
      </c>
      <c r="AI248" s="777">
        <v>1</v>
      </c>
      <c r="AJ248" s="777">
        <v>1</v>
      </c>
      <c r="AK248" s="777">
        <v>1</v>
      </c>
      <c r="AL248" s="777">
        <v>1</v>
      </c>
      <c r="AM248" s="777">
        <v>1</v>
      </c>
      <c r="AN248" s="1066">
        <v>248</v>
      </c>
      <c r="AO248" s="777">
        <v>1</v>
      </c>
    </row>
    <row r="249" spans="1:41" x14ac:dyDescent="0.25">
      <c r="A249" s="1141">
        <v>248</v>
      </c>
      <c r="B249" s="804">
        <v>249</v>
      </c>
      <c r="C249" s="1066">
        <v>249</v>
      </c>
      <c r="D249" s="1066">
        <v>249</v>
      </c>
      <c r="E249" s="777">
        <v>1</v>
      </c>
      <c r="F249" s="777">
        <v>1</v>
      </c>
      <c r="G249" s="777">
        <v>1</v>
      </c>
      <c r="H249" s="777">
        <v>1</v>
      </c>
      <c r="I249" s="777">
        <v>1</v>
      </c>
      <c r="J249" s="777">
        <v>1</v>
      </c>
      <c r="K249" s="777">
        <v>1</v>
      </c>
      <c r="L249" s="777">
        <v>1</v>
      </c>
      <c r="M249" s="777">
        <v>1</v>
      </c>
      <c r="N249" s="777">
        <v>1</v>
      </c>
      <c r="O249" s="1066">
        <v>249</v>
      </c>
      <c r="P249" s="777">
        <v>1</v>
      </c>
      <c r="Q249" s="777">
        <v>1</v>
      </c>
      <c r="R249" s="777">
        <v>1</v>
      </c>
      <c r="S249" s="777">
        <v>1</v>
      </c>
      <c r="T249" s="777">
        <v>1</v>
      </c>
      <c r="U249" s="777">
        <v>1</v>
      </c>
      <c r="V249" s="777">
        <v>1</v>
      </c>
      <c r="W249" s="777">
        <v>1</v>
      </c>
      <c r="X249" s="777">
        <v>1</v>
      </c>
      <c r="Y249" s="777">
        <v>1</v>
      </c>
      <c r="Z249" s="777">
        <v>1</v>
      </c>
      <c r="AA249" s="777">
        <v>1</v>
      </c>
      <c r="AB249" s="777">
        <v>1</v>
      </c>
      <c r="AC249" s="777">
        <v>1</v>
      </c>
      <c r="AD249" s="777">
        <v>1</v>
      </c>
      <c r="AE249" s="777">
        <v>1</v>
      </c>
      <c r="AF249" s="777">
        <v>1</v>
      </c>
      <c r="AG249" s="777">
        <v>1</v>
      </c>
      <c r="AH249" s="777">
        <v>1</v>
      </c>
      <c r="AI249" s="777">
        <v>1</v>
      </c>
      <c r="AJ249" s="777">
        <v>1</v>
      </c>
      <c r="AK249" s="777">
        <v>1</v>
      </c>
      <c r="AL249" s="777">
        <v>1</v>
      </c>
      <c r="AM249" s="777">
        <v>1</v>
      </c>
      <c r="AN249" s="1066">
        <v>249</v>
      </c>
      <c r="AO249" s="777">
        <v>1</v>
      </c>
    </row>
    <row r="250" spans="1:41" x14ac:dyDescent="0.25">
      <c r="A250" s="1141">
        <v>249</v>
      </c>
      <c r="B250" s="804">
        <v>250</v>
      </c>
      <c r="C250" s="1066">
        <v>250</v>
      </c>
      <c r="D250" s="1066">
        <v>250</v>
      </c>
      <c r="E250" s="777">
        <v>1</v>
      </c>
      <c r="F250" s="777">
        <v>1</v>
      </c>
      <c r="G250" s="777">
        <v>1</v>
      </c>
      <c r="H250" s="777">
        <v>1</v>
      </c>
      <c r="I250" s="777">
        <v>1</v>
      </c>
      <c r="J250" s="1066">
        <v>250</v>
      </c>
      <c r="K250" s="1066">
        <v>1</v>
      </c>
      <c r="L250" s="777">
        <v>1</v>
      </c>
      <c r="M250" s="777">
        <v>1</v>
      </c>
      <c r="N250" s="777">
        <v>1</v>
      </c>
      <c r="O250" s="777">
        <v>1</v>
      </c>
      <c r="P250" s="777">
        <v>1</v>
      </c>
      <c r="Q250" s="777">
        <v>1</v>
      </c>
      <c r="R250" s="777">
        <v>1</v>
      </c>
      <c r="S250" s="777">
        <v>1</v>
      </c>
      <c r="T250" s="777">
        <v>1</v>
      </c>
      <c r="U250" s="777">
        <v>1</v>
      </c>
      <c r="V250" s="777">
        <v>1</v>
      </c>
      <c r="W250" s="1066">
        <v>250</v>
      </c>
      <c r="X250" s="777">
        <v>1</v>
      </c>
      <c r="Y250" s="777">
        <v>1</v>
      </c>
      <c r="Z250" s="777">
        <v>1</v>
      </c>
      <c r="AA250" s="777">
        <v>1</v>
      </c>
      <c r="AB250" s="777">
        <v>1</v>
      </c>
      <c r="AC250" s="777">
        <v>1</v>
      </c>
      <c r="AD250" s="777">
        <v>250</v>
      </c>
      <c r="AE250" s="1066">
        <v>1</v>
      </c>
      <c r="AF250" s="777">
        <v>250</v>
      </c>
      <c r="AG250" s="777">
        <v>1</v>
      </c>
      <c r="AH250" s="777">
        <v>1</v>
      </c>
      <c r="AI250" s="1066">
        <v>250</v>
      </c>
      <c r="AJ250" s="777">
        <v>1</v>
      </c>
      <c r="AK250" s="777">
        <v>1</v>
      </c>
      <c r="AL250" s="777">
        <v>1</v>
      </c>
      <c r="AM250" s="777">
        <v>250</v>
      </c>
      <c r="AN250" s="777">
        <v>1</v>
      </c>
      <c r="AO250" s="777">
        <v>1</v>
      </c>
    </row>
    <row r="251" spans="1:41" x14ac:dyDescent="0.25">
      <c r="A251" s="1141">
        <v>250</v>
      </c>
      <c r="B251" s="804">
        <v>251</v>
      </c>
      <c r="C251" s="1066">
        <v>251</v>
      </c>
      <c r="D251" s="777">
        <v>1</v>
      </c>
      <c r="E251" s="777">
        <v>1</v>
      </c>
      <c r="F251" s="777">
        <v>1</v>
      </c>
      <c r="G251" s="777">
        <v>1</v>
      </c>
      <c r="H251" s="777">
        <v>1</v>
      </c>
      <c r="I251" s="777">
        <v>1</v>
      </c>
      <c r="J251" s="777">
        <v>1</v>
      </c>
      <c r="K251" s="777">
        <v>1</v>
      </c>
      <c r="L251" s="777">
        <v>1</v>
      </c>
      <c r="M251" s="777">
        <v>1</v>
      </c>
      <c r="N251" s="777">
        <v>1</v>
      </c>
      <c r="O251" s="777">
        <v>1</v>
      </c>
      <c r="P251" s="777">
        <v>251</v>
      </c>
      <c r="Q251" s="777">
        <v>1</v>
      </c>
      <c r="R251" s="777">
        <v>1</v>
      </c>
      <c r="S251" s="777">
        <v>1</v>
      </c>
      <c r="T251" s="777">
        <v>1</v>
      </c>
      <c r="U251" s="777">
        <v>1</v>
      </c>
      <c r="V251" s="777">
        <v>1</v>
      </c>
      <c r="W251" s="1066">
        <v>1</v>
      </c>
      <c r="X251" s="777">
        <v>1</v>
      </c>
      <c r="Y251" s="777">
        <v>1</v>
      </c>
      <c r="Z251" s="777">
        <v>1</v>
      </c>
      <c r="AA251" s="777">
        <v>1</v>
      </c>
      <c r="AB251" s="777">
        <v>1</v>
      </c>
      <c r="AC251" s="777">
        <v>1</v>
      </c>
      <c r="AD251" s="1066">
        <v>251</v>
      </c>
      <c r="AE251" s="777">
        <v>251</v>
      </c>
      <c r="AF251" s="777">
        <v>1</v>
      </c>
      <c r="AG251" s="777">
        <v>1</v>
      </c>
      <c r="AH251" s="777">
        <v>1</v>
      </c>
      <c r="AI251" s="1066">
        <v>251</v>
      </c>
      <c r="AJ251" s="777">
        <v>1</v>
      </c>
      <c r="AK251" s="777">
        <v>1</v>
      </c>
      <c r="AL251" s="777">
        <v>1</v>
      </c>
      <c r="AM251" s="777">
        <v>251</v>
      </c>
      <c r="AN251" s="777">
        <v>251</v>
      </c>
      <c r="AO251" s="777">
        <v>1</v>
      </c>
    </row>
    <row r="252" spans="1:41" x14ac:dyDescent="0.25">
      <c r="A252" s="1141">
        <v>251</v>
      </c>
      <c r="B252" s="804">
        <v>252</v>
      </c>
      <c r="C252" s="777">
        <v>252</v>
      </c>
      <c r="D252" s="1066">
        <v>252</v>
      </c>
      <c r="E252" s="777">
        <v>1</v>
      </c>
      <c r="F252" s="777">
        <v>1</v>
      </c>
      <c r="G252" s="777">
        <v>1</v>
      </c>
      <c r="H252" s="777">
        <v>1</v>
      </c>
      <c r="I252" s="777">
        <v>1</v>
      </c>
      <c r="J252" s="777">
        <v>1</v>
      </c>
      <c r="K252" s="777">
        <v>1</v>
      </c>
      <c r="L252" s="777">
        <v>1</v>
      </c>
      <c r="M252" s="777">
        <v>1</v>
      </c>
      <c r="N252" s="777">
        <v>1</v>
      </c>
      <c r="O252" s="777">
        <v>1</v>
      </c>
      <c r="P252" s="777">
        <v>1</v>
      </c>
      <c r="Q252" s="777">
        <v>1</v>
      </c>
      <c r="R252" s="777">
        <v>1</v>
      </c>
      <c r="S252" s="777">
        <v>1</v>
      </c>
      <c r="T252" s="777">
        <v>1</v>
      </c>
      <c r="U252" s="777">
        <v>1</v>
      </c>
      <c r="V252" s="777">
        <v>1</v>
      </c>
      <c r="W252" s="1066">
        <v>252</v>
      </c>
      <c r="X252" s="777">
        <v>1</v>
      </c>
      <c r="Y252" s="777">
        <v>1</v>
      </c>
      <c r="Z252" s="777">
        <v>1</v>
      </c>
      <c r="AA252" s="777">
        <v>252</v>
      </c>
      <c r="AB252" s="777">
        <v>1</v>
      </c>
      <c r="AC252" s="777">
        <v>1</v>
      </c>
      <c r="AD252" s="1066">
        <v>252</v>
      </c>
      <c r="AE252" s="777">
        <v>1</v>
      </c>
      <c r="AF252" s="777">
        <v>1</v>
      </c>
      <c r="AG252" s="777">
        <v>1</v>
      </c>
      <c r="AH252" s="777">
        <v>1</v>
      </c>
      <c r="AI252" s="1066">
        <v>252</v>
      </c>
      <c r="AJ252" s="777">
        <v>1</v>
      </c>
      <c r="AK252" s="777">
        <v>1</v>
      </c>
      <c r="AL252" s="777">
        <v>1</v>
      </c>
      <c r="AM252" s="777">
        <v>252</v>
      </c>
      <c r="AN252" s="777">
        <v>1</v>
      </c>
      <c r="AO252" s="777">
        <v>1</v>
      </c>
    </row>
    <row r="253" spans="1:41" x14ac:dyDescent="0.25">
      <c r="A253" s="1141">
        <v>252</v>
      </c>
      <c r="B253" s="804">
        <v>253</v>
      </c>
      <c r="C253" s="1066">
        <v>253</v>
      </c>
      <c r="D253" s="1066">
        <v>253</v>
      </c>
      <c r="E253" s="777">
        <v>1</v>
      </c>
      <c r="F253" s="777">
        <v>1</v>
      </c>
      <c r="G253" s="777">
        <v>1</v>
      </c>
      <c r="H253" s="777">
        <v>1</v>
      </c>
      <c r="I253" s="777">
        <v>1</v>
      </c>
      <c r="J253" s="777">
        <v>1</v>
      </c>
      <c r="K253" s="777">
        <v>1</v>
      </c>
      <c r="L253" s="777">
        <v>1</v>
      </c>
      <c r="M253" s="777">
        <v>1</v>
      </c>
      <c r="N253" s="777">
        <v>1</v>
      </c>
      <c r="O253" s="777">
        <v>1</v>
      </c>
      <c r="P253" s="777">
        <v>1</v>
      </c>
      <c r="Q253" s="777">
        <v>1</v>
      </c>
      <c r="R253" s="777">
        <v>1</v>
      </c>
      <c r="S253" s="777">
        <v>1</v>
      </c>
      <c r="T253" s="777">
        <v>1</v>
      </c>
      <c r="U253" s="777">
        <v>1</v>
      </c>
      <c r="V253" s="777">
        <v>1</v>
      </c>
      <c r="W253" s="1066">
        <v>1</v>
      </c>
      <c r="X253" s="777">
        <v>1</v>
      </c>
      <c r="Y253" s="777">
        <v>1</v>
      </c>
      <c r="Z253" s="777">
        <v>1</v>
      </c>
      <c r="AA253" s="777">
        <v>1</v>
      </c>
      <c r="AB253" s="777">
        <v>1</v>
      </c>
      <c r="AC253" s="777">
        <v>1</v>
      </c>
      <c r="AD253" s="1066">
        <v>1</v>
      </c>
      <c r="AE253" s="777">
        <v>1</v>
      </c>
      <c r="AF253" s="777">
        <v>1</v>
      </c>
      <c r="AG253" s="777">
        <v>1</v>
      </c>
      <c r="AH253" s="777">
        <v>1</v>
      </c>
      <c r="AI253" s="1066">
        <v>253</v>
      </c>
      <c r="AJ253" s="777">
        <v>1</v>
      </c>
      <c r="AK253" s="777">
        <v>1</v>
      </c>
      <c r="AL253" s="777">
        <v>1</v>
      </c>
      <c r="AM253" s="777">
        <v>253</v>
      </c>
      <c r="AN253" s="777">
        <v>1</v>
      </c>
      <c r="AO253" s="777">
        <v>1</v>
      </c>
    </row>
    <row r="254" spans="1:41" x14ac:dyDescent="0.25">
      <c r="A254" s="1141">
        <v>253</v>
      </c>
      <c r="B254" s="804">
        <v>254</v>
      </c>
      <c r="C254" s="1066">
        <v>254</v>
      </c>
      <c r="D254" s="777">
        <v>254</v>
      </c>
      <c r="E254" s="777">
        <v>254</v>
      </c>
      <c r="F254" s="777">
        <v>1</v>
      </c>
      <c r="G254" s="777">
        <v>254</v>
      </c>
      <c r="H254" s="777">
        <v>1</v>
      </c>
      <c r="I254" s="777">
        <v>1</v>
      </c>
      <c r="J254" s="777">
        <v>1</v>
      </c>
      <c r="K254" s="777">
        <v>1</v>
      </c>
      <c r="L254" s="777">
        <v>1</v>
      </c>
      <c r="M254" s="777">
        <v>1</v>
      </c>
      <c r="N254" s="777">
        <v>254</v>
      </c>
      <c r="O254" s="777">
        <v>1</v>
      </c>
      <c r="P254" s="777">
        <v>1</v>
      </c>
      <c r="Q254" s="777">
        <v>1</v>
      </c>
      <c r="R254" s="777">
        <v>1</v>
      </c>
      <c r="S254" s="777">
        <v>1</v>
      </c>
      <c r="T254" s="777">
        <v>254</v>
      </c>
      <c r="U254" s="777">
        <v>1</v>
      </c>
      <c r="V254" s="777">
        <v>1</v>
      </c>
      <c r="W254" s="1066">
        <v>254</v>
      </c>
      <c r="X254" s="777">
        <v>254</v>
      </c>
      <c r="Y254" s="777">
        <v>1</v>
      </c>
      <c r="Z254" s="777">
        <v>1</v>
      </c>
      <c r="AA254" s="777">
        <v>254</v>
      </c>
      <c r="AB254" s="777">
        <v>1</v>
      </c>
      <c r="AC254" s="777">
        <v>254</v>
      </c>
      <c r="AD254" s="1066">
        <v>1</v>
      </c>
      <c r="AE254" s="777">
        <v>1</v>
      </c>
      <c r="AF254" s="777">
        <v>1</v>
      </c>
      <c r="AG254" s="777">
        <v>1</v>
      </c>
      <c r="AH254" s="777">
        <v>1</v>
      </c>
      <c r="AI254" s="777">
        <v>254</v>
      </c>
      <c r="AJ254" s="777">
        <v>1</v>
      </c>
      <c r="AK254" s="777">
        <v>1</v>
      </c>
      <c r="AL254" s="777">
        <v>1</v>
      </c>
      <c r="AM254" s="777">
        <v>254</v>
      </c>
      <c r="AN254" s="777">
        <v>254</v>
      </c>
      <c r="AO254" s="777">
        <v>1</v>
      </c>
    </row>
    <row r="255" spans="1:41" x14ac:dyDescent="0.25">
      <c r="A255" s="1141">
        <v>254</v>
      </c>
      <c r="B255" s="804">
        <v>255</v>
      </c>
      <c r="C255" s="777">
        <v>255</v>
      </c>
      <c r="D255" s="1066">
        <v>255</v>
      </c>
      <c r="E255" s="777">
        <v>255</v>
      </c>
      <c r="F255" s="777">
        <v>1</v>
      </c>
      <c r="G255" s="777">
        <v>255</v>
      </c>
      <c r="H255" s="777">
        <v>1</v>
      </c>
      <c r="I255" s="777">
        <v>1</v>
      </c>
      <c r="J255" s="777">
        <v>1</v>
      </c>
      <c r="K255" s="777">
        <v>1</v>
      </c>
      <c r="L255" s="777">
        <v>1</v>
      </c>
      <c r="M255" s="777">
        <v>1</v>
      </c>
      <c r="N255" s="777">
        <v>255</v>
      </c>
      <c r="O255" s="777">
        <v>1</v>
      </c>
      <c r="P255" s="777">
        <v>1</v>
      </c>
      <c r="Q255" s="777">
        <v>1</v>
      </c>
      <c r="R255" s="777">
        <v>1</v>
      </c>
      <c r="S255" s="777">
        <v>1</v>
      </c>
      <c r="T255" s="777">
        <v>1</v>
      </c>
      <c r="U255" s="777">
        <v>1</v>
      </c>
      <c r="V255" s="777">
        <v>1</v>
      </c>
      <c r="W255" s="1066">
        <v>255</v>
      </c>
      <c r="X255" s="777">
        <v>1</v>
      </c>
      <c r="Y255" s="1066">
        <v>255</v>
      </c>
      <c r="Z255" s="777">
        <v>1</v>
      </c>
      <c r="AA255" s="777">
        <v>255</v>
      </c>
      <c r="AB255" s="777">
        <v>1</v>
      </c>
      <c r="AC255" s="777">
        <v>1</v>
      </c>
      <c r="AD255" s="777">
        <v>1</v>
      </c>
      <c r="AE255" s="777">
        <v>1</v>
      </c>
      <c r="AF255" s="777">
        <v>255</v>
      </c>
      <c r="AG255" s="777">
        <v>1</v>
      </c>
      <c r="AH255" s="777">
        <v>1</v>
      </c>
      <c r="AI255" s="777">
        <v>1</v>
      </c>
      <c r="AJ255" s="777">
        <v>1</v>
      </c>
      <c r="AK255" s="777">
        <v>1</v>
      </c>
      <c r="AL255" s="777">
        <v>1</v>
      </c>
      <c r="AM255" s="1066">
        <v>255</v>
      </c>
      <c r="AN255" s="777">
        <v>1</v>
      </c>
      <c r="AO255" s="777">
        <v>1</v>
      </c>
    </row>
    <row r="256" spans="1:41" x14ac:dyDescent="0.25">
      <c r="A256" s="1141">
        <v>255</v>
      </c>
      <c r="B256" s="804">
        <v>256</v>
      </c>
      <c r="C256" s="1066">
        <v>256</v>
      </c>
      <c r="D256" s="1066">
        <v>256</v>
      </c>
      <c r="E256" s="777">
        <v>1</v>
      </c>
      <c r="F256" s="777">
        <v>1</v>
      </c>
      <c r="G256" s="1066">
        <v>256</v>
      </c>
      <c r="H256" s="777">
        <v>1</v>
      </c>
      <c r="I256" s="777">
        <v>1</v>
      </c>
      <c r="J256" s="777">
        <v>1</v>
      </c>
      <c r="K256" s="777">
        <v>1</v>
      </c>
      <c r="L256" s="777">
        <v>1</v>
      </c>
      <c r="M256" s="777">
        <v>1</v>
      </c>
      <c r="N256" s="777">
        <v>1</v>
      </c>
      <c r="O256" s="777">
        <v>1</v>
      </c>
      <c r="P256" s="777">
        <v>1</v>
      </c>
      <c r="Q256" s="777">
        <v>1</v>
      </c>
      <c r="R256" s="777">
        <v>1</v>
      </c>
      <c r="S256" s="777">
        <v>1</v>
      </c>
      <c r="T256" s="1066">
        <v>256</v>
      </c>
      <c r="U256" s="777">
        <v>1</v>
      </c>
      <c r="V256" s="777">
        <v>1</v>
      </c>
      <c r="W256" s="1066">
        <v>256</v>
      </c>
      <c r="X256" s="1066">
        <v>256</v>
      </c>
      <c r="Y256" s="777">
        <v>1</v>
      </c>
      <c r="Z256" s="777">
        <v>256</v>
      </c>
      <c r="AA256" s="1066">
        <v>256</v>
      </c>
      <c r="AB256" s="1066">
        <v>256</v>
      </c>
      <c r="AC256" s="1066">
        <v>256</v>
      </c>
      <c r="AD256" s="777">
        <v>1</v>
      </c>
      <c r="AE256" s="777">
        <v>256</v>
      </c>
      <c r="AF256" s="1066">
        <v>256</v>
      </c>
      <c r="AG256" s="777">
        <v>1</v>
      </c>
      <c r="AH256" s="777">
        <v>1</v>
      </c>
      <c r="AI256" s="1066">
        <v>256</v>
      </c>
      <c r="AJ256" s="777">
        <v>1</v>
      </c>
      <c r="AK256" s="777">
        <v>1</v>
      </c>
      <c r="AL256" s="777">
        <v>1</v>
      </c>
      <c r="AM256" s="777">
        <v>256</v>
      </c>
      <c r="AN256" s="777">
        <v>1</v>
      </c>
      <c r="AO256" s="777">
        <v>1</v>
      </c>
    </row>
    <row r="257" spans="1:41" x14ac:dyDescent="0.25">
      <c r="A257" s="1141">
        <v>256</v>
      </c>
      <c r="B257" s="804">
        <v>257</v>
      </c>
      <c r="C257" s="1066">
        <v>257</v>
      </c>
      <c r="D257" s="777">
        <v>1</v>
      </c>
      <c r="E257" s="777">
        <v>1</v>
      </c>
      <c r="F257" s="777">
        <v>1</v>
      </c>
      <c r="G257" s="777">
        <v>1</v>
      </c>
      <c r="H257" s="777">
        <v>1</v>
      </c>
      <c r="I257" s="777">
        <v>1</v>
      </c>
      <c r="J257" s="777">
        <v>1</v>
      </c>
      <c r="K257" s="777">
        <v>1</v>
      </c>
      <c r="L257" s="777">
        <v>1</v>
      </c>
      <c r="M257" s="777">
        <v>1</v>
      </c>
      <c r="N257" s="777">
        <v>1</v>
      </c>
      <c r="O257" s="777">
        <v>1</v>
      </c>
      <c r="P257" s="777">
        <v>1</v>
      </c>
      <c r="Q257" s="1066">
        <v>257</v>
      </c>
      <c r="R257" s="777">
        <v>1</v>
      </c>
      <c r="S257" s="777">
        <v>1</v>
      </c>
      <c r="T257" s="777">
        <v>1</v>
      </c>
      <c r="U257" s="777">
        <v>1</v>
      </c>
      <c r="V257" s="777">
        <v>1</v>
      </c>
      <c r="W257" s="1066">
        <v>257</v>
      </c>
      <c r="X257" s="777">
        <v>1</v>
      </c>
      <c r="Y257" s="777">
        <v>1</v>
      </c>
      <c r="Z257" s="777">
        <v>1</v>
      </c>
      <c r="AA257" s="777">
        <v>1</v>
      </c>
      <c r="AB257" s="777">
        <v>1</v>
      </c>
      <c r="AC257" s="777">
        <v>1</v>
      </c>
      <c r="AD257" s="777">
        <v>1</v>
      </c>
      <c r="AE257" s="777">
        <v>1</v>
      </c>
      <c r="AF257" s="777">
        <v>257</v>
      </c>
      <c r="AG257" s="777">
        <v>1</v>
      </c>
      <c r="AH257" s="777">
        <v>1</v>
      </c>
      <c r="AI257" s="777">
        <v>1</v>
      </c>
      <c r="AJ257" s="777">
        <v>1</v>
      </c>
      <c r="AK257" s="777">
        <v>1</v>
      </c>
      <c r="AL257" s="777">
        <v>1</v>
      </c>
      <c r="AM257" s="1066">
        <v>257</v>
      </c>
      <c r="AN257" s="777">
        <v>1</v>
      </c>
      <c r="AO257" s="777">
        <v>1</v>
      </c>
    </row>
    <row r="258" spans="1:41" x14ac:dyDescent="0.25">
      <c r="A258" s="1141">
        <v>257</v>
      </c>
      <c r="B258" s="804">
        <v>258</v>
      </c>
      <c r="C258" s="1066">
        <v>258</v>
      </c>
      <c r="D258" s="777">
        <v>1</v>
      </c>
      <c r="E258" s="777">
        <v>1</v>
      </c>
      <c r="F258" s="1066">
        <v>258</v>
      </c>
      <c r="G258" s="777">
        <v>1</v>
      </c>
      <c r="H258" s="777">
        <v>1</v>
      </c>
      <c r="I258" s="777">
        <v>1</v>
      </c>
      <c r="J258" s="777">
        <v>1</v>
      </c>
      <c r="K258" s="777">
        <v>1</v>
      </c>
      <c r="L258" s="777">
        <v>1</v>
      </c>
      <c r="M258" s="777">
        <v>1</v>
      </c>
      <c r="N258" s="777">
        <v>1</v>
      </c>
      <c r="O258" s="1066">
        <v>258</v>
      </c>
      <c r="P258" s="777">
        <v>1</v>
      </c>
      <c r="Q258" s="777">
        <v>1</v>
      </c>
      <c r="R258" s="777">
        <v>1</v>
      </c>
      <c r="S258" s="777">
        <v>1</v>
      </c>
      <c r="T258" s="777">
        <v>1</v>
      </c>
      <c r="U258" s="777">
        <v>1</v>
      </c>
      <c r="V258" s="777">
        <v>1</v>
      </c>
      <c r="W258" s="777">
        <v>1</v>
      </c>
      <c r="X258" s="777">
        <v>1</v>
      </c>
      <c r="Y258" s="777">
        <v>1</v>
      </c>
      <c r="Z258" s="777">
        <v>1</v>
      </c>
      <c r="AA258" s="1066">
        <v>258</v>
      </c>
      <c r="AB258" s="777">
        <v>1</v>
      </c>
      <c r="AC258" s="777">
        <v>1</v>
      </c>
      <c r="AD258" s="777">
        <v>1</v>
      </c>
      <c r="AE258" s="777">
        <v>258</v>
      </c>
      <c r="AF258" s="777">
        <v>1</v>
      </c>
      <c r="AG258" s="777">
        <v>1</v>
      </c>
      <c r="AH258" s="777">
        <v>1</v>
      </c>
      <c r="AI258" s="777">
        <v>1</v>
      </c>
      <c r="AJ258" s="777">
        <v>1</v>
      </c>
      <c r="AK258" s="777">
        <v>1</v>
      </c>
      <c r="AL258" s="777">
        <v>1</v>
      </c>
      <c r="AM258" s="777">
        <v>1</v>
      </c>
      <c r="AN258" s="777">
        <v>258</v>
      </c>
      <c r="AO258" s="777">
        <v>258</v>
      </c>
    </row>
    <row r="259" spans="1:41" x14ac:dyDescent="0.25">
      <c r="A259" s="1141">
        <v>258</v>
      </c>
      <c r="B259" s="804">
        <v>259</v>
      </c>
      <c r="C259" s="1066">
        <v>259</v>
      </c>
      <c r="D259" s="1066">
        <v>259</v>
      </c>
      <c r="E259" s="777">
        <v>1</v>
      </c>
      <c r="F259" s="777">
        <v>1</v>
      </c>
      <c r="G259" s="777">
        <v>259</v>
      </c>
      <c r="H259" s="777">
        <v>1</v>
      </c>
      <c r="I259" s="777">
        <v>1</v>
      </c>
      <c r="J259" s="777">
        <v>1</v>
      </c>
      <c r="K259" s="777">
        <v>1</v>
      </c>
      <c r="L259" s="777">
        <v>1</v>
      </c>
      <c r="M259" s="777">
        <v>1</v>
      </c>
      <c r="N259" s="777">
        <v>1</v>
      </c>
      <c r="O259" s="1066">
        <v>259</v>
      </c>
      <c r="P259" s="777">
        <v>1</v>
      </c>
      <c r="Q259" s="777">
        <v>1</v>
      </c>
      <c r="R259" s="777">
        <v>1</v>
      </c>
      <c r="S259" s="777">
        <v>1</v>
      </c>
      <c r="T259" s="777">
        <v>259</v>
      </c>
      <c r="U259" s="777">
        <v>1</v>
      </c>
      <c r="V259" s="777">
        <v>1</v>
      </c>
      <c r="W259" s="777">
        <v>259</v>
      </c>
      <c r="X259" s="777">
        <v>259</v>
      </c>
      <c r="Y259" s="777">
        <v>1</v>
      </c>
      <c r="Z259" s="777">
        <v>1</v>
      </c>
      <c r="AA259" s="777">
        <v>259</v>
      </c>
      <c r="AB259" s="777">
        <v>1</v>
      </c>
      <c r="AC259" s="777">
        <v>1</v>
      </c>
      <c r="AD259" s="1066">
        <v>259</v>
      </c>
      <c r="AE259" s="777">
        <v>259</v>
      </c>
      <c r="AF259" s="777">
        <v>1</v>
      </c>
      <c r="AG259" s="777">
        <v>1</v>
      </c>
      <c r="AH259" s="777">
        <v>1</v>
      </c>
      <c r="AI259" s="777">
        <v>1</v>
      </c>
      <c r="AJ259" s="777">
        <v>1</v>
      </c>
      <c r="AK259" s="777">
        <v>1</v>
      </c>
      <c r="AL259" s="777">
        <v>1</v>
      </c>
      <c r="AM259" s="777">
        <v>259</v>
      </c>
      <c r="AN259" s="777">
        <v>1</v>
      </c>
      <c r="AO259" s="777">
        <v>1</v>
      </c>
    </row>
    <row r="260" spans="1:41" x14ac:dyDescent="0.25">
      <c r="A260" s="1141">
        <v>259</v>
      </c>
      <c r="B260" s="804">
        <v>260</v>
      </c>
      <c r="C260" s="1066">
        <v>260</v>
      </c>
      <c r="D260" s="1066">
        <v>260</v>
      </c>
      <c r="E260" s="777">
        <v>1</v>
      </c>
      <c r="F260" s="777">
        <v>1</v>
      </c>
      <c r="G260" s="777">
        <v>1</v>
      </c>
      <c r="H260" s="777">
        <v>1</v>
      </c>
      <c r="I260" s="777">
        <v>1</v>
      </c>
      <c r="J260" s="777">
        <v>1</v>
      </c>
      <c r="K260" s="777">
        <v>1</v>
      </c>
      <c r="L260" s="777">
        <v>1</v>
      </c>
      <c r="M260" s="777">
        <v>1</v>
      </c>
      <c r="N260" s="777">
        <v>1</v>
      </c>
      <c r="O260" s="1066">
        <v>260</v>
      </c>
      <c r="P260" s="777">
        <v>1</v>
      </c>
      <c r="Q260" s="777">
        <v>1</v>
      </c>
      <c r="R260" s="777">
        <v>1</v>
      </c>
      <c r="S260" s="777">
        <v>1</v>
      </c>
      <c r="T260" s="777">
        <v>1</v>
      </c>
      <c r="U260" s="777">
        <v>1</v>
      </c>
      <c r="V260" s="777">
        <v>1</v>
      </c>
      <c r="W260" s="777">
        <v>1</v>
      </c>
      <c r="X260" s="777">
        <v>1</v>
      </c>
      <c r="Y260" s="777">
        <v>1</v>
      </c>
      <c r="Z260" s="777">
        <v>1</v>
      </c>
      <c r="AA260" s="777">
        <v>1</v>
      </c>
      <c r="AB260" s="777">
        <v>1</v>
      </c>
      <c r="AC260" s="777">
        <v>1</v>
      </c>
      <c r="AD260" s="777">
        <v>1</v>
      </c>
      <c r="AE260" s="777">
        <v>1</v>
      </c>
      <c r="AF260" s="777">
        <v>1</v>
      </c>
      <c r="AG260" s="777">
        <v>1</v>
      </c>
      <c r="AH260" s="777">
        <v>1</v>
      </c>
      <c r="AI260" s="777">
        <v>1</v>
      </c>
      <c r="AJ260" s="777">
        <v>1</v>
      </c>
      <c r="AK260" s="777">
        <v>1</v>
      </c>
      <c r="AL260" s="777">
        <v>1</v>
      </c>
      <c r="AM260" s="777">
        <v>1</v>
      </c>
      <c r="AN260" s="777">
        <v>1</v>
      </c>
      <c r="AO260" s="777">
        <v>1</v>
      </c>
    </row>
    <row r="261" spans="1:41" x14ac:dyDescent="0.25">
      <c r="A261" s="1141">
        <v>260</v>
      </c>
      <c r="B261" s="804">
        <v>261</v>
      </c>
      <c r="C261" s="1066">
        <v>261</v>
      </c>
      <c r="D261" s="1066">
        <v>261</v>
      </c>
      <c r="E261" s="777">
        <v>1</v>
      </c>
      <c r="F261" s="777">
        <v>261</v>
      </c>
      <c r="G261" s="1066">
        <v>261</v>
      </c>
      <c r="H261" s="777">
        <v>1</v>
      </c>
      <c r="I261" s="777">
        <v>1</v>
      </c>
      <c r="J261" s="777">
        <v>1</v>
      </c>
      <c r="K261" s="777">
        <v>1</v>
      </c>
      <c r="L261" s="1066">
        <v>1</v>
      </c>
      <c r="M261" s="777">
        <v>1</v>
      </c>
      <c r="N261" s="777">
        <v>1</v>
      </c>
      <c r="O261" s="777">
        <v>1</v>
      </c>
      <c r="P261" s="1066">
        <v>261</v>
      </c>
      <c r="Q261" s="777">
        <v>1</v>
      </c>
      <c r="R261" s="777">
        <v>1</v>
      </c>
      <c r="S261" s="777">
        <v>1</v>
      </c>
      <c r="T261" s="777">
        <v>1</v>
      </c>
      <c r="U261" s="777">
        <v>1</v>
      </c>
      <c r="V261" s="777">
        <v>1</v>
      </c>
      <c r="W261" s="777">
        <v>261</v>
      </c>
      <c r="X261" s="777">
        <v>1</v>
      </c>
      <c r="Y261" s="777">
        <v>1</v>
      </c>
      <c r="Z261" s="1066">
        <v>261</v>
      </c>
      <c r="AA261" s="777">
        <v>1</v>
      </c>
      <c r="AB261" s="777">
        <v>1</v>
      </c>
      <c r="AC261" s="777">
        <v>1</v>
      </c>
      <c r="AD261" s="777">
        <v>1</v>
      </c>
      <c r="AE261" s="777">
        <v>261</v>
      </c>
      <c r="AF261" s="777">
        <v>1</v>
      </c>
      <c r="AG261" s="777">
        <v>261</v>
      </c>
      <c r="AH261" s="777">
        <v>1</v>
      </c>
      <c r="AI261" s="777">
        <v>1</v>
      </c>
      <c r="AJ261" s="777">
        <v>1</v>
      </c>
      <c r="AK261" s="777">
        <v>1</v>
      </c>
      <c r="AL261" s="777">
        <v>1</v>
      </c>
      <c r="AM261" s="1066">
        <v>261</v>
      </c>
      <c r="AN261" s="777">
        <v>261</v>
      </c>
      <c r="AO261" s="777">
        <v>1</v>
      </c>
    </row>
    <row r="262" spans="1:41" x14ac:dyDescent="0.25">
      <c r="A262" s="1141">
        <v>261</v>
      </c>
      <c r="B262" s="804">
        <v>262</v>
      </c>
      <c r="C262" s="777">
        <v>1</v>
      </c>
      <c r="D262" s="777">
        <v>1</v>
      </c>
      <c r="E262" s="777">
        <v>1</v>
      </c>
      <c r="F262" s="777">
        <v>1</v>
      </c>
      <c r="G262" s="777">
        <v>1</v>
      </c>
      <c r="H262" s="777">
        <v>1</v>
      </c>
      <c r="I262" s="1066">
        <v>262</v>
      </c>
      <c r="J262" s="777">
        <v>1</v>
      </c>
      <c r="K262" s="777">
        <v>1</v>
      </c>
      <c r="L262" s="777">
        <v>1</v>
      </c>
      <c r="M262" s="777">
        <v>1</v>
      </c>
      <c r="N262" s="777">
        <v>1</v>
      </c>
      <c r="O262" s="777">
        <v>1</v>
      </c>
      <c r="P262" s="777">
        <v>1</v>
      </c>
      <c r="Q262" s="777">
        <v>1</v>
      </c>
      <c r="R262" s="1066">
        <v>262</v>
      </c>
      <c r="S262" s="777">
        <v>1</v>
      </c>
      <c r="T262" s="777">
        <v>1</v>
      </c>
      <c r="U262" s="777">
        <v>1</v>
      </c>
      <c r="V262" s="777">
        <v>1</v>
      </c>
      <c r="W262" s="1066">
        <v>262</v>
      </c>
      <c r="X262" s="777">
        <v>1</v>
      </c>
      <c r="Y262" s="777">
        <v>1</v>
      </c>
      <c r="Z262" s="777">
        <v>1</v>
      </c>
      <c r="AA262" s="777">
        <v>1</v>
      </c>
      <c r="AB262" s="777">
        <v>1</v>
      </c>
      <c r="AC262" s="777">
        <v>1</v>
      </c>
      <c r="AD262" s="777">
        <v>1</v>
      </c>
      <c r="AE262" s="777">
        <v>1</v>
      </c>
      <c r="AF262" s="777">
        <v>262</v>
      </c>
      <c r="AG262" s="777">
        <v>1</v>
      </c>
      <c r="AH262" s="777">
        <v>1</v>
      </c>
      <c r="AI262" s="777">
        <v>262</v>
      </c>
      <c r="AJ262" s="1066">
        <v>262</v>
      </c>
      <c r="AK262" s="1066">
        <v>262</v>
      </c>
      <c r="AL262" s="777">
        <v>1</v>
      </c>
      <c r="AM262" s="777">
        <v>1</v>
      </c>
      <c r="AN262" s="777">
        <v>262</v>
      </c>
      <c r="AO262" s="777">
        <v>1</v>
      </c>
    </row>
    <row r="263" spans="1:41" x14ac:dyDescent="0.25">
      <c r="A263" s="1141">
        <v>262</v>
      </c>
      <c r="B263" s="804">
        <v>263</v>
      </c>
      <c r="C263" s="1066">
        <v>263</v>
      </c>
      <c r="D263" s="777">
        <v>1</v>
      </c>
      <c r="E263" s="777">
        <v>1</v>
      </c>
      <c r="F263" s="777">
        <v>1</v>
      </c>
      <c r="G263" s="777">
        <v>263</v>
      </c>
      <c r="H263" s="777">
        <v>1</v>
      </c>
      <c r="I263" s="777">
        <v>1</v>
      </c>
      <c r="J263" s="777">
        <v>1</v>
      </c>
      <c r="K263" s="777">
        <v>1</v>
      </c>
      <c r="L263" s="777">
        <v>1</v>
      </c>
      <c r="M263" s="777">
        <v>1</v>
      </c>
      <c r="N263" s="777">
        <v>1</v>
      </c>
      <c r="O263" s="777">
        <v>1</v>
      </c>
      <c r="P263" s="777">
        <v>1</v>
      </c>
      <c r="Q263" s="777">
        <v>1</v>
      </c>
      <c r="R263" s="777">
        <v>1</v>
      </c>
      <c r="S263" s="777">
        <v>1</v>
      </c>
      <c r="T263" s="1066">
        <v>263</v>
      </c>
      <c r="U263" s="777">
        <v>1</v>
      </c>
      <c r="V263" s="777">
        <v>1</v>
      </c>
      <c r="W263" s="1066">
        <v>263</v>
      </c>
      <c r="X263" s="777">
        <v>1</v>
      </c>
      <c r="Y263" s="777">
        <v>1</v>
      </c>
      <c r="Z263" s="777">
        <v>1</v>
      </c>
      <c r="AA263" s="777">
        <v>1</v>
      </c>
      <c r="AB263" s="777">
        <v>1</v>
      </c>
      <c r="AC263" s="777">
        <v>1</v>
      </c>
      <c r="AD263" s="777">
        <v>1</v>
      </c>
      <c r="AE263" s="777">
        <v>1</v>
      </c>
      <c r="AF263" s="777">
        <v>263</v>
      </c>
      <c r="AG263" s="777">
        <v>1</v>
      </c>
      <c r="AH263" s="777">
        <v>1</v>
      </c>
      <c r="AI263" s="777">
        <v>1</v>
      </c>
      <c r="AJ263" s="1066">
        <v>263</v>
      </c>
      <c r="AK263" s="1066">
        <v>263</v>
      </c>
      <c r="AL263" s="1066">
        <v>263</v>
      </c>
      <c r="AM263" s="777">
        <v>1</v>
      </c>
      <c r="AN263" s="777">
        <v>263</v>
      </c>
      <c r="AO263" s="777">
        <v>1</v>
      </c>
    </row>
    <row r="264" spans="1:41" x14ac:dyDescent="0.25">
      <c r="A264" s="1141">
        <v>263</v>
      </c>
      <c r="B264" s="804">
        <v>264</v>
      </c>
      <c r="C264" s="1066">
        <v>264</v>
      </c>
      <c r="D264" s="1066">
        <v>264</v>
      </c>
      <c r="E264" s="777">
        <v>1</v>
      </c>
      <c r="F264" s="777">
        <v>1</v>
      </c>
      <c r="G264" s="777">
        <v>1</v>
      </c>
      <c r="H264" s="777">
        <v>1</v>
      </c>
      <c r="I264" s="777">
        <v>1</v>
      </c>
      <c r="J264" s="777">
        <v>1</v>
      </c>
      <c r="K264" s="777">
        <v>1</v>
      </c>
      <c r="L264" s="777">
        <v>1</v>
      </c>
      <c r="M264" s="777">
        <v>1</v>
      </c>
      <c r="N264" s="777">
        <v>1</v>
      </c>
      <c r="O264" s="1066">
        <v>264</v>
      </c>
      <c r="P264" s="777">
        <v>1</v>
      </c>
      <c r="Q264" s="777">
        <v>1</v>
      </c>
      <c r="R264" s="777">
        <v>1</v>
      </c>
      <c r="S264" s="777">
        <v>1</v>
      </c>
      <c r="T264" s="777">
        <v>1</v>
      </c>
      <c r="U264" s="777">
        <v>1</v>
      </c>
      <c r="V264" s="777">
        <v>1</v>
      </c>
      <c r="W264" s="777">
        <v>1</v>
      </c>
      <c r="X264" s="777">
        <v>1</v>
      </c>
      <c r="Y264" s="777">
        <v>1</v>
      </c>
      <c r="Z264" s="777">
        <v>264</v>
      </c>
      <c r="AA264" s="777">
        <v>1</v>
      </c>
      <c r="AB264" s="777">
        <v>1</v>
      </c>
      <c r="AC264" s="777">
        <v>1</v>
      </c>
      <c r="AD264" s="777">
        <v>1</v>
      </c>
      <c r="AE264" s="777">
        <v>264</v>
      </c>
      <c r="AF264" s="777">
        <v>1</v>
      </c>
      <c r="AG264" s="777">
        <v>264</v>
      </c>
      <c r="AH264" s="777">
        <v>1</v>
      </c>
      <c r="AI264" s="1066">
        <v>264</v>
      </c>
      <c r="AJ264" s="777">
        <v>1</v>
      </c>
      <c r="AK264" s="777">
        <v>1</v>
      </c>
      <c r="AL264" s="777">
        <v>1</v>
      </c>
      <c r="AM264" s="777">
        <v>264</v>
      </c>
      <c r="AN264" s="777">
        <v>1</v>
      </c>
      <c r="AO264" s="777">
        <v>1</v>
      </c>
    </row>
    <row r="265" spans="1:41" x14ac:dyDescent="0.25">
      <c r="A265" s="1141">
        <v>264</v>
      </c>
      <c r="B265" s="804">
        <v>265</v>
      </c>
      <c r="C265" s="1066">
        <v>265</v>
      </c>
      <c r="D265" s="1066">
        <v>265</v>
      </c>
      <c r="E265" s="1066">
        <v>265</v>
      </c>
      <c r="F265" s="777">
        <v>265</v>
      </c>
      <c r="G265" s="777">
        <v>265</v>
      </c>
      <c r="H265" s="777">
        <v>1</v>
      </c>
      <c r="I265" s="777">
        <v>1</v>
      </c>
      <c r="J265" s="777">
        <v>1</v>
      </c>
      <c r="K265" s="777">
        <v>1</v>
      </c>
      <c r="L265" s="777">
        <v>1</v>
      </c>
      <c r="M265" s="777">
        <v>1</v>
      </c>
      <c r="N265" s="777">
        <v>1</v>
      </c>
      <c r="O265" s="777">
        <v>1</v>
      </c>
      <c r="P265" s="777">
        <v>1</v>
      </c>
      <c r="Q265" s="777">
        <v>1</v>
      </c>
      <c r="R265" s="777">
        <v>1</v>
      </c>
      <c r="S265" s="777">
        <v>1</v>
      </c>
      <c r="T265" s="777">
        <v>1</v>
      </c>
      <c r="U265" s="777">
        <v>1</v>
      </c>
      <c r="V265" s="777">
        <v>1</v>
      </c>
      <c r="W265" s="1066">
        <v>265</v>
      </c>
      <c r="X265" s="777">
        <v>1</v>
      </c>
      <c r="Y265" s="777">
        <v>1</v>
      </c>
      <c r="Z265" s="777">
        <v>265</v>
      </c>
      <c r="AA265" s="777">
        <v>265</v>
      </c>
      <c r="AB265" s="777">
        <v>1</v>
      </c>
      <c r="AC265" s="777">
        <v>1</v>
      </c>
      <c r="AD265" s="1066">
        <v>1</v>
      </c>
      <c r="AE265" s="777">
        <v>1</v>
      </c>
      <c r="AF265" s="777">
        <v>1</v>
      </c>
      <c r="AG265" s="777">
        <v>1</v>
      </c>
      <c r="AH265" s="777">
        <v>1</v>
      </c>
      <c r="AI265" s="1066">
        <v>265</v>
      </c>
      <c r="AJ265" s="1066">
        <v>265</v>
      </c>
      <c r="AK265" s="777">
        <v>265</v>
      </c>
      <c r="AL265" s="777">
        <v>1</v>
      </c>
      <c r="AM265" s="777">
        <v>265</v>
      </c>
      <c r="AN265" s="777">
        <v>1</v>
      </c>
      <c r="AO265" s="777">
        <v>1</v>
      </c>
    </row>
    <row r="266" spans="1:41" x14ac:dyDescent="0.25">
      <c r="A266" s="1141">
        <v>265</v>
      </c>
      <c r="B266" s="804">
        <v>266</v>
      </c>
      <c r="C266" s="1066">
        <v>266</v>
      </c>
      <c r="D266" s="1066">
        <v>266</v>
      </c>
      <c r="E266" s="777">
        <v>1</v>
      </c>
      <c r="F266" s="777">
        <v>1</v>
      </c>
      <c r="G266" s="777">
        <v>1</v>
      </c>
      <c r="H266" s="777">
        <v>1</v>
      </c>
      <c r="I266" s="777">
        <v>1</v>
      </c>
      <c r="J266" s="777">
        <v>1</v>
      </c>
      <c r="K266" s="777">
        <v>1</v>
      </c>
      <c r="L266" s="777">
        <v>1</v>
      </c>
      <c r="M266" s="777">
        <v>1</v>
      </c>
      <c r="N266" s="777">
        <v>266</v>
      </c>
      <c r="O266" s="777">
        <v>1</v>
      </c>
      <c r="P266" s="777">
        <v>1</v>
      </c>
      <c r="Q266" s="777">
        <v>1</v>
      </c>
      <c r="R266" s="777">
        <v>1</v>
      </c>
      <c r="S266" s="777">
        <v>266</v>
      </c>
      <c r="T266" s="777">
        <v>1</v>
      </c>
      <c r="U266" s="777">
        <v>1</v>
      </c>
      <c r="V266" s="777">
        <v>1</v>
      </c>
      <c r="W266" s="1066">
        <v>1</v>
      </c>
      <c r="X266" s="777">
        <v>1</v>
      </c>
      <c r="Y266" s="777">
        <v>1</v>
      </c>
      <c r="Z266" s="777">
        <v>1</v>
      </c>
      <c r="AA266" s="777">
        <v>1</v>
      </c>
      <c r="AB266" s="777">
        <v>1</v>
      </c>
      <c r="AC266" s="777">
        <v>1</v>
      </c>
      <c r="AD266" s="1066">
        <v>266</v>
      </c>
      <c r="AE266" s="777">
        <v>266</v>
      </c>
      <c r="AF266" s="777">
        <v>1</v>
      </c>
      <c r="AG266" s="777">
        <v>1</v>
      </c>
      <c r="AH266" s="777">
        <v>1</v>
      </c>
      <c r="AI266" s="1066">
        <v>266</v>
      </c>
      <c r="AJ266" s="777">
        <v>1</v>
      </c>
      <c r="AK266" s="777">
        <v>1</v>
      </c>
      <c r="AL266" s="777">
        <v>1</v>
      </c>
      <c r="AM266" s="777">
        <v>266</v>
      </c>
      <c r="AN266" s="777">
        <v>1</v>
      </c>
      <c r="AO266" s="777">
        <v>1</v>
      </c>
    </row>
    <row r="267" spans="1:41" x14ac:dyDescent="0.25">
      <c r="A267" s="1141">
        <v>266</v>
      </c>
      <c r="B267" s="804">
        <v>267</v>
      </c>
      <c r="C267" s="1066">
        <v>267</v>
      </c>
      <c r="D267" s="1066">
        <v>267</v>
      </c>
      <c r="E267" s="777">
        <v>267</v>
      </c>
      <c r="F267" s="777">
        <v>267</v>
      </c>
      <c r="G267" s="777">
        <v>267</v>
      </c>
      <c r="H267" s="777">
        <v>1</v>
      </c>
      <c r="I267" s="777">
        <v>1</v>
      </c>
      <c r="J267" s="777">
        <v>1</v>
      </c>
      <c r="K267" s="777">
        <v>1</v>
      </c>
      <c r="L267" s="777">
        <v>1</v>
      </c>
      <c r="M267" s="777">
        <v>267</v>
      </c>
      <c r="N267" s="777">
        <v>267</v>
      </c>
      <c r="O267" s="777">
        <v>267</v>
      </c>
      <c r="P267" s="777">
        <v>1</v>
      </c>
      <c r="Q267" s="777">
        <v>1</v>
      </c>
      <c r="R267" s="777">
        <v>1</v>
      </c>
      <c r="S267" s="777">
        <v>1</v>
      </c>
      <c r="T267" s="777">
        <v>1</v>
      </c>
      <c r="U267" s="777">
        <v>1</v>
      </c>
      <c r="V267" s="777">
        <v>1</v>
      </c>
      <c r="W267" s="1066">
        <v>267</v>
      </c>
      <c r="X267" s="777">
        <v>1</v>
      </c>
      <c r="Y267" s="777">
        <v>1</v>
      </c>
      <c r="Z267" s="777">
        <v>1</v>
      </c>
      <c r="AA267" s="777">
        <v>1</v>
      </c>
      <c r="AB267" s="777">
        <v>1</v>
      </c>
      <c r="AC267" s="777">
        <v>1</v>
      </c>
      <c r="AD267" s="1066">
        <v>1</v>
      </c>
      <c r="AE267" s="777">
        <v>1</v>
      </c>
      <c r="AF267" s="777">
        <v>267</v>
      </c>
      <c r="AG267" s="777">
        <v>1</v>
      </c>
      <c r="AH267" s="777">
        <v>1</v>
      </c>
      <c r="AI267" s="1066">
        <v>1</v>
      </c>
      <c r="AJ267" s="777">
        <v>267</v>
      </c>
      <c r="AK267" s="777">
        <v>267</v>
      </c>
      <c r="AL267" s="777">
        <v>1</v>
      </c>
      <c r="AM267" s="777">
        <v>267</v>
      </c>
      <c r="AN267" s="777">
        <v>267</v>
      </c>
      <c r="AO267" s="777">
        <v>1</v>
      </c>
    </row>
    <row r="268" spans="1:41" x14ac:dyDescent="0.25">
      <c r="A268" s="1141">
        <v>267</v>
      </c>
      <c r="B268" s="804">
        <v>268</v>
      </c>
      <c r="C268" s="1066">
        <v>268</v>
      </c>
      <c r="D268" s="1066">
        <v>268</v>
      </c>
      <c r="E268" s="777">
        <v>1</v>
      </c>
      <c r="F268" s="777">
        <v>1</v>
      </c>
      <c r="G268" s="777">
        <v>268</v>
      </c>
      <c r="H268" s="777">
        <v>1</v>
      </c>
      <c r="I268" s="777">
        <v>1</v>
      </c>
      <c r="J268" s="777">
        <v>1</v>
      </c>
      <c r="K268" s="777">
        <v>1</v>
      </c>
      <c r="L268" s="777">
        <v>1</v>
      </c>
      <c r="M268" s="777">
        <v>1</v>
      </c>
      <c r="N268" s="777">
        <v>268</v>
      </c>
      <c r="O268" s="777">
        <v>1</v>
      </c>
      <c r="P268" s="777">
        <v>1</v>
      </c>
      <c r="Q268" s="777">
        <v>1</v>
      </c>
      <c r="R268" s="777">
        <v>1</v>
      </c>
      <c r="S268" s="777">
        <v>1</v>
      </c>
      <c r="T268" s="777">
        <v>1</v>
      </c>
      <c r="U268" s="777">
        <v>1</v>
      </c>
      <c r="V268" s="777">
        <v>1</v>
      </c>
      <c r="W268" s="1066">
        <v>268</v>
      </c>
      <c r="X268" s="777">
        <v>268</v>
      </c>
      <c r="Y268" s="777">
        <v>1</v>
      </c>
      <c r="Z268" s="777">
        <v>268</v>
      </c>
      <c r="AA268" s="777">
        <v>268</v>
      </c>
      <c r="AB268" s="777">
        <v>1</v>
      </c>
      <c r="AC268" s="777">
        <v>1</v>
      </c>
      <c r="AD268" s="1066">
        <v>1</v>
      </c>
      <c r="AE268" s="777">
        <v>1</v>
      </c>
      <c r="AF268" s="777">
        <v>1</v>
      </c>
      <c r="AG268" s="777">
        <v>1</v>
      </c>
      <c r="AH268" s="777">
        <v>1</v>
      </c>
      <c r="AI268" s="777">
        <v>268</v>
      </c>
      <c r="AJ268" s="777">
        <v>1</v>
      </c>
      <c r="AK268" s="777">
        <v>1</v>
      </c>
      <c r="AL268" s="777">
        <v>1</v>
      </c>
      <c r="AM268" s="777">
        <v>268</v>
      </c>
      <c r="AN268" s="777">
        <v>268</v>
      </c>
      <c r="AO268" s="777">
        <v>1</v>
      </c>
    </row>
    <row r="269" spans="1:41" x14ac:dyDescent="0.25">
      <c r="A269" s="1141">
        <v>268</v>
      </c>
      <c r="B269" s="804">
        <v>269</v>
      </c>
      <c r="C269" s="1066">
        <v>269</v>
      </c>
      <c r="D269" s="1066">
        <v>269</v>
      </c>
      <c r="E269" s="777">
        <v>1</v>
      </c>
      <c r="F269" s="777">
        <v>1</v>
      </c>
      <c r="G269" s="777">
        <v>269</v>
      </c>
      <c r="H269" s="777">
        <v>1</v>
      </c>
      <c r="I269" s="777">
        <v>1</v>
      </c>
      <c r="J269" s="777">
        <v>1</v>
      </c>
      <c r="K269" s="777">
        <v>1</v>
      </c>
      <c r="L269" s="777">
        <v>1</v>
      </c>
      <c r="M269" s="777">
        <v>1</v>
      </c>
      <c r="N269" s="777">
        <v>1</v>
      </c>
      <c r="O269" s="777">
        <v>1</v>
      </c>
      <c r="P269" s="777">
        <v>1</v>
      </c>
      <c r="Q269" s="777">
        <v>1</v>
      </c>
      <c r="R269" s="777">
        <v>1</v>
      </c>
      <c r="S269" s="777">
        <v>1</v>
      </c>
      <c r="T269" s="777">
        <v>1</v>
      </c>
      <c r="U269" s="777">
        <v>1</v>
      </c>
      <c r="V269" s="777">
        <v>1</v>
      </c>
      <c r="W269" s="1066">
        <v>269</v>
      </c>
      <c r="X269" s="777">
        <v>269</v>
      </c>
      <c r="Y269" s="777">
        <v>1</v>
      </c>
      <c r="Z269" s="777">
        <v>269</v>
      </c>
      <c r="AA269" s="777">
        <v>269</v>
      </c>
      <c r="AB269" s="777">
        <v>1</v>
      </c>
      <c r="AC269" s="777">
        <v>269</v>
      </c>
      <c r="AD269" s="777">
        <v>269</v>
      </c>
      <c r="AE269" s="777">
        <v>269</v>
      </c>
      <c r="AF269" s="777">
        <v>1</v>
      </c>
      <c r="AG269" s="777">
        <v>1</v>
      </c>
      <c r="AH269" s="777">
        <v>1</v>
      </c>
      <c r="AI269" s="777">
        <v>269</v>
      </c>
      <c r="AJ269" s="777">
        <v>1</v>
      </c>
      <c r="AK269" s="777">
        <v>1</v>
      </c>
      <c r="AL269" s="777">
        <v>1</v>
      </c>
      <c r="AM269" s="777">
        <v>269</v>
      </c>
      <c r="AN269" s="777">
        <v>269</v>
      </c>
      <c r="AO269" s="777">
        <v>1</v>
      </c>
    </row>
    <row r="270" spans="1:41" x14ac:dyDescent="0.25">
      <c r="A270" s="1141">
        <v>269</v>
      </c>
      <c r="B270" s="804">
        <v>270</v>
      </c>
      <c r="C270" s="1066">
        <v>270</v>
      </c>
      <c r="D270" s="777">
        <v>1</v>
      </c>
      <c r="E270" s="777">
        <v>270</v>
      </c>
      <c r="F270" s="777">
        <v>1</v>
      </c>
      <c r="G270" s="777">
        <v>1</v>
      </c>
      <c r="H270" s="777">
        <v>1</v>
      </c>
      <c r="I270" s="777">
        <v>1</v>
      </c>
      <c r="J270" s="777">
        <v>1</v>
      </c>
      <c r="K270" s="777">
        <v>1</v>
      </c>
      <c r="L270" s="777">
        <v>1</v>
      </c>
      <c r="M270" s="777">
        <v>1</v>
      </c>
      <c r="N270" s="777">
        <v>1</v>
      </c>
      <c r="O270" s="777">
        <v>1</v>
      </c>
      <c r="P270" s="777">
        <v>1</v>
      </c>
      <c r="Q270" s="777">
        <v>1</v>
      </c>
      <c r="R270" s="777">
        <v>1</v>
      </c>
      <c r="S270" s="777">
        <v>1</v>
      </c>
      <c r="T270" s="1066">
        <v>270</v>
      </c>
      <c r="U270" s="777">
        <v>1</v>
      </c>
      <c r="V270" s="777">
        <v>1</v>
      </c>
      <c r="W270" s="777">
        <v>1</v>
      </c>
      <c r="X270" s="777">
        <v>1</v>
      </c>
      <c r="Y270" s="777">
        <v>1</v>
      </c>
      <c r="Z270" s="777">
        <v>1</v>
      </c>
      <c r="AA270" s="777">
        <v>1</v>
      </c>
      <c r="AB270" s="777">
        <v>1</v>
      </c>
      <c r="AC270" s="777">
        <v>1</v>
      </c>
      <c r="AD270" s="1066">
        <v>270</v>
      </c>
      <c r="AE270" s="777">
        <v>270</v>
      </c>
      <c r="AF270" s="777">
        <v>1</v>
      </c>
      <c r="AG270" s="777">
        <v>270</v>
      </c>
      <c r="AH270" s="1066">
        <v>1</v>
      </c>
      <c r="AI270" s="777">
        <v>1</v>
      </c>
      <c r="AJ270" s="777">
        <v>1</v>
      </c>
      <c r="AK270" s="777">
        <v>1</v>
      </c>
      <c r="AL270" s="777">
        <v>1</v>
      </c>
      <c r="AM270" s="777">
        <v>270</v>
      </c>
      <c r="AN270" s="1066">
        <v>270</v>
      </c>
      <c r="AO270" s="777">
        <v>1</v>
      </c>
    </row>
    <row r="271" spans="1:41" x14ac:dyDescent="0.25">
      <c r="A271" s="1141">
        <v>270</v>
      </c>
      <c r="B271" s="804">
        <v>271</v>
      </c>
      <c r="C271" s="1066">
        <v>271</v>
      </c>
      <c r="D271" s="777">
        <v>1</v>
      </c>
      <c r="E271" s="777">
        <v>1</v>
      </c>
      <c r="F271" s="777">
        <v>1</v>
      </c>
      <c r="G271" s="1066">
        <v>271</v>
      </c>
      <c r="H271" s="777">
        <v>1</v>
      </c>
      <c r="I271" s="777">
        <v>1</v>
      </c>
      <c r="J271" s="777">
        <v>1</v>
      </c>
      <c r="K271" s="777">
        <v>1</v>
      </c>
      <c r="L271" s="777">
        <v>1</v>
      </c>
      <c r="M271" s="777">
        <v>1</v>
      </c>
      <c r="N271" s="777">
        <v>1</v>
      </c>
      <c r="O271" s="777">
        <v>1</v>
      </c>
      <c r="P271" s="777">
        <v>1</v>
      </c>
      <c r="Q271" s="777">
        <v>1</v>
      </c>
      <c r="R271" s="777">
        <v>1</v>
      </c>
      <c r="S271" s="777">
        <v>1</v>
      </c>
      <c r="T271" s="777">
        <v>1</v>
      </c>
      <c r="U271" s="777">
        <v>1</v>
      </c>
      <c r="V271" s="777">
        <v>1</v>
      </c>
      <c r="W271" s="1066">
        <v>271</v>
      </c>
      <c r="X271" s="777">
        <v>1</v>
      </c>
      <c r="Y271" s="777">
        <v>1</v>
      </c>
      <c r="Z271" s="777">
        <v>1</v>
      </c>
      <c r="AA271" s="777">
        <v>1</v>
      </c>
      <c r="AB271" s="777">
        <v>1</v>
      </c>
      <c r="AC271" s="777">
        <v>1</v>
      </c>
      <c r="AD271" s="777">
        <v>1</v>
      </c>
      <c r="AE271" s="777">
        <v>1</v>
      </c>
      <c r="AF271" s="777">
        <v>1</v>
      </c>
      <c r="AG271" s="777">
        <v>1</v>
      </c>
      <c r="AH271" s="1066">
        <v>1</v>
      </c>
      <c r="AI271" s="777">
        <v>1</v>
      </c>
      <c r="AJ271" s="777">
        <v>1</v>
      </c>
      <c r="AK271" s="777">
        <v>1</v>
      </c>
      <c r="AL271" s="777">
        <v>1</v>
      </c>
      <c r="AM271" s="777">
        <v>1</v>
      </c>
      <c r="AN271" s="1066">
        <v>271</v>
      </c>
      <c r="AO271" s="777">
        <v>1</v>
      </c>
    </row>
    <row r="272" spans="1:41" x14ac:dyDescent="0.25">
      <c r="A272" s="1141">
        <v>271</v>
      </c>
      <c r="B272" s="804">
        <v>272</v>
      </c>
      <c r="C272" s="1066">
        <v>272</v>
      </c>
      <c r="D272" s="777">
        <v>1</v>
      </c>
      <c r="E272" s="777">
        <v>1</v>
      </c>
      <c r="F272" s="777">
        <v>1</v>
      </c>
      <c r="G272" s="1066">
        <v>272</v>
      </c>
      <c r="H272" s="777">
        <v>1</v>
      </c>
      <c r="I272" s="777">
        <v>1</v>
      </c>
      <c r="J272" s="1066">
        <v>272</v>
      </c>
      <c r="K272" s="1066">
        <v>1</v>
      </c>
      <c r="L272" s="777">
        <v>1</v>
      </c>
      <c r="M272" s="777">
        <v>1</v>
      </c>
      <c r="N272" s="777">
        <v>1</v>
      </c>
      <c r="O272" s="777">
        <v>1</v>
      </c>
      <c r="P272" s="777">
        <v>1</v>
      </c>
      <c r="Q272" s="777">
        <v>1</v>
      </c>
      <c r="R272" s="777">
        <v>1</v>
      </c>
      <c r="S272" s="777">
        <v>1</v>
      </c>
      <c r="T272" s="777">
        <v>1</v>
      </c>
      <c r="U272" s="777">
        <v>1</v>
      </c>
      <c r="V272" s="777">
        <v>1</v>
      </c>
      <c r="W272" s="1066">
        <v>272</v>
      </c>
      <c r="X272" s="777">
        <v>1</v>
      </c>
      <c r="Y272" s="777">
        <v>1</v>
      </c>
      <c r="Z272" s="1066">
        <v>1</v>
      </c>
      <c r="AA272" s="777">
        <v>1</v>
      </c>
      <c r="AB272" s="777">
        <v>1</v>
      </c>
      <c r="AC272" s="777">
        <v>1</v>
      </c>
      <c r="AD272" s="777">
        <v>1</v>
      </c>
      <c r="AE272" s="777">
        <v>1</v>
      </c>
      <c r="AF272" s="777">
        <v>1</v>
      </c>
      <c r="AG272" s="777">
        <v>1</v>
      </c>
      <c r="AH272" s="777">
        <v>1</v>
      </c>
      <c r="AI272" s="777">
        <v>1</v>
      </c>
      <c r="AJ272" s="777">
        <v>1</v>
      </c>
      <c r="AK272" s="777">
        <v>1</v>
      </c>
      <c r="AL272" s="777">
        <v>1</v>
      </c>
      <c r="AM272" s="777">
        <v>1</v>
      </c>
      <c r="AN272" s="777">
        <v>1</v>
      </c>
      <c r="AO272" s="777">
        <v>1</v>
      </c>
    </row>
    <row r="273" spans="1:41" x14ac:dyDescent="0.25">
      <c r="A273" s="1141">
        <v>272</v>
      </c>
      <c r="B273" s="804">
        <v>273</v>
      </c>
      <c r="C273" s="1066">
        <v>273</v>
      </c>
      <c r="D273" s="777">
        <v>1</v>
      </c>
      <c r="E273" s="777">
        <v>1</v>
      </c>
      <c r="F273" s="777">
        <v>1</v>
      </c>
      <c r="G273" s="1066">
        <v>273</v>
      </c>
      <c r="H273" s="777">
        <v>1</v>
      </c>
      <c r="I273" s="777">
        <v>1</v>
      </c>
      <c r="J273" s="777">
        <v>1</v>
      </c>
      <c r="K273" s="777">
        <v>1</v>
      </c>
      <c r="L273" s="777">
        <v>1</v>
      </c>
      <c r="M273" s="777">
        <v>1</v>
      </c>
      <c r="N273" s="777">
        <v>1</v>
      </c>
      <c r="O273" s="777">
        <v>1</v>
      </c>
      <c r="P273" s="777">
        <v>1</v>
      </c>
      <c r="Q273" s="777">
        <v>1</v>
      </c>
      <c r="R273" s="777">
        <v>1</v>
      </c>
      <c r="S273" s="777">
        <v>1</v>
      </c>
      <c r="T273" s="777">
        <v>1</v>
      </c>
      <c r="U273" s="777">
        <v>1</v>
      </c>
      <c r="V273" s="777">
        <v>1</v>
      </c>
      <c r="W273" s="1066">
        <v>273</v>
      </c>
      <c r="X273" s="777">
        <v>1</v>
      </c>
      <c r="Y273" s="777">
        <v>1</v>
      </c>
      <c r="Z273" s="777">
        <v>273</v>
      </c>
      <c r="AA273" s="777">
        <v>1</v>
      </c>
      <c r="AB273" s="777">
        <v>1</v>
      </c>
      <c r="AC273" s="777">
        <v>1</v>
      </c>
      <c r="AD273" s="777">
        <v>1</v>
      </c>
      <c r="AE273" s="777">
        <v>1</v>
      </c>
      <c r="AF273" s="777">
        <v>1</v>
      </c>
      <c r="AG273" s="777">
        <v>1</v>
      </c>
      <c r="AH273" s="777">
        <v>1</v>
      </c>
      <c r="AI273" s="777">
        <v>1</v>
      </c>
      <c r="AJ273" s="1066">
        <v>273</v>
      </c>
      <c r="AK273" s="777">
        <v>273</v>
      </c>
      <c r="AL273" s="777">
        <v>1</v>
      </c>
      <c r="AM273" s="777">
        <v>1</v>
      </c>
      <c r="AN273" s="777">
        <v>1</v>
      </c>
      <c r="AO273" s="777">
        <v>1</v>
      </c>
    </row>
    <row r="274" spans="1:41" x14ac:dyDescent="0.25">
      <c r="A274" s="1141">
        <v>273</v>
      </c>
      <c r="B274" s="804">
        <v>274</v>
      </c>
      <c r="C274" s="1066">
        <v>274</v>
      </c>
      <c r="D274" s="777">
        <v>1</v>
      </c>
      <c r="E274" s="777">
        <v>1</v>
      </c>
      <c r="F274" s="777">
        <v>274</v>
      </c>
      <c r="G274" s="1066">
        <v>274</v>
      </c>
      <c r="H274" s="777">
        <v>1</v>
      </c>
      <c r="I274" s="777">
        <v>1</v>
      </c>
      <c r="J274" s="777">
        <v>1</v>
      </c>
      <c r="K274" s="777">
        <v>1</v>
      </c>
      <c r="L274" s="777">
        <v>1</v>
      </c>
      <c r="M274" s="777">
        <v>1</v>
      </c>
      <c r="N274" s="777">
        <v>1</v>
      </c>
      <c r="O274" s="777">
        <v>1</v>
      </c>
      <c r="P274" s="777">
        <v>1</v>
      </c>
      <c r="Q274" s="777">
        <v>274</v>
      </c>
      <c r="R274" s="777">
        <v>274</v>
      </c>
      <c r="S274" s="1066">
        <v>1</v>
      </c>
      <c r="T274" s="777">
        <v>1</v>
      </c>
      <c r="U274" s="777">
        <v>1</v>
      </c>
      <c r="V274" s="777">
        <v>274</v>
      </c>
      <c r="W274" s="1066">
        <v>274</v>
      </c>
      <c r="X274" s="777">
        <v>1</v>
      </c>
      <c r="Y274" s="777">
        <v>1</v>
      </c>
      <c r="Z274" s="777">
        <v>1</v>
      </c>
      <c r="AA274" s="777">
        <v>1</v>
      </c>
      <c r="AB274" s="777">
        <v>1</v>
      </c>
      <c r="AC274" s="777">
        <v>1</v>
      </c>
      <c r="AD274" s="777">
        <v>1</v>
      </c>
      <c r="AE274" s="777">
        <v>1</v>
      </c>
      <c r="AF274" s="777">
        <v>1</v>
      </c>
      <c r="AG274" s="777">
        <v>1</v>
      </c>
      <c r="AH274" s="777">
        <v>1</v>
      </c>
      <c r="AI274" s="1066">
        <v>274</v>
      </c>
      <c r="AJ274" s="777">
        <v>1</v>
      </c>
      <c r="AK274" s="777">
        <v>1</v>
      </c>
      <c r="AL274" s="777">
        <v>1</v>
      </c>
      <c r="AM274" s="777">
        <v>274</v>
      </c>
      <c r="AN274" s="1066">
        <v>274</v>
      </c>
      <c r="AO274" s="777">
        <v>1</v>
      </c>
    </row>
  </sheetData>
  <phoneticPr fontId="58" type="noConversion"/>
  <conditionalFormatting sqref="B1 B275:B1048576">
    <cfRule type="cellIs" dxfId="2225" priority="4067" operator="greaterThan">
      <formula>2</formula>
    </cfRule>
  </conditionalFormatting>
  <conditionalFormatting sqref="M12:T12 M22:T26 M15:T16 M2:T3 AJ2:AJ10 AJ14:AJ16 AJ12 AJ22:AJ26 AL23:AO23 AL275:AO1048576 AL12:AN12 AL22:AN22 AL16:AO16 AL1:AO2 AL5:AO7 AL3:AN4 AL9:AO10 AL8:AN8 AL14:AN15 AL25:AO26 AL24:AN24 M5:T10 N4:T4 N14:T14 M51:M52 M7:M13 M15:M49 M54:M63 M65:M82 M84:M85 M87:M94 M96:M97 M99:M116 AI275:AJ1048576 AI1:AJ1 M119:M220 C275:AF1048576 C1:AF1">
    <cfRule type="cellIs" dxfId="2224" priority="4066" operator="greaterThan">
      <formula>1</formula>
    </cfRule>
  </conditionalFormatting>
  <conditionalFormatting sqref="M11:T11 AJ11 AL11:AO11">
    <cfRule type="cellIs" dxfId="2223" priority="4064" operator="greaterThan">
      <formula>1</formula>
    </cfRule>
  </conditionalFormatting>
  <conditionalFormatting sqref="M17:T19 M21:T21 AJ21 AJ17:AJ19 AL17:AO17 AL21:AN21 AL18:AN19">
    <cfRule type="cellIs" dxfId="2222" priority="4062" operator="greaterThan">
      <formula>1</formula>
    </cfRule>
  </conditionalFormatting>
  <conditionalFormatting sqref="AO21">
    <cfRule type="cellIs" dxfId="2221" priority="4061" operator="greaterThan">
      <formula>1</formula>
    </cfRule>
  </conditionalFormatting>
  <conditionalFormatting sqref="AO22">
    <cfRule type="cellIs" dxfId="2220" priority="4060" operator="greaterThan">
      <formula>1</formula>
    </cfRule>
  </conditionalFormatting>
  <conditionalFormatting sqref="M13:T13 AJ13 AL13:AO13">
    <cfRule type="cellIs" dxfId="2219" priority="4058" operator="greaterThan">
      <formula>1</formula>
    </cfRule>
  </conditionalFormatting>
  <conditionalFormatting sqref="M20:T20 AJ20 AL20:AN20">
    <cfRule type="cellIs" dxfId="2218" priority="4056" operator="greaterThan">
      <formula>1</formula>
    </cfRule>
  </conditionalFormatting>
  <conditionalFormatting sqref="AO20">
    <cfRule type="cellIs" dxfId="2217" priority="4055" operator="greaterThan">
      <formula>1</formula>
    </cfRule>
  </conditionalFormatting>
  <conditionalFormatting sqref="B3:B26">
    <cfRule type="cellIs" dxfId="2216" priority="4048" operator="greaterThan">
      <formula>2</formula>
    </cfRule>
  </conditionalFormatting>
  <conditionalFormatting sqref="B2">
    <cfRule type="cellIs" dxfId="2215" priority="4039" operator="greaterThan">
      <formula>1</formula>
    </cfRule>
  </conditionalFormatting>
  <conditionalFormatting sqref="Y2:Y10 Y12 Y14:Y16 Y22:Y26 AB14:AB16 AB12 AB2:AB10 AE12 AE15 AE2:AE3 AB22:AB26 AE22:AE26 AE8 AE5">
    <cfRule type="cellIs" dxfId="2214" priority="3867" operator="greaterThan">
      <formula>1</formula>
    </cfRule>
  </conditionalFormatting>
  <conditionalFormatting sqref="Y11 AB11 AE11">
    <cfRule type="cellIs" dxfId="2213" priority="3866" operator="greaterThan">
      <formula>1</formula>
    </cfRule>
  </conditionalFormatting>
  <conditionalFormatting sqref="Y17:Y19 Y21 AB21 AB17:AB19 AE17:AE19 AE21">
    <cfRule type="cellIs" dxfId="2212" priority="3865" operator="greaterThan">
      <formula>1</formula>
    </cfRule>
  </conditionalFormatting>
  <conditionalFormatting sqref="Y13 AB13 AE13">
    <cfRule type="cellIs" dxfId="2211" priority="3864" operator="greaterThan">
      <formula>1</formula>
    </cfRule>
  </conditionalFormatting>
  <conditionalFormatting sqref="Y20 AB20 AE20">
    <cfRule type="cellIs" dxfId="2210" priority="3863" operator="greaterThan">
      <formula>1</formula>
    </cfRule>
  </conditionalFormatting>
  <conditionalFormatting sqref="C7:D7 D9 C3:C6 C10 E10 C17:D17 C15:C16 C20:D20 C18:C19 C25:E26 C21:C24 C11:D12 C13:E14">
    <cfRule type="cellIs" dxfId="2209" priority="3804" operator="greaterThan">
      <formula>2</formula>
    </cfRule>
  </conditionalFormatting>
  <conditionalFormatting sqref="C2 F2">
    <cfRule type="cellIs" dxfId="2208" priority="3803" operator="greaterThan">
      <formula>1</formula>
    </cfRule>
  </conditionalFormatting>
  <conditionalFormatting sqref="H25">
    <cfRule type="cellIs" dxfId="2207" priority="3800" operator="greaterThan">
      <formula>2</formula>
    </cfRule>
  </conditionalFormatting>
  <conditionalFormatting sqref="L24">
    <cfRule type="cellIs" dxfId="2206" priority="3796" operator="greaterThan">
      <formula>2</formula>
    </cfRule>
  </conditionalFormatting>
  <conditionalFormatting sqref="X179">
    <cfRule type="cellIs" dxfId="2205" priority="2566" operator="greaterThan">
      <formula>1</formula>
    </cfRule>
  </conditionalFormatting>
  <conditionalFormatting sqref="AA17">
    <cfRule type="cellIs" dxfId="2204" priority="3529" operator="greaterThan">
      <formula>1</formula>
    </cfRule>
  </conditionalFormatting>
  <conditionalFormatting sqref="AF99:AF100">
    <cfRule type="cellIs" dxfId="2203" priority="2647" operator="greaterThan">
      <formula>1</formula>
    </cfRule>
  </conditionalFormatting>
  <conditionalFormatting sqref="Z137:Z140 Z142:Z157">
    <cfRule type="cellIs" dxfId="2202" priority="2531" operator="greaterThan">
      <formula>1</formula>
    </cfRule>
  </conditionalFormatting>
  <conditionalFormatting sqref="U2:U7">
    <cfRule type="cellIs" dxfId="2201" priority="3692" operator="greaterThan">
      <formula>1</formula>
    </cfRule>
  </conditionalFormatting>
  <conditionalFormatting sqref="AF26">
    <cfRule type="cellIs" dxfId="2200" priority="3770" operator="greaterThan">
      <formula>2</formula>
    </cfRule>
  </conditionalFormatting>
  <conditionalFormatting sqref="V2:V26">
    <cfRule type="cellIs" dxfId="2199" priority="3760" operator="greaterThan">
      <formula>1</formula>
    </cfRule>
  </conditionalFormatting>
  <conditionalFormatting sqref="U32:U45">
    <cfRule type="cellIs" dxfId="2198" priority="2625" operator="greaterThan">
      <formula>1</formula>
    </cfRule>
  </conditionalFormatting>
  <conditionalFormatting sqref="U42:U45 U47:U52">
    <cfRule type="cellIs" dxfId="2197" priority="2624" operator="greaterThan">
      <formula>1</formula>
    </cfRule>
  </conditionalFormatting>
  <conditionalFormatting sqref="U56">
    <cfRule type="cellIs" dxfId="2196" priority="2622" operator="greaterThan">
      <formula>1</formula>
    </cfRule>
  </conditionalFormatting>
  <conditionalFormatting sqref="U57">
    <cfRule type="cellIs" dxfId="2195" priority="2621" operator="greaterThan">
      <formula>1</formula>
    </cfRule>
  </conditionalFormatting>
  <conditionalFormatting sqref="U59:U62 U64:U70">
    <cfRule type="cellIs" dxfId="2194" priority="2620" operator="greaterThan">
      <formula>1</formula>
    </cfRule>
  </conditionalFormatting>
  <conditionalFormatting sqref="U70">
    <cfRule type="cellIs" dxfId="2193" priority="2619" operator="greaterThan">
      <formula>1</formula>
    </cfRule>
  </conditionalFormatting>
  <conditionalFormatting sqref="U116">
    <cfRule type="cellIs" dxfId="2192" priority="2616" operator="greaterThan">
      <formula>1</formula>
    </cfRule>
  </conditionalFormatting>
  <conditionalFormatting sqref="U151:U154 U156:U177">
    <cfRule type="cellIs" dxfId="2191" priority="2614" operator="greaterThan">
      <formula>1</formula>
    </cfRule>
  </conditionalFormatting>
  <conditionalFormatting sqref="AF6:AF7">
    <cfRule type="cellIs" dxfId="2190" priority="3743" operator="greaterThan">
      <formula>1</formula>
    </cfRule>
  </conditionalFormatting>
  <conditionalFormatting sqref="AF9:AF11">
    <cfRule type="cellIs" dxfId="2189" priority="3742" operator="greaterThan">
      <formula>1</formula>
    </cfRule>
  </conditionalFormatting>
  <conditionalFormatting sqref="AF13">
    <cfRule type="cellIs" dxfId="2188" priority="3741" operator="greaterThan">
      <formula>1</formula>
    </cfRule>
  </conditionalFormatting>
  <conditionalFormatting sqref="AF16:AF17">
    <cfRule type="cellIs" dxfId="2187" priority="3740" operator="greaterThan">
      <formula>1</formula>
    </cfRule>
  </conditionalFormatting>
  <conditionalFormatting sqref="AF23">
    <cfRule type="cellIs" dxfId="2186" priority="3739" operator="greaterThan">
      <formula>1</formula>
    </cfRule>
  </conditionalFormatting>
  <conditionalFormatting sqref="AF24:AF25">
    <cfRule type="cellIs" dxfId="2185" priority="3738" operator="greaterThan">
      <formula>1</formula>
    </cfRule>
  </conditionalFormatting>
  <conditionalFormatting sqref="X204:X205">
    <cfRule type="cellIs" dxfId="2184" priority="2562" operator="greaterThan">
      <formula>1</formula>
    </cfRule>
  </conditionalFormatting>
  <conditionalFormatting sqref="W60:W61">
    <cfRule type="cellIs" dxfId="2183" priority="2604" operator="greaterThan">
      <formula>1</formula>
    </cfRule>
  </conditionalFormatting>
  <conditionalFormatting sqref="X106">
    <cfRule type="cellIs" dxfId="2182" priority="2570" operator="greaterThan">
      <formula>1</formula>
    </cfRule>
  </conditionalFormatting>
  <conditionalFormatting sqref="W77">
    <cfRule type="cellIs" dxfId="2181" priority="2602" operator="greaterThan">
      <formula>1</formula>
    </cfRule>
  </conditionalFormatting>
  <conditionalFormatting sqref="W82">
    <cfRule type="cellIs" dxfId="2180" priority="2601" operator="greaterThan">
      <formula>1</formula>
    </cfRule>
  </conditionalFormatting>
  <conditionalFormatting sqref="W93:W96">
    <cfRule type="cellIs" dxfId="2179" priority="2598" operator="greaterThan">
      <formula>1</formula>
    </cfRule>
  </conditionalFormatting>
  <conditionalFormatting sqref="W104">
    <cfRule type="cellIs" dxfId="2178" priority="2596" operator="greaterThan">
      <formula>1</formula>
    </cfRule>
  </conditionalFormatting>
  <conditionalFormatting sqref="W149:W150">
    <cfRule type="cellIs" dxfId="2177" priority="2590" operator="greaterThan">
      <formula>1</formula>
    </cfRule>
  </conditionalFormatting>
  <conditionalFormatting sqref="W154:W155 W158:W165">
    <cfRule type="cellIs" dxfId="2176" priority="2589" operator="greaterThan">
      <formula>1</formula>
    </cfRule>
  </conditionalFormatting>
  <conditionalFormatting sqref="W172:W175">
    <cfRule type="cellIs" dxfId="2175" priority="2588" operator="greaterThan">
      <formula>1</formula>
    </cfRule>
  </conditionalFormatting>
  <conditionalFormatting sqref="W181 W184">
    <cfRule type="cellIs" dxfId="2174" priority="2586" operator="greaterThan">
      <formula>1</formula>
    </cfRule>
  </conditionalFormatting>
  <conditionalFormatting sqref="W186:W188">
    <cfRule type="cellIs" dxfId="2173" priority="2585" operator="greaterThan">
      <formula>1</formula>
    </cfRule>
  </conditionalFormatting>
  <conditionalFormatting sqref="W199">
    <cfRule type="cellIs" dxfId="2172" priority="2584" operator="greaterThan">
      <formula>1</formula>
    </cfRule>
  </conditionalFormatting>
  <conditionalFormatting sqref="W204">
    <cfRule type="cellIs" dxfId="2171" priority="2583" operator="greaterThan">
      <formula>1</formula>
    </cfRule>
  </conditionalFormatting>
  <conditionalFormatting sqref="W216:W219">
    <cfRule type="cellIs" dxfId="2170" priority="2580" operator="greaterThan">
      <formula>1</formula>
    </cfRule>
  </conditionalFormatting>
  <conditionalFormatting sqref="X99">
    <cfRule type="cellIs" dxfId="2169" priority="2571" operator="greaterThan">
      <formula>1</formula>
    </cfRule>
  </conditionalFormatting>
  <conditionalFormatting sqref="X181 X184">
    <cfRule type="cellIs" dxfId="2168" priority="2565" operator="greaterThan">
      <formula>1</formula>
    </cfRule>
  </conditionalFormatting>
  <conditionalFormatting sqref="X128">
    <cfRule type="cellIs" dxfId="2167" priority="2567" operator="greaterThan">
      <formula>1</formula>
    </cfRule>
  </conditionalFormatting>
  <conditionalFormatting sqref="U10:U13">
    <cfRule type="cellIs" dxfId="2166" priority="3691" operator="greaterThan">
      <formula>1</formula>
    </cfRule>
  </conditionalFormatting>
  <conditionalFormatting sqref="U15:U26">
    <cfRule type="cellIs" dxfId="2165" priority="3690" operator="greaterThan">
      <formula>1</formula>
    </cfRule>
  </conditionalFormatting>
  <conditionalFormatting sqref="X107">
    <cfRule type="cellIs" dxfId="2164" priority="2554" operator="greaterThan">
      <formula>1</formula>
    </cfRule>
  </conditionalFormatting>
  <conditionalFormatting sqref="X112">
    <cfRule type="cellIs" dxfId="2163" priority="2553" operator="greaterThan">
      <formula>1</formula>
    </cfRule>
  </conditionalFormatting>
  <conditionalFormatting sqref="X116 X119:X131">
    <cfRule type="cellIs" dxfId="2162" priority="2552" operator="greaterThan">
      <formula>1</formula>
    </cfRule>
  </conditionalFormatting>
  <conditionalFormatting sqref="X180">
    <cfRule type="cellIs" dxfId="2161" priority="2550" operator="greaterThan">
      <formula>1</formula>
    </cfRule>
  </conditionalFormatting>
  <conditionalFormatting sqref="X185">
    <cfRule type="cellIs" dxfId="2160" priority="2549" operator="greaterThan">
      <formula>1</formula>
    </cfRule>
  </conditionalFormatting>
  <conditionalFormatting sqref="X189:X201">
    <cfRule type="cellIs" dxfId="2159" priority="2548" operator="greaterThan">
      <formula>1</formula>
    </cfRule>
  </conditionalFormatting>
  <conditionalFormatting sqref="X200">
    <cfRule type="cellIs" dxfId="2158" priority="2547" operator="greaterThan">
      <formula>1</formula>
    </cfRule>
  </conditionalFormatting>
  <conditionalFormatting sqref="W6:W7">
    <cfRule type="cellIs" dxfId="2157" priority="3673" operator="greaterThan">
      <formula>1</formula>
    </cfRule>
  </conditionalFormatting>
  <conditionalFormatting sqref="W9:W11">
    <cfRule type="cellIs" dxfId="2156" priority="3672" operator="greaterThan">
      <formula>1</formula>
    </cfRule>
  </conditionalFormatting>
  <conditionalFormatting sqref="W13">
    <cfRule type="cellIs" dxfId="2155" priority="3671" operator="greaterThan">
      <formula>1</formula>
    </cfRule>
  </conditionalFormatting>
  <conditionalFormatting sqref="W16:W17">
    <cfRule type="cellIs" dxfId="2154" priority="3670" operator="greaterThan">
      <formula>1</formula>
    </cfRule>
  </conditionalFormatting>
  <conditionalFormatting sqref="W25">
    <cfRule type="cellIs" dxfId="2153" priority="3668" operator="greaterThan">
      <formula>1</formula>
    </cfRule>
  </conditionalFormatting>
  <conditionalFormatting sqref="Z101:Z104 Z106:Z114">
    <cfRule type="cellIs" dxfId="2152" priority="2535" operator="greaterThan">
      <formula>1</formula>
    </cfRule>
  </conditionalFormatting>
  <conditionalFormatting sqref="Z112:Z114 Z119:Z124">
    <cfRule type="cellIs" dxfId="2151" priority="2534" operator="greaterThan">
      <formula>1</formula>
    </cfRule>
  </conditionalFormatting>
  <conditionalFormatting sqref="Z128:Z130 Z133:Z140">
    <cfRule type="cellIs" dxfId="2150" priority="2532" operator="greaterThan">
      <formula>1</formula>
    </cfRule>
  </conditionalFormatting>
  <conditionalFormatting sqref="Z154">
    <cfRule type="cellIs" dxfId="2149" priority="2530" operator="greaterThan">
      <formula>1</formula>
    </cfRule>
  </conditionalFormatting>
  <conditionalFormatting sqref="Z157 Z159 Z162:Z168 Z170:Z187">
    <cfRule type="cellIs" dxfId="2148" priority="2529" operator="greaterThan">
      <formula>1</formula>
    </cfRule>
  </conditionalFormatting>
  <conditionalFormatting sqref="Z192 Z195">
    <cfRule type="cellIs" dxfId="2147" priority="2526" operator="greaterThan">
      <formula>1</formula>
    </cfRule>
  </conditionalFormatting>
  <conditionalFormatting sqref="Z203:Z206 Z208:Z220">
    <cfRule type="cellIs" dxfId="2146" priority="2524" operator="greaterThan">
      <formula>1</formula>
    </cfRule>
  </conditionalFormatting>
  <conditionalFormatting sqref="AA62:AA64 AA66:AA76">
    <cfRule type="cellIs" dxfId="2145" priority="2518" operator="greaterThan">
      <formula>1</formula>
    </cfRule>
  </conditionalFormatting>
  <conditionalFormatting sqref="AA74:AA75">
    <cfRule type="cellIs" dxfId="2144" priority="2517" operator="greaterThan">
      <formula>1</formula>
    </cfRule>
  </conditionalFormatting>
  <conditionalFormatting sqref="AA84:AA86">
    <cfRule type="cellIs" dxfId="2143" priority="2516" operator="greaterThan">
      <formula>1</formula>
    </cfRule>
  </conditionalFormatting>
  <conditionalFormatting sqref="AA101:AA103 AA105">
    <cfRule type="cellIs" dxfId="2142" priority="2514" operator="greaterThan">
      <formula>1</formula>
    </cfRule>
  </conditionalFormatting>
  <conditionalFormatting sqref="AA108:AA110">
    <cfRule type="cellIs" dxfId="2141" priority="2513" operator="greaterThan">
      <formula>1</formula>
    </cfRule>
  </conditionalFormatting>
  <conditionalFormatting sqref="AA113:AA115 AA119:AA132">
    <cfRule type="cellIs" dxfId="2140" priority="2512" operator="greaterThan">
      <formula>1</formula>
    </cfRule>
  </conditionalFormatting>
  <conditionalFormatting sqref="AA137:AA139 AA141:AA151">
    <cfRule type="cellIs" dxfId="2139" priority="2511" operator="greaterThan">
      <formula>1</formula>
    </cfRule>
  </conditionalFormatting>
  <conditionalFormatting sqref="AK1:AK10 AK14:AK16 AK12 AK22:AK26 AK275:AK1048576">
    <cfRule type="cellIs" dxfId="2138" priority="2724" operator="greaterThan">
      <formula>1</formula>
    </cfRule>
  </conditionalFormatting>
  <conditionalFormatting sqref="AK11">
    <cfRule type="cellIs" dxfId="2137" priority="2723" operator="greaterThan">
      <formula>1</formula>
    </cfRule>
  </conditionalFormatting>
  <conditionalFormatting sqref="AK21 AK17:AK19">
    <cfRule type="cellIs" dxfId="2136" priority="2722" operator="greaterThan">
      <formula>1</formula>
    </cfRule>
  </conditionalFormatting>
  <conditionalFormatting sqref="AK13">
    <cfRule type="cellIs" dxfId="2135" priority="2721" operator="greaterThan">
      <formula>1</formula>
    </cfRule>
  </conditionalFormatting>
  <conditionalFormatting sqref="AK20">
    <cfRule type="cellIs" dxfId="2134" priority="2720" operator="greaterThan">
      <formula>1</formula>
    </cfRule>
  </conditionalFormatting>
  <conditionalFormatting sqref="X6:X7">
    <cfRule type="cellIs" dxfId="2133" priority="3625" operator="greaterThan">
      <formula>1</formula>
    </cfRule>
  </conditionalFormatting>
  <conditionalFormatting sqref="X9:X11">
    <cfRule type="cellIs" dxfId="2132" priority="3624" operator="greaterThan">
      <formula>1</formula>
    </cfRule>
  </conditionalFormatting>
  <conditionalFormatting sqref="AA132">
    <cfRule type="cellIs" dxfId="2131" priority="2484" operator="greaterThan">
      <formula>1</formula>
    </cfRule>
  </conditionalFormatting>
  <conditionalFormatting sqref="AA148:AA151 AA153:AA158">
    <cfRule type="cellIs" dxfId="2130" priority="2482" operator="greaterThan">
      <formula>1</formula>
    </cfRule>
  </conditionalFormatting>
  <conditionalFormatting sqref="AA155">
    <cfRule type="cellIs" dxfId="2129" priority="2481" operator="greaterThan">
      <formula>1</formula>
    </cfRule>
  </conditionalFormatting>
  <conditionalFormatting sqref="M32:T32 M245:AF245 AJ32:AJ38 M27:M31 M43:T45 M33:S33 M101:T101 M103:T103 M102:N102 M246:Q246 X246:AC246 AF246 AJ246 AL33:AO33 AL245:AO246 AJ41:AJ45 AJ60:AJ84 AJ47:AJ50 AJ96:AJ109 AJ111:AJ113 AJ115:AJ116 AJ122:AJ141 AJ152:AJ184 AJ186:AJ212 AJ214 AJ219:AJ220 M34:P34 R34:T34 M35:N37 P35:T37 M38:O38 Q38:T38 M39:Q39 S39:T39 M40:S40 M41:N42 P41:T42 M47:T49 M46:N46 P46:T46 M51:T51 N50:P50 R50:S50 M59:T59 M65:T67 N64 P64:S64 M63:T63 M61:N62 P61:T62 M69:T69 M68:O68 Q68:T68 M71:T77 M70 O70:T70 M79:T82 M78:N78 P78:S78 M87:T88 M85:N85 P85:T85 M90:T91 M89:O89 Q89:T89 M84 O84:S84 M92:R92 T92 M93:N94 P93:S94 O98:S98 M100:N100 P99:T100 M96:M97 Q102:S102 M112:T112 P104:S104 P105:T106 S107:T107 P107:Q107 M104:N108 P108:T108 M109 O109 M110:O110 Q109:S110 M111:S111 M114:T114 M113:Q113 S113:T113 M116:T116 M115:P115 R115:T115 M119:T122 M128:T136 M126:O126 Q126:T126 M124:T125 M123:P123 R123:T123 M127:P127 R127:T127 M138:T153 M137:N137 P137:T137 M155:T164 M154:Q154 S154:T154 M170:T170 M165:N168 P165:T168 M175:T183 P171:Q171 S171:T171 M171:N172 P172:T172 M173:O174 Q173:T174 M185:T185 M184:N184 P184:T184 M188:T188 M186:N186 P186:T186 M190:T190 M189:N189 Q189:T189 M187:O187 Q187:T187 M193:T197 M191:M192 M201:T201 M198:S198 M199 O199:T199 M200:N200 Q200:T200 M204:T204 M202:N202 Q202:T202 M203:S203 M206:T207 M205:R205 T205 M209:T210 M208:S208 M213:T218 M211:R212 T211:T212 M220:T220 M219 O219:S219 S246:V246 O191:S192 O96:O97 Q97:S97 Q95:T96 AJ86:AJ94 M169:S169 Q56:T56 AL57:AO59 AL56 AN56:AO56 AL201:AO201 AL200 AN200:AO200 M56:N57 P57:T57 M58:S58 M60:S60 AL62:AO64 AL60:AM60 AO60 AL203:AO205 AM202:AO202 AL187:AO189 AM186:AO186 AL177:AO181 AM176:AO176 AL151:AO151 AM150:AO150 AL122:AO130 AM119:AO119 AL115:AO115 AL113 AL110:AO110 AM109:AO109 AL80:AO83 AM78:AO78 AM61:AO61 AL54:AO55 AL41:AO43 AM40:AO40 AL46:AO46 AM45:AO45 AL32 AN27:AO32 AL35:AO37 AL34 AN34:AO34 AL39:AO39 AL38 AN38:AO38 AL44 AN44:AO44 AL51 AN51:AO53 AL66:AO68 AL65 AN65:AO65 AL71:AO71 AL69:AL70 AN69:AO70 AL73:AO74 AL72 AN72:AO72 AL76:AO77 AL75 AN75:AO75 AL79 AN79:AO79 AL96:AO101 AL95 AN95 AL103:AN103 AL102 AN102:AO102 AL105:AO107 AL104 AN104:AO104 AL108 AN108:AO108 AN111:AO111 AL116 AN116:AO116 AL136:AO144 AL131:AL135 AN131:AO135 AL146:AO148 AL145 AN145:AO145 AL149 AN149:AO149 AL170:AO172 AL158:AL169 AN158:AO169 AL191:AO199 AL190 AN190 AL208:AN208 AL207 AN207:AO207 AL213:AO213 AL212 AL220:AO220 AL214:AL218 AL50:AN50 AL47:AM49 AO47:AO49 AL86:AO94 AL85:AM85 AO85 AL120:AM121 AO120:AO121 AL173:AM175 AO173:AO175 AL206:AM206 AL209:AM211 AO209:AO212 AL219:AM219 AO214:AO219 AL84:AN84 AN114:AO114 AN112:AN113 AL183:AO185 AL182:AN182 M52:S52 AJ143:AJ150 N83:T83 N86:T86 N95 M99 AL153:AO157 AL152 AN152:AO152 AI245:AJ245 AJ119:AJ120 AO206:AO207">
    <cfRule type="cellIs" dxfId="2128" priority="2696" operator="greaterThan">
      <formula>1</formula>
    </cfRule>
  </conditionalFormatting>
  <conditionalFormatting sqref="Y245:Y246 AB245:AB246 AE245 Y33:Y53 AE32:AE50 AB32 Y85:Y94 Y96:Y111 Y113:Y116 Y131:Y154 Y156:Y220 Y56:Y57 AB56:AB116 AE56 AE58:AE64 Y59:Y83 AB155:AB220 AB119:AB143 AB34:AB54 AE95 AE92 AE103 AE106:AE107 AE109:AE110 AE112:AE113 AE119:AE121 AE123:AE124 AE126:AE131 AE137:AE139 AE142:AE143 AE146:AE147 AE149 AE155:AE156 AE165:AE174 AE176:AE187 AE190 AE195 AE197:AE201 AE209 AE211:AE219 AE66:AE70 AE72:AE80 AE82 AE84:AE86 AE88:AE89 Y119:Y127">
    <cfRule type="cellIs" dxfId="2127" priority="2693" operator="greaterThan">
      <formula>1</formula>
    </cfRule>
  </conditionalFormatting>
  <conditionalFormatting sqref="X2:X5">
    <cfRule type="cellIs" dxfId="2126" priority="3608" operator="greaterThan">
      <formula>1</formula>
    </cfRule>
  </conditionalFormatting>
  <conditionalFormatting sqref="X8">
    <cfRule type="cellIs" dxfId="2125" priority="3607" operator="greaterThan">
      <formula>1</formula>
    </cfRule>
  </conditionalFormatting>
  <conditionalFormatting sqref="X12:X26">
    <cfRule type="cellIs" dxfId="2124" priority="3606" operator="greaterThan">
      <formula>1</formula>
    </cfRule>
  </conditionalFormatting>
  <conditionalFormatting sqref="Y36:Y37">
    <cfRule type="cellIs" dxfId="2123" priority="2685" operator="greaterThan">
      <formula>1</formula>
    </cfRule>
  </conditionalFormatting>
  <conditionalFormatting sqref="AB36:AB37">
    <cfRule type="cellIs" dxfId="2122" priority="2684" operator="greaterThan">
      <formula>1</formula>
    </cfRule>
  </conditionalFormatting>
  <conditionalFormatting sqref="V32:V53 V57 V59:V79">
    <cfRule type="cellIs" dxfId="2121" priority="2676" operator="greaterThan">
      <formula>1</formula>
    </cfRule>
  </conditionalFormatting>
  <conditionalFormatting sqref="V76:V79 V81:V86">
    <cfRule type="cellIs" dxfId="2120" priority="2675" operator="greaterThan">
      <formula>1</formula>
    </cfRule>
  </conditionalFormatting>
  <conditionalFormatting sqref="V83">
    <cfRule type="cellIs" dxfId="2119" priority="2673" operator="greaterThan">
      <formula>1</formula>
    </cfRule>
  </conditionalFormatting>
  <conditionalFormatting sqref="Z23 Z26">
    <cfRule type="cellIs" dxfId="2118" priority="3588" operator="greaterThan">
      <formula>2</formula>
    </cfRule>
  </conditionalFormatting>
  <conditionalFormatting sqref="Z2:Z9">
    <cfRule type="cellIs" dxfId="2117" priority="3587" operator="greaterThan">
      <formula>1</formula>
    </cfRule>
  </conditionalFormatting>
  <conditionalFormatting sqref="Z11:Z13 Z15:Z20">
    <cfRule type="cellIs" dxfId="2116" priority="3586" operator="greaterThan">
      <formula>1</formula>
    </cfRule>
  </conditionalFormatting>
  <conditionalFormatting sqref="Z21:Z22">
    <cfRule type="cellIs" dxfId="2115" priority="3585" operator="greaterThan">
      <formula>1</formula>
    </cfRule>
  </conditionalFormatting>
  <conditionalFormatting sqref="Z24:Z25">
    <cfRule type="cellIs" dxfId="2114" priority="3584" operator="greaterThan">
      <formula>1</formula>
    </cfRule>
  </conditionalFormatting>
  <conditionalFormatting sqref="V166:V169 V171:V176">
    <cfRule type="cellIs" dxfId="2113" priority="2667" operator="greaterThan">
      <formula>1</formula>
    </cfRule>
  </conditionalFormatting>
  <conditionalFormatting sqref="V173:V176 V178:V186">
    <cfRule type="cellIs" dxfId="2112" priority="2666" operator="greaterThan">
      <formula>1</formula>
    </cfRule>
  </conditionalFormatting>
  <conditionalFormatting sqref="V185:V186 V190:V197">
    <cfRule type="cellIs" dxfId="2111" priority="2665" operator="greaterThan">
      <formula>1</formula>
    </cfRule>
  </conditionalFormatting>
  <conditionalFormatting sqref="V196">
    <cfRule type="cellIs" dxfId="2110" priority="2664" operator="greaterThan">
      <formula>1</formula>
    </cfRule>
  </conditionalFormatting>
  <conditionalFormatting sqref="V197">
    <cfRule type="cellIs" dxfId="2109" priority="2663" operator="greaterThan">
      <formula>1</formula>
    </cfRule>
  </conditionalFormatting>
  <conditionalFormatting sqref="V208:V210 V213:V220 V245:V246">
    <cfRule type="cellIs" dxfId="2108" priority="2661" operator="greaterThan">
      <formula>1</formula>
    </cfRule>
  </conditionalFormatting>
  <conditionalFormatting sqref="AF32">
    <cfRule type="cellIs" dxfId="2107" priority="2660" operator="greaterThan">
      <formula>1</formula>
    </cfRule>
  </conditionalFormatting>
  <conditionalFormatting sqref="AF40:AF42 AF44">
    <cfRule type="cellIs" dxfId="2106" priority="2659" operator="greaterThan">
      <formula>1</formula>
    </cfRule>
  </conditionalFormatting>
  <conditionalFormatting sqref="AF47">
    <cfRule type="cellIs" dxfId="2105" priority="2658" operator="greaterThan">
      <formula>1</formula>
    </cfRule>
  </conditionalFormatting>
  <conditionalFormatting sqref="AF49">
    <cfRule type="cellIs" dxfId="2104" priority="2657" operator="greaterThan">
      <formula>1</formula>
    </cfRule>
  </conditionalFormatting>
  <conditionalFormatting sqref="AF54 AF56">
    <cfRule type="cellIs" dxfId="2103" priority="2656" operator="greaterThan">
      <formula>1</formula>
    </cfRule>
  </conditionalFormatting>
  <conditionalFormatting sqref="AF58">
    <cfRule type="cellIs" dxfId="2102" priority="2655" operator="greaterThan">
      <formula>1</formula>
    </cfRule>
  </conditionalFormatting>
  <conditionalFormatting sqref="AF60:AF79">
    <cfRule type="cellIs" dxfId="2101" priority="2654" operator="greaterThan">
      <formula>1</formula>
    </cfRule>
  </conditionalFormatting>
  <conditionalFormatting sqref="AF77">
    <cfRule type="cellIs" dxfId="2100" priority="2653" operator="greaterThan">
      <formula>1</formula>
    </cfRule>
  </conditionalFormatting>
  <conditionalFormatting sqref="AF79:AF80 AF82">
    <cfRule type="cellIs" dxfId="2099" priority="2652" operator="greaterThan">
      <formula>1</formula>
    </cfRule>
  </conditionalFormatting>
  <conditionalFormatting sqref="AF86">
    <cfRule type="cellIs" dxfId="2098" priority="2651" operator="greaterThan">
      <formula>1</formula>
    </cfRule>
  </conditionalFormatting>
  <conditionalFormatting sqref="AF88:AF89">
    <cfRule type="cellIs" dxfId="2097" priority="2650" operator="greaterThan">
      <formula>1</formula>
    </cfRule>
  </conditionalFormatting>
  <conditionalFormatting sqref="AF91">
    <cfRule type="cellIs" dxfId="2096" priority="2649" operator="greaterThan">
      <formula>1</formula>
    </cfRule>
  </conditionalFormatting>
  <conditionalFormatting sqref="AF93:AF96">
    <cfRule type="cellIs" dxfId="2095" priority="2648" operator="greaterThan">
      <formula>1</formula>
    </cfRule>
  </conditionalFormatting>
  <conditionalFormatting sqref="AF103:AF104">
    <cfRule type="cellIs" dxfId="2094" priority="2646" operator="greaterThan">
      <formula>1</formula>
    </cfRule>
  </conditionalFormatting>
  <conditionalFormatting sqref="AF181:AF184">
    <cfRule type="cellIs" dxfId="2093" priority="2634" operator="greaterThan">
      <formula>1</formula>
    </cfRule>
  </conditionalFormatting>
  <conditionalFormatting sqref="AF186:AF188">
    <cfRule type="cellIs" dxfId="2092" priority="2633" operator="greaterThan">
      <formula>1</formula>
    </cfRule>
  </conditionalFormatting>
  <conditionalFormatting sqref="AF199">
    <cfRule type="cellIs" dxfId="2091" priority="2632" operator="greaterThan">
      <formula>1</formula>
    </cfRule>
  </conditionalFormatting>
  <conditionalFormatting sqref="AF204">
    <cfRule type="cellIs" dxfId="2090" priority="2631" operator="greaterThan">
      <formula>1</formula>
    </cfRule>
  </conditionalFormatting>
  <conditionalFormatting sqref="AF210:AF214">
    <cfRule type="cellIs" dxfId="2089" priority="2630" operator="greaterThan">
      <formula>1</formula>
    </cfRule>
  </conditionalFormatting>
  <conditionalFormatting sqref="AF216:AF219">
    <cfRule type="cellIs" dxfId="2088" priority="2629" operator="greaterThan">
      <formula>1</formula>
    </cfRule>
  </conditionalFormatting>
  <conditionalFormatting sqref="AA2:AA3">
    <cfRule type="cellIs" dxfId="2087" priority="3560" operator="greaterThan">
      <formula>1</formula>
    </cfRule>
  </conditionalFormatting>
  <conditionalFormatting sqref="AA8">
    <cfRule type="cellIs" dxfId="2086" priority="3559" operator="greaterThan">
      <formula>1</formula>
    </cfRule>
  </conditionalFormatting>
  <conditionalFormatting sqref="AA11">
    <cfRule type="cellIs" dxfId="2085" priority="3558" operator="greaterThan">
      <formula>1</formula>
    </cfRule>
  </conditionalFormatting>
  <conditionalFormatting sqref="AA12">
    <cfRule type="cellIs" dxfId="2084" priority="3557" operator="greaterThan">
      <formula>1</formula>
    </cfRule>
  </conditionalFormatting>
  <conditionalFormatting sqref="AA13">
    <cfRule type="cellIs" dxfId="2083" priority="3556" operator="greaterThan">
      <formula>1</formula>
    </cfRule>
  </conditionalFormatting>
  <conditionalFormatting sqref="AA18:AA25">
    <cfRule type="cellIs" dxfId="2082" priority="3555" operator="greaterThan">
      <formula>1</formula>
    </cfRule>
  </conditionalFormatting>
  <conditionalFormatting sqref="AF139:AF152">
    <cfRule type="cellIs" dxfId="2081" priority="2638" operator="greaterThan">
      <formula>1</formula>
    </cfRule>
  </conditionalFormatting>
  <conditionalFormatting sqref="AF149">
    <cfRule type="cellIs" dxfId="2080" priority="2637" operator="greaterThan">
      <formula>1</formula>
    </cfRule>
  </conditionalFormatting>
  <conditionalFormatting sqref="AF153:AF156 AF158:AF166">
    <cfRule type="cellIs" dxfId="2079" priority="2636" operator="greaterThan">
      <formula>1</formula>
    </cfRule>
  </conditionalFormatting>
  <conditionalFormatting sqref="AF179">
    <cfRule type="cellIs" dxfId="2078" priority="2635" operator="greaterThan">
      <formula>1</formula>
    </cfRule>
  </conditionalFormatting>
  <conditionalFormatting sqref="U49:U52">
    <cfRule type="cellIs" dxfId="2077" priority="2623" operator="greaterThan">
      <formula>1</formula>
    </cfRule>
  </conditionalFormatting>
  <conditionalFormatting sqref="AA14">
    <cfRule type="cellIs" dxfId="2076" priority="3535" operator="greaterThan">
      <formula>2</formula>
    </cfRule>
  </conditionalFormatting>
  <conditionalFormatting sqref="AA5">
    <cfRule type="cellIs" dxfId="2075" priority="3533" operator="greaterThan">
      <formula>1</formula>
    </cfRule>
  </conditionalFormatting>
  <conditionalFormatting sqref="AA7">
    <cfRule type="cellIs" dxfId="2074" priority="3532" operator="greaterThan">
      <formula>1</formula>
    </cfRule>
  </conditionalFormatting>
  <conditionalFormatting sqref="AA10">
    <cfRule type="cellIs" dxfId="2073" priority="3531" operator="greaterThan">
      <formula>1</formula>
    </cfRule>
  </conditionalFormatting>
  <conditionalFormatting sqref="AA15">
    <cfRule type="cellIs" dxfId="2072" priority="3530" operator="greaterThan">
      <formula>1</formula>
    </cfRule>
  </conditionalFormatting>
  <conditionalFormatting sqref="AA26">
    <cfRule type="cellIs" dxfId="2071" priority="3528" operator="greaterThan">
      <formula>2</formula>
    </cfRule>
  </conditionalFormatting>
  <conditionalFormatting sqref="W36">
    <cfRule type="cellIs" dxfId="2070" priority="2610" operator="greaterThan">
      <formula>1</formula>
    </cfRule>
  </conditionalFormatting>
  <conditionalFormatting sqref="W41">
    <cfRule type="cellIs" dxfId="2069" priority="2609" operator="greaterThan">
      <formula>1</formula>
    </cfRule>
  </conditionalFormatting>
  <conditionalFormatting sqref="W49">
    <cfRule type="cellIs" dxfId="2068" priority="2607" operator="greaterThan">
      <formula>1</formula>
    </cfRule>
  </conditionalFormatting>
  <conditionalFormatting sqref="W88 W91">
    <cfRule type="cellIs" dxfId="2067" priority="2599" operator="greaterThan">
      <formula>1</formula>
    </cfRule>
  </conditionalFormatting>
  <conditionalFormatting sqref="W65:W67 W69:W78">
    <cfRule type="cellIs" dxfId="2066" priority="2603" operator="greaterThan">
      <formula>1</formula>
    </cfRule>
  </conditionalFormatting>
  <conditionalFormatting sqref="W99">
    <cfRule type="cellIs" dxfId="2065" priority="2597" operator="greaterThan">
      <formula>1</formula>
    </cfRule>
  </conditionalFormatting>
  <conditionalFormatting sqref="W119:W120 W124:W127 W129:W130">
    <cfRule type="cellIs" dxfId="2064" priority="2593" operator="greaterThan">
      <formula>1</formula>
    </cfRule>
  </conditionalFormatting>
  <conditionalFormatting sqref="W140:W141 W144:W152">
    <cfRule type="cellIs" dxfId="2063" priority="2591" operator="greaterThan">
      <formula>1</formula>
    </cfRule>
  </conditionalFormatting>
  <conditionalFormatting sqref="W208">
    <cfRule type="cellIs" dxfId="2062" priority="2582" operator="greaterThan">
      <formula>1</formula>
    </cfRule>
  </conditionalFormatting>
  <conditionalFormatting sqref="W210 W213">
    <cfRule type="cellIs" dxfId="2061" priority="2581" operator="greaterThan">
      <formula>1</formula>
    </cfRule>
  </conditionalFormatting>
  <conditionalFormatting sqref="X47">
    <cfRule type="cellIs" dxfId="2060" priority="2576" operator="greaterThan">
      <formula>1</formula>
    </cfRule>
  </conditionalFormatting>
  <conditionalFormatting sqref="X49">
    <cfRule type="cellIs" dxfId="2059" priority="2575" operator="greaterThan">
      <formula>1</formula>
    </cfRule>
  </conditionalFormatting>
  <conditionalFormatting sqref="X97">
    <cfRule type="cellIs" dxfId="2058" priority="2572" operator="greaterThan">
      <formula>1</formula>
    </cfRule>
  </conditionalFormatting>
  <conditionalFormatting sqref="AD98:AD99 AD103:AD108">
    <cfRule type="cellIs" dxfId="2057" priority="2453" operator="greaterThan">
      <formula>1</formula>
    </cfRule>
  </conditionalFormatting>
  <conditionalFormatting sqref="AC2:AC26">
    <cfRule type="cellIs" dxfId="2056" priority="3483" operator="greaterThan">
      <formula>1</formula>
    </cfRule>
  </conditionalFormatting>
  <conditionalFormatting sqref="X186:X188">
    <cfRule type="cellIs" dxfId="2055" priority="2564" operator="greaterThan">
      <formula>1</formula>
    </cfRule>
  </conditionalFormatting>
  <conditionalFormatting sqref="X199">
    <cfRule type="cellIs" dxfId="2054" priority="2563" operator="greaterThan">
      <formula>1</formula>
    </cfRule>
  </conditionalFormatting>
  <conditionalFormatting sqref="X32 X34:X41">
    <cfRule type="cellIs" dxfId="2053" priority="2561" operator="greaterThan">
      <formula>1</formula>
    </cfRule>
  </conditionalFormatting>
  <conditionalFormatting sqref="X38:X41 X43:X49">
    <cfRule type="cellIs" dxfId="2052" priority="2560" operator="greaterThan">
      <formula>1</formula>
    </cfRule>
  </conditionalFormatting>
  <conditionalFormatting sqref="X52 X56:X57 X59:X79">
    <cfRule type="cellIs" dxfId="2051" priority="2559" operator="greaterThan">
      <formula>1</formula>
    </cfRule>
  </conditionalFormatting>
  <conditionalFormatting sqref="X76">
    <cfRule type="cellIs" dxfId="2050" priority="2558" operator="greaterThan">
      <formula>1</formula>
    </cfRule>
  </conditionalFormatting>
  <conditionalFormatting sqref="X78">
    <cfRule type="cellIs" dxfId="2049" priority="2557" operator="greaterThan">
      <formula>1</formula>
    </cfRule>
  </conditionalFormatting>
  <conditionalFormatting sqref="X85:X88 X90:X101">
    <cfRule type="cellIs" dxfId="2048" priority="2556" operator="greaterThan">
      <formula>1</formula>
    </cfRule>
  </conditionalFormatting>
  <conditionalFormatting sqref="X100:X102 X104">
    <cfRule type="cellIs" dxfId="2047" priority="2555" operator="greaterThan">
      <formula>1</formula>
    </cfRule>
  </conditionalFormatting>
  <conditionalFormatting sqref="AD2:AD26">
    <cfRule type="cellIs" dxfId="2046" priority="3467" operator="greaterThan">
      <formula>1</formula>
    </cfRule>
  </conditionalFormatting>
  <conditionalFormatting sqref="X201">
    <cfRule type="cellIs" dxfId="2045" priority="2546" operator="greaterThan">
      <formula>1</formula>
    </cfRule>
  </conditionalFormatting>
  <conditionalFormatting sqref="X206 X208:X220 X245:X246">
    <cfRule type="cellIs" dxfId="2044" priority="2545" operator="greaterThan">
      <formula>1</formula>
    </cfRule>
  </conditionalFormatting>
  <conditionalFormatting sqref="Z32:Z37">
    <cfRule type="cellIs" dxfId="2043" priority="2543" operator="greaterThan">
      <formula>1</formula>
    </cfRule>
  </conditionalFormatting>
  <conditionalFormatting sqref="Z34:Z37">
    <cfRule type="cellIs" dxfId="2042" priority="2542" operator="greaterThan">
      <formula>1</formula>
    </cfRule>
  </conditionalFormatting>
  <conditionalFormatting sqref="Z39">
    <cfRule type="cellIs" dxfId="2041" priority="2541" operator="greaterThan">
      <formula>1</formula>
    </cfRule>
  </conditionalFormatting>
  <conditionalFormatting sqref="Z41:Z42 Z44 Z46:Z52">
    <cfRule type="cellIs" dxfId="2040" priority="2540" operator="greaterThan">
      <formula>1</formula>
    </cfRule>
  </conditionalFormatting>
  <conditionalFormatting sqref="Z50:Z52 Z56:Z57 Z72:Z83 Z59:Z70">
    <cfRule type="cellIs" dxfId="2039" priority="2539" operator="greaterThan">
      <formula>1</formula>
    </cfRule>
  </conditionalFormatting>
  <conditionalFormatting sqref="Z80:Z83">
    <cfRule type="cellIs" dxfId="2038" priority="2537" operator="greaterThan">
      <formula>1</formula>
    </cfRule>
  </conditionalFormatting>
  <conditionalFormatting sqref="Z87:Z89 Z92:Z104">
    <cfRule type="cellIs" dxfId="2037" priority="2536" operator="greaterThan">
      <formula>1</formula>
    </cfRule>
  </conditionalFormatting>
  <conditionalFormatting sqref="AI24 AI26">
    <cfRule type="cellIs" dxfId="2036" priority="3451" operator="greaterThan">
      <formula>2</formula>
    </cfRule>
  </conditionalFormatting>
  <conditionalFormatting sqref="AI4:AI9">
    <cfRule type="cellIs" dxfId="2035" priority="3449" operator="greaterThan">
      <formula>1</formula>
    </cfRule>
  </conditionalFormatting>
  <conditionalFormatting sqref="AI11">
    <cfRule type="cellIs" dxfId="2034" priority="3448" operator="greaterThan">
      <formula>1</formula>
    </cfRule>
  </conditionalFormatting>
  <conditionalFormatting sqref="AI13">
    <cfRule type="cellIs" dxfId="2033" priority="3447" operator="greaterThan">
      <formula>1</formula>
    </cfRule>
  </conditionalFormatting>
  <conditionalFormatting sqref="AI15:AI16">
    <cfRule type="cellIs" dxfId="2032" priority="3446" operator="greaterThan">
      <formula>1</formula>
    </cfRule>
  </conditionalFormatting>
  <conditionalFormatting sqref="AI19:AI23">
    <cfRule type="cellIs" dxfId="2031" priority="3445" operator="greaterThan">
      <formula>1</formula>
    </cfRule>
  </conditionalFormatting>
  <conditionalFormatting sqref="AI25">
    <cfRule type="cellIs" dxfId="2030" priority="3444" operator="greaterThan">
      <formula>1</formula>
    </cfRule>
  </conditionalFormatting>
  <conditionalFormatting sqref="Z190">
    <cfRule type="cellIs" dxfId="2029" priority="2527" operator="greaterThan">
      <formula>1</formula>
    </cfRule>
  </conditionalFormatting>
  <conditionalFormatting sqref="Z198:Z201">
    <cfRule type="cellIs" dxfId="2028" priority="2525" operator="greaterThan">
      <formula>1</formula>
    </cfRule>
  </conditionalFormatting>
  <conditionalFormatting sqref="Z245:Z246">
    <cfRule type="cellIs" dxfId="2027" priority="2523" operator="greaterThan">
      <formula>1</formula>
    </cfRule>
  </conditionalFormatting>
  <conditionalFormatting sqref="AA32 AA34 AA36:AA44">
    <cfRule type="cellIs" dxfId="2026" priority="2521" operator="greaterThan">
      <formula>1</formula>
    </cfRule>
  </conditionalFormatting>
  <conditionalFormatting sqref="AA42:AA44 AA46:AA54">
    <cfRule type="cellIs" dxfId="2025" priority="2520" operator="greaterThan">
      <formula>1</formula>
    </cfRule>
  </conditionalFormatting>
  <conditionalFormatting sqref="AA56">
    <cfRule type="cellIs" dxfId="2024" priority="2519" operator="greaterThan">
      <formula>1</formula>
    </cfRule>
  </conditionalFormatting>
  <conditionalFormatting sqref="AA95 AA98">
    <cfRule type="cellIs" dxfId="2023" priority="2515" operator="greaterThan">
      <formula>1</formula>
    </cfRule>
  </conditionalFormatting>
  <conditionalFormatting sqref="AA158 AA160 AA162:AA188">
    <cfRule type="cellIs" dxfId="2022" priority="2510" operator="greaterThan">
      <formula>1</formula>
    </cfRule>
  </conditionalFormatting>
  <conditionalFormatting sqref="AA186:AA188 AA190:AA202">
    <cfRule type="cellIs" dxfId="2021" priority="2509" operator="greaterThan">
      <formula>1</formula>
    </cfRule>
  </conditionalFormatting>
  <conditionalFormatting sqref="AA205:AA206 AA209:AA219">
    <cfRule type="cellIs" dxfId="2020" priority="2508" operator="greaterThan">
      <formula>1</formula>
    </cfRule>
  </conditionalFormatting>
  <conditionalFormatting sqref="AA217:AA219 AA245:AA246">
    <cfRule type="cellIs" dxfId="2019" priority="2507" operator="greaterThan">
      <formula>1</formula>
    </cfRule>
  </conditionalFormatting>
  <conditionalFormatting sqref="AA41">
    <cfRule type="cellIs" dxfId="2018" priority="2505" operator="greaterThan">
      <formula>1</formula>
    </cfRule>
  </conditionalFormatting>
  <conditionalFormatting sqref="AA51">
    <cfRule type="cellIs" dxfId="2017" priority="2503" operator="greaterThan">
      <formula>1</formula>
    </cfRule>
  </conditionalFormatting>
  <conditionalFormatting sqref="AA61">
    <cfRule type="cellIs" dxfId="2016" priority="2502" operator="greaterThan">
      <formula>1</formula>
    </cfRule>
  </conditionalFormatting>
  <conditionalFormatting sqref="AA73">
    <cfRule type="cellIs" dxfId="2015" priority="2498" operator="greaterThan">
      <formula>1</formula>
    </cfRule>
  </conditionalFormatting>
  <conditionalFormatting sqref="AA79:AA80">
    <cfRule type="cellIs" dxfId="2014" priority="2497" operator="greaterThan">
      <formula>1</formula>
    </cfRule>
  </conditionalFormatting>
  <conditionalFormatting sqref="AA90">
    <cfRule type="cellIs" dxfId="2013" priority="2494" operator="greaterThan">
      <formula>1</formula>
    </cfRule>
  </conditionalFormatting>
  <conditionalFormatting sqref="AF2:AF3">
    <cfRule type="cellIs" dxfId="2012" priority="3408" operator="greaterThan">
      <formula>1</formula>
    </cfRule>
  </conditionalFormatting>
  <conditionalFormatting sqref="AF5">
    <cfRule type="cellIs" dxfId="2011" priority="3407" operator="greaterThan">
      <formula>1</formula>
    </cfRule>
  </conditionalFormatting>
  <conditionalFormatting sqref="AF8">
    <cfRule type="cellIs" dxfId="2010" priority="3406" operator="greaterThan">
      <formula>1</formula>
    </cfRule>
  </conditionalFormatting>
  <conditionalFormatting sqref="AF12">
    <cfRule type="cellIs" dxfId="2009" priority="3405" operator="greaterThan">
      <formula>1</formula>
    </cfRule>
  </conditionalFormatting>
  <conditionalFormatting sqref="AF15">
    <cfRule type="cellIs" dxfId="2008" priority="3404" operator="greaterThan">
      <formula>1</formula>
    </cfRule>
  </conditionalFormatting>
  <conditionalFormatting sqref="AF18:AF22">
    <cfRule type="cellIs" dxfId="2007" priority="3403" operator="greaterThan">
      <formula>1</formula>
    </cfRule>
  </conditionalFormatting>
  <conditionalFormatting sqref="AA130">
    <cfRule type="cellIs" dxfId="2006" priority="2485" operator="greaterThan">
      <formula>1</formula>
    </cfRule>
  </conditionalFormatting>
  <conditionalFormatting sqref="AA157">
    <cfRule type="cellIs" dxfId="2005" priority="2480" operator="greaterThan">
      <formula>1</formula>
    </cfRule>
  </conditionalFormatting>
  <conditionalFormatting sqref="AA185">
    <cfRule type="cellIs" dxfId="2004" priority="2479" operator="greaterThan">
      <formula>1</formula>
    </cfRule>
  </conditionalFormatting>
  <conditionalFormatting sqref="AA199:AA201">
    <cfRule type="cellIs" dxfId="2003" priority="2476" operator="greaterThan">
      <formula>1</formula>
    </cfRule>
  </conditionalFormatting>
  <conditionalFormatting sqref="AA204">
    <cfRule type="cellIs" dxfId="2002" priority="2475" operator="greaterThan">
      <formula>1</formula>
    </cfRule>
  </conditionalFormatting>
  <conditionalFormatting sqref="AA216">
    <cfRule type="cellIs" dxfId="2001" priority="2474" operator="greaterThan">
      <formula>1</formula>
    </cfRule>
  </conditionalFormatting>
  <conditionalFormatting sqref="AC32 AC34:AC51">
    <cfRule type="cellIs" dxfId="2000" priority="2471" operator="greaterThan">
      <formula>1</formula>
    </cfRule>
  </conditionalFormatting>
  <conditionalFormatting sqref="AC49:AC51 AC54 AC56:AC83">
    <cfRule type="cellIs" dxfId="1999" priority="2470" operator="greaterThan">
      <formula>1</formula>
    </cfRule>
  </conditionalFormatting>
  <conditionalFormatting sqref="AC80:AC83 AC85:AC97">
    <cfRule type="cellIs" dxfId="1998" priority="2469" operator="greaterThan">
      <formula>1</formula>
    </cfRule>
  </conditionalFormatting>
  <conditionalFormatting sqref="AC95:AC97">
    <cfRule type="cellIs" dxfId="1997" priority="2468" operator="greaterThan">
      <formula>1</formula>
    </cfRule>
  </conditionalFormatting>
  <conditionalFormatting sqref="AC101:AC102">
    <cfRule type="cellIs" dxfId="1996" priority="2467" operator="greaterThan">
      <formula>1</formula>
    </cfRule>
  </conditionalFormatting>
  <conditionalFormatting sqref="AC104 AC106:AC107">
    <cfRule type="cellIs" dxfId="1995" priority="2466" operator="greaterThan">
      <formula>1</formula>
    </cfRule>
  </conditionalFormatting>
  <conditionalFormatting sqref="AC110:AC113 AC115:AC116 AC119:AC121">
    <cfRule type="cellIs" dxfId="1994" priority="2465" operator="greaterThan">
      <formula>1</formula>
    </cfRule>
  </conditionalFormatting>
  <conditionalFormatting sqref="AC119:AC121 AC123:AC156">
    <cfRule type="cellIs" dxfId="1993" priority="2464" operator="greaterThan">
      <formula>1</formula>
    </cfRule>
  </conditionalFormatting>
  <conditionalFormatting sqref="AC153">
    <cfRule type="cellIs" dxfId="1992" priority="2463" operator="greaterThan">
      <formula>1</formula>
    </cfRule>
  </conditionalFormatting>
  <conditionalFormatting sqref="AC155:AC156">
    <cfRule type="cellIs" dxfId="1991" priority="2462" operator="greaterThan">
      <formula>1</formula>
    </cfRule>
  </conditionalFormatting>
  <conditionalFormatting sqref="AC160:AC161 AC164:AC190">
    <cfRule type="cellIs" dxfId="1990" priority="2461" operator="greaterThan">
      <formula>1</formula>
    </cfRule>
  </conditionalFormatting>
  <conditionalFormatting sqref="AC188:AC190 AC193:AC204">
    <cfRule type="cellIs" dxfId="1989" priority="2460" operator="greaterThan">
      <formula>1</formula>
    </cfRule>
  </conditionalFormatting>
  <conditionalFormatting sqref="AC203:AC204 AC208:AC220">
    <cfRule type="cellIs" dxfId="1988" priority="2459" operator="greaterThan">
      <formula>1</formula>
    </cfRule>
  </conditionalFormatting>
  <conditionalFormatting sqref="AC245:AC246">
    <cfRule type="cellIs" dxfId="1987" priority="2458" operator="greaterThan">
      <formula>1</formula>
    </cfRule>
  </conditionalFormatting>
  <conditionalFormatting sqref="AD32:AD35 AD37:AD50">
    <cfRule type="cellIs" dxfId="1986" priority="2456" operator="greaterThan">
      <formula>1</formula>
    </cfRule>
  </conditionalFormatting>
  <conditionalFormatting sqref="AD48:AD50 AD53:AD54 AD56:AD90">
    <cfRule type="cellIs" dxfId="1985" priority="2455" operator="greaterThan">
      <formula>1</formula>
    </cfRule>
  </conditionalFormatting>
  <conditionalFormatting sqref="AD87:AD90 AD92:AD99">
    <cfRule type="cellIs" dxfId="1984" priority="2454" operator="greaterThan">
      <formula>1</formula>
    </cfRule>
  </conditionalFormatting>
  <conditionalFormatting sqref="AD108">
    <cfRule type="cellIs" dxfId="1983" priority="2451" operator="greaterThan">
      <formula>1</formula>
    </cfRule>
  </conditionalFormatting>
  <conditionalFormatting sqref="AF84:AF88">
    <cfRule type="cellIs" dxfId="1982" priority="2361" operator="greaterThan">
      <formula>1</formula>
    </cfRule>
  </conditionalFormatting>
  <conditionalFormatting sqref="AF137">
    <cfRule type="cellIs" dxfId="1981" priority="2393" operator="greaterThan">
      <formula>1</formula>
    </cfRule>
  </conditionalFormatting>
  <conditionalFormatting sqref="AF138">
    <cfRule type="cellIs" dxfId="1980" priority="2392" operator="greaterThan">
      <formula>1</formula>
    </cfRule>
  </conditionalFormatting>
  <conditionalFormatting sqref="AF150">
    <cfRule type="cellIs" dxfId="1979" priority="2390" operator="greaterThan">
      <formula>1</formula>
    </cfRule>
  </conditionalFormatting>
  <conditionalFormatting sqref="AF151">
    <cfRule type="cellIs" dxfId="1978" priority="2389" operator="greaterThan">
      <formula>1</formula>
    </cfRule>
  </conditionalFormatting>
  <conditionalFormatting sqref="AF162:AF183">
    <cfRule type="cellIs" dxfId="1977" priority="2388" operator="greaterThan">
      <formula>1</formula>
    </cfRule>
  </conditionalFormatting>
  <conditionalFormatting sqref="AF180">
    <cfRule type="cellIs" dxfId="1976" priority="2387" operator="greaterThan">
      <formula>1</formula>
    </cfRule>
  </conditionalFormatting>
  <conditionalFormatting sqref="AI80:AI82 AI85:AI91">
    <cfRule type="cellIs" dxfId="1975" priority="2430" operator="greaterThan">
      <formula>1</formula>
    </cfRule>
  </conditionalFormatting>
  <conditionalFormatting sqref="AI115:AI116">
    <cfRule type="cellIs" dxfId="1974" priority="2424" operator="greaterThan">
      <formula>1</formula>
    </cfRule>
  </conditionalFormatting>
  <conditionalFormatting sqref="AI120:AI123 AI125:AI136">
    <cfRule type="cellIs" dxfId="1973" priority="2423" operator="greaterThan">
      <formula>1</formula>
    </cfRule>
  </conditionalFormatting>
  <conditionalFormatting sqref="AI133:AI135">
    <cfRule type="cellIs" dxfId="1972" priority="2422" operator="greaterThan">
      <formula>1</formula>
    </cfRule>
  </conditionalFormatting>
  <conditionalFormatting sqref="AI144:AI147 AI149:AI158">
    <cfRule type="cellIs" dxfId="1971" priority="2420" operator="greaterThan">
      <formula>1</formula>
    </cfRule>
  </conditionalFormatting>
  <conditionalFormatting sqref="AI155:AI158 AI160:AI172">
    <cfRule type="cellIs" dxfId="1970" priority="2419" operator="greaterThan">
      <formula>1</formula>
    </cfRule>
  </conditionalFormatting>
  <conditionalFormatting sqref="AI171">
    <cfRule type="cellIs" dxfId="1969" priority="2418" operator="greaterThan">
      <formula>1</formula>
    </cfRule>
  </conditionalFormatting>
  <conditionalFormatting sqref="AI176 AI178:AI183">
    <cfRule type="cellIs" dxfId="1968" priority="2417" operator="greaterThan">
      <formula>1</formula>
    </cfRule>
  </conditionalFormatting>
  <conditionalFormatting sqref="AF116">
    <cfRule type="cellIs" dxfId="1967" priority="2395" operator="greaterThan">
      <formula>1</formula>
    </cfRule>
  </conditionalFormatting>
  <conditionalFormatting sqref="V88">
    <cfRule type="cellIs" dxfId="1966" priority="2376" operator="greaterThan">
      <formula>1</formula>
    </cfRule>
  </conditionalFormatting>
  <conditionalFormatting sqref="V90:V91">
    <cfRule type="cellIs" dxfId="1965" priority="2375" operator="greaterThan">
      <formula>1</formula>
    </cfRule>
  </conditionalFormatting>
  <conditionalFormatting sqref="V144:V148">
    <cfRule type="cellIs" dxfId="1964" priority="2374" operator="greaterThan">
      <formula>1</formula>
    </cfRule>
  </conditionalFormatting>
  <conditionalFormatting sqref="V202">
    <cfRule type="cellIs" dxfId="1963" priority="2372" operator="greaterThan">
      <formula>1</formula>
    </cfRule>
  </conditionalFormatting>
  <conditionalFormatting sqref="V204">
    <cfRule type="cellIs" dxfId="1962" priority="2371" operator="greaterThan">
      <formula>1</formula>
    </cfRule>
  </conditionalFormatting>
  <conditionalFormatting sqref="V207:V210">
    <cfRule type="cellIs" dxfId="1961" priority="2370" operator="greaterThan">
      <formula>1</formula>
    </cfRule>
  </conditionalFormatting>
  <conditionalFormatting sqref="AF32">
    <cfRule type="cellIs" dxfId="1960" priority="2369" operator="greaterThan">
      <formula>1</formula>
    </cfRule>
  </conditionalFormatting>
  <conditionalFormatting sqref="AB41:AB42">
    <cfRule type="cellIs" dxfId="1959" priority="2377" operator="greaterThan">
      <formula>1</formula>
    </cfRule>
  </conditionalFormatting>
  <conditionalFormatting sqref="AF58:AF61">
    <cfRule type="cellIs" dxfId="1958" priority="2364" operator="greaterThan">
      <formula>1</formula>
    </cfRule>
  </conditionalFormatting>
  <conditionalFormatting sqref="AF96">
    <cfRule type="cellIs" dxfId="1957" priority="2358" operator="greaterThan">
      <formula>1</formula>
    </cfRule>
  </conditionalFormatting>
  <conditionalFormatting sqref="AF98:AF102">
    <cfRule type="cellIs" dxfId="1956" priority="2357" operator="greaterThan">
      <formula>1</formula>
    </cfRule>
  </conditionalFormatting>
  <conditionalFormatting sqref="AF104:AF105">
    <cfRule type="cellIs" dxfId="1955" priority="2356" operator="greaterThan">
      <formula>1</formula>
    </cfRule>
  </conditionalFormatting>
  <conditionalFormatting sqref="AF111">
    <cfRule type="cellIs" dxfId="1954" priority="2354" operator="greaterThan">
      <formula>1</formula>
    </cfRule>
  </conditionalFormatting>
  <conditionalFormatting sqref="AF114:AF116">
    <cfRule type="cellIs" dxfId="1953" priority="2353" operator="greaterThan">
      <formula>1</formula>
    </cfRule>
  </conditionalFormatting>
  <conditionalFormatting sqref="AF119:AF120">
    <cfRule type="cellIs" dxfId="1952" priority="2352" operator="greaterThan">
      <formula>1</formula>
    </cfRule>
  </conditionalFormatting>
  <conditionalFormatting sqref="AF122">
    <cfRule type="cellIs" dxfId="1951" priority="2351" operator="greaterThan">
      <formula>1</formula>
    </cfRule>
  </conditionalFormatting>
  <conditionalFormatting sqref="AF140:AF141">
    <cfRule type="cellIs" dxfId="1950" priority="2348" operator="greaterThan">
      <formula>1</formula>
    </cfRule>
  </conditionalFormatting>
  <conditionalFormatting sqref="AF184">
    <cfRule type="cellIs" dxfId="1949" priority="2346" operator="greaterThan">
      <formula>1</formula>
    </cfRule>
  </conditionalFormatting>
  <conditionalFormatting sqref="AF215:AF219">
    <cfRule type="cellIs" dxfId="1948" priority="2340" operator="greaterThan">
      <formula>1</formula>
    </cfRule>
  </conditionalFormatting>
  <conditionalFormatting sqref="AF245:AF246">
    <cfRule type="cellIs" dxfId="1947" priority="2338" operator="greaterThan">
      <formula>1</formula>
    </cfRule>
  </conditionalFormatting>
  <conditionalFormatting sqref="U59:U61">
    <cfRule type="cellIs" dxfId="1946" priority="2336" operator="greaterThan">
      <formula>1</formula>
    </cfRule>
  </conditionalFormatting>
  <conditionalFormatting sqref="U62">
    <cfRule type="cellIs" dxfId="1945" priority="2335" operator="greaterThan">
      <formula>1</formula>
    </cfRule>
  </conditionalFormatting>
  <conditionalFormatting sqref="U75">
    <cfRule type="cellIs" dxfId="1944" priority="2334" operator="greaterThan">
      <formula>1</formula>
    </cfRule>
  </conditionalFormatting>
  <conditionalFormatting sqref="U78">
    <cfRule type="cellIs" dxfId="1943" priority="2333" operator="greaterThan">
      <formula>1</formula>
    </cfRule>
  </conditionalFormatting>
  <conditionalFormatting sqref="AI47">
    <cfRule type="cellIs" dxfId="1942" priority="2211" operator="greaterThan">
      <formula>1</formula>
    </cfRule>
  </conditionalFormatting>
  <conditionalFormatting sqref="AA88">
    <cfRule type="cellIs" dxfId="1941" priority="2240" operator="greaterThan">
      <formula>1</formula>
    </cfRule>
  </conditionalFormatting>
  <conditionalFormatting sqref="AA95">
    <cfRule type="cellIs" dxfId="1940" priority="2239" operator="greaterThan">
      <formula>1</formula>
    </cfRule>
  </conditionalFormatting>
  <conditionalFormatting sqref="AF107">
    <cfRule type="cellIs" dxfId="1939" priority="2178" operator="greaterThan">
      <formula>1</formula>
    </cfRule>
  </conditionalFormatting>
  <conditionalFormatting sqref="AA190">
    <cfRule type="cellIs" dxfId="1938" priority="2229" operator="greaterThan">
      <formula>1</formula>
    </cfRule>
  </conditionalFormatting>
  <conditionalFormatting sqref="AA204:AA206">
    <cfRule type="cellIs" dxfId="1937" priority="2228" operator="greaterThan">
      <formula>1</formula>
    </cfRule>
  </conditionalFormatting>
  <conditionalFormatting sqref="AA209">
    <cfRule type="cellIs" dxfId="1936" priority="2227" operator="greaterThan">
      <formula>1</formula>
    </cfRule>
  </conditionalFormatting>
  <conditionalFormatting sqref="AC32">
    <cfRule type="cellIs" dxfId="1935" priority="2225" operator="greaterThan">
      <formula>1</formula>
    </cfRule>
  </conditionalFormatting>
  <conditionalFormatting sqref="AC100:AC104">
    <cfRule type="cellIs" dxfId="1934" priority="2224" operator="greaterThan">
      <formula>1</formula>
    </cfRule>
  </conditionalFormatting>
  <conditionalFormatting sqref="AC106:AC107">
    <cfRule type="cellIs" dxfId="1933" priority="2223" operator="greaterThan">
      <formula>1</formula>
    </cfRule>
  </conditionalFormatting>
  <conditionalFormatting sqref="AI210">
    <cfRule type="cellIs" dxfId="1932" priority="2191" operator="greaterThan">
      <formula>1</formula>
    </cfRule>
  </conditionalFormatting>
  <conditionalFormatting sqref="AC109:AC113">
    <cfRule type="cellIs" dxfId="1931" priority="2222" operator="greaterThan">
      <formula>1</formula>
    </cfRule>
  </conditionalFormatting>
  <conditionalFormatting sqref="AC158">
    <cfRule type="cellIs" dxfId="1930" priority="2221" operator="greaterThan">
      <formula>1</formula>
    </cfRule>
  </conditionalFormatting>
  <conditionalFormatting sqref="AI176">
    <cfRule type="cellIs" dxfId="1929" priority="2195" operator="greaterThan">
      <formula>1</formula>
    </cfRule>
  </conditionalFormatting>
  <conditionalFormatting sqref="AC160:AC161">
    <cfRule type="cellIs" dxfId="1928" priority="2220" operator="greaterThan">
      <formula>1</formula>
    </cfRule>
  </conditionalFormatting>
  <conditionalFormatting sqref="AD32:AD35">
    <cfRule type="cellIs" dxfId="1927" priority="2219" operator="greaterThan">
      <formula>1</formula>
    </cfRule>
  </conditionalFormatting>
  <conditionalFormatting sqref="AD110">
    <cfRule type="cellIs" dxfId="1926" priority="2218" operator="greaterThan">
      <formula>1</formula>
    </cfRule>
  </conditionalFormatting>
  <conditionalFormatting sqref="AD113">
    <cfRule type="cellIs" dxfId="1925" priority="2217" operator="greaterThan">
      <formula>1</formula>
    </cfRule>
  </conditionalFormatting>
  <conditionalFormatting sqref="AD112">
    <cfRule type="cellIs" dxfId="1924" priority="2216" operator="greaterThan">
      <formula>1</formula>
    </cfRule>
  </conditionalFormatting>
  <conditionalFormatting sqref="AD203">
    <cfRule type="cellIs" dxfId="1923" priority="2215" operator="greaterThan">
      <formula>1</formula>
    </cfRule>
  </conditionalFormatting>
  <conditionalFormatting sqref="AD205:AD209">
    <cfRule type="cellIs" dxfId="1922" priority="2214" operator="greaterThan">
      <formula>1</formula>
    </cfRule>
  </conditionalFormatting>
  <conditionalFormatting sqref="AI32">
    <cfRule type="cellIs" dxfId="1921" priority="2213" operator="greaterThan">
      <formula>1</formula>
    </cfRule>
  </conditionalFormatting>
  <conditionalFormatting sqref="AI42:AI45">
    <cfRule type="cellIs" dxfId="1920" priority="2212" operator="greaterThan">
      <formula>1</formula>
    </cfRule>
  </conditionalFormatting>
  <conditionalFormatting sqref="AI50:AI52">
    <cfRule type="cellIs" dxfId="1919" priority="2210" operator="greaterThan">
      <formula>1</formula>
    </cfRule>
  </conditionalFormatting>
  <conditionalFormatting sqref="AI54">
    <cfRule type="cellIs" dxfId="1918" priority="2209" operator="greaterThan">
      <formula>1</formula>
    </cfRule>
  </conditionalFormatting>
  <conditionalFormatting sqref="AI57">
    <cfRule type="cellIs" dxfId="1917" priority="2208" operator="greaterThan">
      <formula>1</formula>
    </cfRule>
  </conditionalFormatting>
  <conditionalFormatting sqref="AI70">
    <cfRule type="cellIs" dxfId="1916" priority="2207" operator="greaterThan">
      <formula>1</formula>
    </cfRule>
  </conditionalFormatting>
  <conditionalFormatting sqref="AI72">
    <cfRule type="cellIs" dxfId="1915" priority="2206" operator="greaterThan">
      <formula>1</formula>
    </cfRule>
  </conditionalFormatting>
  <conditionalFormatting sqref="AI74:AI77">
    <cfRule type="cellIs" dxfId="1914" priority="2205" operator="greaterThan">
      <formula>1</formula>
    </cfRule>
  </conditionalFormatting>
  <conditionalFormatting sqref="AI80:AI82">
    <cfRule type="cellIs" dxfId="1913" priority="2204" operator="greaterThan">
      <formula>1</formula>
    </cfRule>
  </conditionalFormatting>
  <conditionalFormatting sqref="AI96">
    <cfRule type="cellIs" dxfId="1912" priority="2203" operator="greaterThan">
      <formula>1</formula>
    </cfRule>
  </conditionalFormatting>
  <conditionalFormatting sqref="AI98:AI100">
    <cfRule type="cellIs" dxfId="1911" priority="2202" operator="greaterThan">
      <formula>1</formula>
    </cfRule>
  </conditionalFormatting>
  <conditionalFormatting sqref="AI103">
    <cfRule type="cellIs" dxfId="1910" priority="2201" operator="greaterThan">
      <formula>1</formula>
    </cfRule>
  </conditionalFormatting>
  <conditionalFormatting sqref="AI105:AI109">
    <cfRule type="cellIs" dxfId="1909" priority="2200" operator="greaterThan">
      <formula>1</formula>
    </cfRule>
  </conditionalFormatting>
  <conditionalFormatting sqref="AI187:AI188">
    <cfRule type="cellIs" dxfId="1908" priority="2194" operator="greaterThan">
      <formula>1</formula>
    </cfRule>
  </conditionalFormatting>
  <conditionalFormatting sqref="AI111:AI112">
    <cfRule type="cellIs" dxfId="1907" priority="2199" operator="greaterThan">
      <formula>1</formula>
    </cfRule>
  </conditionalFormatting>
  <conditionalFormatting sqref="AI115:AI116">
    <cfRule type="cellIs" dxfId="1906" priority="2198" operator="greaterThan">
      <formula>1</formula>
    </cfRule>
  </conditionalFormatting>
  <conditionalFormatting sqref="AI120:AI123">
    <cfRule type="cellIs" dxfId="1905" priority="2197" operator="greaterThan">
      <formula>1</formula>
    </cfRule>
  </conditionalFormatting>
  <conditionalFormatting sqref="AI138:AI140">
    <cfRule type="cellIs" dxfId="1904" priority="2196" operator="greaterThan">
      <formula>1</formula>
    </cfRule>
  </conditionalFormatting>
  <conditionalFormatting sqref="AI208">
    <cfRule type="cellIs" dxfId="1903" priority="2192" operator="greaterThan">
      <formula>1</formula>
    </cfRule>
  </conditionalFormatting>
  <conditionalFormatting sqref="AI204:AI206">
    <cfRule type="cellIs" dxfId="1902" priority="2193" operator="greaterThan">
      <formula>1</formula>
    </cfRule>
  </conditionalFormatting>
  <conditionalFormatting sqref="AF34">
    <cfRule type="cellIs" dxfId="1901" priority="2190" operator="greaterThan">
      <formula>1</formula>
    </cfRule>
  </conditionalFormatting>
  <conditionalFormatting sqref="AF39:AF42">
    <cfRule type="cellIs" dxfId="1900" priority="2189" operator="greaterThan">
      <formula>1</formula>
    </cfRule>
  </conditionalFormatting>
  <conditionalFormatting sqref="AF44">
    <cfRule type="cellIs" dxfId="1899" priority="2188" operator="greaterThan">
      <formula>1</formula>
    </cfRule>
  </conditionalFormatting>
  <conditionalFormatting sqref="AF50">
    <cfRule type="cellIs" dxfId="1898" priority="2187" operator="greaterThan">
      <formula>1</formula>
    </cfRule>
  </conditionalFormatting>
  <conditionalFormatting sqref="AF56">
    <cfRule type="cellIs" dxfId="1897" priority="2186" operator="greaterThan">
      <formula>1</formula>
    </cfRule>
  </conditionalFormatting>
  <conditionalFormatting sqref="AF62">
    <cfRule type="cellIs" dxfId="1896" priority="2185" operator="greaterThan">
      <formula>1</formula>
    </cfRule>
  </conditionalFormatting>
  <conditionalFormatting sqref="AF64">
    <cfRule type="cellIs" dxfId="1895" priority="2184" operator="greaterThan">
      <formula>1</formula>
    </cfRule>
  </conditionalFormatting>
  <conditionalFormatting sqref="AF80">
    <cfRule type="cellIs" dxfId="1894" priority="2183" operator="greaterThan">
      <formula>1</formula>
    </cfRule>
  </conditionalFormatting>
  <conditionalFormatting sqref="AF89">
    <cfRule type="cellIs" dxfId="1893" priority="2182" operator="greaterThan">
      <formula>1</formula>
    </cfRule>
  </conditionalFormatting>
  <conditionalFormatting sqref="AF92">
    <cfRule type="cellIs" dxfId="1892" priority="2181" operator="greaterThan">
      <formula>1</formula>
    </cfRule>
  </conditionalFormatting>
  <conditionalFormatting sqref="AF95">
    <cfRule type="cellIs" dxfId="1891" priority="2180" operator="greaterThan">
      <formula>1</formula>
    </cfRule>
  </conditionalFormatting>
  <conditionalFormatting sqref="AF103">
    <cfRule type="cellIs" dxfId="1890" priority="2179" operator="greaterThan">
      <formula>1</formula>
    </cfRule>
  </conditionalFormatting>
  <conditionalFormatting sqref="AF106">
    <cfRule type="cellIs" dxfId="1889" priority="2177" operator="greaterThan">
      <formula>1</formula>
    </cfRule>
  </conditionalFormatting>
  <conditionalFormatting sqref="AF110">
    <cfRule type="cellIs" dxfId="1888" priority="2176" operator="greaterThan">
      <formula>1</formula>
    </cfRule>
  </conditionalFormatting>
  <conditionalFormatting sqref="AF112">
    <cfRule type="cellIs" dxfId="1887" priority="2175" operator="greaterThan">
      <formula>1</formula>
    </cfRule>
  </conditionalFormatting>
  <conditionalFormatting sqref="AF113">
    <cfRule type="cellIs" dxfId="1886" priority="2174" operator="greaterThan">
      <formula>1</formula>
    </cfRule>
  </conditionalFormatting>
  <conditionalFormatting sqref="AF121">
    <cfRule type="cellIs" dxfId="1885" priority="2172" operator="greaterThan">
      <formula>1</formula>
    </cfRule>
  </conditionalFormatting>
  <conditionalFormatting sqref="AF123">
    <cfRule type="cellIs" dxfId="1884" priority="2171" operator="greaterThan">
      <formula>1</formula>
    </cfRule>
  </conditionalFormatting>
  <conditionalFormatting sqref="AF139">
    <cfRule type="cellIs" dxfId="1883" priority="2170" operator="greaterThan">
      <formula>1</formula>
    </cfRule>
  </conditionalFormatting>
  <conditionalFormatting sqref="AF142">
    <cfRule type="cellIs" dxfId="1882" priority="2169" operator="greaterThan">
      <formula>1</formula>
    </cfRule>
  </conditionalFormatting>
  <conditionalFormatting sqref="AF143">
    <cfRule type="cellIs" dxfId="1881" priority="2168" operator="greaterThan">
      <formula>1</formula>
    </cfRule>
  </conditionalFormatting>
  <conditionalFormatting sqref="AF153">
    <cfRule type="cellIs" dxfId="1880" priority="2167" operator="greaterThan">
      <formula>1</formula>
    </cfRule>
  </conditionalFormatting>
  <conditionalFormatting sqref="AF155">
    <cfRule type="cellIs" dxfId="1879" priority="2166" operator="greaterThan">
      <formula>1</formula>
    </cfRule>
  </conditionalFormatting>
  <conditionalFormatting sqref="AF156">
    <cfRule type="cellIs" dxfId="1878" priority="2165" operator="greaterThan">
      <formula>1</formula>
    </cfRule>
  </conditionalFormatting>
  <conditionalFormatting sqref="AF185">
    <cfRule type="cellIs" dxfId="1877" priority="2164" operator="greaterThan">
      <formula>1</formula>
    </cfRule>
  </conditionalFormatting>
  <conditionalFormatting sqref="AF190">
    <cfRule type="cellIs" dxfId="1876" priority="2163" operator="greaterThan">
      <formula>1</formula>
    </cfRule>
  </conditionalFormatting>
  <conditionalFormatting sqref="AF195:AF198">
    <cfRule type="cellIs" dxfId="1875" priority="2162" operator="greaterThan">
      <formula>1</formula>
    </cfRule>
  </conditionalFormatting>
  <conditionalFormatting sqref="AF199:AF200">
    <cfRule type="cellIs" dxfId="1874" priority="2161" operator="greaterThan">
      <formula>1</formula>
    </cfRule>
  </conditionalFormatting>
  <conditionalFormatting sqref="AF211:AF214">
    <cfRule type="cellIs" dxfId="1873" priority="2160" operator="greaterThan">
      <formula>1</formula>
    </cfRule>
  </conditionalFormatting>
  <conditionalFormatting sqref="AE41:AE42">
    <cfRule type="cellIs" dxfId="1872" priority="2157" operator="greaterThan">
      <formula>1</formula>
    </cfRule>
  </conditionalFormatting>
  <conditionalFormatting sqref="N27:V31 AL27:AM31 X27:AF31 AI27:AJ31">
    <cfRule type="cellIs" dxfId="1871" priority="2156" operator="greaterThan">
      <formula>1</formula>
    </cfRule>
  </conditionalFormatting>
  <conditionalFormatting sqref="W68">
    <cfRule type="cellIs" dxfId="1870" priority="2112" operator="greaterThan">
      <formula>2</formula>
    </cfRule>
  </conditionalFormatting>
  <conditionalFormatting sqref="AI71">
    <cfRule type="cellIs" dxfId="1869" priority="2109" operator="greaterThan">
      <formula>2</formula>
    </cfRule>
  </conditionalFormatting>
  <conditionalFormatting sqref="AA77">
    <cfRule type="cellIs" dxfId="1868" priority="2101" operator="greaterThan">
      <formula>2</formula>
    </cfRule>
  </conditionalFormatting>
  <conditionalFormatting sqref="W80:W81">
    <cfRule type="cellIs" dxfId="1867" priority="2097" operator="greaterThan">
      <formula>2</formula>
    </cfRule>
  </conditionalFormatting>
  <conditionalFormatting sqref="X80">
    <cfRule type="cellIs" dxfId="1866" priority="2095" operator="greaterThan">
      <formula>2</formula>
    </cfRule>
  </conditionalFormatting>
  <conditionalFormatting sqref="U83">
    <cfRule type="cellIs" dxfId="1865" priority="2091" operator="greaterThan">
      <formula>2</formula>
    </cfRule>
  </conditionalFormatting>
  <conditionalFormatting sqref="W83">
    <cfRule type="cellIs" dxfId="1864" priority="2090" operator="greaterThan">
      <formula>2</formula>
    </cfRule>
  </conditionalFormatting>
  <conditionalFormatting sqref="AA83">
    <cfRule type="cellIs" dxfId="1863" priority="2089" operator="greaterThan">
      <formula>2</formula>
    </cfRule>
  </conditionalFormatting>
  <conditionalFormatting sqref="V87">
    <cfRule type="cellIs" dxfId="1862" priority="2084" operator="greaterThan">
      <formula>2</formula>
    </cfRule>
  </conditionalFormatting>
  <conditionalFormatting sqref="AA87">
    <cfRule type="cellIs" dxfId="1861" priority="2083" operator="greaterThan">
      <formula>2</formula>
    </cfRule>
  </conditionalFormatting>
  <conditionalFormatting sqref="Z91">
    <cfRule type="cellIs" dxfId="1860" priority="2078" operator="greaterThan">
      <formula>2</formula>
    </cfRule>
  </conditionalFormatting>
  <conditionalFormatting sqref="AD91">
    <cfRule type="cellIs" dxfId="1859" priority="2077" operator="greaterThan">
      <formula>2</formula>
    </cfRule>
  </conditionalFormatting>
  <conditionalFormatting sqref="V92:W92">
    <cfRule type="cellIs" dxfId="1858" priority="2076" operator="greaterThan">
      <formula>2</formula>
    </cfRule>
  </conditionalFormatting>
  <conditionalFormatting sqref="AA93">
    <cfRule type="cellIs" dxfId="1857" priority="2074" operator="greaterThan">
      <formula>2</formula>
    </cfRule>
  </conditionalFormatting>
  <conditionalFormatting sqref="AI93">
    <cfRule type="cellIs" dxfId="1856" priority="2073" operator="greaterThan">
      <formula>2</formula>
    </cfRule>
  </conditionalFormatting>
  <conditionalFormatting sqref="AA94">
    <cfRule type="cellIs" dxfId="1855" priority="2072" operator="greaterThan">
      <formula>2</formula>
    </cfRule>
  </conditionalFormatting>
  <conditionalFormatting sqref="AA96:AA97">
    <cfRule type="cellIs" dxfId="1854" priority="2068" operator="greaterThan">
      <formula>2</formula>
    </cfRule>
  </conditionalFormatting>
  <conditionalFormatting sqref="AC98:AC99">
    <cfRule type="cellIs" dxfId="1853" priority="2064" operator="greaterThan">
      <formula>2</formula>
    </cfRule>
  </conditionalFormatting>
  <conditionalFormatting sqref="AD100:AD102">
    <cfRule type="cellIs" dxfId="1852" priority="2063" operator="greaterThan">
      <formula>2</formula>
    </cfRule>
  </conditionalFormatting>
  <conditionalFormatting sqref="AI104">
    <cfRule type="cellIs" dxfId="1851" priority="2059" operator="greaterThan">
      <formula>2</formula>
    </cfRule>
  </conditionalFormatting>
  <conditionalFormatting sqref="W134">
    <cfRule type="cellIs" dxfId="1850" priority="2023" operator="greaterThan">
      <formula>2</formula>
    </cfRule>
  </conditionalFormatting>
  <conditionalFormatting sqref="AD175">
    <cfRule type="cellIs" dxfId="1849" priority="1990" operator="greaterThan">
      <formula>2</formula>
    </cfRule>
  </conditionalFormatting>
  <conditionalFormatting sqref="V202 V204">
    <cfRule type="cellIs" dxfId="1848" priority="2662" operator="greaterThan">
      <formula>1</formula>
    </cfRule>
  </conditionalFormatting>
  <conditionalFormatting sqref="L27 L38 L90 L43:L45 L49 L245">
    <cfRule type="cellIs" dxfId="1847" priority="2687" operator="greaterThan">
      <formula>2</formula>
    </cfRule>
  </conditionalFormatting>
  <conditionalFormatting sqref="T92">
    <cfRule type="cellIs" dxfId="1846" priority="2677" operator="greaterThan">
      <formula>2</formula>
    </cfRule>
  </conditionalFormatting>
  <conditionalFormatting sqref="AF109:AF111">
    <cfRule type="cellIs" dxfId="1845" priority="2644" operator="greaterThan">
      <formula>1</formula>
    </cfRule>
  </conditionalFormatting>
  <conditionalFormatting sqref="AF113:AF115">
    <cfRule type="cellIs" dxfId="1844" priority="2643" operator="greaterThan">
      <formula>1</formula>
    </cfRule>
  </conditionalFormatting>
  <conditionalFormatting sqref="AF128">
    <cfRule type="cellIs" dxfId="1843" priority="2640" operator="greaterThan">
      <formula>1</formula>
    </cfRule>
  </conditionalFormatting>
  <conditionalFormatting sqref="AF133">
    <cfRule type="cellIs" dxfId="1842" priority="2639" operator="greaterThan">
      <formula>1</formula>
    </cfRule>
  </conditionalFormatting>
  <conditionalFormatting sqref="AF106">
    <cfRule type="cellIs" dxfId="1841" priority="2645" operator="greaterThan">
      <formula>1</formula>
    </cfRule>
  </conditionalFormatting>
  <conditionalFormatting sqref="W47">
    <cfRule type="cellIs" dxfId="1840" priority="2608" operator="greaterThan">
      <formula>1</formula>
    </cfRule>
  </conditionalFormatting>
  <conditionalFormatting sqref="X114:X115">
    <cfRule type="cellIs" dxfId="1839" priority="2568" operator="greaterThan">
      <formula>1</formula>
    </cfRule>
  </conditionalFormatting>
  <conditionalFormatting sqref="AJ85">
    <cfRule type="cellIs" dxfId="1838" priority="1796" operator="greaterThan">
      <formula>2</formula>
    </cfRule>
  </conditionalFormatting>
  <conditionalFormatting sqref="C28:C31">
    <cfRule type="cellIs" dxfId="1837" priority="1794" operator="greaterThan">
      <formula>2</formula>
    </cfRule>
  </conditionalFormatting>
  <conditionalFormatting sqref="W29">
    <cfRule type="cellIs" dxfId="1836" priority="1788" operator="greaterThan">
      <formula>2</formula>
    </cfRule>
  </conditionalFormatting>
  <conditionalFormatting sqref="B27:B53 B56:B116 B119:B222 B224:B246">
    <cfRule type="cellIs" dxfId="1835" priority="2694" operator="greaterThan">
      <formula>2</formula>
    </cfRule>
  </conditionalFormatting>
  <conditionalFormatting sqref="C33:D33 D29 C41:D41 C47:D49 C53:F53 C58 D57 C62:D63 C66:E68 D65:E65 C76:D76 D75 C83:F83 D79 C91:E91 D88:F88 C100:C103 D97 C106:D106 C113:C114 D109:D110 C119:C122 D116 C124:D124 D123 C129:C130 D127:E127 C133 C135 C138 C144 C154 D147 C156:C161 D155:E155 C170 C173:D175 D172 C184:D184 C187:D187 C189 D188 C193:C195 C199:D200 C202 D201:E201 C204:C205 C209:D209 C211:C213 C215:D215 D216:D218 D32 E139 C36:D38 C34:C35 C40 C42:C44 E42:F42 C61 C64 C70:E70 C69 C73:E73 C72 C86:D86 C85 F89 C92:C95 E95:F95 D99:E99 E98:F98 C107:C108 E114 C125:C126 E130 E154:F154 E156:E157 C178:E181 C176:C177 C182 C186 C197:C198 E189 E202 C219:C220 C245:D245 C246 F204 E198 F197 E191:F192 E165 E159 E132 D128 F100 F96:F97 F93:F94 C84:D84 F87 C74:D74 C81:D82 F78 C71:D71 F52 F30:F31 F35 F80:F81 F108 F111">
    <cfRule type="cellIs" dxfId="1834" priority="2691" operator="greaterThan">
      <formula>2</formula>
    </cfRule>
  </conditionalFormatting>
  <conditionalFormatting sqref="G27 G29 G33 G61 G163 G79 G38 G53 G63 G65 G67 G70 G74 G82:G84 G87:G88 G93:G95 G97:G98 G100:G105 G111 G114 G124 G129 G191:G192 G196 G198 G204 G209 G213:G214">
    <cfRule type="cellIs" dxfId="1833" priority="2690" operator="greaterThan">
      <formula>2</formula>
    </cfRule>
  </conditionalFormatting>
  <conditionalFormatting sqref="I39 I150 I103 I42 I45 I111 I122:I123 I138:I139 I182:I183 I186 J193:K197 J202:K202 J214:K214">
    <cfRule type="cellIs" dxfId="1832" priority="2688" operator="greaterThan">
      <formula>2</formula>
    </cfRule>
  </conditionalFormatting>
  <conditionalFormatting sqref="H44 H64 H199 H82 H100 H120">
    <cfRule type="cellIs" dxfId="1831" priority="2689" operator="greaterThan">
      <formula>2</formula>
    </cfRule>
  </conditionalFormatting>
  <conditionalFormatting sqref="V75 V84 V119 V135:V138 V165 V172 V182:V184 V193:V195 V144 V201 V207">
    <cfRule type="cellIs" dxfId="1830" priority="2686" operator="greaterThan">
      <formula>2</formula>
    </cfRule>
  </conditionalFormatting>
  <conditionalFormatting sqref="U41 U48 U66:U69 U115 U150 U173:U176 U78 U119 U121:U122">
    <cfRule type="cellIs" dxfId="1829" priority="2626" operator="greaterThan">
      <formula>2</formula>
    </cfRule>
  </conditionalFormatting>
  <conditionalFormatting sqref="AF38 AF46 AF48 AF76 AF78 AF85 AF92 AF126:AF127 AF152 AF189 AF215 AF191 AF50 AF129:AF130 AF200:AF201 AF52">
    <cfRule type="cellIs" dxfId="1828" priority="2683" operator="greaterThan">
      <formula>2</formula>
    </cfRule>
  </conditionalFormatting>
  <conditionalFormatting sqref="Y79">
    <cfRule type="cellIs" dxfId="1827" priority="2682" operator="greaterThan">
      <formula>2</formula>
    </cfRule>
  </conditionalFormatting>
  <conditionalFormatting sqref="Y90">
    <cfRule type="cellIs" dxfId="1826" priority="2681" operator="greaterThan">
      <formula>2</formula>
    </cfRule>
  </conditionalFormatting>
  <conditionalFormatting sqref="Y107">
    <cfRule type="cellIs" dxfId="1825" priority="2680" operator="greaterThan">
      <formula>2</formula>
    </cfRule>
  </conditionalFormatting>
  <conditionalFormatting sqref="Y123:Y125">
    <cfRule type="cellIs" dxfId="1824" priority="2679" operator="greaterThan">
      <formula>2</formula>
    </cfRule>
  </conditionalFormatting>
  <conditionalFormatting sqref="Y150">
    <cfRule type="cellIs" dxfId="1823" priority="2678" operator="greaterThan">
      <formula>2</formula>
    </cfRule>
  </conditionalFormatting>
  <conditionalFormatting sqref="V82">
    <cfRule type="cellIs" dxfId="1822" priority="2674" operator="greaterThan">
      <formula>2</formula>
    </cfRule>
  </conditionalFormatting>
  <conditionalFormatting sqref="V85:V86">
    <cfRule type="cellIs" dxfId="1821" priority="2672" operator="greaterThan">
      <formula>1</formula>
    </cfRule>
  </conditionalFormatting>
  <conditionalFormatting sqref="V88 V90:V91 V93:V116 V119:V123">
    <cfRule type="cellIs" dxfId="1820" priority="2671" operator="greaterThan">
      <formula>1</formula>
    </cfRule>
  </conditionalFormatting>
  <conditionalFormatting sqref="V120:V123 V125:V138">
    <cfRule type="cellIs" dxfId="1819" priority="2670" operator="greaterThan">
      <formula>1</formula>
    </cfRule>
  </conditionalFormatting>
  <conditionalFormatting sqref="V145:V148 V150:V169">
    <cfRule type="cellIs" dxfId="1818" priority="2668" operator="greaterThan">
      <formula>1</formula>
    </cfRule>
  </conditionalFormatting>
  <conditionalFormatting sqref="AF119:AF130">
    <cfRule type="cellIs" dxfId="1817" priority="2641" operator="greaterThan">
      <formula>1</formula>
    </cfRule>
  </conditionalFormatting>
  <conditionalFormatting sqref="U75">
    <cfRule type="cellIs" dxfId="1816" priority="2618" operator="greaterThan">
      <formula>1</formula>
    </cfRule>
  </conditionalFormatting>
  <conditionalFormatting sqref="U80 U82 U84:U116 U119">
    <cfRule type="cellIs" dxfId="1815" priority="2617" operator="greaterThan">
      <formula>1</formula>
    </cfRule>
  </conditionalFormatting>
  <conditionalFormatting sqref="U123 U128:U154">
    <cfRule type="cellIs" dxfId="1814" priority="2615" operator="greaterThan">
      <formula>1</formula>
    </cfRule>
  </conditionalFormatting>
  <conditionalFormatting sqref="U177 U182:U220 U245:U246">
    <cfRule type="cellIs" dxfId="1813" priority="2613" operator="greaterThan">
      <formula>1</formula>
    </cfRule>
  </conditionalFormatting>
  <conditionalFormatting sqref="W48 W59 W74:W76 W87 W126:W127 W148 W180 W209 W35 W37:W38 W45:W46 W52 W63 W78 W84:W85 W98 W100:W102 W108 W116 W129:W130 W151:W152 W161:W165 W177:W178 W189 W200 W215 W133 W171 W191:W193">
    <cfRule type="cellIs" dxfId="1812" priority="2612" operator="greaterThan">
      <formula>2</formula>
    </cfRule>
  </conditionalFormatting>
  <conditionalFormatting sqref="W86">
    <cfRule type="cellIs" dxfId="1811" priority="2600" operator="greaterThan">
      <formula>1</formula>
    </cfRule>
  </conditionalFormatting>
  <conditionalFormatting sqref="W109 W111">
    <cfRule type="cellIs" dxfId="1810" priority="2595" operator="greaterThan">
      <formula>1</formula>
    </cfRule>
  </conditionalFormatting>
  <conditionalFormatting sqref="W114:W115">
    <cfRule type="cellIs" dxfId="1809" priority="2594" operator="greaterThan">
      <formula>1</formula>
    </cfRule>
  </conditionalFormatting>
  <conditionalFormatting sqref="W179">
    <cfRule type="cellIs" dxfId="1808" priority="2587" operator="greaterThan">
      <formula>1</formula>
    </cfRule>
  </conditionalFormatting>
  <conditionalFormatting sqref="X37 X45:X46 X48 X75 X84 X98 X105 X108 X127 X177:X178 X197:X198">
    <cfRule type="cellIs" dxfId="1807" priority="2577" operator="greaterThan">
      <formula>2</formula>
    </cfRule>
  </conditionalFormatting>
  <conditionalFormatting sqref="X77">
    <cfRule type="cellIs" dxfId="1806" priority="2574" operator="greaterThan">
      <formula>1</formula>
    </cfRule>
  </conditionalFormatting>
  <conditionalFormatting sqref="X79 X81:X83">
    <cfRule type="cellIs" dxfId="1805" priority="2573" operator="greaterThan">
      <formula>1</formula>
    </cfRule>
  </conditionalFormatting>
  <conditionalFormatting sqref="X109 X111">
    <cfRule type="cellIs" dxfId="1804" priority="2569" operator="greaterThan">
      <formula>1</formula>
    </cfRule>
  </conditionalFormatting>
  <conditionalFormatting sqref="X129:X131 X133:X181">
    <cfRule type="cellIs" dxfId="1803" priority="2551" operator="greaterThan">
      <formula>1</formula>
    </cfRule>
  </conditionalFormatting>
  <conditionalFormatting sqref="Z33 Z40 Z48:Z49 Z79 Z100 Z110:Z111 Z120 Z136 Z153 Z155:Z156 Z183 Z191 Z220 Z85:Z86 Z126:Z127 Z189 Z197">
    <cfRule type="cellIs" dxfId="1802" priority="2544" operator="greaterThan">
      <formula>2</formula>
    </cfRule>
  </conditionalFormatting>
  <conditionalFormatting sqref="Z66">
    <cfRule type="cellIs" dxfId="1801" priority="2538" operator="greaterThan">
      <formula>2</formula>
    </cfRule>
  </conditionalFormatting>
  <conditionalFormatting sqref="Z121:Z124">
    <cfRule type="cellIs" dxfId="1800" priority="2533" operator="greaterThan">
      <formula>1</formula>
    </cfRule>
  </conditionalFormatting>
  <conditionalFormatting sqref="Z184:Z187">
    <cfRule type="cellIs" dxfId="1799" priority="2528" operator="greaterThan">
      <formula>1</formula>
    </cfRule>
  </conditionalFormatting>
  <conditionalFormatting sqref="AF185">
    <cfRule type="cellIs" dxfId="1798" priority="2386" operator="greaterThan">
      <formula>1</formula>
    </cfRule>
  </conditionalFormatting>
  <conditionalFormatting sqref="AA112">
    <cfRule type="cellIs" dxfId="1797" priority="2489" operator="greaterThan">
      <formula>1</formula>
    </cfRule>
  </conditionalFormatting>
  <conditionalFormatting sqref="AA53:AA54 AA89 AA92 AA129">
    <cfRule type="cellIs" dxfId="1796" priority="2522" operator="greaterThan">
      <formula>2</formula>
    </cfRule>
  </conditionalFormatting>
  <conditionalFormatting sqref="AA40">
    <cfRule type="cellIs" dxfId="1795" priority="2506" operator="greaterThan">
      <formula>2</formula>
    </cfRule>
  </conditionalFormatting>
  <conditionalFormatting sqref="AA50 AA52">
    <cfRule type="cellIs" dxfId="1794" priority="2504" operator="greaterThan">
      <formula>2</formula>
    </cfRule>
  </conditionalFormatting>
  <conditionalFormatting sqref="W133">
    <cfRule type="cellIs" dxfId="1793" priority="2310" operator="greaterThan">
      <formula>1</formula>
    </cfRule>
  </conditionalFormatting>
  <conditionalFormatting sqref="AA60">
    <cfRule type="cellIs" dxfId="1792" priority="2501" operator="greaterThan">
      <formula>2</formula>
    </cfRule>
  </conditionalFormatting>
  <conditionalFormatting sqref="AA72">
    <cfRule type="cellIs" dxfId="1791" priority="2500" operator="greaterThan">
      <formula>2</formula>
    </cfRule>
  </conditionalFormatting>
  <conditionalFormatting sqref="AA76 AA78 AA82">
    <cfRule type="cellIs" dxfId="1790" priority="2499" operator="greaterThan">
      <formula>2</formula>
    </cfRule>
  </conditionalFormatting>
  <conditionalFormatting sqref="W41">
    <cfRule type="cellIs" dxfId="1789" priority="2327" operator="greaterThan">
      <formula>1</formula>
    </cfRule>
  </conditionalFormatting>
  <conditionalFormatting sqref="U56:U57">
    <cfRule type="cellIs" dxfId="1788" priority="2337" operator="greaterThan">
      <formula>1</formula>
    </cfRule>
  </conditionalFormatting>
  <conditionalFormatting sqref="AA88">
    <cfRule type="cellIs" dxfId="1787" priority="2496" operator="greaterThan">
      <formula>2</formula>
    </cfRule>
  </conditionalFormatting>
  <conditionalFormatting sqref="AA91">
    <cfRule type="cellIs" dxfId="1786" priority="2495" operator="greaterThan">
      <formula>2</formula>
    </cfRule>
  </conditionalFormatting>
  <conditionalFormatting sqref="AA100">
    <cfRule type="cellIs" dxfId="1785" priority="2493" operator="greaterThan">
      <formula>1</formula>
    </cfRule>
  </conditionalFormatting>
  <conditionalFormatting sqref="AA107">
    <cfRule type="cellIs" dxfId="1784" priority="2492" operator="greaterThan">
      <formula>1</formula>
    </cfRule>
  </conditionalFormatting>
  <conditionalFormatting sqref="AA99">
    <cfRule type="cellIs" dxfId="1783" priority="2491" operator="greaterThan">
      <formula>2</formula>
    </cfRule>
  </conditionalFormatting>
  <conditionalFormatting sqref="AA106">
    <cfRule type="cellIs" dxfId="1782" priority="2490" operator="greaterThan">
      <formula>2</formula>
    </cfRule>
  </conditionalFormatting>
  <conditionalFormatting sqref="AA128">
    <cfRule type="cellIs" dxfId="1781" priority="2488" operator="greaterThan">
      <formula>2</formula>
    </cfRule>
  </conditionalFormatting>
  <conditionalFormatting sqref="AA131">
    <cfRule type="cellIs" dxfId="1780" priority="2487" operator="greaterThan">
      <formula>2</formula>
    </cfRule>
  </conditionalFormatting>
  <conditionalFormatting sqref="AA135">
    <cfRule type="cellIs" dxfId="1779" priority="2486" operator="greaterThan">
      <formula>2</formula>
    </cfRule>
  </conditionalFormatting>
  <conditionalFormatting sqref="AF208:AF209">
    <cfRule type="cellIs" dxfId="1778" priority="2383" operator="greaterThan">
      <formula>1</formula>
    </cfRule>
  </conditionalFormatting>
  <conditionalFormatting sqref="AA147 AA154 AA156">
    <cfRule type="cellIs" dxfId="1777" priority="2483" operator="greaterThan">
      <formula>2</formula>
    </cfRule>
  </conditionalFormatting>
  <conditionalFormatting sqref="AA184">
    <cfRule type="cellIs" dxfId="1776" priority="2478" operator="greaterThan">
      <formula>2</formula>
    </cfRule>
  </conditionalFormatting>
  <conditionalFormatting sqref="AA198 AA202">
    <cfRule type="cellIs" dxfId="1775" priority="2477" operator="greaterThan">
      <formula>2</formula>
    </cfRule>
  </conditionalFormatting>
  <conditionalFormatting sqref="AA215">
    <cfRule type="cellIs" dxfId="1774" priority="2473" operator="greaterThan">
      <formula>2</formula>
    </cfRule>
  </conditionalFormatting>
  <conditionalFormatting sqref="AC47:AC48 AC79 AC93:AC94 AC103 AC152 AC154 AC186:AC187 AC200:AC202 AC100 AC109 AC158">
    <cfRule type="cellIs" dxfId="1773" priority="2472" operator="greaterThan">
      <formula>2</formula>
    </cfRule>
  </conditionalFormatting>
  <conditionalFormatting sqref="AI70 AI72">
    <cfRule type="cellIs" dxfId="1772" priority="2432" operator="greaterThan">
      <formula>1</formula>
    </cfRule>
  </conditionalFormatting>
  <conditionalFormatting sqref="AD46:AD47 AD86 AD95:AD97 AD104 AD106 AD130:AD131 AD149 AD159 AD170 AD197 AD199 AD205">
    <cfRule type="cellIs" dxfId="1771" priority="2457" operator="greaterThan">
      <formula>2</formula>
    </cfRule>
  </conditionalFormatting>
  <conditionalFormatting sqref="AI106:AI107">
    <cfRule type="cellIs" dxfId="1770" priority="2426" operator="greaterThan">
      <formula>1</formula>
    </cfRule>
  </conditionalFormatting>
  <conditionalFormatting sqref="AD105">
    <cfRule type="cellIs" dxfId="1769" priority="2452" operator="greaterThan">
      <formula>1</formula>
    </cfRule>
  </conditionalFormatting>
  <conditionalFormatting sqref="AD107">
    <cfRule type="cellIs" dxfId="1768" priority="2450" operator="greaterThan">
      <formula>1</formula>
    </cfRule>
  </conditionalFormatting>
  <conditionalFormatting sqref="AD110 AD112:AD113 AD115:AD116 AD119:AD134">
    <cfRule type="cellIs" dxfId="1767" priority="2449" operator="greaterThan">
      <formula>1</formula>
    </cfRule>
  </conditionalFormatting>
  <conditionalFormatting sqref="AD132:AD134 AD137:AD153">
    <cfRule type="cellIs" dxfId="1766" priority="2448" operator="greaterThan">
      <formula>1</formula>
    </cfRule>
  </conditionalFormatting>
  <conditionalFormatting sqref="AD150:AD153 AD155:AD163">
    <cfRule type="cellIs" dxfId="1765" priority="2447" operator="greaterThan">
      <formula>1</formula>
    </cfRule>
  </conditionalFormatting>
  <conditionalFormatting sqref="AD160:AD163 AD165:AD174">
    <cfRule type="cellIs" dxfId="1764" priority="2446" operator="greaterThan">
      <formula>1</formula>
    </cfRule>
  </conditionalFormatting>
  <conditionalFormatting sqref="AD171:AD174 AD176:AD201">
    <cfRule type="cellIs" dxfId="1763" priority="2445" operator="greaterThan">
      <formula>1</formula>
    </cfRule>
  </conditionalFormatting>
  <conditionalFormatting sqref="AD198">
    <cfRule type="cellIs" dxfId="1762" priority="2444" operator="greaterThan">
      <formula>1</formula>
    </cfRule>
  </conditionalFormatting>
  <conditionalFormatting sqref="AD200:AD201 AD203">
    <cfRule type="cellIs" dxfId="1761" priority="2443" operator="greaterThan">
      <formula>1</formula>
    </cfRule>
  </conditionalFormatting>
  <conditionalFormatting sqref="AD206:AD209 AD211:AD220 AD245">
    <cfRule type="cellIs" dxfId="1760" priority="2442" operator="greaterThan">
      <formula>1</formula>
    </cfRule>
  </conditionalFormatting>
  <conditionalFormatting sqref="AI36 AI43:AI44 AI64 AI66 AI87:AI90 AI99 AI132 AI143 AI154 AI168:AI170 AI179:AI181 AI197:AI198 AI219 AI50:AI51 AI68 AI74 AI96 AI105 AI108:AI109 AI136 AI172 AI204 AI206">
    <cfRule type="cellIs" dxfId="1759" priority="2441" operator="greaterThan">
      <formula>2</formula>
    </cfRule>
  </conditionalFormatting>
  <conditionalFormatting sqref="AI32 AI34:AI40">
    <cfRule type="cellIs" dxfId="1758" priority="2440" operator="greaterThan">
      <formula>1</formula>
    </cfRule>
  </conditionalFormatting>
  <conditionalFormatting sqref="AI37:AI40">
    <cfRule type="cellIs" dxfId="1757" priority="2439" operator="greaterThan">
      <formula>1</formula>
    </cfRule>
  </conditionalFormatting>
  <conditionalFormatting sqref="AI42">
    <cfRule type="cellIs" dxfId="1756" priority="2438" operator="greaterThan">
      <formula>1</formula>
    </cfRule>
  </conditionalFormatting>
  <conditionalFormatting sqref="AI45 AI47">
    <cfRule type="cellIs" dxfId="1755" priority="2437" operator="greaterThan">
      <formula>1</formula>
    </cfRule>
  </conditionalFormatting>
  <conditionalFormatting sqref="AI52">
    <cfRule type="cellIs" dxfId="1754" priority="2436" operator="greaterThan">
      <formula>1</formula>
    </cfRule>
  </conditionalFormatting>
  <conditionalFormatting sqref="AI54 AI57 AI59 AI61:AI68">
    <cfRule type="cellIs" dxfId="1753" priority="2435" operator="greaterThan">
      <formula>1</formula>
    </cfRule>
  </conditionalFormatting>
  <conditionalFormatting sqref="AI65">
    <cfRule type="cellIs" dxfId="1752" priority="2434" operator="greaterThan">
      <formula>1</formula>
    </cfRule>
  </conditionalFormatting>
  <conditionalFormatting sqref="AI67">
    <cfRule type="cellIs" dxfId="1751" priority="2433" operator="greaterThan">
      <formula>1</formula>
    </cfRule>
  </conditionalFormatting>
  <conditionalFormatting sqref="AI75:AI77">
    <cfRule type="cellIs" dxfId="1750" priority="2431" operator="greaterThan">
      <formula>1</formula>
    </cfRule>
  </conditionalFormatting>
  <conditionalFormatting sqref="AI91">
    <cfRule type="cellIs" dxfId="1749" priority="2429" operator="greaterThan">
      <formula>1</formula>
    </cfRule>
  </conditionalFormatting>
  <conditionalFormatting sqref="X105:X109">
    <cfRule type="cellIs" dxfId="1748" priority="2274" operator="greaterThan">
      <formula>1</formula>
    </cfRule>
  </conditionalFormatting>
  <conditionalFormatting sqref="AI98">
    <cfRule type="cellIs" dxfId="1747" priority="2428" operator="greaterThan">
      <formula>1</formula>
    </cfRule>
  </conditionalFormatting>
  <conditionalFormatting sqref="AI100 AI103">
    <cfRule type="cellIs" dxfId="1746" priority="2427" operator="greaterThan">
      <formula>1</formula>
    </cfRule>
  </conditionalFormatting>
  <conditionalFormatting sqref="AI111:AI112">
    <cfRule type="cellIs" dxfId="1745" priority="2425" operator="greaterThan">
      <formula>1</formula>
    </cfRule>
  </conditionalFormatting>
  <conditionalFormatting sqref="AI138:AI140 AI142:AI147">
    <cfRule type="cellIs" dxfId="1744" priority="2421" operator="greaterThan">
      <formula>1</formula>
    </cfRule>
  </conditionalFormatting>
  <conditionalFormatting sqref="AI182:AI183">
    <cfRule type="cellIs" dxfId="1743" priority="2416" operator="greaterThan">
      <formula>1</formula>
    </cfRule>
  </conditionalFormatting>
  <conditionalFormatting sqref="AI187:AI188 AI190:AI201">
    <cfRule type="cellIs" dxfId="1742" priority="2415" operator="greaterThan">
      <formula>1</formula>
    </cfRule>
  </conditionalFormatting>
  <conditionalFormatting sqref="AI199:AI201">
    <cfRule type="cellIs" dxfId="1741" priority="2414" operator="greaterThan">
      <formula>1</formula>
    </cfRule>
  </conditionalFormatting>
  <conditionalFormatting sqref="AF91">
    <cfRule type="cellIs" dxfId="1740" priority="2360" operator="greaterThan">
      <formula>1</formula>
    </cfRule>
  </conditionalFormatting>
  <conditionalFormatting sqref="AI205">
    <cfRule type="cellIs" dxfId="1739" priority="2413" operator="greaterThan">
      <formula>1</formula>
    </cfRule>
  </conditionalFormatting>
  <conditionalFormatting sqref="AI208 AI213:AI220 AI210">
    <cfRule type="cellIs" dxfId="1738" priority="2412" operator="greaterThan">
      <formula>1</formula>
    </cfRule>
  </conditionalFormatting>
  <conditionalFormatting sqref="AI220 AI245">
    <cfRule type="cellIs" dxfId="1737" priority="2411" operator="greaterThan">
      <formula>1</formula>
    </cfRule>
  </conditionalFormatting>
  <conditionalFormatting sqref="AF34:AF37">
    <cfRule type="cellIs" dxfId="1736" priority="2409" operator="greaterThan">
      <formula>1</formula>
    </cfRule>
  </conditionalFormatting>
  <conditionalFormatting sqref="AF39">
    <cfRule type="cellIs" dxfId="1735" priority="2408" operator="greaterThan">
      <formula>1</formula>
    </cfRule>
  </conditionalFormatting>
  <conditionalFormatting sqref="AF45">
    <cfRule type="cellIs" dxfId="1734" priority="2407" operator="greaterThan">
      <formula>1</formula>
    </cfRule>
  </conditionalFormatting>
  <conditionalFormatting sqref="AF59">
    <cfRule type="cellIs" dxfId="1733" priority="2406" operator="greaterThan">
      <formula>1</formula>
    </cfRule>
  </conditionalFormatting>
  <conditionalFormatting sqref="AF75">
    <cfRule type="cellIs" dxfId="1732" priority="2405" operator="greaterThan">
      <formula>1</formula>
    </cfRule>
  </conditionalFormatting>
  <conditionalFormatting sqref="AF84">
    <cfRule type="cellIs" dxfId="1731" priority="2404" operator="greaterThan">
      <formula>1</formula>
    </cfRule>
  </conditionalFormatting>
  <conditionalFormatting sqref="AF87">
    <cfRule type="cellIs" dxfId="1730" priority="2403" operator="greaterThan">
      <formula>1</formula>
    </cfRule>
  </conditionalFormatting>
  <conditionalFormatting sqref="AA105">
    <cfRule type="cellIs" dxfId="1729" priority="2237" operator="greaterThan">
      <formula>1</formula>
    </cfRule>
  </conditionalFormatting>
  <conditionalFormatting sqref="AF98">
    <cfRule type="cellIs" dxfId="1728" priority="2402" operator="greaterThan">
      <formula>1</formula>
    </cfRule>
  </conditionalFormatting>
  <conditionalFormatting sqref="AF102">
    <cfRule type="cellIs" dxfId="1727" priority="2401" operator="greaterThan">
      <formula>1</formula>
    </cfRule>
  </conditionalFormatting>
  <conditionalFormatting sqref="AF101">
    <cfRule type="cellIs" dxfId="1726" priority="2400" operator="greaterThan">
      <formula>1</formula>
    </cfRule>
  </conditionalFormatting>
  <conditionalFormatting sqref="AF105">
    <cfRule type="cellIs" dxfId="1725" priority="2399" operator="greaterThan">
      <formula>1</formula>
    </cfRule>
  </conditionalFormatting>
  <conditionalFormatting sqref="AF107">
    <cfRule type="cellIs" dxfId="1724" priority="2398" operator="greaterThan">
      <formula>1</formula>
    </cfRule>
  </conditionalFormatting>
  <conditionalFormatting sqref="AF108">
    <cfRule type="cellIs" dxfId="1723" priority="2397" operator="greaterThan">
      <formula>1</formula>
    </cfRule>
  </conditionalFormatting>
  <conditionalFormatting sqref="AF112">
    <cfRule type="cellIs" dxfId="1722" priority="2396" operator="greaterThan">
      <formula>1</formula>
    </cfRule>
  </conditionalFormatting>
  <conditionalFormatting sqref="AA78">
    <cfRule type="cellIs" dxfId="1721" priority="2243" operator="greaterThan">
      <formula>1</formula>
    </cfRule>
  </conditionalFormatting>
  <conditionalFormatting sqref="AF148">
    <cfRule type="cellIs" dxfId="1720" priority="2391" operator="greaterThan">
      <formula>1</formula>
    </cfRule>
  </conditionalFormatting>
  <conditionalFormatting sqref="AF190">
    <cfRule type="cellIs" dxfId="1719" priority="2385" operator="greaterThan">
      <formula>1</formula>
    </cfRule>
  </conditionalFormatting>
  <conditionalFormatting sqref="AF192:AF193 AF195:AF198">
    <cfRule type="cellIs" dxfId="1718" priority="2384" operator="greaterThan">
      <formula>1</formula>
    </cfRule>
  </conditionalFormatting>
  <conditionalFormatting sqref="AE36:AE37">
    <cfRule type="cellIs" dxfId="1717" priority="2379" operator="greaterThan">
      <formula>1</formula>
    </cfRule>
  </conditionalFormatting>
  <conditionalFormatting sqref="Y41:Y42">
    <cfRule type="cellIs" dxfId="1716" priority="2378" operator="greaterThan">
      <formula>1</formula>
    </cfRule>
  </conditionalFormatting>
  <conditionalFormatting sqref="W52">
    <cfRule type="cellIs" dxfId="1715" priority="2325" operator="greaterThan">
      <formula>1</formula>
    </cfRule>
  </conditionalFormatting>
  <conditionalFormatting sqref="AI33">
    <cfRule type="cellIs" dxfId="1714" priority="2149" operator="greaterThan">
      <formula>2</formula>
    </cfRule>
  </conditionalFormatting>
  <conditionalFormatting sqref="AI48:AI49">
    <cfRule type="cellIs" dxfId="1713" priority="2135" operator="greaterThan">
      <formula>2</formula>
    </cfRule>
  </conditionalFormatting>
  <conditionalFormatting sqref="V201">
    <cfRule type="cellIs" dxfId="1712" priority="2373" operator="greaterThan">
      <formula>1</formula>
    </cfRule>
  </conditionalFormatting>
  <conditionalFormatting sqref="AF35:AF38">
    <cfRule type="cellIs" dxfId="1711" priority="2368" operator="greaterThan">
      <formula>1</formula>
    </cfRule>
  </conditionalFormatting>
  <conditionalFormatting sqref="AF204">
    <cfRule type="cellIs" dxfId="1710" priority="2342" operator="greaterThan">
      <formula>1</formula>
    </cfRule>
  </conditionalFormatting>
  <conditionalFormatting sqref="AF45:AF49">
    <cfRule type="cellIs" dxfId="1709" priority="2367" operator="greaterThan">
      <formula>1</formula>
    </cfRule>
  </conditionalFormatting>
  <conditionalFormatting sqref="AF52">
    <cfRule type="cellIs" dxfId="1708" priority="2366" operator="greaterThan">
      <formula>1</formula>
    </cfRule>
  </conditionalFormatting>
  <conditionalFormatting sqref="AF54">
    <cfRule type="cellIs" dxfId="1707" priority="2365" operator="greaterThan">
      <formula>1</formula>
    </cfRule>
  </conditionalFormatting>
  <conditionalFormatting sqref="AF63">
    <cfRule type="cellIs" dxfId="1706" priority="2363" operator="greaterThan">
      <formula>1</formula>
    </cfRule>
  </conditionalFormatting>
  <conditionalFormatting sqref="AF82">
    <cfRule type="cellIs" dxfId="1705" priority="2362" operator="greaterThan">
      <formula>1</formula>
    </cfRule>
  </conditionalFormatting>
  <conditionalFormatting sqref="W65:W67">
    <cfRule type="cellIs" dxfId="1704" priority="2321" operator="greaterThan">
      <formula>1</formula>
    </cfRule>
  </conditionalFormatting>
  <conditionalFormatting sqref="AF93:AF94">
    <cfRule type="cellIs" dxfId="1703" priority="2359" operator="greaterThan">
      <formula>1</formula>
    </cfRule>
  </conditionalFormatting>
  <conditionalFormatting sqref="AF108:AF109">
    <cfRule type="cellIs" dxfId="1702" priority="2355" operator="greaterThan">
      <formula>1</formula>
    </cfRule>
  </conditionalFormatting>
  <conditionalFormatting sqref="AF133">
    <cfRule type="cellIs" dxfId="1701" priority="2350" operator="greaterThan">
      <formula>1</formula>
    </cfRule>
  </conditionalFormatting>
  <conditionalFormatting sqref="AF137:AF138">
    <cfRule type="cellIs" dxfId="1700" priority="2349" operator="greaterThan">
      <formula>1</formula>
    </cfRule>
  </conditionalFormatting>
  <conditionalFormatting sqref="W140:W141">
    <cfRule type="cellIs" dxfId="1699" priority="2309" operator="greaterThan">
      <formula>1</formula>
    </cfRule>
  </conditionalFormatting>
  <conditionalFormatting sqref="AF154">
    <cfRule type="cellIs" dxfId="1698" priority="2347" operator="greaterThan">
      <formula>1</formula>
    </cfRule>
  </conditionalFormatting>
  <conditionalFormatting sqref="AF208:AF210">
    <cfRule type="cellIs" dxfId="1697" priority="2341" operator="greaterThan">
      <formula>1</formula>
    </cfRule>
  </conditionalFormatting>
  <conditionalFormatting sqref="AF186:AF189">
    <cfRule type="cellIs" dxfId="1696" priority="2345" operator="greaterThan">
      <formula>1</formula>
    </cfRule>
  </conditionalFormatting>
  <conditionalFormatting sqref="AF191:AF193">
    <cfRule type="cellIs" dxfId="1695" priority="2344" operator="greaterThan">
      <formula>1</formula>
    </cfRule>
  </conditionalFormatting>
  <conditionalFormatting sqref="AF201">
    <cfRule type="cellIs" dxfId="1694" priority="2343" operator="greaterThan">
      <formula>1</formula>
    </cfRule>
  </conditionalFormatting>
  <conditionalFormatting sqref="W215:W219">
    <cfRule type="cellIs" dxfId="1693" priority="2298" operator="greaterThan">
      <formula>1</formula>
    </cfRule>
  </conditionalFormatting>
  <conditionalFormatting sqref="U80">
    <cfRule type="cellIs" dxfId="1692" priority="2332" operator="greaterThan">
      <formula>1</formula>
    </cfRule>
  </conditionalFormatting>
  <conditionalFormatting sqref="U82">
    <cfRule type="cellIs" dxfId="1691" priority="2331" operator="greaterThan">
      <formula>1</formula>
    </cfRule>
  </conditionalFormatting>
  <conditionalFormatting sqref="U121:U123">
    <cfRule type="cellIs" dxfId="1690" priority="2330" operator="greaterThan">
      <formula>1</formula>
    </cfRule>
  </conditionalFormatting>
  <conditionalFormatting sqref="W35:W38">
    <cfRule type="cellIs" dxfId="1689" priority="2328" operator="greaterThan">
      <formula>1</formula>
    </cfRule>
  </conditionalFormatting>
  <conditionalFormatting sqref="X102">
    <cfRule type="cellIs" dxfId="1688" priority="2288" operator="greaterThan">
      <formula>1</formula>
    </cfRule>
  </conditionalFormatting>
  <conditionalFormatting sqref="W45:W49">
    <cfRule type="cellIs" dxfId="1687" priority="2326" operator="greaterThan">
      <formula>1</formula>
    </cfRule>
  </conditionalFormatting>
  <conditionalFormatting sqref="W59:W61">
    <cfRule type="cellIs" dxfId="1686" priority="2323" operator="greaterThan">
      <formula>1</formula>
    </cfRule>
  </conditionalFormatting>
  <conditionalFormatting sqref="W63">
    <cfRule type="cellIs" dxfId="1685" priority="2322" operator="greaterThan">
      <formula>1</formula>
    </cfRule>
  </conditionalFormatting>
  <conditionalFormatting sqref="W82">
    <cfRule type="cellIs" dxfId="1684" priority="2320" operator="greaterThan">
      <formula>1</formula>
    </cfRule>
  </conditionalFormatting>
  <conditionalFormatting sqref="W84:W88">
    <cfRule type="cellIs" dxfId="1683" priority="2319" operator="greaterThan">
      <formula>1</formula>
    </cfRule>
  </conditionalFormatting>
  <conditionalFormatting sqref="W91">
    <cfRule type="cellIs" dxfId="1682" priority="2318" operator="greaterThan">
      <formula>1</formula>
    </cfRule>
  </conditionalFormatting>
  <conditionalFormatting sqref="W93:W96">
    <cfRule type="cellIs" dxfId="1681" priority="2317" operator="greaterThan">
      <formula>1</formula>
    </cfRule>
  </conditionalFormatting>
  <conditionalFormatting sqref="W98:W102">
    <cfRule type="cellIs" dxfId="1680" priority="2316" operator="greaterThan">
      <formula>1</formula>
    </cfRule>
  </conditionalFormatting>
  <conditionalFormatting sqref="W104">
    <cfRule type="cellIs" dxfId="1679" priority="2315" operator="greaterThan">
      <formula>1</formula>
    </cfRule>
  </conditionalFormatting>
  <conditionalFormatting sqref="W108:W109">
    <cfRule type="cellIs" dxfId="1678" priority="2314" operator="greaterThan">
      <formula>1</formula>
    </cfRule>
  </conditionalFormatting>
  <conditionalFormatting sqref="W111">
    <cfRule type="cellIs" dxfId="1677" priority="2313" operator="greaterThan">
      <formula>1</formula>
    </cfRule>
  </conditionalFormatting>
  <conditionalFormatting sqref="W114:W116">
    <cfRule type="cellIs" dxfId="1676" priority="2312" operator="greaterThan">
      <formula>1</formula>
    </cfRule>
  </conditionalFormatting>
  <conditionalFormatting sqref="W119:W120">
    <cfRule type="cellIs" dxfId="1675" priority="2311" operator="greaterThan">
      <formula>1</formula>
    </cfRule>
  </conditionalFormatting>
  <conditionalFormatting sqref="X185">
    <cfRule type="cellIs" dxfId="1674" priority="2271" operator="greaterThan">
      <formula>1</formula>
    </cfRule>
  </conditionalFormatting>
  <conditionalFormatting sqref="W154:W155">
    <cfRule type="cellIs" dxfId="1673" priority="2308" operator="greaterThan">
      <formula>1</formula>
    </cfRule>
  </conditionalFormatting>
  <conditionalFormatting sqref="W171:W175">
    <cfRule type="cellIs" dxfId="1672" priority="2307" operator="greaterThan">
      <formula>1</formula>
    </cfRule>
  </conditionalFormatting>
  <conditionalFormatting sqref="W177:W181">
    <cfRule type="cellIs" dxfId="1671" priority="2306" operator="greaterThan">
      <formula>1</formula>
    </cfRule>
  </conditionalFormatting>
  <conditionalFormatting sqref="W184">
    <cfRule type="cellIs" dxfId="1670" priority="2305" operator="greaterThan">
      <formula>1</formula>
    </cfRule>
  </conditionalFormatting>
  <conditionalFormatting sqref="W186:W189">
    <cfRule type="cellIs" dxfId="1669" priority="2304" operator="greaterThan">
      <formula>1</formula>
    </cfRule>
  </conditionalFormatting>
  <conditionalFormatting sqref="W191:W193">
    <cfRule type="cellIs" dxfId="1668" priority="2303" operator="greaterThan">
      <formula>1</formula>
    </cfRule>
  </conditionalFormatting>
  <conditionalFormatting sqref="W199:W200">
    <cfRule type="cellIs" dxfId="1667" priority="2302" operator="greaterThan">
      <formula>1</formula>
    </cfRule>
  </conditionalFormatting>
  <conditionalFormatting sqref="W204">
    <cfRule type="cellIs" dxfId="1666" priority="2301" operator="greaterThan">
      <formula>1</formula>
    </cfRule>
  </conditionalFormatting>
  <conditionalFormatting sqref="W208:W210">
    <cfRule type="cellIs" dxfId="1665" priority="2300" operator="greaterThan">
      <formula>1</formula>
    </cfRule>
  </conditionalFormatting>
  <conditionalFormatting sqref="W213">
    <cfRule type="cellIs" dxfId="1664" priority="2299" operator="greaterThan">
      <formula>1</formula>
    </cfRule>
  </conditionalFormatting>
  <conditionalFormatting sqref="W245">
    <cfRule type="cellIs" dxfId="1663" priority="2293" operator="greaterThan">
      <formula>1</formula>
    </cfRule>
  </conditionalFormatting>
  <conditionalFormatting sqref="X52">
    <cfRule type="cellIs" dxfId="1662" priority="2292" operator="greaterThan">
      <formula>1</formula>
    </cfRule>
  </conditionalFormatting>
  <conditionalFormatting sqref="X32">
    <cfRule type="cellIs" dxfId="1661" priority="2277" operator="greaterThan">
      <formula>1</formula>
    </cfRule>
  </conditionalFormatting>
  <conditionalFormatting sqref="X82">
    <cfRule type="cellIs" dxfId="1660" priority="2290" operator="greaterThan">
      <formula>1</formula>
    </cfRule>
  </conditionalFormatting>
  <conditionalFormatting sqref="X84:X88">
    <cfRule type="cellIs" dxfId="1659" priority="2289" operator="greaterThan">
      <formula>1</formula>
    </cfRule>
  </conditionalFormatting>
  <conditionalFormatting sqref="X104">
    <cfRule type="cellIs" dxfId="1658" priority="2287" operator="greaterThan">
      <formula>1</formula>
    </cfRule>
  </conditionalFormatting>
  <conditionalFormatting sqref="X111">
    <cfRule type="cellIs" dxfId="1657" priority="2286" operator="greaterThan">
      <formula>1</formula>
    </cfRule>
  </conditionalFormatting>
  <conditionalFormatting sqref="X114:X116">
    <cfRule type="cellIs" dxfId="1656" priority="2285" operator="greaterThan">
      <formula>1</formula>
    </cfRule>
  </conditionalFormatting>
  <conditionalFormatting sqref="X119:X120">
    <cfRule type="cellIs" dxfId="1655" priority="2284" operator="greaterThan">
      <formula>1</formula>
    </cfRule>
  </conditionalFormatting>
  <conditionalFormatting sqref="X133">
    <cfRule type="cellIs" dxfId="1654" priority="2283" operator="greaterThan">
      <formula>1</formula>
    </cfRule>
  </conditionalFormatting>
  <conditionalFormatting sqref="X184">
    <cfRule type="cellIs" dxfId="1653" priority="2282" operator="greaterThan">
      <formula>1</formula>
    </cfRule>
  </conditionalFormatting>
  <conditionalFormatting sqref="X186:X189">
    <cfRule type="cellIs" dxfId="1652" priority="2281" operator="greaterThan">
      <formula>1</formula>
    </cfRule>
  </conditionalFormatting>
  <conditionalFormatting sqref="X191:X193">
    <cfRule type="cellIs" dxfId="1651" priority="2280" operator="greaterThan">
      <formula>1</formula>
    </cfRule>
  </conditionalFormatting>
  <conditionalFormatting sqref="X204">
    <cfRule type="cellIs" dxfId="1650" priority="2279" operator="greaterThan">
      <formula>1</formula>
    </cfRule>
  </conditionalFormatting>
  <conditionalFormatting sqref="X208:X210">
    <cfRule type="cellIs" dxfId="1649" priority="2278" operator="greaterThan">
      <formula>1</formula>
    </cfRule>
  </conditionalFormatting>
  <conditionalFormatting sqref="X81">
    <cfRule type="cellIs" dxfId="1648" priority="2276" operator="greaterThan">
      <formula>1</formula>
    </cfRule>
  </conditionalFormatting>
  <conditionalFormatting sqref="X83">
    <cfRule type="cellIs" dxfId="1647" priority="2275" operator="greaterThan">
      <formula>1</formula>
    </cfRule>
  </conditionalFormatting>
  <conditionalFormatting sqref="X112">
    <cfRule type="cellIs" dxfId="1646" priority="2273" operator="greaterThan">
      <formula>1</formula>
    </cfRule>
  </conditionalFormatting>
  <conditionalFormatting sqref="X190">
    <cfRule type="cellIs" dxfId="1645" priority="2270" operator="greaterThan">
      <formula>1</formula>
    </cfRule>
  </conditionalFormatting>
  <conditionalFormatting sqref="X205">
    <cfRule type="cellIs" dxfId="1644" priority="2269" operator="greaterThan">
      <formula>1</formula>
    </cfRule>
  </conditionalFormatting>
  <conditionalFormatting sqref="X206">
    <cfRule type="cellIs" dxfId="1643" priority="2268" operator="greaterThan">
      <formula>1</formula>
    </cfRule>
  </conditionalFormatting>
  <conditionalFormatting sqref="Z39:Z42">
    <cfRule type="cellIs" dxfId="1642" priority="2267" operator="greaterThan">
      <formula>1</formula>
    </cfRule>
  </conditionalFormatting>
  <conditionalFormatting sqref="Z44">
    <cfRule type="cellIs" dxfId="1641" priority="2266" operator="greaterThan">
      <formula>1</formula>
    </cfRule>
  </conditionalFormatting>
  <conditionalFormatting sqref="AI94">
    <cfRule type="cellIs" dxfId="1640" priority="2071" operator="greaterThan">
      <formula>2</formula>
    </cfRule>
  </conditionalFormatting>
  <conditionalFormatting sqref="Z85:Z88">
    <cfRule type="cellIs" dxfId="1639" priority="2265" operator="greaterThan">
      <formula>1</formula>
    </cfRule>
  </conditionalFormatting>
  <conditionalFormatting sqref="Z89">
    <cfRule type="cellIs" dxfId="1638" priority="2264" operator="greaterThan">
      <formula>1</formula>
    </cfRule>
  </conditionalFormatting>
  <conditionalFormatting sqref="Z126:Z130">
    <cfRule type="cellIs" dxfId="1637" priority="2263" operator="greaterThan">
      <formula>1</formula>
    </cfRule>
  </conditionalFormatting>
  <conditionalFormatting sqref="Z159">
    <cfRule type="cellIs" dxfId="1636" priority="2262" operator="greaterThan">
      <formula>1</formula>
    </cfRule>
  </conditionalFormatting>
  <conditionalFormatting sqref="Z189:Z192">
    <cfRule type="cellIs" dxfId="1635" priority="2261" operator="greaterThan">
      <formula>1</formula>
    </cfRule>
  </conditionalFormatting>
  <conditionalFormatting sqref="Z195">
    <cfRule type="cellIs" dxfId="1634" priority="2260" operator="greaterThan">
      <formula>1</formula>
    </cfRule>
  </conditionalFormatting>
  <conditionalFormatting sqref="Z197:Z201">
    <cfRule type="cellIs" dxfId="1633" priority="2259" operator="greaterThan">
      <formula>1</formula>
    </cfRule>
  </conditionalFormatting>
  <conditionalFormatting sqref="Z203:Z206">
    <cfRule type="cellIs" dxfId="1632" priority="2258" operator="greaterThan">
      <formula>1</formula>
    </cfRule>
  </conditionalFormatting>
  <conditionalFormatting sqref="AA79:AA80">
    <cfRule type="cellIs" dxfId="1631" priority="2256" operator="greaterThan">
      <formula>1</formula>
    </cfRule>
  </conditionalFormatting>
  <conditionalFormatting sqref="AA89:AA92">
    <cfRule type="cellIs" dxfId="1630" priority="2255" operator="greaterThan">
      <formula>1</formula>
    </cfRule>
  </conditionalFormatting>
  <conditionalFormatting sqref="AA99:AA103">
    <cfRule type="cellIs" dxfId="1629" priority="2254" operator="greaterThan">
      <formula>1</formula>
    </cfRule>
  </conditionalFormatting>
  <conditionalFormatting sqref="AA106:AA110">
    <cfRule type="cellIs" dxfId="1628" priority="2253" operator="greaterThan">
      <formula>1</formula>
    </cfRule>
  </conditionalFormatting>
  <conditionalFormatting sqref="AA113:AA115">
    <cfRule type="cellIs" dxfId="1627" priority="2252" operator="greaterThan">
      <formula>1</formula>
    </cfRule>
  </conditionalFormatting>
  <conditionalFormatting sqref="AA138:AA139">
    <cfRule type="cellIs" dxfId="1626" priority="2251" operator="greaterThan">
      <formula>1</formula>
    </cfRule>
  </conditionalFormatting>
  <conditionalFormatting sqref="AA61:AA64">
    <cfRule type="cellIs" dxfId="1625" priority="2257" operator="greaterThan">
      <formula>1</formula>
    </cfRule>
  </conditionalFormatting>
  <conditionalFormatting sqref="V140:V143">
    <cfRule type="cellIs" dxfId="1624" priority="2016" operator="greaterThan">
      <formula>2</formula>
    </cfRule>
  </conditionalFormatting>
  <conditionalFormatting sqref="AA32">
    <cfRule type="cellIs" dxfId="1623" priority="2250" operator="greaterThan">
      <formula>1</formula>
    </cfRule>
  </conditionalFormatting>
  <conditionalFormatting sqref="AA34">
    <cfRule type="cellIs" dxfId="1622" priority="2249" operator="greaterThan">
      <formula>1</formula>
    </cfRule>
  </conditionalFormatting>
  <conditionalFormatting sqref="AA36">
    <cfRule type="cellIs" dxfId="1621" priority="2248" operator="greaterThan">
      <formula>1</formula>
    </cfRule>
  </conditionalFormatting>
  <conditionalFormatting sqref="AD135:AD136">
    <cfRule type="cellIs" dxfId="1620" priority="2020" operator="greaterThan">
      <formula>2</formula>
    </cfRule>
  </conditionalFormatting>
  <conditionalFormatting sqref="AA46">
    <cfRule type="cellIs" dxfId="1619" priority="2247" operator="greaterThan">
      <formula>1</formula>
    </cfRule>
  </conditionalFormatting>
  <conditionalFormatting sqref="Y155">
    <cfRule type="cellIs" dxfId="1618" priority="2005" operator="greaterThan">
      <formula>2</formula>
    </cfRule>
  </conditionalFormatting>
  <conditionalFormatting sqref="AA56">
    <cfRule type="cellIs" dxfId="1617" priority="2246" operator="greaterThan">
      <formula>1</formula>
    </cfRule>
  </conditionalFormatting>
  <conditionalFormatting sqref="AA60">
    <cfRule type="cellIs" dxfId="1616" priority="2245" operator="greaterThan">
      <formula>1</formula>
    </cfRule>
  </conditionalFormatting>
  <conditionalFormatting sqref="AA66">
    <cfRule type="cellIs" dxfId="1615" priority="2244" operator="greaterThan">
      <formula>1</formula>
    </cfRule>
  </conditionalFormatting>
  <conditionalFormatting sqref="AI114">
    <cfRule type="cellIs" dxfId="1614" priority="2041" operator="greaterThan">
      <formula>2</formula>
    </cfRule>
  </conditionalFormatting>
  <conditionalFormatting sqref="AC108">
    <cfRule type="cellIs" dxfId="1613" priority="2052" operator="greaterThan">
      <formula>2</formula>
    </cfRule>
  </conditionalFormatting>
  <conditionalFormatting sqref="AI95">
    <cfRule type="cellIs" dxfId="1612" priority="2069" operator="greaterThan">
      <formula>2</formula>
    </cfRule>
  </conditionalFormatting>
  <conditionalFormatting sqref="AA82">
    <cfRule type="cellIs" dxfId="1611" priority="2242" operator="greaterThan">
      <formula>1</formula>
    </cfRule>
  </conditionalFormatting>
  <conditionalFormatting sqref="AA84:AA86">
    <cfRule type="cellIs" dxfId="1610" priority="2241" operator="greaterThan">
      <formula>1</formula>
    </cfRule>
  </conditionalFormatting>
  <conditionalFormatting sqref="AA98">
    <cfRule type="cellIs" dxfId="1609" priority="2238" operator="greaterThan">
      <formula>1</formula>
    </cfRule>
  </conditionalFormatting>
  <conditionalFormatting sqref="AA112">
    <cfRule type="cellIs" dxfId="1608" priority="2236" operator="greaterThan">
      <formula>1</formula>
    </cfRule>
  </conditionalFormatting>
  <conditionalFormatting sqref="AF81">
    <cfRule type="cellIs" dxfId="1607" priority="2092" operator="greaterThan">
      <formula>2</formula>
    </cfRule>
  </conditionalFormatting>
  <conditionalFormatting sqref="AI78:AI79">
    <cfRule type="cellIs" dxfId="1606" priority="2100" operator="greaterThan">
      <formula>2</formula>
    </cfRule>
  </conditionalFormatting>
  <conditionalFormatting sqref="AA65">
    <cfRule type="cellIs" dxfId="1605" priority="2113" operator="greaterThan">
      <formula>2</formula>
    </cfRule>
  </conditionalFormatting>
  <conditionalFormatting sqref="U63">
    <cfRule type="cellIs" dxfId="1604" priority="2114" operator="greaterThan">
      <formula>2</formula>
    </cfRule>
  </conditionalFormatting>
  <conditionalFormatting sqref="AA135">
    <cfRule type="cellIs" dxfId="1603" priority="2234" operator="greaterThan">
      <formula>1</formula>
    </cfRule>
  </conditionalFormatting>
  <conditionalFormatting sqref="AA137">
    <cfRule type="cellIs" dxfId="1602" priority="2233" operator="greaterThan">
      <formula>1</formula>
    </cfRule>
  </conditionalFormatting>
  <conditionalFormatting sqref="AA141">
    <cfRule type="cellIs" dxfId="1601" priority="2232" operator="greaterThan">
      <formula>1</formula>
    </cfRule>
  </conditionalFormatting>
  <conditionalFormatting sqref="X50:X51">
    <cfRule type="cellIs" dxfId="1600" priority="2133" operator="greaterThan">
      <formula>2</formula>
    </cfRule>
  </conditionalFormatting>
  <conditionalFormatting sqref="AA160">
    <cfRule type="cellIs" dxfId="1599" priority="2231" operator="greaterThan">
      <formula>1</formula>
    </cfRule>
  </conditionalFormatting>
  <conditionalFormatting sqref="AA162">
    <cfRule type="cellIs" dxfId="1598" priority="2230" operator="greaterThan">
      <formula>1</formula>
    </cfRule>
  </conditionalFormatting>
  <conditionalFormatting sqref="AA35">
    <cfRule type="cellIs" dxfId="1597" priority="2146" operator="greaterThan">
      <formula>2</formula>
    </cfRule>
  </conditionalFormatting>
  <conditionalFormatting sqref="AC52:AD52">
    <cfRule type="cellIs" dxfId="1596" priority="2130" operator="greaterThan">
      <formula>2</formula>
    </cfRule>
  </conditionalFormatting>
  <conditionalFormatting sqref="W50:W51">
    <cfRule type="cellIs" dxfId="1595" priority="2134" operator="greaterThan">
      <formula>2</formula>
    </cfRule>
  </conditionalFormatting>
  <conditionalFormatting sqref="W34">
    <cfRule type="cellIs" dxfId="1594" priority="2147" operator="greaterThan">
      <formula>2</formula>
    </cfRule>
  </conditionalFormatting>
  <conditionalFormatting sqref="AC33">
    <cfRule type="cellIs" dxfId="1593" priority="2151" operator="greaterThan">
      <formula>2</formula>
    </cfRule>
  </conditionalFormatting>
  <conditionalFormatting sqref="T33">
    <cfRule type="cellIs" dxfId="1592" priority="2155" operator="greaterThan">
      <formula>2</formula>
    </cfRule>
  </conditionalFormatting>
  <conditionalFormatting sqref="X33">
    <cfRule type="cellIs" dxfId="1591" priority="2153" operator="greaterThan">
      <formula>2</formula>
    </cfRule>
  </conditionalFormatting>
  <conditionalFormatting sqref="AA33">
    <cfRule type="cellIs" dxfId="1590" priority="2152" operator="greaterThan">
      <formula>2</formula>
    </cfRule>
  </conditionalFormatting>
  <conditionalFormatting sqref="AF33">
    <cfRule type="cellIs" dxfId="1589" priority="2150" operator="greaterThan">
      <formula>2</formula>
    </cfRule>
  </conditionalFormatting>
  <conditionalFormatting sqref="Y32">
    <cfRule type="cellIs" dxfId="1588" priority="2148" operator="greaterThan">
      <formula>2</formula>
    </cfRule>
  </conditionalFormatting>
  <conditionalFormatting sqref="Z71">
    <cfRule type="cellIs" dxfId="1587" priority="2110" operator="greaterThan">
      <formula>2</formula>
    </cfRule>
  </conditionalFormatting>
  <conditionalFormatting sqref="Z38">
    <cfRule type="cellIs" dxfId="1586" priority="2145" operator="greaterThan">
      <formula>2</formula>
    </cfRule>
  </conditionalFormatting>
  <conditionalFormatting sqref="W39:W40">
    <cfRule type="cellIs" dxfId="1585" priority="2144" operator="greaterThan">
      <formula>2</formula>
    </cfRule>
  </conditionalFormatting>
  <conditionalFormatting sqref="AI41">
    <cfRule type="cellIs" dxfId="1584" priority="2143" operator="greaterThan">
      <formula>2</formula>
    </cfRule>
  </conditionalFormatting>
  <conditionalFormatting sqref="W42:W44">
    <cfRule type="cellIs" dxfId="1583" priority="2142" operator="greaterThan">
      <formula>2</formula>
    </cfRule>
  </conditionalFormatting>
  <conditionalFormatting sqref="X42">
    <cfRule type="cellIs" dxfId="1582" priority="2141" operator="greaterThan">
      <formula>2</formula>
    </cfRule>
  </conditionalFormatting>
  <conditionalFormatting sqref="Z43">
    <cfRule type="cellIs" dxfId="1581" priority="2140" operator="greaterThan">
      <formula>2</formula>
    </cfRule>
  </conditionalFormatting>
  <conditionalFormatting sqref="AF43">
    <cfRule type="cellIs" dxfId="1580" priority="2139" operator="greaterThan">
      <formula>2</formula>
    </cfRule>
  </conditionalFormatting>
  <conditionalFormatting sqref="Z45:AA45">
    <cfRule type="cellIs" dxfId="1579" priority="2138" operator="greaterThan">
      <formula>2</formula>
    </cfRule>
  </conditionalFormatting>
  <conditionalFormatting sqref="U46">
    <cfRule type="cellIs" dxfId="1578" priority="2137" operator="greaterThan">
      <formula>2</formula>
    </cfRule>
  </conditionalFormatting>
  <conditionalFormatting sqref="AI46">
    <cfRule type="cellIs" dxfId="1577" priority="2136" operator="greaterThan">
      <formula>2</formula>
    </cfRule>
  </conditionalFormatting>
  <conditionalFormatting sqref="W79">
    <cfRule type="cellIs" dxfId="1576" priority="2098" operator="greaterThan">
      <formula>2</formula>
    </cfRule>
  </conditionalFormatting>
  <conditionalFormatting sqref="V80">
    <cfRule type="cellIs" dxfId="1575" priority="2096" operator="greaterThan">
      <formula>2</formula>
    </cfRule>
  </conditionalFormatting>
  <conditionalFormatting sqref="AD51">
    <cfRule type="cellIs" dxfId="1574" priority="2132" operator="greaterThan">
      <formula>2</formula>
    </cfRule>
  </conditionalFormatting>
  <conditionalFormatting sqref="AF51">
    <cfRule type="cellIs" dxfId="1573" priority="2131" operator="greaterThan">
      <formula>2</formula>
    </cfRule>
  </conditionalFormatting>
  <conditionalFormatting sqref="T104">
    <cfRule type="cellIs" dxfId="1572" priority="1839" operator="greaterThan">
      <formula>2</formula>
    </cfRule>
  </conditionalFormatting>
  <conditionalFormatting sqref="W53:X53">
    <cfRule type="cellIs" dxfId="1571" priority="2129" operator="greaterThan">
      <formula>2</formula>
    </cfRule>
  </conditionalFormatting>
  <conditionalFormatting sqref="Z53">
    <cfRule type="cellIs" dxfId="1570" priority="2128" operator="greaterThan">
      <formula>2</formula>
    </cfRule>
  </conditionalFormatting>
  <conditionalFormatting sqref="AC53">
    <cfRule type="cellIs" dxfId="1569" priority="2127" operator="greaterThan">
      <formula>2</formula>
    </cfRule>
  </conditionalFormatting>
  <conditionalFormatting sqref="AF53 AI53">
    <cfRule type="cellIs" dxfId="1568" priority="2126" operator="greaterThan">
      <formula>2</formula>
    </cfRule>
  </conditionalFormatting>
  <conditionalFormatting sqref="AI73">
    <cfRule type="cellIs" dxfId="1567" priority="2106" operator="greaterThan">
      <formula>2</formula>
    </cfRule>
  </conditionalFormatting>
  <conditionalFormatting sqref="AI69">
    <cfRule type="cellIs" dxfId="1566" priority="2105" operator="greaterThan">
      <formula>2</formula>
    </cfRule>
  </conditionalFormatting>
  <conditionalFormatting sqref="U53">
    <cfRule type="cellIs" dxfId="1565" priority="2108" operator="greaterThan">
      <formula>2</formula>
    </cfRule>
  </conditionalFormatting>
  <conditionalFormatting sqref="W57">
    <cfRule type="cellIs" dxfId="1564" priority="2121" operator="greaterThan">
      <formula>2</formula>
    </cfRule>
  </conditionalFormatting>
  <conditionalFormatting sqref="W90">
    <cfRule type="cellIs" dxfId="1563" priority="2081" operator="greaterThan">
      <formula>2</formula>
    </cfRule>
  </conditionalFormatting>
  <conditionalFormatting sqref="W62">
    <cfRule type="cellIs" dxfId="1562" priority="2115" operator="greaterThan">
      <formula>2</formula>
    </cfRule>
  </conditionalFormatting>
  <conditionalFormatting sqref="AF90">
    <cfRule type="cellIs" dxfId="1561" priority="2079" operator="greaterThan">
      <formula>2</formula>
    </cfRule>
  </conditionalFormatting>
  <conditionalFormatting sqref="AA59">
    <cfRule type="cellIs" dxfId="1560" priority="2116" operator="greaterThan">
      <formula>2</formula>
    </cfRule>
  </conditionalFormatting>
  <conditionalFormatting sqref="U71:U74">
    <cfRule type="cellIs" dxfId="1559" priority="2111" operator="greaterThan">
      <formula>2</formula>
    </cfRule>
  </conditionalFormatting>
  <conditionalFormatting sqref="W64">
    <cfRule type="cellIs" dxfId="1558" priority="2104" operator="greaterThan">
      <formula>2</formula>
    </cfRule>
  </conditionalFormatting>
  <conditionalFormatting sqref="AD36">
    <cfRule type="cellIs" dxfId="1557" priority="2103" operator="greaterThan">
      <formula>2</formula>
    </cfRule>
  </conditionalFormatting>
  <conditionalFormatting sqref="U76:U77">
    <cfRule type="cellIs" dxfId="1556" priority="2102" operator="greaterThan">
      <formula>2</formula>
    </cfRule>
  </conditionalFormatting>
  <conditionalFormatting sqref="W103">
    <cfRule type="cellIs" dxfId="1555" priority="2061" operator="greaterThan">
      <formula>2</formula>
    </cfRule>
  </conditionalFormatting>
  <conditionalFormatting sqref="U79">
    <cfRule type="cellIs" dxfId="1554" priority="2099" operator="greaterThan">
      <formula>2</formula>
    </cfRule>
  </conditionalFormatting>
  <conditionalFormatting sqref="U81">
    <cfRule type="cellIs" dxfId="1553" priority="2094" operator="greaterThan">
      <formula>2</formula>
    </cfRule>
  </conditionalFormatting>
  <conditionalFormatting sqref="AA81">
    <cfRule type="cellIs" dxfId="1552" priority="2093" operator="greaterThan">
      <formula>2</formula>
    </cfRule>
  </conditionalFormatting>
  <conditionalFormatting sqref="W107">
    <cfRule type="cellIs" dxfId="1551" priority="2053" operator="greaterThan">
      <formula>2</formula>
    </cfRule>
  </conditionalFormatting>
  <conditionalFormatting sqref="AF83 AI83">
    <cfRule type="cellIs" dxfId="1550" priority="2088" operator="greaterThan">
      <formula>2</formula>
    </cfRule>
  </conditionalFormatting>
  <conditionalFormatting sqref="Y84:Z84">
    <cfRule type="cellIs" dxfId="1549" priority="2087" operator="greaterThan">
      <formula>2</formula>
    </cfRule>
  </conditionalFormatting>
  <conditionalFormatting sqref="AC84">
    <cfRule type="cellIs" dxfId="1548" priority="2086" operator="greaterThan">
      <formula>2</formula>
    </cfRule>
  </conditionalFormatting>
  <conditionalFormatting sqref="AI84">
    <cfRule type="cellIs" dxfId="1547" priority="2085" operator="greaterThan">
      <formula>2</formula>
    </cfRule>
  </conditionalFormatting>
  <conditionalFormatting sqref="X113">
    <cfRule type="cellIs" dxfId="1546" priority="2044" operator="greaterThan">
      <formula>2</formula>
    </cfRule>
  </conditionalFormatting>
  <conditionalFormatting sqref="V89:X89">
    <cfRule type="cellIs" dxfId="1545" priority="2082" operator="greaterThan">
      <formula>2</formula>
    </cfRule>
  </conditionalFormatting>
  <conditionalFormatting sqref="Z90">
    <cfRule type="cellIs" dxfId="1544" priority="2080" operator="greaterThan">
      <formula>2</formula>
    </cfRule>
  </conditionalFormatting>
  <conditionalFormatting sqref="AA116">
    <cfRule type="cellIs" dxfId="1543" priority="2039" operator="greaterThan">
      <formula>2</formula>
    </cfRule>
  </conditionalFormatting>
  <conditionalFormatting sqref="AI92">
    <cfRule type="cellIs" dxfId="1542" priority="2075" operator="greaterThan">
      <formula>2</formula>
    </cfRule>
  </conditionalFormatting>
  <conditionalFormatting sqref="AC122">
    <cfRule type="cellIs" dxfId="1541" priority="2034" operator="greaterThan">
      <formula>2</formula>
    </cfRule>
  </conditionalFormatting>
  <conditionalFormatting sqref="V124">
    <cfRule type="cellIs" dxfId="1540" priority="2032" operator="greaterThan">
      <formula>2</formula>
    </cfRule>
  </conditionalFormatting>
  <conditionalFormatting sqref="Y95">
    <cfRule type="cellIs" dxfId="1539" priority="2070" operator="greaterThan">
      <formula>2</formula>
    </cfRule>
  </conditionalFormatting>
  <conditionalFormatting sqref="Z125">
    <cfRule type="cellIs" dxfId="1538" priority="2030" operator="greaterThan">
      <formula>2</formula>
    </cfRule>
  </conditionalFormatting>
  <conditionalFormatting sqref="W97">
    <cfRule type="cellIs" dxfId="1537" priority="2067" operator="greaterThan">
      <formula>2</formula>
    </cfRule>
  </conditionalFormatting>
  <conditionalFormatting sqref="T97">
    <cfRule type="cellIs" dxfId="1536" priority="2066" operator="greaterThan">
      <formula>2</formula>
    </cfRule>
  </conditionalFormatting>
  <conditionalFormatting sqref="AF97 AI97">
    <cfRule type="cellIs" dxfId="1535" priority="2065" operator="greaterThan">
      <formula>2</formula>
    </cfRule>
  </conditionalFormatting>
  <conditionalFormatting sqref="AI101:AI102">
    <cfRule type="cellIs" dxfId="1534" priority="2062" operator="greaterThan">
      <formula>2</formula>
    </cfRule>
  </conditionalFormatting>
  <conditionalFormatting sqref="X103">
    <cfRule type="cellIs" dxfId="1533" priority="2060" operator="greaterThan">
      <formula>2</formula>
    </cfRule>
  </conditionalFormatting>
  <conditionalFormatting sqref="AA104">
    <cfRule type="cellIs" dxfId="1532" priority="2058" operator="greaterThan">
      <formula>2</formula>
    </cfRule>
  </conditionalFormatting>
  <conditionalFormatting sqref="W105">
    <cfRule type="cellIs" dxfId="1531" priority="2057" operator="greaterThan">
      <formula>2</formula>
    </cfRule>
  </conditionalFormatting>
  <conditionalFormatting sqref="Z105">
    <cfRule type="cellIs" dxfId="1530" priority="2056" operator="greaterThan">
      <formula>2</formula>
    </cfRule>
  </conditionalFormatting>
  <conditionalFormatting sqref="AC105">
    <cfRule type="cellIs" dxfId="1529" priority="2055" operator="greaterThan">
      <formula>2</formula>
    </cfRule>
  </conditionalFormatting>
  <conditionalFormatting sqref="W106">
    <cfRule type="cellIs" dxfId="1528" priority="2054" operator="greaterThan">
      <formula>2</formula>
    </cfRule>
  </conditionalFormatting>
  <conditionalFormatting sqref="AI141">
    <cfRule type="cellIs" dxfId="1527" priority="2013" operator="greaterThan">
      <formula>2</formula>
    </cfRule>
  </conditionalFormatting>
  <conditionalFormatting sqref="AD109">
    <cfRule type="cellIs" dxfId="1526" priority="2051" operator="greaterThan">
      <formula>2</formula>
    </cfRule>
  </conditionalFormatting>
  <conditionalFormatting sqref="W110:X110">
    <cfRule type="cellIs" dxfId="1525" priority="2050" operator="greaterThan">
      <formula>2</formula>
    </cfRule>
  </conditionalFormatting>
  <conditionalFormatting sqref="AI110">
    <cfRule type="cellIs" dxfId="1524" priority="2049" operator="greaterThan">
      <formula>2</formula>
    </cfRule>
  </conditionalFormatting>
  <conditionalFormatting sqref="AA111">
    <cfRule type="cellIs" dxfId="1523" priority="2048" operator="greaterThan">
      <formula>2</formula>
    </cfRule>
  </conditionalFormatting>
  <conditionalFormatting sqref="AD111">
    <cfRule type="cellIs" dxfId="1522" priority="2047" operator="greaterThan">
      <formula>2</formula>
    </cfRule>
  </conditionalFormatting>
  <conditionalFormatting sqref="W112:W113">
    <cfRule type="cellIs" dxfId="1521" priority="2046" operator="greaterThan">
      <formula>2</formula>
    </cfRule>
  </conditionalFormatting>
  <conditionalFormatting sqref="Y112">
    <cfRule type="cellIs" dxfId="1520" priority="2045" operator="greaterThan">
      <formula>2</formula>
    </cfRule>
  </conditionalFormatting>
  <conditionalFormatting sqref="AI113">
    <cfRule type="cellIs" dxfId="1519" priority="2043" operator="greaterThan">
      <formula>2</formula>
    </cfRule>
  </conditionalFormatting>
  <conditionalFormatting sqref="AC114:AD114">
    <cfRule type="cellIs" dxfId="1518" priority="2042" operator="greaterThan">
      <formula>2</formula>
    </cfRule>
  </conditionalFormatting>
  <conditionalFormatting sqref="AF157">
    <cfRule type="cellIs" dxfId="1517" priority="2002" operator="greaterThan">
      <formula>2</formula>
    </cfRule>
  </conditionalFormatting>
  <conditionalFormatting sqref="Z115:Z116">
    <cfRule type="cellIs" dxfId="1516" priority="2040" operator="greaterThan">
      <formula>2</formula>
    </cfRule>
  </conditionalFormatting>
  <conditionalFormatting sqref="AC159">
    <cfRule type="cellIs" dxfId="1515" priority="1999" operator="greaterThan">
      <formula>2</formula>
    </cfRule>
  </conditionalFormatting>
  <conditionalFormatting sqref="U120">
    <cfRule type="cellIs" dxfId="1514" priority="2037" operator="greaterThan">
      <formula>2</formula>
    </cfRule>
  </conditionalFormatting>
  <conditionalFormatting sqref="AI119">
    <cfRule type="cellIs" dxfId="1513" priority="2036" operator="greaterThan">
      <formula>2</formula>
    </cfRule>
  </conditionalFormatting>
  <conditionalFormatting sqref="W121:W123">
    <cfRule type="cellIs" dxfId="1512" priority="2035" operator="greaterThan">
      <formula>2</formula>
    </cfRule>
  </conditionalFormatting>
  <conditionalFormatting sqref="U124:U127">
    <cfRule type="cellIs" dxfId="1511" priority="2033" operator="greaterThan">
      <formula>2</formula>
    </cfRule>
  </conditionalFormatting>
  <conditionalFormatting sqref="AI124">
    <cfRule type="cellIs" dxfId="1510" priority="2031" operator="greaterThan">
      <formula>2</formula>
    </cfRule>
  </conditionalFormatting>
  <conditionalFormatting sqref="Y128:Y130">
    <cfRule type="cellIs" dxfId="1509" priority="2029" operator="greaterThan">
      <formula>2</formula>
    </cfRule>
  </conditionalFormatting>
  <conditionalFormatting sqref="W131:W132">
    <cfRule type="cellIs" dxfId="1508" priority="2028" operator="greaterThan">
      <formula>2</formula>
    </cfRule>
  </conditionalFormatting>
  <conditionalFormatting sqref="Z131:Z132">
    <cfRule type="cellIs" dxfId="1507" priority="2027" operator="greaterThan">
      <formula>2</formula>
    </cfRule>
  </conditionalFormatting>
  <conditionalFormatting sqref="AF131:AF132">
    <cfRule type="cellIs" dxfId="1506" priority="2026" operator="greaterThan">
      <formula>2</formula>
    </cfRule>
  </conditionalFormatting>
  <conditionalFormatting sqref="X132">
    <cfRule type="cellIs" dxfId="1505" priority="2025" operator="greaterThan">
      <formula>2</formula>
    </cfRule>
  </conditionalFormatting>
  <conditionalFormatting sqref="AA133:AA134">
    <cfRule type="cellIs" dxfId="1504" priority="2024" operator="greaterThan">
      <formula>2</formula>
    </cfRule>
  </conditionalFormatting>
  <conditionalFormatting sqref="AF134">
    <cfRule type="cellIs" dxfId="1503" priority="2022" operator="greaterThan">
      <formula>2</formula>
    </cfRule>
  </conditionalFormatting>
  <conditionalFormatting sqref="W135:W139">
    <cfRule type="cellIs" dxfId="1502" priority="2021" operator="greaterThan">
      <formula>2</formula>
    </cfRule>
  </conditionalFormatting>
  <conditionalFormatting sqref="V187:V189">
    <cfRule type="cellIs" dxfId="1501" priority="1983" operator="greaterThan">
      <formula>2</formula>
    </cfRule>
  </conditionalFormatting>
  <conditionalFormatting sqref="AF135:AF136">
    <cfRule type="cellIs" dxfId="1500" priority="2019" operator="greaterThan">
      <formula>2</formula>
    </cfRule>
  </conditionalFormatting>
  <conditionalFormatting sqref="AA136">
    <cfRule type="cellIs" dxfId="1499" priority="2018" operator="greaterThan">
      <formula>2</formula>
    </cfRule>
  </conditionalFormatting>
  <conditionalFormatting sqref="AI137">
    <cfRule type="cellIs" dxfId="1498" priority="2017" operator="greaterThan">
      <formula>2</formula>
    </cfRule>
  </conditionalFormatting>
  <conditionalFormatting sqref="W190">
    <cfRule type="cellIs" dxfId="1497" priority="1979" operator="greaterThan">
      <formula>2</formula>
    </cfRule>
  </conditionalFormatting>
  <conditionalFormatting sqref="AA140">
    <cfRule type="cellIs" dxfId="1496" priority="2015" operator="greaterThan">
      <formula>2</formula>
    </cfRule>
  </conditionalFormatting>
  <conditionalFormatting sqref="Z141">
    <cfRule type="cellIs" dxfId="1495" priority="2014" operator="greaterThan">
      <formula>2</formula>
    </cfRule>
  </conditionalFormatting>
  <conditionalFormatting sqref="W142:W143">
    <cfRule type="cellIs" dxfId="1494" priority="2012" operator="greaterThan">
      <formula>2</formula>
    </cfRule>
  </conditionalFormatting>
  <conditionalFormatting sqref="AI148">
    <cfRule type="cellIs" dxfId="1493" priority="2011" operator="greaterThan">
      <formula>2</formula>
    </cfRule>
  </conditionalFormatting>
  <conditionalFormatting sqref="V149">
    <cfRule type="cellIs" dxfId="1492" priority="2010" operator="greaterThan">
      <formula>2</formula>
    </cfRule>
  </conditionalFormatting>
  <conditionalFormatting sqref="AA152">
    <cfRule type="cellIs" dxfId="1491" priority="2009" operator="greaterThan">
      <formula>2</formula>
    </cfRule>
  </conditionalFormatting>
  <conditionalFormatting sqref="W153">
    <cfRule type="cellIs" dxfId="1490" priority="2008" operator="greaterThan">
      <formula>2</formula>
    </cfRule>
  </conditionalFormatting>
  <conditionalFormatting sqref="AD154">
    <cfRule type="cellIs" dxfId="1489" priority="2007" operator="greaterThan">
      <formula>2</formula>
    </cfRule>
  </conditionalFormatting>
  <conditionalFormatting sqref="U155">
    <cfRule type="cellIs" dxfId="1488" priority="2006" operator="greaterThan">
      <formula>2</formula>
    </cfRule>
  </conditionalFormatting>
  <conditionalFormatting sqref="W156:W157">
    <cfRule type="cellIs" dxfId="1487" priority="2004" operator="greaterThan">
      <formula>2</formula>
    </cfRule>
  </conditionalFormatting>
  <conditionalFormatting sqref="AC157">
    <cfRule type="cellIs" dxfId="1486" priority="2003" operator="greaterThan">
      <formula>2</formula>
    </cfRule>
  </conditionalFormatting>
  <conditionalFormatting sqref="Z158">
    <cfRule type="cellIs" dxfId="1485" priority="2001" operator="greaterThan">
      <formula>2</formula>
    </cfRule>
  </conditionalFormatting>
  <conditionalFormatting sqref="AA159">
    <cfRule type="cellIs" dxfId="1484" priority="2000" operator="greaterThan">
      <formula>2</formula>
    </cfRule>
  </conditionalFormatting>
  <conditionalFormatting sqref="AI159">
    <cfRule type="cellIs" dxfId="1483" priority="1998" operator="greaterThan">
      <formula>2</formula>
    </cfRule>
  </conditionalFormatting>
  <conditionalFormatting sqref="Z160:Z161">
    <cfRule type="cellIs" dxfId="1482" priority="1997" operator="greaterThan">
      <formula>2</formula>
    </cfRule>
  </conditionalFormatting>
  <conditionalFormatting sqref="AA161">
    <cfRule type="cellIs" dxfId="1481" priority="1996" operator="greaterThan">
      <formula>2</formula>
    </cfRule>
  </conditionalFormatting>
  <conditionalFormatting sqref="AC162:AC163">
    <cfRule type="cellIs" dxfId="1480" priority="1995" operator="greaterThan">
      <formula>2</formula>
    </cfRule>
  </conditionalFormatting>
  <conditionalFormatting sqref="AD164">
    <cfRule type="cellIs" dxfId="1479" priority="1994" operator="greaterThan">
      <formula>2</formula>
    </cfRule>
  </conditionalFormatting>
  <conditionalFormatting sqref="W166:W170">
    <cfRule type="cellIs" dxfId="1478" priority="1993" operator="greaterThan">
      <formula>2</formula>
    </cfRule>
  </conditionalFormatting>
  <conditionalFormatting sqref="V170">
    <cfRule type="cellIs" dxfId="1477" priority="1992" operator="greaterThan">
      <formula>2</formula>
    </cfRule>
  </conditionalFormatting>
  <conditionalFormatting sqref="C27">
    <cfRule type="cellIs" dxfId="1476" priority="1937" operator="greaterThan">
      <formula>1</formula>
    </cfRule>
  </conditionalFormatting>
  <conditionalFormatting sqref="AH173:AI175">
    <cfRule type="cellIs" dxfId="1475" priority="1991" operator="greaterThan">
      <formula>2</formula>
    </cfRule>
  </conditionalFormatting>
  <conditionalFormatting sqref="W176">
    <cfRule type="cellIs" dxfId="1474" priority="1989" operator="greaterThan">
      <formula>2</formula>
    </cfRule>
  </conditionalFormatting>
  <conditionalFormatting sqref="V177">
    <cfRule type="cellIs" dxfId="1473" priority="1988" operator="greaterThan">
      <formula>2</formula>
    </cfRule>
  </conditionalFormatting>
  <conditionalFormatting sqref="U178:U181">
    <cfRule type="cellIs" dxfId="1472" priority="1987" operator="greaterThan">
      <formula>2</formula>
    </cfRule>
  </conditionalFormatting>
  <conditionalFormatting sqref="W182:X183">
    <cfRule type="cellIs" dxfId="1471" priority="1986" operator="greaterThan">
      <formula>2</formula>
    </cfRule>
  </conditionalFormatting>
  <conditionalFormatting sqref="AI184:AI186">
    <cfRule type="cellIs" dxfId="1470" priority="1985" operator="greaterThan">
      <formula>2</formula>
    </cfRule>
  </conditionalFormatting>
  <conditionalFormatting sqref="W185">
    <cfRule type="cellIs" dxfId="1469" priority="1984" operator="greaterThan">
      <formula>2</formula>
    </cfRule>
  </conditionalFormatting>
  <conditionalFormatting sqref="Z188">
    <cfRule type="cellIs" dxfId="1468" priority="1982" operator="greaterThan">
      <formula>2</formula>
    </cfRule>
  </conditionalFormatting>
  <conditionalFormatting sqref="AA189">
    <cfRule type="cellIs" dxfId="1467" priority="1981" operator="greaterThan">
      <formula>2</formula>
    </cfRule>
  </conditionalFormatting>
  <conditionalFormatting sqref="AH189:AI189">
    <cfRule type="cellIs" dxfId="1466" priority="1980" operator="greaterThan">
      <formula>2</formula>
    </cfRule>
  </conditionalFormatting>
  <conditionalFormatting sqref="AC191:AC192">
    <cfRule type="cellIs" dxfId="1465" priority="1978" operator="greaterThan">
      <formula>2</formula>
    </cfRule>
  </conditionalFormatting>
  <conditionalFormatting sqref="Z193:Z194">
    <cfRule type="cellIs" dxfId="1464" priority="1977" operator="greaterThan">
      <formula>2</formula>
    </cfRule>
  </conditionalFormatting>
  <conditionalFormatting sqref="W194:W198">
    <cfRule type="cellIs" dxfId="1463" priority="1976" operator="greaterThan">
      <formula>2</formula>
    </cfRule>
  </conditionalFormatting>
  <conditionalFormatting sqref="V198:V200">
    <cfRule type="cellIs" dxfId="1462" priority="1975" operator="greaterThan">
      <formula>2</formula>
    </cfRule>
  </conditionalFormatting>
  <conditionalFormatting sqref="Z196">
    <cfRule type="cellIs" dxfId="1461" priority="1974" operator="greaterThan">
      <formula>2</formula>
    </cfRule>
  </conditionalFormatting>
  <conditionalFormatting sqref="AF194">
    <cfRule type="cellIs" dxfId="1460" priority="1972" operator="greaterThan">
      <formula>2</formula>
    </cfRule>
  </conditionalFormatting>
  <conditionalFormatting sqref="W201:W203">
    <cfRule type="cellIs" dxfId="1459" priority="1971" operator="greaterThan">
      <formula>2</formula>
    </cfRule>
  </conditionalFormatting>
  <conditionalFormatting sqref="X202:X203">
    <cfRule type="cellIs" dxfId="1458" priority="1970" operator="greaterThan">
      <formula>2</formula>
    </cfRule>
  </conditionalFormatting>
  <conditionalFormatting sqref="AF202:AF203 AI202:AI203">
    <cfRule type="cellIs" dxfId="1457" priority="1969" operator="greaterThan">
      <formula>2</formula>
    </cfRule>
  </conditionalFormatting>
  <conditionalFormatting sqref="Z202">
    <cfRule type="cellIs" dxfId="1456" priority="1968" operator="greaterThan">
      <formula>2</formula>
    </cfRule>
  </conditionalFormatting>
  <conditionalFormatting sqref="AD202">
    <cfRule type="cellIs" dxfId="1455" priority="1967" operator="greaterThan">
      <formula>2</formula>
    </cfRule>
  </conditionalFormatting>
  <conditionalFormatting sqref="AA203">
    <cfRule type="cellIs" dxfId="1454" priority="1966" operator="greaterThan">
      <formula>2</formula>
    </cfRule>
  </conditionalFormatting>
  <conditionalFormatting sqref="V203">
    <cfRule type="cellIs" dxfId="1453" priority="1965" operator="greaterThan">
      <formula>2</formula>
    </cfRule>
  </conditionalFormatting>
  <conditionalFormatting sqref="V205:W206">
    <cfRule type="cellIs" dxfId="1452" priority="1964" operator="greaterThan">
      <formula>2</formula>
    </cfRule>
  </conditionalFormatting>
  <conditionalFormatting sqref="AC205:AC206">
    <cfRule type="cellIs" dxfId="1451" priority="1963" operator="greaterThan">
      <formula>2</formula>
    </cfRule>
  </conditionalFormatting>
  <conditionalFormatting sqref="AF205:AF206">
    <cfRule type="cellIs" dxfId="1450" priority="1962" operator="greaterThan">
      <formula>2</formula>
    </cfRule>
  </conditionalFormatting>
  <conditionalFormatting sqref="AD204">
    <cfRule type="cellIs" dxfId="1449" priority="1961" operator="greaterThan">
      <formula>2</formula>
    </cfRule>
  </conditionalFormatting>
  <conditionalFormatting sqref="W207:X207">
    <cfRule type="cellIs" dxfId="1448" priority="1960" operator="greaterThan">
      <formula>2</formula>
    </cfRule>
  </conditionalFormatting>
  <conditionalFormatting sqref="Z207:AA207 AA208">
    <cfRule type="cellIs" dxfId="1447" priority="1959" operator="greaterThan">
      <formula>2</formula>
    </cfRule>
  </conditionalFormatting>
  <conditionalFormatting sqref="AC207">
    <cfRule type="cellIs" dxfId="1446" priority="1958" operator="greaterThan">
      <formula>2</formula>
    </cfRule>
  </conditionalFormatting>
  <conditionalFormatting sqref="AF207 AI207">
    <cfRule type="cellIs" dxfId="1445" priority="1957" operator="greaterThan">
      <formula>2</formula>
    </cfRule>
  </conditionalFormatting>
  <conditionalFormatting sqref="V211:V212">
    <cfRule type="cellIs" dxfId="1444" priority="1956" operator="greaterThan">
      <formula>2</formula>
    </cfRule>
  </conditionalFormatting>
  <conditionalFormatting sqref="W211:W212">
    <cfRule type="cellIs" dxfId="1443" priority="1955" operator="greaterThan">
      <formula>2</formula>
    </cfRule>
  </conditionalFormatting>
  <conditionalFormatting sqref="AI211:AI212">
    <cfRule type="cellIs" dxfId="1442" priority="1954" operator="greaterThan">
      <formula>2</formula>
    </cfRule>
  </conditionalFormatting>
  <conditionalFormatting sqref="AD210">
    <cfRule type="cellIs" dxfId="1441" priority="1953" operator="greaterThan">
      <formula>2</formula>
    </cfRule>
  </conditionalFormatting>
  <conditionalFormatting sqref="AI209">
    <cfRule type="cellIs" dxfId="1440" priority="1952" operator="greaterThan">
      <formula>2</formula>
    </cfRule>
  </conditionalFormatting>
  <conditionalFormatting sqref="W214">
    <cfRule type="cellIs" dxfId="1439" priority="1951" operator="greaterThan">
      <formula>2</formula>
    </cfRule>
  </conditionalFormatting>
  <conditionalFormatting sqref="W220">
    <cfRule type="cellIs" dxfId="1438" priority="1950" operator="greaterThan">
      <formula>2</formula>
    </cfRule>
  </conditionalFormatting>
  <conditionalFormatting sqref="AA220">
    <cfRule type="cellIs" dxfId="1437" priority="1949" operator="greaterThan">
      <formula>2</formula>
    </cfRule>
  </conditionalFormatting>
  <conditionalFormatting sqref="AF220">
    <cfRule type="cellIs" dxfId="1436" priority="1948" operator="greaterThan">
      <formula>2</formula>
    </cfRule>
  </conditionalFormatting>
  <conditionalFormatting sqref="W246">
    <cfRule type="cellIs" dxfId="1435" priority="1941" operator="greaterThan">
      <formula>2</formula>
    </cfRule>
  </conditionalFormatting>
  <conditionalFormatting sqref="AD246">
    <cfRule type="cellIs" dxfId="1434" priority="1940" operator="greaterThan">
      <formula>2</formula>
    </cfRule>
  </conditionalFormatting>
  <conditionalFormatting sqref="AI246">
    <cfRule type="cellIs" dxfId="1433" priority="1939" operator="greaterThan">
      <formula>2</formula>
    </cfRule>
  </conditionalFormatting>
  <conditionalFormatting sqref="AI177">
    <cfRule type="cellIs" dxfId="1432" priority="1938" operator="greaterThan">
      <formula>2</formula>
    </cfRule>
  </conditionalFormatting>
  <conditionalFormatting sqref="C32">
    <cfRule type="cellIs" dxfId="1431" priority="1936" operator="greaterThan">
      <formula>1</formula>
    </cfRule>
  </conditionalFormatting>
  <conditionalFormatting sqref="C39">
    <cfRule type="cellIs" dxfId="1430" priority="1935" operator="greaterThan">
      <formula>1</formula>
    </cfRule>
  </conditionalFormatting>
  <conditionalFormatting sqref="C45:C46">
    <cfRule type="cellIs" dxfId="1429" priority="1934" operator="greaterThan">
      <formula>1</formula>
    </cfRule>
  </conditionalFormatting>
  <conditionalFormatting sqref="C50:C52">
    <cfRule type="cellIs" dxfId="1428" priority="1933" operator="greaterThan">
      <formula>1</formula>
    </cfRule>
  </conditionalFormatting>
  <conditionalFormatting sqref="C57">
    <cfRule type="cellIs" dxfId="1427" priority="1932" operator="greaterThan">
      <formula>1</formula>
    </cfRule>
  </conditionalFormatting>
  <conditionalFormatting sqref="C59">
    <cfRule type="cellIs" dxfId="1426" priority="1931" operator="greaterThan">
      <formula>1</formula>
    </cfRule>
  </conditionalFormatting>
  <conditionalFormatting sqref="C65">
    <cfRule type="cellIs" dxfId="1425" priority="1930" operator="greaterThan">
      <formula>1</formula>
    </cfRule>
  </conditionalFormatting>
  <conditionalFormatting sqref="C75">
    <cfRule type="cellIs" dxfId="1424" priority="1929" operator="greaterThan">
      <formula>1</formula>
    </cfRule>
  </conditionalFormatting>
  <conditionalFormatting sqref="C78:C80">
    <cfRule type="cellIs" dxfId="1423" priority="1928" operator="greaterThan">
      <formula>1</formula>
    </cfRule>
  </conditionalFormatting>
  <conditionalFormatting sqref="C88:C89">
    <cfRule type="cellIs" dxfId="1422" priority="1927" operator="greaterThan">
      <formula>1</formula>
    </cfRule>
  </conditionalFormatting>
  <conditionalFormatting sqref="C90">
    <cfRule type="cellIs" dxfId="1421" priority="1926" operator="greaterThan">
      <formula>1</formula>
    </cfRule>
  </conditionalFormatting>
  <conditionalFormatting sqref="C87">
    <cfRule type="cellIs" dxfId="1420" priority="1925" operator="greaterThan">
      <formula>2</formula>
    </cfRule>
  </conditionalFormatting>
  <conditionalFormatting sqref="C96:C99">
    <cfRule type="cellIs" dxfId="1419" priority="1924" operator="greaterThan">
      <formula>1</formula>
    </cfRule>
  </conditionalFormatting>
  <conditionalFormatting sqref="C104:C105">
    <cfRule type="cellIs" dxfId="1418" priority="1923" operator="greaterThan">
      <formula>1</formula>
    </cfRule>
  </conditionalFormatting>
  <conditionalFormatting sqref="C109:C112">
    <cfRule type="cellIs" dxfId="1417" priority="1922" operator="greaterThan">
      <formula>1</formula>
    </cfRule>
  </conditionalFormatting>
  <conditionalFormatting sqref="C115:C116">
    <cfRule type="cellIs" dxfId="1416" priority="1921" operator="greaterThan">
      <formula>1</formula>
    </cfRule>
  </conditionalFormatting>
  <conditionalFormatting sqref="C123">
    <cfRule type="cellIs" dxfId="1415" priority="1920" operator="greaterThan">
      <formula>1</formula>
    </cfRule>
  </conditionalFormatting>
  <conditionalFormatting sqref="C127:C128">
    <cfRule type="cellIs" dxfId="1414" priority="1919" operator="greaterThan">
      <formula>1</formula>
    </cfRule>
  </conditionalFormatting>
  <conditionalFormatting sqref="C131:C132">
    <cfRule type="cellIs" dxfId="1413" priority="1918" operator="greaterThan">
      <formula>1</formula>
    </cfRule>
  </conditionalFormatting>
  <conditionalFormatting sqref="C134">
    <cfRule type="cellIs" dxfId="1412" priority="1917" operator="greaterThan">
      <formula>1</formula>
    </cfRule>
  </conditionalFormatting>
  <conditionalFormatting sqref="C136:C137">
    <cfRule type="cellIs" dxfId="1411" priority="1916" operator="greaterThan">
      <formula>1</formula>
    </cfRule>
  </conditionalFormatting>
  <conditionalFormatting sqref="C140:C142">
    <cfRule type="cellIs" dxfId="1410" priority="1915" operator="greaterThan">
      <formula>1</formula>
    </cfRule>
  </conditionalFormatting>
  <conditionalFormatting sqref="C143">
    <cfRule type="cellIs" dxfId="1409" priority="1914" operator="greaterThan">
      <formula>1</formula>
    </cfRule>
  </conditionalFormatting>
  <conditionalFormatting sqref="C145:C153">
    <cfRule type="cellIs" dxfId="1408" priority="1913" operator="greaterThan">
      <formula>1</formula>
    </cfRule>
  </conditionalFormatting>
  <conditionalFormatting sqref="C155">
    <cfRule type="cellIs" dxfId="1407" priority="1912" operator="greaterThan">
      <formula>1</formula>
    </cfRule>
  </conditionalFormatting>
  <conditionalFormatting sqref="C162:C168">
    <cfRule type="cellIs" dxfId="1406" priority="1911" operator="greaterThan">
      <formula>1</formula>
    </cfRule>
  </conditionalFormatting>
  <conditionalFormatting sqref="C171:C172">
    <cfRule type="cellIs" dxfId="1405" priority="1910" operator="greaterThan">
      <formula>1</formula>
    </cfRule>
  </conditionalFormatting>
  <conditionalFormatting sqref="C183">
    <cfRule type="cellIs" dxfId="1404" priority="1909" operator="greaterThan">
      <formula>1</formula>
    </cfRule>
  </conditionalFormatting>
  <conditionalFormatting sqref="C185">
    <cfRule type="cellIs" dxfId="1403" priority="1908" operator="greaterThan">
      <formula>1</formula>
    </cfRule>
  </conditionalFormatting>
  <conditionalFormatting sqref="C188">
    <cfRule type="cellIs" dxfId="1402" priority="1907" operator="greaterThan">
      <formula>1</formula>
    </cfRule>
  </conditionalFormatting>
  <conditionalFormatting sqref="C190:C192">
    <cfRule type="cellIs" dxfId="1401" priority="1906" operator="greaterThan">
      <formula>1</formula>
    </cfRule>
  </conditionalFormatting>
  <conditionalFormatting sqref="C196">
    <cfRule type="cellIs" dxfId="1400" priority="1905" operator="greaterThan">
      <formula>1</formula>
    </cfRule>
  </conditionalFormatting>
  <conditionalFormatting sqref="C201">
    <cfRule type="cellIs" dxfId="1399" priority="1904" operator="greaterThan">
      <formula>1</formula>
    </cfRule>
  </conditionalFormatting>
  <conditionalFormatting sqref="C203">
    <cfRule type="cellIs" dxfId="1398" priority="1903" operator="greaterThan">
      <formula>1</formula>
    </cfRule>
  </conditionalFormatting>
  <conditionalFormatting sqref="C206:C208">
    <cfRule type="cellIs" dxfId="1397" priority="1902" operator="greaterThan">
      <formula>1</formula>
    </cfRule>
  </conditionalFormatting>
  <conditionalFormatting sqref="C210">
    <cfRule type="cellIs" dxfId="1396" priority="1901" operator="greaterThan">
      <formula>1</formula>
    </cfRule>
  </conditionalFormatting>
  <conditionalFormatting sqref="C214">
    <cfRule type="cellIs" dxfId="1395" priority="1900" operator="greaterThan">
      <formula>1</formula>
    </cfRule>
  </conditionalFormatting>
  <conditionalFormatting sqref="C216:C218">
    <cfRule type="cellIs" dxfId="1394" priority="1899" operator="greaterThan">
      <formula>1</formula>
    </cfRule>
  </conditionalFormatting>
  <conditionalFormatting sqref="AJ151">
    <cfRule type="cellIs" dxfId="1393" priority="1878" operator="greaterThan">
      <formula>1</formula>
    </cfRule>
  </conditionalFormatting>
  <conditionalFormatting sqref="AJ213">
    <cfRule type="cellIs" dxfId="1392" priority="1876" operator="greaterThan">
      <formula>1</formula>
    </cfRule>
  </conditionalFormatting>
  <conditionalFormatting sqref="AK245:AK246 AK27:AK38 AK41:AK50 AK54:AK94 AK96:AK109 AK111:AK113 AK115:AK116 AK122:AK184 AK186:AK214 AK219:AK220 AK119:AK120">
    <cfRule type="cellIs" dxfId="1391" priority="1897" operator="greaterThan">
      <formula>1</formula>
    </cfRule>
  </conditionalFormatting>
  <conditionalFormatting sqref="AK80">
    <cfRule type="cellIs" dxfId="1390" priority="1895" operator="greaterThan">
      <formula>1</formula>
    </cfRule>
  </conditionalFormatting>
  <conditionalFormatting sqref="AK85">
    <cfRule type="cellIs" dxfId="1389" priority="1892" operator="greaterThan">
      <formula>1</formula>
    </cfRule>
  </conditionalFormatting>
  <conditionalFormatting sqref="AJ39:AK40 AL40">
    <cfRule type="cellIs" dxfId="1388" priority="1889" operator="greaterThan">
      <formula>2</formula>
    </cfRule>
  </conditionalFormatting>
  <conditionalFormatting sqref="AK51 AK53">
    <cfRule type="cellIs" dxfId="1387" priority="1888" operator="greaterThan">
      <formula>2</formula>
    </cfRule>
  </conditionalFormatting>
  <conditionalFormatting sqref="AK52">
    <cfRule type="cellIs" dxfId="1386" priority="1887" operator="greaterThan">
      <formula>2</formula>
    </cfRule>
  </conditionalFormatting>
  <conditionalFormatting sqref="AJ54:AJ59">
    <cfRule type="cellIs" dxfId="1385" priority="1886" operator="greaterThan">
      <formula>1</formula>
    </cfRule>
  </conditionalFormatting>
  <conditionalFormatting sqref="AJ51 AJ53">
    <cfRule type="cellIs" dxfId="1384" priority="1885" operator="greaterThan">
      <formula>2</formula>
    </cfRule>
  </conditionalFormatting>
  <conditionalFormatting sqref="AJ52">
    <cfRule type="cellIs" dxfId="1383" priority="1884" operator="greaterThan">
      <formula>2</formula>
    </cfRule>
  </conditionalFormatting>
  <conditionalFormatting sqref="AJ46">
    <cfRule type="cellIs" dxfId="1382" priority="1883" operator="greaterThan">
      <formula>2</formula>
    </cfRule>
  </conditionalFormatting>
  <conditionalFormatting sqref="AJ95:AK95">
    <cfRule type="cellIs" dxfId="1381" priority="1882" operator="greaterThan">
      <formula>2</formula>
    </cfRule>
  </conditionalFormatting>
  <conditionalFormatting sqref="AJ110:AK110">
    <cfRule type="cellIs" dxfId="1380" priority="1881" operator="greaterThan">
      <formula>2</formula>
    </cfRule>
  </conditionalFormatting>
  <conditionalFormatting sqref="AJ114:AK114">
    <cfRule type="cellIs" dxfId="1379" priority="1880" operator="greaterThan">
      <formula>2</formula>
    </cfRule>
  </conditionalFormatting>
  <conditionalFormatting sqref="AJ121:AK121">
    <cfRule type="cellIs" dxfId="1378" priority="1879" operator="greaterThan">
      <formula>2</formula>
    </cfRule>
  </conditionalFormatting>
  <conditionalFormatting sqref="AJ185:AK185">
    <cfRule type="cellIs" dxfId="1377" priority="1877" operator="greaterThan">
      <formula>2</formula>
    </cfRule>
  </conditionalFormatting>
  <conditionalFormatting sqref="AJ215:AK218">
    <cfRule type="cellIs" dxfId="1376" priority="1875" operator="greaterThan">
      <formula>2</formula>
    </cfRule>
  </conditionalFormatting>
  <conditionalFormatting sqref="Q34">
    <cfRule type="cellIs" dxfId="1375" priority="1870" operator="greaterThan">
      <formula>2</formula>
    </cfRule>
  </conditionalFormatting>
  <conditionalFormatting sqref="O35:O37">
    <cfRule type="cellIs" dxfId="1374" priority="1869" operator="greaterThan">
      <formula>2</formula>
    </cfRule>
  </conditionalFormatting>
  <conditionalFormatting sqref="P38">
    <cfRule type="cellIs" dxfId="1373" priority="1868" operator="greaterThan">
      <formula>2</formula>
    </cfRule>
  </conditionalFormatting>
  <conditionalFormatting sqref="R39">
    <cfRule type="cellIs" dxfId="1372" priority="1867" operator="greaterThan">
      <formula>2</formula>
    </cfRule>
  </conditionalFormatting>
  <conditionalFormatting sqref="T40">
    <cfRule type="cellIs" dxfId="1371" priority="1866" operator="greaterThan">
      <formula>2</formula>
    </cfRule>
  </conditionalFormatting>
  <conditionalFormatting sqref="O41:O42">
    <cfRule type="cellIs" dxfId="1370" priority="1865" operator="greaterThan">
      <formula>2</formula>
    </cfRule>
  </conditionalFormatting>
  <conditionalFormatting sqref="O46">
    <cfRule type="cellIs" dxfId="1369" priority="1864" operator="greaterThan">
      <formula>2</formula>
    </cfRule>
  </conditionalFormatting>
  <conditionalFormatting sqref="Q50">
    <cfRule type="cellIs" dxfId="1368" priority="1863" operator="greaterThan">
      <formula>2</formula>
    </cfRule>
  </conditionalFormatting>
  <conditionalFormatting sqref="N53:T53">
    <cfRule type="cellIs" dxfId="1367" priority="1862" operator="greaterThan">
      <formula>2</formula>
    </cfRule>
  </conditionalFormatting>
  <conditionalFormatting sqref="O64">
    <cfRule type="cellIs" dxfId="1366" priority="1861" operator="greaterThan">
      <formula>2</formula>
    </cfRule>
  </conditionalFormatting>
  <conditionalFormatting sqref="T64">
    <cfRule type="cellIs" dxfId="1365" priority="1860" operator="greaterThan">
      <formula>2</formula>
    </cfRule>
  </conditionalFormatting>
  <conditionalFormatting sqref="O61:O62">
    <cfRule type="cellIs" dxfId="1364" priority="1859" operator="greaterThan">
      <formula>2</formula>
    </cfRule>
  </conditionalFormatting>
  <conditionalFormatting sqref="P68">
    <cfRule type="cellIs" dxfId="1363" priority="1858" operator="greaterThan">
      <formula>2</formula>
    </cfRule>
  </conditionalFormatting>
  <conditionalFormatting sqref="N70">
    <cfRule type="cellIs" dxfId="1362" priority="1857" operator="greaterThan">
      <formula>2</formula>
    </cfRule>
  </conditionalFormatting>
  <conditionalFormatting sqref="O78">
    <cfRule type="cellIs" dxfId="1361" priority="1856" operator="greaterThan">
      <formula>2</formula>
    </cfRule>
  </conditionalFormatting>
  <conditionalFormatting sqref="O85">
    <cfRule type="cellIs" dxfId="1360" priority="1855" operator="greaterThan">
      <formula>2</formula>
    </cfRule>
  </conditionalFormatting>
  <conditionalFormatting sqref="P89">
    <cfRule type="cellIs" dxfId="1359" priority="1854" operator="greaterThan">
      <formula>2</formula>
    </cfRule>
  </conditionalFormatting>
  <conditionalFormatting sqref="T78">
    <cfRule type="cellIs" dxfId="1358" priority="1853" operator="greaterThan">
      <formula>2</formula>
    </cfRule>
  </conditionalFormatting>
  <conditionalFormatting sqref="N84">
    <cfRule type="cellIs" dxfId="1357" priority="1852" operator="greaterThan">
      <formula>2</formula>
    </cfRule>
  </conditionalFormatting>
  <conditionalFormatting sqref="T84">
    <cfRule type="cellIs" dxfId="1356" priority="1851" operator="greaterThan">
      <formula>2</formula>
    </cfRule>
  </conditionalFormatting>
  <conditionalFormatting sqref="S92">
    <cfRule type="cellIs" dxfId="1355" priority="1850" operator="greaterThan">
      <formula>2</formula>
    </cfRule>
  </conditionalFormatting>
  <conditionalFormatting sqref="O93:O95">
    <cfRule type="cellIs" dxfId="1354" priority="1849" operator="greaterThan">
      <formula>2</formula>
    </cfRule>
  </conditionalFormatting>
  <conditionalFormatting sqref="T93:T94">
    <cfRule type="cellIs" dxfId="1353" priority="1848" operator="greaterThan">
      <formula>2</formula>
    </cfRule>
  </conditionalFormatting>
  <conditionalFormatting sqref="N98">
    <cfRule type="cellIs" dxfId="1352" priority="1847" operator="greaterThan">
      <formula>2</formula>
    </cfRule>
  </conditionalFormatting>
  <conditionalFormatting sqref="T98">
    <cfRule type="cellIs" dxfId="1351" priority="1846" operator="greaterThan">
      <formula>2</formula>
    </cfRule>
  </conditionalFormatting>
  <conditionalFormatting sqref="N96:N97">
    <cfRule type="cellIs" dxfId="1350" priority="1845" operator="greaterThan">
      <formula>2</formula>
    </cfRule>
  </conditionalFormatting>
  <conditionalFormatting sqref="O99:O100">
    <cfRule type="cellIs" dxfId="1349" priority="1844" operator="greaterThan">
      <formula>2</formula>
    </cfRule>
  </conditionalFormatting>
  <conditionalFormatting sqref="N99">
    <cfRule type="cellIs" dxfId="1348" priority="1843" operator="greaterThan">
      <formula>2</formula>
    </cfRule>
  </conditionalFormatting>
  <conditionalFormatting sqref="O102:P102">
    <cfRule type="cellIs" dxfId="1347" priority="1842" operator="greaterThan">
      <formula>2</formula>
    </cfRule>
  </conditionalFormatting>
  <conditionalFormatting sqref="T102">
    <cfRule type="cellIs" dxfId="1346" priority="1841" operator="greaterThan">
      <formula>2</formula>
    </cfRule>
  </conditionalFormatting>
  <conditionalFormatting sqref="O104">
    <cfRule type="cellIs" dxfId="1345" priority="1840" operator="greaterThan">
      <formula>2</formula>
    </cfRule>
  </conditionalFormatting>
  <conditionalFormatting sqref="O105:O106">
    <cfRule type="cellIs" dxfId="1344" priority="1838" operator="greaterThan">
      <formula>2</formula>
    </cfRule>
  </conditionalFormatting>
  <conditionalFormatting sqref="R107">
    <cfRule type="cellIs" dxfId="1343" priority="1837" operator="greaterThan">
      <formula>2</formula>
    </cfRule>
  </conditionalFormatting>
  <conditionalFormatting sqref="O107:O108">
    <cfRule type="cellIs" dxfId="1342" priority="1836" operator="greaterThan">
      <formula>2</formula>
    </cfRule>
  </conditionalFormatting>
  <conditionalFormatting sqref="N109">
    <cfRule type="cellIs" dxfId="1341" priority="1835" operator="greaterThan">
      <formula>2</formula>
    </cfRule>
  </conditionalFormatting>
  <conditionalFormatting sqref="P109:P110">
    <cfRule type="cellIs" dxfId="1340" priority="1834" operator="greaterThan">
      <formula>2</formula>
    </cfRule>
  </conditionalFormatting>
  <conditionalFormatting sqref="T109:T111">
    <cfRule type="cellIs" dxfId="1339" priority="1833" operator="greaterThan">
      <formula>2</formula>
    </cfRule>
  </conditionalFormatting>
  <conditionalFormatting sqref="R113">
    <cfRule type="cellIs" dxfId="1338" priority="1832" operator="greaterThan">
      <formula>2</formula>
    </cfRule>
  </conditionalFormatting>
  <conditionalFormatting sqref="Q115">
    <cfRule type="cellIs" dxfId="1337" priority="1831" operator="greaterThan">
      <formula>2</formula>
    </cfRule>
  </conditionalFormatting>
  <conditionalFormatting sqref="P95:P97">
    <cfRule type="cellIs" dxfId="1336" priority="1797" operator="greaterThan">
      <formula>2</formula>
    </cfRule>
  </conditionalFormatting>
  <conditionalFormatting sqref="P126">
    <cfRule type="cellIs" dxfId="1335" priority="1829" operator="greaterThan">
      <formula>2</formula>
    </cfRule>
  </conditionalFormatting>
  <conditionalFormatting sqref="Q123">
    <cfRule type="cellIs" dxfId="1334" priority="1828" operator="greaterThan">
      <formula>2</formula>
    </cfRule>
  </conditionalFormatting>
  <conditionalFormatting sqref="Q127">
    <cfRule type="cellIs" dxfId="1333" priority="1827" operator="greaterThan">
      <formula>2</formula>
    </cfRule>
  </conditionalFormatting>
  <conditionalFormatting sqref="O137">
    <cfRule type="cellIs" dxfId="1332" priority="1826" operator="greaterThan">
      <formula>2</formula>
    </cfRule>
  </conditionalFormatting>
  <conditionalFormatting sqref="R154">
    <cfRule type="cellIs" dxfId="1331" priority="1825" operator="greaterThan">
      <formula>2</formula>
    </cfRule>
  </conditionalFormatting>
  <conditionalFormatting sqref="O165:O168">
    <cfRule type="cellIs" dxfId="1330" priority="1824" operator="greaterThan">
      <formula>2</formula>
    </cfRule>
  </conditionalFormatting>
  <conditionalFormatting sqref="O171">
    <cfRule type="cellIs" dxfId="1329" priority="1823" operator="greaterThan">
      <formula>2</formula>
    </cfRule>
  </conditionalFormatting>
  <conditionalFormatting sqref="R171">
    <cfRule type="cellIs" dxfId="1328" priority="1822" operator="greaterThan">
      <formula>2</formula>
    </cfRule>
  </conditionalFormatting>
  <conditionalFormatting sqref="O172">
    <cfRule type="cellIs" dxfId="1327" priority="1821" operator="greaterThan">
      <formula>2</formula>
    </cfRule>
  </conditionalFormatting>
  <conditionalFormatting sqref="P173:P174">
    <cfRule type="cellIs" dxfId="1326" priority="1820" operator="greaterThan">
      <formula>2</formula>
    </cfRule>
  </conditionalFormatting>
  <conditionalFormatting sqref="O184">
    <cfRule type="cellIs" dxfId="1325" priority="1819" operator="greaterThan">
      <formula>2</formula>
    </cfRule>
  </conditionalFormatting>
  <conditionalFormatting sqref="O186">
    <cfRule type="cellIs" dxfId="1324" priority="1818" operator="greaterThan">
      <formula>2</formula>
    </cfRule>
  </conditionalFormatting>
  <conditionalFormatting sqref="O189:P189">
    <cfRule type="cellIs" dxfId="1323" priority="1817" operator="greaterThan">
      <formula>2</formula>
    </cfRule>
  </conditionalFormatting>
  <conditionalFormatting sqref="P187">
    <cfRule type="cellIs" dxfId="1322" priority="1816" operator="greaterThan">
      <formula>2</formula>
    </cfRule>
  </conditionalFormatting>
  <conditionalFormatting sqref="T191:T192">
    <cfRule type="cellIs" dxfId="1321" priority="1815" operator="greaterThan">
      <formula>2</formula>
    </cfRule>
  </conditionalFormatting>
  <conditionalFormatting sqref="T198">
    <cfRule type="cellIs" dxfId="1320" priority="1814" operator="greaterThan">
      <formula>2</formula>
    </cfRule>
  </conditionalFormatting>
  <conditionalFormatting sqref="N199">
    <cfRule type="cellIs" dxfId="1319" priority="1813" operator="greaterThan">
      <formula>2</formula>
    </cfRule>
  </conditionalFormatting>
  <conditionalFormatting sqref="O200:P200">
    <cfRule type="cellIs" dxfId="1318" priority="1812" operator="greaterThan">
      <formula>2</formula>
    </cfRule>
  </conditionalFormatting>
  <conditionalFormatting sqref="O202:P202">
    <cfRule type="cellIs" dxfId="1317" priority="1811" operator="greaterThan">
      <formula>2</formula>
    </cfRule>
  </conditionalFormatting>
  <conditionalFormatting sqref="T203">
    <cfRule type="cellIs" dxfId="1316" priority="1810" operator="greaterThan">
      <formula>2</formula>
    </cfRule>
  </conditionalFormatting>
  <conditionalFormatting sqref="S205">
    <cfRule type="cellIs" dxfId="1315" priority="1809" operator="greaterThan">
      <formula>2</formula>
    </cfRule>
  </conditionalFormatting>
  <conditionalFormatting sqref="T208">
    <cfRule type="cellIs" dxfId="1314" priority="1808" operator="greaterThan">
      <formula>2</formula>
    </cfRule>
  </conditionalFormatting>
  <conditionalFormatting sqref="S211:S212">
    <cfRule type="cellIs" dxfId="1313" priority="1807" operator="greaterThan">
      <formula>2</formula>
    </cfRule>
  </conditionalFormatting>
  <conditionalFormatting sqref="N219">
    <cfRule type="cellIs" dxfId="1312" priority="1806" operator="greaterThan">
      <formula>2</formula>
    </cfRule>
  </conditionalFormatting>
  <conditionalFormatting sqref="T219">
    <cfRule type="cellIs" dxfId="1311" priority="1805" operator="greaterThan">
      <formula>2</formula>
    </cfRule>
  </conditionalFormatting>
  <conditionalFormatting sqref="R246">
    <cfRule type="cellIs" dxfId="1310" priority="1799" operator="greaterThan">
      <formula>2</formula>
    </cfRule>
  </conditionalFormatting>
  <conditionalFormatting sqref="N191:N192">
    <cfRule type="cellIs" dxfId="1309" priority="1798" operator="greaterThan">
      <formula>2</formula>
    </cfRule>
  </conditionalFormatting>
  <conditionalFormatting sqref="D27">
    <cfRule type="cellIs" dxfId="1308" priority="1793" operator="greaterThan">
      <formula>1</formula>
    </cfRule>
  </conditionalFormatting>
  <conditionalFormatting sqref="D28">
    <cfRule type="cellIs" dxfId="1307" priority="1792" operator="greaterThan">
      <formula>1</formula>
    </cfRule>
  </conditionalFormatting>
  <conditionalFormatting sqref="D30">
    <cfRule type="cellIs" dxfId="1306" priority="1791" operator="greaterThan">
      <formula>1</formula>
    </cfRule>
  </conditionalFormatting>
  <conditionalFormatting sqref="D31">
    <cfRule type="cellIs" dxfId="1305" priority="1790" operator="greaterThan">
      <formula>1</formula>
    </cfRule>
  </conditionalFormatting>
  <conditionalFormatting sqref="F27:F29">
    <cfRule type="cellIs" dxfId="1304" priority="1787" operator="greaterThan">
      <formula>1</formula>
    </cfRule>
  </conditionalFormatting>
  <conditionalFormatting sqref="G28">
    <cfRule type="cellIs" dxfId="1303" priority="1786" operator="greaterThan">
      <formula>1</formula>
    </cfRule>
  </conditionalFormatting>
  <conditionalFormatting sqref="G30:G31">
    <cfRule type="cellIs" dxfId="1302" priority="1785" operator="greaterThan">
      <formula>1</formula>
    </cfRule>
  </conditionalFormatting>
  <conditionalFormatting sqref="L29:L31">
    <cfRule type="cellIs" dxfId="1301" priority="1784" operator="greaterThan">
      <formula>1</formula>
    </cfRule>
  </conditionalFormatting>
  <conditionalFormatting sqref="H27 H29:H31">
    <cfRule type="cellIs" dxfId="1300" priority="1783" operator="greaterThan">
      <formula>1</formula>
    </cfRule>
  </conditionalFormatting>
  <conditionalFormatting sqref="H28">
    <cfRule type="cellIs" dxfId="1299" priority="1776" operator="greaterThan">
      <formula>2</formula>
    </cfRule>
  </conditionalFormatting>
  <conditionalFormatting sqref="L28">
    <cfRule type="cellIs" dxfId="1298" priority="1775" operator="greaterThan">
      <formula>2</formula>
    </cfRule>
  </conditionalFormatting>
  <conditionalFormatting sqref="T169">
    <cfRule type="cellIs" dxfId="1297" priority="1774" operator="greaterThan">
      <formula>2</formula>
    </cfRule>
  </conditionalFormatting>
  <conditionalFormatting sqref="C169">
    <cfRule type="cellIs" dxfId="1296" priority="1773" operator="greaterThan">
      <formula>2</formula>
    </cfRule>
  </conditionalFormatting>
  <conditionalFormatting sqref="Z169">
    <cfRule type="cellIs" dxfId="1295" priority="1772" operator="greaterThan">
      <formula>2</formula>
    </cfRule>
  </conditionalFormatting>
  <conditionalFormatting sqref="AL265:AL267 AO265:AO267 M265:AF267 AI266:AI267">
    <cfRule type="cellIs" dxfId="1294" priority="1549" operator="greaterThan">
      <formula>1</formula>
    </cfRule>
  </conditionalFormatting>
  <conditionalFormatting sqref="M250:T250 AO250 AL250">
    <cfRule type="cellIs" dxfId="1293" priority="1544" operator="greaterThan">
      <formula>1</formula>
    </cfRule>
  </conditionalFormatting>
  <conditionalFormatting sqref="AM250 AM252 AM254 AM266">
    <cfRule type="cellIs" dxfId="1292" priority="1547" operator="greaterThan">
      <formula>1</formula>
    </cfRule>
  </conditionalFormatting>
  <conditionalFormatting sqref="AM251 AM265 AM267">
    <cfRule type="cellIs" dxfId="1291" priority="1546" operator="greaterThan">
      <formula>1</formula>
    </cfRule>
  </conditionalFormatting>
  <conditionalFormatting sqref="AF250">
    <cfRule type="cellIs" dxfId="1290" priority="1541" operator="greaterThan">
      <formula>1</formula>
    </cfRule>
  </conditionalFormatting>
  <conditionalFormatting sqref="V250">
    <cfRule type="cellIs" dxfId="1289" priority="1542" operator="greaterThan">
      <formula>1</formula>
    </cfRule>
  </conditionalFormatting>
  <conditionalFormatting sqref="U250">
    <cfRule type="cellIs" dxfId="1288" priority="1540" operator="greaterThan">
      <formula>1</formula>
    </cfRule>
  </conditionalFormatting>
  <conditionalFormatting sqref="AA250">
    <cfRule type="cellIs" dxfId="1287" priority="1537" operator="greaterThan">
      <formula>1</formula>
    </cfRule>
  </conditionalFormatting>
  <conditionalFormatting sqref="AC250">
    <cfRule type="cellIs" dxfId="1286" priority="1536" operator="greaterThan">
      <formula>1</formula>
    </cfRule>
  </conditionalFormatting>
  <conditionalFormatting sqref="M251:T251 AO251 AL251">
    <cfRule type="cellIs" dxfId="1285" priority="1533" operator="greaterThan">
      <formula>1</formula>
    </cfRule>
  </conditionalFormatting>
  <conditionalFormatting sqref="V251">
    <cfRule type="cellIs" dxfId="1284" priority="1531" operator="greaterThan">
      <formula>1</formula>
    </cfRule>
  </conditionalFormatting>
  <conditionalFormatting sqref="AF251">
    <cfRule type="cellIs" dxfId="1283" priority="1530" operator="greaterThan">
      <formula>1</formula>
    </cfRule>
  </conditionalFormatting>
  <conditionalFormatting sqref="U251">
    <cfRule type="cellIs" dxfId="1282" priority="1529" operator="greaterThan">
      <formula>1</formula>
    </cfRule>
  </conditionalFormatting>
  <conditionalFormatting sqref="AA251">
    <cfRule type="cellIs" dxfId="1281" priority="1525" operator="greaterThan">
      <formula>1</formula>
    </cfRule>
  </conditionalFormatting>
  <conditionalFormatting sqref="AC251">
    <cfRule type="cellIs" dxfId="1280" priority="1524" operator="greaterThan">
      <formula>1</formula>
    </cfRule>
  </conditionalFormatting>
  <conditionalFormatting sqref="M252:T252 AO252 AL252">
    <cfRule type="cellIs" dxfId="1279" priority="1521" operator="greaterThan">
      <formula>1</formula>
    </cfRule>
  </conditionalFormatting>
  <conditionalFormatting sqref="V252">
    <cfRule type="cellIs" dxfId="1278" priority="1519" operator="greaterThan">
      <formula>1</formula>
    </cfRule>
  </conditionalFormatting>
  <conditionalFormatting sqref="AF252">
    <cfRule type="cellIs" dxfId="1277" priority="1518" operator="greaterThan">
      <formula>1</formula>
    </cfRule>
  </conditionalFormatting>
  <conditionalFormatting sqref="U252">
    <cfRule type="cellIs" dxfId="1276" priority="1517" operator="greaterThan">
      <formula>1</formula>
    </cfRule>
  </conditionalFormatting>
  <conditionalFormatting sqref="AA252">
    <cfRule type="cellIs" dxfId="1275" priority="1513" operator="greaterThan">
      <formula>1</formula>
    </cfRule>
  </conditionalFormatting>
  <conditionalFormatting sqref="AC252">
    <cfRule type="cellIs" dxfId="1274" priority="1512" operator="greaterThan">
      <formula>1</formula>
    </cfRule>
  </conditionalFormatting>
  <conditionalFormatting sqref="AO253">
    <cfRule type="cellIs" dxfId="1273" priority="1509" operator="greaterThan">
      <formula>1</formula>
    </cfRule>
  </conditionalFormatting>
  <conditionalFormatting sqref="M254:T254 AO254 AL254">
    <cfRule type="cellIs" dxfId="1272" priority="1497" operator="greaterThan">
      <formula>1</formula>
    </cfRule>
  </conditionalFormatting>
  <conditionalFormatting sqref="V254">
    <cfRule type="cellIs" dxfId="1271" priority="1495" operator="greaterThan">
      <formula>1</formula>
    </cfRule>
  </conditionalFormatting>
  <conditionalFormatting sqref="AF254">
    <cfRule type="cellIs" dxfId="1270" priority="1494" operator="greaterThan">
      <formula>1</formula>
    </cfRule>
  </conditionalFormatting>
  <conditionalFormatting sqref="U254">
    <cfRule type="cellIs" dxfId="1269" priority="1493" operator="greaterThan">
      <formula>1</formula>
    </cfRule>
  </conditionalFormatting>
  <conditionalFormatting sqref="AA254">
    <cfRule type="cellIs" dxfId="1268" priority="1489" operator="greaterThan">
      <formula>1</formula>
    </cfRule>
  </conditionalFormatting>
  <conditionalFormatting sqref="AC254">
    <cfRule type="cellIs" dxfId="1267" priority="1488" operator="greaterThan">
      <formula>1</formula>
    </cfRule>
  </conditionalFormatting>
  <conditionalFormatting sqref="M250:T250 AM252 AM254 AM266 AO250 AL250:AM250">
    <cfRule type="cellIs" dxfId="1266" priority="1485" operator="greaterThan">
      <formula>1</formula>
    </cfRule>
  </conditionalFormatting>
  <conditionalFormatting sqref="V250">
    <cfRule type="cellIs" dxfId="1265" priority="1483" operator="greaterThan">
      <formula>1</formula>
    </cfRule>
  </conditionalFormatting>
  <conditionalFormatting sqref="AF250">
    <cfRule type="cellIs" dxfId="1264" priority="1482" operator="greaterThan">
      <formula>1</formula>
    </cfRule>
  </conditionalFormatting>
  <conditionalFormatting sqref="U250">
    <cfRule type="cellIs" dxfId="1263" priority="1481" operator="greaterThan">
      <formula>1</formula>
    </cfRule>
  </conditionalFormatting>
  <conditionalFormatting sqref="AA250">
    <cfRule type="cellIs" dxfId="1262" priority="1478" operator="greaterThan">
      <formula>1</formula>
    </cfRule>
  </conditionalFormatting>
  <conditionalFormatting sqref="AC250">
    <cfRule type="cellIs" dxfId="1261" priority="1477" operator="greaterThan">
      <formula>1</formula>
    </cfRule>
  </conditionalFormatting>
  <conditionalFormatting sqref="V251">
    <cfRule type="cellIs" dxfId="1260" priority="1472" operator="greaterThan">
      <formula>1</formula>
    </cfRule>
  </conditionalFormatting>
  <conditionalFormatting sqref="AF251">
    <cfRule type="cellIs" dxfId="1259" priority="1471" operator="greaterThan">
      <formula>1</formula>
    </cfRule>
  </conditionalFormatting>
  <conditionalFormatting sqref="AA251">
    <cfRule type="cellIs" dxfId="1258" priority="1466" operator="greaterThan">
      <formula>1</formula>
    </cfRule>
  </conditionalFormatting>
  <conditionalFormatting sqref="AC251">
    <cfRule type="cellIs" dxfId="1257" priority="1465" operator="greaterThan">
      <formula>1</formula>
    </cfRule>
  </conditionalFormatting>
  <conditionalFormatting sqref="V252">
    <cfRule type="cellIs" dxfId="1256" priority="1460" operator="greaterThan">
      <formula>1</formula>
    </cfRule>
  </conditionalFormatting>
  <conditionalFormatting sqref="AF252">
    <cfRule type="cellIs" dxfId="1255" priority="1459" operator="greaterThan">
      <formula>1</formula>
    </cfRule>
  </conditionalFormatting>
  <conditionalFormatting sqref="U252">
    <cfRule type="cellIs" dxfId="1254" priority="1458" operator="greaterThan">
      <formula>1</formula>
    </cfRule>
  </conditionalFormatting>
  <conditionalFormatting sqref="AA252">
    <cfRule type="cellIs" dxfId="1253" priority="1454" operator="greaterThan">
      <formula>1</formula>
    </cfRule>
  </conditionalFormatting>
  <conditionalFormatting sqref="AO253">
    <cfRule type="cellIs" dxfId="1252" priority="1450" operator="greaterThan">
      <formula>1</formula>
    </cfRule>
  </conditionalFormatting>
  <conditionalFormatting sqref="V254">
    <cfRule type="cellIs" dxfId="1251" priority="1436" operator="greaterThan">
      <formula>1</formula>
    </cfRule>
  </conditionalFormatting>
  <conditionalFormatting sqref="AF254">
    <cfRule type="cellIs" dxfId="1250" priority="1435" operator="greaterThan">
      <formula>1</formula>
    </cfRule>
  </conditionalFormatting>
  <conditionalFormatting sqref="U254">
    <cfRule type="cellIs" dxfId="1249" priority="1434" operator="greaterThan">
      <formula>1</formula>
    </cfRule>
  </conditionalFormatting>
  <conditionalFormatting sqref="AA254">
    <cfRule type="cellIs" dxfId="1248" priority="1430" operator="greaterThan">
      <formula>1</formula>
    </cfRule>
  </conditionalFormatting>
  <conditionalFormatting sqref="AC254">
    <cfRule type="cellIs" dxfId="1247" priority="1429" operator="greaterThan">
      <formula>1</formula>
    </cfRule>
  </conditionalFormatting>
  <conditionalFormatting sqref="M265:T265 AO265 AL265">
    <cfRule type="cellIs" dxfId="1246" priority="1426" operator="greaterThan">
      <formula>1</formula>
    </cfRule>
  </conditionalFormatting>
  <conditionalFormatting sqref="V265">
    <cfRule type="cellIs" dxfId="1245" priority="1424" operator="greaterThan">
      <formula>1</formula>
    </cfRule>
  </conditionalFormatting>
  <conditionalFormatting sqref="AF265">
    <cfRule type="cellIs" dxfId="1244" priority="1423" operator="greaterThan">
      <formula>1</formula>
    </cfRule>
  </conditionalFormatting>
  <conditionalFormatting sqref="U265">
    <cfRule type="cellIs" dxfId="1243" priority="1422" operator="greaterThan">
      <formula>1</formula>
    </cfRule>
  </conditionalFormatting>
  <conditionalFormatting sqref="AA265">
    <cfRule type="cellIs" dxfId="1242" priority="1418" operator="greaterThan">
      <formula>1</formula>
    </cfRule>
  </conditionalFormatting>
  <conditionalFormatting sqref="AC265">
    <cfRule type="cellIs" dxfId="1241" priority="1417" operator="greaterThan">
      <formula>1</formula>
    </cfRule>
  </conditionalFormatting>
  <conditionalFormatting sqref="M266:T266 AO266 AL266">
    <cfRule type="cellIs" dxfId="1240" priority="1414" operator="greaterThan">
      <formula>1</formula>
    </cfRule>
  </conditionalFormatting>
  <conditionalFormatting sqref="V266">
    <cfRule type="cellIs" dxfId="1239" priority="1412" operator="greaterThan">
      <formula>1</formula>
    </cfRule>
  </conditionalFormatting>
  <conditionalFormatting sqref="AF266">
    <cfRule type="cellIs" dxfId="1238" priority="1411" operator="greaterThan">
      <formula>1</formula>
    </cfRule>
  </conditionalFormatting>
  <conditionalFormatting sqref="U266">
    <cfRule type="cellIs" dxfId="1237" priority="1410" operator="greaterThan">
      <formula>1</formula>
    </cfRule>
  </conditionalFormatting>
  <conditionalFormatting sqref="AA266">
    <cfRule type="cellIs" dxfId="1236" priority="1406" operator="greaterThan">
      <formula>1</formula>
    </cfRule>
  </conditionalFormatting>
  <conditionalFormatting sqref="AC266">
    <cfRule type="cellIs" dxfId="1235" priority="1405" operator="greaterThan">
      <formula>1</formula>
    </cfRule>
  </conditionalFormatting>
  <conditionalFormatting sqref="V267">
    <cfRule type="cellIs" dxfId="1234" priority="1400" operator="greaterThan">
      <formula>1</formula>
    </cfRule>
  </conditionalFormatting>
  <conditionalFormatting sqref="AF267">
    <cfRule type="cellIs" dxfId="1233" priority="1399" operator="greaterThan">
      <formula>1</formula>
    </cfRule>
  </conditionalFormatting>
  <conditionalFormatting sqref="U267">
    <cfRule type="cellIs" dxfId="1232" priority="1398" operator="greaterThan">
      <formula>1</formula>
    </cfRule>
  </conditionalFormatting>
  <conditionalFormatting sqref="AA267">
    <cfRule type="cellIs" dxfId="1231" priority="1394" operator="greaterThan">
      <formula>1</formula>
    </cfRule>
  </conditionalFormatting>
  <conditionalFormatting sqref="AC267">
    <cfRule type="cellIs" dxfId="1230" priority="1393" operator="greaterThan">
      <formula>1</formula>
    </cfRule>
  </conditionalFormatting>
  <conditionalFormatting sqref="D247:G247 J247:L247">
    <cfRule type="cellIs" dxfId="1229" priority="1339" operator="greaterThan">
      <formula>1</formula>
    </cfRule>
  </conditionalFormatting>
  <conditionalFormatting sqref="V248">
    <cfRule type="cellIs" dxfId="1228" priority="1333" operator="greaterThan">
      <formula>1</formula>
    </cfRule>
  </conditionalFormatting>
  <conditionalFormatting sqref="U248">
    <cfRule type="cellIs" dxfId="1227" priority="1332" operator="greaterThan">
      <formula>1</formula>
    </cfRule>
  </conditionalFormatting>
  <conditionalFormatting sqref="AA248">
    <cfRule type="cellIs" dxfId="1226" priority="1329" operator="greaterThan">
      <formula>1</formula>
    </cfRule>
  </conditionalFormatting>
  <conditionalFormatting sqref="W248">
    <cfRule type="cellIs" dxfId="1225" priority="1326" operator="greaterThan">
      <formula>1</formula>
    </cfRule>
  </conditionalFormatting>
  <conditionalFormatting sqref="D248:G248 J248:L248">
    <cfRule type="cellIs" dxfId="1224" priority="1325" operator="greaterThan">
      <formula>1</formula>
    </cfRule>
  </conditionalFormatting>
  <conditionalFormatting sqref="M54:Q54 S54:T54">
    <cfRule type="cellIs" dxfId="1223" priority="1321" operator="greaterThan">
      <formula>1</formula>
    </cfRule>
  </conditionalFormatting>
  <conditionalFormatting sqref="M267:T267 AO267 AL267">
    <cfRule type="cellIs" dxfId="1222" priority="1402" operator="greaterThan">
      <formula>1</formula>
    </cfRule>
  </conditionalFormatting>
  <conditionalFormatting sqref="M251:T251 AL251:AM251 AM265 AM267 AO251">
    <cfRule type="cellIs" dxfId="1221" priority="1474" operator="greaterThan">
      <formula>1</formula>
    </cfRule>
  </conditionalFormatting>
  <conditionalFormatting sqref="U251">
    <cfRule type="cellIs" dxfId="1220" priority="1470" operator="greaterThan">
      <formula>1</formula>
    </cfRule>
  </conditionalFormatting>
  <conditionalFormatting sqref="M252:T252 AL252 AO252">
    <cfRule type="cellIs" dxfId="1219" priority="1462" operator="greaterThan">
      <formula>1</formula>
    </cfRule>
  </conditionalFormatting>
  <conditionalFormatting sqref="AC252">
    <cfRule type="cellIs" dxfId="1218" priority="1453" operator="greaterThan">
      <formula>1</formula>
    </cfRule>
  </conditionalFormatting>
  <conditionalFormatting sqref="M254:T254 AO254 AL254">
    <cfRule type="cellIs" dxfId="1217" priority="1438" operator="greaterThan">
      <formula>1</formula>
    </cfRule>
  </conditionalFormatting>
  <conditionalFormatting sqref="B250 B252 B254 B256 B258 B260 B262 B264 B266 B268 B270 B272 B274">
    <cfRule type="cellIs" dxfId="1216" priority="1362" operator="greaterThan">
      <formula>2</formula>
    </cfRule>
  </conditionalFormatting>
  <conditionalFormatting sqref="B251 B253 B255 B257 B259 B261 B263 B265 B267 B269 B271 B273">
    <cfRule type="cellIs" dxfId="1215" priority="1361" operator="greaterThan">
      <formula>2</formula>
    </cfRule>
  </conditionalFormatting>
  <conditionalFormatting sqref="B250 B252 B254 B256 B258 B260 B262 B264 B266 B268 B270 B272 B274">
    <cfRule type="cellIs" dxfId="1214" priority="1360" operator="greaterThan">
      <formula>2</formula>
    </cfRule>
  </conditionalFormatting>
  <conditionalFormatting sqref="B251 B253 B255 B257 B259 B261 B263 B265 B267 B269 B271 B273">
    <cfRule type="cellIs" dxfId="1213" priority="1359" operator="greaterThan">
      <formula>2</formula>
    </cfRule>
  </conditionalFormatting>
  <conditionalFormatting sqref="B247:B248">
    <cfRule type="cellIs" dxfId="1212" priority="1555" operator="greaterThan">
      <formula>2</formula>
    </cfRule>
  </conditionalFormatting>
  <conditionalFormatting sqref="C247:C248">
    <cfRule type="cellIs" dxfId="1211" priority="1554" operator="greaterThan">
      <formula>2</formula>
    </cfRule>
  </conditionalFormatting>
  <conditionalFormatting sqref="Y248 AB248 AE248">
    <cfRule type="cellIs" dxfId="1210" priority="1334" operator="greaterThan">
      <formula>1</formula>
    </cfRule>
  </conditionalFormatting>
  <conditionalFormatting sqref="AD252">
    <cfRule type="cellIs" dxfId="1209" priority="1452" operator="greaterThan">
      <formula>2</formula>
    </cfRule>
  </conditionalFormatting>
  <conditionalFormatting sqref="Y254 AB254 AE254">
    <cfRule type="cellIs" dxfId="1208" priority="1437" operator="greaterThan">
      <formula>1</formula>
    </cfRule>
  </conditionalFormatting>
  <conditionalFormatting sqref="X254">
    <cfRule type="cellIs" dxfId="1207" priority="1432" operator="greaterThan">
      <formula>1</formula>
    </cfRule>
  </conditionalFormatting>
  <conditionalFormatting sqref="Y265 AB265 AE265">
    <cfRule type="cellIs" dxfId="1206" priority="1425" operator="greaterThan">
      <formula>1</formula>
    </cfRule>
  </conditionalFormatting>
  <conditionalFormatting sqref="X265">
    <cfRule type="cellIs" dxfId="1205" priority="1420" operator="greaterThan">
      <formula>1</formula>
    </cfRule>
  </conditionalFormatting>
  <conditionalFormatting sqref="Z265">
    <cfRule type="cellIs" dxfId="1204" priority="1419" operator="greaterThan">
      <formula>1</formula>
    </cfRule>
  </conditionalFormatting>
  <conditionalFormatting sqref="Y266 AB266 AE266">
    <cfRule type="cellIs" dxfId="1203" priority="1413" operator="greaterThan">
      <formula>1</formula>
    </cfRule>
  </conditionalFormatting>
  <conditionalFormatting sqref="Z266">
    <cfRule type="cellIs" dxfId="1202" priority="1407" operator="greaterThan">
      <formula>1</formula>
    </cfRule>
  </conditionalFormatting>
  <conditionalFormatting sqref="X267">
    <cfRule type="cellIs" dxfId="1201" priority="1396" operator="greaterThan">
      <formula>1</formula>
    </cfRule>
  </conditionalFormatting>
  <conditionalFormatting sqref="Z267">
    <cfRule type="cellIs" dxfId="1200" priority="1395" operator="greaterThan">
      <formula>1</formula>
    </cfRule>
  </conditionalFormatting>
  <conditionalFormatting sqref="M248:S248 AE248 U248:AC248">
    <cfRule type="cellIs" dxfId="1199" priority="1335" operator="greaterThan">
      <formula>1</formula>
    </cfRule>
  </conditionalFormatting>
  <conditionalFormatting sqref="AC248">
    <cfRule type="cellIs" dxfId="1198" priority="1328" operator="greaterThan">
      <formula>1</formula>
    </cfRule>
  </conditionalFormatting>
  <conditionalFormatting sqref="AJ250:AJ252 AJ254 AJ266:AJ267">
    <cfRule type="cellIs" dxfId="1197" priority="1366" operator="greaterThan">
      <formula>1</formula>
    </cfRule>
  </conditionalFormatting>
  <conditionalFormatting sqref="AJ250 AJ252 AJ254 AJ266">
    <cfRule type="cellIs" dxfId="1196" priority="1365" operator="greaterThan">
      <formula>1</formula>
    </cfRule>
  </conditionalFormatting>
  <conditionalFormatting sqref="AJ251 AJ267">
    <cfRule type="cellIs" dxfId="1195" priority="1364" operator="greaterThan">
      <formula>1</formula>
    </cfRule>
  </conditionalFormatting>
  <conditionalFormatting sqref="AK250:AK252 AK254 AK265:AK267">
    <cfRule type="cellIs" dxfId="1194" priority="1363" operator="greaterThan">
      <formula>1</formula>
    </cfRule>
  </conditionalFormatting>
  <conditionalFormatting sqref="Y250 AB250">
    <cfRule type="cellIs" dxfId="1193" priority="1543" operator="greaterThan">
      <formula>1</formula>
    </cfRule>
  </conditionalFormatting>
  <conditionalFormatting sqref="X250">
    <cfRule type="cellIs" dxfId="1192" priority="1539" operator="greaterThan">
      <formula>1</formula>
    </cfRule>
  </conditionalFormatting>
  <conditionalFormatting sqref="Z250">
    <cfRule type="cellIs" dxfId="1191" priority="1538" operator="greaterThan">
      <formula>1</formula>
    </cfRule>
  </conditionalFormatting>
  <conditionalFormatting sqref="AD250">
    <cfRule type="cellIs" dxfId="1190" priority="1535" operator="greaterThan">
      <formula>2</formula>
    </cfRule>
  </conditionalFormatting>
  <conditionalFormatting sqref="Y251 AB251">
    <cfRule type="cellIs" dxfId="1189" priority="1532" operator="greaterThan">
      <formula>1</formula>
    </cfRule>
  </conditionalFormatting>
  <conditionalFormatting sqref="W251">
    <cfRule type="cellIs" dxfId="1188" priority="1528" operator="greaterThan">
      <formula>2</formula>
    </cfRule>
  </conditionalFormatting>
  <conditionalFormatting sqref="X251">
    <cfRule type="cellIs" dxfId="1187" priority="1527" operator="greaterThan">
      <formula>1</formula>
    </cfRule>
  </conditionalFormatting>
  <conditionalFormatting sqref="Z251">
    <cfRule type="cellIs" dxfId="1186" priority="1526" operator="greaterThan">
      <formula>1</formula>
    </cfRule>
  </conditionalFormatting>
  <conditionalFormatting sqref="Y252 AB252 AE252">
    <cfRule type="cellIs" dxfId="1185" priority="1520" operator="greaterThan">
      <formula>1</formula>
    </cfRule>
  </conditionalFormatting>
  <conditionalFormatting sqref="W252">
    <cfRule type="cellIs" dxfId="1184" priority="1516" operator="greaterThan">
      <formula>2</formula>
    </cfRule>
  </conditionalFormatting>
  <conditionalFormatting sqref="X252">
    <cfRule type="cellIs" dxfId="1183" priority="1515" operator="greaterThan">
      <formula>1</formula>
    </cfRule>
  </conditionalFormatting>
  <conditionalFormatting sqref="Z252">
    <cfRule type="cellIs" dxfId="1182" priority="1514" operator="greaterThan">
      <formula>1</formula>
    </cfRule>
  </conditionalFormatting>
  <conditionalFormatting sqref="AD252">
    <cfRule type="cellIs" dxfId="1181" priority="1511" operator="greaterThan">
      <formula>2</formula>
    </cfRule>
  </conditionalFormatting>
  <conditionalFormatting sqref="Y254 AB254 AE254">
    <cfRule type="cellIs" dxfId="1180" priority="1496" operator="greaterThan">
      <formula>1</formula>
    </cfRule>
  </conditionalFormatting>
  <conditionalFormatting sqref="W254">
    <cfRule type="cellIs" dxfId="1179" priority="1492" operator="greaterThan">
      <formula>2</formula>
    </cfRule>
  </conditionalFormatting>
  <conditionalFormatting sqref="X254">
    <cfRule type="cellIs" dxfId="1178" priority="1491" operator="greaterThan">
      <formula>1</formula>
    </cfRule>
  </conditionalFormatting>
  <conditionalFormatting sqref="Z254">
    <cfRule type="cellIs" dxfId="1177" priority="1490" operator="greaterThan">
      <formula>1</formula>
    </cfRule>
  </conditionalFormatting>
  <conditionalFormatting sqref="AD254">
    <cfRule type="cellIs" dxfId="1176" priority="1487" operator="greaterThan">
      <formula>2</formula>
    </cfRule>
  </conditionalFormatting>
  <conditionalFormatting sqref="W251">
    <cfRule type="cellIs" dxfId="1175" priority="1469" operator="greaterThan">
      <formula>2</formula>
    </cfRule>
  </conditionalFormatting>
  <conditionalFormatting sqref="X251">
    <cfRule type="cellIs" dxfId="1174" priority="1468" operator="greaterThan">
      <formula>1</formula>
    </cfRule>
  </conditionalFormatting>
  <conditionalFormatting sqref="Z251">
    <cfRule type="cellIs" dxfId="1173" priority="1467" operator="greaterThan">
      <formula>1</formula>
    </cfRule>
  </conditionalFormatting>
  <conditionalFormatting sqref="Y250 AB250">
    <cfRule type="cellIs" dxfId="1172" priority="1484" operator="greaterThan">
      <formula>1</formula>
    </cfRule>
  </conditionalFormatting>
  <conditionalFormatting sqref="X250">
    <cfRule type="cellIs" dxfId="1171" priority="1480" operator="greaterThan">
      <formula>1</formula>
    </cfRule>
  </conditionalFormatting>
  <conditionalFormatting sqref="Z250">
    <cfRule type="cellIs" dxfId="1170" priority="1479" operator="greaterThan">
      <formula>1</formula>
    </cfRule>
  </conditionalFormatting>
  <conditionalFormatting sqref="AD250">
    <cfRule type="cellIs" dxfId="1169" priority="1476" operator="greaterThan">
      <formula>2</formula>
    </cfRule>
  </conditionalFormatting>
  <conditionalFormatting sqref="Y251 AB251">
    <cfRule type="cellIs" dxfId="1168" priority="1473" operator="greaterThan">
      <formula>1</formula>
    </cfRule>
  </conditionalFormatting>
  <conditionalFormatting sqref="W252">
    <cfRule type="cellIs" dxfId="1167" priority="1457" operator="greaterThan">
      <formula>2</formula>
    </cfRule>
  </conditionalFormatting>
  <conditionalFormatting sqref="X252">
    <cfRule type="cellIs" dxfId="1166" priority="1456" operator="greaterThan">
      <formula>1</formula>
    </cfRule>
  </conditionalFormatting>
  <conditionalFormatting sqref="Z252">
    <cfRule type="cellIs" dxfId="1165" priority="1455" operator="greaterThan">
      <formula>1</formula>
    </cfRule>
  </conditionalFormatting>
  <conditionalFormatting sqref="Y252 AB252 AE252">
    <cfRule type="cellIs" dxfId="1164" priority="1461" operator="greaterThan">
      <formula>1</formula>
    </cfRule>
  </conditionalFormatting>
  <conditionalFormatting sqref="W254">
    <cfRule type="cellIs" dxfId="1163" priority="1433" operator="greaterThan">
      <formula>2</formula>
    </cfRule>
  </conditionalFormatting>
  <conditionalFormatting sqref="Z254">
    <cfRule type="cellIs" dxfId="1162" priority="1431" operator="greaterThan">
      <formula>1</formula>
    </cfRule>
  </conditionalFormatting>
  <conditionalFormatting sqref="AD254">
    <cfRule type="cellIs" dxfId="1161" priority="1428" operator="greaterThan">
      <formula>2</formula>
    </cfRule>
  </conditionalFormatting>
  <conditionalFormatting sqref="W265">
    <cfRule type="cellIs" dxfId="1160" priority="1421" operator="greaterThan">
      <formula>2</formula>
    </cfRule>
  </conditionalFormatting>
  <conditionalFormatting sqref="AD265">
    <cfRule type="cellIs" dxfId="1159" priority="1416" operator="greaterThan">
      <formula>2</formula>
    </cfRule>
  </conditionalFormatting>
  <conditionalFormatting sqref="W266">
    <cfRule type="cellIs" dxfId="1158" priority="1409" operator="greaterThan">
      <formula>2</formula>
    </cfRule>
  </conditionalFormatting>
  <conditionalFormatting sqref="X266">
    <cfRule type="cellIs" dxfId="1157" priority="1408" operator="greaterThan">
      <formula>1</formula>
    </cfRule>
  </conditionalFormatting>
  <conditionalFormatting sqref="AD266">
    <cfRule type="cellIs" dxfId="1156" priority="1404" operator="greaterThan">
      <formula>2</formula>
    </cfRule>
  </conditionalFormatting>
  <conditionalFormatting sqref="AI266">
    <cfRule type="cellIs" dxfId="1155" priority="1403" operator="greaterThan">
      <formula>2</formula>
    </cfRule>
  </conditionalFormatting>
  <conditionalFormatting sqref="Y267 AB267 AE267">
    <cfRule type="cellIs" dxfId="1154" priority="1401" operator="greaterThan">
      <formula>1</formula>
    </cfRule>
  </conditionalFormatting>
  <conditionalFormatting sqref="W267">
    <cfRule type="cellIs" dxfId="1153" priority="1397" operator="greaterThan">
      <formula>2</formula>
    </cfRule>
  </conditionalFormatting>
  <conditionalFormatting sqref="AD267">
    <cfRule type="cellIs" dxfId="1152" priority="1392" operator="greaterThan">
      <formula>2</formula>
    </cfRule>
  </conditionalFormatting>
  <conditionalFormatting sqref="AI267">
    <cfRule type="cellIs" dxfId="1151" priority="1391" operator="greaterThan">
      <formula>2</formula>
    </cfRule>
  </conditionalFormatting>
  <conditionalFormatting sqref="AN247">
    <cfRule type="cellIs" dxfId="1150" priority="1336" operator="greaterThan">
      <formula>2</formula>
    </cfRule>
  </conditionalFormatting>
  <conditionalFormatting sqref="AD248">
    <cfRule type="cellIs" dxfId="1149" priority="1324" operator="greaterThan">
      <formula>2</formula>
    </cfRule>
  </conditionalFormatting>
  <conditionalFormatting sqref="AF248 AL248:AM248 M247:AF247 AJ247 AM247 AO247:AO248 AI248:AJ248">
    <cfRule type="cellIs" dxfId="1148" priority="1354" operator="greaterThan">
      <formula>1</formula>
    </cfRule>
  </conditionalFormatting>
  <conditionalFormatting sqref="Y247 AB247 AE247">
    <cfRule type="cellIs" dxfId="1147" priority="1353" operator="greaterThan">
      <formula>1</formula>
    </cfRule>
  </conditionalFormatting>
  <conditionalFormatting sqref="V247">
    <cfRule type="cellIs" dxfId="1146" priority="1352" operator="greaterThan">
      <formula>1</formula>
    </cfRule>
  </conditionalFormatting>
  <conditionalFormatting sqref="U247">
    <cfRule type="cellIs" dxfId="1145" priority="1351" operator="greaterThan">
      <formula>1</formula>
    </cfRule>
  </conditionalFormatting>
  <conditionalFormatting sqref="X247">
    <cfRule type="cellIs" dxfId="1144" priority="1350" operator="greaterThan">
      <formula>1</formula>
    </cfRule>
  </conditionalFormatting>
  <conditionalFormatting sqref="Z247">
    <cfRule type="cellIs" dxfId="1143" priority="1349" operator="greaterThan">
      <formula>1</formula>
    </cfRule>
  </conditionalFormatting>
  <conditionalFormatting sqref="AA247">
    <cfRule type="cellIs" dxfId="1142" priority="1348" operator="greaterThan">
      <formula>1</formula>
    </cfRule>
  </conditionalFormatting>
  <conditionalFormatting sqref="AC247">
    <cfRule type="cellIs" dxfId="1141" priority="1347" operator="greaterThan">
      <formula>1</formula>
    </cfRule>
  </conditionalFormatting>
  <conditionalFormatting sqref="AD247">
    <cfRule type="cellIs" dxfId="1140" priority="1346" operator="greaterThan">
      <formula>1</formula>
    </cfRule>
  </conditionalFormatting>
  <conditionalFormatting sqref="AI248">
    <cfRule type="cellIs" dxfId="1139" priority="1345" operator="greaterThan">
      <formula>1</formula>
    </cfRule>
  </conditionalFormatting>
  <conditionalFormatting sqref="AF247:AF248">
    <cfRule type="cellIs" dxfId="1138" priority="1344" operator="greaterThan">
      <formula>1</formula>
    </cfRule>
  </conditionalFormatting>
  <conditionalFormatting sqref="W247">
    <cfRule type="cellIs" dxfId="1137" priority="1343" operator="greaterThan">
      <formula>1</formula>
    </cfRule>
  </conditionalFormatting>
  <conditionalFormatting sqref="AK247:AK248">
    <cfRule type="cellIs" dxfId="1136" priority="1342" operator="greaterThan">
      <formula>1</formula>
    </cfRule>
  </conditionalFormatting>
  <conditionalFormatting sqref="AI247">
    <cfRule type="cellIs" dxfId="1135" priority="1338" operator="greaterThan">
      <formula>2</formula>
    </cfRule>
  </conditionalFormatting>
  <conditionalFormatting sqref="X248">
    <cfRule type="cellIs" dxfId="1134" priority="1331" operator="greaterThan">
      <formula>1</formula>
    </cfRule>
  </conditionalFormatting>
  <conditionalFormatting sqref="Z248">
    <cfRule type="cellIs" dxfId="1133" priority="1330" operator="greaterThan">
      <formula>1</formula>
    </cfRule>
  </conditionalFormatting>
  <conditionalFormatting sqref="AN248">
    <cfRule type="cellIs" dxfId="1132" priority="1323" operator="greaterThan">
      <formula>2</formula>
    </cfRule>
  </conditionalFormatting>
  <conditionalFormatting sqref="T248">
    <cfRule type="cellIs" dxfId="1131" priority="1322" operator="greaterThan">
      <formula>2</formula>
    </cfRule>
  </conditionalFormatting>
  <conditionalFormatting sqref="B54">
    <cfRule type="cellIs" dxfId="1130" priority="1320" operator="greaterThan">
      <formula>2</formula>
    </cfRule>
  </conditionalFormatting>
  <conditionalFormatting sqref="Y54">
    <cfRule type="cellIs" dxfId="1129" priority="1319" operator="greaterThan">
      <formula>1</formula>
    </cfRule>
  </conditionalFormatting>
  <conditionalFormatting sqref="V54">
    <cfRule type="cellIs" dxfId="1128" priority="1318" operator="greaterThan">
      <formula>1</formula>
    </cfRule>
  </conditionalFormatting>
  <conditionalFormatting sqref="U54">
    <cfRule type="cellIs" dxfId="1127" priority="1317" operator="greaterThan">
      <formula>1</formula>
    </cfRule>
  </conditionalFormatting>
  <conditionalFormatting sqref="X54">
    <cfRule type="cellIs" dxfId="1126" priority="1316" operator="greaterThan">
      <formula>1</formula>
    </cfRule>
  </conditionalFormatting>
  <conditionalFormatting sqref="U54">
    <cfRule type="cellIs" dxfId="1125" priority="1315" operator="greaterThan">
      <formula>1</formula>
    </cfRule>
  </conditionalFormatting>
  <conditionalFormatting sqref="X54">
    <cfRule type="cellIs" dxfId="1124" priority="1314" operator="greaterThan">
      <formula>1</formula>
    </cfRule>
  </conditionalFormatting>
  <conditionalFormatting sqref="Z54">
    <cfRule type="cellIs" dxfId="1123" priority="1313" operator="greaterThan">
      <formula>2</formula>
    </cfRule>
  </conditionalFormatting>
  <conditionalFormatting sqref="D54:G54">
    <cfRule type="cellIs" dxfId="1122" priority="1312" operator="greaterThan">
      <formula>1</formula>
    </cfRule>
  </conditionalFormatting>
  <conditionalFormatting sqref="C54">
    <cfRule type="cellIs" dxfId="1121" priority="1311" operator="greaterThan">
      <formula>2</formula>
    </cfRule>
  </conditionalFormatting>
  <conditionalFormatting sqref="R54">
    <cfRule type="cellIs" dxfId="1120" priority="1310" operator="greaterThan">
      <formula>2</formula>
    </cfRule>
  </conditionalFormatting>
  <conditionalFormatting sqref="I54">
    <cfRule type="cellIs" dxfId="1119" priority="1309" operator="greaterThan">
      <formula>2</formula>
    </cfRule>
  </conditionalFormatting>
  <conditionalFormatting sqref="W54">
    <cfRule type="cellIs" dxfId="1118" priority="1308" operator="greaterThan">
      <formula>2</formula>
    </cfRule>
  </conditionalFormatting>
  <conditionalFormatting sqref="M55:T55">
    <cfRule type="cellIs" dxfId="1117" priority="1307" operator="greaterThan">
      <formula>1</formula>
    </cfRule>
  </conditionalFormatting>
  <conditionalFormatting sqref="B55">
    <cfRule type="cellIs" dxfId="1116" priority="1306" operator="greaterThan">
      <formula>2</formula>
    </cfRule>
  </conditionalFormatting>
  <conditionalFormatting sqref="AB55 Y55">
    <cfRule type="cellIs" dxfId="1115" priority="1305" operator="greaterThan">
      <formula>1</formula>
    </cfRule>
  </conditionalFormatting>
  <conditionalFormatting sqref="I55">
    <cfRule type="cellIs" dxfId="1114" priority="1304" operator="greaterThan">
      <formula>2</formula>
    </cfRule>
  </conditionalFormatting>
  <conditionalFormatting sqref="V55">
    <cfRule type="cellIs" dxfId="1113" priority="1303" operator="greaterThan">
      <formula>1</formula>
    </cfRule>
  </conditionalFormatting>
  <conditionalFormatting sqref="U55">
    <cfRule type="cellIs" dxfId="1112" priority="1302" operator="greaterThan">
      <formula>1</formula>
    </cfRule>
  </conditionalFormatting>
  <conditionalFormatting sqref="AD55">
    <cfRule type="cellIs" dxfId="1111" priority="1299" operator="greaterThan">
      <formula>1</formula>
    </cfRule>
  </conditionalFormatting>
  <conditionalFormatting sqref="Z55">
    <cfRule type="cellIs" dxfId="1110" priority="1301" operator="greaterThan">
      <formula>1</formula>
    </cfRule>
  </conditionalFormatting>
  <conditionalFormatting sqref="U55">
    <cfRule type="cellIs" dxfId="1109" priority="1298" operator="greaterThan">
      <formula>1</formula>
    </cfRule>
  </conditionalFormatting>
  <conditionalFormatting sqref="AC55">
    <cfRule type="cellIs" dxfId="1108" priority="1300" operator="greaterThan">
      <formula>1</formula>
    </cfRule>
  </conditionalFormatting>
  <conditionalFormatting sqref="W55:X55">
    <cfRule type="cellIs" dxfId="1107" priority="1297" operator="greaterThan">
      <formula>2</formula>
    </cfRule>
  </conditionalFormatting>
  <conditionalFormatting sqref="D55:E55 G55">
    <cfRule type="cellIs" dxfId="1106" priority="1296" operator="greaterThan">
      <formula>1</formula>
    </cfRule>
  </conditionalFormatting>
  <conditionalFormatting sqref="AE55">
    <cfRule type="cellIs" dxfId="1105" priority="1290" operator="greaterThan">
      <formula>1</formula>
    </cfRule>
  </conditionalFormatting>
  <conditionalFormatting sqref="C55">
    <cfRule type="cellIs" dxfId="1104" priority="1294" operator="greaterThan">
      <formula>2</formula>
    </cfRule>
  </conditionalFormatting>
  <conditionalFormatting sqref="F55">
    <cfRule type="cellIs" dxfId="1103" priority="1293" operator="greaterThan">
      <formula>2</formula>
    </cfRule>
  </conditionalFormatting>
  <conditionalFormatting sqref="AA55">
    <cfRule type="cellIs" dxfId="1102" priority="1292" operator="greaterThan">
      <formula>1</formula>
    </cfRule>
  </conditionalFormatting>
  <conditionalFormatting sqref="AF55 AI55">
    <cfRule type="cellIs" dxfId="1101" priority="1291" operator="greaterThan">
      <formula>1</formula>
    </cfRule>
  </conditionalFormatting>
  <conditionalFormatting sqref="C250:D250 D252 C254 D266 J250:K250">
    <cfRule type="cellIs" dxfId="1100" priority="1289" operator="greaterThan">
      <formula>2</formula>
    </cfRule>
  </conditionalFormatting>
  <conditionalFormatting sqref="C251 D265:E265 D267">
    <cfRule type="cellIs" dxfId="1099" priority="1288" operator="greaterThan">
      <formula>2</formula>
    </cfRule>
  </conditionalFormatting>
  <conditionalFormatting sqref="C250:D250 D252 C254 D266 J250:K250">
    <cfRule type="cellIs" dxfId="1098" priority="1287" operator="greaterThan">
      <formula>2</formula>
    </cfRule>
  </conditionalFormatting>
  <conditionalFormatting sqref="C251 D265:E265 D267">
    <cfRule type="cellIs" dxfId="1097" priority="1286" operator="greaterThan">
      <formula>2</formula>
    </cfRule>
  </conditionalFormatting>
  <conditionalFormatting sqref="B249">
    <cfRule type="cellIs" dxfId="1096" priority="1285" operator="greaterThan">
      <formula>2</formula>
    </cfRule>
  </conditionalFormatting>
  <conditionalFormatting sqref="C249">
    <cfRule type="cellIs" dxfId="1095" priority="1284" operator="greaterThan">
      <formula>2</formula>
    </cfRule>
  </conditionalFormatting>
  <conditionalFormatting sqref="AF249 AL249:AM249 AO249 AI249:AJ249">
    <cfRule type="cellIs" dxfId="1094" priority="1283" operator="greaterThan">
      <formula>1</formula>
    </cfRule>
  </conditionalFormatting>
  <conditionalFormatting sqref="AI249">
    <cfRule type="cellIs" dxfId="1093" priority="1282" operator="greaterThan">
      <formula>1</formula>
    </cfRule>
  </conditionalFormatting>
  <conditionalFormatting sqref="AF249">
    <cfRule type="cellIs" dxfId="1092" priority="1281" operator="greaterThan">
      <formula>1</formula>
    </cfRule>
  </conditionalFormatting>
  <conditionalFormatting sqref="AK249">
    <cfRule type="cellIs" dxfId="1091" priority="1280" operator="greaterThan">
      <formula>1</formula>
    </cfRule>
  </conditionalFormatting>
  <conditionalFormatting sqref="M249:N249 AE249 U249:AC249 P249:S249">
    <cfRule type="cellIs" dxfId="1090" priority="1279" operator="greaterThan">
      <formula>1</formula>
    </cfRule>
  </conditionalFormatting>
  <conditionalFormatting sqref="Y249 AB249 AE249">
    <cfRule type="cellIs" dxfId="1089" priority="1278" operator="greaterThan">
      <formula>1</formula>
    </cfRule>
  </conditionalFormatting>
  <conditionalFormatting sqref="V249">
    <cfRule type="cellIs" dxfId="1088" priority="1277" operator="greaterThan">
      <formula>1</formula>
    </cfRule>
  </conditionalFormatting>
  <conditionalFormatting sqref="U249">
    <cfRule type="cellIs" dxfId="1087" priority="1276" operator="greaterThan">
      <formula>1</formula>
    </cfRule>
  </conditionalFormatting>
  <conditionalFormatting sqref="X249">
    <cfRule type="cellIs" dxfId="1086" priority="1275" operator="greaterThan">
      <formula>1</formula>
    </cfRule>
  </conditionalFormatting>
  <conditionalFormatting sqref="Z249">
    <cfRule type="cellIs" dxfId="1085" priority="1274" operator="greaterThan">
      <formula>1</formula>
    </cfRule>
  </conditionalFormatting>
  <conditionalFormatting sqref="AA249">
    <cfRule type="cellIs" dxfId="1084" priority="1273" operator="greaterThan">
      <formula>1</formula>
    </cfRule>
  </conditionalFormatting>
  <conditionalFormatting sqref="AC249">
    <cfRule type="cellIs" dxfId="1083" priority="1272" operator="greaterThan">
      <formula>1</formula>
    </cfRule>
  </conditionalFormatting>
  <conditionalFormatting sqref="W249">
    <cfRule type="cellIs" dxfId="1082" priority="1271" operator="greaterThan">
      <formula>1</formula>
    </cfRule>
  </conditionalFormatting>
  <conditionalFormatting sqref="E249:G249 J249:L249">
    <cfRule type="cellIs" dxfId="1081" priority="1270" operator="greaterThan">
      <formula>1</formula>
    </cfRule>
  </conditionalFormatting>
  <conditionalFormatting sqref="T249">
    <cfRule type="cellIs" dxfId="1080" priority="1266" operator="greaterThan">
      <formula>1</formula>
    </cfRule>
  </conditionalFormatting>
  <conditionalFormatting sqref="AD249">
    <cfRule type="cellIs" dxfId="1079" priority="1265" operator="greaterThan">
      <formula>1</formula>
    </cfRule>
  </conditionalFormatting>
  <conditionalFormatting sqref="AN251 AN267">
    <cfRule type="cellIs" dxfId="1078" priority="1259" operator="greaterThan">
      <formula>1</formula>
    </cfRule>
  </conditionalFormatting>
  <conditionalFormatting sqref="AN249">
    <cfRule type="cellIs" dxfId="1077" priority="1263" operator="greaterThan">
      <formula>2</formula>
    </cfRule>
  </conditionalFormatting>
  <conditionalFormatting sqref="AN250 AN254 AN266 AN252">
    <cfRule type="cellIs" dxfId="1076" priority="1262" operator="greaterThan">
      <formula>1</formula>
    </cfRule>
  </conditionalFormatting>
  <conditionalFormatting sqref="AN251 AN267">
    <cfRule type="cellIs" dxfId="1075" priority="1261" operator="greaterThan">
      <formula>1</formula>
    </cfRule>
  </conditionalFormatting>
  <conditionalFormatting sqref="AN250 AN254 AN266 AN252">
    <cfRule type="cellIs" dxfId="1074" priority="1260" operator="greaterThan">
      <formula>1</formula>
    </cfRule>
  </conditionalFormatting>
  <conditionalFormatting sqref="D249">
    <cfRule type="cellIs" dxfId="1073" priority="1258" operator="greaterThan">
      <formula>2</formula>
    </cfRule>
  </conditionalFormatting>
  <conditionalFormatting sqref="O249">
    <cfRule type="cellIs" dxfId="1072" priority="1257" operator="greaterThan">
      <formula>2</formula>
    </cfRule>
  </conditionalFormatting>
  <conditionalFormatting sqref="C56">
    <cfRule type="cellIs" dxfId="1071" priority="1256" operator="greaterThan">
      <formula>2</formula>
    </cfRule>
  </conditionalFormatting>
  <conditionalFormatting sqref="D56">
    <cfRule type="cellIs" dxfId="1070" priority="1255" operator="greaterThan">
      <formula>2</formula>
    </cfRule>
  </conditionalFormatting>
  <conditionalFormatting sqref="E56">
    <cfRule type="cellIs" dxfId="1069" priority="1254" operator="greaterThan">
      <formula>1</formula>
    </cfRule>
  </conditionalFormatting>
  <conditionalFormatting sqref="F56">
    <cfRule type="cellIs" dxfId="1068" priority="1253" operator="greaterThan">
      <formula>1</formula>
    </cfRule>
  </conditionalFormatting>
  <conditionalFormatting sqref="G56">
    <cfRule type="cellIs" dxfId="1067" priority="1252" operator="greaterThan">
      <formula>1</formula>
    </cfRule>
  </conditionalFormatting>
  <conditionalFormatting sqref="AN250">
    <cfRule type="cellIs" dxfId="1066" priority="1211" operator="greaterThan">
      <formula>1</formula>
    </cfRule>
  </conditionalFormatting>
  <conditionalFormatting sqref="I56">
    <cfRule type="cellIs" dxfId="1065" priority="1250" operator="greaterThan">
      <formula>1</formula>
    </cfRule>
  </conditionalFormatting>
  <conditionalFormatting sqref="D57">
    <cfRule type="cellIs" dxfId="1064" priority="1232" operator="greaterThan">
      <formula>1</formula>
    </cfRule>
  </conditionalFormatting>
  <conditionalFormatting sqref="W56">
    <cfRule type="cellIs" dxfId="1063" priority="1247" operator="greaterThan">
      <formula>1</formula>
    </cfRule>
  </conditionalFormatting>
  <conditionalFormatting sqref="AI56">
    <cfRule type="cellIs" dxfId="1062" priority="1246" operator="greaterThan">
      <formula>1</formula>
    </cfRule>
  </conditionalFormatting>
  <conditionalFormatting sqref="O56">
    <cfRule type="cellIs" dxfId="1061" priority="1245" operator="greaterThan">
      <formula>2</formula>
    </cfRule>
  </conditionalFormatting>
  <conditionalFormatting sqref="AM56">
    <cfRule type="cellIs" dxfId="1060" priority="1242" operator="greaterThan">
      <formula>2</formula>
    </cfRule>
  </conditionalFormatting>
  <conditionalFormatting sqref="AM200">
    <cfRule type="cellIs" dxfId="1059" priority="1241" operator="greaterThan">
      <formula>2</formula>
    </cfRule>
  </conditionalFormatting>
  <conditionalFormatting sqref="P56">
    <cfRule type="cellIs" dxfId="1058" priority="1240" operator="greaterThan">
      <formula>1</formula>
    </cfRule>
  </conditionalFormatting>
  <conditionalFormatting sqref="V56">
    <cfRule type="cellIs" dxfId="1057" priority="1239" operator="greaterThan">
      <formula>1</formula>
    </cfRule>
  </conditionalFormatting>
  <conditionalFormatting sqref="E57:G57 I57">
    <cfRule type="cellIs" dxfId="1056" priority="1238" operator="greaterThan">
      <formula>1</formula>
    </cfRule>
  </conditionalFormatting>
  <conditionalFormatting sqref="AA57">
    <cfRule type="cellIs" dxfId="1055" priority="1237" operator="greaterThan">
      <formula>1</formula>
    </cfRule>
  </conditionalFormatting>
  <conditionalFormatting sqref="AE57">
    <cfRule type="cellIs" dxfId="1054" priority="1236" operator="greaterThan">
      <formula>1</formula>
    </cfRule>
  </conditionalFormatting>
  <conditionalFormatting sqref="AF57">
    <cfRule type="cellIs" dxfId="1053" priority="1235" operator="greaterThan">
      <formula>1</formula>
    </cfRule>
  </conditionalFormatting>
  <conditionalFormatting sqref="O57">
    <cfRule type="cellIs" dxfId="1052" priority="1234" operator="greaterThan">
      <formula>2</formula>
    </cfRule>
  </conditionalFormatting>
  <conditionalFormatting sqref="C57">
    <cfRule type="cellIs" dxfId="1051" priority="1233" operator="greaterThan">
      <formula>2</formula>
    </cfRule>
  </conditionalFormatting>
  <conditionalFormatting sqref="D58:G58 I58">
    <cfRule type="cellIs" dxfId="1050" priority="1231" operator="greaterThan">
      <formula>2</formula>
    </cfRule>
  </conditionalFormatting>
  <conditionalFormatting sqref="D58:G58 I58">
    <cfRule type="cellIs" dxfId="1049" priority="1230" operator="greaterThan">
      <formula>1</formula>
    </cfRule>
  </conditionalFormatting>
  <conditionalFormatting sqref="U58:V58 X58:AA58">
    <cfRule type="cellIs" dxfId="1048" priority="1229" operator="greaterThan">
      <formula>2</formula>
    </cfRule>
  </conditionalFormatting>
  <conditionalFormatting sqref="U58:V58 X58:AA58">
    <cfRule type="cellIs" dxfId="1047" priority="1228" operator="greaterThan">
      <formula>1</formula>
    </cfRule>
  </conditionalFormatting>
  <conditionalFormatting sqref="AI58">
    <cfRule type="cellIs" dxfId="1046" priority="1227" operator="greaterThan">
      <formula>2</formula>
    </cfRule>
  </conditionalFormatting>
  <conditionalFormatting sqref="AI58">
    <cfRule type="cellIs" dxfId="1045" priority="1226" operator="greaterThan">
      <formula>1</formula>
    </cfRule>
  </conditionalFormatting>
  <conditionalFormatting sqref="T58">
    <cfRule type="cellIs" dxfId="1044" priority="1225" operator="greaterThan">
      <formula>2</formula>
    </cfRule>
  </conditionalFormatting>
  <conditionalFormatting sqref="W58">
    <cfRule type="cellIs" dxfId="1043" priority="1224" operator="greaterThan">
      <formula>2</formula>
    </cfRule>
  </conditionalFormatting>
  <conditionalFormatting sqref="D60:E60 G60 I60">
    <cfRule type="cellIs" dxfId="1042" priority="1223" operator="greaterThan">
      <formula>1</formula>
    </cfRule>
  </conditionalFormatting>
  <conditionalFormatting sqref="C60">
    <cfRule type="cellIs" dxfId="1041" priority="1222" operator="greaterThan">
      <formula>2</formula>
    </cfRule>
  </conditionalFormatting>
  <conditionalFormatting sqref="T60">
    <cfRule type="cellIs" dxfId="1040" priority="1221" operator="greaterThan">
      <formula>2</formula>
    </cfRule>
  </conditionalFormatting>
  <conditionalFormatting sqref="AI60">
    <cfRule type="cellIs" dxfId="1039" priority="1220" operator="greaterThan">
      <formula>2</formula>
    </cfRule>
  </conditionalFormatting>
  <conditionalFormatting sqref="AN60">
    <cfRule type="cellIs" dxfId="1038" priority="1219" operator="greaterThan">
      <formula>2</formula>
    </cfRule>
  </conditionalFormatting>
  <conditionalFormatting sqref="E250:G250">
    <cfRule type="cellIs" dxfId="1037" priority="1218" operator="greaterThan">
      <formula>1</formula>
    </cfRule>
  </conditionalFormatting>
  <conditionalFormatting sqref="L250">
    <cfRule type="cellIs" dxfId="1036" priority="1217" operator="greaterThan">
      <formula>1</formula>
    </cfRule>
  </conditionalFormatting>
  <conditionalFormatting sqref="W250">
    <cfRule type="cellIs" dxfId="1035" priority="1216" operator="greaterThan">
      <formula>2</formula>
    </cfRule>
  </conditionalFormatting>
  <conditionalFormatting sqref="W250">
    <cfRule type="cellIs" dxfId="1034" priority="1215" operator="greaterThan">
      <formula>2</formula>
    </cfRule>
  </conditionalFormatting>
  <conditionalFormatting sqref="AM250">
    <cfRule type="cellIs" dxfId="1033" priority="1214" operator="greaterThan">
      <formula>1</formula>
    </cfRule>
  </conditionalFormatting>
  <conditionalFormatting sqref="AI250">
    <cfRule type="cellIs" dxfId="1032" priority="1213" operator="greaterThan">
      <formula>2</formula>
    </cfRule>
  </conditionalFormatting>
  <conditionalFormatting sqref="AI250">
    <cfRule type="cellIs" dxfId="1031" priority="1212" operator="greaterThan">
      <formula>2</formula>
    </cfRule>
  </conditionalFormatting>
  <conditionalFormatting sqref="AN250">
    <cfRule type="cellIs" dxfId="1030" priority="1210" operator="greaterThan">
      <formula>1</formula>
    </cfRule>
  </conditionalFormatting>
  <conditionalFormatting sqref="AM250">
    <cfRule type="cellIs" dxfId="1029" priority="1209" operator="greaterThan">
      <formula>1</formula>
    </cfRule>
  </conditionalFormatting>
  <conditionalFormatting sqref="AM250">
    <cfRule type="cellIs" dxfId="1028" priority="1208" operator="greaterThan">
      <formula>1</formula>
    </cfRule>
  </conditionalFormatting>
  <conditionalFormatting sqref="AE251">
    <cfRule type="cellIs" dxfId="1027" priority="1205" operator="greaterThan">
      <formula>1</formula>
    </cfRule>
  </conditionalFormatting>
  <conditionalFormatting sqref="AE251">
    <cfRule type="cellIs" dxfId="1026" priority="1204" operator="greaterThan">
      <formula>1</formula>
    </cfRule>
  </conditionalFormatting>
  <conditionalFormatting sqref="AE250">
    <cfRule type="cellIs" dxfId="1025" priority="1203" operator="greaterThan">
      <formula>2</formula>
    </cfRule>
  </conditionalFormatting>
  <conditionalFormatting sqref="AE250">
    <cfRule type="cellIs" dxfId="1024" priority="1202" operator="greaterThan">
      <formula>2</formula>
    </cfRule>
  </conditionalFormatting>
  <conditionalFormatting sqref="L251">
    <cfRule type="cellIs" dxfId="1023" priority="1201" operator="greaterThan">
      <formula>1</formula>
    </cfRule>
  </conditionalFormatting>
  <conditionalFormatting sqref="E251:G251 J251:K251">
    <cfRule type="cellIs" dxfId="1022" priority="1200" operator="greaterThan">
      <formula>1</formula>
    </cfRule>
  </conditionalFormatting>
  <conditionalFormatting sqref="D251">
    <cfRule type="cellIs" dxfId="1021" priority="1199" operator="greaterThan">
      <formula>1</formula>
    </cfRule>
  </conditionalFormatting>
  <conditionalFormatting sqref="AD251">
    <cfRule type="cellIs" dxfId="1020" priority="1198" operator="greaterThan">
      <formula>2</formula>
    </cfRule>
  </conditionalFormatting>
  <conditionalFormatting sqref="AD251">
    <cfRule type="cellIs" dxfId="1019" priority="1197" operator="greaterThan">
      <formula>2</formula>
    </cfRule>
  </conditionalFormatting>
  <conditionalFormatting sqref="AI251">
    <cfRule type="cellIs" dxfId="1018" priority="1196" operator="greaterThan">
      <formula>2</formula>
    </cfRule>
  </conditionalFormatting>
  <conditionalFormatting sqref="AI251">
    <cfRule type="cellIs" dxfId="1017" priority="1195" operator="greaterThan">
      <formula>2</formula>
    </cfRule>
  </conditionalFormatting>
  <conditionalFormatting sqref="C252">
    <cfRule type="cellIs" dxfId="1016" priority="1194" operator="greaterThan">
      <formula>1</formula>
    </cfRule>
  </conditionalFormatting>
  <conditionalFormatting sqref="E252:G252 J252:L252">
    <cfRule type="cellIs" dxfId="1015" priority="1193" operator="greaterThan">
      <formula>1</formula>
    </cfRule>
  </conditionalFormatting>
  <conditionalFormatting sqref="AI252">
    <cfRule type="cellIs" dxfId="1014" priority="1192" operator="greaterThan">
      <formula>2</formula>
    </cfRule>
  </conditionalFormatting>
  <conditionalFormatting sqref="AI252">
    <cfRule type="cellIs" dxfId="1013" priority="1191" operator="greaterThan">
      <formula>2</formula>
    </cfRule>
  </conditionalFormatting>
  <conditionalFormatting sqref="AN252">
    <cfRule type="cellIs" dxfId="1012" priority="1190" operator="greaterThan">
      <formula>1</formula>
    </cfRule>
  </conditionalFormatting>
  <conditionalFormatting sqref="AN252">
    <cfRule type="cellIs" dxfId="1011" priority="1189" operator="greaterThan">
      <formula>1</formula>
    </cfRule>
  </conditionalFormatting>
  <conditionalFormatting sqref="AM253">
    <cfRule type="cellIs" dxfId="1010" priority="1188" operator="greaterThan">
      <formula>1</formula>
    </cfRule>
  </conditionalFormatting>
  <conditionalFormatting sqref="M253:T253 AL253">
    <cfRule type="cellIs" dxfId="1009" priority="1187" operator="greaterThan">
      <formula>1</formula>
    </cfRule>
  </conditionalFormatting>
  <conditionalFormatting sqref="V253">
    <cfRule type="cellIs" dxfId="1008" priority="1185" operator="greaterThan">
      <formula>1</formula>
    </cfRule>
  </conditionalFormatting>
  <conditionalFormatting sqref="AF253">
    <cfRule type="cellIs" dxfId="1007" priority="1184" operator="greaterThan">
      <formula>1</formula>
    </cfRule>
  </conditionalFormatting>
  <conditionalFormatting sqref="U253">
    <cfRule type="cellIs" dxfId="1006" priority="1183" operator="greaterThan">
      <formula>1</formula>
    </cfRule>
  </conditionalFormatting>
  <conditionalFormatting sqref="AA253">
    <cfRule type="cellIs" dxfId="1005" priority="1179" operator="greaterThan">
      <formula>1</formula>
    </cfRule>
  </conditionalFormatting>
  <conditionalFormatting sqref="AC253">
    <cfRule type="cellIs" dxfId="1004" priority="1178" operator="greaterThan">
      <formula>1</formula>
    </cfRule>
  </conditionalFormatting>
  <conditionalFormatting sqref="AM253">
    <cfRule type="cellIs" dxfId="1003" priority="1176" operator="greaterThan">
      <formula>1</formula>
    </cfRule>
  </conditionalFormatting>
  <conditionalFormatting sqref="V253">
    <cfRule type="cellIs" dxfId="1002" priority="1173" operator="greaterThan">
      <formula>1</formula>
    </cfRule>
  </conditionalFormatting>
  <conditionalFormatting sqref="AF253">
    <cfRule type="cellIs" dxfId="1001" priority="1172" operator="greaterThan">
      <formula>1</formula>
    </cfRule>
  </conditionalFormatting>
  <conditionalFormatting sqref="U253">
    <cfRule type="cellIs" dxfId="1000" priority="1171" operator="greaterThan">
      <formula>1</formula>
    </cfRule>
  </conditionalFormatting>
  <conditionalFormatting sqref="AA253">
    <cfRule type="cellIs" dxfId="999" priority="1167" operator="greaterThan">
      <formula>1</formula>
    </cfRule>
  </conditionalFormatting>
  <conditionalFormatting sqref="M253:T253 AL253">
    <cfRule type="cellIs" dxfId="998" priority="1175" operator="greaterThan">
      <formula>1</formula>
    </cfRule>
  </conditionalFormatting>
  <conditionalFormatting sqref="AC253">
    <cfRule type="cellIs" dxfId="997" priority="1166" operator="greaterThan">
      <formula>1</formula>
    </cfRule>
  </conditionalFormatting>
  <conditionalFormatting sqref="AD253">
    <cfRule type="cellIs" dxfId="996" priority="1165" operator="greaterThan">
      <formula>2</formula>
    </cfRule>
  </conditionalFormatting>
  <conditionalFormatting sqref="AJ253">
    <cfRule type="cellIs" dxfId="995" priority="1164" operator="greaterThan">
      <formula>1</formula>
    </cfRule>
  </conditionalFormatting>
  <conditionalFormatting sqref="AJ253">
    <cfRule type="cellIs" dxfId="994" priority="1163" operator="greaterThan">
      <formula>1</formula>
    </cfRule>
  </conditionalFormatting>
  <conditionalFormatting sqref="AK253">
    <cfRule type="cellIs" dxfId="993" priority="1162" operator="greaterThan">
      <formula>1</formula>
    </cfRule>
  </conditionalFormatting>
  <conditionalFormatting sqref="Y253 AB253 AE253">
    <cfRule type="cellIs" dxfId="992" priority="1186" operator="greaterThan">
      <formula>1</formula>
    </cfRule>
  </conditionalFormatting>
  <conditionalFormatting sqref="W253">
    <cfRule type="cellIs" dxfId="991" priority="1182" operator="greaterThan">
      <formula>2</formula>
    </cfRule>
  </conditionalFormatting>
  <conditionalFormatting sqref="X253">
    <cfRule type="cellIs" dxfId="990" priority="1181" operator="greaterThan">
      <formula>1</formula>
    </cfRule>
  </conditionalFormatting>
  <conditionalFormatting sqref="Z253">
    <cfRule type="cellIs" dxfId="989" priority="1180" operator="greaterThan">
      <formula>1</formula>
    </cfRule>
  </conditionalFormatting>
  <conditionalFormatting sqref="AD253">
    <cfRule type="cellIs" dxfId="988" priority="1177" operator="greaterThan">
      <formula>2</formula>
    </cfRule>
  </conditionalFormatting>
  <conditionalFormatting sqref="W253">
    <cfRule type="cellIs" dxfId="987" priority="1170" operator="greaterThan">
      <formula>2</formula>
    </cfRule>
  </conditionalFormatting>
  <conditionalFormatting sqref="X253">
    <cfRule type="cellIs" dxfId="986" priority="1169" operator="greaterThan">
      <formula>1</formula>
    </cfRule>
  </conditionalFormatting>
  <conditionalFormatting sqref="Z253">
    <cfRule type="cellIs" dxfId="985" priority="1168" operator="greaterThan">
      <formula>1</formula>
    </cfRule>
  </conditionalFormatting>
  <conditionalFormatting sqref="Y253 AB253 AE253">
    <cfRule type="cellIs" dxfId="984" priority="1174" operator="greaterThan">
      <formula>1</formula>
    </cfRule>
  </conditionalFormatting>
  <conditionalFormatting sqref="D253">
    <cfRule type="cellIs" dxfId="983" priority="1161" operator="greaterThan">
      <formula>2</formula>
    </cfRule>
  </conditionalFormatting>
  <conditionalFormatting sqref="D253">
    <cfRule type="cellIs" dxfId="982" priority="1160" operator="greaterThan">
      <formula>2</formula>
    </cfRule>
  </conditionalFormatting>
  <conditionalFormatting sqref="AN253">
    <cfRule type="cellIs" dxfId="981" priority="1159" operator="greaterThan">
      <formula>1</formula>
    </cfRule>
  </conditionalFormatting>
  <conditionalFormatting sqref="AN253">
    <cfRule type="cellIs" dxfId="980" priority="1158" operator="greaterThan">
      <formula>1</formula>
    </cfRule>
  </conditionalFormatting>
  <conditionalFormatting sqref="E253:G253 J253:L253">
    <cfRule type="cellIs" dxfId="979" priority="1156" operator="greaterThan">
      <formula>1</formula>
    </cfRule>
  </conditionalFormatting>
  <conditionalFormatting sqref="AI253">
    <cfRule type="cellIs" dxfId="978" priority="1155" operator="greaterThan">
      <formula>2</formula>
    </cfRule>
  </conditionalFormatting>
  <conditionalFormatting sqref="AI253">
    <cfRule type="cellIs" dxfId="977" priority="1154" operator="greaterThan">
      <formula>2</formula>
    </cfRule>
  </conditionalFormatting>
  <conditionalFormatting sqref="AN253">
    <cfRule type="cellIs" dxfId="976" priority="1153" operator="greaterThan">
      <formula>1</formula>
    </cfRule>
  </conditionalFormatting>
  <conditionalFormatting sqref="AN253">
    <cfRule type="cellIs" dxfId="975" priority="1152" operator="greaterThan">
      <formula>1</formula>
    </cfRule>
  </conditionalFormatting>
  <conditionalFormatting sqref="C253">
    <cfRule type="cellIs" dxfId="974" priority="1151" operator="greaterThan">
      <formula>2</formula>
    </cfRule>
  </conditionalFormatting>
  <conditionalFormatting sqref="C253">
    <cfRule type="cellIs" dxfId="973" priority="1150" operator="greaterThan">
      <formula>2</formula>
    </cfRule>
  </conditionalFormatting>
  <conditionalFormatting sqref="D254:G254 J254:L254">
    <cfRule type="cellIs" dxfId="972" priority="1149" operator="greaterThan">
      <formula>1</formula>
    </cfRule>
  </conditionalFormatting>
  <conditionalFormatting sqref="AI254">
    <cfRule type="cellIs" dxfId="971" priority="1148" operator="greaterThan">
      <formula>1</formula>
    </cfRule>
  </conditionalFormatting>
  <conditionalFormatting sqref="AI254">
    <cfRule type="cellIs" dxfId="970" priority="1147" operator="greaterThan">
      <formula>1</formula>
    </cfRule>
  </conditionalFormatting>
  <conditionalFormatting sqref="F265:G265 J265:L265">
    <cfRule type="cellIs" dxfId="969" priority="1146" operator="greaterThan">
      <formula>1</formula>
    </cfRule>
  </conditionalFormatting>
  <conditionalFormatting sqref="AI265">
    <cfRule type="cellIs" dxfId="968" priority="1145" operator="greaterThan">
      <formula>2</formula>
    </cfRule>
  </conditionalFormatting>
  <conditionalFormatting sqref="AI265">
    <cfRule type="cellIs" dxfId="967" priority="1144" operator="greaterThan">
      <formula>2</formula>
    </cfRule>
  </conditionalFormatting>
  <conditionalFormatting sqref="AJ265">
    <cfRule type="cellIs" dxfId="966" priority="1143" operator="greaterThan">
      <formula>2</formula>
    </cfRule>
  </conditionalFormatting>
  <conditionalFormatting sqref="AJ265">
    <cfRule type="cellIs" dxfId="965" priority="1142" operator="greaterThan">
      <formula>2</formula>
    </cfRule>
  </conditionalFormatting>
  <conditionalFormatting sqref="AN265">
    <cfRule type="cellIs" dxfId="964" priority="1141" operator="greaterThan">
      <formula>1</formula>
    </cfRule>
  </conditionalFormatting>
  <conditionalFormatting sqref="AN265">
    <cfRule type="cellIs" dxfId="963" priority="1140" operator="greaterThan">
      <formula>1</formula>
    </cfRule>
  </conditionalFormatting>
  <conditionalFormatting sqref="W128">
    <cfRule type="cellIs" dxfId="962" priority="1139" operator="greaterThan">
      <formula>2</formula>
    </cfRule>
  </conditionalFormatting>
  <conditionalFormatting sqref="E268:G269 I268:J269 L268:L269">
    <cfRule type="cellIs" dxfId="961" priority="977" operator="greaterThan">
      <formula>1</formula>
    </cfRule>
  </conditionalFormatting>
  <conditionalFormatting sqref="V271">
    <cfRule type="cellIs" dxfId="960" priority="1100" operator="greaterThan">
      <formula>1</formula>
    </cfRule>
  </conditionalFormatting>
  <conditionalFormatting sqref="C139">
    <cfRule type="cellIs" dxfId="959" priority="1134" operator="greaterThan">
      <formula>2</formula>
    </cfRule>
  </conditionalFormatting>
  <conditionalFormatting sqref="V139">
    <cfRule type="cellIs" dxfId="958" priority="1133" operator="greaterThan">
      <formula>2</formula>
    </cfRule>
  </conditionalFormatting>
  <conditionalFormatting sqref="AF270 AL270:AM270 AO270 AI270:AJ270">
    <cfRule type="cellIs" dxfId="957" priority="1130" operator="greaterThan">
      <formula>1</formula>
    </cfRule>
  </conditionalFormatting>
  <conditionalFormatting sqref="AI270">
    <cfRule type="cellIs" dxfId="956" priority="1129" operator="greaterThan">
      <formula>1</formula>
    </cfRule>
  </conditionalFormatting>
  <conditionalFormatting sqref="AF270">
    <cfRule type="cellIs" dxfId="955" priority="1128" operator="greaterThan">
      <formula>1</formula>
    </cfRule>
  </conditionalFormatting>
  <conditionalFormatting sqref="AK270">
    <cfRule type="cellIs" dxfId="954" priority="1127" operator="greaterThan">
      <formula>1</formula>
    </cfRule>
  </conditionalFormatting>
  <conditionalFormatting sqref="M270:S270 AE270 V270:AB270">
    <cfRule type="cellIs" dxfId="953" priority="1126" operator="greaterThan">
      <formula>1</formula>
    </cfRule>
  </conditionalFormatting>
  <conditionalFormatting sqref="Y270 AB270 AE270">
    <cfRule type="cellIs" dxfId="952" priority="1125" operator="greaterThan">
      <formula>1</formula>
    </cfRule>
  </conditionalFormatting>
  <conditionalFormatting sqref="V270">
    <cfRule type="cellIs" dxfId="951" priority="1124" operator="greaterThan">
      <formula>1</formula>
    </cfRule>
  </conditionalFormatting>
  <conditionalFormatting sqref="X270">
    <cfRule type="cellIs" dxfId="950" priority="1122" operator="greaterThan">
      <formula>1</formula>
    </cfRule>
  </conditionalFormatting>
  <conditionalFormatting sqref="Z270">
    <cfRule type="cellIs" dxfId="949" priority="1121" operator="greaterThan">
      <formula>1</formula>
    </cfRule>
  </conditionalFormatting>
  <conditionalFormatting sqref="AA270">
    <cfRule type="cellIs" dxfId="948" priority="1120" operator="greaterThan">
      <formula>1</formula>
    </cfRule>
  </conditionalFormatting>
  <conditionalFormatting sqref="D270:G270 I270:L270">
    <cfRule type="cellIs" dxfId="947" priority="1117" operator="greaterThan">
      <formula>1</formula>
    </cfRule>
  </conditionalFormatting>
  <conditionalFormatting sqref="W270">
    <cfRule type="cellIs" dxfId="946" priority="1118" operator="greaterThan">
      <formula>1</formula>
    </cfRule>
  </conditionalFormatting>
  <conditionalFormatting sqref="AN270">
    <cfRule type="cellIs" dxfId="945" priority="1115" operator="greaterThan">
      <formula>2</formula>
    </cfRule>
  </conditionalFormatting>
  <conditionalFormatting sqref="T270">
    <cfRule type="cellIs" dxfId="944" priority="1112" operator="greaterThan">
      <formula>2</formula>
    </cfRule>
  </conditionalFormatting>
  <conditionalFormatting sqref="U270">
    <cfRule type="cellIs" dxfId="943" priority="1111" operator="greaterThan">
      <formula>1</formula>
    </cfRule>
  </conditionalFormatting>
  <conditionalFormatting sqref="AC270">
    <cfRule type="cellIs" dxfId="942" priority="1110" operator="greaterThan">
      <formula>1</formula>
    </cfRule>
  </conditionalFormatting>
  <conditionalFormatting sqref="AD270">
    <cfRule type="cellIs" dxfId="941" priority="1109" operator="greaterThan">
      <formula>2</formula>
    </cfRule>
  </conditionalFormatting>
  <conditionalFormatting sqref="AF271 AL271:AM271 AO271 AI271:AJ271">
    <cfRule type="cellIs" dxfId="940" priority="1106" operator="greaterThan">
      <formula>1</formula>
    </cfRule>
  </conditionalFormatting>
  <conditionalFormatting sqref="AI271">
    <cfRule type="cellIs" dxfId="939" priority="1105" operator="greaterThan">
      <formula>1</formula>
    </cfRule>
  </conditionalFormatting>
  <conditionalFormatting sqref="AF271">
    <cfRule type="cellIs" dxfId="938" priority="1104" operator="greaterThan">
      <formula>1</formula>
    </cfRule>
  </conditionalFormatting>
  <conditionalFormatting sqref="AK271">
    <cfRule type="cellIs" dxfId="937" priority="1103" operator="greaterThan">
      <formula>1</formula>
    </cfRule>
  </conditionalFormatting>
  <conditionalFormatting sqref="M271:S271 AE271 V271 X271:AB271">
    <cfRule type="cellIs" dxfId="936" priority="1102" operator="greaterThan">
      <formula>1</formula>
    </cfRule>
  </conditionalFormatting>
  <conditionalFormatting sqref="Y271 AB271 AE271">
    <cfRule type="cellIs" dxfId="935" priority="1101" operator="greaterThan">
      <formula>1</formula>
    </cfRule>
  </conditionalFormatting>
  <conditionalFormatting sqref="X271">
    <cfRule type="cellIs" dxfId="934" priority="1099" operator="greaterThan">
      <formula>1</formula>
    </cfRule>
  </conditionalFormatting>
  <conditionalFormatting sqref="Z271">
    <cfRule type="cellIs" dxfId="933" priority="1098" operator="greaterThan">
      <formula>1</formula>
    </cfRule>
  </conditionalFormatting>
  <conditionalFormatting sqref="AA271">
    <cfRule type="cellIs" dxfId="932" priority="1097" operator="greaterThan">
      <formula>1</formula>
    </cfRule>
  </conditionalFormatting>
  <conditionalFormatting sqref="D271:E271 G271 I271:L271">
    <cfRule type="cellIs" dxfId="931" priority="1095" operator="greaterThan">
      <formula>1</formula>
    </cfRule>
  </conditionalFormatting>
  <conditionalFormatting sqref="AN271">
    <cfRule type="cellIs" dxfId="930" priority="1094" operator="greaterThan">
      <formula>2</formula>
    </cfRule>
  </conditionalFormatting>
  <conditionalFormatting sqref="U271">
    <cfRule type="cellIs" dxfId="929" priority="1092" operator="greaterThan">
      <formula>1</formula>
    </cfRule>
  </conditionalFormatting>
  <conditionalFormatting sqref="AC271">
    <cfRule type="cellIs" dxfId="928" priority="1091" operator="greaterThan">
      <formula>1</formula>
    </cfRule>
  </conditionalFormatting>
  <conditionalFormatting sqref="T271">
    <cfRule type="cellIs" dxfId="927" priority="1088" operator="greaterThan">
      <formula>1</formula>
    </cfRule>
  </conditionalFormatting>
  <conditionalFormatting sqref="AD271">
    <cfRule type="cellIs" dxfId="926" priority="1087" operator="greaterThan">
      <formula>1</formula>
    </cfRule>
  </conditionalFormatting>
  <conditionalFormatting sqref="W271">
    <cfRule type="cellIs" dxfId="925" priority="1086" operator="greaterThan">
      <formula>2</formula>
    </cfRule>
  </conditionalFormatting>
  <conditionalFormatting sqref="F271">
    <cfRule type="cellIs" dxfId="924" priority="1085" operator="greaterThan">
      <formula>2</formula>
    </cfRule>
  </conditionalFormatting>
  <conditionalFormatting sqref="F271">
    <cfRule type="cellIs" dxfId="923" priority="1084" operator="greaterThan">
      <formula>1</formula>
    </cfRule>
  </conditionalFormatting>
  <conditionalFormatting sqref="G271">
    <cfRule type="cellIs" dxfId="922" priority="1083" operator="greaterThan">
      <formula>2</formula>
    </cfRule>
  </conditionalFormatting>
  <conditionalFormatting sqref="AF272 AL272:AM272 AO272 AI272:AJ272">
    <cfRule type="cellIs" dxfId="921" priority="1081" operator="greaterThan">
      <formula>1</formula>
    </cfRule>
  </conditionalFormatting>
  <conditionalFormatting sqref="AI272">
    <cfRule type="cellIs" dxfId="920" priority="1080" operator="greaterThan">
      <formula>1</formula>
    </cfRule>
  </conditionalFormatting>
  <conditionalFormatting sqref="AF272">
    <cfRule type="cellIs" dxfId="919" priority="1079" operator="greaterThan">
      <formula>1</formula>
    </cfRule>
  </conditionalFormatting>
  <conditionalFormatting sqref="AK272">
    <cfRule type="cellIs" dxfId="918" priority="1078" operator="greaterThan">
      <formula>1</formula>
    </cfRule>
  </conditionalFormatting>
  <conditionalFormatting sqref="M272:S272 AE272 V272 X272:Y272 AA272:AB272">
    <cfRule type="cellIs" dxfId="917" priority="1077" operator="greaterThan">
      <formula>1</formula>
    </cfRule>
  </conditionalFormatting>
  <conditionalFormatting sqref="Y272 AB272 AE272">
    <cfRule type="cellIs" dxfId="916" priority="1076" operator="greaterThan">
      <formula>1</formula>
    </cfRule>
  </conditionalFormatting>
  <conditionalFormatting sqref="V272">
    <cfRule type="cellIs" dxfId="915" priority="1075" operator="greaterThan">
      <formula>1</formula>
    </cfRule>
  </conditionalFormatting>
  <conditionalFormatting sqref="X272">
    <cfRule type="cellIs" dxfId="914" priority="1074" operator="greaterThan">
      <formula>1</formula>
    </cfRule>
  </conditionalFormatting>
  <conditionalFormatting sqref="AA272">
    <cfRule type="cellIs" dxfId="913" priority="1072" operator="greaterThan">
      <formula>1</formula>
    </cfRule>
  </conditionalFormatting>
  <conditionalFormatting sqref="D272:E272 I272 L272">
    <cfRule type="cellIs" dxfId="912" priority="1071" operator="greaterThan">
      <formula>1</formula>
    </cfRule>
  </conditionalFormatting>
  <conditionalFormatting sqref="W272">
    <cfRule type="cellIs" dxfId="911" priority="1064" operator="greaterThan">
      <formula>2</formula>
    </cfRule>
  </conditionalFormatting>
  <conditionalFormatting sqref="U272">
    <cfRule type="cellIs" dxfId="910" priority="1069" operator="greaterThan">
      <formula>1</formula>
    </cfRule>
  </conditionalFormatting>
  <conditionalFormatting sqref="AC272">
    <cfRule type="cellIs" dxfId="909" priority="1068" operator="greaterThan">
      <formula>1</formula>
    </cfRule>
  </conditionalFormatting>
  <conditionalFormatting sqref="T272">
    <cfRule type="cellIs" dxfId="908" priority="1066" operator="greaterThan">
      <formula>1</formula>
    </cfRule>
  </conditionalFormatting>
  <conditionalFormatting sqref="AD272">
    <cfRule type="cellIs" dxfId="907" priority="1065" operator="greaterThan">
      <formula>1</formula>
    </cfRule>
  </conditionalFormatting>
  <conditionalFormatting sqref="F272">
    <cfRule type="cellIs" dxfId="906" priority="1063" operator="greaterThan">
      <formula>2</formula>
    </cfRule>
  </conditionalFormatting>
  <conditionalFormatting sqref="F272">
    <cfRule type="cellIs" dxfId="905" priority="1062" operator="greaterThan">
      <formula>1</formula>
    </cfRule>
  </conditionalFormatting>
  <conditionalFormatting sqref="AN272">
    <cfRule type="cellIs" dxfId="904" priority="1060" operator="greaterThan">
      <formula>1</formula>
    </cfRule>
  </conditionalFormatting>
  <conditionalFormatting sqref="J272:K272">
    <cfRule type="cellIs" dxfId="903" priority="1059" operator="greaterThan">
      <formula>2</formula>
    </cfRule>
  </conditionalFormatting>
  <conditionalFormatting sqref="G272">
    <cfRule type="cellIs" dxfId="902" priority="1056" operator="greaterThan">
      <formula>2</formula>
    </cfRule>
  </conditionalFormatting>
  <conditionalFormatting sqref="Z272">
    <cfRule type="cellIs" dxfId="901" priority="1055" operator="greaterThan">
      <formula>2</formula>
    </cfRule>
  </conditionalFormatting>
  <conditionalFormatting sqref="AF273 AL273:AM273 AO273 AI273">
    <cfRule type="cellIs" dxfId="900" priority="1053" operator="greaterThan">
      <formula>1</formula>
    </cfRule>
  </conditionalFormatting>
  <conditionalFormatting sqref="AI273">
    <cfRule type="cellIs" dxfId="899" priority="1052" operator="greaterThan">
      <formula>1</formula>
    </cfRule>
  </conditionalFormatting>
  <conditionalFormatting sqref="AF273">
    <cfRule type="cellIs" dxfId="898" priority="1051" operator="greaterThan">
      <formula>1</formula>
    </cfRule>
  </conditionalFormatting>
  <conditionalFormatting sqref="AK273">
    <cfRule type="cellIs" dxfId="897" priority="1050" operator="greaterThan">
      <formula>1</formula>
    </cfRule>
  </conditionalFormatting>
  <conditionalFormatting sqref="M273:S273 AE273 V273 X273:Y273 AA273:AB273">
    <cfRule type="cellIs" dxfId="896" priority="1049" operator="greaterThan">
      <formula>1</formula>
    </cfRule>
  </conditionalFormatting>
  <conditionalFormatting sqref="Y273 AB273 AE273">
    <cfRule type="cellIs" dxfId="895" priority="1048" operator="greaterThan">
      <formula>1</formula>
    </cfRule>
  </conditionalFormatting>
  <conditionalFormatting sqref="V273">
    <cfRule type="cellIs" dxfId="894" priority="1047" operator="greaterThan">
      <formula>1</formula>
    </cfRule>
  </conditionalFormatting>
  <conditionalFormatting sqref="X273">
    <cfRule type="cellIs" dxfId="893" priority="1046" operator="greaterThan">
      <formula>1</formula>
    </cfRule>
  </conditionalFormatting>
  <conditionalFormatting sqref="AA273">
    <cfRule type="cellIs" dxfId="892" priority="1045" operator="greaterThan">
      <formula>1</formula>
    </cfRule>
  </conditionalFormatting>
  <conditionalFormatting sqref="D273:E273 I273 L273">
    <cfRule type="cellIs" dxfId="891" priority="1044" operator="greaterThan">
      <formula>1</formula>
    </cfRule>
  </conditionalFormatting>
  <conditionalFormatting sqref="W273">
    <cfRule type="cellIs" dxfId="890" priority="1038" operator="greaterThan">
      <formula>2</formula>
    </cfRule>
  </conditionalFormatting>
  <conditionalFormatting sqref="U273">
    <cfRule type="cellIs" dxfId="889" priority="1043" operator="greaterThan">
      <formula>1</formula>
    </cfRule>
  </conditionalFormatting>
  <conditionalFormatting sqref="AC273">
    <cfRule type="cellIs" dxfId="888" priority="1042" operator="greaterThan">
      <formula>1</formula>
    </cfRule>
  </conditionalFormatting>
  <conditionalFormatting sqref="T273">
    <cfRule type="cellIs" dxfId="887" priority="1040" operator="greaterThan">
      <formula>1</formula>
    </cfRule>
  </conditionalFormatting>
  <conditionalFormatting sqref="AD273">
    <cfRule type="cellIs" dxfId="886" priority="1039" operator="greaterThan">
      <formula>1</formula>
    </cfRule>
  </conditionalFormatting>
  <conditionalFormatting sqref="F273">
    <cfRule type="cellIs" dxfId="885" priority="1037" operator="greaterThan">
      <formula>2</formula>
    </cfRule>
  </conditionalFormatting>
  <conditionalFormatting sqref="F273">
    <cfRule type="cellIs" dxfId="884" priority="1036" operator="greaterThan">
      <formula>1</formula>
    </cfRule>
  </conditionalFormatting>
  <conditionalFormatting sqref="AN273">
    <cfRule type="cellIs" dxfId="883" priority="1035" operator="greaterThan">
      <formula>1</formula>
    </cfRule>
  </conditionalFormatting>
  <conditionalFormatting sqref="G273">
    <cfRule type="cellIs" dxfId="882" priority="1033" operator="greaterThan">
      <formula>2</formula>
    </cfRule>
  </conditionalFormatting>
  <conditionalFormatting sqref="AJ273">
    <cfRule type="cellIs" dxfId="881" priority="1027" operator="greaterThan">
      <formula>2</formula>
    </cfRule>
  </conditionalFormatting>
  <conditionalFormatting sqref="Z273">
    <cfRule type="cellIs" dxfId="880" priority="1031" operator="greaterThan">
      <formula>1</formula>
    </cfRule>
  </conditionalFormatting>
  <conditionalFormatting sqref="Z273">
    <cfRule type="cellIs" dxfId="879" priority="1030" operator="greaterThan">
      <formula>1</formula>
    </cfRule>
  </conditionalFormatting>
  <conditionalFormatting sqref="J273:K273">
    <cfRule type="cellIs" dxfId="878" priority="1029" operator="greaterThan">
      <formula>2</formula>
    </cfRule>
  </conditionalFormatting>
  <conditionalFormatting sqref="J273:K273">
    <cfRule type="cellIs" dxfId="877" priority="1028" operator="greaterThan">
      <formula>1</formula>
    </cfRule>
  </conditionalFormatting>
  <conditionalFormatting sqref="D77 F77">
    <cfRule type="cellIs" dxfId="876" priority="1026" operator="greaterThan">
      <formula>1</formula>
    </cfRule>
  </conditionalFormatting>
  <conditionalFormatting sqref="U77">
    <cfRule type="cellIs" dxfId="875" priority="1025" operator="greaterThan">
      <formula>1</formula>
    </cfRule>
  </conditionalFormatting>
  <conditionalFormatting sqref="U77">
    <cfRule type="cellIs" dxfId="874" priority="1024" operator="greaterThan">
      <formula>1</formula>
    </cfRule>
  </conditionalFormatting>
  <conditionalFormatting sqref="T77">
    <cfRule type="cellIs" dxfId="873" priority="1023" operator="greaterThan">
      <formula>2</formula>
    </cfRule>
  </conditionalFormatting>
  <conditionalFormatting sqref="G77">
    <cfRule type="cellIs" dxfId="872" priority="1022" operator="greaterThan">
      <formula>1</formula>
    </cfRule>
  </conditionalFormatting>
  <conditionalFormatting sqref="G77">
    <cfRule type="cellIs" dxfId="871" priority="1021" operator="greaterThan">
      <formula>2</formula>
    </cfRule>
  </conditionalFormatting>
  <conditionalFormatting sqref="C77">
    <cfRule type="cellIs" dxfId="870" priority="1020" operator="greaterThan">
      <formula>2</formula>
    </cfRule>
  </conditionalFormatting>
  <conditionalFormatting sqref="AN269">
    <cfRule type="cellIs" dxfId="869" priority="979" operator="greaterThan">
      <formula>1</formula>
    </cfRule>
  </conditionalFormatting>
  <conditionalFormatting sqref="AL268:AL269 AO268:AO269 M269:AB269 AE269:AF269 M268:AF268">
    <cfRule type="cellIs" dxfId="868" priority="1019" operator="greaterThan">
      <formula>1</formula>
    </cfRule>
  </conditionalFormatting>
  <conditionalFormatting sqref="AM268">
    <cfRule type="cellIs" dxfId="867" priority="1018" operator="greaterThan">
      <formula>1</formula>
    </cfRule>
  </conditionalFormatting>
  <conditionalFormatting sqref="AM268">
    <cfRule type="cellIs" dxfId="866" priority="1016" operator="greaterThan">
      <formula>1</formula>
    </cfRule>
  </conditionalFormatting>
  <conditionalFormatting sqref="M268:T268 AO268 AL268">
    <cfRule type="cellIs" dxfId="865" priority="1014" operator="greaterThan">
      <formula>1</formula>
    </cfRule>
  </conditionalFormatting>
  <conditionalFormatting sqref="M269:T269 AO269 AL269">
    <cfRule type="cellIs" dxfId="864" priority="1003" operator="greaterThan">
      <formula>1</formula>
    </cfRule>
  </conditionalFormatting>
  <conditionalFormatting sqref="Y269 AB269 AE269">
    <cfRule type="cellIs" dxfId="863" priority="1002" operator="greaterThan">
      <formula>1</formula>
    </cfRule>
  </conditionalFormatting>
  <conditionalFormatting sqref="AF269">
    <cfRule type="cellIs" dxfId="862" priority="1000" operator="greaterThan">
      <formula>1</formula>
    </cfRule>
  </conditionalFormatting>
  <conditionalFormatting sqref="U269">
    <cfRule type="cellIs" dxfId="861" priority="999" operator="greaterThan">
      <formula>1</formula>
    </cfRule>
  </conditionalFormatting>
  <conditionalFormatting sqref="X269">
    <cfRule type="cellIs" dxfId="860" priority="997" operator="greaterThan">
      <formula>1</formula>
    </cfRule>
  </conditionalFormatting>
  <conditionalFormatting sqref="AC268">
    <cfRule type="cellIs" dxfId="859" priority="1005" operator="greaterThan">
      <formula>1</formula>
    </cfRule>
  </conditionalFormatting>
  <conditionalFormatting sqref="AK268:AK269">
    <cfRule type="cellIs" dxfId="858" priority="991" operator="greaterThan">
      <formula>1</formula>
    </cfRule>
  </conditionalFormatting>
  <conditionalFormatting sqref="AN268">
    <cfRule type="cellIs" dxfId="857" priority="980" operator="greaterThan">
      <formula>1</formula>
    </cfRule>
  </conditionalFormatting>
  <conditionalFormatting sqref="AM269">
    <cfRule type="cellIs" dxfId="856" priority="1017" operator="greaterThan">
      <formula>1</formula>
    </cfRule>
  </conditionalFormatting>
  <conditionalFormatting sqref="V268">
    <cfRule type="cellIs" dxfId="855" priority="1012" operator="greaterThan">
      <formula>1</formula>
    </cfRule>
  </conditionalFormatting>
  <conditionalFormatting sqref="AF268">
    <cfRule type="cellIs" dxfId="854" priority="1011" operator="greaterThan">
      <formula>1</formula>
    </cfRule>
  </conditionalFormatting>
  <conditionalFormatting sqref="U268">
    <cfRule type="cellIs" dxfId="853" priority="1010" operator="greaterThan">
      <formula>1</formula>
    </cfRule>
  </conditionalFormatting>
  <conditionalFormatting sqref="AA268">
    <cfRule type="cellIs" dxfId="852" priority="1006" operator="greaterThan">
      <formula>1</formula>
    </cfRule>
  </conditionalFormatting>
  <conditionalFormatting sqref="V269">
    <cfRule type="cellIs" dxfId="851" priority="1001" operator="greaterThan">
      <formula>1</formula>
    </cfRule>
  </conditionalFormatting>
  <conditionalFormatting sqref="AA269">
    <cfRule type="cellIs" dxfId="850" priority="995" operator="greaterThan">
      <formula>1</formula>
    </cfRule>
  </conditionalFormatting>
  <conditionalFormatting sqref="AM269">
    <cfRule type="cellIs" dxfId="849" priority="1015" operator="greaterThan">
      <formula>1</formula>
    </cfRule>
  </conditionalFormatting>
  <conditionalFormatting sqref="Z268">
    <cfRule type="cellIs" dxfId="848" priority="1007" operator="greaterThan">
      <formula>1</formula>
    </cfRule>
  </conditionalFormatting>
  <conditionalFormatting sqref="X268">
    <cfRule type="cellIs" dxfId="847" priority="1008" operator="greaterThan">
      <formula>1</formula>
    </cfRule>
  </conditionalFormatting>
  <conditionalFormatting sqref="Z269">
    <cfRule type="cellIs" dxfId="846" priority="996" operator="greaterThan">
      <formula>1</formula>
    </cfRule>
  </conditionalFormatting>
  <conditionalFormatting sqref="AJ268:AJ269">
    <cfRule type="cellIs" dxfId="845" priority="994" operator="greaterThan">
      <formula>1</formula>
    </cfRule>
  </conditionalFormatting>
  <conditionalFormatting sqref="AJ268">
    <cfRule type="cellIs" dxfId="844" priority="993" operator="greaterThan">
      <formula>1</formula>
    </cfRule>
  </conditionalFormatting>
  <conditionalFormatting sqref="AJ269">
    <cfRule type="cellIs" dxfId="843" priority="992" operator="greaterThan">
      <formula>1</formula>
    </cfRule>
  </conditionalFormatting>
  <conditionalFormatting sqref="Y268 AB268 AE268">
    <cfRule type="cellIs" dxfId="842" priority="1013" operator="greaterThan">
      <formula>1</formula>
    </cfRule>
  </conditionalFormatting>
  <conditionalFormatting sqref="W268">
    <cfRule type="cellIs" dxfId="841" priority="1009" operator="greaterThan">
      <formula>2</formula>
    </cfRule>
  </conditionalFormatting>
  <conditionalFormatting sqref="AD268">
    <cfRule type="cellIs" dxfId="840" priority="1004" operator="greaterThan">
      <formula>2</formula>
    </cfRule>
  </conditionalFormatting>
  <conditionalFormatting sqref="W269">
    <cfRule type="cellIs" dxfId="839" priority="998" operator="greaterThan">
      <formula>2</formula>
    </cfRule>
  </conditionalFormatting>
  <conditionalFormatting sqref="D268">
    <cfRule type="cellIs" dxfId="838" priority="986" operator="greaterThan">
      <formula>2</formula>
    </cfRule>
  </conditionalFormatting>
  <conditionalFormatting sqref="D269">
    <cfRule type="cellIs" dxfId="837" priority="985" operator="greaterThan">
      <formula>2</formula>
    </cfRule>
  </conditionalFormatting>
  <conditionalFormatting sqref="D268">
    <cfRule type="cellIs" dxfId="836" priority="984" operator="greaterThan">
      <formula>2</formula>
    </cfRule>
  </conditionalFormatting>
  <conditionalFormatting sqref="D269">
    <cfRule type="cellIs" dxfId="835" priority="983" operator="greaterThan">
      <formula>2</formula>
    </cfRule>
  </conditionalFormatting>
  <conditionalFormatting sqref="AN268">
    <cfRule type="cellIs" dxfId="834" priority="982" operator="greaterThan">
      <formula>1</formula>
    </cfRule>
  </conditionalFormatting>
  <conditionalFormatting sqref="AN269">
    <cfRule type="cellIs" dxfId="833" priority="981" operator="greaterThan">
      <formula>1</formula>
    </cfRule>
  </conditionalFormatting>
  <conditionalFormatting sqref="E268:G269 I268:J269 L268:L269">
    <cfRule type="cellIs" dxfId="832" priority="978" operator="greaterThan">
      <formula>1</formula>
    </cfRule>
  </conditionalFormatting>
  <conditionalFormatting sqref="AC269:AD269">
    <cfRule type="cellIs" dxfId="831" priority="976" operator="greaterThan">
      <formula>1</formula>
    </cfRule>
  </conditionalFormatting>
  <conditionalFormatting sqref="AC269:AD269">
    <cfRule type="cellIs" dxfId="830" priority="975" operator="greaterThan">
      <formula>1</formula>
    </cfRule>
  </conditionalFormatting>
  <conditionalFormatting sqref="AI269">
    <cfRule type="cellIs" dxfId="829" priority="974" operator="greaterThan">
      <formula>1</formula>
    </cfRule>
  </conditionalFormatting>
  <conditionalFormatting sqref="AI269">
    <cfRule type="cellIs" dxfId="828" priority="973" operator="greaterThan">
      <formula>1</formula>
    </cfRule>
  </conditionalFormatting>
  <conditionalFormatting sqref="AI268">
    <cfRule type="cellIs" dxfId="827" priority="972" operator="greaterThan">
      <formula>1</formula>
    </cfRule>
  </conditionalFormatting>
  <conditionalFormatting sqref="AI268">
    <cfRule type="cellIs" dxfId="826" priority="971" operator="greaterThan">
      <formula>1</formula>
    </cfRule>
  </conditionalFormatting>
  <conditionalFormatting sqref="AM70">
    <cfRule type="cellIs" dxfId="825" priority="936" operator="greaterThan">
      <formula>2</formula>
    </cfRule>
  </conditionalFormatting>
  <conditionalFormatting sqref="AB144:AB154">
    <cfRule type="cellIs" dxfId="824" priority="969" operator="greaterThan">
      <formula>2</formula>
    </cfRule>
  </conditionalFormatting>
  <conditionalFormatting sqref="AM72">
    <cfRule type="cellIs" dxfId="823" priority="935" operator="greaterThan">
      <formula>2</formula>
    </cfRule>
  </conditionalFormatting>
  <conditionalFormatting sqref="AM75">
    <cfRule type="cellIs" dxfId="822" priority="934" operator="greaterThan">
      <formula>2</formula>
    </cfRule>
  </conditionalFormatting>
  <conditionalFormatting sqref="AB33">
    <cfRule type="cellIs" dxfId="821" priority="966" operator="greaterThan">
      <formula>2</formula>
    </cfRule>
  </conditionalFormatting>
  <conditionalFormatting sqref="AL247">
    <cfRule type="cellIs" dxfId="820" priority="965" operator="greaterThan">
      <formula>2</formula>
    </cfRule>
  </conditionalFormatting>
  <conditionalFormatting sqref="AL202">
    <cfRule type="cellIs" dxfId="819" priority="964" operator="greaterThan">
      <formula>2</formula>
    </cfRule>
  </conditionalFormatting>
  <conditionalFormatting sqref="AL186">
    <cfRule type="cellIs" dxfId="818" priority="963" operator="greaterThan">
      <formula>2</formula>
    </cfRule>
  </conditionalFormatting>
  <conditionalFormatting sqref="AL176">
    <cfRule type="cellIs" dxfId="817" priority="962" operator="greaterThan">
      <formula>2</formula>
    </cfRule>
  </conditionalFormatting>
  <conditionalFormatting sqref="AL150">
    <cfRule type="cellIs" dxfId="816" priority="961" operator="greaterThan">
      <formula>2</formula>
    </cfRule>
  </conditionalFormatting>
  <conditionalFormatting sqref="AL119">
    <cfRule type="cellIs" dxfId="815" priority="959" operator="greaterThan">
      <formula>2</formula>
    </cfRule>
  </conditionalFormatting>
  <conditionalFormatting sqref="AL114">
    <cfRule type="cellIs" dxfId="814" priority="958" operator="greaterThan">
      <formula>2</formula>
    </cfRule>
  </conditionalFormatting>
  <conditionalFormatting sqref="AL111">
    <cfRule type="cellIs" dxfId="813" priority="957" operator="greaterThan">
      <formula>2</formula>
    </cfRule>
  </conditionalFormatting>
  <conditionalFormatting sqref="AL112">
    <cfRule type="cellIs" dxfId="812" priority="956" operator="greaterThan">
      <formula>2</formula>
    </cfRule>
  </conditionalFormatting>
  <conditionalFormatting sqref="AL109">
    <cfRule type="cellIs" dxfId="811" priority="955" operator="greaterThan">
      <formula>2</formula>
    </cfRule>
  </conditionalFormatting>
  <conditionalFormatting sqref="AL78">
    <cfRule type="cellIs" dxfId="810" priority="954" operator="greaterThan">
      <formula>2</formula>
    </cfRule>
  </conditionalFormatting>
  <conditionalFormatting sqref="AL61">
    <cfRule type="cellIs" dxfId="809" priority="953" operator="greaterThan">
      <formula>2</formula>
    </cfRule>
  </conditionalFormatting>
  <conditionalFormatting sqref="AL53">
    <cfRule type="cellIs" dxfId="808" priority="952" operator="greaterThan">
      <formula>2</formula>
    </cfRule>
  </conditionalFormatting>
  <conditionalFormatting sqref="AL52">
    <cfRule type="cellIs" dxfId="807" priority="951" operator="greaterThan">
      <formula>2</formula>
    </cfRule>
  </conditionalFormatting>
  <conditionalFormatting sqref="AL45">
    <cfRule type="cellIs" dxfId="806" priority="950" operator="greaterThan">
      <formula>2</formula>
    </cfRule>
  </conditionalFormatting>
  <conditionalFormatting sqref="AM32">
    <cfRule type="cellIs" dxfId="805" priority="946" operator="greaterThan">
      <formula>2</formula>
    </cfRule>
  </conditionalFormatting>
  <conditionalFormatting sqref="AM34">
    <cfRule type="cellIs" dxfId="804" priority="945" operator="greaterThan">
      <formula>2</formula>
    </cfRule>
  </conditionalFormatting>
  <conditionalFormatting sqref="AM38">
    <cfRule type="cellIs" dxfId="803" priority="944" operator="greaterThan">
      <formula>2</formula>
    </cfRule>
  </conditionalFormatting>
  <conditionalFormatting sqref="AM44">
    <cfRule type="cellIs" dxfId="802" priority="943" operator="greaterThan">
      <formula>2</formula>
    </cfRule>
  </conditionalFormatting>
  <conditionalFormatting sqref="AM52">
    <cfRule type="cellIs" dxfId="801" priority="942" operator="greaterThan">
      <formula>2</formula>
    </cfRule>
  </conditionalFormatting>
  <conditionalFormatting sqref="AM52">
    <cfRule type="cellIs" dxfId="800" priority="941" operator="greaterThan">
      <formula>1</formula>
    </cfRule>
  </conditionalFormatting>
  <conditionalFormatting sqref="AM51">
    <cfRule type="cellIs" dxfId="799" priority="940" operator="greaterThan">
      <formula>2</formula>
    </cfRule>
  </conditionalFormatting>
  <conditionalFormatting sqref="AM53">
    <cfRule type="cellIs" dxfId="798" priority="939" operator="greaterThan">
      <formula>2</formula>
    </cfRule>
  </conditionalFormatting>
  <conditionalFormatting sqref="AM65">
    <cfRule type="cellIs" dxfId="797" priority="938" operator="greaterThan">
      <formula>2</formula>
    </cfRule>
  </conditionalFormatting>
  <conditionalFormatting sqref="AM69">
    <cfRule type="cellIs" dxfId="796" priority="937" operator="greaterThan">
      <formula>2</formula>
    </cfRule>
  </conditionalFormatting>
  <conditionalFormatting sqref="AM79">
    <cfRule type="cellIs" dxfId="795" priority="933" operator="greaterThan">
      <formula>2</formula>
    </cfRule>
  </conditionalFormatting>
  <conditionalFormatting sqref="AM95">
    <cfRule type="cellIs" dxfId="794" priority="932" operator="greaterThan">
      <formula>2</formula>
    </cfRule>
  </conditionalFormatting>
  <conditionalFormatting sqref="AM102">
    <cfRule type="cellIs" dxfId="793" priority="931" operator="greaterThan">
      <formula>2</formula>
    </cfRule>
  </conditionalFormatting>
  <conditionalFormatting sqref="AM104">
    <cfRule type="cellIs" dxfId="792" priority="930" operator="greaterThan">
      <formula>2</formula>
    </cfRule>
  </conditionalFormatting>
  <conditionalFormatting sqref="AM108">
    <cfRule type="cellIs" dxfId="791" priority="929" operator="greaterThan">
      <formula>2</formula>
    </cfRule>
  </conditionalFormatting>
  <conditionalFormatting sqref="AM113">
    <cfRule type="cellIs" dxfId="790" priority="927" operator="greaterThan">
      <formula>1</formula>
    </cfRule>
  </conditionalFormatting>
  <conditionalFormatting sqref="AM112">
    <cfRule type="cellIs" dxfId="789" priority="926" operator="greaterThan">
      <formula>1</formula>
    </cfRule>
  </conditionalFormatting>
  <conditionalFormatting sqref="AM112:AM113">
    <cfRule type="cellIs" dxfId="788" priority="928" operator="greaterThan">
      <formula>1</formula>
    </cfRule>
  </conditionalFormatting>
  <conditionalFormatting sqref="AM111">
    <cfRule type="cellIs" dxfId="787" priority="925" operator="greaterThan">
      <formula>2</formula>
    </cfRule>
  </conditionalFormatting>
  <conditionalFormatting sqref="AM114">
    <cfRule type="cellIs" dxfId="786" priority="924" operator="greaterThan">
      <formula>2</formula>
    </cfRule>
  </conditionalFormatting>
  <conditionalFormatting sqref="AM116">
    <cfRule type="cellIs" dxfId="785" priority="923" operator="greaterThan">
      <formula>2</formula>
    </cfRule>
  </conditionalFormatting>
  <conditionalFormatting sqref="AM133">
    <cfRule type="cellIs" dxfId="784" priority="922" operator="greaterThan">
      <formula>1</formula>
    </cfRule>
  </conditionalFormatting>
  <conditionalFormatting sqref="AM133">
    <cfRule type="cellIs" dxfId="783" priority="921" operator="greaterThan">
      <formula>1</formula>
    </cfRule>
  </conditionalFormatting>
  <conditionalFormatting sqref="AM131:AM132">
    <cfRule type="cellIs" dxfId="782" priority="920" operator="greaterThan">
      <formula>2</formula>
    </cfRule>
  </conditionalFormatting>
  <conditionalFormatting sqref="AM134">
    <cfRule type="cellIs" dxfId="781" priority="919" operator="greaterThan">
      <formula>2</formula>
    </cfRule>
  </conditionalFormatting>
  <conditionalFormatting sqref="AM135">
    <cfRule type="cellIs" dxfId="780" priority="918" operator="greaterThan">
      <formula>2</formula>
    </cfRule>
  </conditionalFormatting>
  <conditionalFormatting sqref="AM145">
    <cfRule type="cellIs" dxfId="779" priority="917" operator="greaterThan">
      <formula>2</formula>
    </cfRule>
  </conditionalFormatting>
  <conditionalFormatting sqref="AM149">
    <cfRule type="cellIs" dxfId="778" priority="916" operator="greaterThan">
      <formula>2</formula>
    </cfRule>
  </conditionalFormatting>
  <conditionalFormatting sqref="AM158:AM169">
    <cfRule type="cellIs" dxfId="777" priority="915" operator="greaterThan">
      <formula>2</formula>
    </cfRule>
  </conditionalFormatting>
  <conditionalFormatting sqref="AM190">
    <cfRule type="cellIs" dxfId="776" priority="914" operator="greaterThan">
      <formula>2</formula>
    </cfRule>
  </conditionalFormatting>
  <conditionalFormatting sqref="AM207">
    <cfRule type="cellIs" dxfId="775" priority="913" operator="greaterThan">
      <formula>2</formula>
    </cfRule>
  </conditionalFormatting>
  <conditionalFormatting sqref="AM212">
    <cfRule type="cellIs" dxfId="774" priority="912" operator="greaterThan">
      <formula>2</formula>
    </cfRule>
  </conditionalFormatting>
  <conditionalFormatting sqref="AM215:AM218">
    <cfRule type="cellIs" dxfId="773" priority="911" operator="greaterThan">
      <formula>2</formula>
    </cfRule>
  </conditionalFormatting>
  <conditionalFormatting sqref="AM214">
    <cfRule type="cellIs" dxfId="772" priority="910" operator="greaterThan">
      <formula>2</formula>
    </cfRule>
  </conditionalFormatting>
  <conditionalFormatting sqref="AN48:AN49">
    <cfRule type="cellIs" dxfId="771" priority="907" operator="greaterThan">
      <formula>2</formula>
    </cfRule>
  </conditionalFormatting>
  <conditionalFormatting sqref="AN47">
    <cfRule type="cellIs" dxfId="770" priority="906" operator="greaterThan">
      <formula>2</formula>
    </cfRule>
  </conditionalFormatting>
  <conditionalFormatting sqref="AN85">
    <cfRule type="cellIs" dxfId="769" priority="905" operator="greaterThan">
      <formula>2</formula>
    </cfRule>
  </conditionalFormatting>
  <conditionalFormatting sqref="AN120">
    <cfRule type="cellIs" dxfId="768" priority="904" operator="greaterThan">
      <formula>2</formula>
    </cfRule>
  </conditionalFormatting>
  <conditionalFormatting sqref="AN121">
    <cfRule type="cellIs" dxfId="767" priority="903" operator="greaterThan">
      <formula>2</formula>
    </cfRule>
  </conditionalFormatting>
  <conditionalFormatting sqref="AN173:AN175">
    <cfRule type="cellIs" dxfId="766" priority="902" operator="greaterThan">
      <formula>2</formula>
    </cfRule>
  </conditionalFormatting>
  <conditionalFormatting sqref="AN206">
    <cfRule type="cellIs" dxfId="765" priority="901" operator="greaterThan">
      <formula>2</formula>
    </cfRule>
  </conditionalFormatting>
  <conditionalFormatting sqref="AN210">
    <cfRule type="cellIs" dxfId="764" priority="899" operator="greaterThan">
      <formula>1</formula>
    </cfRule>
  </conditionalFormatting>
  <conditionalFormatting sqref="AN210">
    <cfRule type="cellIs" dxfId="763" priority="900" operator="greaterThan">
      <formula>1</formula>
    </cfRule>
  </conditionalFormatting>
  <conditionalFormatting sqref="AN211:AN212">
    <cfRule type="cellIs" dxfId="762" priority="898" operator="greaterThan">
      <formula>2</formula>
    </cfRule>
  </conditionalFormatting>
  <conditionalFormatting sqref="AN209">
    <cfRule type="cellIs" dxfId="761" priority="897" operator="greaterThan">
      <formula>2</formula>
    </cfRule>
  </conditionalFormatting>
  <conditionalFormatting sqref="AN215:AN219">
    <cfRule type="cellIs" dxfId="760" priority="896" operator="greaterThan">
      <formula>2</formula>
    </cfRule>
  </conditionalFormatting>
  <conditionalFormatting sqref="AN214">
    <cfRule type="cellIs" dxfId="759" priority="895" operator="greaterThan">
      <formula>2</formula>
    </cfRule>
  </conditionalFormatting>
  <conditionalFormatting sqref="AO24">
    <cfRule type="cellIs" dxfId="758" priority="887" operator="greaterThan">
      <formula>2</formula>
    </cfRule>
  </conditionalFormatting>
  <conditionalFormatting sqref="AO84">
    <cfRule type="cellIs" dxfId="757" priority="886" operator="greaterThan">
      <formula>2</formula>
    </cfRule>
  </conditionalFormatting>
  <conditionalFormatting sqref="AO95">
    <cfRule type="cellIs" dxfId="756" priority="885" operator="greaterThan">
      <formula>2</formula>
    </cfRule>
  </conditionalFormatting>
  <conditionalFormatting sqref="AO103">
    <cfRule type="cellIs" dxfId="755" priority="884" operator="greaterThan">
      <formula>2</formula>
    </cfRule>
  </conditionalFormatting>
  <conditionalFormatting sqref="AO112:AO113">
    <cfRule type="cellIs" dxfId="754" priority="883" operator="greaterThan">
      <formula>2</formula>
    </cfRule>
  </conditionalFormatting>
  <conditionalFormatting sqref="AO182">
    <cfRule type="cellIs" dxfId="753" priority="882" operator="greaterThan">
      <formula>2</formula>
    </cfRule>
  </conditionalFormatting>
  <conditionalFormatting sqref="AO190">
    <cfRule type="cellIs" dxfId="752" priority="881" operator="greaterThan">
      <formula>2</formula>
    </cfRule>
  </conditionalFormatting>
  <conditionalFormatting sqref="AO208">
    <cfRule type="cellIs" dxfId="751" priority="880" operator="greaterThan">
      <formula>2</formula>
    </cfRule>
  </conditionalFormatting>
  <conditionalFormatting sqref="AO50">
    <cfRule type="cellIs" dxfId="750" priority="879" operator="greaterThan">
      <formula>2</formula>
    </cfRule>
  </conditionalFormatting>
  <conditionalFormatting sqref="T52">
    <cfRule type="cellIs" dxfId="749" priority="878" operator="greaterThan">
      <formula>2</formula>
    </cfRule>
  </conditionalFormatting>
  <conditionalFormatting sqref="T50">
    <cfRule type="cellIs" dxfId="748" priority="877" operator="greaterThan">
      <formula>2</formula>
    </cfRule>
  </conditionalFormatting>
  <conditionalFormatting sqref="AJ142">
    <cfRule type="cellIs" dxfId="747" priority="876" operator="greaterThan">
      <formula>2</formula>
    </cfRule>
  </conditionalFormatting>
  <conditionalFormatting sqref="AE51 AE53">
    <cfRule type="cellIs" dxfId="746" priority="875" operator="greaterThan">
      <formula>2</formula>
    </cfRule>
  </conditionalFormatting>
  <conditionalFormatting sqref="AE52">
    <cfRule type="cellIs" dxfId="745" priority="874" operator="greaterThan">
      <formula>2</formula>
    </cfRule>
  </conditionalFormatting>
  <conditionalFormatting sqref="AE54">
    <cfRule type="cellIs" dxfId="744" priority="873" operator="greaterThan">
      <formula>2</formula>
    </cfRule>
  </conditionalFormatting>
  <conditionalFormatting sqref="AE93">
    <cfRule type="cellIs" dxfId="743" priority="872" operator="greaterThan">
      <formula>2</formula>
    </cfRule>
  </conditionalFormatting>
  <conditionalFormatting sqref="AE94">
    <cfRule type="cellIs" dxfId="742" priority="871" operator="greaterThan">
      <formula>2</formula>
    </cfRule>
  </conditionalFormatting>
  <conditionalFormatting sqref="AE104">
    <cfRule type="cellIs" dxfId="741" priority="867" operator="greaterThan">
      <formula>2</formula>
    </cfRule>
  </conditionalFormatting>
  <conditionalFormatting sqref="AE90">
    <cfRule type="cellIs" dxfId="740" priority="869" operator="greaterThan">
      <formula>2</formula>
    </cfRule>
  </conditionalFormatting>
  <conditionalFormatting sqref="AE100:AE102">
    <cfRule type="cellIs" dxfId="739" priority="868" operator="greaterThan">
      <formula>2</formula>
    </cfRule>
  </conditionalFormatting>
  <conditionalFormatting sqref="AE105">
    <cfRule type="cellIs" dxfId="738" priority="866" operator="greaterThan">
      <formula>2</formula>
    </cfRule>
  </conditionalFormatting>
  <conditionalFormatting sqref="AE108">
    <cfRule type="cellIs" dxfId="737" priority="865" operator="greaterThan">
      <formula>2</formula>
    </cfRule>
  </conditionalFormatting>
  <conditionalFormatting sqref="AE111">
    <cfRule type="cellIs" dxfId="736" priority="864" operator="greaterThan">
      <formula>2</formula>
    </cfRule>
  </conditionalFormatting>
  <conditionalFormatting sqref="AE114">
    <cfRule type="cellIs" dxfId="735" priority="863" operator="greaterThan">
      <formula>2</formula>
    </cfRule>
  </conditionalFormatting>
  <conditionalFormatting sqref="AE115:AE116">
    <cfRule type="cellIs" dxfId="734" priority="862" operator="greaterThan">
      <formula>2</formula>
    </cfRule>
  </conditionalFormatting>
  <conditionalFormatting sqref="AE122">
    <cfRule type="cellIs" dxfId="733" priority="859" operator="greaterThan">
      <formula>2</formula>
    </cfRule>
  </conditionalFormatting>
  <conditionalFormatting sqref="AE133">
    <cfRule type="cellIs" dxfId="732" priority="856" operator="greaterThan">
      <formula>2</formula>
    </cfRule>
  </conditionalFormatting>
  <conditionalFormatting sqref="AE132">
    <cfRule type="cellIs" dxfId="731" priority="857" operator="greaterThan">
      <formula>2</formula>
    </cfRule>
  </conditionalFormatting>
  <conditionalFormatting sqref="AE134">
    <cfRule type="cellIs" dxfId="730" priority="855" operator="greaterThan">
      <formula>2</formula>
    </cfRule>
  </conditionalFormatting>
  <conditionalFormatting sqref="AE135">
    <cfRule type="cellIs" dxfId="729" priority="854" operator="greaterThan">
      <formula>2</formula>
    </cfRule>
  </conditionalFormatting>
  <conditionalFormatting sqref="AE140:AE141">
    <cfRule type="cellIs" dxfId="728" priority="853" operator="greaterThan">
      <formula>2</formula>
    </cfRule>
  </conditionalFormatting>
  <conditionalFormatting sqref="AE144:AE145">
    <cfRule type="cellIs" dxfId="727" priority="852" operator="greaterThan">
      <formula>2</formula>
    </cfRule>
  </conditionalFormatting>
  <conditionalFormatting sqref="AE148">
    <cfRule type="cellIs" dxfId="726" priority="851" operator="greaterThan">
      <formula>2</formula>
    </cfRule>
  </conditionalFormatting>
  <conditionalFormatting sqref="AE150:AE154">
    <cfRule type="cellIs" dxfId="725" priority="850" operator="greaterThan">
      <formula>2</formula>
    </cfRule>
  </conditionalFormatting>
  <conditionalFormatting sqref="AE157">
    <cfRule type="cellIs" dxfId="724" priority="849" operator="greaterThan">
      <formula>2</formula>
    </cfRule>
  </conditionalFormatting>
  <conditionalFormatting sqref="AE158">
    <cfRule type="cellIs" dxfId="723" priority="848" operator="greaterThan">
      <formula>2</formula>
    </cfRule>
  </conditionalFormatting>
  <conditionalFormatting sqref="AE159">
    <cfRule type="cellIs" dxfId="722" priority="847" operator="greaterThan">
      <formula>2</formula>
    </cfRule>
  </conditionalFormatting>
  <conditionalFormatting sqref="AE160">
    <cfRule type="cellIs" dxfId="721" priority="846" operator="greaterThan">
      <formula>2</formula>
    </cfRule>
  </conditionalFormatting>
  <conditionalFormatting sqref="AE161">
    <cfRule type="cellIs" dxfId="720" priority="845" operator="greaterThan">
      <formula>2</formula>
    </cfRule>
  </conditionalFormatting>
  <conditionalFormatting sqref="AE162:AE163">
    <cfRule type="cellIs" dxfId="719" priority="844" operator="greaterThan">
      <formula>2</formula>
    </cfRule>
  </conditionalFormatting>
  <conditionalFormatting sqref="AE164">
    <cfRule type="cellIs" dxfId="718" priority="843" operator="greaterThan">
      <formula>2</formula>
    </cfRule>
  </conditionalFormatting>
  <conditionalFormatting sqref="AE175">
    <cfRule type="cellIs" dxfId="717" priority="842" operator="greaterThan">
      <formula>2</formula>
    </cfRule>
  </conditionalFormatting>
  <conditionalFormatting sqref="AE188:AE189">
    <cfRule type="cellIs" dxfId="716" priority="841" operator="greaterThan">
      <formula>2</formula>
    </cfRule>
  </conditionalFormatting>
  <conditionalFormatting sqref="AE191:AE192">
    <cfRule type="cellIs" dxfId="715" priority="840" operator="greaterThan">
      <formula>2</formula>
    </cfRule>
  </conditionalFormatting>
  <conditionalFormatting sqref="AE193:AE194">
    <cfRule type="cellIs" dxfId="714" priority="839" operator="greaterThan">
      <formula>2</formula>
    </cfRule>
  </conditionalFormatting>
  <conditionalFormatting sqref="AE196">
    <cfRule type="cellIs" dxfId="713" priority="838" operator="greaterThan">
      <formula>2</formula>
    </cfRule>
  </conditionalFormatting>
  <conditionalFormatting sqref="AE202:AE203">
    <cfRule type="cellIs" dxfId="712" priority="837" operator="greaterThan">
      <formula>2</formula>
    </cfRule>
  </conditionalFormatting>
  <conditionalFormatting sqref="AE204">
    <cfRule type="cellIs" dxfId="711" priority="836" operator="greaterThan">
      <formula>2</formula>
    </cfRule>
  </conditionalFormatting>
  <conditionalFormatting sqref="AE205:AE206">
    <cfRule type="cellIs" dxfId="710" priority="835" operator="greaterThan">
      <formula>2</formula>
    </cfRule>
  </conditionalFormatting>
  <conditionalFormatting sqref="AE207">
    <cfRule type="cellIs" dxfId="709" priority="834" operator="greaterThan">
      <formula>2</formula>
    </cfRule>
  </conditionalFormatting>
  <conditionalFormatting sqref="AE208">
    <cfRule type="cellIs" dxfId="708" priority="833" operator="greaterThan">
      <formula>2</formula>
    </cfRule>
  </conditionalFormatting>
  <conditionalFormatting sqref="AE210">
    <cfRule type="cellIs" dxfId="707" priority="832" operator="greaterThan">
      <formula>2</formula>
    </cfRule>
  </conditionalFormatting>
  <conditionalFormatting sqref="AE220">
    <cfRule type="cellIs" dxfId="706" priority="831" operator="greaterThan">
      <formula>2</formula>
    </cfRule>
  </conditionalFormatting>
  <conditionalFormatting sqref="AH57">
    <cfRule type="cellIs" dxfId="705" priority="796" operator="greaterThan">
      <formula>2</formula>
    </cfRule>
  </conditionalFormatting>
  <conditionalFormatting sqref="AE246">
    <cfRule type="cellIs" dxfId="704" priority="829" operator="greaterThan">
      <formula>2</formula>
    </cfRule>
  </conditionalFormatting>
  <conditionalFormatting sqref="M50">
    <cfRule type="cellIs" dxfId="703" priority="826" operator="greaterThan">
      <formula>2</formula>
    </cfRule>
  </conditionalFormatting>
  <conditionalFormatting sqref="M53">
    <cfRule type="cellIs" dxfId="702" priority="825" operator="greaterThan">
      <formula>2</formula>
    </cfRule>
  </conditionalFormatting>
  <conditionalFormatting sqref="M64">
    <cfRule type="cellIs" dxfId="701" priority="824" operator="greaterThan">
      <formula>2</formula>
    </cfRule>
  </conditionalFormatting>
  <conditionalFormatting sqref="M83">
    <cfRule type="cellIs" dxfId="700" priority="823" operator="greaterThan">
      <formula>2</formula>
    </cfRule>
  </conditionalFormatting>
  <conditionalFormatting sqref="M98">
    <cfRule type="cellIs" dxfId="699" priority="820" operator="greaterThan">
      <formula>2</formula>
    </cfRule>
  </conditionalFormatting>
  <conditionalFormatting sqref="M86">
    <cfRule type="cellIs" dxfId="698" priority="822" operator="greaterThan">
      <formula>2</formula>
    </cfRule>
  </conditionalFormatting>
  <conditionalFormatting sqref="M95">
    <cfRule type="cellIs" dxfId="697" priority="821" operator="greaterThan">
      <formula>2</formula>
    </cfRule>
  </conditionalFormatting>
  <conditionalFormatting sqref="AE7">
    <cfRule type="cellIs" dxfId="696" priority="819" operator="greaterThan">
      <formula>1</formula>
    </cfRule>
  </conditionalFormatting>
  <conditionalFormatting sqref="AE9">
    <cfRule type="cellIs" dxfId="695" priority="818" operator="greaterThan">
      <formula>1</formula>
    </cfRule>
  </conditionalFormatting>
  <conditionalFormatting sqref="AE14">
    <cfRule type="cellIs" dxfId="694" priority="817" operator="greaterThan">
      <formula>1</formula>
    </cfRule>
  </conditionalFormatting>
  <conditionalFormatting sqref="AE65">
    <cfRule type="cellIs" dxfId="693" priority="816" operator="greaterThan">
      <formula>1</formula>
    </cfRule>
  </conditionalFormatting>
  <conditionalFormatting sqref="AE71">
    <cfRule type="cellIs" dxfId="692" priority="815" operator="greaterThan">
      <formula>1</formula>
    </cfRule>
  </conditionalFormatting>
  <conditionalFormatting sqref="AE81">
    <cfRule type="cellIs" dxfId="691" priority="814" operator="greaterThan">
      <formula>1</formula>
    </cfRule>
  </conditionalFormatting>
  <conditionalFormatting sqref="AE83">
    <cfRule type="cellIs" dxfId="690" priority="813" operator="greaterThan">
      <formula>1</formula>
    </cfRule>
  </conditionalFormatting>
  <conditionalFormatting sqref="AE91">
    <cfRule type="cellIs" dxfId="689" priority="812" operator="greaterThan">
      <formula>1</formula>
    </cfRule>
  </conditionalFormatting>
  <conditionalFormatting sqref="AE125">
    <cfRule type="cellIs" dxfId="688" priority="811" operator="greaterThan">
      <formula>1</formula>
    </cfRule>
  </conditionalFormatting>
  <conditionalFormatting sqref="AE136">
    <cfRule type="cellIs" dxfId="687" priority="810" operator="greaterThan">
      <formula>1</formula>
    </cfRule>
  </conditionalFormatting>
  <conditionalFormatting sqref="AE87">
    <cfRule type="cellIs" dxfId="686" priority="809" operator="greaterThan">
      <formula>2</formula>
    </cfRule>
  </conditionalFormatting>
  <conditionalFormatting sqref="AE96:AE97">
    <cfRule type="cellIs" dxfId="685" priority="808" operator="greaterThan">
      <formula>2</formula>
    </cfRule>
  </conditionalFormatting>
  <conditionalFormatting sqref="AE98:AE99">
    <cfRule type="cellIs" dxfId="684" priority="807" operator="greaterThan">
      <formula>2</formula>
    </cfRule>
  </conditionalFormatting>
  <conditionalFormatting sqref="AM152">
    <cfRule type="cellIs" dxfId="683" priority="806" operator="greaterThan">
      <formula>2</formula>
    </cfRule>
  </conditionalFormatting>
  <conditionalFormatting sqref="AG1">
    <cfRule type="cellIs" dxfId="682" priority="804" operator="greaterThan">
      <formula>1</formula>
    </cfRule>
  </conditionalFormatting>
  <conditionalFormatting sqref="AH1">
    <cfRule type="cellIs" dxfId="681" priority="803" operator="greaterThan">
      <formula>1</formula>
    </cfRule>
  </conditionalFormatting>
  <conditionalFormatting sqref="AH7:AH8">
    <cfRule type="cellIs" dxfId="680" priority="802" operator="greaterThan">
      <formula>2</formula>
    </cfRule>
  </conditionalFormatting>
  <conditionalFormatting sqref="AH12">
    <cfRule type="cellIs" dxfId="679" priority="801" operator="greaterThan">
      <formula>2</formula>
    </cfRule>
  </conditionalFormatting>
  <conditionalFormatting sqref="AH13">
    <cfRule type="cellIs" dxfId="678" priority="800" operator="greaterThan">
      <formula>1</formula>
    </cfRule>
  </conditionalFormatting>
  <conditionalFormatting sqref="AH46">
    <cfRule type="cellIs" dxfId="677" priority="799" operator="greaterThan">
      <formula>2</formula>
    </cfRule>
  </conditionalFormatting>
  <conditionalFormatting sqref="AH48:AH49">
    <cfRule type="cellIs" dxfId="676" priority="798" operator="greaterThan">
      <formula>2</formula>
    </cfRule>
  </conditionalFormatting>
  <conditionalFormatting sqref="AH47">
    <cfRule type="cellIs" dxfId="675" priority="797" operator="greaterThan">
      <formula>2</formula>
    </cfRule>
  </conditionalFormatting>
  <conditionalFormatting sqref="AH60">
    <cfRule type="cellIs" dxfId="674" priority="795" operator="greaterThan">
      <formula>2</formula>
    </cfRule>
  </conditionalFormatting>
  <conditionalFormatting sqref="AH62:AH63">
    <cfRule type="cellIs" dxfId="673" priority="794" operator="greaterThan">
      <formula>2</formula>
    </cfRule>
  </conditionalFormatting>
  <conditionalFormatting sqref="AH65:AH76">
    <cfRule type="cellIs" dxfId="672" priority="793" operator="greaterThan">
      <formula>2</formula>
    </cfRule>
  </conditionalFormatting>
  <conditionalFormatting sqref="AH79">
    <cfRule type="cellIs" dxfId="671" priority="792" operator="greaterThan">
      <formula>2</formula>
    </cfRule>
  </conditionalFormatting>
  <conditionalFormatting sqref="AH82">
    <cfRule type="cellIs" dxfId="670" priority="791" operator="greaterThan">
      <formula>1</formula>
    </cfRule>
  </conditionalFormatting>
  <conditionalFormatting sqref="AH82">
    <cfRule type="cellIs" dxfId="669" priority="790" operator="greaterThan">
      <formula>1</formula>
    </cfRule>
  </conditionalFormatting>
  <conditionalFormatting sqref="AH81">
    <cfRule type="cellIs" dxfId="668" priority="789" operator="greaterThan">
      <formula>2</formula>
    </cfRule>
  </conditionalFormatting>
  <conditionalFormatting sqref="AH83">
    <cfRule type="cellIs" dxfId="667" priority="788" operator="greaterThan">
      <formula>2</formula>
    </cfRule>
  </conditionalFormatting>
  <conditionalFormatting sqref="AG43">
    <cfRule type="cellIs" dxfId="666" priority="787" operator="greaterThan">
      <formula>2</formula>
    </cfRule>
  </conditionalFormatting>
  <conditionalFormatting sqref="AG51">
    <cfRule type="cellIs" dxfId="665" priority="786" operator="greaterThan">
      <formula>2</formula>
    </cfRule>
  </conditionalFormatting>
  <conditionalFormatting sqref="AH84">
    <cfRule type="cellIs" dxfId="664" priority="785" operator="greaterThan">
      <formula>2</formula>
    </cfRule>
  </conditionalFormatting>
  <conditionalFormatting sqref="AH86">
    <cfRule type="cellIs" dxfId="663" priority="784" operator="greaterThan">
      <formula>2</formula>
    </cfRule>
  </conditionalFormatting>
  <conditionalFormatting sqref="AG90">
    <cfRule type="cellIs" dxfId="662" priority="783" operator="greaterThan">
      <formula>2</formula>
    </cfRule>
  </conditionalFormatting>
  <conditionalFormatting sqref="AH91">
    <cfRule type="cellIs" dxfId="661" priority="782" operator="greaterThan">
      <formula>2</formula>
    </cfRule>
  </conditionalFormatting>
  <conditionalFormatting sqref="AG99">
    <cfRule type="cellIs" dxfId="660" priority="781" operator="greaterThan">
      <formula>2</formula>
    </cfRule>
  </conditionalFormatting>
  <conditionalFormatting sqref="AH109">
    <cfRule type="cellIs" dxfId="659" priority="780" operator="greaterThan">
      <formula>2</formula>
    </cfRule>
  </conditionalFormatting>
  <conditionalFormatting sqref="AH110">
    <cfRule type="cellIs" dxfId="658" priority="779" operator="greaterThan">
      <formula>2</formula>
    </cfRule>
  </conditionalFormatting>
  <conditionalFormatting sqref="AH120">
    <cfRule type="cellIs" dxfId="657" priority="778" operator="greaterThan">
      <formula>2</formula>
    </cfRule>
  </conditionalFormatting>
  <conditionalFormatting sqref="AH125:AH126">
    <cfRule type="cellIs" dxfId="656" priority="776" operator="greaterThan">
      <formula>2</formula>
    </cfRule>
  </conditionalFormatting>
  <conditionalFormatting sqref="AH131">
    <cfRule type="cellIs" dxfId="655" priority="775" operator="greaterThan">
      <formula>2</formula>
    </cfRule>
  </conditionalFormatting>
  <conditionalFormatting sqref="AG132">
    <cfRule type="cellIs" dxfId="654" priority="774" operator="greaterThan">
      <formula>2</formula>
    </cfRule>
  </conditionalFormatting>
  <conditionalFormatting sqref="AG134">
    <cfRule type="cellIs" dxfId="653" priority="773" operator="greaterThan">
      <formula>2</formula>
    </cfRule>
  </conditionalFormatting>
  <conditionalFormatting sqref="AH136">
    <cfRule type="cellIs" dxfId="652" priority="772" operator="greaterThan">
      <formula>2</formula>
    </cfRule>
  </conditionalFormatting>
  <conditionalFormatting sqref="AG141">
    <cfRule type="cellIs" dxfId="651" priority="771" operator="greaterThan">
      <formula>2</formula>
    </cfRule>
  </conditionalFormatting>
  <conditionalFormatting sqref="AG148">
    <cfRule type="cellIs" dxfId="650" priority="769" operator="greaterThan">
      <formula>2</formula>
    </cfRule>
  </conditionalFormatting>
  <conditionalFormatting sqref="AG157">
    <cfRule type="cellIs" dxfId="649" priority="767" operator="greaterThan">
      <formula>2</formula>
    </cfRule>
  </conditionalFormatting>
  <conditionalFormatting sqref="AG158">
    <cfRule type="cellIs" dxfId="648" priority="766" operator="greaterThan">
      <formula>2</formula>
    </cfRule>
  </conditionalFormatting>
  <conditionalFormatting sqref="AG160">
    <cfRule type="cellIs" dxfId="647" priority="765" operator="greaterThan">
      <formula>2</formula>
    </cfRule>
  </conditionalFormatting>
  <conditionalFormatting sqref="AG162">
    <cfRule type="cellIs" dxfId="646" priority="764" operator="greaterThan">
      <formula>2</formula>
    </cfRule>
  </conditionalFormatting>
  <conditionalFormatting sqref="AH163">
    <cfRule type="cellIs" dxfId="645" priority="763" operator="greaterThan">
      <formula>2</formula>
    </cfRule>
  </conditionalFormatting>
  <conditionalFormatting sqref="AH188">
    <cfRule type="cellIs" dxfId="644" priority="762" operator="greaterThan">
      <formula>2</formula>
    </cfRule>
  </conditionalFormatting>
  <conditionalFormatting sqref="AH201">
    <cfRule type="cellIs" dxfId="643" priority="761" operator="greaterThan">
      <formula>2</formula>
    </cfRule>
  </conditionalFormatting>
  <conditionalFormatting sqref="AG203">
    <cfRule type="cellIs" dxfId="642" priority="760" operator="greaterThan">
      <formula>2</formula>
    </cfRule>
  </conditionalFormatting>
  <conditionalFormatting sqref="AG204">
    <cfRule type="cellIs" dxfId="641" priority="759" operator="greaterThan">
      <formula>2</formula>
    </cfRule>
  </conditionalFormatting>
  <conditionalFormatting sqref="AG205:AG206">
    <cfRule type="cellIs" dxfId="640" priority="758" operator="greaterThan">
      <formula>2</formula>
    </cfRule>
  </conditionalFormatting>
  <conditionalFormatting sqref="AH209">
    <cfRule type="cellIs" dxfId="639" priority="757" operator="greaterThan">
      <formula>2</formula>
    </cfRule>
  </conditionalFormatting>
  <conditionalFormatting sqref="AH211:AH212">
    <cfRule type="cellIs" dxfId="638" priority="756" operator="greaterThan">
      <formula>2</formula>
    </cfRule>
  </conditionalFormatting>
  <conditionalFormatting sqref="AG246">
    <cfRule type="cellIs" dxfId="637" priority="754" operator="greaterThan">
      <formula>2</formula>
    </cfRule>
  </conditionalFormatting>
  <conditionalFormatting sqref="AH248">
    <cfRule type="cellIs" dxfId="636" priority="753" operator="greaterThan">
      <formula>2</formula>
    </cfRule>
  </conditionalFormatting>
  <conditionalFormatting sqref="AH270">
    <cfRule type="cellIs" dxfId="635" priority="752" operator="greaterThan">
      <formula>2</formula>
    </cfRule>
  </conditionalFormatting>
  <conditionalFormatting sqref="AH271">
    <cfRule type="cellIs" dxfId="634" priority="751" operator="greaterThan">
      <formula>2</formula>
    </cfRule>
  </conditionalFormatting>
  <conditionalFormatting sqref="D69">
    <cfRule type="cellIs" dxfId="633" priority="732" operator="greaterThan">
      <formula>1</formula>
    </cfRule>
  </conditionalFormatting>
  <conditionalFormatting sqref="AH146:AH147">
    <cfRule type="cellIs" dxfId="632" priority="748" operator="greaterThan">
      <formula>2</formula>
    </cfRule>
  </conditionalFormatting>
  <conditionalFormatting sqref="AH149">
    <cfRule type="cellIs" dxfId="631" priority="747" operator="greaterThan">
      <formula>2</formula>
    </cfRule>
  </conditionalFormatting>
  <conditionalFormatting sqref="C8:C9">
    <cfRule type="cellIs" dxfId="630" priority="746" operator="greaterThan">
      <formula>1</formula>
    </cfRule>
  </conditionalFormatting>
  <conditionalFormatting sqref="L266:L267">
    <cfRule type="cellIs" dxfId="629" priority="559" operator="greaterThan">
      <formula>1</formula>
    </cfRule>
  </conditionalFormatting>
  <conditionalFormatting sqref="D2:D6">
    <cfRule type="cellIs" dxfId="628" priority="745" operator="greaterThan">
      <formula>1</formula>
    </cfRule>
  </conditionalFormatting>
  <conditionalFormatting sqref="D8">
    <cfRule type="cellIs" dxfId="627" priority="744" operator="greaterThan">
      <formula>1</formula>
    </cfRule>
  </conditionalFormatting>
  <conditionalFormatting sqref="D10">
    <cfRule type="cellIs" dxfId="626" priority="743" operator="greaterThan">
      <formula>1</formula>
    </cfRule>
  </conditionalFormatting>
  <conditionalFormatting sqref="D15:D16">
    <cfRule type="cellIs" dxfId="625" priority="742" operator="greaterThan">
      <formula>1</formula>
    </cfRule>
  </conditionalFormatting>
  <conditionalFormatting sqref="D18:D19">
    <cfRule type="cellIs" dxfId="624" priority="741" operator="greaterThan">
      <formula>1</formula>
    </cfRule>
  </conditionalFormatting>
  <conditionalFormatting sqref="D21:D24">
    <cfRule type="cellIs" dxfId="623" priority="740" operator="greaterThan">
      <formula>1</formula>
    </cfRule>
  </conditionalFormatting>
  <conditionalFormatting sqref="D34:D35">
    <cfRule type="cellIs" dxfId="622" priority="739" operator="greaterThan">
      <formula>1</formula>
    </cfRule>
  </conditionalFormatting>
  <conditionalFormatting sqref="D39:D40">
    <cfRule type="cellIs" dxfId="621" priority="738" operator="greaterThan">
      <formula>1</formula>
    </cfRule>
  </conditionalFormatting>
  <conditionalFormatting sqref="D42:D46">
    <cfRule type="cellIs" dxfId="620" priority="737" operator="greaterThan">
      <formula>1</formula>
    </cfRule>
  </conditionalFormatting>
  <conditionalFormatting sqref="D50:D52">
    <cfRule type="cellIs" dxfId="619" priority="736" operator="greaterThan">
      <formula>1</formula>
    </cfRule>
  </conditionalFormatting>
  <conditionalFormatting sqref="D59">
    <cfRule type="cellIs" dxfId="618" priority="735" operator="greaterThan">
      <formula>1</formula>
    </cfRule>
  </conditionalFormatting>
  <conditionalFormatting sqref="D61">
    <cfRule type="cellIs" dxfId="617" priority="734" operator="greaterThan">
      <formula>1</formula>
    </cfRule>
  </conditionalFormatting>
  <conditionalFormatting sqref="D64">
    <cfRule type="cellIs" dxfId="616" priority="733" operator="greaterThan">
      <formula>1</formula>
    </cfRule>
  </conditionalFormatting>
  <conditionalFormatting sqref="D72">
    <cfRule type="cellIs" dxfId="615" priority="731" operator="greaterThan">
      <formula>1</formula>
    </cfRule>
  </conditionalFormatting>
  <conditionalFormatting sqref="D78">
    <cfRule type="cellIs" dxfId="614" priority="730" operator="greaterThan">
      <formula>1</formula>
    </cfRule>
  </conditionalFormatting>
  <conditionalFormatting sqref="D80">
    <cfRule type="cellIs" dxfId="613" priority="729" operator="greaterThan">
      <formula>1</formula>
    </cfRule>
  </conditionalFormatting>
  <conditionalFormatting sqref="D85">
    <cfRule type="cellIs" dxfId="612" priority="728" operator="greaterThan">
      <formula>1</formula>
    </cfRule>
  </conditionalFormatting>
  <conditionalFormatting sqref="D87">
    <cfRule type="cellIs" dxfId="611" priority="727" operator="greaterThan">
      <formula>1</formula>
    </cfRule>
  </conditionalFormatting>
  <conditionalFormatting sqref="D89:D90">
    <cfRule type="cellIs" dxfId="610" priority="726" operator="greaterThan">
      <formula>1</formula>
    </cfRule>
  </conditionalFormatting>
  <conditionalFormatting sqref="D92:D96">
    <cfRule type="cellIs" dxfId="609" priority="725" operator="greaterThan">
      <formula>1</formula>
    </cfRule>
  </conditionalFormatting>
  <conditionalFormatting sqref="D98">
    <cfRule type="cellIs" dxfId="608" priority="724" operator="greaterThan">
      <formula>1</formula>
    </cfRule>
  </conditionalFormatting>
  <conditionalFormatting sqref="D100:D105">
    <cfRule type="cellIs" dxfId="607" priority="723" operator="greaterThan">
      <formula>1</formula>
    </cfRule>
  </conditionalFormatting>
  <conditionalFormatting sqref="D107:D108">
    <cfRule type="cellIs" dxfId="606" priority="722" operator="greaterThan">
      <formula>1</formula>
    </cfRule>
  </conditionalFormatting>
  <conditionalFormatting sqref="D111:D115">
    <cfRule type="cellIs" dxfId="605" priority="721" operator="greaterThan">
      <formula>1</formula>
    </cfRule>
  </conditionalFormatting>
  <conditionalFormatting sqref="D119:D122">
    <cfRule type="cellIs" dxfId="604" priority="720" operator="greaterThan">
      <formula>1</formula>
    </cfRule>
  </conditionalFormatting>
  <conditionalFormatting sqref="D125:D126">
    <cfRule type="cellIs" dxfId="603" priority="719" operator="greaterThan">
      <formula>1</formula>
    </cfRule>
  </conditionalFormatting>
  <conditionalFormatting sqref="D129:D146">
    <cfRule type="cellIs" dxfId="602" priority="718" operator="greaterThan">
      <formula>1</formula>
    </cfRule>
  </conditionalFormatting>
  <conditionalFormatting sqref="D148:D154">
    <cfRule type="cellIs" dxfId="601" priority="717" operator="greaterThan">
      <formula>1</formula>
    </cfRule>
  </conditionalFormatting>
  <conditionalFormatting sqref="D156:D171">
    <cfRule type="cellIs" dxfId="600" priority="716" operator="greaterThan">
      <formula>1</formula>
    </cfRule>
  </conditionalFormatting>
  <conditionalFormatting sqref="D176:D177">
    <cfRule type="cellIs" dxfId="599" priority="715" operator="greaterThan">
      <formula>1</formula>
    </cfRule>
  </conditionalFormatting>
  <conditionalFormatting sqref="D182:D183">
    <cfRule type="cellIs" dxfId="598" priority="714" operator="greaterThan">
      <formula>1</formula>
    </cfRule>
  </conditionalFormatting>
  <conditionalFormatting sqref="D185:D186">
    <cfRule type="cellIs" dxfId="597" priority="713" operator="greaterThan">
      <formula>1</formula>
    </cfRule>
  </conditionalFormatting>
  <conditionalFormatting sqref="D189:D198">
    <cfRule type="cellIs" dxfId="596" priority="712" operator="greaterThan">
      <formula>1</formula>
    </cfRule>
  </conditionalFormatting>
  <conditionalFormatting sqref="D202:D208">
    <cfRule type="cellIs" dxfId="595" priority="711" operator="greaterThan">
      <formula>1</formula>
    </cfRule>
  </conditionalFormatting>
  <conditionalFormatting sqref="D210:D214">
    <cfRule type="cellIs" dxfId="594" priority="710" operator="greaterThan">
      <formula>1</formula>
    </cfRule>
  </conditionalFormatting>
  <conditionalFormatting sqref="D219:D220">
    <cfRule type="cellIs" dxfId="593" priority="709" operator="greaterThan">
      <formula>1</formula>
    </cfRule>
  </conditionalFormatting>
  <conditionalFormatting sqref="E59">
    <cfRule type="cellIs" dxfId="592" priority="674" operator="greaterThan">
      <formula>1</formula>
    </cfRule>
  </conditionalFormatting>
  <conditionalFormatting sqref="D246">
    <cfRule type="cellIs" dxfId="591" priority="701" operator="greaterThan">
      <formula>1</formula>
    </cfRule>
  </conditionalFormatting>
  <conditionalFormatting sqref="E245:E246">
    <cfRule type="cellIs" dxfId="590" priority="700" operator="greaterThan">
      <formula>1</formula>
    </cfRule>
  </conditionalFormatting>
  <conditionalFormatting sqref="E220">
    <cfRule type="cellIs" dxfId="589" priority="697" operator="greaterThan">
      <formula>1</formula>
    </cfRule>
  </conditionalFormatting>
  <conditionalFormatting sqref="E203:E219">
    <cfRule type="cellIs" dxfId="588" priority="696" operator="greaterThan">
      <formula>1</formula>
    </cfRule>
  </conditionalFormatting>
  <conditionalFormatting sqref="E199:E200">
    <cfRule type="cellIs" dxfId="587" priority="695" operator="greaterThan">
      <formula>1</formula>
    </cfRule>
  </conditionalFormatting>
  <conditionalFormatting sqref="E193:E197">
    <cfRule type="cellIs" dxfId="586" priority="694" operator="greaterThan">
      <formula>1</formula>
    </cfRule>
  </conditionalFormatting>
  <conditionalFormatting sqref="E190">
    <cfRule type="cellIs" dxfId="585" priority="693" operator="greaterThan">
      <formula>1</formula>
    </cfRule>
  </conditionalFormatting>
  <conditionalFormatting sqref="E182:E188">
    <cfRule type="cellIs" dxfId="584" priority="692" operator="greaterThan">
      <formula>1</formula>
    </cfRule>
  </conditionalFormatting>
  <conditionalFormatting sqref="E166:E177">
    <cfRule type="cellIs" dxfId="583" priority="691" operator="greaterThan">
      <formula>1</formula>
    </cfRule>
  </conditionalFormatting>
  <conditionalFormatting sqref="E160:E164">
    <cfRule type="cellIs" dxfId="582" priority="690" operator="greaterThan">
      <formula>1</formula>
    </cfRule>
  </conditionalFormatting>
  <conditionalFormatting sqref="E158">
    <cfRule type="cellIs" dxfId="581" priority="689" operator="greaterThan">
      <formula>1</formula>
    </cfRule>
  </conditionalFormatting>
  <conditionalFormatting sqref="E140:E153">
    <cfRule type="cellIs" dxfId="580" priority="688" operator="greaterThan">
      <formula>1</formula>
    </cfRule>
  </conditionalFormatting>
  <conditionalFormatting sqref="E133:E138">
    <cfRule type="cellIs" dxfId="579" priority="687" operator="greaterThan">
      <formula>1</formula>
    </cfRule>
  </conditionalFormatting>
  <conditionalFormatting sqref="E131">
    <cfRule type="cellIs" dxfId="578" priority="686" operator="greaterThan">
      <formula>1</formula>
    </cfRule>
  </conditionalFormatting>
  <conditionalFormatting sqref="E128:E129">
    <cfRule type="cellIs" dxfId="577" priority="685" operator="greaterThan">
      <formula>1</formula>
    </cfRule>
  </conditionalFormatting>
  <conditionalFormatting sqref="E115:E116 E119:E126">
    <cfRule type="cellIs" dxfId="576" priority="684" operator="greaterThan">
      <formula>1</formula>
    </cfRule>
  </conditionalFormatting>
  <conditionalFormatting sqref="E100:E113">
    <cfRule type="cellIs" dxfId="575" priority="683" operator="greaterThan">
      <formula>1</formula>
    </cfRule>
  </conditionalFormatting>
  <conditionalFormatting sqref="E96:E97">
    <cfRule type="cellIs" dxfId="574" priority="682" operator="greaterThan">
      <formula>1</formula>
    </cfRule>
  </conditionalFormatting>
  <conditionalFormatting sqref="E92:E94">
    <cfRule type="cellIs" dxfId="573" priority="681" operator="greaterThan">
      <formula>1</formula>
    </cfRule>
  </conditionalFormatting>
  <conditionalFormatting sqref="E89:E90">
    <cfRule type="cellIs" dxfId="572" priority="680" operator="greaterThan">
      <formula>1</formula>
    </cfRule>
  </conditionalFormatting>
  <conditionalFormatting sqref="E84:E87">
    <cfRule type="cellIs" dxfId="571" priority="679" operator="greaterThan">
      <formula>1</formula>
    </cfRule>
  </conditionalFormatting>
  <conditionalFormatting sqref="E74:E82">
    <cfRule type="cellIs" dxfId="570" priority="678" operator="greaterThan">
      <formula>1</formula>
    </cfRule>
  </conditionalFormatting>
  <conditionalFormatting sqref="E71:E72">
    <cfRule type="cellIs" dxfId="569" priority="677" operator="greaterThan">
      <formula>1</formula>
    </cfRule>
  </conditionalFormatting>
  <conditionalFormatting sqref="E69">
    <cfRule type="cellIs" dxfId="568" priority="676" operator="greaterThan">
      <formula>1</formula>
    </cfRule>
  </conditionalFormatting>
  <conditionalFormatting sqref="E61:E64">
    <cfRule type="cellIs" dxfId="567" priority="675" operator="greaterThan">
      <formula>1</formula>
    </cfRule>
  </conditionalFormatting>
  <conditionalFormatting sqref="E43:E52">
    <cfRule type="cellIs" dxfId="566" priority="673" operator="greaterThan">
      <formula>1</formula>
    </cfRule>
  </conditionalFormatting>
  <conditionalFormatting sqref="E27:E41">
    <cfRule type="cellIs" dxfId="565" priority="672" operator="greaterThan">
      <formula>1</formula>
    </cfRule>
  </conditionalFormatting>
  <conditionalFormatting sqref="E15:E24">
    <cfRule type="cellIs" dxfId="564" priority="671" operator="greaterThan">
      <formula>1</formula>
    </cfRule>
  </conditionalFormatting>
  <conditionalFormatting sqref="E11:E12">
    <cfRule type="cellIs" dxfId="563" priority="670" operator="greaterThan">
      <formula>1</formula>
    </cfRule>
  </conditionalFormatting>
  <conditionalFormatting sqref="E2:E9">
    <cfRule type="cellIs" dxfId="562" priority="669" operator="greaterThan">
      <formula>1</formula>
    </cfRule>
  </conditionalFormatting>
  <conditionalFormatting sqref="F3">
    <cfRule type="cellIs" dxfId="561" priority="668" operator="greaterThan">
      <formula>1</formula>
    </cfRule>
  </conditionalFormatting>
  <conditionalFormatting sqref="F5">
    <cfRule type="cellIs" dxfId="560" priority="667" operator="greaterThan">
      <formula>1</formula>
    </cfRule>
  </conditionalFormatting>
  <conditionalFormatting sqref="F7">
    <cfRule type="cellIs" dxfId="559" priority="666" operator="greaterThan">
      <formula>1</formula>
    </cfRule>
  </conditionalFormatting>
  <conditionalFormatting sqref="F9:F10">
    <cfRule type="cellIs" dxfId="558" priority="665" operator="greaterThan">
      <formula>1</formula>
    </cfRule>
  </conditionalFormatting>
  <conditionalFormatting sqref="F13">
    <cfRule type="cellIs" dxfId="557" priority="664" operator="greaterThan">
      <formula>1</formula>
    </cfRule>
  </conditionalFormatting>
  <conditionalFormatting sqref="F11">
    <cfRule type="cellIs" dxfId="556" priority="663" operator="greaterThan">
      <formula>1</formula>
    </cfRule>
  </conditionalFormatting>
  <conditionalFormatting sqref="F15">
    <cfRule type="cellIs" dxfId="555" priority="662" operator="greaterThan">
      <formula>1</formula>
    </cfRule>
  </conditionalFormatting>
  <conditionalFormatting sqref="F17">
    <cfRule type="cellIs" dxfId="554" priority="661" operator="greaterThan">
      <formula>1</formula>
    </cfRule>
  </conditionalFormatting>
  <conditionalFormatting sqref="F19:F20 F22:F26">
    <cfRule type="cellIs" dxfId="553" priority="660" operator="greaterThan">
      <formula>1</formula>
    </cfRule>
  </conditionalFormatting>
  <conditionalFormatting sqref="F32:F34">
    <cfRule type="cellIs" dxfId="552" priority="659" operator="greaterThan">
      <formula>1</formula>
    </cfRule>
  </conditionalFormatting>
  <conditionalFormatting sqref="F36:F41">
    <cfRule type="cellIs" dxfId="551" priority="658" operator="greaterThan">
      <formula>1</formula>
    </cfRule>
  </conditionalFormatting>
  <conditionalFormatting sqref="F43:F51">
    <cfRule type="cellIs" dxfId="550" priority="657" operator="greaterThan">
      <formula>1</formula>
    </cfRule>
  </conditionalFormatting>
  <conditionalFormatting sqref="F59:F76">
    <cfRule type="cellIs" dxfId="549" priority="656" operator="greaterThan">
      <formula>1</formula>
    </cfRule>
  </conditionalFormatting>
  <conditionalFormatting sqref="F79">
    <cfRule type="cellIs" dxfId="548" priority="655" operator="greaterThan">
      <formula>1</formula>
    </cfRule>
  </conditionalFormatting>
  <conditionalFormatting sqref="F82">
    <cfRule type="cellIs" dxfId="547" priority="654" operator="greaterThan">
      <formula>1</formula>
    </cfRule>
  </conditionalFormatting>
  <conditionalFormatting sqref="F84:F86">
    <cfRule type="cellIs" dxfId="546" priority="653" operator="greaterThan">
      <formula>1</formula>
    </cfRule>
  </conditionalFormatting>
  <conditionalFormatting sqref="F90:F92">
    <cfRule type="cellIs" dxfId="545" priority="652" operator="greaterThan">
      <formula>1</formula>
    </cfRule>
  </conditionalFormatting>
  <conditionalFormatting sqref="F99">
    <cfRule type="cellIs" dxfId="544" priority="651" operator="greaterThan">
      <formula>1</formula>
    </cfRule>
  </conditionalFormatting>
  <conditionalFormatting sqref="F101:F107">
    <cfRule type="cellIs" dxfId="543" priority="650" operator="greaterThan">
      <formula>1</formula>
    </cfRule>
  </conditionalFormatting>
  <conditionalFormatting sqref="F109:F110">
    <cfRule type="cellIs" dxfId="542" priority="649" operator="greaterThan">
      <formula>1</formula>
    </cfRule>
  </conditionalFormatting>
  <conditionalFormatting sqref="F112:F116 F119:F153">
    <cfRule type="cellIs" dxfId="541" priority="648" operator="greaterThan">
      <formula>1</formula>
    </cfRule>
  </conditionalFormatting>
  <conditionalFormatting sqref="F155:F190">
    <cfRule type="cellIs" dxfId="540" priority="647" operator="greaterThan">
      <formula>1</formula>
    </cfRule>
  </conditionalFormatting>
  <conditionalFormatting sqref="F193:F196">
    <cfRule type="cellIs" dxfId="539" priority="646" operator="greaterThan">
      <formula>1</formula>
    </cfRule>
  </conditionalFormatting>
  <conditionalFormatting sqref="F198:F203">
    <cfRule type="cellIs" dxfId="538" priority="645" operator="greaterThan">
      <formula>1</formula>
    </cfRule>
  </conditionalFormatting>
  <conditionalFormatting sqref="F205:F220">
    <cfRule type="cellIs" dxfId="537" priority="644" operator="greaterThan">
      <formula>1</formula>
    </cfRule>
  </conditionalFormatting>
  <conditionalFormatting sqref="F245:F246">
    <cfRule type="cellIs" dxfId="536" priority="642" operator="greaterThan">
      <formula>1</formula>
    </cfRule>
  </conditionalFormatting>
  <conditionalFormatting sqref="F266:F267">
    <cfRule type="cellIs" dxfId="535" priority="641" operator="greaterThan">
      <formula>1</formula>
    </cfRule>
  </conditionalFormatting>
  <conditionalFormatting sqref="E266:E267">
    <cfRule type="cellIs" dxfId="534" priority="640" operator="greaterThan">
      <formula>1</formula>
    </cfRule>
  </conditionalFormatting>
  <conditionalFormatting sqref="G2:G3">
    <cfRule type="cellIs" dxfId="533" priority="639" operator="greaterThan">
      <formula>1</formula>
    </cfRule>
  </conditionalFormatting>
  <conditionalFormatting sqref="G5:G9">
    <cfRule type="cellIs" dxfId="532" priority="638" operator="greaterThan">
      <formula>1</formula>
    </cfRule>
  </conditionalFormatting>
  <conditionalFormatting sqref="G13">
    <cfRule type="cellIs" dxfId="531" priority="637" operator="greaterThan">
      <formula>1</formula>
    </cfRule>
  </conditionalFormatting>
  <conditionalFormatting sqref="G15:G19 G21:G26">
    <cfRule type="cellIs" dxfId="530" priority="636" operator="greaterThan">
      <formula>1</formula>
    </cfRule>
  </conditionalFormatting>
  <conditionalFormatting sqref="G32">
    <cfRule type="cellIs" dxfId="529" priority="635" operator="greaterThan">
      <formula>1</formula>
    </cfRule>
  </conditionalFormatting>
  <conditionalFormatting sqref="G34:G37">
    <cfRule type="cellIs" dxfId="528" priority="634" operator="greaterThan">
      <formula>1</formula>
    </cfRule>
  </conditionalFormatting>
  <conditionalFormatting sqref="G39:G52">
    <cfRule type="cellIs" dxfId="527" priority="633" operator="greaterThan">
      <formula>1</formula>
    </cfRule>
  </conditionalFormatting>
  <conditionalFormatting sqref="G59">
    <cfRule type="cellIs" dxfId="526" priority="632" operator="greaterThan">
      <formula>1</formula>
    </cfRule>
  </conditionalFormatting>
  <conditionalFormatting sqref="G62">
    <cfRule type="cellIs" dxfId="525" priority="631" operator="greaterThan">
      <formula>1</formula>
    </cfRule>
  </conditionalFormatting>
  <conditionalFormatting sqref="G64">
    <cfRule type="cellIs" dxfId="524" priority="630" operator="greaterThan">
      <formula>1</formula>
    </cfRule>
  </conditionalFormatting>
  <conditionalFormatting sqref="G66">
    <cfRule type="cellIs" dxfId="523" priority="629" operator="greaterThan">
      <formula>1</formula>
    </cfRule>
  </conditionalFormatting>
  <conditionalFormatting sqref="G68:G69">
    <cfRule type="cellIs" dxfId="522" priority="628" operator="greaterThan">
      <formula>1</formula>
    </cfRule>
  </conditionalFormatting>
  <conditionalFormatting sqref="G71:G73">
    <cfRule type="cellIs" dxfId="521" priority="627" operator="greaterThan">
      <formula>1</formula>
    </cfRule>
  </conditionalFormatting>
  <conditionalFormatting sqref="G75:G76">
    <cfRule type="cellIs" dxfId="520" priority="626" operator="greaterThan">
      <formula>1</formula>
    </cfRule>
  </conditionalFormatting>
  <conditionalFormatting sqref="G78">
    <cfRule type="cellIs" dxfId="519" priority="625" operator="greaterThan">
      <formula>1</formula>
    </cfRule>
  </conditionalFormatting>
  <conditionalFormatting sqref="G80:G81">
    <cfRule type="cellIs" dxfId="518" priority="624" operator="greaterThan">
      <formula>1</formula>
    </cfRule>
  </conditionalFormatting>
  <conditionalFormatting sqref="G85:G86">
    <cfRule type="cellIs" dxfId="517" priority="623" operator="greaterThan">
      <formula>1</formula>
    </cfRule>
  </conditionalFormatting>
  <conditionalFormatting sqref="G89:G92">
    <cfRule type="cellIs" dxfId="516" priority="622" operator="greaterThan">
      <formula>1</formula>
    </cfRule>
  </conditionalFormatting>
  <conditionalFormatting sqref="G96">
    <cfRule type="cellIs" dxfId="515" priority="621" operator="greaterThan">
      <formula>1</formula>
    </cfRule>
  </conditionalFormatting>
  <conditionalFormatting sqref="G99">
    <cfRule type="cellIs" dxfId="514" priority="620" operator="greaterThan">
      <formula>1</formula>
    </cfRule>
  </conditionalFormatting>
  <conditionalFormatting sqref="G106:G110">
    <cfRule type="cellIs" dxfId="513" priority="619" operator="greaterThan">
      <formula>1</formula>
    </cfRule>
  </conditionalFormatting>
  <conditionalFormatting sqref="G112:G113">
    <cfRule type="cellIs" dxfId="512" priority="618" operator="greaterThan">
      <formula>1</formula>
    </cfRule>
  </conditionalFormatting>
  <conditionalFormatting sqref="G115:G116 G119:G123">
    <cfRule type="cellIs" dxfId="511" priority="617" operator="greaterThan">
      <formula>1</formula>
    </cfRule>
  </conditionalFormatting>
  <conditionalFormatting sqref="G125:G128">
    <cfRule type="cellIs" dxfId="510" priority="616" operator="greaterThan">
      <formula>1</formula>
    </cfRule>
  </conditionalFormatting>
  <conditionalFormatting sqref="G130:G162">
    <cfRule type="cellIs" dxfId="509" priority="615" operator="greaterThan">
      <formula>1</formula>
    </cfRule>
  </conditionalFormatting>
  <conditionalFormatting sqref="G164:G190">
    <cfRule type="cellIs" dxfId="508" priority="614" operator="greaterThan">
      <formula>1</formula>
    </cfRule>
  </conditionalFormatting>
  <conditionalFormatting sqref="G193:G195">
    <cfRule type="cellIs" dxfId="507" priority="613" operator="greaterThan">
      <formula>1</formula>
    </cfRule>
  </conditionalFormatting>
  <conditionalFormatting sqref="G197">
    <cfRule type="cellIs" dxfId="506" priority="612" operator="greaterThan">
      <formula>1</formula>
    </cfRule>
  </conditionalFormatting>
  <conditionalFormatting sqref="G199:G203">
    <cfRule type="cellIs" dxfId="505" priority="611" operator="greaterThan">
      <formula>1</formula>
    </cfRule>
  </conditionalFormatting>
  <conditionalFormatting sqref="G205:G208">
    <cfRule type="cellIs" dxfId="504" priority="610" operator="greaterThan">
      <formula>1</formula>
    </cfRule>
  </conditionalFormatting>
  <conditionalFormatting sqref="G210:G212">
    <cfRule type="cellIs" dxfId="503" priority="609" operator="greaterThan">
      <formula>1</formula>
    </cfRule>
  </conditionalFormatting>
  <conditionalFormatting sqref="G215:G220">
    <cfRule type="cellIs" dxfId="502" priority="608" operator="greaterThan">
      <formula>1</formula>
    </cfRule>
  </conditionalFormatting>
  <conditionalFormatting sqref="G245:G246">
    <cfRule type="cellIs" dxfId="501" priority="604" operator="greaterThan">
      <formula>1</formula>
    </cfRule>
  </conditionalFormatting>
  <conditionalFormatting sqref="G266:G267">
    <cfRule type="cellIs" dxfId="500" priority="603" operator="greaterThan">
      <formula>1</formula>
    </cfRule>
  </conditionalFormatting>
  <conditionalFormatting sqref="H2:H16">
    <cfRule type="cellIs" dxfId="499" priority="602" operator="greaterThan">
      <formula>1</formula>
    </cfRule>
  </conditionalFormatting>
  <conditionalFormatting sqref="H18:H24">
    <cfRule type="cellIs" dxfId="498" priority="601" operator="greaterThan">
      <formula>1</formula>
    </cfRule>
  </conditionalFormatting>
  <conditionalFormatting sqref="H26">
    <cfRule type="cellIs" dxfId="497" priority="600" operator="greaterThan">
      <formula>1</formula>
    </cfRule>
  </conditionalFormatting>
  <conditionalFormatting sqref="H32:H43">
    <cfRule type="cellIs" dxfId="496" priority="599" operator="greaterThan">
      <formula>1</formula>
    </cfRule>
  </conditionalFormatting>
  <conditionalFormatting sqref="H45:H63">
    <cfRule type="cellIs" dxfId="495" priority="598" operator="greaterThan">
      <formula>1</formula>
    </cfRule>
  </conditionalFormatting>
  <conditionalFormatting sqref="H65:H81">
    <cfRule type="cellIs" dxfId="494" priority="597" operator="greaterThan">
      <formula>1</formula>
    </cfRule>
  </conditionalFormatting>
  <conditionalFormatting sqref="H83:H99">
    <cfRule type="cellIs" dxfId="493" priority="596" operator="greaterThan">
      <formula>1</formula>
    </cfRule>
  </conditionalFormatting>
  <conditionalFormatting sqref="H101:H116 H119">
    <cfRule type="cellIs" dxfId="492" priority="595" operator="greaterThan">
      <formula>1</formula>
    </cfRule>
  </conditionalFormatting>
  <conditionalFormatting sqref="H121:H198">
    <cfRule type="cellIs" dxfId="491" priority="594" operator="greaterThan">
      <formula>1</formula>
    </cfRule>
  </conditionalFormatting>
  <conditionalFormatting sqref="H200:H220 H245:H254 H265:H273">
    <cfRule type="cellIs" dxfId="490" priority="593" operator="greaterThan">
      <formula>1</formula>
    </cfRule>
  </conditionalFormatting>
  <conditionalFormatting sqref="I2:I4">
    <cfRule type="cellIs" dxfId="489" priority="592" operator="greaterThan">
      <formula>1</formula>
    </cfRule>
  </conditionalFormatting>
  <conditionalFormatting sqref="I6:I9">
    <cfRule type="cellIs" dxfId="488" priority="591" operator="greaterThan">
      <formula>1</formula>
    </cfRule>
  </conditionalFormatting>
  <conditionalFormatting sqref="I11:I14">
    <cfRule type="cellIs" dxfId="487" priority="590" operator="greaterThan">
      <formula>1</formula>
    </cfRule>
  </conditionalFormatting>
  <conditionalFormatting sqref="I17">
    <cfRule type="cellIs" dxfId="486" priority="589" operator="greaterThan">
      <formula>1</formula>
    </cfRule>
  </conditionalFormatting>
  <conditionalFormatting sqref="I19:I38">
    <cfRule type="cellIs" dxfId="485" priority="588" operator="greaterThan">
      <formula>1</formula>
    </cfRule>
  </conditionalFormatting>
  <conditionalFormatting sqref="I40:I41">
    <cfRule type="cellIs" dxfId="484" priority="587" operator="greaterThan">
      <formula>1</formula>
    </cfRule>
  </conditionalFormatting>
  <conditionalFormatting sqref="I43:I44">
    <cfRule type="cellIs" dxfId="483" priority="586" operator="greaterThan">
      <formula>1</formula>
    </cfRule>
  </conditionalFormatting>
  <conditionalFormatting sqref="I46:I53">
    <cfRule type="cellIs" dxfId="482" priority="585" operator="greaterThan">
      <formula>1</formula>
    </cfRule>
  </conditionalFormatting>
  <conditionalFormatting sqref="I59">
    <cfRule type="cellIs" dxfId="481" priority="584" operator="greaterThan">
      <formula>1</formula>
    </cfRule>
  </conditionalFormatting>
  <conditionalFormatting sqref="I61:I102">
    <cfRule type="cellIs" dxfId="480" priority="583" operator="greaterThan">
      <formula>1</formula>
    </cfRule>
  </conditionalFormatting>
  <conditionalFormatting sqref="I104:I110">
    <cfRule type="cellIs" dxfId="479" priority="582" operator="greaterThan">
      <formula>1</formula>
    </cfRule>
  </conditionalFormatting>
  <conditionalFormatting sqref="I112:I116 I119:I121">
    <cfRule type="cellIs" dxfId="478" priority="581" operator="greaterThan">
      <formula>1</formula>
    </cfRule>
  </conditionalFormatting>
  <conditionalFormatting sqref="I124:I137">
    <cfRule type="cellIs" dxfId="477" priority="580" operator="greaterThan">
      <formula>1</formula>
    </cfRule>
  </conditionalFormatting>
  <conditionalFormatting sqref="I140:I149">
    <cfRule type="cellIs" dxfId="476" priority="579" operator="greaterThan">
      <formula>1</formula>
    </cfRule>
  </conditionalFormatting>
  <conditionalFormatting sqref="I151:I181">
    <cfRule type="cellIs" dxfId="475" priority="578" operator="greaterThan">
      <formula>1</formula>
    </cfRule>
  </conditionalFormatting>
  <conditionalFormatting sqref="I184:I185">
    <cfRule type="cellIs" dxfId="474" priority="577" operator="greaterThan">
      <formula>1</formula>
    </cfRule>
  </conditionalFormatting>
  <conditionalFormatting sqref="I187:I220 I245:I254 I265:I267">
    <cfRule type="cellIs" dxfId="473" priority="576" operator="greaterThan">
      <formula>1</formula>
    </cfRule>
  </conditionalFormatting>
  <conditionalFormatting sqref="J119:K192 J2:K116">
    <cfRule type="cellIs" dxfId="472" priority="575" operator="greaterThan">
      <formula>1</formula>
    </cfRule>
  </conditionalFormatting>
  <conditionalFormatting sqref="J198:J201">
    <cfRule type="cellIs" dxfId="471" priority="574" operator="greaterThan">
      <formula>1</formula>
    </cfRule>
  </conditionalFormatting>
  <conditionalFormatting sqref="J203:J213">
    <cfRule type="cellIs" dxfId="470" priority="573" operator="greaterThan">
      <formula>1</formula>
    </cfRule>
  </conditionalFormatting>
  <conditionalFormatting sqref="J215:J220 J245:J246">
    <cfRule type="cellIs" dxfId="469" priority="572" operator="greaterThan">
      <formula>1</formula>
    </cfRule>
  </conditionalFormatting>
  <conditionalFormatting sqref="J266:J267">
    <cfRule type="cellIs" dxfId="468" priority="571" operator="greaterThan">
      <formula>1</formula>
    </cfRule>
  </conditionalFormatting>
  <conditionalFormatting sqref="L5">
    <cfRule type="cellIs" dxfId="467" priority="569" operator="greaterThan">
      <formula>1</formula>
    </cfRule>
  </conditionalFormatting>
  <conditionalFormatting sqref="L8:L20 L22:L23">
    <cfRule type="cellIs" dxfId="466" priority="568" operator="greaterThan">
      <formula>1</formula>
    </cfRule>
  </conditionalFormatting>
  <conditionalFormatting sqref="L25:L26">
    <cfRule type="cellIs" dxfId="465" priority="567" operator="greaterThan">
      <formula>1</formula>
    </cfRule>
  </conditionalFormatting>
  <conditionalFormatting sqref="L32:L37">
    <cfRule type="cellIs" dxfId="464" priority="566" operator="greaterThan">
      <formula>1</formula>
    </cfRule>
  </conditionalFormatting>
  <conditionalFormatting sqref="L39:L42">
    <cfRule type="cellIs" dxfId="463" priority="565" operator="greaterThan">
      <formula>1</formula>
    </cfRule>
  </conditionalFormatting>
  <conditionalFormatting sqref="L46:L48">
    <cfRule type="cellIs" dxfId="462" priority="564" operator="greaterThan">
      <formula>1</formula>
    </cfRule>
  </conditionalFormatting>
  <conditionalFormatting sqref="L50:L89">
    <cfRule type="cellIs" dxfId="461" priority="563" operator="greaterThan">
      <formula>1</formula>
    </cfRule>
  </conditionalFormatting>
  <conditionalFormatting sqref="L91:L116 L119:L220">
    <cfRule type="cellIs" dxfId="460" priority="562" operator="greaterThan">
      <formula>1</formula>
    </cfRule>
  </conditionalFormatting>
  <conditionalFormatting sqref="L246">
    <cfRule type="cellIs" dxfId="459" priority="560" operator="greaterThan">
      <formula>1</formula>
    </cfRule>
  </conditionalFormatting>
  <conditionalFormatting sqref="M117:M118">
    <cfRule type="cellIs" dxfId="458" priority="557" operator="greaterThan">
      <formula>1</formula>
    </cfRule>
  </conditionalFormatting>
  <conditionalFormatting sqref="AJ117:AJ118 AM118:AO118 AL117:AO117 M117:N118 P117:Q118">
    <cfRule type="cellIs" dxfId="457" priority="556" operator="greaterThan">
      <formula>1</formula>
    </cfRule>
  </conditionalFormatting>
  <conditionalFormatting sqref="AC117:AC118">
    <cfRule type="cellIs" dxfId="456" priority="551" operator="greaterThan">
      <formula>1</formula>
    </cfRule>
  </conditionalFormatting>
  <conditionalFormatting sqref="AC118">
    <cfRule type="cellIs" dxfId="455" priority="550" operator="greaterThan">
      <formula>1</formula>
    </cfRule>
  </conditionalFormatting>
  <conditionalFormatting sqref="AF118">
    <cfRule type="cellIs" dxfId="454" priority="547" operator="greaterThan">
      <formula>1</formula>
    </cfRule>
  </conditionalFormatting>
  <conditionalFormatting sqref="AI117:AI118">
    <cfRule type="cellIs" dxfId="453" priority="548" operator="greaterThan">
      <formula>1</formula>
    </cfRule>
  </conditionalFormatting>
  <conditionalFormatting sqref="AF118">
    <cfRule type="cellIs" dxfId="452" priority="546" operator="greaterThan">
      <formula>1</formula>
    </cfRule>
  </conditionalFormatting>
  <conditionalFormatting sqref="AI117:AI118">
    <cfRule type="cellIs" dxfId="451" priority="545" operator="greaterThan">
      <formula>1</formula>
    </cfRule>
  </conditionalFormatting>
  <conditionalFormatting sqref="AF117">
    <cfRule type="cellIs" dxfId="450" priority="544" operator="greaterThan">
      <formula>1</formula>
    </cfRule>
  </conditionalFormatting>
  <conditionalFormatting sqref="AF117">
    <cfRule type="cellIs" dxfId="449" priority="553" operator="greaterThan">
      <formula>1</formula>
    </cfRule>
  </conditionalFormatting>
  <conditionalFormatting sqref="B117:B118">
    <cfRule type="cellIs" dxfId="448" priority="555" operator="greaterThan">
      <formula>2</formula>
    </cfRule>
  </conditionalFormatting>
  <conditionalFormatting sqref="C117:C118">
    <cfRule type="cellIs" dxfId="447" priority="554" operator="greaterThan">
      <formula>2</formula>
    </cfRule>
  </conditionalFormatting>
  <conditionalFormatting sqref="AC117">
    <cfRule type="cellIs" dxfId="446" priority="552" operator="greaterThan">
      <formula>2</formula>
    </cfRule>
  </conditionalFormatting>
  <conditionalFormatting sqref="AD117:AD118">
    <cfRule type="cellIs" dxfId="445" priority="549" operator="greaterThan">
      <formula>1</formula>
    </cfRule>
  </conditionalFormatting>
  <conditionalFormatting sqref="AK117:AK118">
    <cfRule type="cellIs" dxfId="444" priority="543" operator="greaterThan">
      <formula>1</formula>
    </cfRule>
  </conditionalFormatting>
  <conditionalFormatting sqref="AG117">
    <cfRule type="cellIs" dxfId="443" priority="542" operator="greaterThan">
      <formula>2</formula>
    </cfRule>
  </conditionalFormatting>
  <conditionalFormatting sqref="D117">
    <cfRule type="cellIs" dxfId="442" priority="541" operator="greaterThan">
      <formula>1</formula>
    </cfRule>
  </conditionalFormatting>
  <conditionalFormatting sqref="F117:F118">
    <cfRule type="cellIs" dxfId="441" priority="540" operator="greaterThan">
      <formula>1</formula>
    </cfRule>
  </conditionalFormatting>
  <conditionalFormatting sqref="G117:G118">
    <cfRule type="cellIs" dxfId="440" priority="539" operator="greaterThan">
      <formula>1</formula>
    </cfRule>
  </conditionalFormatting>
  <conditionalFormatting sqref="H117:H118">
    <cfRule type="cellIs" dxfId="439" priority="538" operator="greaterThan">
      <formula>1</formula>
    </cfRule>
  </conditionalFormatting>
  <conditionalFormatting sqref="I117:I118">
    <cfRule type="cellIs" dxfId="438" priority="537" operator="greaterThan">
      <formula>1</formula>
    </cfRule>
  </conditionalFormatting>
  <conditionalFormatting sqref="J117:J118">
    <cfRule type="cellIs" dxfId="437" priority="536" operator="greaterThan">
      <formula>1</formula>
    </cfRule>
  </conditionalFormatting>
  <conditionalFormatting sqref="L117:L118">
    <cfRule type="cellIs" dxfId="436" priority="535" operator="greaterThan">
      <formula>1</formula>
    </cfRule>
  </conditionalFormatting>
  <conditionalFormatting sqref="E117">
    <cfRule type="cellIs" dxfId="435" priority="533" operator="greaterThan">
      <formula>2</formula>
    </cfRule>
  </conditionalFormatting>
  <conditionalFormatting sqref="O117:O118">
    <cfRule type="cellIs" dxfId="434" priority="532" operator="greaterThan">
      <formula>2</formula>
    </cfRule>
  </conditionalFormatting>
  <conditionalFormatting sqref="R117:AB118">
    <cfRule type="cellIs" dxfId="433" priority="531" operator="greaterThan">
      <formula>1</formula>
    </cfRule>
  </conditionalFormatting>
  <conditionalFormatting sqref="AE117:AE118">
    <cfRule type="cellIs" dxfId="432" priority="530" operator="greaterThan">
      <formula>1</formula>
    </cfRule>
  </conditionalFormatting>
  <conditionalFormatting sqref="E117">
    <cfRule type="cellIs" dxfId="431" priority="529" operator="greaterThan">
      <formula>1</formula>
    </cfRule>
  </conditionalFormatting>
  <conditionalFormatting sqref="D117">
    <cfRule type="cellIs" dxfId="430" priority="528" operator="greaterThan">
      <formula>2</formula>
    </cfRule>
  </conditionalFormatting>
  <conditionalFormatting sqref="E118">
    <cfRule type="cellIs" dxfId="429" priority="527" operator="greaterThan">
      <formula>2</formula>
    </cfRule>
  </conditionalFormatting>
  <conditionalFormatting sqref="D118">
    <cfRule type="cellIs" dxfId="428" priority="526" operator="greaterThan">
      <formula>1</formula>
    </cfRule>
  </conditionalFormatting>
  <conditionalFormatting sqref="AL118">
    <cfRule type="cellIs" dxfId="427" priority="525" operator="greaterThan">
      <formula>1</formula>
    </cfRule>
  </conditionalFormatting>
  <conditionalFormatting sqref="B223">
    <cfRule type="cellIs" dxfId="426" priority="521" operator="greaterThan">
      <formula>2</formula>
    </cfRule>
  </conditionalFormatting>
  <conditionalFormatting sqref="AN274">
    <cfRule type="cellIs" dxfId="425" priority="462" operator="greaterThan">
      <formula>2</formula>
    </cfRule>
  </conditionalFormatting>
  <conditionalFormatting sqref="AF274 AL274:AM274 AO274">
    <cfRule type="cellIs" dxfId="424" priority="489" operator="greaterThan">
      <formula>1</formula>
    </cfRule>
  </conditionalFormatting>
  <conditionalFormatting sqref="AF274">
    <cfRule type="cellIs" dxfId="423" priority="488" operator="greaterThan">
      <formula>1</formula>
    </cfRule>
  </conditionalFormatting>
  <conditionalFormatting sqref="AK274">
    <cfRule type="cellIs" dxfId="422" priority="487" operator="greaterThan">
      <formula>1</formula>
    </cfRule>
  </conditionalFormatting>
  <conditionalFormatting sqref="M274:R274 AE274 V274 X274:Y274 AA274:AB274">
    <cfRule type="cellIs" dxfId="421" priority="486" operator="greaterThan">
      <formula>1</formula>
    </cfRule>
  </conditionalFormatting>
  <conditionalFormatting sqref="Y274 AB274 AE274">
    <cfRule type="cellIs" dxfId="420" priority="485" operator="greaterThan">
      <formula>1</formula>
    </cfRule>
  </conditionalFormatting>
  <conditionalFormatting sqref="V274">
    <cfRule type="cellIs" dxfId="419" priority="484" operator="greaterThan">
      <formula>1</formula>
    </cfRule>
  </conditionalFormatting>
  <conditionalFormatting sqref="X274">
    <cfRule type="cellIs" dxfId="418" priority="483" operator="greaterThan">
      <formula>1</formula>
    </cfRule>
  </conditionalFormatting>
  <conditionalFormatting sqref="AA274">
    <cfRule type="cellIs" dxfId="417" priority="482" operator="greaterThan">
      <formula>1</formula>
    </cfRule>
  </conditionalFormatting>
  <conditionalFormatting sqref="D274:E274 I274 L274">
    <cfRule type="cellIs" dxfId="416" priority="481" operator="greaterThan">
      <formula>1</formula>
    </cfRule>
  </conditionalFormatting>
  <conditionalFormatting sqref="W274">
    <cfRule type="cellIs" dxfId="415" priority="475" operator="greaterThan">
      <formula>2</formula>
    </cfRule>
  </conditionalFormatting>
  <conditionalFormatting sqref="U274">
    <cfRule type="cellIs" dxfId="414" priority="480" operator="greaterThan">
      <formula>1</formula>
    </cfRule>
  </conditionalFormatting>
  <conditionalFormatting sqref="AC274">
    <cfRule type="cellIs" dxfId="413" priority="479" operator="greaterThan">
      <formula>1</formula>
    </cfRule>
  </conditionalFormatting>
  <conditionalFormatting sqref="T274">
    <cfRule type="cellIs" dxfId="412" priority="477" operator="greaterThan">
      <formula>1</formula>
    </cfRule>
  </conditionalFormatting>
  <conditionalFormatting sqref="AD274">
    <cfRule type="cellIs" dxfId="411" priority="476" operator="greaterThan">
      <formula>1</formula>
    </cfRule>
  </conditionalFormatting>
  <conditionalFormatting sqref="F274">
    <cfRule type="cellIs" dxfId="410" priority="474" operator="greaterThan">
      <formula>2</formula>
    </cfRule>
  </conditionalFormatting>
  <conditionalFormatting sqref="F274">
    <cfRule type="cellIs" dxfId="409" priority="473" operator="greaterThan">
      <formula>1</formula>
    </cfRule>
  </conditionalFormatting>
  <conditionalFormatting sqref="G274">
    <cfRule type="cellIs" dxfId="408" priority="472" operator="greaterThan">
      <formula>2</formula>
    </cfRule>
  </conditionalFormatting>
  <conditionalFormatting sqref="Z274">
    <cfRule type="cellIs" dxfId="407" priority="471" operator="greaterThan">
      <formula>1</formula>
    </cfRule>
  </conditionalFormatting>
  <conditionalFormatting sqref="Z274">
    <cfRule type="cellIs" dxfId="406" priority="470" operator="greaterThan">
      <formula>1</formula>
    </cfRule>
  </conditionalFormatting>
  <conditionalFormatting sqref="J274:K274">
    <cfRule type="cellIs" dxfId="405" priority="469" operator="greaterThan">
      <formula>2</formula>
    </cfRule>
  </conditionalFormatting>
  <conditionalFormatting sqref="J274:K274">
    <cfRule type="cellIs" dxfId="404" priority="468" operator="greaterThan">
      <formula>1</formula>
    </cfRule>
  </conditionalFormatting>
  <conditionalFormatting sqref="H274">
    <cfRule type="cellIs" dxfId="403" priority="467" operator="greaterThan">
      <formula>1</formula>
    </cfRule>
  </conditionalFormatting>
  <conditionalFormatting sqref="S274">
    <cfRule type="cellIs" dxfId="402" priority="465" operator="greaterThan">
      <formula>2</formula>
    </cfRule>
  </conditionalFormatting>
  <conditionalFormatting sqref="AJ274">
    <cfRule type="cellIs" dxfId="401" priority="464" operator="greaterThan">
      <formula>1</formula>
    </cfRule>
  </conditionalFormatting>
  <conditionalFormatting sqref="AI274">
    <cfRule type="cellIs" dxfId="400" priority="463" operator="greaterThan">
      <formula>2</formula>
    </cfRule>
  </conditionalFormatting>
  <conditionalFormatting sqref="M255:M264">
    <cfRule type="cellIs" dxfId="399" priority="461" operator="greaterThan">
      <formula>1</formula>
    </cfRule>
  </conditionalFormatting>
  <conditionalFormatting sqref="U255:U264">
    <cfRule type="cellIs" dxfId="398" priority="446" operator="greaterThan">
      <formula>1</formula>
    </cfRule>
  </conditionalFormatting>
  <conditionalFormatting sqref="M255:T255 AJ255:AJ261 M256:S256 AL256:AO256 AJ264 M257:P257 R257:T257 M258:N260 P258:T260 M261:O261 Q261:T261 M262:Q262 S262:T262 M263:S263 M264:N264 P264:T264 AL264:AO264 AM263:AO263 AL255 AN255:AO255 AL258:AO260 AL257 AN257:AO257 AL262:AO262 AL261 AN261:AO261">
    <cfRule type="cellIs" dxfId="397" priority="460" operator="greaterThan">
      <formula>1</formula>
    </cfRule>
  </conditionalFormatting>
  <conditionalFormatting sqref="Y256:Y264 AE255:AE264 AB255 AB257:AB264">
    <cfRule type="cellIs" dxfId="396" priority="458" operator="greaterThan">
      <formula>1</formula>
    </cfRule>
  </conditionalFormatting>
  <conditionalFormatting sqref="Y259:Y260">
    <cfRule type="cellIs" dxfId="395" priority="453" operator="greaterThan">
      <formula>1</formula>
    </cfRule>
  </conditionalFormatting>
  <conditionalFormatting sqref="AB259:AB260">
    <cfRule type="cellIs" dxfId="394" priority="452" operator="greaterThan">
      <formula>1</formula>
    </cfRule>
  </conditionalFormatting>
  <conditionalFormatting sqref="V255:V264">
    <cfRule type="cellIs" dxfId="393" priority="450" operator="greaterThan">
      <formula>1</formula>
    </cfRule>
  </conditionalFormatting>
  <conditionalFormatting sqref="AF255">
    <cfRule type="cellIs" dxfId="392" priority="449" operator="greaterThan">
      <formula>1</formula>
    </cfRule>
  </conditionalFormatting>
  <conditionalFormatting sqref="AF263:AF264">
    <cfRule type="cellIs" dxfId="391" priority="448" operator="greaterThan">
      <formula>1</formula>
    </cfRule>
  </conditionalFormatting>
  <conditionalFormatting sqref="W259">
    <cfRule type="cellIs" dxfId="390" priority="444" operator="greaterThan">
      <formula>1</formula>
    </cfRule>
  </conditionalFormatting>
  <conditionalFormatting sqref="W264">
    <cfRule type="cellIs" dxfId="389" priority="443" operator="greaterThan">
      <formula>1</formula>
    </cfRule>
  </conditionalFormatting>
  <conditionalFormatting sqref="X255 X257:X264">
    <cfRule type="cellIs" dxfId="388" priority="441" operator="greaterThan">
      <formula>1</formula>
    </cfRule>
  </conditionalFormatting>
  <conditionalFormatting sqref="X261:X264">
    <cfRule type="cellIs" dxfId="387" priority="440" operator="greaterThan">
      <formula>1</formula>
    </cfRule>
  </conditionalFormatting>
  <conditionalFormatting sqref="Z255:Z260">
    <cfRule type="cellIs" dxfId="386" priority="438" operator="greaterThan">
      <formula>1</formula>
    </cfRule>
  </conditionalFormatting>
  <conditionalFormatting sqref="Z257:Z260">
    <cfRule type="cellIs" dxfId="385" priority="437" operator="greaterThan">
      <formula>1</formula>
    </cfRule>
  </conditionalFormatting>
  <conditionalFormatting sqref="Z262">
    <cfRule type="cellIs" dxfId="384" priority="436" operator="greaterThan">
      <formula>1</formula>
    </cfRule>
  </conditionalFormatting>
  <conditionalFormatting sqref="Z264">
    <cfRule type="cellIs" dxfId="383" priority="435" operator="greaterThan">
      <formula>1</formula>
    </cfRule>
  </conditionalFormatting>
  <conditionalFormatting sqref="AA255 AA257 AA259:AA264">
    <cfRule type="cellIs" dxfId="382" priority="434" operator="greaterThan">
      <formula>1</formula>
    </cfRule>
  </conditionalFormatting>
  <conditionalFormatting sqref="AA264">
    <cfRule type="cellIs" dxfId="381" priority="432" operator="greaterThan">
      <formula>1</formula>
    </cfRule>
  </conditionalFormatting>
  <conditionalFormatting sqref="AC255 AC257:AC264">
    <cfRule type="cellIs" dxfId="380" priority="431" operator="greaterThan">
      <formula>1</formula>
    </cfRule>
  </conditionalFormatting>
  <conditionalFormatting sqref="AD255:AD258 AD260:AD264">
    <cfRule type="cellIs" dxfId="379" priority="430" operator="greaterThan">
      <formula>1</formula>
    </cfRule>
  </conditionalFormatting>
  <conditionalFormatting sqref="AF255">
    <cfRule type="cellIs" dxfId="378" priority="421" operator="greaterThan">
      <formula>1</formula>
    </cfRule>
  </conditionalFormatting>
  <conditionalFormatting sqref="AB264">
    <cfRule type="cellIs" dxfId="377" priority="422" operator="greaterThan">
      <formula>1</formula>
    </cfRule>
  </conditionalFormatting>
  <conditionalFormatting sqref="AC255">
    <cfRule type="cellIs" dxfId="376" priority="412" operator="greaterThan">
      <formula>1</formula>
    </cfRule>
  </conditionalFormatting>
  <conditionalFormatting sqref="AD255:AD258">
    <cfRule type="cellIs" dxfId="375" priority="411" operator="greaterThan">
      <formula>1</formula>
    </cfRule>
  </conditionalFormatting>
  <conditionalFormatting sqref="AI255">
    <cfRule type="cellIs" dxfId="374" priority="410" operator="greaterThan">
      <formula>1</formula>
    </cfRule>
  </conditionalFormatting>
  <conditionalFormatting sqref="AF257">
    <cfRule type="cellIs" dxfId="373" priority="409" operator="greaterThan">
      <formula>1</formula>
    </cfRule>
  </conditionalFormatting>
  <conditionalFormatting sqref="AF262:AF264">
    <cfRule type="cellIs" dxfId="372" priority="408" operator="greaterThan">
      <formula>1</formula>
    </cfRule>
  </conditionalFormatting>
  <conditionalFormatting sqref="AE264">
    <cfRule type="cellIs" dxfId="371" priority="407" operator="greaterThan">
      <formula>1</formula>
    </cfRule>
  </conditionalFormatting>
  <conditionalFormatting sqref="L261">
    <cfRule type="cellIs" dxfId="370" priority="454" operator="greaterThan">
      <formula>2</formula>
    </cfRule>
  </conditionalFormatting>
  <conditionalFormatting sqref="C256:D256 C264:D264 D255 C259:D261 C257:C258 C263 F258 C265:C274">
    <cfRule type="cellIs" dxfId="369" priority="457" operator="greaterThan">
      <formula>2</formula>
    </cfRule>
  </conditionalFormatting>
  <conditionalFormatting sqref="G256 G261">
    <cfRule type="cellIs" dxfId="368" priority="456" operator="greaterThan">
      <formula>2</formula>
    </cfRule>
  </conditionalFormatting>
  <conditionalFormatting sqref="I262">
    <cfRule type="cellIs" dxfId="367" priority="455" operator="greaterThan">
      <formula>2</formula>
    </cfRule>
  </conditionalFormatting>
  <conditionalFormatting sqref="U264">
    <cfRule type="cellIs" dxfId="366" priority="447" operator="greaterThan">
      <formula>2</formula>
    </cfRule>
  </conditionalFormatting>
  <conditionalFormatting sqref="AF261">
    <cfRule type="cellIs" dxfId="365" priority="451" operator="greaterThan">
      <formula>2</formula>
    </cfRule>
  </conditionalFormatting>
  <conditionalFormatting sqref="W258 W260:W261">
    <cfRule type="cellIs" dxfId="364" priority="445" operator="greaterThan">
      <formula>2</formula>
    </cfRule>
  </conditionalFormatting>
  <conditionalFormatting sqref="X260">
    <cfRule type="cellIs" dxfId="363" priority="442" operator="greaterThan">
      <formula>2</formula>
    </cfRule>
  </conditionalFormatting>
  <conditionalFormatting sqref="Z256 Z263">
    <cfRule type="cellIs" dxfId="362" priority="439" operator="greaterThan">
      <formula>2</formula>
    </cfRule>
  </conditionalFormatting>
  <conditionalFormatting sqref="AA263">
    <cfRule type="cellIs" dxfId="361" priority="433" operator="greaterThan">
      <formula>2</formula>
    </cfRule>
  </conditionalFormatting>
  <conditionalFormatting sqref="W264">
    <cfRule type="cellIs" dxfId="360" priority="418" operator="greaterThan">
      <formula>1</formula>
    </cfRule>
  </conditionalFormatting>
  <conditionalFormatting sqref="AI259">
    <cfRule type="cellIs" dxfId="359" priority="429" operator="greaterThan">
      <formula>2</formula>
    </cfRule>
  </conditionalFormatting>
  <conditionalFormatting sqref="AI255 AI257:AI263">
    <cfRule type="cellIs" dxfId="358" priority="428" operator="greaterThan">
      <formula>1</formula>
    </cfRule>
  </conditionalFormatting>
  <conditionalFormatting sqref="AI260:AI263">
    <cfRule type="cellIs" dxfId="357" priority="427" operator="greaterThan">
      <formula>1</formula>
    </cfRule>
  </conditionalFormatting>
  <conditionalFormatting sqref="AF257:AF260">
    <cfRule type="cellIs" dxfId="356" priority="426" operator="greaterThan">
      <formula>1</formula>
    </cfRule>
  </conditionalFormatting>
  <conditionalFormatting sqref="AF262">
    <cfRule type="cellIs" dxfId="355" priority="425" operator="greaterThan">
      <formula>1</formula>
    </cfRule>
  </conditionalFormatting>
  <conditionalFormatting sqref="AE259:AE260">
    <cfRule type="cellIs" dxfId="354" priority="424" operator="greaterThan">
      <formula>1</formula>
    </cfRule>
  </conditionalFormatting>
  <conditionalFormatting sqref="Y264">
    <cfRule type="cellIs" dxfId="353" priority="423" operator="greaterThan">
      <formula>1</formula>
    </cfRule>
  </conditionalFormatting>
  <conditionalFormatting sqref="AI256">
    <cfRule type="cellIs" dxfId="352" priority="400" operator="greaterThan">
      <formula>2</formula>
    </cfRule>
  </conditionalFormatting>
  <conditionalFormatting sqref="AF258:AF261">
    <cfRule type="cellIs" dxfId="351" priority="420" operator="greaterThan">
      <formula>1</formula>
    </cfRule>
  </conditionalFormatting>
  <conditionalFormatting sqref="W258:W261">
    <cfRule type="cellIs" dxfId="350" priority="419" operator="greaterThan">
      <formula>1</formula>
    </cfRule>
  </conditionalFormatting>
  <conditionalFormatting sqref="X255">
    <cfRule type="cellIs" dxfId="349" priority="417" operator="greaterThan">
      <formula>1</formula>
    </cfRule>
  </conditionalFormatting>
  <conditionalFormatting sqref="Z262:Z264">
    <cfRule type="cellIs" dxfId="348" priority="416" operator="greaterThan">
      <formula>1</formula>
    </cfRule>
  </conditionalFormatting>
  <conditionalFormatting sqref="AA255">
    <cfRule type="cellIs" dxfId="347" priority="415" operator="greaterThan">
      <formula>1</formula>
    </cfRule>
  </conditionalFormatting>
  <conditionalFormatting sqref="AA257">
    <cfRule type="cellIs" dxfId="346" priority="414" operator="greaterThan">
      <formula>1</formula>
    </cfRule>
  </conditionalFormatting>
  <conditionalFormatting sqref="AA259">
    <cfRule type="cellIs" dxfId="345" priority="413" operator="greaterThan">
      <formula>1</formula>
    </cfRule>
  </conditionalFormatting>
  <conditionalFormatting sqref="AA258">
    <cfRule type="cellIs" dxfId="344" priority="397" operator="greaterThan">
      <formula>2</formula>
    </cfRule>
  </conditionalFormatting>
  <conditionalFormatting sqref="W257">
    <cfRule type="cellIs" dxfId="343" priority="398" operator="greaterThan">
      <formula>2</formula>
    </cfRule>
  </conditionalFormatting>
  <conditionalFormatting sqref="AC256">
    <cfRule type="cellIs" dxfId="342" priority="402" operator="greaterThan">
      <formula>2</formula>
    </cfRule>
  </conditionalFormatting>
  <conditionalFormatting sqref="T256">
    <cfRule type="cellIs" dxfId="341" priority="406" operator="greaterThan">
      <formula>2</formula>
    </cfRule>
  </conditionalFormatting>
  <conditionalFormatting sqref="W256">
    <cfRule type="cellIs" dxfId="340" priority="405" operator="greaterThan">
      <formula>2</formula>
    </cfRule>
  </conditionalFormatting>
  <conditionalFormatting sqref="X256">
    <cfRule type="cellIs" dxfId="339" priority="404" operator="greaterThan">
      <formula>2</formula>
    </cfRule>
  </conditionalFormatting>
  <conditionalFormatting sqref="AA256">
    <cfRule type="cellIs" dxfId="338" priority="403" operator="greaterThan">
      <formula>2</formula>
    </cfRule>
  </conditionalFormatting>
  <conditionalFormatting sqref="AF256">
    <cfRule type="cellIs" dxfId="337" priority="401" operator="greaterThan">
      <formula>2</formula>
    </cfRule>
  </conditionalFormatting>
  <conditionalFormatting sqref="Y255">
    <cfRule type="cellIs" dxfId="336" priority="399" operator="greaterThan">
      <formula>2</formula>
    </cfRule>
  </conditionalFormatting>
  <conditionalFormatting sqref="Z261">
    <cfRule type="cellIs" dxfId="335" priority="396" operator="greaterThan">
      <formula>2</formula>
    </cfRule>
  </conditionalFormatting>
  <conditionalFormatting sqref="W262:W263">
    <cfRule type="cellIs" dxfId="334" priority="395" operator="greaterThan">
      <formula>2</formula>
    </cfRule>
  </conditionalFormatting>
  <conditionalFormatting sqref="AI264">
    <cfRule type="cellIs" dxfId="333" priority="394" operator="greaterThan">
      <formula>2</formula>
    </cfRule>
  </conditionalFormatting>
  <conditionalFormatting sqref="AD259">
    <cfRule type="cellIs" dxfId="332" priority="393" operator="greaterThan">
      <formula>2</formula>
    </cfRule>
  </conditionalFormatting>
  <conditionalFormatting sqref="C255">
    <cfRule type="cellIs" dxfId="331" priority="392" operator="greaterThan">
      <formula>1</formula>
    </cfRule>
  </conditionalFormatting>
  <conditionalFormatting sqref="C262">
    <cfRule type="cellIs" dxfId="330" priority="391" operator="greaterThan">
      <formula>1</formula>
    </cfRule>
  </conditionalFormatting>
  <conditionalFormatting sqref="AK255:AK261 AK264">
    <cfRule type="cellIs" dxfId="329" priority="390" operator="greaterThan">
      <formula>1</formula>
    </cfRule>
  </conditionalFormatting>
  <conditionalFormatting sqref="AJ262:AK263 AL263">
    <cfRule type="cellIs" dxfId="328" priority="389" operator="greaterThan">
      <formula>2</formula>
    </cfRule>
  </conditionalFormatting>
  <conditionalFormatting sqref="Q257">
    <cfRule type="cellIs" dxfId="327" priority="388" operator="greaterThan">
      <formula>2</formula>
    </cfRule>
  </conditionalFormatting>
  <conditionalFormatting sqref="O258:O260">
    <cfRule type="cellIs" dxfId="326" priority="387" operator="greaterThan">
      <formula>2</formula>
    </cfRule>
  </conditionalFormatting>
  <conditionalFormatting sqref="P261">
    <cfRule type="cellIs" dxfId="325" priority="386" operator="greaterThan">
      <formula>2</formula>
    </cfRule>
  </conditionalFormatting>
  <conditionalFormatting sqref="R262">
    <cfRule type="cellIs" dxfId="324" priority="385" operator="greaterThan">
      <formula>2</formula>
    </cfRule>
  </conditionalFormatting>
  <conditionalFormatting sqref="T263">
    <cfRule type="cellIs" dxfId="323" priority="384" operator="greaterThan">
      <formula>2</formula>
    </cfRule>
  </conditionalFormatting>
  <conditionalFormatting sqref="O264">
    <cfRule type="cellIs" dxfId="322" priority="383" operator="greaterThan">
      <formula>2</formula>
    </cfRule>
  </conditionalFormatting>
  <conditionalFormatting sqref="W255">
    <cfRule type="cellIs" dxfId="321" priority="382" operator="greaterThan">
      <formula>2</formula>
    </cfRule>
  </conditionalFormatting>
  <conditionalFormatting sqref="AB256">
    <cfRule type="cellIs" dxfId="320" priority="381" operator="greaterThan">
      <formula>2</formula>
    </cfRule>
  </conditionalFormatting>
  <conditionalFormatting sqref="AM255">
    <cfRule type="cellIs" dxfId="319" priority="380" operator="greaterThan">
      <formula>2</formula>
    </cfRule>
  </conditionalFormatting>
  <conditionalFormatting sqref="AM257">
    <cfRule type="cellIs" dxfId="318" priority="379" operator="greaterThan">
      <formula>2</formula>
    </cfRule>
  </conditionalFormatting>
  <conditionalFormatting sqref="AM261">
    <cfRule type="cellIs" dxfId="317" priority="378" operator="greaterThan">
      <formula>2</formula>
    </cfRule>
  </conditionalFormatting>
  <conditionalFormatting sqref="D257:D258">
    <cfRule type="cellIs" dxfId="316" priority="377" operator="greaterThan">
      <formula>1</formula>
    </cfRule>
  </conditionalFormatting>
  <conditionalFormatting sqref="D262:D263">
    <cfRule type="cellIs" dxfId="315" priority="376" operator="greaterThan">
      <formula>1</formula>
    </cfRule>
  </conditionalFormatting>
  <conditionalFormatting sqref="E255:E264">
    <cfRule type="cellIs" dxfId="314" priority="375" operator="greaterThan">
      <formula>1</formula>
    </cfRule>
  </conditionalFormatting>
  <conditionalFormatting sqref="F255:F257">
    <cfRule type="cellIs" dxfId="313" priority="374" operator="greaterThan">
      <formula>1</formula>
    </cfRule>
  </conditionalFormatting>
  <conditionalFormatting sqref="F259:F264">
    <cfRule type="cellIs" dxfId="312" priority="373" operator="greaterThan">
      <formula>1</formula>
    </cfRule>
  </conditionalFormatting>
  <conditionalFormatting sqref="G255">
    <cfRule type="cellIs" dxfId="311" priority="372" operator="greaterThan">
      <formula>1</formula>
    </cfRule>
  </conditionalFormatting>
  <conditionalFormatting sqref="G257:G260">
    <cfRule type="cellIs" dxfId="310" priority="371" operator="greaterThan">
      <formula>1</formula>
    </cfRule>
  </conditionalFormatting>
  <conditionalFormatting sqref="G262:G264">
    <cfRule type="cellIs" dxfId="309" priority="370" operator="greaterThan">
      <formula>1</formula>
    </cfRule>
  </conditionalFormatting>
  <conditionalFormatting sqref="H255:H264">
    <cfRule type="cellIs" dxfId="308" priority="369" operator="greaterThan">
      <formula>1</formula>
    </cfRule>
  </conditionalFormatting>
  <conditionalFormatting sqref="I255:I261">
    <cfRule type="cellIs" dxfId="307" priority="368" operator="greaterThan">
      <formula>1</formula>
    </cfRule>
  </conditionalFormatting>
  <conditionalFormatting sqref="I263:I264">
    <cfRule type="cellIs" dxfId="306" priority="367" operator="greaterThan">
      <formula>1</formula>
    </cfRule>
  </conditionalFormatting>
  <conditionalFormatting sqref="J255:J264">
    <cfRule type="cellIs" dxfId="305" priority="366" operator="greaterThan">
      <formula>1</formula>
    </cfRule>
  </conditionalFormatting>
  <conditionalFormatting sqref="L255:L260">
    <cfRule type="cellIs" dxfId="304" priority="365" operator="greaterThan">
      <formula>1</formula>
    </cfRule>
  </conditionalFormatting>
  <conditionalFormatting sqref="L262:L264">
    <cfRule type="cellIs" dxfId="303" priority="364" operator="greaterThan">
      <formula>1</formula>
    </cfRule>
  </conditionalFormatting>
  <conditionalFormatting sqref="L2">
    <cfRule type="cellIs" dxfId="302" priority="362" operator="greaterThan">
      <formula>1</formula>
    </cfRule>
  </conditionalFormatting>
  <conditionalFormatting sqref="W2">
    <cfRule type="cellIs" dxfId="301" priority="361" operator="greaterThan">
      <formula>1</formula>
    </cfRule>
  </conditionalFormatting>
  <conditionalFormatting sqref="AI2">
    <cfRule type="cellIs" dxfId="300" priority="360" operator="greaterThan">
      <formula>1</formula>
    </cfRule>
  </conditionalFormatting>
  <conditionalFormatting sqref="AO3">
    <cfRule type="cellIs" dxfId="299" priority="359" operator="greaterThan">
      <formula>1</formula>
    </cfRule>
  </conditionalFormatting>
  <conditionalFormatting sqref="AI3">
    <cfRule type="cellIs" dxfId="298" priority="358" operator="greaterThan">
      <formula>1</formula>
    </cfRule>
  </conditionalFormatting>
  <conditionalFormatting sqref="W3">
    <cfRule type="cellIs" dxfId="297" priority="357" operator="greaterThan">
      <formula>1</formula>
    </cfRule>
  </conditionalFormatting>
  <conditionalFormatting sqref="L3">
    <cfRule type="cellIs" dxfId="296" priority="356" operator="greaterThan">
      <formula>1</formula>
    </cfRule>
  </conditionalFormatting>
  <conditionalFormatting sqref="F4">
    <cfRule type="cellIs" dxfId="295" priority="355" operator="greaterThan">
      <formula>1</formula>
    </cfRule>
  </conditionalFormatting>
  <conditionalFormatting sqref="G4">
    <cfRule type="cellIs" dxfId="294" priority="354" operator="greaterThan">
      <formula>1</formula>
    </cfRule>
  </conditionalFormatting>
  <conditionalFormatting sqref="L4">
    <cfRule type="cellIs" dxfId="293" priority="353" operator="greaterThan">
      <formula>1</formula>
    </cfRule>
  </conditionalFormatting>
  <conditionalFormatting sqref="M4">
    <cfRule type="cellIs" dxfId="292" priority="352" operator="greaterThan">
      <formula>1</formula>
    </cfRule>
  </conditionalFormatting>
  <conditionalFormatting sqref="W4">
    <cfRule type="cellIs" dxfId="291" priority="351" operator="greaterThan">
      <formula>1</formula>
    </cfRule>
  </conditionalFormatting>
  <conditionalFormatting sqref="AA4">
    <cfRule type="cellIs" dxfId="290" priority="350" operator="greaterThan">
      <formula>1</formula>
    </cfRule>
  </conditionalFormatting>
  <conditionalFormatting sqref="AE4">
    <cfRule type="cellIs" dxfId="289" priority="349" operator="greaterThan">
      <formula>1</formula>
    </cfRule>
  </conditionalFormatting>
  <conditionalFormatting sqref="AF4">
    <cfRule type="cellIs" dxfId="288" priority="348" operator="greaterThan">
      <formula>1</formula>
    </cfRule>
  </conditionalFormatting>
  <conditionalFormatting sqref="AO4">
    <cfRule type="cellIs" dxfId="287" priority="347" operator="greaterThan">
      <formula>1</formula>
    </cfRule>
  </conditionalFormatting>
  <conditionalFormatting sqref="W5">
    <cfRule type="cellIs" dxfId="286" priority="346" operator="greaterThan">
      <formula>1</formula>
    </cfRule>
  </conditionalFormatting>
  <conditionalFormatting sqref="I5">
    <cfRule type="cellIs" dxfId="285" priority="345" operator="greaterThan">
      <formula>1</formula>
    </cfRule>
  </conditionalFormatting>
  <conditionalFormatting sqref="F6">
    <cfRule type="cellIs" dxfId="284" priority="344" operator="greaterThan">
      <formula>1</formula>
    </cfRule>
  </conditionalFormatting>
  <conditionalFormatting sqref="L6">
    <cfRule type="cellIs" dxfId="283" priority="343" operator="greaterThan">
      <formula>1</formula>
    </cfRule>
  </conditionalFormatting>
  <conditionalFormatting sqref="AA6">
    <cfRule type="cellIs" dxfId="282" priority="342" operator="greaterThan">
      <formula>1</formula>
    </cfRule>
  </conditionalFormatting>
  <conditionalFormatting sqref="AE6">
    <cfRule type="cellIs" dxfId="281" priority="341" operator="greaterThan">
      <formula>1</formula>
    </cfRule>
  </conditionalFormatting>
  <conditionalFormatting sqref="L7">
    <cfRule type="cellIs" dxfId="280" priority="340" operator="greaterThan">
      <formula>1</formula>
    </cfRule>
  </conditionalFormatting>
  <conditionalFormatting sqref="F8">
    <cfRule type="cellIs" dxfId="279" priority="339" operator="greaterThan">
      <formula>1</formula>
    </cfRule>
  </conditionalFormatting>
  <conditionalFormatting sqref="U8">
    <cfRule type="cellIs" dxfId="278" priority="338" operator="greaterThan">
      <formula>1</formula>
    </cfRule>
  </conditionalFormatting>
  <conditionalFormatting sqref="W8">
    <cfRule type="cellIs" dxfId="277" priority="337" operator="greaterThan">
      <formula>1</formula>
    </cfRule>
  </conditionalFormatting>
  <conditionalFormatting sqref="AO8">
    <cfRule type="cellIs" dxfId="276" priority="336" operator="greaterThan">
      <formula>1</formula>
    </cfRule>
  </conditionalFormatting>
  <conditionalFormatting sqref="AH9">
    <cfRule type="cellIs" dxfId="275" priority="335" operator="greaterThan">
      <formula>1</formula>
    </cfRule>
  </conditionalFormatting>
  <conditionalFormatting sqref="AA9">
    <cfRule type="cellIs" dxfId="274" priority="334" operator="greaterThan">
      <formula>1</formula>
    </cfRule>
  </conditionalFormatting>
  <conditionalFormatting sqref="U9">
    <cfRule type="cellIs" dxfId="273" priority="333" operator="greaterThan">
      <formula>1</formula>
    </cfRule>
  </conditionalFormatting>
  <conditionalFormatting sqref="G10">
    <cfRule type="cellIs" dxfId="272" priority="332" operator="greaterThan">
      <formula>1</formula>
    </cfRule>
  </conditionalFormatting>
  <conditionalFormatting sqref="I10">
    <cfRule type="cellIs" dxfId="271" priority="331" operator="greaterThan">
      <formula>1</formula>
    </cfRule>
  </conditionalFormatting>
  <conditionalFormatting sqref="Z10">
    <cfRule type="cellIs" dxfId="270" priority="330" operator="greaterThan">
      <formula>1</formula>
    </cfRule>
  </conditionalFormatting>
  <conditionalFormatting sqref="AE10">
    <cfRule type="cellIs" dxfId="269" priority="329" operator="greaterThan">
      <formula>1</formula>
    </cfRule>
  </conditionalFormatting>
  <conditionalFormatting sqref="AI10">
    <cfRule type="cellIs" dxfId="268" priority="328" operator="greaterThan">
      <formula>1</formula>
    </cfRule>
  </conditionalFormatting>
  <conditionalFormatting sqref="G11">
    <cfRule type="cellIs" dxfId="267" priority="327" operator="greaterThan">
      <formula>1</formula>
    </cfRule>
  </conditionalFormatting>
  <conditionalFormatting sqref="AO12">
    <cfRule type="cellIs" dxfId="266" priority="326" operator="greaterThan">
      <formula>1</formula>
    </cfRule>
  </conditionalFormatting>
  <conditionalFormatting sqref="AI12">
    <cfRule type="cellIs" dxfId="265" priority="325" operator="greaterThan">
      <formula>1</formula>
    </cfRule>
  </conditionalFormatting>
  <conditionalFormatting sqref="W12">
    <cfRule type="cellIs" dxfId="264" priority="324" operator="greaterThan">
      <formula>1</formula>
    </cfRule>
  </conditionalFormatting>
  <conditionalFormatting sqref="G12">
    <cfRule type="cellIs" dxfId="263" priority="323" operator="greaterThan">
      <formula>1</formula>
    </cfRule>
  </conditionalFormatting>
  <conditionalFormatting sqref="F12">
    <cfRule type="cellIs" dxfId="262" priority="322" operator="greaterThan">
      <formula>1</formula>
    </cfRule>
  </conditionalFormatting>
  <conditionalFormatting sqref="F14">
    <cfRule type="cellIs" dxfId="261" priority="321" operator="greaterThan">
      <formula>1</formula>
    </cfRule>
  </conditionalFormatting>
  <conditionalFormatting sqref="G14">
    <cfRule type="cellIs" dxfId="260" priority="320" operator="greaterThan">
      <formula>1</formula>
    </cfRule>
  </conditionalFormatting>
  <conditionalFormatting sqref="M14">
    <cfRule type="cellIs" dxfId="259" priority="319" operator="greaterThan">
      <formula>1</formula>
    </cfRule>
  </conditionalFormatting>
  <conditionalFormatting sqref="U14">
    <cfRule type="cellIs" dxfId="258" priority="318" operator="greaterThan">
      <formula>1</formula>
    </cfRule>
  </conditionalFormatting>
  <conditionalFormatting sqref="W14">
    <cfRule type="cellIs" dxfId="257" priority="317" operator="greaterThan">
      <formula>1</formula>
    </cfRule>
  </conditionalFormatting>
  <conditionalFormatting sqref="Z14">
    <cfRule type="cellIs" dxfId="256" priority="316" operator="greaterThan">
      <formula>1</formula>
    </cfRule>
  </conditionalFormatting>
  <conditionalFormatting sqref="AF14">
    <cfRule type="cellIs" dxfId="255" priority="315" operator="greaterThan">
      <formula>1</formula>
    </cfRule>
  </conditionalFormatting>
  <conditionalFormatting sqref="AH14">
    <cfRule type="cellIs" dxfId="254" priority="314" operator="greaterThan">
      <formula>1</formula>
    </cfRule>
  </conditionalFormatting>
  <conditionalFormatting sqref="AI14">
    <cfRule type="cellIs" dxfId="253" priority="313" operator="greaterThan">
      <formula>1</formula>
    </cfRule>
  </conditionalFormatting>
  <conditionalFormatting sqref="AO14">
    <cfRule type="cellIs" dxfId="252" priority="312" operator="greaterThan">
      <formula>1</formula>
    </cfRule>
  </conditionalFormatting>
  <conditionalFormatting sqref="AO15">
    <cfRule type="cellIs" dxfId="251" priority="311" operator="greaterThan">
      <formula>1</formula>
    </cfRule>
  </conditionalFormatting>
  <conditionalFormatting sqref="W15">
    <cfRule type="cellIs" dxfId="250" priority="310" operator="greaterThan">
      <formula>1</formula>
    </cfRule>
  </conditionalFormatting>
  <conditionalFormatting sqref="I15">
    <cfRule type="cellIs" dxfId="249" priority="309" operator="greaterThan">
      <formula>1</formula>
    </cfRule>
  </conditionalFormatting>
  <conditionalFormatting sqref="F16">
    <cfRule type="cellIs" dxfId="248" priority="308" operator="greaterThan">
      <formula>1</formula>
    </cfRule>
  </conditionalFormatting>
  <conditionalFormatting sqref="I16">
    <cfRule type="cellIs" dxfId="247" priority="307" operator="greaterThan">
      <formula>1</formula>
    </cfRule>
  </conditionalFormatting>
  <conditionalFormatting sqref="AA16">
    <cfRule type="cellIs" dxfId="246" priority="306" operator="greaterThan">
      <formula>1</formula>
    </cfRule>
  </conditionalFormatting>
  <conditionalFormatting sqref="AE16">
    <cfRule type="cellIs" dxfId="245" priority="305" operator="greaterThan">
      <formula>1</formula>
    </cfRule>
  </conditionalFormatting>
  <conditionalFormatting sqref="H17">
    <cfRule type="cellIs" dxfId="244" priority="304" operator="greaterThan">
      <formula>1</formula>
    </cfRule>
  </conditionalFormatting>
  <conditionalFormatting sqref="AI17">
    <cfRule type="cellIs" dxfId="243" priority="303" operator="greaterThan">
      <formula>1</formula>
    </cfRule>
  </conditionalFormatting>
  <conditionalFormatting sqref="AO18">
    <cfRule type="cellIs" dxfId="242" priority="302" operator="greaterThan">
      <formula>1</formula>
    </cfRule>
  </conditionalFormatting>
  <conditionalFormatting sqref="AI18">
    <cfRule type="cellIs" dxfId="241" priority="301" operator="greaterThan">
      <formula>1</formula>
    </cfRule>
  </conditionalFormatting>
  <conditionalFormatting sqref="W18">
    <cfRule type="cellIs" dxfId="240" priority="300" operator="greaterThan">
      <formula>1</formula>
    </cfRule>
  </conditionalFormatting>
  <conditionalFormatting sqref="I18">
    <cfRule type="cellIs" dxfId="239" priority="299" operator="greaterThan">
      <formula>1</formula>
    </cfRule>
  </conditionalFormatting>
  <conditionalFormatting sqref="F18">
    <cfRule type="cellIs" dxfId="238" priority="298" operator="greaterThan">
      <formula>1</formula>
    </cfRule>
  </conditionalFormatting>
  <conditionalFormatting sqref="G20">
    <cfRule type="cellIs" dxfId="237" priority="297" operator="greaterThan">
      <formula>1</formula>
    </cfRule>
  </conditionalFormatting>
  <conditionalFormatting sqref="W20">
    <cfRule type="cellIs" dxfId="236" priority="296" operator="greaterThan">
      <formula>1</formula>
    </cfRule>
  </conditionalFormatting>
  <conditionalFormatting sqref="W19">
    <cfRule type="cellIs" dxfId="235" priority="295" operator="greaterThan">
      <formula>1</formula>
    </cfRule>
  </conditionalFormatting>
  <conditionalFormatting sqref="AO19">
    <cfRule type="cellIs" dxfId="234" priority="294" operator="greaterThan">
      <formula>1</formula>
    </cfRule>
  </conditionalFormatting>
  <conditionalFormatting sqref="F21">
    <cfRule type="cellIs" dxfId="233" priority="293" operator="greaterThan">
      <formula>1</formula>
    </cfRule>
  </conditionalFormatting>
  <conditionalFormatting sqref="L21">
    <cfRule type="cellIs" dxfId="232" priority="292" operator="greaterThan">
      <formula>1</formula>
    </cfRule>
  </conditionalFormatting>
  <conditionalFormatting sqref="W21">
    <cfRule type="cellIs" dxfId="231" priority="291" operator="greaterThan">
      <formula>1</formula>
    </cfRule>
  </conditionalFormatting>
  <conditionalFormatting sqref="W22">
    <cfRule type="cellIs" dxfId="230" priority="290" operator="greaterThan">
      <formula>1</formula>
    </cfRule>
  </conditionalFormatting>
  <conditionalFormatting sqref="W23">
    <cfRule type="cellIs" dxfId="229" priority="289" operator="greaterThan">
      <formula>1</formula>
    </cfRule>
  </conditionalFormatting>
  <conditionalFormatting sqref="W24">
    <cfRule type="cellIs" dxfId="228" priority="288" operator="greaterThan">
      <formula>1</formula>
    </cfRule>
  </conditionalFormatting>
  <conditionalFormatting sqref="W26">
    <cfRule type="cellIs" dxfId="227" priority="287" operator="greaterThan">
      <formula>1</formula>
    </cfRule>
  </conditionalFormatting>
  <conditionalFormatting sqref="W27">
    <cfRule type="cellIs" dxfId="226" priority="286" operator="greaterThan">
      <formula>1</formula>
    </cfRule>
  </conditionalFormatting>
  <conditionalFormatting sqref="W28">
    <cfRule type="cellIs" dxfId="225" priority="285" operator="greaterThan">
      <formula>1</formula>
    </cfRule>
  </conditionalFormatting>
  <conditionalFormatting sqref="W30">
    <cfRule type="cellIs" dxfId="224" priority="284" operator="greaterThan">
      <formula>1</formula>
    </cfRule>
  </conditionalFormatting>
  <conditionalFormatting sqref="W31">
    <cfRule type="cellIs" dxfId="223" priority="283" operator="greaterThan">
      <formula>1</formula>
    </cfRule>
  </conditionalFormatting>
  <conditionalFormatting sqref="W32">
    <cfRule type="cellIs" dxfId="222" priority="282" operator="greaterThan">
      <formula>1</formula>
    </cfRule>
  </conditionalFormatting>
  <conditionalFormatting sqref="W33">
    <cfRule type="cellIs" dxfId="221" priority="281" operator="greaterThan">
      <formula>1</formula>
    </cfRule>
  </conditionalFormatting>
  <conditionalFormatting sqref="M221:M222">
    <cfRule type="cellIs" dxfId="220" priority="148" operator="greaterThan">
      <formula>1</formula>
    </cfRule>
  </conditionalFormatting>
  <conditionalFormatting sqref="W226:W229">
    <cfRule type="cellIs" dxfId="219" priority="133" operator="greaterThan">
      <formula>1</formula>
    </cfRule>
  </conditionalFormatting>
  <conditionalFormatting sqref="Z221:Z222 Z224">
    <cfRule type="cellIs" dxfId="218" priority="130" operator="greaterThan">
      <formula>1</formula>
    </cfRule>
  </conditionalFormatting>
  <conditionalFormatting sqref="AJ240:AJ241 M244:AF244 X242:AF242 AL240:AO244 AJ222 AJ224:AJ227 M221:T222 S242:V242 S243:AF243 M239:Q240 M242:Q243 M241:N241 P241:Q241 AL239 AN239:AO239 AL222:AO222 AL221 AO221 AL225:AO225 AL224 AN224:AO224 AL227:AO227 AL226:AM226 AO226 AI242:AJ244 M224:T227 S239:T241">
    <cfRule type="cellIs" dxfId="217" priority="147" operator="greaterThan">
      <formula>1</formula>
    </cfRule>
  </conditionalFormatting>
  <conditionalFormatting sqref="M224:T231 AJ224:AJ233 AJ238 AJ240:AJ243 M234:T235 M232:N232 P232:T232 M237 O237:Q237 M233:Q233 S233:T233 M238:Q240 M242:Q243 M241:N241 P241:Q241 AJ235:AJ236 AL240:AO243 AL237:AL239 AN237:AO239 AL225:AO225 AL224 AN224:AO224 AL227:AO236 AL226:AM226 AO226 M236:Q236 S236:T243 R236:R239">
    <cfRule type="cellIs" dxfId="216" priority="146" operator="greaterThan">
      <formula>1</formula>
    </cfRule>
  </conditionalFormatting>
  <conditionalFormatting sqref="Y239:Y241 AB239:AB241 AE239:AE241 Y244 AB244 AE244 Y221:Y222 AB224:AB227 AB221:AB222 AE221:AE222 AE224:AE227 Y224:Y227">
    <cfRule type="cellIs" dxfId="215" priority="145" operator="greaterThan">
      <formula>1</formula>
    </cfRule>
  </conditionalFormatting>
  <conditionalFormatting sqref="V221:V222 V224:V244">
    <cfRule type="cellIs" dxfId="214" priority="140" operator="greaterThan">
      <formula>1</formula>
    </cfRule>
  </conditionalFormatting>
  <conditionalFormatting sqref="AF221:AF222 AF224:AF229">
    <cfRule type="cellIs" dxfId="213" priority="139" operator="greaterThan">
      <formula>1</formula>
    </cfRule>
  </conditionalFormatting>
  <conditionalFormatting sqref="AF226:AF230">
    <cfRule type="cellIs" dxfId="212" priority="138" operator="greaterThan">
      <formula>1</formula>
    </cfRule>
  </conditionalFormatting>
  <conditionalFormatting sqref="AF238:AF241">
    <cfRule type="cellIs" dxfId="211" priority="137" operator="greaterThan">
      <formula>1</formula>
    </cfRule>
  </conditionalFormatting>
  <conditionalFormatting sqref="X221:X222 X224:X244">
    <cfRule type="cellIs" dxfId="210" priority="132" operator="greaterThan">
      <formula>1</formula>
    </cfRule>
  </conditionalFormatting>
  <conditionalFormatting sqref="Z224 Z228:Z229 Z231:Z244">
    <cfRule type="cellIs" dxfId="209" priority="129" operator="greaterThan">
      <formula>1</formula>
    </cfRule>
  </conditionalFormatting>
  <conditionalFormatting sqref="AA221:AA222 AA224:AA244">
    <cfRule type="cellIs" dxfId="208" priority="128" operator="greaterThan">
      <formula>1</formula>
    </cfRule>
  </conditionalFormatting>
  <conditionalFormatting sqref="AC221:AC222 AC224:AC226">
    <cfRule type="cellIs" dxfId="207" priority="126" operator="greaterThan">
      <formula>1</formula>
    </cfRule>
  </conditionalFormatting>
  <conditionalFormatting sqref="AC224:AC226 AC228:AC229 AC231:AC235 AC237:AC244">
    <cfRule type="cellIs" dxfId="206" priority="125" operator="greaterThan">
      <formula>1</formula>
    </cfRule>
  </conditionalFormatting>
  <conditionalFormatting sqref="AI241">
    <cfRule type="cellIs" dxfId="205" priority="120" operator="greaterThan">
      <formula>2</formula>
    </cfRule>
  </conditionalFormatting>
  <conditionalFormatting sqref="AF231:AF235">
    <cfRule type="cellIs" dxfId="204" priority="117" operator="greaterThan">
      <formula>1</formula>
    </cfRule>
  </conditionalFormatting>
  <conditionalFormatting sqref="AF243:AF244">
    <cfRule type="cellIs" dxfId="203" priority="116" operator="greaterThan">
      <formula>1</formula>
    </cfRule>
  </conditionalFormatting>
  <conditionalFormatting sqref="AA221">
    <cfRule type="cellIs" dxfId="202" priority="110" operator="greaterThan">
      <formula>1</formula>
    </cfRule>
  </conditionalFormatting>
  <conditionalFormatting sqref="AF230">
    <cfRule type="cellIs" dxfId="201" priority="109" operator="greaterThan">
      <formula>1</formula>
    </cfRule>
  </conditionalFormatting>
  <conditionalFormatting sqref="L222 L244">
    <cfRule type="cellIs" dxfId="200" priority="141" operator="greaterThan">
      <formula>2</formula>
    </cfRule>
  </conditionalFormatting>
  <conditionalFormatting sqref="AJ234">
    <cfRule type="cellIs" dxfId="199" priority="88" operator="greaterThan">
      <formula>2</formula>
    </cfRule>
  </conditionalFormatting>
  <conditionalFormatting sqref="Y224:Y243 AB224:AB243 AE224:AE235 AE237:AE243">
    <cfRule type="cellIs" dxfId="198" priority="144" operator="greaterThan">
      <formula>1</formula>
    </cfRule>
  </conditionalFormatting>
  <conditionalFormatting sqref="C221:D222 C224:D225 C228:D229 C226:C227 C231:D231 C230 C234:E234 C232 C239:D239 C238 C241:D241 C240 C244:D244 C242:C243 E243 F238 C237:E237 C235:D236 F236 C233:D233">
    <cfRule type="cellIs" dxfId="197" priority="143" operator="greaterThan">
      <formula>2</formula>
    </cfRule>
  </conditionalFormatting>
  <conditionalFormatting sqref="G227 G231 G234 G236:G237">
    <cfRule type="cellIs" dxfId="196" priority="142" operator="greaterThan">
      <formula>2</formula>
    </cfRule>
  </conditionalFormatting>
  <conditionalFormatting sqref="U221:U222 U224:U244">
    <cfRule type="cellIs" dxfId="195" priority="136" operator="greaterThan">
      <formula>1</formula>
    </cfRule>
  </conditionalFormatting>
  <conditionalFormatting sqref="W225 W232:W235 W241">
    <cfRule type="cellIs" dxfId="194" priority="135" operator="greaterThan">
      <formula>2</formula>
    </cfRule>
  </conditionalFormatting>
  <conditionalFormatting sqref="W221:W222 W224">
    <cfRule type="cellIs" dxfId="193" priority="134" operator="greaterThan">
      <formula>1</formula>
    </cfRule>
  </conditionalFormatting>
  <conditionalFormatting sqref="Z221:Z222">
    <cfRule type="cellIs" dxfId="192" priority="131" operator="greaterThan">
      <formula>2</formula>
    </cfRule>
  </conditionalFormatting>
  <conditionalFormatting sqref="AF231:AF242">
    <cfRule type="cellIs" dxfId="191" priority="118" operator="greaterThan">
      <formula>1</formula>
    </cfRule>
  </conditionalFormatting>
  <conditionalFormatting sqref="AC222">
    <cfRule type="cellIs" dxfId="190" priority="127" operator="greaterThan">
      <formula>2</formula>
    </cfRule>
  </conditionalFormatting>
  <conditionalFormatting sqref="AD241">
    <cfRule type="cellIs" dxfId="189" priority="124" operator="greaterThan">
      <formula>2</formula>
    </cfRule>
  </conditionalFormatting>
  <conditionalFormatting sqref="AD221:AD222 AD224:AD244">
    <cfRule type="cellIs" dxfId="188" priority="123" operator="greaterThan">
      <formula>1</formula>
    </cfRule>
  </conditionalFormatting>
  <conditionalFormatting sqref="AI221:AI222">
    <cfRule type="cellIs" dxfId="187" priority="122" operator="greaterThan">
      <formula>1</formula>
    </cfRule>
  </conditionalFormatting>
  <conditionalFormatting sqref="AI221:AI222 AI225:AI230 AI232:AI244">
    <cfRule type="cellIs" dxfId="186" priority="121" operator="greaterThan">
      <formula>1</formula>
    </cfRule>
  </conditionalFormatting>
  <conditionalFormatting sqref="AF225">
    <cfRule type="cellIs" dxfId="185" priority="119" operator="greaterThan">
      <formula>1</formula>
    </cfRule>
  </conditionalFormatting>
  <conditionalFormatting sqref="W221:W222 W224">
    <cfRule type="cellIs" dxfId="184" priority="115" operator="greaterThan">
      <formula>1</formula>
    </cfRule>
  </conditionalFormatting>
  <conditionalFormatting sqref="W225:W229">
    <cfRule type="cellIs" dxfId="183" priority="114" operator="greaterThan">
      <formula>1</formula>
    </cfRule>
  </conditionalFormatting>
  <conditionalFormatting sqref="W232:W235">
    <cfRule type="cellIs" dxfId="182" priority="113" operator="greaterThan">
      <formula>1</formula>
    </cfRule>
  </conditionalFormatting>
  <conditionalFormatting sqref="W241">
    <cfRule type="cellIs" dxfId="181" priority="112" operator="greaterThan">
      <formula>1</formula>
    </cfRule>
  </conditionalFormatting>
  <conditionalFormatting sqref="W243:W244">
    <cfRule type="cellIs" dxfId="180" priority="111" operator="greaterThan">
      <formula>1</formula>
    </cfRule>
  </conditionalFormatting>
  <conditionalFormatting sqref="AJ239">
    <cfRule type="cellIs" dxfId="179" priority="94" operator="greaterThan">
      <formula>2</formula>
    </cfRule>
  </conditionalFormatting>
  <conditionalFormatting sqref="Z225:Z227">
    <cfRule type="cellIs" dxfId="178" priority="108" operator="greaterThan">
      <formula>2</formula>
    </cfRule>
  </conditionalFormatting>
  <conditionalFormatting sqref="AC227">
    <cfRule type="cellIs" dxfId="177" priority="107" operator="greaterThan">
      <formula>2</formula>
    </cfRule>
  </conditionalFormatting>
  <conditionalFormatting sqref="AI224">
    <cfRule type="cellIs" dxfId="176" priority="106" operator="greaterThan">
      <formula>2</formula>
    </cfRule>
  </conditionalFormatting>
  <conditionalFormatting sqref="W230">
    <cfRule type="cellIs" dxfId="175" priority="105" operator="greaterThan">
      <formula>2</formula>
    </cfRule>
  </conditionalFormatting>
  <conditionalFormatting sqref="W236:W240">
    <cfRule type="cellIs" dxfId="174" priority="104" operator="greaterThan">
      <formula>2</formula>
    </cfRule>
  </conditionalFormatting>
  <conditionalFormatting sqref="W242">
    <cfRule type="cellIs" dxfId="173" priority="103" operator="greaterThan">
      <formula>2</formula>
    </cfRule>
  </conditionalFormatting>
  <conditionalFormatting sqref="AJ237:AK237">
    <cfRule type="cellIs" dxfId="172" priority="95" operator="greaterThan">
      <formula>2</formula>
    </cfRule>
  </conditionalFormatting>
  <conditionalFormatting sqref="AK239:AK244 AK222 AK224:AK227">
    <cfRule type="cellIs" dxfId="171" priority="102" operator="greaterThan">
      <formula>1</formula>
    </cfRule>
  </conditionalFormatting>
  <conditionalFormatting sqref="AK224:AK233 AK235:AK236 AK240:AK243 AK238">
    <cfRule type="cellIs" dxfId="170" priority="101" operator="greaterThan">
      <formula>1</formula>
    </cfRule>
  </conditionalFormatting>
  <conditionalFormatting sqref="AK229">
    <cfRule type="cellIs" dxfId="169" priority="100" operator="greaterThan">
      <formula>1</formula>
    </cfRule>
  </conditionalFormatting>
  <conditionalFormatting sqref="AK234">
    <cfRule type="cellIs" dxfId="168" priority="99" operator="greaterThan">
      <formula>1</formula>
    </cfRule>
  </conditionalFormatting>
  <conditionalFormatting sqref="AK234">
    <cfRule type="cellIs" dxfId="167" priority="98" operator="greaterThan">
      <formula>1</formula>
    </cfRule>
  </conditionalFormatting>
  <conditionalFormatting sqref="AK239">
    <cfRule type="cellIs" dxfId="166" priority="97" operator="greaterThan">
      <formula>1</formula>
    </cfRule>
  </conditionalFormatting>
  <conditionalFormatting sqref="AJ221:AK221">
    <cfRule type="cellIs" dxfId="165" priority="96" operator="greaterThan">
      <formula>2</formula>
    </cfRule>
  </conditionalFormatting>
  <conditionalFormatting sqref="O232">
    <cfRule type="cellIs" dxfId="164" priority="93" operator="greaterThan">
      <formula>2</formula>
    </cfRule>
  </conditionalFormatting>
  <conditionalFormatting sqref="N237">
    <cfRule type="cellIs" dxfId="163" priority="92" operator="greaterThan">
      <formula>2</formula>
    </cfRule>
  </conditionalFormatting>
  <conditionalFormatting sqref="R233">
    <cfRule type="cellIs" dxfId="162" priority="91" operator="greaterThan">
      <formula>2</formula>
    </cfRule>
  </conditionalFormatting>
  <conditionalFormatting sqref="R240:R243">
    <cfRule type="cellIs" dxfId="161" priority="90" operator="greaterThan">
      <formula>2</formula>
    </cfRule>
  </conditionalFormatting>
  <conditionalFormatting sqref="O241">
    <cfRule type="cellIs" dxfId="160" priority="89" operator="greaterThan">
      <formula>2</formula>
    </cfRule>
  </conditionalFormatting>
  <conditionalFormatting sqref="AM238">
    <cfRule type="cellIs" dxfId="159" priority="87" operator="greaterThan">
      <formula>1</formula>
    </cfRule>
  </conditionalFormatting>
  <conditionalFormatting sqref="AM239">
    <cfRule type="cellIs" dxfId="158" priority="85" operator="greaterThan">
      <formula>2</formula>
    </cfRule>
  </conditionalFormatting>
  <conditionalFormatting sqref="AM237">
    <cfRule type="cellIs" dxfId="157" priority="86" operator="greaterThan">
      <formula>2</formula>
    </cfRule>
  </conditionalFormatting>
  <conditionalFormatting sqref="AM221">
    <cfRule type="cellIs" dxfId="156" priority="84" operator="greaterThan">
      <formula>2</formula>
    </cfRule>
  </conditionalFormatting>
  <conditionalFormatting sqref="AM224">
    <cfRule type="cellIs" dxfId="155" priority="83" operator="greaterThan">
      <formula>2</formula>
    </cfRule>
  </conditionalFormatting>
  <conditionalFormatting sqref="AN221">
    <cfRule type="cellIs" dxfId="154" priority="82" operator="greaterThan">
      <formula>2</formula>
    </cfRule>
  </conditionalFormatting>
  <conditionalFormatting sqref="AN226">
    <cfRule type="cellIs" dxfId="153" priority="81" operator="greaterThan">
      <formula>2</formula>
    </cfRule>
  </conditionalFormatting>
  <conditionalFormatting sqref="AH221">
    <cfRule type="cellIs" dxfId="152" priority="80" operator="greaterThan">
      <formula>2</formula>
    </cfRule>
  </conditionalFormatting>
  <conditionalFormatting sqref="D226:D227">
    <cfRule type="cellIs" dxfId="151" priority="79" operator="greaterThan">
      <formula>1</formula>
    </cfRule>
  </conditionalFormatting>
  <conditionalFormatting sqref="D230">
    <cfRule type="cellIs" dxfId="150" priority="78" operator="greaterThan">
      <formula>1</formula>
    </cfRule>
  </conditionalFormatting>
  <conditionalFormatting sqref="D232">
    <cfRule type="cellIs" dxfId="149" priority="77" operator="greaterThan">
      <formula>1</formula>
    </cfRule>
  </conditionalFormatting>
  <conditionalFormatting sqref="D238">
    <cfRule type="cellIs" dxfId="148" priority="76" operator="greaterThan">
      <formula>1</formula>
    </cfRule>
  </conditionalFormatting>
  <conditionalFormatting sqref="D240">
    <cfRule type="cellIs" dxfId="147" priority="75" operator="greaterThan">
      <formula>1</formula>
    </cfRule>
  </conditionalFormatting>
  <conditionalFormatting sqref="D242:D243">
    <cfRule type="cellIs" dxfId="146" priority="74" operator="greaterThan">
      <formula>1</formula>
    </cfRule>
  </conditionalFormatting>
  <conditionalFormatting sqref="E244">
    <cfRule type="cellIs" dxfId="145" priority="73" operator="greaterThan">
      <formula>1</formula>
    </cfRule>
  </conditionalFormatting>
  <conditionalFormatting sqref="E238:E242">
    <cfRule type="cellIs" dxfId="144" priority="72" operator="greaterThan">
      <formula>1</formula>
    </cfRule>
  </conditionalFormatting>
  <conditionalFormatting sqref="E235:E236">
    <cfRule type="cellIs" dxfId="143" priority="71" operator="greaterThan">
      <formula>1</formula>
    </cfRule>
  </conditionalFormatting>
  <conditionalFormatting sqref="E221:E222 E224:E233">
    <cfRule type="cellIs" dxfId="142" priority="70" operator="greaterThan">
      <formula>1</formula>
    </cfRule>
  </conditionalFormatting>
  <conditionalFormatting sqref="F221:F222 F224:F229 F231:F235">
    <cfRule type="cellIs" dxfId="141" priority="69" operator="greaterThan">
      <formula>1</formula>
    </cfRule>
  </conditionalFormatting>
  <conditionalFormatting sqref="F237">
    <cfRule type="cellIs" dxfId="140" priority="68" operator="greaterThan">
      <formula>1</formula>
    </cfRule>
  </conditionalFormatting>
  <conditionalFormatting sqref="F239:F244">
    <cfRule type="cellIs" dxfId="139" priority="67" operator="greaterThan">
      <formula>1</formula>
    </cfRule>
  </conditionalFormatting>
  <conditionalFormatting sqref="G221:G222 G224:G226">
    <cfRule type="cellIs" dxfId="138" priority="66" operator="greaterThan">
      <formula>1</formula>
    </cfRule>
  </conditionalFormatting>
  <conditionalFormatting sqref="G228 G230">
    <cfRule type="cellIs" dxfId="137" priority="65" operator="greaterThan">
      <formula>1</formula>
    </cfRule>
  </conditionalFormatting>
  <conditionalFormatting sqref="G233">
    <cfRule type="cellIs" dxfId="136" priority="64" operator="greaterThan">
      <formula>1</formula>
    </cfRule>
  </conditionalFormatting>
  <conditionalFormatting sqref="G238:G244">
    <cfRule type="cellIs" dxfId="135" priority="63" operator="greaterThan">
      <formula>1</formula>
    </cfRule>
  </conditionalFormatting>
  <conditionalFormatting sqref="H221:H222 H224:H234 H236:H244">
    <cfRule type="cellIs" dxfId="134" priority="62" operator="greaterThan">
      <formula>1</formula>
    </cfRule>
  </conditionalFormatting>
  <conditionalFormatting sqref="I221:I222 I224:I244">
    <cfRule type="cellIs" dxfId="133" priority="61" operator="greaterThan">
      <formula>1</formula>
    </cfRule>
  </conditionalFormatting>
  <conditionalFormatting sqref="J221:J222 J224:J244">
    <cfRule type="cellIs" dxfId="132" priority="60" operator="greaterThan">
      <formula>1</formula>
    </cfRule>
  </conditionalFormatting>
  <conditionalFormatting sqref="L221">
    <cfRule type="cellIs" dxfId="131" priority="59" operator="greaterThan">
      <formula>1</formula>
    </cfRule>
  </conditionalFormatting>
  <conditionalFormatting sqref="L224:L243">
    <cfRule type="cellIs" dxfId="130" priority="58" operator="greaterThan">
      <formula>1</formula>
    </cfRule>
  </conditionalFormatting>
  <conditionalFormatting sqref="M223">
    <cfRule type="cellIs" dxfId="129" priority="56" operator="greaterThan">
      <formula>1</formula>
    </cfRule>
  </conditionalFormatting>
  <conditionalFormatting sqref="Z223">
    <cfRule type="cellIs" dxfId="128" priority="48" operator="greaterThan">
      <formula>1</formula>
    </cfRule>
  </conditionalFormatting>
  <conditionalFormatting sqref="AL223:AO223 M223:Q223 S223">
    <cfRule type="cellIs" dxfId="127" priority="55" operator="greaterThan">
      <formula>1</formula>
    </cfRule>
  </conditionalFormatting>
  <conditionalFormatting sqref="AL223:AO223 M223:Q223 S223">
    <cfRule type="cellIs" dxfId="126" priority="54" operator="greaterThan">
      <formula>1</formula>
    </cfRule>
  </conditionalFormatting>
  <conditionalFormatting sqref="Y223">
    <cfRule type="cellIs" dxfId="125" priority="53" operator="greaterThan">
      <formula>1</formula>
    </cfRule>
  </conditionalFormatting>
  <conditionalFormatting sqref="V223">
    <cfRule type="cellIs" dxfId="124" priority="51" operator="greaterThan">
      <formula>1</formula>
    </cfRule>
  </conditionalFormatting>
  <conditionalFormatting sqref="AF223">
    <cfRule type="cellIs" dxfId="123" priority="50" operator="greaterThan">
      <formula>1</formula>
    </cfRule>
  </conditionalFormatting>
  <conditionalFormatting sqref="Z223">
    <cfRule type="cellIs" dxfId="122" priority="47" operator="greaterThan">
      <formula>1</formula>
    </cfRule>
  </conditionalFormatting>
  <conditionalFormatting sqref="AA223">
    <cfRule type="cellIs" dxfId="121" priority="46" operator="greaterThan">
      <formula>1</formula>
    </cfRule>
  </conditionalFormatting>
  <conditionalFormatting sqref="AC223">
    <cfRule type="cellIs" dxfId="120" priority="45" operator="greaterThan">
      <formula>1</formula>
    </cfRule>
  </conditionalFormatting>
  <conditionalFormatting sqref="AC223">
    <cfRule type="cellIs" dxfId="119" priority="44" operator="greaterThan">
      <formula>1</formula>
    </cfRule>
  </conditionalFormatting>
  <conditionalFormatting sqref="Y223">
    <cfRule type="cellIs" dxfId="118" priority="52" operator="greaterThan">
      <formula>1</formula>
    </cfRule>
  </conditionalFormatting>
  <conditionalFormatting sqref="U223">
    <cfRule type="cellIs" dxfId="117" priority="49" operator="greaterThan">
      <formula>1</formula>
    </cfRule>
  </conditionalFormatting>
  <conditionalFormatting sqref="AD223">
    <cfRule type="cellIs" dxfId="116" priority="43" operator="greaterThan">
      <formula>1</formula>
    </cfRule>
  </conditionalFormatting>
  <conditionalFormatting sqref="AI223">
    <cfRule type="cellIs" dxfId="115" priority="42" operator="greaterThan">
      <formula>1</formula>
    </cfRule>
  </conditionalFormatting>
  <conditionalFormatting sqref="AI223">
    <cfRule type="cellIs" dxfId="114" priority="41" operator="greaterThan">
      <formula>1</formula>
    </cfRule>
  </conditionalFormatting>
  <conditionalFormatting sqref="D223">
    <cfRule type="cellIs" dxfId="113" priority="40" operator="greaterThan">
      <formula>1</formula>
    </cfRule>
  </conditionalFormatting>
  <conditionalFormatting sqref="E223">
    <cfRule type="cellIs" dxfId="112" priority="39" operator="greaterThan">
      <formula>1</formula>
    </cfRule>
  </conditionalFormatting>
  <conditionalFormatting sqref="F223">
    <cfRule type="cellIs" dxfId="111" priority="38" operator="greaterThan">
      <formula>1</formula>
    </cfRule>
  </conditionalFormatting>
  <conditionalFormatting sqref="G223">
    <cfRule type="cellIs" dxfId="110" priority="37" operator="greaterThan">
      <formula>1</formula>
    </cfRule>
  </conditionalFormatting>
  <conditionalFormatting sqref="H223">
    <cfRule type="cellIs" dxfId="109" priority="36" operator="greaterThan">
      <formula>1</formula>
    </cfRule>
  </conditionalFormatting>
  <conditionalFormatting sqref="I223">
    <cfRule type="cellIs" dxfId="108" priority="35" operator="greaterThan">
      <formula>1</formula>
    </cfRule>
  </conditionalFormatting>
  <conditionalFormatting sqref="J223:K223">
    <cfRule type="cellIs" dxfId="107" priority="34" operator="greaterThan">
      <formula>1</formula>
    </cfRule>
  </conditionalFormatting>
  <conditionalFormatting sqref="C223">
    <cfRule type="cellIs" dxfId="106" priority="32" operator="greaterThan">
      <formula>2</formula>
    </cfRule>
  </conditionalFormatting>
  <conditionalFormatting sqref="W223">
    <cfRule type="cellIs" dxfId="105" priority="31" operator="greaterThan">
      <formula>2</formula>
    </cfRule>
  </conditionalFormatting>
  <conditionalFormatting sqref="X223">
    <cfRule type="cellIs" dxfId="104" priority="30" operator="greaterThan">
      <formula>2</formula>
    </cfRule>
  </conditionalFormatting>
  <conditionalFormatting sqref="R223">
    <cfRule type="cellIs" dxfId="103" priority="29" operator="greaterThan">
      <formula>2</formula>
    </cfRule>
  </conditionalFormatting>
  <conditionalFormatting sqref="L223">
    <cfRule type="cellIs" dxfId="102" priority="28" operator="greaterThan">
      <formula>1</formula>
    </cfRule>
  </conditionalFormatting>
  <conditionalFormatting sqref="AB223">
    <cfRule type="cellIs" dxfId="101" priority="27" operator="greaterThan">
      <formula>1</formula>
    </cfRule>
  </conditionalFormatting>
  <conditionalFormatting sqref="AE223">
    <cfRule type="cellIs" dxfId="100" priority="26" operator="greaterThan">
      <formula>1</formula>
    </cfRule>
  </conditionalFormatting>
  <conditionalFormatting sqref="AJ223">
    <cfRule type="cellIs" dxfId="99" priority="25" operator="greaterThan">
      <formula>1</formula>
    </cfRule>
  </conditionalFormatting>
  <conditionalFormatting sqref="AK223">
    <cfRule type="cellIs" dxfId="98" priority="24" operator="greaterThan">
      <formula>1</formula>
    </cfRule>
  </conditionalFormatting>
  <conditionalFormatting sqref="T223">
    <cfRule type="cellIs" dxfId="97" priority="23" operator="greaterThan">
      <formula>1</formula>
    </cfRule>
  </conditionalFormatting>
  <conditionalFormatting sqref="T223">
    <cfRule type="cellIs" dxfId="96" priority="22" operator="greaterThan">
      <formula>1</formula>
    </cfRule>
  </conditionalFormatting>
  <conditionalFormatting sqref="G229">
    <cfRule type="cellIs" dxfId="95" priority="21" operator="greaterThan">
      <formula>1</formula>
    </cfRule>
  </conditionalFormatting>
  <conditionalFormatting sqref="F230">
    <cfRule type="cellIs" dxfId="94" priority="20" operator="greaterThan">
      <formula>1</formula>
    </cfRule>
  </conditionalFormatting>
  <conditionalFormatting sqref="Z230:AA230">
    <cfRule type="cellIs" dxfId="93" priority="19" operator="greaterThan">
      <formula>1</formula>
    </cfRule>
  </conditionalFormatting>
  <conditionalFormatting sqref="Z230:AA230">
    <cfRule type="cellIs" dxfId="92" priority="18" operator="greaterThan">
      <formula>1</formula>
    </cfRule>
  </conditionalFormatting>
  <conditionalFormatting sqref="AC230">
    <cfRule type="cellIs" dxfId="91" priority="17" operator="greaterThan">
      <formula>1</formula>
    </cfRule>
  </conditionalFormatting>
  <conditionalFormatting sqref="AC230">
    <cfRule type="cellIs" dxfId="90" priority="16" operator="greaterThan">
      <formula>1</formula>
    </cfRule>
  </conditionalFormatting>
  <conditionalFormatting sqref="W231">
    <cfRule type="cellIs" dxfId="89" priority="15" operator="greaterThan">
      <formula>1</formula>
    </cfRule>
  </conditionalFormatting>
  <conditionalFormatting sqref="AI231">
    <cfRule type="cellIs" dxfId="88" priority="14" operator="greaterThan">
      <formula>1</formula>
    </cfRule>
  </conditionalFormatting>
  <conditionalFormatting sqref="G232">
    <cfRule type="cellIs" dxfId="87" priority="13" operator="greaterThan">
      <formula>1</formula>
    </cfRule>
  </conditionalFormatting>
  <conditionalFormatting sqref="G235:H235">
    <cfRule type="cellIs" dxfId="86" priority="12" operator="greaterThan">
      <formula>1</formula>
    </cfRule>
  </conditionalFormatting>
  <conditionalFormatting sqref="AC236">
    <cfRule type="cellIs" dxfId="85" priority="11" operator="greaterThan">
      <formula>1</formula>
    </cfRule>
  </conditionalFormatting>
  <conditionalFormatting sqref="AE236">
    <cfRule type="cellIs" dxfId="84" priority="10" operator="greaterThan">
      <formula>1</formula>
    </cfRule>
  </conditionalFormatting>
  <conditionalFormatting sqref="K268:K269">
    <cfRule type="cellIs" dxfId="83" priority="8" operator="greaterThan">
      <formula>1</formula>
    </cfRule>
  </conditionalFormatting>
  <conditionalFormatting sqref="K268:K269">
    <cfRule type="cellIs" dxfId="82" priority="9" operator="greaterThan">
      <formula>1</formula>
    </cfRule>
  </conditionalFormatting>
  <conditionalFormatting sqref="K198:K201">
    <cfRule type="cellIs" dxfId="81" priority="7" operator="greaterThan">
      <formula>1</formula>
    </cfRule>
  </conditionalFormatting>
  <conditionalFormatting sqref="K203:K213">
    <cfRule type="cellIs" dxfId="80" priority="6" operator="greaterThan">
      <formula>1</formula>
    </cfRule>
  </conditionalFormatting>
  <conditionalFormatting sqref="K215:K220 K245:K246">
    <cfRule type="cellIs" dxfId="79" priority="5" operator="greaterThan">
      <formula>1</formula>
    </cfRule>
  </conditionalFormatting>
  <conditionalFormatting sqref="K266:K267">
    <cfRule type="cellIs" dxfId="78" priority="4" operator="greaterThan">
      <formula>1</formula>
    </cfRule>
  </conditionalFormatting>
  <conditionalFormatting sqref="K117:K118">
    <cfRule type="cellIs" dxfId="77" priority="3" operator="greaterThan">
      <formula>1</formula>
    </cfRule>
  </conditionalFormatting>
  <conditionalFormatting sqref="K255:K264">
    <cfRule type="cellIs" dxfId="76" priority="2" operator="greaterThan">
      <formula>1</formula>
    </cfRule>
  </conditionalFormatting>
  <conditionalFormatting sqref="K221:K222 K224:K244">
    <cfRule type="cellIs" dxfId="75" priority="1" operator="greaterThan">
      <formula>1</formula>
    </cfRule>
  </conditionalFormatting>
  <pageMargins left="0.75" right="0.75" top="1" bottom="1" header="0.5" footer="0.5"/>
  <pageSetup paperSize="9" orientation="portrait" r:id="rId1"/>
  <headerFooter alignWithMargins="0">
    <oddFooter>&amp;C&amp;1#&amp;"Calibri"&amp;10&amp;K000000OFFICIAL-SENSITIVE</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FFFF00"/>
  </sheetPr>
  <dimension ref="A1:N232"/>
  <sheetViews>
    <sheetView showGridLines="0" topLeftCell="A99" zoomScale="106" zoomScaleNormal="106" workbookViewId="0">
      <selection activeCell="G108" sqref="G108"/>
    </sheetView>
  </sheetViews>
  <sheetFormatPr defaultColWidth="9.1796875" defaultRowHeight="12.5" x14ac:dyDescent="0.25"/>
  <cols>
    <col min="1" max="1" width="9.1796875" style="271" customWidth="1"/>
    <col min="2" max="2" width="2.54296875" customWidth="1"/>
    <col min="3" max="3" width="51.453125" customWidth="1"/>
    <col min="4" max="4" width="26" bestFit="1" customWidth="1"/>
    <col min="5" max="5" width="10" customWidth="1"/>
    <col min="6" max="6" width="3.1796875" customWidth="1"/>
    <col min="7" max="8" width="31.81640625" bestFit="1" customWidth="1"/>
    <col min="9" max="9" width="16.1796875" customWidth="1"/>
    <col min="10" max="10" width="12.453125" customWidth="1"/>
    <col min="11" max="11" width="10.453125" customWidth="1"/>
    <col min="13" max="13" width="11.54296875" style="271" bestFit="1" customWidth="1"/>
    <col min="14" max="14" width="3" style="271" bestFit="1" customWidth="1"/>
    <col min="15" max="16384" width="9.1796875" style="271"/>
  </cols>
  <sheetData>
    <row r="1" spans="1:7" ht="15.5" x14ac:dyDescent="0.35">
      <c r="A1" s="271" t="s">
        <v>40</v>
      </c>
      <c r="C1" s="368" t="s">
        <v>41</v>
      </c>
      <c r="E1" s="2602" t="str">
        <f>"Calculate Tax and NIC "&amp;tax_year</f>
        <v>Calculate Tax and NIC 2025-26</v>
      </c>
      <c r="F1" s="2602"/>
      <c r="G1" s="2602"/>
    </row>
    <row r="2" spans="1:7" x14ac:dyDescent="0.25">
      <c r="A2" s="271" t="s">
        <v>42</v>
      </c>
      <c r="C2" s="178" t="s">
        <v>43</v>
      </c>
    </row>
    <row r="3" spans="1:7" x14ac:dyDescent="0.25">
      <c r="A3" s="271" t="s">
        <v>44</v>
      </c>
      <c r="C3" s="178" t="s">
        <v>45</v>
      </c>
    </row>
    <row r="4" spans="1:7" x14ac:dyDescent="0.25">
      <c r="A4" s="272" t="s">
        <v>46</v>
      </c>
      <c r="C4" s="178" t="s">
        <v>47</v>
      </c>
    </row>
    <row r="5" spans="1:7" x14ac:dyDescent="0.25">
      <c r="A5" s="271" t="s">
        <v>48</v>
      </c>
      <c r="C5" s="178" t="s">
        <v>49</v>
      </c>
    </row>
    <row r="6" spans="1:7" x14ac:dyDescent="0.25">
      <c r="A6" s="271" t="s">
        <v>50</v>
      </c>
    </row>
    <row r="7" spans="1:7" x14ac:dyDescent="0.25">
      <c r="A7" s="271" t="s">
        <v>51</v>
      </c>
      <c r="C7" s="178" t="str">
        <f>"For example: "&amp;'Tax adj (c9)'!I51&amp;" requires a figure from box "&amp;'allowances (c14c15)'!K148&amp;" or "&amp;'allowances (c14c15)'!K164&amp;". To calculate box "&amp;'allowances (c14c15)'!K148&amp;" or "&amp;'allowances (c14c15)'!K164&amp;" not"</f>
        <v>For example: c9.16 requires a figure from box c15.20 or c15.21. To calculate box c15.20 or c15.21 not</v>
      </c>
    </row>
    <row r="8" spans="1:7" x14ac:dyDescent="0.25">
      <c r="A8" s="271" t="s">
        <v>52</v>
      </c>
      <c r="C8" s="178" t="str">
        <f>"only requires calculating "&amp;'allowances (c14c15)'!K43&amp;" onwards but also "&amp;'allowances (c14c15)'!K5&amp;" through "&amp;'allowances (c14c15)'!K26&amp;", as these are referenced in "&amp;'allowances (c14c15)'!E58</f>
        <v>only requires calculating c15.1 onwards but also c14.1 through c14.6, as these are referenced in c15.6</v>
      </c>
    </row>
    <row r="9" spans="1:7" x14ac:dyDescent="0.25">
      <c r="A9" s="271" t="s">
        <v>53</v>
      </c>
      <c r="C9" s="178" t="str">
        <f>"and "&amp;'allowances (c14c15)'!E61&amp;"."</f>
        <v>and c15.7.</v>
      </c>
    </row>
    <row r="10" spans="1:7" x14ac:dyDescent="0.25">
      <c r="A10" s="271" t="s">
        <v>54</v>
      </c>
    </row>
    <row r="11" spans="1:7" x14ac:dyDescent="0.25">
      <c r="A11" s="271" t="s">
        <v>55</v>
      </c>
      <c r="C11" s="178" t="s">
        <v>56</v>
      </c>
    </row>
    <row r="12" spans="1:7" x14ac:dyDescent="0.25">
      <c r="A12" s="271" t="s">
        <v>57</v>
      </c>
    </row>
    <row r="13" spans="1:7" x14ac:dyDescent="0.25">
      <c r="A13" s="271" t="s">
        <v>58</v>
      </c>
      <c r="C13" s="178" t="s">
        <v>59</v>
      </c>
    </row>
    <row r="14" spans="1:7" x14ac:dyDescent="0.25">
      <c r="A14" s="271" t="s">
        <v>60</v>
      </c>
    </row>
    <row r="15" spans="1:7" x14ac:dyDescent="0.25">
      <c r="A15" s="271" t="s">
        <v>61</v>
      </c>
      <c r="C15" t="s">
        <v>62</v>
      </c>
    </row>
    <row r="16" spans="1:7" x14ac:dyDescent="0.25">
      <c r="A16" s="271" t="s">
        <v>63</v>
      </c>
      <c r="C16" s="178" t="s">
        <v>64</v>
      </c>
    </row>
    <row r="17" spans="1:3" x14ac:dyDescent="0.25">
      <c r="A17" s="271" t="s">
        <v>65</v>
      </c>
      <c r="C17" t="str">
        <f>"Calculate boxes "&amp;'NS income (c1)'!E5&amp;" through "&amp;'Tax due (c12)'!I5</f>
        <v>Calculate boxes c1.1 through c12.1</v>
      </c>
    </row>
    <row r="18" spans="1:3" x14ac:dyDescent="0.25">
      <c r="A18" s="271" t="s">
        <v>66</v>
      </c>
      <c r="C18" s="320" t="str">
        <f>"resident-result ("&amp;'Tax due (c12)'!I14&amp;") = "&amp;'Tax due (c12)'!I5</f>
        <v>resident-result (c12.1a) = c12.1</v>
      </c>
    </row>
    <row r="19" spans="1:3" x14ac:dyDescent="0.25">
      <c r="A19" s="271" t="s">
        <v>67</v>
      </c>
      <c r="C19" s="320" t="s">
        <v>68</v>
      </c>
    </row>
    <row r="20" spans="1:3" x14ac:dyDescent="0.25">
      <c r="A20" s="271" t="s">
        <v>69</v>
      </c>
      <c r="C20" s="320" t="str">
        <f>"Calculate boxes "&amp;'non-res (c91)'!C15&amp;" through "&amp;'non-res (c91)'!R119</f>
        <v>Calculate boxes c91.1 through c91.35</v>
      </c>
    </row>
    <row r="21" spans="1:3" x14ac:dyDescent="0.25">
      <c r="A21" s="272" t="s">
        <v>70</v>
      </c>
      <c r="C21" s="320" t="str">
        <f>"Calculate boxes "&amp;'Deductions (c4)'!Q23&amp;" through "&amp;'Tax due (c12)'!I5</f>
        <v>Calculate boxes c4.4 through c12.1</v>
      </c>
    </row>
    <row r="22" spans="1:3" x14ac:dyDescent="0.25">
      <c r="A22" s="272" t="s">
        <v>71</v>
      </c>
      <c r="C22" s="320" t="str">
        <f>"non-resident-result ("&amp;'Tax due (c12)'!I18&amp;") = "&amp;'Tax due (c12)'!I5</f>
        <v>non-resident-result (c12.1b) = c12.1</v>
      </c>
    </row>
    <row r="23" spans="1:3" x14ac:dyDescent="0.25">
      <c r="A23" s="271" t="s">
        <v>72</v>
      </c>
      <c r="C23" s="547" t="s">
        <v>73</v>
      </c>
    </row>
    <row r="24" spans="1:3" x14ac:dyDescent="0.25">
      <c r="A24" s="271" t="s">
        <v>74</v>
      </c>
      <c r="C24" s="320" t="s">
        <v>75</v>
      </c>
    </row>
    <row r="25" spans="1:3" x14ac:dyDescent="0.25">
      <c r="A25" s="271" t="s">
        <v>76</v>
      </c>
      <c r="C25" t="s">
        <v>64</v>
      </c>
    </row>
    <row r="26" spans="1:3" x14ac:dyDescent="0.25">
      <c r="A26" s="271" t="s">
        <v>77</v>
      </c>
      <c r="C26" s="222" t="str">
        <f>"Calculate boxes c1.1 through "&amp;'Tax due (c12)'!I119</f>
        <v>Calculate boxes c1.1 through c12.21</v>
      </c>
    </row>
    <row r="27" spans="1:3" x14ac:dyDescent="0.25">
      <c r="C27" s="548" t="s">
        <v>75</v>
      </c>
    </row>
    <row r="28" spans="1:3" x14ac:dyDescent="0.25">
      <c r="A28" s="271" t="s">
        <v>78</v>
      </c>
    </row>
    <row r="29" spans="1:3" x14ac:dyDescent="0.25">
      <c r="A29" s="271" t="s">
        <v>23</v>
      </c>
      <c r="C29" s="369" t="s">
        <v>79</v>
      </c>
    </row>
    <row r="30" spans="1:3" x14ac:dyDescent="0.25">
      <c r="A30" s="271" t="s">
        <v>80</v>
      </c>
    </row>
    <row r="31" spans="1:3" x14ac:dyDescent="0.25">
      <c r="A31" s="271" t="s">
        <v>26</v>
      </c>
      <c r="C31" s="178" t="s">
        <v>81</v>
      </c>
    </row>
    <row r="32" spans="1:3" x14ac:dyDescent="0.25">
      <c r="A32" s="271" t="s">
        <v>82</v>
      </c>
      <c r="C32" t="str">
        <f>"or MAT_IN amount will be set and "&amp;'Deductions (c4)'!H473&amp;" or "&amp;'Tax adj (c9)'!I75&amp;" will be completed with the MAT amount."</f>
        <v>or MAT_IN amount will be set and c4.68 or c9.20 will be completed with the MAT amount.</v>
      </c>
    </row>
    <row r="33" spans="1:14" x14ac:dyDescent="0.25">
      <c r="A33" s="271" t="s">
        <v>83</v>
      </c>
    </row>
    <row r="34" spans="1:14" x14ac:dyDescent="0.25">
      <c r="A34" s="271" t="s">
        <v>33</v>
      </c>
      <c r="C34" t="str">
        <f>"Where there is not a digital Marriage Allowance transfer claim in place and the customer completes MAT"&amp;'REL(2)'!C39</f>
        <v>Where there is not a digital Marriage Allowance transfer claim in place and the customer completes MAT1-5</v>
      </c>
    </row>
    <row r="35" spans="1:14" x14ac:dyDescent="0.25">
      <c r="A35" s="271" t="s">
        <v>34</v>
      </c>
      <c r="C35" s="178" t="s">
        <v>84</v>
      </c>
    </row>
    <row r="36" spans="1:14" x14ac:dyDescent="0.25">
      <c r="A36" s="271" t="s">
        <v>36</v>
      </c>
    </row>
    <row r="37" spans="1:14" x14ac:dyDescent="0.25">
      <c r="A37" s="271" t="s">
        <v>37</v>
      </c>
      <c r="C37" s="178" t="str">
        <f>"For Class 2 there are no boxes on the SA Return. Pseudo Return boxes / centralised box will be required to populate "&amp;'Class 4 NIC (c16)'!J192&amp;"."</f>
        <v>For Class 2 there are no boxes on the SA Return. Pseudo Return boxes / centralised box will be required to populate c16.32.</v>
      </c>
    </row>
    <row r="38" spans="1:14" x14ac:dyDescent="0.25">
      <c r="A38" s="271" t="s">
        <v>38</v>
      </c>
      <c r="C38" s="178" t="s">
        <v>85</v>
      </c>
    </row>
    <row r="39" spans="1:14" x14ac:dyDescent="0.25">
      <c r="A39" s="271" t="s">
        <v>39</v>
      </c>
    </row>
    <row r="40" spans="1:14" x14ac:dyDescent="0.25">
      <c r="A40" s="271" t="s">
        <v>86</v>
      </c>
      <c r="C40" s="178" t="s">
        <v>87</v>
      </c>
    </row>
    <row r="41" spans="1:14" x14ac:dyDescent="0.25">
      <c r="A41" s="271" t="s">
        <v>88</v>
      </c>
      <c r="C41" t="str">
        <f>"Pseudo Return boxes will be required to populate "&amp;'Class 4 NIC (c16)'!J110</f>
        <v>Pseudo Return boxes will be required to populate c16.20</v>
      </c>
    </row>
    <row r="42" spans="1:14" x14ac:dyDescent="0.25">
      <c r="A42" s="271" t="s">
        <v>18</v>
      </c>
    </row>
    <row r="43" spans="1:14" ht="13" x14ac:dyDescent="0.3">
      <c r="A43" s="271" t="s">
        <v>19</v>
      </c>
      <c r="C43" s="2" t="s">
        <v>89</v>
      </c>
      <c r="F43" s="370" t="s">
        <v>90</v>
      </c>
      <c r="G43" s="370" t="s">
        <v>91</v>
      </c>
      <c r="H43" s="775"/>
    </row>
    <row r="44" spans="1:14" ht="13" x14ac:dyDescent="0.3">
      <c r="A44" s="271" t="s">
        <v>20</v>
      </c>
      <c r="C44" s="1142" t="s">
        <v>92</v>
      </c>
      <c r="D44" s="1143" t="s">
        <v>93</v>
      </c>
      <c r="E44" s="1144">
        <v>0.08</v>
      </c>
      <c r="G44" s="491" t="s">
        <v>94</v>
      </c>
    </row>
    <row r="45" spans="1:14" x14ac:dyDescent="0.25">
      <c r="C45" s="1142" t="s">
        <v>95</v>
      </c>
      <c r="D45" s="1143" t="s">
        <v>96</v>
      </c>
      <c r="E45" s="1144">
        <v>0.06</v>
      </c>
      <c r="K45" s="178" t="s">
        <v>97</v>
      </c>
    </row>
    <row r="46" spans="1:14" ht="13" x14ac:dyDescent="0.3">
      <c r="A46" s="271" t="s">
        <v>98</v>
      </c>
      <c r="C46" s="1142" t="s">
        <v>99</v>
      </c>
      <c r="D46" s="1143" t="s">
        <v>100</v>
      </c>
      <c r="E46" s="1144">
        <v>0.02</v>
      </c>
      <c r="G46" s="371" t="s">
        <v>101</v>
      </c>
      <c r="I46" s="178" t="s">
        <v>102</v>
      </c>
      <c r="J46" s="178" t="s">
        <v>103</v>
      </c>
      <c r="K46" s="178" t="s">
        <v>104</v>
      </c>
      <c r="L46" s="178" t="s">
        <v>105</v>
      </c>
    </row>
    <row r="47" spans="1:14" x14ac:dyDescent="0.25">
      <c r="A47" s="271" t="s">
        <v>106</v>
      </c>
      <c r="C47" s="1145" t="s">
        <v>107</v>
      </c>
      <c r="D47" s="1146" t="s">
        <v>108</v>
      </c>
      <c r="E47" s="1144">
        <v>0.09</v>
      </c>
      <c r="G47" s="1147" t="s">
        <v>109</v>
      </c>
      <c r="H47" s="1148" t="s">
        <v>110</v>
      </c>
      <c r="I47" s="1149">
        <v>1.11111111111112</v>
      </c>
      <c r="J47" s="1147" t="s">
        <v>111</v>
      </c>
      <c r="K47" s="1147">
        <v>90</v>
      </c>
      <c r="L47" s="1150">
        <v>0.1</v>
      </c>
      <c r="M47" s="362"/>
    </row>
    <row r="48" spans="1:14" x14ac:dyDescent="0.25">
      <c r="A48" s="271" t="s">
        <v>112</v>
      </c>
      <c r="C48" s="1145" t="s">
        <v>113</v>
      </c>
      <c r="D48" s="1151" t="s">
        <v>114</v>
      </c>
      <c r="E48" s="1144">
        <v>0.06</v>
      </c>
      <c r="G48" s="1147" t="s">
        <v>115</v>
      </c>
      <c r="H48" s="1147" t="s">
        <v>116</v>
      </c>
      <c r="I48" s="1149">
        <v>1.0958904109589001</v>
      </c>
      <c r="J48" s="1147" t="s">
        <v>117</v>
      </c>
      <c r="K48" s="1147">
        <v>91.25</v>
      </c>
      <c r="L48" s="1152">
        <v>8.7499999999999994E-2</v>
      </c>
      <c r="M48" s="362"/>
      <c r="N48" s="362"/>
    </row>
    <row r="49" spans="1:14" x14ac:dyDescent="0.25">
      <c r="A49" s="271" t="s">
        <v>118</v>
      </c>
      <c r="C49" s="1153" t="s">
        <v>119</v>
      </c>
      <c r="D49" s="1154" t="s">
        <v>120</v>
      </c>
      <c r="E49" s="1155">
        <v>0</v>
      </c>
      <c r="G49" s="1148" t="s">
        <v>121</v>
      </c>
      <c r="H49" s="1148" t="s">
        <v>122</v>
      </c>
      <c r="I49" s="1148">
        <v>1.25</v>
      </c>
      <c r="J49" s="1156" t="s">
        <v>123</v>
      </c>
      <c r="K49" s="1156">
        <v>80</v>
      </c>
      <c r="L49" s="1157">
        <v>0.2</v>
      </c>
      <c r="N49" s="362"/>
    </row>
    <row r="50" spans="1:14" x14ac:dyDescent="0.25">
      <c r="A50" s="271" t="s">
        <v>124</v>
      </c>
      <c r="C50" s="1153" t="s">
        <v>125</v>
      </c>
      <c r="D50" s="1154" t="s">
        <v>126</v>
      </c>
      <c r="E50" s="1155">
        <v>0</v>
      </c>
      <c r="G50" s="1148" t="s">
        <v>127</v>
      </c>
      <c r="H50" s="1148" t="s">
        <v>128</v>
      </c>
      <c r="I50" s="1148">
        <v>1.25</v>
      </c>
      <c r="J50" s="1156" t="s">
        <v>123</v>
      </c>
      <c r="K50" s="1156">
        <v>80</v>
      </c>
      <c r="L50" s="1157">
        <v>0.2</v>
      </c>
    </row>
    <row r="51" spans="1:14" x14ac:dyDescent="0.25">
      <c r="A51" s="271" t="s">
        <v>129</v>
      </c>
      <c r="C51" s="1153" t="s">
        <v>130</v>
      </c>
      <c r="D51" s="1154" t="s">
        <v>131</v>
      </c>
      <c r="E51" s="1158">
        <v>0.22</v>
      </c>
      <c r="G51" s="1147" t="s">
        <v>132</v>
      </c>
      <c r="H51" s="1147" t="s">
        <v>133</v>
      </c>
      <c r="I51" s="1159">
        <v>1.6666666666666701</v>
      </c>
      <c r="J51" s="1147" t="s">
        <v>134</v>
      </c>
      <c r="K51" s="1147">
        <v>60</v>
      </c>
      <c r="L51" s="1160">
        <v>0.4</v>
      </c>
      <c r="M51" s="492" t="s">
        <v>135</v>
      </c>
    </row>
    <row r="52" spans="1:14" x14ac:dyDescent="0.25">
      <c r="A52" s="271" t="s">
        <v>136</v>
      </c>
      <c r="C52" s="1153" t="s">
        <v>137</v>
      </c>
      <c r="D52" s="1143" t="s">
        <v>138</v>
      </c>
      <c r="E52" s="1158">
        <v>0.2</v>
      </c>
      <c r="G52" s="1148" t="s">
        <v>139</v>
      </c>
      <c r="H52" s="1161" t="s">
        <v>140</v>
      </c>
      <c r="I52" s="1162">
        <v>1.2820512820512799</v>
      </c>
      <c r="J52" s="1163" t="s">
        <v>141</v>
      </c>
      <c r="K52" s="1163">
        <v>78</v>
      </c>
      <c r="L52" s="1164">
        <v>0.22</v>
      </c>
      <c r="M52" s="362"/>
    </row>
    <row r="53" spans="1:14" x14ac:dyDescent="0.25">
      <c r="A53" s="271" t="s">
        <v>142</v>
      </c>
      <c r="C53" s="1153" t="s">
        <v>143</v>
      </c>
      <c r="D53" s="1143" t="s">
        <v>144</v>
      </c>
      <c r="E53" s="1158">
        <v>0.4</v>
      </c>
      <c r="G53" s="1148" t="s">
        <v>145</v>
      </c>
      <c r="H53" s="1148" t="s">
        <v>146</v>
      </c>
      <c r="I53" s="1149">
        <v>1.8181818181818181</v>
      </c>
      <c r="J53" s="1156" t="s">
        <v>147</v>
      </c>
      <c r="K53" s="1156">
        <v>55</v>
      </c>
      <c r="L53" s="1157">
        <v>0.45</v>
      </c>
      <c r="M53" s="272"/>
    </row>
    <row r="54" spans="1:14" x14ac:dyDescent="0.25">
      <c r="A54" s="271" t="s">
        <v>148</v>
      </c>
      <c r="C54" s="1153" t="s">
        <v>149</v>
      </c>
      <c r="D54" s="1143" t="s">
        <v>150</v>
      </c>
      <c r="E54" s="1158">
        <v>0.45</v>
      </c>
      <c r="G54" s="1147" t="s">
        <v>151</v>
      </c>
      <c r="H54" s="1147" t="s">
        <v>152</v>
      </c>
      <c r="I54" s="1149">
        <v>1.64880461665293</v>
      </c>
      <c r="J54" s="1147" t="s">
        <v>153</v>
      </c>
      <c r="K54" s="1147">
        <v>60.65</v>
      </c>
      <c r="L54" s="1165">
        <v>0.39350000000000002</v>
      </c>
      <c r="M54" s="361"/>
    </row>
    <row r="55" spans="1:14" x14ac:dyDescent="0.25">
      <c r="C55" s="1142" t="s">
        <v>154</v>
      </c>
      <c r="D55" s="1154" t="s">
        <v>155</v>
      </c>
      <c r="E55" s="1155">
        <v>0.2</v>
      </c>
      <c r="G55" s="1148" t="s">
        <v>156</v>
      </c>
      <c r="H55" s="1148" t="s">
        <v>157</v>
      </c>
      <c r="I55" s="1148">
        <v>1.25</v>
      </c>
      <c r="J55" s="1156" t="s">
        <v>123</v>
      </c>
      <c r="K55" s="1156">
        <v>80</v>
      </c>
      <c r="L55" s="1157">
        <v>0.2</v>
      </c>
      <c r="M55" s="565"/>
    </row>
    <row r="56" spans="1:14" x14ac:dyDescent="0.25">
      <c r="C56" s="1145" t="s">
        <v>158</v>
      </c>
      <c r="D56" s="1146" t="s">
        <v>159</v>
      </c>
      <c r="E56" s="1144">
        <v>0.4</v>
      </c>
      <c r="G56" s="1148" t="s">
        <v>160</v>
      </c>
      <c r="H56" s="1148" t="s">
        <v>161</v>
      </c>
      <c r="I56" s="1148">
        <v>1.08108108108109</v>
      </c>
      <c r="J56" s="1156" t="s">
        <v>162</v>
      </c>
      <c r="K56" s="1156">
        <v>92.5</v>
      </c>
      <c r="L56" s="1152">
        <v>7.4999999999999997E-2</v>
      </c>
    </row>
    <row r="57" spans="1:14" x14ac:dyDescent="0.25">
      <c r="C57" s="1142" t="s">
        <v>163</v>
      </c>
      <c r="D57" s="1154" t="s">
        <v>164</v>
      </c>
      <c r="E57" s="1155">
        <v>0.45</v>
      </c>
    </row>
    <row r="58" spans="1:14" x14ac:dyDescent="0.25">
      <c r="C58" s="1142" t="s">
        <v>165</v>
      </c>
      <c r="D58" s="1143" t="s">
        <v>166</v>
      </c>
      <c r="E58" s="1155">
        <v>0.19</v>
      </c>
    </row>
    <row r="59" spans="1:14" x14ac:dyDescent="0.25">
      <c r="C59" s="1142" t="s">
        <v>167</v>
      </c>
      <c r="D59" s="1143" t="s">
        <v>168</v>
      </c>
      <c r="E59" s="1155">
        <v>0.2</v>
      </c>
    </row>
    <row r="60" spans="1:14" x14ac:dyDescent="0.25">
      <c r="C60" s="1142" t="s">
        <v>169</v>
      </c>
      <c r="D60" s="1143" t="s">
        <v>170</v>
      </c>
      <c r="E60" s="1155">
        <v>0.21</v>
      </c>
    </row>
    <row r="61" spans="1:14" x14ac:dyDescent="0.25">
      <c r="C61" s="1142" t="s">
        <v>171</v>
      </c>
      <c r="D61" s="1143" t="s">
        <v>172</v>
      </c>
      <c r="E61" s="1155">
        <v>0.42</v>
      </c>
    </row>
    <row r="62" spans="1:14" x14ac:dyDescent="0.25">
      <c r="C62" s="1142" t="s">
        <v>173</v>
      </c>
      <c r="D62" s="1143" t="s">
        <v>174</v>
      </c>
      <c r="E62" s="1155">
        <v>0.45</v>
      </c>
      <c r="G62" s="178"/>
    </row>
    <row r="63" spans="1:14" x14ac:dyDescent="0.25">
      <c r="C63" s="1142" t="s">
        <v>175</v>
      </c>
      <c r="D63" s="1143" t="s">
        <v>176</v>
      </c>
      <c r="E63" s="1155">
        <v>0.48</v>
      </c>
    </row>
    <row r="64" spans="1:14" x14ac:dyDescent="0.25">
      <c r="C64" s="1142" t="s">
        <v>177</v>
      </c>
      <c r="D64" s="1154" t="s">
        <v>178</v>
      </c>
      <c r="E64" s="1155">
        <v>0.2</v>
      </c>
      <c r="H64" s="823"/>
    </row>
    <row r="65" spans="3:10" x14ac:dyDescent="0.25">
      <c r="C65" s="1145" t="s">
        <v>179</v>
      </c>
      <c r="D65" s="1146" t="s">
        <v>180</v>
      </c>
      <c r="E65" s="1155">
        <v>0.4</v>
      </c>
      <c r="H65" s="823"/>
    </row>
    <row r="66" spans="3:10" x14ac:dyDescent="0.25">
      <c r="C66" s="1142" t="s">
        <v>181</v>
      </c>
      <c r="D66" s="1154" t="s">
        <v>182</v>
      </c>
      <c r="E66" s="1155">
        <v>0.45</v>
      </c>
      <c r="H66" s="823"/>
    </row>
    <row r="67" spans="3:10" x14ac:dyDescent="0.25">
      <c r="C67" s="1142" t="s">
        <v>183</v>
      </c>
      <c r="D67" s="1154" t="s">
        <v>184</v>
      </c>
      <c r="E67" s="1152">
        <v>7.4999999999999997E-2</v>
      </c>
      <c r="H67" s="823"/>
    </row>
    <row r="68" spans="3:10" x14ac:dyDescent="0.25">
      <c r="C68" s="1142" t="s">
        <v>185</v>
      </c>
      <c r="D68" s="1143" t="s">
        <v>186</v>
      </c>
      <c r="E68" s="1166">
        <v>0.1</v>
      </c>
      <c r="H68" s="823"/>
    </row>
    <row r="69" spans="3:10" x14ac:dyDescent="0.25">
      <c r="C69" s="1145" t="s">
        <v>187</v>
      </c>
      <c r="D69" s="1151" t="s">
        <v>188</v>
      </c>
      <c r="E69" s="1155">
        <v>0</v>
      </c>
      <c r="H69" s="823"/>
    </row>
    <row r="70" spans="3:10" x14ac:dyDescent="0.25">
      <c r="C70" s="1145" t="s">
        <v>189</v>
      </c>
      <c r="D70" s="1151" t="s">
        <v>190</v>
      </c>
      <c r="E70" s="1152">
        <v>8.7499999999999994E-2</v>
      </c>
      <c r="H70" s="823"/>
    </row>
    <row r="71" spans="3:10" x14ac:dyDescent="0.25">
      <c r="C71" s="1145" t="s">
        <v>191</v>
      </c>
      <c r="D71" s="1151" t="s">
        <v>192</v>
      </c>
      <c r="E71" s="1152">
        <v>0.33750000000000002</v>
      </c>
      <c r="H71" s="823"/>
    </row>
    <row r="72" spans="3:10" x14ac:dyDescent="0.25">
      <c r="C72" s="1145" t="s">
        <v>193</v>
      </c>
      <c r="D72" s="1151" t="s">
        <v>194</v>
      </c>
      <c r="E72" s="1152">
        <v>0.39350000000000002</v>
      </c>
      <c r="H72" s="823"/>
    </row>
    <row r="73" spans="3:10" x14ac:dyDescent="0.25">
      <c r="C73" s="1153" t="s">
        <v>195</v>
      </c>
      <c r="D73" s="1154" t="s">
        <v>196</v>
      </c>
      <c r="E73" s="1158">
        <v>0.3</v>
      </c>
      <c r="H73" s="823"/>
    </row>
    <row r="74" spans="3:10" x14ac:dyDescent="0.25">
      <c r="C74" s="1153" t="s">
        <v>197</v>
      </c>
      <c r="D74" s="1154" t="s">
        <v>198</v>
      </c>
      <c r="E74" s="1155">
        <v>0.3</v>
      </c>
      <c r="H74" s="823"/>
    </row>
    <row r="75" spans="3:10" x14ac:dyDescent="0.25">
      <c r="C75" s="1145" t="s">
        <v>199</v>
      </c>
      <c r="D75" s="1146" t="s">
        <v>200</v>
      </c>
      <c r="E75" s="1167">
        <v>0.5</v>
      </c>
      <c r="H75" s="823"/>
    </row>
    <row r="76" spans="3:10" x14ac:dyDescent="0.25">
      <c r="C76" s="1153" t="s">
        <v>201</v>
      </c>
      <c r="D76" s="1143" t="s">
        <v>202</v>
      </c>
      <c r="E76" s="1155">
        <v>0.05</v>
      </c>
      <c r="H76" s="510"/>
      <c r="I76" s="510"/>
      <c r="J76" s="510"/>
    </row>
    <row r="77" spans="3:10" x14ac:dyDescent="0.25">
      <c r="C77" s="1153" t="s">
        <v>203</v>
      </c>
      <c r="D77" s="1143" t="s">
        <v>204</v>
      </c>
      <c r="E77" s="1158">
        <v>0.3</v>
      </c>
      <c r="I77" s="510"/>
      <c r="J77" s="510"/>
    </row>
    <row r="78" spans="3:10" x14ac:dyDescent="0.25">
      <c r="C78" s="1142" t="s">
        <v>205</v>
      </c>
      <c r="D78" s="1154" t="s">
        <v>206</v>
      </c>
      <c r="E78" s="1155">
        <v>0.1</v>
      </c>
      <c r="I78" s="510"/>
    </row>
    <row r="79" spans="3:10" x14ac:dyDescent="0.25">
      <c r="C79" s="1142" t="s">
        <v>207</v>
      </c>
      <c r="D79" s="1154" t="s">
        <v>208</v>
      </c>
      <c r="E79" s="1011">
        <v>0.14000000000000001</v>
      </c>
      <c r="I79" s="510"/>
    </row>
    <row r="80" spans="3:10" x14ac:dyDescent="0.25">
      <c r="C80" s="1142" t="s">
        <v>209</v>
      </c>
      <c r="D80" s="1143" t="s">
        <v>210</v>
      </c>
      <c r="E80" s="1011">
        <v>0.18</v>
      </c>
      <c r="H80" s="824"/>
      <c r="I80" s="510"/>
    </row>
    <row r="81" spans="3:14" x14ac:dyDescent="0.25">
      <c r="C81" s="1142" t="s">
        <v>211</v>
      </c>
      <c r="D81" s="1143" t="s">
        <v>212</v>
      </c>
      <c r="E81" s="1011">
        <v>0.24</v>
      </c>
      <c r="I81" s="510"/>
    </row>
    <row r="82" spans="3:14" x14ac:dyDescent="0.25">
      <c r="C82" s="1142" t="s">
        <v>213</v>
      </c>
      <c r="D82" s="1143" t="s">
        <v>214</v>
      </c>
      <c r="E82" s="1166">
        <v>0.18</v>
      </c>
      <c r="H82" s="824"/>
      <c r="I82" s="510"/>
    </row>
    <row r="83" spans="3:14" x14ac:dyDescent="0.25">
      <c r="C83" s="1142" t="s">
        <v>215</v>
      </c>
      <c r="D83" s="1143" t="s">
        <v>216</v>
      </c>
      <c r="E83" s="1166">
        <v>0.24</v>
      </c>
      <c r="I83" s="510"/>
    </row>
    <row r="84" spans="3:14" x14ac:dyDescent="0.25">
      <c r="C84" s="2360" t="s">
        <v>217</v>
      </c>
      <c r="D84" s="2361" t="s">
        <v>218</v>
      </c>
      <c r="E84" s="2362">
        <v>0.18</v>
      </c>
      <c r="I84" s="510"/>
    </row>
    <row r="85" spans="3:14" x14ac:dyDescent="0.25">
      <c r="C85" s="2360" t="s">
        <v>217</v>
      </c>
      <c r="D85" s="2361" t="s">
        <v>219</v>
      </c>
      <c r="E85" s="2362">
        <v>0.24</v>
      </c>
    </row>
    <row r="86" spans="3:14" x14ac:dyDescent="0.25">
      <c r="C86" s="2381" t="s">
        <v>220</v>
      </c>
      <c r="D86" s="2382" t="s">
        <v>221</v>
      </c>
      <c r="E86" s="2383">
        <v>1</v>
      </c>
    </row>
    <row r="87" spans="3:14" x14ac:dyDescent="0.25">
      <c r="C87" s="2357" t="s">
        <v>9548</v>
      </c>
      <c r="D87" s="2358" t="s">
        <v>9547</v>
      </c>
      <c r="E87" s="2359">
        <v>0.32</v>
      </c>
    </row>
    <row r="88" spans="3:14" x14ac:dyDescent="0.25">
      <c r="C88" s="271"/>
      <c r="D88" s="271"/>
      <c r="E88" s="271"/>
    </row>
    <row r="89" spans="3:14" x14ac:dyDescent="0.25">
      <c r="C89" s="271"/>
      <c r="D89" s="271"/>
      <c r="E89" s="271"/>
    </row>
    <row r="90" spans="3:14" x14ac:dyDescent="0.25">
      <c r="C90" s="271"/>
      <c r="D90" s="271"/>
      <c r="E90" s="271"/>
    </row>
    <row r="91" spans="3:14" x14ac:dyDescent="0.25">
      <c r="C91" s="271"/>
      <c r="D91" s="271"/>
      <c r="E91" s="271"/>
    </row>
    <row r="92" spans="3:14" x14ac:dyDescent="0.25">
      <c r="C92" s="271"/>
      <c r="D92" s="271"/>
      <c r="E92" s="271"/>
      <c r="J92" s="377" t="str">
        <f>"06/04/"&amp;Tax_year_start</f>
        <v>06/04/2025</v>
      </c>
      <c r="L92" s="374"/>
      <c r="M92"/>
      <c r="N92"/>
    </row>
    <row r="93" spans="3:14" x14ac:dyDescent="0.25">
      <c r="C93" s="271"/>
      <c r="D93" s="271"/>
      <c r="E93" s="271"/>
      <c r="J93" s="377" t="str">
        <f>"05/04/"&amp;Tax_year_end</f>
        <v>05/04/2026</v>
      </c>
      <c r="L93" s="374"/>
      <c r="M93"/>
      <c r="N93"/>
    </row>
    <row r="94" spans="3:14" x14ac:dyDescent="0.25">
      <c r="C94" s="271"/>
      <c r="D94" s="271"/>
      <c r="E94" s="271"/>
      <c r="K94" s="377">
        <f>J92-DAY(J92)+8-WEEKDAY(J92-DAY(J92))</f>
        <v>45753</v>
      </c>
      <c r="L94" t="str">
        <f>"First Sunday in April "&amp;Tax_year_start</f>
        <v>First Sunday in April 2025</v>
      </c>
      <c r="M94"/>
      <c r="N94"/>
    </row>
    <row r="95" spans="3:14" x14ac:dyDescent="0.25">
      <c r="C95" s="271"/>
      <c r="D95" s="271"/>
      <c r="E95" s="271"/>
      <c r="J95" s="178" t="s">
        <v>222</v>
      </c>
      <c r="K95" s="377">
        <f>IF(K94+0&lt;J92+0,K94+7,K94)</f>
        <v>45753</v>
      </c>
      <c r="L95" s="178" t="str">
        <f>"First Sunday after 5 April "&amp;Tax_year_start</f>
        <v>First Sunday after 5 April 2025</v>
      </c>
      <c r="M95"/>
      <c r="N95"/>
    </row>
    <row r="96" spans="3:14" x14ac:dyDescent="0.25">
      <c r="J96" s="178" t="s">
        <v>223</v>
      </c>
      <c r="K96" s="377">
        <f>K95+357</f>
        <v>46110</v>
      </c>
      <c r="M96"/>
      <c r="N96"/>
    </row>
    <row r="97" spans="3:14" ht="14.5" x14ac:dyDescent="0.35">
      <c r="C97" s="2" t="s">
        <v>224</v>
      </c>
      <c r="J97" s="178" t="s">
        <v>225</v>
      </c>
      <c r="K97" s="377">
        <f>K95+364</f>
        <v>46117</v>
      </c>
      <c r="L97" s="576">
        <f>IF(K97&gt;K98,52,53)</f>
        <v>53</v>
      </c>
      <c r="M97"/>
      <c r="N97"/>
    </row>
    <row r="98" spans="3:14" x14ac:dyDescent="0.25">
      <c r="C98" s="1142" t="s">
        <v>226</v>
      </c>
      <c r="D98" s="1154" t="s">
        <v>227</v>
      </c>
      <c r="E98" s="1168">
        <v>5000</v>
      </c>
      <c r="H98" s="372"/>
      <c r="J98" t="s">
        <v>228</v>
      </c>
      <c r="K98" s="377">
        <f>J93+0</f>
        <v>46117</v>
      </c>
      <c r="L98" s="478"/>
      <c r="M98"/>
      <c r="N98"/>
    </row>
    <row r="99" spans="3:14" x14ac:dyDescent="0.25">
      <c r="C99" s="1142" t="s">
        <v>229</v>
      </c>
      <c r="D99" s="1143" t="s">
        <v>230</v>
      </c>
      <c r="E99" s="1169">
        <v>2827</v>
      </c>
      <c r="F99" s="271"/>
      <c r="G99" s="271"/>
      <c r="H99" s="271"/>
      <c r="I99" s="271"/>
      <c r="K99" s="377"/>
      <c r="L99" s="178"/>
      <c r="M99"/>
      <c r="N99"/>
    </row>
    <row r="100" spans="3:14" x14ac:dyDescent="0.25">
      <c r="C100" s="1142" t="s">
        <v>231</v>
      </c>
      <c r="D100" s="1143" t="s">
        <v>232</v>
      </c>
      <c r="E100" s="1168">
        <v>32700</v>
      </c>
      <c r="G100" s="375">
        <f>BR_band-SR_band</f>
        <v>32700</v>
      </c>
      <c r="H100" s="373" t="s">
        <v>233</v>
      </c>
      <c r="J100">
        <v>1</v>
      </c>
      <c r="K100" s="377">
        <f>K95</f>
        <v>45753</v>
      </c>
      <c r="L100">
        <v>27</v>
      </c>
      <c r="M100" s="377">
        <f>K125+7</f>
        <v>45935</v>
      </c>
      <c r="N100"/>
    </row>
    <row r="101" spans="3:14" x14ac:dyDescent="0.25">
      <c r="C101" s="1153" t="s">
        <v>234</v>
      </c>
      <c r="D101" s="1154" t="s">
        <v>235</v>
      </c>
      <c r="E101" s="1168">
        <v>37700</v>
      </c>
      <c r="H101" s="372"/>
      <c r="J101">
        <v>2</v>
      </c>
      <c r="K101" s="377">
        <f>K100+7</f>
        <v>45760</v>
      </c>
      <c r="L101">
        <v>28</v>
      </c>
      <c r="M101" s="377">
        <f t="shared" ref="M101:M119" si="0">M100+7</f>
        <v>45942</v>
      </c>
      <c r="N101"/>
    </row>
    <row r="102" spans="3:14" ht="13" x14ac:dyDescent="0.3">
      <c r="C102" s="1142" t="s">
        <v>236</v>
      </c>
      <c r="D102" s="1143" t="s">
        <v>237</v>
      </c>
      <c r="E102" s="1169">
        <v>12094</v>
      </c>
      <c r="G102" s="389" t="s">
        <v>238</v>
      </c>
      <c r="H102" s="178" t="s">
        <v>239</v>
      </c>
      <c r="J102">
        <v>3</v>
      </c>
      <c r="K102" s="377">
        <f t="shared" ref="K102:K124" si="1">K101+7</f>
        <v>45767</v>
      </c>
      <c r="L102">
        <v>29</v>
      </c>
      <c r="M102" s="377">
        <f t="shared" si="0"/>
        <v>45949</v>
      </c>
      <c r="N102"/>
    </row>
    <row r="103" spans="3:14" x14ac:dyDescent="0.25">
      <c r="C103" s="1142" t="s">
        <v>240</v>
      </c>
      <c r="D103" s="1143" t="s">
        <v>241</v>
      </c>
      <c r="E103" s="1169">
        <v>16171</v>
      </c>
      <c r="F103" s="271"/>
      <c r="G103" s="271"/>
      <c r="H103" s="271"/>
      <c r="I103" s="271"/>
      <c r="J103">
        <v>4</v>
      </c>
      <c r="K103" s="377">
        <f t="shared" si="1"/>
        <v>45774</v>
      </c>
      <c r="L103">
        <v>30</v>
      </c>
      <c r="M103" s="377">
        <f t="shared" si="0"/>
        <v>45956</v>
      </c>
      <c r="N103"/>
    </row>
    <row r="104" spans="3:14" x14ac:dyDescent="0.25">
      <c r="C104" s="1142" t="s">
        <v>242</v>
      </c>
      <c r="D104" s="1154" t="s">
        <v>243</v>
      </c>
      <c r="E104" s="1168">
        <v>87440</v>
      </c>
      <c r="G104" s="375">
        <f>AHR_band-BR_band</f>
        <v>87440</v>
      </c>
      <c r="H104" s="374" t="s">
        <v>244</v>
      </c>
      <c r="J104">
        <v>5</v>
      </c>
      <c r="K104" s="377">
        <f t="shared" si="1"/>
        <v>45781</v>
      </c>
      <c r="L104">
        <v>31</v>
      </c>
      <c r="M104" s="377">
        <f t="shared" si="0"/>
        <v>45963</v>
      </c>
      <c r="N104"/>
    </row>
    <row r="105" spans="3:14" x14ac:dyDescent="0.25">
      <c r="C105" s="1142" t="s">
        <v>245</v>
      </c>
      <c r="D105" s="1143" t="s">
        <v>246</v>
      </c>
      <c r="E105" s="1168">
        <v>31338</v>
      </c>
      <c r="G105" s="375">
        <f>SAHR_band-(SBR_band+SSR_band+SIR_band+SAVR_band)</f>
        <v>31338</v>
      </c>
      <c r="H105" s="374" t="s">
        <v>247</v>
      </c>
      <c r="J105">
        <v>6</v>
      </c>
      <c r="K105" s="377">
        <f t="shared" si="1"/>
        <v>45788</v>
      </c>
      <c r="L105">
        <v>32</v>
      </c>
      <c r="M105" s="377">
        <f t="shared" si="0"/>
        <v>45970</v>
      </c>
      <c r="N105"/>
    </row>
    <row r="106" spans="3:14" x14ac:dyDescent="0.25">
      <c r="C106" s="1142" t="s">
        <v>248</v>
      </c>
      <c r="D106" s="1143" t="s">
        <v>249</v>
      </c>
      <c r="E106" s="1168">
        <v>62710</v>
      </c>
      <c r="F106" s="271"/>
      <c r="G106" s="375">
        <f>SAHR_band-(SBR_band+SSR_band+SIR_band+SHR_band)</f>
        <v>62710</v>
      </c>
      <c r="H106" s="271"/>
      <c r="I106" s="271"/>
      <c r="J106">
        <v>7</v>
      </c>
      <c r="K106" s="377">
        <f t="shared" si="1"/>
        <v>45795</v>
      </c>
      <c r="L106">
        <v>33</v>
      </c>
      <c r="M106" s="377">
        <f t="shared" si="0"/>
        <v>45977</v>
      </c>
      <c r="N106"/>
    </row>
    <row r="107" spans="3:14" x14ac:dyDescent="0.25">
      <c r="C107" s="1142" t="s">
        <v>250</v>
      </c>
      <c r="D107" s="1154" t="s">
        <v>251</v>
      </c>
      <c r="E107" s="1168">
        <v>125140</v>
      </c>
      <c r="J107">
        <v>8</v>
      </c>
      <c r="K107" s="377">
        <f t="shared" si="1"/>
        <v>45802</v>
      </c>
      <c r="L107">
        <v>34</v>
      </c>
      <c r="M107" s="377">
        <f t="shared" si="0"/>
        <v>45984</v>
      </c>
      <c r="N107"/>
    </row>
    <row r="108" spans="3:14" x14ac:dyDescent="0.25">
      <c r="C108" s="1142" t="s">
        <v>252</v>
      </c>
      <c r="D108" s="1143" t="s">
        <v>253</v>
      </c>
      <c r="E108" s="1168">
        <v>125140</v>
      </c>
      <c r="J108">
        <v>9</v>
      </c>
      <c r="K108" s="377">
        <f t="shared" si="1"/>
        <v>45809</v>
      </c>
      <c r="L108">
        <v>35</v>
      </c>
      <c r="M108" s="377">
        <f t="shared" si="0"/>
        <v>45991</v>
      </c>
      <c r="N108"/>
    </row>
    <row r="109" spans="3:14" ht="13" x14ac:dyDescent="0.3">
      <c r="C109" s="1170" t="s">
        <v>254</v>
      </c>
      <c r="D109" s="1171" t="s">
        <v>255</v>
      </c>
      <c r="E109" s="1172">
        <v>12570</v>
      </c>
      <c r="F109" s="416"/>
      <c r="G109" s="491" t="s">
        <v>94</v>
      </c>
      <c r="J109">
        <v>10</v>
      </c>
      <c r="K109" s="377">
        <f t="shared" si="1"/>
        <v>45816</v>
      </c>
      <c r="L109">
        <v>36</v>
      </c>
      <c r="M109" s="377">
        <f t="shared" si="0"/>
        <v>45998</v>
      </c>
      <c r="N109"/>
    </row>
    <row r="110" spans="3:14" ht="13" x14ac:dyDescent="0.3">
      <c r="C110" s="1170" t="s">
        <v>256</v>
      </c>
      <c r="D110" s="1171" t="s">
        <v>257</v>
      </c>
      <c r="E110" s="1172">
        <v>50270</v>
      </c>
      <c r="F110" s="416"/>
      <c r="G110" s="491" t="s">
        <v>94</v>
      </c>
      <c r="J110">
        <v>11</v>
      </c>
      <c r="K110" s="377">
        <f t="shared" si="1"/>
        <v>45823</v>
      </c>
      <c r="L110">
        <v>37</v>
      </c>
      <c r="M110" s="377">
        <f t="shared" si="0"/>
        <v>46005</v>
      </c>
      <c r="N110"/>
    </row>
    <row r="111" spans="3:14" x14ac:dyDescent="0.25">
      <c r="C111" s="1142" t="s">
        <v>258</v>
      </c>
      <c r="D111" s="1143" t="s">
        <v>259</v>
      </c>
      <c r="E111" s="1173">
        <v>3.5</v>
      </c>
      <c r="G111" s="374" t="s">
        <v>260</v>
      </c>
      <c r="J111">
        <v>12</v>
      </c>
      <c r="K111" s="377">
        <f t="shared" si="1"/>
        <v>45830</v>
      </c>
      <c r="L111">
        <v>38</v>
      </c>
      <c r="M111" s="377">
        <f t="shared" si="0"/>
        <v>46012</v>
      </c>
      <c r="N111"/>
    </row>
    <row r="112" spans="3:14" x14ac:dyDescent="0.25">
      <c r="C112" s="1142" t="s">
        <v>261</v>
      </c>
      <c r="D112" s="1143" t="s">
        <v>262</v>
      </c>
      <c r="E112" s="1173">
        <v>185.5</v>
      </c>
      <c r="G112" s="375">
        <f>NIC2_weekamt*53</f>
        <v>185.5</v>
      </c>
      <c r="H112" s="374" t="s">
        <v>263</v>
      </c>
      <c r="J112">
        <v>13</v>
      </c>
      <c r="K112" s="377">
        <f t="shared" si="1"/>
        <v>45837</v>
      </c>
      <c r="L112">
        <v>39</v>
      </c>
      <c r="M112" s="377">
        <f t="shared" si="0"/>
        <v>46019</v>
      </c>
      <c r="N112"/>
    </row>
    <row r="113" spans="3:14" x14ac:dyDescent="0.25">
      <c r="C113" s="1142" t="s">
        <v>264</v>
      </c>
      <c r="D113" s="1143" t="s">
        <v>265</v>
      </c>
      <c r="E113" s="1173">
        <v>4.1500000000000004</v>
      </c>
      <c r="G113" t="s">
        <v>266</v>
      </c>
      <c r="J113">
        <v>14</v>
      </c>
      <c r="K113" s="377">
        <f t="shared" si="1"/>
        <v>45844</v>
      </c>
      <c r="L113">
        <v>40</v>
      </c>
      <c r="M113" s="377">
        <f t="shared" si="0"/>
        <v>46026</v>
      </c>
      <c r="N113"/>
    </row>
    <row r="114" spans="3:14" x14ac:dyDescent="0.25">
      <c r="C114" s="1142" t="s">
        <v>267</v>
      </c>
      <c r="D114" s="1143" t="s">
        <v>268</v>
      </c>
      <c r="E114" s="1173">
        <v>219.95</v>
      </c>
      <c r="G114" s="375">
        <f>NIC2SF_weekamt*53</f>
        <v>219.95000000000002</v>
      </c>
      <c r="H114" s="374" t="s">
        <v>269</v>
      </c>
      <c r="J114">
        <v>15</v>
      </c>
      <c r="K114" s="377">
        <f t="shared" si="1"/>
        <v>45851</v>
      </c>
      <c r="L114">
        <v>41</v>
      </c>
      <c r="M114" s="377">
        <f t="shared" si="0"/>
        <v>46033</v>
      </c>
      <c r="N114"/>
    </row>
    <row r="115" spans="3:14" x14ac:dyDescent="0.25">
      <c r="C115" s="1142" t="s">
        <v>270</v>
      </c>
      <c r="D115" s="1143" t="s">
        <v>271</v>
      </c>
      <c r="E115" s="1173">
        <v>6845</v>
      </c>
      <c r="J115">
        <v>16</v>
      </c>
      <c r="K115" s="377">
        <f t="shared" si="1"/>
        <v>45858</v>
      </c>
      <c r="L115">
        <v>42</v>
      </c>
      <c r="M115" s="377">
        <f t="shared" si="0"/>
        <v>46040</v>
      </c>
      <c r="N115"/>
    </row>
    <row r="116" spans="3:14" x14ac:dyDescent="0.25">
      <c r="C116" s="2381" t="s">
        <v>272</v>
      </c>
      <c r="D116" s="2382" t="s">
        <v>273</v>
      </c>
      <c r="E116" s="2384">
        <v>12570</v>
      </c>
      <c r="J116">
        <v>17</v>
      </c>
      <c r="K116" s="377">
        <f t="shared" si="1"/>
        <v>45865</v>
      </c>
      <c r="L116">
        <v>43</v>
      </c>
      <c r="M116" s="377">
        <f t="shared" si="0"/>
        <v>46047</v>
      </c>
      <c r="N116"/>
    </row>
    <row r="117" spans="3:14" x14ac:dyDescent="0.25">
      <c r="C117" s="1174" t="s">
        <v>274</v>
      </c>
      <c r="D117" s="1175" t="s">
        <v>275</v>
      </c>
      <c r="E117" s="1176">
        <v>967</v>
      </c>
      <c r="F117" s="492"/>
      <c r="G117" s="492" t="s">
        <v>276</v>
      </c>
      <c r="J117">
        <v>18</v>
      </c>
      <c r="K117" s="377">
        <f t="shared" si="1"/>
        <v>45872</v>
      </c>
      <c r="L117">
        <v>44</v>
      </c>
      <c r="M117" s="377">
        <f t="shared" si="0"/>
        <v>46054</v>
      </c>
      <c r="N117"/>
    </row>
    <row r="118" spans="3:14" x14ac:dyDescent="0.25">
      <c r="C118" s="1174" t="s">
        <v>277</v>
      </c>
      <c r="D118" s="1175" t="s">
        <v>278</v>
      </c>
      <c r="E118" s="1176">
        <v>242</v>
      </c>
      <c r="F118" s="492"/>
      <c r="G118" s="492" t="s">
        <v>276</v>
      </c>
      <c r="J118">
        <v>19</v>
      </c>
      <c r="K118" s="377">
        <f t="shared" si="1"/>
        <v>45879</v>
      </c>
      <c r="L118">
        <v>45</v>
      </c>
      <c r="M118" s="377">
        <f t="shared" si="0"/>
        <v>46061</v>
      </c>
      <c r="N118"/>
    </row>
    <row r="119" spans="3:14" x14ac:dyDescent="0.25">
      <c r="C119" s="1153" t="s">
        <v>279</v>
      </c>
      <c r="D119" s="1154" t="s">
        <v>280</v>
      </c>
      <c r="E119" s="1168">
        <v>50270</v>
      </c>
      <c r="J119">
        <v>20</v>
      </c>
      <c r="K119" s="377">
        <f t="shared" si="1"/>
        <v>45886</v>
      </c>
      <c r="L119">
        <v>46</v>
      </c>
      <c r="M119" s="377">
        <f t="shared" si="0"/>
        <v>46068</v>
      </c>
      <c r="N119"/>
    </row>
    <row r="120" spans="3:14" x14ac:dyDescent="0.25">
      <c r="C120" s="1153" t="s">
        <v>281</v>
      </c>
      <c r="D120" s="1154" t="s">
        <v>282</v>
      </c>
      <c r="E120" s="1168">
        <v>12570</v>
      </c>
      <c r="J120">
        <v>21</v>
      </c>
      <c r="K120" s="377">
        <f t="shared" si="1"/>
        <v>45893</v>
      </c>
      <c r="L120">
        <v>47</v>
      </c>
      <c r="M120" s="377">
        <f>M119+7</f>
        <v>46075</v>
      </c>
      <c r="N120"/>
    </row>
    <row r="121" spans="3:14" x14ac:dyDescent="0.25">
      <c r="C121" s="1153" t="s">
        <v>283</v>
      </c>
      <c r="D121" s="1154" t="s">
        <v>284</v>
      </c>
      <c r="E121" s="1168">
        <v>37700</v>
      </c>
      <c r="G121" s="375">
        <f>NIC_UEL-NIC_LEL</f>
        <v>37700</v>
      </c>
      <c r="H121" s="374" t="s">
        <v>285</v>
      </c>
      <c r="J121">
        <v>22</v>
      </c>
      <c r="K121" s="377">
        <f t="shared" si="1"/>
        <v>45900</v>
      </c>
      <c r="L121">
        <v>48</v>
      </c>
      <c r="M121" s="377">
        <f t="shared" ref="M121:M123" si="2">M120+7</f>
        <v>46082</v>
      </c>
      <c r="N121"/>
    </row>
    <row r="122" spans="3:14" x14ac:dyDescent="0.25">
      <c r="C122" s="1153" t="s">
        <v>286</v>
      </c>
      <c r="D122" s="1143" t="s">
        <v>287</v>
      </c>
      <c r="E122" s="1177">
        <v>2262</v>
      </c>
      <c r="G122" s="375">
        <f>NIC_Band*NIC_rate</f>
        <v>2262</v>
      </c>
      <c r="H122" s="374" t="s">
        <v>288</v>
      </c>
      <c r="J122">
        <v>23</v>
      </c>
      <c r="K122" s="377">
        <f t="shared" si="1"/>
        <v>45907</v>
      </c>
      <c r="L122">
        <v>49</v>
      </c>
      <c r="M122" s="377">
        <f t="shared" si="2"/>
        <v>46089</v>
      </c>
      <c r="N122"/>
    </row>
    <row r="123" spans="3:14" x14ac:dyDescent="0.25">
      <c r="C123" s="1174" t="s">
        <v>289</v>
      </c>
      <c r="D123" s="1175" t="s">
        <v>290</v>
      </c>
      <c r="E123" s="1176">
        <f>IF(K97&gt;K98,52,53)</f>
        <v>53</v>
      </c>
      <c r="F123" s="478" t="s">
        <v>291</v>
      </c>
      <c r="G123" s="375"/>
      <c r="H123" s="374"/>
      <c r="J123">
        <v>24</v>
      </c>
      <c r="K123" s="377">
        <f t="shared" si="1"/>
        <v>45914</v>
      </c>
      <c r="L123">
        <v>50</v>
      </c>
      <c r="M123" s="377">
        <f t="shared" si="2"/>
        <v>46096</v>
      </c>
      <c r="N123"/>
    </row>
    <row r="124" spans="3:14" x14ac:dyDescent="0.25">
      <c r="C124" s="1142" t="s">
        <v>292</v>
      </c>
      <c r="D124" s="1143" t="s">
        <v>293</v>
      </c>
      <c r="E124" s="1178">
        <v>26065</v>
      </c>
      <c r="J124">
        <v>25</v>
      </c>
      <c r="K124" s="377">
        <f t="shared" si="1"/>
        <v>45921</v>
      </c>
      <c r="L124">
        <v>51</v>
      </c>
      <c r="M124" s="377">
        <f>M123+7</f>
        <v>46103</v>
      </c>
      <c r="N124"/>
    </row>
    <row r="125" spans="3:14" x14ac:dyDescent="0.25">
      <c r="C125" s="1142" t="s">
        <v>294</v>
      </c>
      <c r="D125" s="1143" t="s">
        <v>295</v>
      </c>
      <c r="E125" s="1178">
        <v>28470</v>
      </c>
      <c r="J125">
        <v>26</v>
      </c>
      <c r="K125" s="377">
        <f>K124+7</f>
        <v>45928</v>
      </c>
      <c r="L125">
        <v>52</v>
      </c>
      <c r="M125" s="377">
        <f t="shared" ref="M125:M126" si="3">M124+7</f>
        <v>46110</v>
      </c>
      <c r="N125"/>
    </row>
    <row r="126" spans="3:14" ht="14.5" x14ac:dyDescent="0.35">
      <c r="C126" s="1142" t="s">
        <v>296</v>
      </c>
      <c r="D126" s="1143" t="s">
        <v>297</v>
      </c>
      <c r="E126" s="1178">
        <v>32745</v>
      </c>
      <c r="L126">
        <v>53</v>
      </c>
      <c r="M126" s="377">
        <f t="shared" si="3"/>
        <v>46117</v>
      </c>
      <c r="N126" s="576">
        <f>IF(M126&gt;M127,52,53)</f>
        <v>53</v>
      </c>
    </row>
    <row r="127" spans="3:14" x14ac:dyDescent="0.25">
      <c r="C127" s="692" t="s">
        <v>298</v>
      </c>
      <c r="D127" s="178" t="s">
        <v>299</v>
      </c>
      <c r="E127" s="781">
        <v>21000</v>
      </c>
      <c r="L127" t="s">
        <v>228</v>
      </c>
      <c r="M127" s="377">
        <f>K98</f>
        <v>46117</v>
      </c>
      <c r="N127"/>
    </row>
    <row r="128" spans="3:14" x14ac:dyDescent="0.25">
      <c r="C128" s="1142" t="s">
        <v>300</v>
      </c>
      <c r="D128" s="1154" t="s">
        <v>301</v>
      </c>
      <c r="E128" s="1168">
        <v>2000</v>
      </c>
      <c r="M128" s="377"/>
      <c r="N128"/>
    </row>
    <row r="129" spans="1:14" x14ac:dyDescent="0.25">
      <c r="C129" s="178"/>
      <c r="E129" s="510"/>
      <c r="M129" s="377"/>
      <c r="N129"/>
    </row>
    <row r="131" spans="1:14" ht="13" x14ac:dyDescent="0.3">
      <c r="C131" s="2" t="s">
        <v>302</v>
      </c>
      <c r="J131" s="779">
        <f>IF(ppr_extender&lt;1000,ppr_extender,H132&amp;","&amp;IF(I132&lt;10,"00"&amp;I132,IF(I132&lt;100,"0"&amp;I132,I132)))</f>
        <v>0</v>
      </c>
    </row>
    <row r="132" spans="1:14" x14ac:dyDescent="0.25">
      <c r="A132" s="271" t="s">
        <v>303</v>
      </c>
      <c r="C132" s="1153" t="s">
        <v>304</v>
      </c>
      <c r="D132" s="1154" t="s">
        <v>305</v>
      </c>
      <c r="E132" s="1179">
        <v>1000</v>
      </c>
      <c r="G132" s="775" t="s">
        <v>306</v>
      </c>
      <c r="H132" s="775">
        <f>TRUNC(ppr_extender/1000,0)</f>
        <v>0</v>
      </c>
      <c r="I132" s="775">
        <f>ppr_extender-(H132*1000)</f>
        <v>0</v>
      </c>
      <c r="J132" s="779">
        <f>IF(gift_extender&lt;1000,gift_extender,H133&amp;","&amp;IF(I133&lt;10,"00"&amp;I133,IF(I133&lt;100,"0"&amp;I133,I133)))</f>
        <v>0</v>
      </c>
    </row>
    <row r="133" spans="1:14" x14ac:dyDescent="0.25">
      <c r="C133" s="1180" t="s">
        <v>307</v>
      </c>
      <c r="D133" s="1181" t="s">
        <v>308</v>
      </c>
      <c r="E133" s="1182">
        <v>30000</v>
      </c>
      <c r="G133" s="775" t="s">
        <v>309</v>
      </c>
      <c r="H133" s="775">
        <f>TRUNC(gift_extender/1000,0)</f>
        <v>0</v>
      </c>
      <c r="I133" s="775">
        <f>gift_extender-(H133*1000)</f>
        <v>0</v>
      </c>
      <c r="J133" s="779" t="str">
        <f>IF(extended_BR&lt;1000,extended_BR,H134&amp;","&amp;IF(I134&lt;10,"00"&amp;I134,IF(I134&lt;100,"0"&amp;I134,I134)))</f>
        <v>37,700</v>
      </c>
    </row>
    <row r="134" spans="1:14" x14ac:dyDescent="0.25">
      <c r="C134" s="1180" t="s">
        <v>310</v>
      </c>
      <c r="D134" s="1181" t="s">
        <v>311</v>
      </c>
      <c r="E134" s="1183">
        <v>60000</v>
      </c>
      <c r="G134" s="775" t="s">
        <v>312</v>
      </c>
      <c r="H134" s="775">
        <f>TRUNC(extended_BR/1000,0)</f>
        <v>37</v>
      </c>
      <c r="I134" s="775">
        <f>extended_BR-(H134*1000)</f>
        <v>700</v>
      </c>
      <c r="J134" s="779" t="str">
        <f>IF((extended_BR+SR_band)&lt;1000,(extended_BR+SR_band),H135&amp;","&amp;IF(I135&lt;10,"00"&amp;I135,IF(I135&lt;100,"0"&amp;I135,I135)))</f>
        <v>42,700</v>
      </c>
    </row>
    <row r="135" spans="1:14" x14ac:dyDescent="0.25">
      <c r="C135" s="1180" t="s">
        <v>313</v>
      </c>
      <c r="D135" s="1181" t="s">
        <v>314</v>
      </c>
      <c r="E135" s="1182">
        <v>2000</v>
      </c>
      <c r="G135" s="775" t="s">
        <v>315</v>
      </c>
      <c r="H135" s="775">
        <f>TRUNC((extended_BR+SR_band)/1000,0)</f>
        <v>42</v>
      </c>
      <c r="I135" s="775">
        <f>(extended_BR+SR_band)-(H135*1000)</f>
        <v>700</v>
      </c>
      <c r="J135" s="779" t="str">
        <f>IF((SR_band)&lt;1000,(SR_band),H136&amp;","&amp;IF(I136&lt;10,"00"&amp;I136,IF(I136&lt;100,"0"&amp;I136,I136)))</f>
        <v>5,000</v>
      </c>
    </row>
    <row r="136" spans="1:14" x14ac:dyDescent="0.25">
      <c r="C136" s="1153" t="s">
        <v>316</v>
      </c>
      <c r="D136" s="1154" t="s">
        <v>317</v>
      </c>
      <c r="E136" s="1179">
        <v>3000</v>
      </c>
      <c r="G136" s="775" t="s">
        <v>318</v>
      </c>
      <c r="H136" s="775">
        <f>TRUNC((SR_band)/1000,0)</f>
        <v>5</v>
      </c>
      <c r="I136" s="775">
        <f>(SR_band)-(H136*1000)</f>
        <v>0</v>
      </c>
    </row>
    <row r="137" spans="1:14" x14ac:dyDescent="0.25">
      <c r="C137" s="1153" t="s">
        <v>319</v>
      </c>
      <c r="D137" s="1143" t="s">
        <v>320</v>
      </c>
      <c r="E137" s="1168">
        <v>60000</v>
      </c>
    </row>
    <row r="138" spans="1:14" x14ac:dyDescent="0.25">
      <c r="C138" s="1153" t="s">
        <v>321</v>
      </c>
      <c r="D138" s="1154" t="s">
        <v>322</v>
      </c>
      <c r="E138" s="1184">
        <v>5.0000000000000001E-3</v>
      </c>
    </row>
    <row r="139" spans="1:14" x14ac:dyDescent="0.25">
      <c r="C139" s="1142" t="s">
        <v>323</v>
      </c>
      <c r="D139" s="1143" t="s">
        <v>324</v>
      </c>
      <c r="E139" s="1185">
        <v>0.01</v>
      </c>
    </row>
    <row r="140" spans="1:14" x14ac:dyDescent="0.25">
      <c r="C140" s="1186" t="s">
        <v>325</v>
      </c>
      <c r="D140" s="1187" t="s">
        <v>326</v>
      </c>
      <c r="E140" s="1188">
        <v>0.12</v>
      </c>
    </row>
    <row r="141" spans="1:14" x14ac:dyDescent="0.25">
      <c r="C141" s="1189" t="s">
        <v>327</v>
      </c>
      <c r="D141" s="1190" t="s">
        <v>328</v>
      </c>
      <c r="E141" s="1191">
        <v>35000</v>
      </c>
    </row>
    <row r="142" spans="1:14" x14ac:dyDescent="0.25">
      <c r="C142" s="1189" t="s">
        <v>9545</v>
      </c>
      <c r="D142" s="1190" t="s">
        <v>9546</v>
      </c>
      <c r="E142" s="2355">
        <v>1</v>
      </c>
    </row>
    <row r="144" spans="1:14" ht="13" x14ac:dyDescent="0.3">
      <c r="C144" s="2" t="s">
        <v>329</v>
      </c>
    </row>
    <row r="145" spans="3:8" x14ac:dyDescent="0.25">
      <c r="C145" s="1153" t="s">
        <v>330</v>
      </c>
      <c r="D145" s="1154" t="s">
        <v>331</v>
      </c>
      <c r="E145" s="1168">
        <v>12570</v>
      </c>
    </row>
    <row r="146" spans="3:8" x14ac:dyDescent="0.25">
      <c r="C146" s="1153" t="s">
        <v>332</v>
      </c>
      <c r="D146" s="1154" t="s">
        <v>333</v>
      </c>
      <c r="E146" s="1192">
        <v>37700</v>
      </c>
    </row>
    <row r="147" spans="3:8" x14ac:dyDescent="0.25">
      <c r="C147" s="1153" t="s">
        <v>334</v>
      </c>
      <c r="D147" s="1154" t="s">
        <v>335</v>
      </c>
      <c r="E147" s="1168">
        <v>100000</v>
      </c>
    </row>
    <row r="148" spans="3:8" x14ac:dyDescent="0.25">
      <c r="C148" s="1153" t="s">
        <v>336</v>
      </c>
      <c r="D148" s="1154" t="s">
        <v>337</v>
      </c>
      <c r="E148" s="1158">
        <v>0.5</v>
      </c>
    </row>
    <row r="149" spans="3:8" x14ac:dyDescent="0.25">
      <c r="C149" s="1142" t="s">
        <v>338</v>
      </c>
      <c r="D149" s="1143" t="s">
        <v>339</v>
      </c>
      <c r="E149" s="1168">
        <v>1000</v>
      </c>
    </row>
    <row r="150" spans="3:8" x14ac:dyDescent="0.25">
      <c r="C150" s="1142" t="s">
        <v>340</v>
      </c>
      <c r="D150" s="1143" t="s">
        <v>341</v>
      </c>
      <c r="E150" s="1168">
        <v>500</v>
      </c>
    </row>
    <row r="151" spans="3:8" x14ac:dyDescent="0.25">
      <c r="C151" s="1142" t="s">
        <v>342</v>
      </c>
      <c r="D151" s="1143" t="s">
        <v>343</v>
      </c>
      <c r="E151" s="1168">
        <v>0</v>
      </c>
    </row>
    <row r="152" spans="3:8" x14ac:dyDescent="0.25">
      <c r="C152" s="1142" t="s">
        <v>344</v>
      </c>
      <c r="D152" s="1143" t="s">
        <v>345</v>
      </c>
      <c r="E152" s="1168">
        <v>500</v>
      </c>
    </row>
    <row r="153" spans="3:8" x14ac:dyDescent="0.25">
      <c r="C153" s="1142" t="s">
        <v>346</v>
      </c>
      <c r="D153" s="1143" t="s">
        <v>347</v>
      </c>
      <c r="E153" s="965">
        <v>1260</v>
      </c>
      <c r="G153" s="199">
        <f>CEILING(P_A*10%,10)</f>
        <v>1260</v>
      </c>
    </row>
    <row r="154" spans="3:8" x14ac:dyDescent="0.25">
      <c r="C154" s="1153" t="s">
        <v>348</v>
      </c>
      <c r="D154" s="1154" t="s">
        <v>19</v>
      </c>
      <c r="E154" s="1192">
        <v>4360</v>
      </c>
    </row>
    <row r="155" spans="3:8" x14ac:dyDescent="0.25">
      <c r="C155" s="1153" t="s">
        <v>349</v>
      </c>
      <c r="D155" s="1154" t="s">
        <v>350</v>
      </c>
      <c r="E155" s="1192">
        <v>2180</v>
      </c>
      <c r="G155" s="199">
        <f>MCA/2</f>
        <v>2180</v>
      </c>
    </row>
    <row r="156" spans="3:8" x14ac:dyDescent="0.25">
      <c r="C156" s="1153" t="s">
        <v>351</v>
      </c>
      <c r="D156" s="1154" t="s">
        <v>352</v>
      </c>
      <c r="E156" s="1178">
        <v>11270</v>
      </c>
      <c r="G156" s="7"/>
    </row>
    <row r="157" spans="3:8" x14ac:dyDescent="0.25">
      <c r="C157" s="1153" t="s">
        <v>353</v>
      </c>
      <c r="D157" s="1154" t="s">
        <v>354</v>
      </c>
      <c r="E157" s="1192">
        <v>3130</v>
      </c>
    </row>
    <row r="158" spans="3:8" x14ac:dyDescent="0.25">
      <c r="C158" s="1153" t="s">
        <v>355</v>
      </c>
      <c r="D158" s="1154" t="s">
        <v>356</v>
      </c>
      <c r="E158" s="1192">
        <v>4360</v>
      </c>
      <c r="G158" s="199">
        <f>MCA</f>
        <v>4360</v>
      </c>
      <c r="H158" s="374" t="s">
        <v>357</v>
      </c>
    </row>
    <row r="159" spans="3:8" x14ac:dyDescent="0.25">
      <c r="C159" s="1153" t="s">
        <v>358</v>
      </c>
      <c r="D159" s="1154" t="s">
        <v>359</v>
      </c>
      <c r="E159" s="1168">
        <v>3000</v>
      </c>
    </row>
    <row r="160" spans="3:8" x14ac:dyDescent="0.25">
      <c r="C160" s="1153" t="s">
        <v>360</v>
      </c>
      <c r="D160" s="1154" t="s">
        <v>361</v>
      </c>
      <c r="E160" s="1168">
        <v>50000</v>
      </c>
    </row>
    <row r="161" spans="1:10" x14ac:dyDescent="0.25">
      <c r="C161" s="1153" t="s">
        <v>362</v>
      </c>
      <c r="D161" s="1154" t="s">
        <v>363</v>
      </c>
      <c r="E161" s="1158">
        <v>0.25</v>
      </c>
    </row>
    <row r="163" spans="1:10" ht="13" x14ac:dyDescent="0.3">
      <c r="C163" s="2" t="s">
        <v>364</v>
      </c>
      <c r="H163" t="s">
        <v>365</v>
      </c>
      <c r="I163">
        <v>1</v>
      </c>
      <c r="J163" t="s">
        <v>366</v>
      </c>
    </row>
    <row r="164" spans="1:10" x14ac:dyDescent="0.25">
      <c r="C164" s="1153" t="s">
        <v>367</v>
      </c>
      <c r="D164" s="1154" t="s">
        <v>368</v>
      </c>
      <c r="E164" s="1193">
        <v>1935</v>
      </c>
      <c r="F164" s="1194">
        <v>25</v>
      </c>
      <c r="H164" s="376">
        <f ca="1">NOW()</f>
        <v>46079.328932175929</v>
      </c>
      <c r="I164">
        <v>2</v>
      </c>
      <c r="J164" t="s">
        <v>369</v>
      </c>
    </row>
    <row r="165" spans="1:10" x14ac:dyDescent="0.25">
      <c r="C165" s="1195" t="s">
        <v>370</v>
      </c>
      <c r="D165" s="1196" t="s">
        <v>371</v>
      </c>
      <c r="E165" s="1197" t="str">
        <f>20&amp;F164</f>
        <v>2025</v>
      </c>
      <c r="F165" s="1194">
        <v>26</v>
      </c>
      <c r="H165" s="377">
        <f>'Add pages'!I5</f>
        <v>0</v>
      </c>
      <c r="I165">
        <v>3</v>
      </c>
      <c r="J165" t="s">
        <v>372</v>
      </c>
    </row>
    <row r="166" spans="1:10" x14ac:dyDescent="0.25">
      <c r="C166" s="1195" t="s">
        <v>373</v>
      </c>
      <c r="D166" s="1196" t="s">
        <v>374</v>
      </c>
      <c r="E166" s="1197" t="str">
        <f>20&amp;F165</f>
        <v>2026</v>
      </c>
      <c r="F166" s="1194">
        <v>27</v>
      </c>
      <c r="H166">
        <f ca="1">IF(H165=0,H164,H165)</f>
        <v>46079.328932175929</v>
      </c>
      <c r="I166">
        <v>4</v>
      </c>
      <c r="J166" t="s">
        <v>375</v>
      </c>
    </row>
    <row r="167" spans="1:10" x14ac:dyDescent="0.25">
      <c r="C167" s="1195" t="s">
        <v>376</v>
      </c>
      <c r="D167" s="1196" t="s">
        <v>377</v>
      </c>
      <c r="E167" s="1197" t="str">
        <f>20&amp;F166</f>
        <v>2027</v>
      </c>
      <c r="H167" t="str">
        <f ca="1">DAY(H166)&amp;" "&amp;VLOOKUP(MONTH(H166),I163:J174,2)&amp;" "&amp;YEAR(H166)</f>
        <v>26 February 2026</v>
      </c>
      <c r="I167">
        <v>5</v>
      </c>
      <c r="J167" t="s">
        <v>378</v>
      </c>
    </row>
    <row r="168" spans="1:10" x14ac:dyDescent="0.25">
      <c r="A168" s="271" t="s">
        <v>379</v>
      </c>
      <c r="C168" s="271"/>
      <c r="D168" s="271"/>
      <c r="E168" s="271"/>
      <c r="F168" s="271"/>
      <c r="I168">
        <v>6</v>
      </c>
      <c r="J168" t="s">
        <v>380</v>
      </c>
    </row>
    <row r="169" spans="1:10" x14ac:dyDescent="0.25">
      <c r="C169" s="271"/>
      <c r="D169" s="271"/>
      <c r="E169" s="271"/>
      <c r="F169" s="271"/>
      <c r="I169">
        <v>7</v>
      </c>
      <c r="J169" t="s">
        <v>381</v>
      </c>
    </row>
    <row r="170" spans="1:10" x14ac:dyDescent="0.25">
      <c r="I170">
        <v>8</v>
      </c>
      <c r="J170" t="s">
        <v>382</v>
      </c>
    </row>
    <row r="171" spans="1:10" x14ac:dyDescent="0.25">
      <c r="C171" s="1195" t="s">
        <v>383</v>
      </c>
      <c r="D171" s="1196" t="s">
        <v>384</v>
      </c>
      <c r="E171" s="1198" t="str">
        <f>Tax_year_start&amp;"-"&amp;F165</f>
        <v>2025-26</v>
      </c>
      <c r="I171">
        <v>9</v>
      </c>
      <c r="J171" t="s">
        <v>385</v>
      </c>
    </row>
    <row r="172" spans="1:10" x14ac:dyDescent="0.25">
      <c r="C172" s="1195" t="s">
        <v>386</v>
      </c>
      <c r="D172" s="1196" t="s">
        <v>387</v>
      </c>
      <c r="E172" s="1198" t="str">
        <f>Tax_year_end&amp;"-"&amp;F166</f>
        <v>2026-27</v>
      </c>
      <c r="I172">
        <v>10</v>
      </c>
      <c r="J172" t="s">
        <v>388</v>
      </c>
    </row>
    <row r="173" spans="1:10" x14ac:dyDescent="0.25">
      <c r="A173" s="271" t="s">
        <v>389</v>
      </c>
      <c r="C173" s="1195" t="s">
        <v>390</v>
      </c>
      <c r="D173" s="1196" t="s">
        <v>391</v>
      </c>
      <c r="E173" s="1198" t="str">
        <f>Tax_year_start-1&amp;"-"&amp;F164</f>
        <v>2024-25</v>
      </c>
      <c r="I173">
        <v>11</v>
      </c>
      <c r="J173" t="s">
        <v>392</v>
      </c>
    </row>
    <row r="174" spans="1:10" x14ac:dyDescent="0.25">
      <c r="E174" s="378"/>
      <c r="I174">
        <v>12</v>
      </c>
      <c r="J174" t="s">
        <v>393</v>
      </c>
    </row>
    <row r="175" spans="1:10" ht="13" x14ac:dyDescent="0.3">
      <c r="C175" s="2" t="s">
        <v>394</v>
      </c>
    </row>
    <row r="176" spans="1:10" ht="13" x14ac:dyDescent="0.3">
      <c r="A176" s="273" t="s">
        <v>19</v>
      </c>
      <c r="C176" s="775" t="s">
        <v>395</v>
      </c>
      <c r="D176" s="775" t="s">
        <v>396</v>
      </c>
      <c r="E176" s="1199">
        <v>0.55000000000000004</v>
      </c>
    </row>
    <row r="177" spans="1:10" x14ac:dyDescent="0.25">
      <c r="C177" s="775" t="s">
        <v>397</v>
      </c>
      <c r="D177" s="775" t="s">
        <v>398</v>
      </c>
      <c r="E177" s="1199">
        <v>0.25</v>
      </c>
      <c r="H177" s="178" t="s">
        <v>399</v>
      </c>
      <c r="I177">
        <v>1</v>
      </c>
      <c r="J177" t="s">
        <v>400</v>
      </c>
    </row>
    <row r="178" spans="1:10" x14ac:dyDescent="0.25">
      <c r="C178" s="775" t="s">
        <v>401</v>
      </c>
      <c r="D178" s="773" t="s">
        <v>402</v>
      </c>
      <c r="E178" s="1200">
        <v>60000</v>
      </c>
      <c r="H178" s="376">
        <f ca="1">NOW()</f>
        <v>46079.328932523145</v>
      </c>
      <c r="I178">
        <v>2</v>
      </c>
      <c r="J178" t="s">
        <v>403</v>
      </c>
    </row>
    <row r="179" spans="1:10" x14ac:dyDescent="0.25">
      <c r="C179" s="773" t="s">
        <v>404</v>
      </c>
      <c r="D179" s="773" t="s">
        <v>405</v>
      </c>
      <c r="E179" s="1200">
        <v>10000</v>
      </c>
      <c r="H179" s="377">
        <f>'Add pages'!I5</f>
        <v>0</v>
      </c>
      <c r="I179">
        <v>3</v>
      </c>
      <c r="J179" t="s">
        <v>406</v>
      </c>
    </row>
    <row r="180" spans="1:10" x14ac:dyDescent="0.25">
      <c r="C180" s="775" t="s">
        <v>407</v>
      </c>
      <c r="D180" s="775" t="s">
        <v>408</v>
      </c>
      <c r="E180" s="1199">
        <v>0.4</v>
      </c>
      <c r="H180">
        <f ca="1">IF(H179=0,H178,H179)</f>
        <v>46079.328932523145</v>
      </c>
      <c r="I180">
        <v>4</v>
      </c>
      <c r="J180" t="s">
        <v>409</v>
      </c>
    </row>
    <row r="181" spans="1:10" x14ac:dyDescent="0.25">
      <c r="C181" s="775" t="s">
        <v>410</v>
      </c>
      <c r="D181" s="775" t="s">
        <v>411</v>
      </c>
      <c r="E181" s="1199">
        <v>0.4</v>
      </c>
      <c r="H181" t="str">
        <f ca="1">DAY(H180)&amp;" "&amp;VLOOKUP(MONTH(H180),I177:J188,2)&amp;" "&amp;YEAR(H180)</f>
        <v>26 Chwefror 2026</v>
      </c>
      <c r="I181">
        <v>5</v>
      </c>
      <c r="J181" t="s">
        <v>412</v>
      </c>
    </row>
    <row r="182" spans="1:10" x14ac:dyDescent="0.25">
      <c r="C182" s="775" t="s">
        <v>413</v>
      </c>
      <c r="D182" s="773" t="s">
        <v>414</v>
      </c>
      <c r="E182" s="1199">
        <v>0.55000000000000004</v>
      </c>
      <c r="I182">
        <v>6</v>
      </c>
      <c r="J182" t="s">
        <v>415</v>
      </c>
    </row>
    <row r="183" spans="1:10" x14ac:dyDescent="0.25">
      <c r="C183" s="775" t="s">
        <v>416</v>
      </c>
      <c r="D183" s="775" t="s">
        <v>417</v>
      </c>
      <c r="E183" s="1199">
        <v>0.2</v>
      </c>
      <c r="I183">
        <v>7</v>
      </c>
      <c r="J183" t="s">
        <v>418</v>
      </c>
    </row>
    <row r="184" spans="1:10" x14ac:dyDescent="0.25">
      <c r="C184" s="775" t="s">
        <v>419</v>
      </c>
      <c r="D184" s="775" t="s">
        <v>420</v>
      </c>
      <c r="E184" s="1201">
        <v>20000</v>
      </c>
      <c r="H184" s="178"/>
      <c r="I184">
        <v>8</v>
      </c>
      <c r="J184" t="s">
        <v>421</v>
      </c>
    </row>
    <row r="185" spans="1:10" x14ac:dyDescent="0.25">
      <c r="B185" s="775">
        <v>1</v>
      </c>
      <c r="C185" s="775" t="s">
        <v>422</v>
      </c>
      <c r="D185" s="775" t="s">
        <v>423</v>
      </c>
      <c r="E185" s="1199">
        <v>0.5</v>
      </c>
      <c r="G185" s="178"/>
      <c r="I185">
        <v>9</v>
      </c>
      <c r="J185" t="s">
        <v>424</v>
      </c>
    </row>
    <row r="186" spans="1:10" x14ac:dyDescent="0.25">
      <c r="B186" s="775">
        <v>2</v>
      </c>
      <c r="C186" s="775" t="s">
        <v>425</v>
      </c>
      <c r="D186" s="775" t="s">
        <v>426</v>
      </c>
      <c r="E186" s="1199">
        <v>0.45</v>
      </c>
      <c r="I186">
        <v>10</v>
      </c>
      <c r="J186" t="s">
        <v>427</v>
      </c>
    </row>
    <row r="187" spans="1:10" x14ac:dyDescent="0.25">
      <c r="B187" s="775">
        <v>3</v>
      </c>
      <c r="C187" s="775" t="s">
        <v>428</v>
      </c>
      <c r="D187" s="775" t="s">
        <v>429</v>
      </c>
      <c r="E187" s="1199">
        <v>0.25</v>
      </c>
      <c r="I187">
        <v>11</v>
      </c>
      <c r="J187" t="s">
        <v>430</v>
      </c>
    </row>
    <row r="188" spans="1:10" x14ac:dyDescent="0.25">
      <c r="C188" s="775" t="s">
        <v>431</v>
      </c>
      <c r="D188" s="775" t="s">
        <v>432</v>
      </c>
      <c r="E188" s="1202">
        <v>3600</v>
      </c>
      <c r="I188">
        <v>12</v>
      </c>
      <c r="J188" t="s">
        <v>433</v>
      </c>
    </row>
    <row r="190" spans="1:10" ht="13" x14ac:dyDescent="0.3">
      <c r="A190" s="273" t="s">
        <v>434</v>
      </c>
      <c r="C190" s="2" t="s">
        <v>435</v>
      </c>
    </row>
    <row r="191" spans="1:10" x14ac:dyDescent="0.25">
      <c r="A191" s="272" t="s">
        <v>436</v>
      </c>
      <c r="B191" s="775">
        <v>1</v>
      </c>
      <c r="C191" s="773" t="str">
        <f>"Before 6/4/"&amp;MCA_year&amp;" (age over "&amp;Tax_year_start-MCA_year&amp;")"</f>
        <v>Before 6/4/1935 (age over 90)</v>
      </c>
      <c r="D191" s="774" t="b">
        <f>tp_age_ind=1</f>
        <v>0</v>
      </c>
    </row>
    <row r="192" spans="1:10" x14ac:dyDescent="0.25">
      <c r="B192" s="775">
        <v>2</v>
      </c>
      <c r="C192" s="773" t="str">
        <f>"After 6/4/"&amp;MCA_year&amp;" (age "&amp;Tax_year_start-MCA_year&amp;" or under)"</f>
        <v>After 6/4/1935 (age 90 or under)</v>
      </c>
      <c r="D192" s="775" t="b">
        <f>tp_age_ind=2</f>
        <v>1</v>
      </c>
    </row>
    <row r="193" spans="1:5" x14ac:dyDescent="0.25">
      <c r="B193" s="211"/>
      <c r="C193" s="211"/>
      <c r="D193" s="431"/>
      <c r="E193" s="211"/>
    </row>
    <row r="194" spans="1:5" ht="13" x14ac:dyDescent="0.3">
      <c r="A194" s="272" t="s">
        <v>437</v>
      </c>
      <c r="C194" s="2" t="s">
        <v>438</v>
      </c>
    </row>
    <row r="195" spans="1:5" x14ac:dyDescent="0.25">
      <c r="B195" s="775">
        <v>1</v>
      </c>
      <c r="C195" s="773" t="str">
        <f>IF(MCA_claim=1,"","1) Before 6/4/"&amp;MCA_year)</f>
        <v/>
      </c>
      <c r="D195" s="774" t="b">
        <f>Wife_age_ind=1</f>
        <v>0</v>
      </c>
      <c r="E195" t="str">
        <f>"over "&amp;Tax_year_start-MCA_year</f>
        <v>over 90</v>
      </c>
    </row>
    <row r="196" spans="1:5" x14ac:dyDescent="0.25">
      <c r="B196" s="775">
        <v>2</v>
      </c>
      <c r="C196" s="773" t="str">
        <f>IF(MCA_claim=1,"","2) After 5/4/"&amp;MCA_year&amp;" or not present")</f>
        <v/>
      </c>
      <c r="D196" s="774" t="b">
        <f>Wife_age_ind=2</f>
        <v>1</v>
      </c>
    </row>
    <row r="198" spans="1:5" x14ac:dyDescent="0.25">
      <c r="B198" s="775">
        <v>1</v>
      </c>
      <c r="C198" s="775" t="s">
        <v>439</v>
      </c>
      <c r="D198" s="775" t="b">
        <f>MCA!F5=1</f>
        <v>1</v>
      </c>
    </row>
    <row r="199" spans="1:5" x14ac:dyDescent="0.25">
      <c r="B199" s="775">
        <v>2</v>
      </c>
      <c r="C199" s="775" t="str">
        <f>"2) husband / higher income partner (box "&amp;MCA!$C$4&amp;" present)"</f>
        <v>2) husband / higher income partner (box 1 present)</v>
      </c>
      <c r="D199" s="775" t="b">
        <f>MCA!F5=2</f>
        <v>0</v>
      </c>
    </row>
    <row r="200" spans="1:5" x14ac:dyDescent="0.25">
      <c r="B200" s="775">
        <v>3</v>
      </c>
      <c r="C200" s="775" t="str">
        <f>"3) wife / lower income partner (box "&amp;MCA!$C$5&amp;" present)"</f>
        <v>3) wife / lower income partner (box 8 present)</v>
      </c>
      <c r="D200" s="775" t="b">
        <f>MCA!F5=3</f>
        <v>0</v>
      </c>
    </row>
    <row r="202" spans="1:5" x14ac:dyDescent="0.25">
      <c r="B202" s="775">
        <v>1</v>
      </c>
      <c r="C202" s="775" t="str">
        <f>IF(mca_not_claimed,"","1) None to spouse/partner")</f>
        <v/>
      </c>
      <c r="D202" s="775" t="b">
        <f>MCA!F13=1</f>
        <v>1</v>
      </c>
    </row>
    <row r="203" spans="1:5" x14ac:dyDescent="0.25">
      <c r="B203" s="775">
        <v>2</v>
      </c>
      <c r="C203" s="775" t="str">
        <f>IF(MCA_claim&gt;1,"2) 50% to spouse/partner (box "&amp;MCA!$C$12&amp;" ticked)","")</f>
        <v/>
      </c>
      <c r="D203" s="774" t="b">
        <f>MCA!F13=2</f>
        <v>0</v>
      </c>
    </row>
    <row r="204" spans="1:5" x14ac:dyDescent="0.25">
      <c r="B204" s="775">
        <v>3</v>
      </c>
      <c r="C204" s="775" t="str">
        <f>IF(MCA_claim&gt;1,"3) All to spouse/partner (box "&amp;MCA!$C$13&amp;" ticked)","")</f>
        <v/>
      </c>
      <c r="D204" s="775" t="b">
        <f>MCA!F13=3</f>
        <v>0</v>
      </c>
    </row>
    <row r="206" spans="1:5" x14ac:dyDescent="0.25">
      <c r="C206" t="s">
        <v>440</v>
      </c>
      <c r="D206" s="773">
        <f>MIN(tp_age_ind,Wife_age_ind)</f>
        <v>2</v>
      </c>
    </row>
    <row r="208" spans="1:5" x14ac:dyDescent="0.25">
      <c r="C208" t="s">
        <v>441</v>
      </c>
      <c r="D208" s="775">
        <f>months_married-1</f>
        <v>0</v>
      </c>
    </row>
    <row r="209" spans="3:4" x14ac:dyDescent="0.25">
      <c r="C209" s="775" t="str">
        <f>IF(MCA!$F$5=1,"","1) "&amp;'allowances (c14c15)'!C105)</f>
        <v/>
      </c>
    </row>
    <row r="210" spans="3:4" x14ac:dyDescent="0.25">
      <c r="C210" s="775" t="str">
        <f>IF(MCA!$F$5=1,"","2) "&amp;'allowances (c14c15)'!C106)</f>
        <v/>
      </c>
    </row>
    <row r="211" spans="3:4" x14ac:dyDescent="0.25">
      <c r="C211" s="775" t="str">
        <f>IF(MCA!$F$5=1,"","3) "&amp;'allowances (c14c15)'!C107)</f>
        <v/>
      </c>
    </row>
    <row r="212" spans="3:4" x14ac:dyDescent="0.25">
      <c r="C212" s="775" t="str">
        <f>IF(MCA!$F$5=1,"","4) "&amp;'allowances (c14c15)'!C108)</f>
        <v/>
      </c>
    </row>
    <row r="213" spans="3:4" x14ac:dyDescent="0.25">
      <c r="C213" s="775" t="str">
        <f>IF(MCA!$F$5=1,"","5) "&amp;'allowances (c14c15)'!C109)</f>
        <v/>
      </c>
    </row>
    <row r="214" spans="3:4" x14ac:dyDescent="0.25">
      <c r="C214" s="775" t="str">
        <f>IF(MCA!$F$5=1,"","6) "&amp;'allowances (c14c15)'!C110)</f>
        <v/>
      </c>
    </row>
    <row r="215" spans="3:4" x14ac:dyDescent="0.25">
      <c r="C215" s="775" t="str">
        <f>IF(MCA!$F$5=1,"","7) "&amp;'allowances (c14c15)'!C111)</f>
        <v/>
      </c>
    </row>
    <row r="216" spans="3:4" x14ac:dyDescent="0.25">
      <c r="C216" s="775" t="str">
        <f>IF(MCA!$F$5=1,"","8) "&amp;'allowances (c14c15)'!C112)</f>
        <v/>
      </c>
    </row>
    <row r="217" spans="3:4" x14ac:dyDescent="0.25">
      <c r="C217" s="775" t="str">
        <f>IF(MCA!$F$5=1,"","9) "&amp;'allowances (c14c15)'!C113)</f>
        <v/>
      </c>
    </row>
    <row r="218" spans="3:4" x14ac:dyDescent="0.25">
      <c r="C218" s="775" t="str">
        <f>IF(MCA!$F$5=1,"","10) "&amp;'allowances (c14c15)'!C114)</f>
        <v/>
      </c>
    </row>
    <row r="219" spans="3:4" x14ac:dyDescent="0.25">
      <c r="C219" s="775" t="str">
        <f>IF(MCA!$F$5=1,"","11) "&amp;'allowances (c14c15)'!C115)</f>
        <v/>
      </c>
    </row>
    <row r="220" spans="3:4" x14ac:dyDescent="0.25">
      <c r="C220" s="775" t="str">
        <f>IF(MCA!$F$5=1,"","12) "&amp;'allowances (c14c15)'!C116)</f>
        <v/>
      </c>
    </row>
    <row r="221" spans="3:4" x14ac:dyDescent="0.25">
      <c r="C221" s="775" t="str">
        <f>IF(MCA!$F$5=1,"","13) "&amp;'allowances (c14c15)'!C117)</f>
        <v/>
      </c>
    </row>
    <row r="223" spans="3:4" ht="13" x14ac:dyDescent="0.3">
      <c r="C223" s="2" t="s">
        <v>442</v>
      </c>
      <c r="D223" s="774" t="b">
        <f>OR(SE!L21,SE!M21,LUN!P20,PS!R20,PS!S20,NIC_ex_set)</f>
        <v>0</v>
      </c>
    </row>
    <row r="224" spans="3:4" x14ac:dyDescent="0.25">
      <c r="C224" s="3" t="s">
        <v>443</v>
      </c>
      <c r="D224" s="774" t="b">
        <f>NIC_x</f>
        <v>0</v>
      </c>
    </row>
    <row r="226" spans="2:7" ht="13" x14ac:dyDescent="0.3">
      <c r="C226" s="2" t="s">
        <v>444</v>
      </c>
      <c r="D226" s="776" t="str">
        <f>IF(AND('Class 4 NIC (c16)'!H88&lt;NIC2_SPT,OR(SE!L20,SE!M20,LUN!P19,PS!R19,PS!S19,NIC2_Vol)),"TRUE","FALSE")</f>
        <v>FALSE</v>
      </c>
    </row>
    <row r="227" spans="2:7" x14ac:dyDescent="0.25">
      <c r="C227" s="370" t="s">
        <v>445</v>
      </c>
      <c r="D227" s="776" t="str">
        <f>NIC2_v</f>
        <v>FALSE</v>
      </c>
    </row>
    <row r="229" spans="2:7" x14ac:dyDescent="0.25">
      <c r="C229" s="205" t="str">
        <f>IF(not_to_be_coded,"Not used",D229)</f>
        <v>On or before 31 October 2026</v>
      </c>
      <c r="D229" s="205" t="str">
        <f>"On or before 31 October "&amp;Tax_year_end</f>
        <v>On or before 31 October 2026</v>
      </c>
    </row>
    <row r="230" spans="2:7" x14ac:dyDescent="0.25">
      <c r="C230" s="205" t="str">
        <f>IF(not_to_be_coded,"",D230)</f>
        <v>After 31 October 2026</v>
      </c>
      <c r="D230" s="205" t="str">
        <f>"After 31 October "&amp;Tax_year_end</f>
        <v>After 31 October 2026</v>
      </c>
    </row>
    <row r="231" spans="2:7" x14ac:dyDescent="0.25">
      <c r="B231" s="271"/>
      <c r="C231" s="271"/>
      <c r="D231" s="271"/>
      <c r="E231" s="271"/>
      <c r="F231" s="271"/>
      <c r="G231" s="271"/>
    </row>
    <row r="232" spans="2:7" x14ac:dyDescent="0.25">
      <c r="B232" s="271"/>
      <c r="C232" s="271"/>
      <c r="D232" s="271"/>
      <c r="E232" s="271"/>
      <c r="F232" s="271"/>
      <c r="G232" s="271"/>
    </row>
  </sheetData>
  <dataConsolidate/>
  <mergeCells count="1">
    <mergeCell ref="E1:G1"/>
  </mergeCells>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Recheck_Calc_figure">
                <anchor moveWithCells="1" sizeWithCells="1">
                  <from>
                    <xdr:col>5</xdr:col>
                    <xdr:colOff>152400</xdr:colOff>
                    <xdr:row>56</xdr:row>
                    <xdr:rowOff>50800</xdr:rowOff>
                  </from>
                  <to>
                    <xdr:col>7</xdr:col>
                    <xdr:colOff>279400</xdr:colOff>
                    <xdr:row>59</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49C77-C897-477C-ADFA-C5F44A32DC7A}">
  <sheetPr codeName="Sheet1"/>
  <dimension ref="A1:D342"/>
  <sheetViews>
    <sheetView showGridLines="0" topLeftCell="A306" workbookViewId="0">
      <selection activeCell="C339" sqref="C339"/>
    </sheetView>
  </sheetViews>
  <sheetFormatPr defaultColWidth="8.7265625" defaultRowHeight="13" x14ac:dyDescent="0.25"/>
  <cols>
    <col min="1" max="1" width="53.1796875" style="570" customWidth="1"/>
    <col min="2" max="2" width="21.7265625" style="571" customWidth="1"/>
    <col min="3" max="3" width="99.54296875" style="572" customWidth="1"/>
    <col min="4" max="4" width="50.54296875" style="572" customWidth="1"/>
    <col min="5" max="16384" width="8.7265625" style="573"/>
  </cols>
  <sheetData>
    <row r="1" spans="1:4" x14ac:dyDescent="0.25">
      <c r="A1" s="566" t="s">
        <v>446</v>
      </c>
      <c r="B1" s="573"/>
    </row>
    <row r="2" spans="1:4" x14ac:dyDescent="0.25">
      <c r="A2" s="1203" t="s">
        <v>447</v>
      </c>
      <c r="B2" s="834"/>
    </row>
    <row r="3" spans="1:4" ht="12.5" x14ac:dyDescent="0.25">
      <c r="A3" s="1204" t="s">
        <v>448</v>
      </c>
      <c r="B3" s="835"/>
    </row>
    <row r="4" spans="1:4" ht="12.5" x14ac:dyDescent="0.25">
      <c r="A4" s="1205" t="s">
        <v>449</v>
      </c>
      <c r="B4" s="836"/>
    </row>
    <row r="5" spans="1:4" ht="12.5" x14ac:dyDescent="0.25">
      <c r="A5" s="1206" t="s">
        <v>450</v>
      </c>
      <c r="B5" s="837"/>
    </row>
    <row r="6" spans="1:4" ht="12.5" x14ac:dyDescent="0.25">
      <c r="A6" s="1116" t="s">
        <v>451</v>
      </c>
      <c r="B6" s="835"/>
    </row>
    <row r="7" spans="1:4" ht="12.5" x14ac:dyDescent="0.25">
      <c r="A7" s="1207" t="s">
        <v>452</v>
      </c>
      <c r="B7" s="836"/>
    </row>
    <row r="8" spans="1:4" x14ac:dyDescent="0.25">
      <c r="A8" s="1208" t="s">
        <v>453</v>
      </c>
    </row>
    <row r="9" spans="1:4" ht="12.5" x14ac:dyDescent="0.25">
      <c r="A9" s="1209" t="s">
        <v>454</v>
      </c>
      <c r="B9" s="838"/>
    </row>
    <row r="10" spans="1:4" ht="12.5" x14ac:dyDescent="0.25">
      <c r="A10" s="1210" t="s">
        <v>455</v>
      </c>
      <c r="B10" s="573"/>
    </row>
    <row r="11" spans="1:4" ht="12.5" x14ac:dyDescent="0.25">
      <c r="A11" s="2356" t="s">
        <v>2355</v>
      </c>
      <c r="B11" s="573"/>
    </row>
    <row r="12" spans="1:4" ht="12.5" x14ac:dyDescent="0.25">
      <c r="A12" s="1211" t="s">
        <v>456</v>
      </c>
      <c r="B12" s="573"/>
    </row>
    <row r="13" spans="1:4" ht="12.5" x14ac:dyDescent="0.25">
      <c r="A13" s="1212" t="s">
        <v>457</v>
      </c>
      <c r="B13" s="573"/>
    </row>
    <row r="14" spans="1:4" ht="12.5" x14ac:dyDescent="0.25">
      <c r="A14" s="1213" t="s">
        <v>458</v>
      </c>
      <c r="B14" s="573"/>
    </row>
    <row r="15" spans="1:4" thickBot="1" x14ac:dyDescent="0.3">
      <c r="A15" s="574"/>
      <c r="B15" s="574"/>
    </row>
    <row r="16" spans="1:4" ht="13.5" thickBot="1" x14ac:dyDescent="0.35">
      <c r="A16" s="567" t="s">
        <v>459</v>
      </c>
      <c r="B16" s="567" t="s">
        <v>460</v>
      </c>
      <c r="C16" s="568" t="s">
        <v>461</v>
      </c>
      <c r="D16" s="568" t="s">
        <v>462</v>
      </c>
    </row>
    <row r="17" spans="1:4" x14ac:dyDescent="0.25">
      <c r="A17" s="1214" t="s">
        <v>463</v>
      </c>
      <c r="B17" s="569">
        <v>45701</v>
      </c>
      <c r="D17" s="575"/>
    </row>
    <row r="18" spans="1:4" ht="12.5" x14ac:dyDescent="0.25">
      <c r="A18" s="1215" t="s">
        <v>464</v>
      </c>
      <c r="B18" s="1113" t="s">
        <v>465</v>
      </c>
      <c r="C18" s="1216" t="s">
        <v>466</v>
      </c>
      <c r="D18" s="1217" t="s">
        <v>467</v>
      </c>
    </row>
    <row r="19" spans="1:4" ht="12.5" x14ac:dyDescent="0.25">
      <c r="A19" s="1215" t="s">
        <v>468</v>
      </c>
      <c r="B19" s="1113" t="s">
        <v>469</v>
      </c>
      <c r="C19" s="1216" t="s">
        <v>470</v>
      </c>
      <c r="D19" s="1217"/>
    </row>
    <row r="20" spans="1:4" ht="12.5" x14ac:dyDescent="0.25">
      <c r="A20" s="1215" t="s">
        <v>468</v>
      </c>
      <c r="B20" s="1113" t="s">
        <v>469</v>
      </c>
      <c r="C20" s="1216" t="s">
        <v>471</v>
      </c>
      <c r="D20" s="1217"/>
    </row>
    <row r="21" spans="1:4" ht="12.5" x14ac:dyDescent="0.25">
      <c r="A21" s="1215" t="s">
        <v>468</v>
      </c>
      <c r="B21" s="1113" t="s">
        <v>472</v>
      </c>
      <c r="C21" s="1216" t="s">
        <v>473</v>
      </c>
      <c r="D21" s="1217"/>
    </row>
    <row r="22" spans="1:4" ht="12.5" x14ac:dyDescent="0.25">
      <c r="A22" s="1215" t="s">
        <v>468</v>
      </c>
      <c r="B22" s="1113" t="s">
        <v>474</v>
      </c>
      <c r="C22" s="1216" t="s">
        <v>473</v>
      </c>
      <c r="D22" s="1217"/>
    </row>
    <row r="23" spans="1:4" x14ac:dyDescent="0.25">
      <c r="A23" s="1214" t="s">
        <v>475</v>
      </c>
      <c r="B23" s="569">
        <v>45706</v>
      </c>
      <c r="D23" s="575"/>
    </row>
    <row r="24" spans="1:4" ht="12.5" x14ac:dyDescent="0.25">
      <c r="A24" s="1215" t="s">
        <v>464</v>
      </c>
      <c r="B24" s="1113" t="s">
        <v>465</v>
      </c>
      <c r="C24" s="1216" t="s">
        <v>476</v>
      </c>
      <c r="D24" s="1217"/>
    </row>
    <row r="25" spans="1:4" ht="12.5" x14ac:dyDescent="0.25">
      <c r="A25" s="1215" t="s">
        <v>468</v>
      </c>
      <c r="B25" s="1136" t="s">
        <v>477</v>
      </c>
      <c r="C25" s="1218" t="s">
        <v>478</v>
      </c>
      <c r="D25" s="1219"/>
    </row>
    <row r="26" spans="1:4" x14ac:dyDescent="0.3">
      <c r="A26" s="1215" t="s">
        <v>468</v>
      </c>
      <c r="B26" s="1136" t="s">
        <v>477</v>
      </c>
      <c r="C26" s="1137" t="s">
        <v>479</v>
      </c>
      <c r="D26" s="1137"/>
    </row>
    <row r="27" spans="1:4" x14ac:dyDescent="0.3">
      <c r="A27" s="1215" t="s">
        <v>468</v>
      </c>
      <c r="B27" s="1136" t="s">
        <v>477</v>
      </c>
      <c r="C27" s="1137" t="s">
        <v>480</v>
      </c>
      <c r="D27" s="1137"/>
    </row>
    <row r="28" spans="1:4" x14ac:dyDescent="0.3">
      <c r="A28" s="1215" t="s">
        <v>468</v>
      </c>
      <c r="B28" s="1136" t="s">
        <v>477</v>
      </c>
      <c r="C28" s="1137" t="s">
        <v>481</v>
      </c>
      <c r="D28" s="1137"/>
    </row>
    <row r="29" spans="1:4" x14ac:dyDescent="0.3">
      <c r="A29" s="1215" t="s">
        <v>468</v>
      </c>
      <c r="B29" s="1136" t="s">
        <v>477</v>
      </c>
      <c r="C29" s="1137" t="s">
        <v>482</v>
      </c>
      <c r="D29" s="1137"/>
    </row>
    <row r="30" spans="1:4" x14ac:dyDescent="0.3">
      <c r="A30" s="1215" t="s">
        <v>468</v>
      </c>
      <c r="B30" s="1136" t="s">
        <v>477</v>
      </c>
      <c r="C30" s="1137" t="s">
        <v>483</v>
      </c>
      <c r="D30" s="1137"/>
    </row>
    <row r="31" spans="1:4" x14ac:dyDescent="0.25">
      <c r="A31" s="1215" t="s">
        <v>468</v>
      </c>
      <c r="B31" s="1136" t="s">
        <v>477</v>
      </c>
      <c r="C31" s="1218" t="s">
        <v>484</v>
      </c>
      <c r="D31" s="1219"/>
    </row>
    <row r="32" spans="1:4" x14ac:dyDescent="0.25">
      <c r="A32" s="1215" t="s">
        <v>468</v>
      </c>
      <c r="B32" s="1136" t="s">
        <v>477</v>
      </c>
      <c r="C32" s="1218" t="s">
        <v>485</v>
      </c>
      <c r="D32" s="1219"/>
    </row>
    <row r="33" spans="1:4" x14ac:dyDescent="0.25">
      <c r="A33" s="1215" t="s">
        <v>468</v>
      </c>
      <c r="B33" s="1136" t="s">
        <v>477</v>
      </c>
      <c r="C33" s="1218" t="s">
        <v>486</v>
      </c>
      <c r="D33" s="1219"/>
    </row>
    <row r="34" spans="1:4" x14ac:dyDescent="0.25">
      <c r="A34" s="1215" t="s">
        <v>468</v>
      </c>
      <c r="B34" s="1136" t="s">
        <v>477</v>
      </c>
      <c r="C34" s="1218" t="s">
        <v>487</v>
      </c>
      <c r="D34" s="1219"/>
    </row>
    <row r="35" spans="1:4" x14ac:dyDescent="0.25">
      <c r="A35" s="1215" t="s">
        <v>468</v>
      </c>
      <c r="B35" s="1136" t="s">
        <v>477</v>
      </c>
      <c r="C35" s="1218" t="s">
        <v>488</v>
      </c>
      <c r="D35" s="1219"/>
    </row>
    <row r="36" spans="1:4" x14ac:dyDescent="0.25">
      <c r="A36" s="1215" t="s">
        <v>468</v>
      </c>
      <c r="B36" s="1136" t="s">
        <v>477</v>
      </c>
      <c r="C36" s="1218" t="s">
        <v>489</v>
      </c>
      <c r="D36" s="1219"/>
    </row>
    <row r="37" spans="1:4" x14ac:dyDescent="0.3">
      <c r="A37" s="1215" t="s">
        <v>468</v>
      </c>
      <c r="B37" s="1136" t="s">
        <v>477</v>
      </c>
      <c r="C37" s="1154" t="s">
        <v>490</v>
      </c>
      <c r="D37" s="1219"/>
    </row>
    <row r="38" spans="1:4" x14ac:dyDescent="0.3">
      <c r="A38" s="1215" t="s">
        <v>468</v>
      </c>
      <c r="B38" s="1136" t="s">
        <v>477</v>
      </c>
      <c r="C38" s="1154" t="s">
        <v>491</v>
      </c>
      <c r="D38" s="1219"/>
    </row>
    <row r="39" spans="1:4" x14ac:dyDescent="0.3">
      <c r="A39" s="1215" t="s">
        <v>468</v>
      </c>
      <c r="B39" s="1136" t="s">
        <v>477</v>
      </c>
      <c r="C39" s="1154" t="s">
        <v>492</v>
      </c>
      <c r="D39" s="1219"/>
    </row>
    <row r="40" spans="1:4" x14ac:dyDescent="0.3">
      <c r="A40" s="1215" t="s">
        <v>468</v>
      </c>
      <c r="B40" s="1136" t="s">
        <v>477</v>
      </c>
      <c r="C40" s="1154" t="s">
        <v>493</v>
      </c>
      <c r="D40" s="1219"/>
    </row>
    <row r="41" spans="1:4" x14ac:dyDescent="0.3">
      <c r="A41" s="1215" t="s">
        <v>468</v>
      </c>
      <c r="B41" s="1136" t="s">
        <v>477</v>
      </c>
      <c r="C41" s="1154" t="s">
        <v>494</v>
      </c>
      <c r="D41" s="1219"/>
    </row>
    <row r="42" spans="1:4" x14ac:dyDescent="0.3">
      <c r="A42" s="1215" t="s">
        <v>468</v>
      </c>
      <c r="B42" s="1136" t="s">
        <v>477</v>
      </c>
      <c r="C42" s="1154" t="s">
        <v>495</v>
      </c>
      <c r="D42" s="1219"/>
    </row>
    <row r="43" spans="1:4" x14ac:dyDescent="0.3">
      <c r="A43" s="1215" t="s">
        <v>468</v>
      </c>
      <c r="B43" s="1136" t="s">
        <v>477</v>
      </c>
      <c r="C43" s="1154" t="s">
        <v>496</v>
      </c>
      <c r="D43" s="1219"/>
    </row>
    <row r="44" spans="1:4" x14ac:dyDescent="0.3">
      <c r="A44" s="1215" t="s">
        <v>468</v>
      </c>
      <c r="B44" s="1136" t="s">
        <v>477</v>
      </c>
      <c r="C44" s="1154" t="s">
        <v>497</v>
      </c>
      <c r="D44" s="1219"/>
    </row>
    <row r="45" spans="1:4" ht="12.5" x14ac:dyDescent="0.25">
      <c r="A45" s="1215" t="s">
        <v>468</v>
      </c>
      <c r="B45" s="1136" t="s">
        <v>477</v>
      </c>
      <c r="C45" s="1216" t="s">
        <v>9551</v>
      </c>
      <c r="D45" s="1219"/>
    </row>
    <row r="46" spans="1:4" ht="12.5" x14ac:dyDescent="0.25">
      <c r="A46" s="1215" t="s">
        <v>468</v>
      </c>
      <c r="B46" s="1136" t="s">
        <v>477</v>
      </c>
      <c r="C46" s="1218" t="s">
        <v>9549</v>
      </c>
      <c r="D46" s="1219"/>
    </row>
    <row r="47" spans="1:4" x14ac:dyDescent="0.25">
      <c r="A47" s="1214" t="s">
        <v>498</v>
      </c>
      <c r="B47" s="569">
        <v>45861</v>
      </c>
      <c r="D47" s="575"/>
    </row>
    <row r="48" spans="1:4" ht="12.5" x14ac:dyDescent="0.25">
      <c r="A48" s="1215" t="s">
        <v>499</v>
      </c>
      <c r="B48" s="1113" t="s">
        <v>500</v>
      </c>
      <c r="C48" s="1216" t="s">
        <v>501</v>
      </c>
      <c r="D48" s="1217" t="s">
        <v>502</v>
      </c>
    </row>
    <row r="49" spans="1:4" ht="12.5" x14ac:dyDescent="0.25">
      <c r="A49" s="2460" t="s">
        <v>503</v>
      </c>
      <c r="B49" s="1113" t="s">
        <v>65</v>
      </c>
      <c r="C49" s="1216" t="s">
        <v>504</v>
      </c>
      <c r="D49" s="1217"/>
    </row>
    <row r="50" spans="1:4" ht="12.5" x14ac:dyDescent="0.25">
      <c r="A50" s="1205" t="s">
        <v>449</v>
      </c>
      <c r="B50" s="1136" t="s">
        <v>40</v>
      </c>
      <c r="C50" s="778" t="s">
        <v>505</v>
      </c>
      <c r="D50" s="1137"/>
    </row>
    <row r="51" spans="1:4" ht="12.5" x14ac:dyDescent="0.25">
      <c r="A51" s="1205" t="s">
        <v>449</v>
      </c>
      <c r="B51" s="1136" t="s">
        <v>40</v>
      </c>
      <c r="C51" s="778" t="s">
        <v>506</v>
      </c>
      <c r="D51" s="1137"/>
    </row>
    <row r="52" spans="1:4" ht="12.5" x14ac:dyDescent="0.25">
      <c r="A52" s="1205" t="s">
        <v>449</v>
      </c>
      <c r="B52" s="1136" t="s">
        <v>40</v>
      </c>
      <c r="C52" s="778" t="s">
        <v>507</v>
      </c>
      <c r="D52" s="1137"/>
    </row>
    <row r="53" spans="1:4" ht="12.5" x14ac:dyDescent="0.25">
      <c r="A53" s="1205" t="s">
        <v>449</v>
      </c>
      <c r="B53" s="1136" t="s">
        <v>40</v>
      </c>
      <c r="C53" s="778" t="s">
        <v>508</v>
      </c>
      <c r="D53" s="1137"/>
    </row>
    <row r="54" spans="1:4" ht="23" x14ac:dyDescent="0.25">
      <c r="A54" s="1205" t="s">
        <v>449</v>
      </c>
      <c r="B54" s="1136" t="s">
        <v>40</v>
      </c>
      <c r="C54" s="801" t="s">
        <v>509</v>
      </c>
      <c r="D54" s="1137"/>
    </row>
    <row r="55" spans="1:4" ht="12.5" x14ac:dyDescent="0.25">
      <c r="A55" s="1205" t="s">
        <v>449</v>
      </c>
      <c r="B55" t="s">
        <v>48</v>
      </c>
      <c r="C55" s="778" t="s">
        <v>510</v>
      </c>
      <c r="D55" s="1137"/>
    </row>
    <row r="56" spans="1:4" ht="34.5" x14ac:dyDescent="0.25">
      <c r="A56" s="1205" t="s">
        <v>449</v>
      </c>
      <c r="B56" s="1136" t="s">
        <v>48</v>
      </c>
      <c r="C56" s="801" t="s">
        <v>511</v>
      </c>
      <c r="D56" s="1137"/>
    </row>
    <row r="57" spans="1:4" ht="23" x14ac:dyDescent="0.25">
      <c r="A57" s="1205" t="s">
        <v>449</v>
      </c>
      <c r="B57" s="1136" t="s">
        <v>48</v>
      </c>
      <c r="C57" s="801" t="s">
        <v>512</v>
      </c>
      <c r="D57" s="1137"/>
    </row>
    <row r="58" spans="1:4" ht="23" x14ac:dyDescent="0.25">
      <c r="A58" s="1205" t="s">
        <v>449</v>
      </c>
      <c r="B58" s="1136" t="s">
        <v>48</v>
      </c>
      <c r="C58" s="801" t="s">
        <v>513</v>
      </c>
      <c r="D58" s="1137"/>
    </row>
    <row r="59" spans="1:4" x14ac:dyDescent="0.3">
      <c r="A59" s="1205" t="s">
        <v>449</v>
      </c>
      <c r="B59" s="1136" t="s">
        <v>514</v>
      </c>
      <c r="C59" s="801" t="s">
        <v>515</v>
      </c>
      <c r="D59" s="1137"/>
    </row>
    <row r="60" spans="1:4" ht="12.5" x14ac:dyDescent="0.25">
      <c r="A60" s="1205" t="s">
        <v>449</v>
      </c>
      <c r="B60" s="1136" t="s">
        <v>516</v>
      </c>
      <c r="C60" s="778" t="s">
        <v>517</v>
      </c>
      <c r="D60" s="1137"/>
    </row>
    <row r="61" spans="1:4" ht="12.5" x14ac:dyDescent="0.25">
      <c r="A61" s="2456" t="s">
        <v>449</v>
      </c>
      <c r="B61" s="178" t="s">
        <v>500</v>
      </c>
      <c r="C61" s="778" t="s">
        <v>518</v>
      </c>
      <c r="D61" s="1217"/>
    </row>
    <row r="62" spans="1:4" ht="12.5" x14ac:dyDescent="0.25">
      <c r="A62" s="2456" t="s">
        <v>449</v>
      </c>
      <c r="B62" s="1113" t="s">
        <v>519</v>
      </c>
      <c r="C62" s="778" t="s">
        <v>520</v>
      </c>
      <c r="D62" s="1217"/>
    </row>
    <row r="63" spans="1:4" ht="12.5" x14ac:dyDescent="0.25">
      <c r="A63" s="2456" t="s">
        <v>449</v>
      </c>
      <c r="B63" s="1113" t="s">
        <v>474</v>
      </c>
      <c r="C63" s="778" t="s">
        <v>520</v>
      </c>
      <c r="D63" s="1217"/>
    </row>
    <row r="64" spans="1:4" ht="12.5" x14ac:dyDescent="0.25">
      <c r="A64" s="1211" t="s">
        <v>456</v>
      </c>
      <c r="B64" s="1136" t="s">
        <v>40</v>
      </c>
      <c r="C64" s="778" t="s">
        <v>521</v>
      </c>
      <c r="D64" s="1137"/>
    </row>
    <row r="65" spans="1:4" ht="12.5" x14ac:dyDescent="0.25">
      <c r="A65" s="1211" t="s">
        <v>456</v>
      </c>
      <c r="B65" s="1136" t="s">
        <v>40</v>
      </c>
      <c r="C65" s="778" t="s">
        <v>522</v>
      </c>
      <c r="D65" s="1137"/>
    </row>
    <row r="66" spans="1:4" ht="12.5" x14ac:dyDescent="0.25">
      <c r="A66" s="1211" t="s">
        <v>456</v>
      </c>
      <c r="B66" s="1136" t="s">
        <v>40</v>
      </c>
      <c r="C66" s="778" t="s">
        <v>523</v>
      </c>
      <c r="D66" s="1137"/>
    </row>
    <row r="67" spans="1:4" ht="12.5" x14ac:dyDescent="0.25">
      <c r="A67" s="1208" t="s">
        <v>453</v>
      </c>
      <c r="B67" s="1113" t="s">
        <v>500</v>
      </c>
      <c r="C67" s="778" t="s">
        <v>524</v>
      </c>
      <c r="D67" s="1137"/>
    </row>
    <row r="68" spans="1:4" ht="12.5" x14ac:dyDescent="0.25">
      <c r="A68" s="1207" t="s">
        <v>452</v>
      </c>
      <c r="B68" s="1113" t="s">
        <v>500</v>
      </c>
      <c r="C68" s="1113" t="s">
        <v>525</v>
      </c>
      <c r="D68" s="1113"/>
    </row>
    <row r="69" spans="1:4" ht="12.5" x14ac:dyDescent="0.25">
      <c r="A69" s="1207" t="s">
        <v>452</v>
      </c>
      <c r="B69" s="1113" t="s">
        <v>500</v>
      </c>
      <c r="C69" s="1113" t="s">
        <v>526</v>
      </c>
      <c r="D69" s="1113"/>
    </row>
    <row r="70" spans="1:4" ht="12.5" x14ac:dyDescent="0.25">
      <c r="A70" s="1207" t="s">
        <v>452</v>
      </c>
      <c r="B70" s="1113" t="s">
        <v>500</v>
      </c>
      <c r="C70" s="1113" t="s">
        <v>527</v>
      </c>
      <c r="D70" s="1113"/>
    </row>
    <row r="71" spans="1:4" ht="12.5" x14ac:dyDescent="0.25">
      <c r="A71" s="1207" t="s">
        <v>452</v>
      </c>
      <c r="B71" s="1113" t="s">
        <v>500</v>
      </c>
      <c r="C71" s="1113" t="s">
        <v>528</v>
      </c>
      <c r="D71" s="1113"/>
    </row>
    <row r="72" spans="1:4" ht="12.5" x14ac:dyDescent="0.25">
      <c r="A72" s="1208" t="s">
        <v>453</v>
      </c>
      <c r="B72" s="1113" t="s">
        <v>500</v>
      </c>
      <c r="C72" s="1113" t="s">
        <v>529</v>
      </c>
      <c r="D72" s="1113"/>
    </row>
    <row r="73" spans="1:4" ht="12.5" x14ac:dyDescent="0.25">
      <c r="A73" s="1220" t="s">
        <v>503</v>
      </c>
      <c r="B73" s="1113" t="s">
        <v>48</v>
      </c>
      <c r="C73" s="1113" t="s">
        <v>530</v>
      </c>
      <c r="D73" s="1113"/>
    </row>
    <row r="74" spans="1:4" ht="12.5" x14ac:dyDescent="0.25">
      <c r="A74" s="1220" t="s">
        <v>503</v>
      </c>
      <c r="B74" s="1113" t="s">
        <v>48</v>
      </c>
      <c r="C74" s="1113" t="s">
        <v>531</v>
      </c>
      <c r="D74" s="1113"/>
    </row>
    <row r="75" spans="1:4" ht="12.5" x14ac:dyDescent="0.25">
      <c r="A75" s="1220" t="s">
        <v>503</v>
      </c>
      <c r="B75" s="1113" t="s">
        <v>48</v>
      </c>
      <c r="C75" s="1113" t="s">
        <v>532</v>
      </c>
      <c r="D75" s="1113"/>
    </row>
    <row r="76" spans="1:4" x14ac:dyDescent="0.25">
      <c r="A76" s="1220" t="s">
        <v>503</v>
      </c>
      <c r="B76" s="1113" t="s">
        <v>48</v>
      </c>
      <c r="C76" s="1113" t="s">
        <v>533</v>
      </c>
      <c r="D76" s="1113"/>
    </row>
    <row r="77" spans="1:4" ht="12.5" x14ac:dyDescent="0.25">
      <c r="A77" s="2457" t="s">
        <v>451</v>
      </c>
      <c r="B77" s="1113" t="s">
        <v>38</v>
      </c>
      <c r="C77" s="1113" t="s">
        <v>534</v>
      </c>
      <c r="D77" s="1113"/>
    </row>
    <row r="78" spans="1:4" ht="12.5" x14ac:dyDescent="0.25">
      <c r="A78" s="2457" t="s">
        <v>451</v>
      </c>
      <c r="B78" s="1113" t="s">
        <v>34</v>
      </c>
      <c r="C78" s="1113" t="s">
        <v>534</v>
      </c>
      <c r="D78" s="1113"/>
    </row>
    <row r="79" spans="1:4" ht="192" customHeight="1" x14ac:dyDescent="0.25">
      <c r="A79" s="1116" t="s">
        <v>451</v>
      </c>
      <c r="B79" s="1113" t="s">
        <v>67</v>
      </c>
      <c r="C79" s="1113" t="s">
        <v>535</v>
      </c>
      <c r="D79" s="1113"/>
    </row>
    <row r="80" spans="1:4" ht="51.5" x14ac:dyDescent="0.25">
      <c r="A80" s="1116" t="s">
        <v>451</v>
      </c>
      <c r="B80" s="1113" t="s">
        <v>516</v>
      </c>
      <c r="C80" s="1113" t="s">
        <v>536</v>
      </c>
      <c r="D80" s="1113"/>
    </row>
    <row r="81" spans="1:4" ht="12.5" x14ac:dyDescent="0.25">
      <c r="A81" s="1116" t="s">
        <v>451</v>
      </c>
      <c r="B81" s="1113" t="s">
        <v>477</v>
      </c>
      <c r="C81" s="1113" t="s">
        <v>537</v>
      </c>
      <c r="D81" s="1113"/>
    </row>
    <row r="82" spans="1:4" ht="12.5" x14ac:dyDescent="0.25">
      <c r="A82" s="1116" t="s">
        <v>451</v>
      </c>
      <c r="B82" s="1113" t="s">
        <v>477</v>
      </c>
      <c r="C82" s="1113" t="s">
        <v>538</v>
      </c>
      <c r="D82" s="1113"/>
    </row>
    <row r="83" spans="1:4" ht="12.5" x14ac:dyDescent="0.25">
      <c r="A83" s="1116" t="s">
        <v>451</v>
      </c>
      <c r="B83" s="1113" t="s">
        <v>477</v>
      </c>
      <c r="C83" s="1113" t="s">
        <v>539</v>
      </c>
      <c r="D83" s="1113"/>
    </row>
    <row r="84" spans="1:4" ht="12.5" x14ac:dyDescent="0.25">
      <c r="A84" s="1116" t="s">
        <v>451</v>
      </c>
      <c r="B84" s="1113" t="s">
        <v>477</v>
      </c>
      <c r="C84" s="1113" t="s">
        <v>540</v>
      </c>
      <c r="D84" s="1113"/>
    </row>
    <row r="85" spans="1:4" ht="12.5" x14ac:dyDescent="0.25">
      <c r="A85" s="1116" t="s">
        <v>451</v>
      </c>
      <c r="B85" s="1136" t="s">
        <v>516</v>
      </c>
      <c r="C85" s="1136" t="s">
        <v>541</v>
      </c>
      <c r="D85" s="1113"/>
    </row>
    <row r="86" spans="1:4" ht="12.5" x14ac:dyDescent="0.25">
      <c r="A86" s="1116" t="s">
        <v>451</v>
      </c>
      <c r="B86" s="1113" t="s">
        <v>516</v>
      </c>
      <c r="C86" s="1113" t="s">
        <v>542</v>
      </c>
      <c r="D86" s="1113"/>
    </row>
    <row r="87" spans="1:4" ht="51.5" x14ac:dyDescent="0.25">
      <c r="A87" s="1116" t="s">
        <v>451</v>
      </c>
      <c r="B87" s="1113" t="s">
        <v>516</v>
      </c>
      <c r="C87" s="1113" t="s">
        <v>9573</v>
      </c>
      <c r="D87" s="1113"/>
    </row>
    <row r="88" spans="1:4" ht="12.5" x14ac:dyDescent="0.25">
      <c r="A88" s="1116" t="s">
        <v>451</v>
      </c>
      <c r="B88" s="2380" t="s">
        <v>601</v>
      </c>
      <c r="C88" s="2380" t="s">
        <v>9575</v>
      </c>
      <c r="D88" s="2380"/>
    </row>
    <row r="89" spans="1:4" ht="12.5" x14ac:dyDescent="0.25">
      <c r="A89" s="1116" t="s">
        <v>451</v>
      </c>
      <c r="B89" s="2380" t="s">
        <v>601</v>
      </c>
      <c r="C89" s="2380" t="s">
        <v>9559</v>
      </c>
      <c r="D89" s="2380"/>
    </row>
    <row r="90" spans="1:4" ht="12.5" x14ac:dyDescent="0.25">
      <c r="A90" s="1116" t="s">
        <v>451</v>
      </c>
      <c r="B90" s="1113" t="s">
        <v>601</v>
      </c>
      <c r="C90" s="1113" t="s">
        <v>9574</v>
      </c>
      <c r="D90" s="1113"/>
    </row>
    <row r="91" spans="1:4" ht="153" customHeight="1" x14ac:dyDescent="0.25">
      <c r="A91" s="1116" t="s">
        <v>451</v>
      </c>
      <c r="B91" s="1113" t="s">
        <v>48</v>
      </c>
      <c r="C91" s="1113" t="s">
        <v>543</v>
      </c>
      <c r="D91" s="1113"/>
    </row>
    <row r="92" spans="1:4" ht="110.5" customHeight="1" x14ac:dyDescent="0.25">
      <c r="A92" s="1116" t="s">
        <v>451</v>
      </c>
      <c r="B92" s="1113" t="s">
        <v>48</v>
      </c>
      <c r="C92" s="1113" t="s">
        <v>544</v>
      </c>
      <c r="D92" s="1113"/>
    </row>
    <row r="93" spans="1:4" ht="172" customHeight="1" x14ac:dyDescent="0.25">
      <c r="A93" s="1116" t="s">
        <v>451</v>
      </c>
      <c r="B93" s="1113" t="s">
        <v>48</v>
      </c>
      <c r="C93" s="1113" t="s">
        <v>545</v>
      </c>
      <c r="D93" s="1113"/>
    </row>
    <row r="94" spans="1:4" ht="156.65" customHeight="1" x14ac:dyDescent="0.25">
      <c r="A94" s="1116" t="s">
        <v>451</v>
      </c>
      <c r="B94" s="1113" t="s">
        <v>54</v>
      </c>
      <c r="C94" s="1113" t="s">
        <v>546</v>
      </c>
      <c r="D94" s="1113"/>
    </row>
    <row r="95" spans="1:4" ht="159.65" customHeight="1" x14ac:dyDescent="0.25">
      <c r="A95" s="1116" t="s">
        <v>451</v>
      </c>
      <c r="B95" s="1113" t="s">
        <v>54</v>
      </c>
      <c r="C95" s="1113" t="s">
        <v>547</v>
      </c>
      <c r="D95" s="1113"/>
    </row>
    <row r="96" spans="1:4" ht="60" customHeight="1" x14ac:dyDescent="0.25">
      <c r="A96" s="1116" t="s">
        <v>451</v>
      </c>
      <c r="B96" s="1113" t="s">
        <v>40</v>
      </c>
      <c r="C96" s="1113" t="s">
        <v>548</v>
      </c>
      <c r="D96" s="1113"/>
    </row>
    <row r="97" spans="1:4" ht="51" x14ac:dyDescent="0.25">
      <c r="A97" s="1116" t="s">
        <v>451</v>
      </c>
      <c r="B97" s="1113" t="s">
        <v>40</v>
      </c>
      <c r="C97" s="1113" t="s">
        <v>549</v>
      </c>
      <c r="D97" s="1113"/>
    </row>
    <row r="98" spans="1:4" ht="12.5" x14ac:dyDescent="0.25">
      <c r="A98" s="1116" t="s">
        <v>451</v>
      </c>
      <c r="B98" s="1113" t="s">
        <v>40</v>
      </c>
      <c r="C98" s="1113" t="s">
        <v>550</v>
      </c>
      <c r="D98" s="1113"/>
    </row>
    <row r="99" spans="1:4" ht="12.5" x14ac:dyDescent="0.25">
      <c r="A99" s="1116" t="s">
        <v>451</v>
      </c>
      <c r="B99" s="1113" t="s">
        <v>40</v>
      </c>
      <c r="C99" s="1113" t="s">
        <v>551</v>
      </c>
      <c r="D99" s="1113"/>
    </row>
    <row r="100" spans="1:4" ht="12.5" x14ac:dyDescent="0.25">
      <c r="A100" s="1116" t="s">
        <v>451</v>
      </c>
      <c r="B100" s="1113" t="s">
        <v>40</v>
      </c>
      <c r="C100" s="1113" t="s">
        <v>552</v>
      </c>
      <c r="D100" s="1113"/>
    </row>
    <row r="101" spans="1:4" ht="51.5" x14ac:dyDescent="0.25">
      <c r="A101" s="1116" t="s">
        <v>451</v>
      </c>
      <c r="B101" s="1113" t="s">
        <v>40</v>
      </c>
      <c r="C101" s="1113" t="s">
        <v>553</v>
      </c>
      <c r="D101" s="1113"/>
    </row>
    <row r="102" spans="1:4" ht="12.5" x14ac:dyDescent="0.25">
      <c r="A102" s="1116" t="s">
        <v>451</v>
      </c>
      <c r="B102" s="1113" t="s">
        <v>40</v>
      </c>
      <c r="C102" s="1113" t="s">
        <v>554</v>
      </c>
      <c r="D102" s="1113"/>
    </row>
    <row r="103" spans="1:4" ht="64.5" x14ac:dyDescent="0.25">
      <c r="A103" s="1116" t="s">
        <v>451</v>
      </c>
      <c r="B103" s="1113" t="s">
        <v>40</v>
      </c>
      <c r="C103" s="1113" t="s">
        <v>555</v>
      </c>
      <c r="D103" s="1113"/>
    </row>
    <row r="104" spans="1:4" ht="51.5" x14ac:dyDescent="0.25">
      <c r="A104" s="1116" t="s">
        <v>451</v>
      </c>
      <c r="B104" s="1113" t="s">
        <v>40</v>
      </c>
      <c r="C104" s="1113" t="s">
        <v>556</v>
      </c>
      <c r="D104" s="1113"/>
    </row>
    <row r="105" spans="1:4" ht="51.5" x14ac:dyDescent="0.25">
      <c r="A105" s="1116" t="s">
        <v>451</v>
      </c>
      <c r="B105" s="1113" t="s">
        <v>40</v>
      </c>
      <c r="C105" s="1113" t="s">
        <v>557</v>
      </c>
      <c r="D105" s="1113"/>
    </row>
    <row r="106" spans="1:4" ht="12.5" x14ac:dyDescent="0.25">
      <c r="A106" s="1116" t="s">
        <v>451</v>
      </c>
      <c r="B106" s="1113" t="s">
        <v>40</v>
      </c>
      <c r="C106" s="1113" t="s">
        <v>558</v>
      </c>
      <c r="D106" s="1113"/>
    </row>
    <row r="107" spans="1:4" ht="12.5" x14ac:dyDescent="0.25">
      <c r="A107" s="1116" t="s">
        <v>451</v>
      </c>
      <c r="B107" s="1113" t="s">
        <v>40</v>
      </c>
      <c r="C107" s="1113" t="s">
        <v>559</v>
      </c>
      <c r="D107" s="1113"/>
    </row>
    <row r="108" spans="1:4" ht="12.5" x14ac:dyDescent="0.25">
      <c r="A108" s="1116" t="s">
        <v>451</v>
      </c>
      <c r="B108" s="1113" t="s">
        <v>40</v>
      </c>
      <c r="C108" s="1113" t="s">
        <v>560</v>
      </c>
      <c r="D108" s="1113"/>
    </row>
    <row r="109" spans="1:4" ht="12.5" x14ac:dyDescent="0.25">
      <c r="A109" s="1116" t="s">
        <v>451</v>
      </c>
      <c r="B109" s="1113" t="s">
        <v>40</v>
      </c>
      <c r="C109" s="1113" t="s">
        <v>561</v>
      </c>
      <c r="D109" s="1113"/>
    </row>
    <row r="110" spans="1:4" ht="12.5" x14ac:dyDescent="0.25">
      <c r="A110" s="1116" t="s">
        <v>451</v>
      </c>
      <c r="B110" s="1113" t="s">
        <v>40</v>
      </c>
      <c r="C110" s="1113" t="s">
        <v>562</v>
      </c>
      <c r="D110" s="1113"/>
    </row>
    <row r="111" spans="1:4" ht="12.5" x14ac:dyDescent="0.25">
      <c r="A111" s="1116" t="s">
        <v>451</v>
      </c>
      <c r="B111" s="1113" t="s">
        <v>40</v>
      </c>
      <c r="C111" s="1113" t="s">
        <v>563</v>
      </c>
      <c r="D111" s="1113"/>
    </row>
    <row r="112" spans="1:4" ht="12.5" x14ac:dyDescent="0.25">
      <c r="A112" s="1116" t="s">
        <v>451</v>
      </c>
      <c r="B112" s="1113" t="s">
        <v>40</v>
      </c>
      <c r="C112" s="1113" t="s">
        <v>564</v>
      </c>
      <c r="D112" s="1113"/>
    </row>
    <row r="113" spans="1:4" ht="12.5" x14ac:dyDescent="0.25">
      <c r="A113" s="1116" t="s">
        <v>451</v>
      </c>
      <c r="B113" s="1113" t="s">
        <v>40</v>
      </c>
      <c r="C113" s="1113" t="s">
        <v>565</v>
      </c>
      <c r="D113" s="1113"/>
    </row>
    <row r="114" spans="1:4" ht="51" x14ac:dyDescent="0.25">
      <c r="A114" s="1116" t="s">
        <v>451</v>
      </c>
      <c r="B114" s="1113" t="s">
        <v>40</v>
      </c>
      <c r="C114" s="1113" t="s">
        <v>566</v>
      </c>
      <c r="D114" s="1113"/>
    </row>
    <row r="115" spans="1:4" ht="12.5" x14ac:dyDescent="0.25">
      <c r="A115" s="1116" t="s">
        <v>451</v>
      </c>
      <c r="B115" s="1113" t="s">
        <v>40</v>
      </c>
      <c r="C115" s="1113" t="s">
        <v>567</v>
      </c>
      <c r="D115" s="1113"/>
    </row>
    <row r="116" spans="1:4" ht="51.5" x14ac:dyDescent="0.25">
      <c r="A116" s="1116" t="s">
        <v>451</v>
      </c>
      <c r="B116" s="1113" t="s">
        <v>40</v>
      </c>
      <c r="C116" s="1113" t="s">
        <v>568</v>
      </c>
      <c r="D116" s="1113"/>
    </row>
    <row r="117" spans="1:4" ht="90.5" x14ac:dyDescent="0.25">
      <c r="A117" s="1116" t="s">
        <v>451</v>
      </c>
      <c r="B117" s="1113" t="s">
        <v>42</v>
      </c>
      <c r="C117" s="1113" t="s">
        <v>569</v>
      </c>
      <c r="D117" s="1113"/>
    </row>
    <row r="118" spans="1:4" ht="12.5" x14ac:dyDescent="0.25">
      <c r="A118" s="1116" t="s">
        <v>451</v>
      </c>
      <c r="B118" s="1113" t="s">
        <v>42</v>
      </c>
      <c r="C118" s="1113" t="s">
        <v>570</v>
      </c>
      <c r="D118" s="1113"/>
    </row>
    <row r="119" spans="1:4" ht="51" x14ac:dyDescent="0.25">
      <c r="A119" s="1116"/>
      <c r="B119" s="1113" t="s">
        <v>42</v>
      </c>
      <c r="C119" s="1113" t="s">
        <v>571</v>
      </c>
      <c r="D119" s="1113"/>
    </row>
    <row r="120" spans="1:4" ht="12.5" x14ac:dyDescent="0.25">
      <c r="A120" s="1116" t="s">
        <v>451</v>
      </c>
      <c r="B120" s="1113" t="s">
        <v>44</v>
      </c>
      <c r="C120" s="1113" t="s">
        <v>572</v>
      </c>
      <c r="D120" s="1113"/>
    </row>
    <row r="121" spans="1:4" ht="12.5" x14ac:dyDescent="0.25">
      <c r="A121" s="1116" t="s">
        <v>451</v>
      </c>
      <c r="B121" s="1113" t="s">
        <v>44</v>
      </c>
      <c r="C121" s="1113" t="s">
        <v>573</v>
      </c>
      <c r="D121" s="1113"/>
    </row>
    <row r="122" spans="1:4" ht="51" x14ac:dyDescent="0.25">
      <c r="A122" s="1116" t="s">
        <v>451</v>
      </c>
      <c r="B122" s="1113" t="s">
        <v>44</v>
      </c>
      <c r="C122" s="1113" t="s">
        <v>574</v>
      </c>
      <c r="D122" s="1113"/>
    </row>
    <row r="123" spans="1:4" ht="51.5" x14ac:dyDescent="0.25">
      <c r="A123" s="1116" t="s">
        <v>451</v>
      </c>
      <c r="B123" s="1113" t="s">
        <v>54</v>
      </c>
      <c r="C123" s="1113" t="s">
        <v>575</v>
      </c>
      <c r="D123" s="1113"/>
    </row>
    <row r="124" spans="1:4" ht="12.5" x14ac:dyDescent="0.25">
      <c r="A124" s="1116"/>
      <c r="B124" s="1113"/>
      <c r="C124" s="1113" t="s">
        <v>576</v>
      </c>
      <c r="D124" s="1113"/>
    </row>
    <row r="125" spans="1:4" ht="51.5" x14ac:dyDescent="0.25">
      <c r="A125" s="1116" t="s">
        <v>451</v>
      </c>
      <c r="B125" s="1113" t="s">
        <v>54</v>
      </c>
      <c r="C125" s="1113" t="s">
        <v>577</v>
      </c>
      <c r="D125" s="1113"/>
    </row>
    <row r="126" spans="1:4" ht="12.5" x14ac:dyDescent="0.25">
      <c r="A126" s="1116" t="s">
        <v>451</v>
      </c>
      <c r="B126" s="1113" t="s">
        <v>578</v>
      </c>
      <c r="C126" s="1113" t="s">
        <v>579</v>
      </c>
      <c r="D126" s="1113"/>
    </row>
    <row r="127" spans="1:4" ht="12.5" x14ac:dyDescent="0.25">
      <c r="A127" s="1116" t="s">
        <v>451</v>
      </c>
      <c r="B127" s="1113" t="s">
        <v>578</v>
      </c>
      <c r="C127" s="1113" t="s">
        <v>580</v>
      </c>
      <c r="D127" s="1113"/>
    </row>
    <row r="128" spans="1:4" ht="12.5" x14ac:dyDescent="0.25">
      <c r="A128" s="1116" t="s">
        <v>451</v>
      </c>
      <c r="B128" s="1113" t="s">
        <v>578</v>
      </c>
      <c r="C128" s="1113" t="s">
        <v>581</v>
      </c>
      <c r="D128" s="1113"/>
    </row>
    <row r="129" spans="1:4" ht="12.5" x14ac:dyDescent="0.25">
      <c r="A129" s="1116" t="s">
        <v>451</v>
      </c>
      <c r="B129" s="1113" t="s">
        <v>578</v>
      </c>
      <c r="C129" s="1113" t="s">
        <v>582</v>
      </c>
      <c r="D129" s="1113"/>
    </row>
    <row r="130" spans="1:4" ht="12.5" x14ac:dyDescent="0.25">
      <c r="A130" s="1116" t="s">
        <v>451</v>
      </c>
      <c r="B130" s="1113" t="s">
        <v>578</v>
      </c>
      <c r="C130" s="1113" t="s">
        <v>583</v>
      </c>
      <c r="D130" s="1113"/>
    </row>
    <row r="131" spans="1:4" ht="12.5" x14ac:dyDescent="0.25">
      <c r="A131" s="1116" t="s">
        <v>451</v>
      </c>
      <c r="B131" s="1113" t="s">
        <v>578</v>
      </c>
      <c r="C131" s="1113" t="s">
        <v>584</v>
      </c>
      <c r="D131" s="1113"/>
    </row>
    <row r="132" spans="1:4" ht="12.5" x14ac:dyDescent="0.25">
      <c r="A132" s="1116" t="s">
        <v>451</v>
      </c>
      <c r="B132" s="1113" t="s">
        <v>578</v>
      </c>
      <c r="C132" s="1113" t="s">
        <v>585</v>
      </c>
      <c r="D132" s="1113"/>
    </row>
    <row r="133" spans="1:4" ht="12.5" x14ac:dyDescent="0.25">
      <c r="A133" s="1116" t="s">
        <v>451</v>
      </c>
      <c r="B133" s="1113" t="s">
        <v>578</v>
      </c>
      <c r="C133" s="1113" t="s">
        <v>586</v>
      </c>
      <c r="D133" s="1113"/>
    </row>
    <row r="134" spans="1:4" ht="12.5" x14ac:dyDescent="0.25">
      <c r="A134" s="1116" t="s">
        <v>451</v>
      </c>
      <c r="B134" s="1113" t="s">
        <v>578</v>
      </c>
      <c r="C134" s="1113" t="s">
        <v>587</v>
      </c>
      <c r="D134" s="1113"/>
    </row>
    <row r="135" spans="1:4" ht="12.5" x14ac:dyDescent="0.25">
      <c r="A135" s="1116" t="s">
        <v>451</v>
      </c>
      <c r="B135" s="1113" t="s">
        <v>578</v>
      </c>
      <c r="C135" s="1113" t="s">
        <v>588</v>
      </c>
      <c r="D135" s="1113"/>
    </row>
    <row r="136" spans="1:4" ht="51.5" x14ac:dyDescent="0.25">
      <c r="A136" s="1116" t="s">
        <v>451</v>
      </c>
      <c r="B136" s="1113" t="s">
        <v>578</v>
      </c>
      <c r="C136" s="1113" t="s">
        <v>589</v>
      </c>
      <c r="D136" s="1113"/>
    </row>
    <row r="137" spans="1:4" ht="51.5" x14ac:dyDescent="0.25">
      <c r="A137" s="1116" t="s">
        <v>451</v>
      </c>
      <c r="B137" s="1113" t="s">
        <v>578</v>
      </c>
      <c r="C137" s="1113" t="s">
        <v>590</v>
      </c>
      <c r="D137" s="1113"/>
    </row>
    <row r="138" spans="1:4" ht="51.5" x14ac:dyDescent="0.25">
      <c r="A138" s="1116" t="s">
        <v>451</v>
      </c>
      <c r="B138" s="1113" t="s">
        <v>578</v>
      </c>
      <c r="C138" s="1113" t="s">
        <v>591</v>
      </c>
      <c r="D138" s="1113"/>
    </row>
    <row r="139" spans="1:4" ht="51.5" x14ac:dyDescent="0.25">
      <c r="A139" s="1116" t="s">
        <v>451</v>
      </c>
      <c r="B139" s="1113" t="s">
        <v>578</v>
      </c>
      <c r="C139" s="1113" t="s">
        <v>592</v>
      </c>
      <c r="D139" s="1113"/>
    </row>
    <row r="140" spans="1:4" ht="51.5" x14ac:dyDescent="0.25">
      <c r="A140" s="1116" t="s">
        <v>451</v>
      </c>
      <c r="B140" s="1113" t="s">
        <v>578</v>
      </c>
      <c r="C140" s="1113" t="s">
        <v>593</v>
      </c>
      <c r="D140" s="1113"/>
    </row>
    <row r="141" spans="1:4" ht="51.5" x14ac:dyDescent="0.25">
      <c r="A141" s="1116" t="s">
        <v>451</v>
      </c>
      <c r="B141" s="1113" t="s">
        <v>578</v>
      </c>
      <c r="C141" s="1113" t="s">
        <v>594</v>
      </c>
      <c r="D141" s="1113"/>
    </row>
    <row r="142" spans="1:4" ht="51.5" x14ac:dyDescent="0.25">
      <c r="A142" s="1116" t="s">
        <v>451</v>
      </c>
      <c r="B142" s="1113" t="s">
        <v>578</v>
      </c>
      <c r="C142" s="1113" t="s">
        <v>595</v>
      </c>
      <c r="D142" s="1113"/>
    </row>
    <row r="143" spans="1:4" ht="151.5" x14ac:dyDescent="0.25">
      <c r="A143" s="1116" t="s">
        <v>451</v>
      </c>
      <c r="B143" s="1113" t="s">
        <v>578</v>
      </c>
      <c r="C143" s="1113" t="s">
        <v>596</v>
      </c>
      <c r="D143" s="1113"/>
    </row>
    <row r="144" spans="1:4" ht="12.5" x14ac:dyDescent="0.25">
      <c r="A144" s="1116" t="s">
        <v>451</v>
      </c>
      <c r="B144" s="1113" t="s">
        <v>597</v>
      </c>
      <c r="C144" s="1113" t="s">
        <v>598</v>
      </c>
      <c r="D144" s="1113"/>
    </row>
    <row r="145" spans="1:4" ht="51" x14ac:dyDescent="0.25">
      <c r="A145" s="1116" t="s">
        <v>451</v>
      </c>
      <c r="B145" s="1113" t="s">
        <v>597</v>
      </c>
      <c r="C145" s="1113" t="s">
        <v>599</v>
      </c>
      <c r="D145" s="1113"/>
    </row>
    <row r="146" spans="1:4" ht="51" x14ac:dyDescent="0.25">
      <c r="A146" s="1116" t="s">
        <v>451</v>
      </c>
      <c r="B146" s="1113" t="s">
        <v>597</v>
      </c>
      <c r="C146" s="1113" t="s">
        <v>600</v>
      </c>
      <c r="D146" s="1113"/>
    </row>
    <row r="147" spans="1:4" ht="12.5" x14ac:dyDescent="0.25">
      <c r="A147" s="1116" t="s">
        <v>451</v>
      </c>
      <c r="B147" s="1113" t="s">
        <v>601</v>
      </c>
      <c r="C147" s="1113" t="s">
        <v>602</v>
      </c>
      <c r="D147" s="2364"/>
    </row>
    <row r="148" spans="1:4" ht="12.5" x14ac:dyDescent="0.25">
      <c r="A148" s="1116" t="s">
        <v>451</v>
      </c>
      <c r="B148" s="1113" t="s">
        <v>601</v>
      </c>
      <c r="C148" s="1113" t="s">
        <v>603</v>
      </c>
      <c r="D148" s="2364"/>
    </row>
    <row r="149" spans="1:4" ht="12.5" x14ac:dyDescent="0.25">
      <c r="A149" s="1116" t="s">
        <v>451</v>
      </c>
      <c r="B149" s="1113" t="s">
        <v>601</v>
      </c>
      <c r="C149" s="1113" t="s">
        <v>604</v>
      </c>
      <c r="D149" s="2364"/>
    </row>
    <row r="150" spans="1:4" ht="12.5" x14ac:dyDescent="0.25">
      <c r="A150" s="1116" t="s">
        <v>451</v>
      </c>
      <c r="B150" s="1113" t="s">
        <v>601</v>
      </c>
      <c r="C150" s="1113" t="s">
        <v>605</v>
      </c>
      <c r="D150" s="2364"/>
    </row>
    <row r="151" spans="1:4" ht="12.5" x14ac:dyDescent="0.25">
      <c r="A151" s="1116" t="s">
        <v>451</v>
      </c>
      <c r="B151" s="1113" t="s">
        <v>601</v>
      </c>
      <c r="C151" s="1113" t="s">
        <v>606</v>
      </c>
      <c r="D151" s="2364"/>
    </row>
    <row r="152" spans="1:4" ht="12.5" x14ac:dyDescent="0.25">
      <c r="A152" s="1116" t="s">
        <v>451</v>
      </c>
      <c r="B152" s="1113" t="s">
        <v>601</v>
      </c>
      <c r="C152" s="1113" t="s">
        <v>607</v>
      </c>
      <c r="D152" s="2364"/>
    </row>
    <row r="153" spans="1:4" ht="12.5" x14ac:dyDescent="0.25">
      <c r="A153" s="1116" t="s">
        <v>451</v>
      </c>
      <c r="B153" s="1113" t="s">
        <v>601</v>
      </c>
      <c r="C153" s="1113" t="s">
        <v>608</v>
      </c>
      <c r="D153" s="2364"/>
    </row>
    <row r="154" spans="1:4" ht="12.5" x14ac:dyDescent="0.25">
      <c r="A154" s="1116" t="s">
        <v>451</v>
      </c>
      <c r="B154" s="1113" t="s">
        <v>601</v>
      </c>
      <c r="C154" s="1113" t="s">
        <v>609</v>
      </c>
      <c r="D154" s="2364"/>
    </row>
    <row r="155" spans="1:4" ht="12.5" x14ac:dyDescent="0.25">
      <c r="A155" s="1116" t="s">
        <v>451</v>
      </c>
      <c r="B155" s="1113" t="s">
        <v>601</v>
      </c>
      <c r="C155" s="1113" t="s">
        <v>610</v>
      </c>
      <c r="D155" s="2364"/>
    </row>
    <row r="156" spans="1:4" ht="56.5" customHeight="1" x14ac:dyDescent="0.25">
      <c r="A156" s="1116" t="s">
        <v>451</v>
      </c>
      <c r="B156" s="1113" t="s">
        <v>601</v>
      </c>
      <c r="C156" s="1113" t="s">
        <v>611</v>
      </c>
      <c r="D156" s="2364"/>
    </row>
    <row r="157" spans="1:4" ht="12.5" x14ac:dyDescent="0.25">
      <c r="A157" s="1116" t="s">
        <v>451</v>
      </c>
      <c r="B157" s="1113" t="s">
        <v>601</v>
      </c>
      <c r="C157" s="1113" t="s">
        <v>612</v>
      </c>
      <c r="D157" s="2364"/>
    </row>
    <row r="158" spans="1:4" ht="12.5" x14ac:dyDescent="0.25">
      <c r="A158" s="1116" t="s">
        <v>451</v>
      </c>
      <c r="B158" s="1113" t="s">
        <v>601</v>
      </c>
      <c r="C158" s="1113" t="s">
        <v>613</v>
      </c>
      <c r="D158" s="2364"/>
    </row>
    <row r="159" spans="1:4" ht="12.5" x14ac:dyDescent="0.25">
      <c r="A159" s="1116" t="s">
        <v>451</v>
      </c>
      <c r="B159" s="1113" t="s">
        <v>601</v>
      </c>
      <c r="C159" s="1113" t="s">
        <v>614</v>
      </c>
      <c r="D159" s="2364"/>
    </row>
    <row r="160" spans="1:4" ht="12.5" x14ac:dyDescent="0.25">
      <c r="A160" s="1116" t="s">
        <v>451</v>
      </c>
      <c r="B160" s="1113" t="s">
        <v>601</v>
      </c>
      <c r="C160" s="1113" t="s">
        <v>615</v>
      </c>
      <c r="D160" s="2364"/>
    </row>
    <row r="161" spans="1:4" ht="12.5" x14ac:dyDescent="0.25">
      <c r="A161" s="1116" t="s">
        <v>451</v>
      </c>
      <c r="B161" s="1113" t="s">
        <v>601</v>
      </c>
      <c r="C161" s="1113" t="s">
        <v>616</v>
      </c>
      <c r="D161" s="2364"/>
    </row>
    <row r="162" spans="1:4" ht="12.5" x14ac:dyDescent="0.25">
      <c r="A162" s="1116" t="s">
        <v>451</v>
      </c>
      <c r="B162" s="1113" t="s">
        <v>601</v>
      </c>
      <c r="C162" s="1113" t="s">
        <v>617</v>
      </c>
      <c r="D162" s="2364"/>
    </row>
    <row r="163" spans="1:4" ht="51" x14ac:dyDescent="0.25">
      <c r="A163" s="1116" t="s">
        <v>451</v>
      </c>
      <c r="B163" s="1113" t="s">
        <v>60</v>
      </c>
      <c r="C163" s="1113" t="s">
        <v>618</v>
      </c>
      <c r="D163" s="1113"/>
    </row>
    <row r="164" spans="1:4" ht="51" x14ac:dyDescent="0.25">
      <c r="A164" s="1116" t="s">
        <v>451</v>
      </c>
      <c r="B164" s="1113" t="s">
        <v>60</v>
      </c>
      <c r="C164" s="1113" t="s">
        <v>619</v>
      </c>
      <c r="D164" s="1113"/>
    </row>
    <row r="165" spans="1:4" ht="12.5" x14ac:dyDescent="0.25">
      <c r="A165" s="1209" t="s">
        <v>454</v>
      </c>
      <c r="B165" s="1113" t="s">
        <v>477</v>
      </c>
      <c r="C165" s="1113" t="s">
        <v>9552</v>
      </c>
      <c r="D165" s="1113"/>
    </row>
    <row r="166" spans="1:4" ht="51.5" x14ac:dyDescent="0.25">
      <c r="A166" s="1209" t="s">
        <v>454</v>
      </c>
      <c r="B166" s="1113" t="s">
        <v>578</v>
      </c>
      <c r="C166" s="1113" t="s">
        <v>620</v>
      </c>
      <c r="D166" s="1113"/>
    </row>
    <row r="167" spans="1:4" ht="51.5" x14ac:dyDescent="0.25">
      <c r="A167" s="1209" t="s">
        <v>454</v>
      </c>
      <c r="B167" s="1113" t="s">
        <v>578</v>
      </c>
      <c r="C167" s="1113" t="s">
        <v>621</v>
      </c>
      <c r="D167" s="1113"/>
    </row>
    <row r="168" spans="1:4" ht="51.5" x14ac:dyDescent="0.25">
      <c r="A168" s="1209" t="s">
        <v>454</v>
      </c>
      <c r="B168" s="1113" t="s">
        <v>578</v>
      </c>
      <c r="C168" s="1113" t="s">
        <v>622</v>
      </c>
      <c r="D168" s="1113"/>
    </row>
    <row r="169" spans="1:4" ht="51" x14ac:dyDescent="0.25">
      <c r="A169" s="1209"/>
      <c r="B169" s="1113"/>
      <c r="C169" s="1113" t="s">
        <v>9550</v>
      </c>
      <c r="D169" s="1113"/>
    </row>
    <row r="170" spans="1:4" ht="51.5" x14ac:dyDescent="0.25">
      <c r="A170" s="1209" t="s">
        <v>454</v>
      </c>
      <c r="B170" s="1113" t="s">
        <v>578</v>
      </c>
      <c r="C170" s="1113" t="s">
        <v>623</v>
      </c>
      <c r="D170" s="1113"/>
    </row>
    <row r="171" spans="1:4" ht="51.5" x14ac:dyDescent="0.25">
      <c r="A171" s="1209" t="s">
        <v>454</v>
      </c>
      <c r="B171" s="1113" t="s">
        <v>578</v>
      </c>
      <c r="C171" s="1113" t="s">
        <v>624</v>
      </c>
      <c r="D171" s="1113"/>
    </row>
    <row r="172" spans="1:4" ht="51.5" x14ac:dyDescent="0.25">
      <c r="A172" s="1209" t="s">
        <v>454</v>
      </c>
      <c r="B172" s="1113" t="s">
        <v>578</v>
      </c>
      <c r="C172" s="1113" t="s">
        <v>625</v>
      </c>
      <c r="D172" s="1113"/>
    </row>
    <row r="173" spans="1:4" ht="12.5" x14ac:dyDescent="0.25">
      <c r="A173" s="1204" t="s">
        <v>448</v>
      </c>
      <c r="B173" s="1136" t="s">
        <v>48</v>
      </c>
      <c r="C173" s="1137" t="s">
        <v>9536</v>
      </c>
      <c r="D173" s="1113"/>
    </row>
    <row r="174" spans="1:4" ht="12.5" x14ac:dyDescent="0.25">
      <c r="A174" s="1204" t="s">
        <v>448</v>
      </c>
      <c r="B174" s="1136" t="s">
        <v>48</v>
      </c>
      <c r="C174" s="1137" t="s">
        <v>626</v>
      </c>
      <c r="D174" s="1113"/>
    </row>
    <row r="175" spans="1:4" ht="12.5" x14ac:dyDescent="0.25">
      <c r="A175" s="1116" t="s">
        <v>451</v>
      </c>
      <c r="B175" s="1136" t="s">
        <v>48</v>
      </c>
      <c r="C175" s="1137" t="s">
        <v>627</v>
      </c>
      <c r="D175" s="1113"/>
    </row>
    <row r="176" spans="1:4" ht="12.5" x14ac:dyDescent="0.25">
      <c r="A176" s="1116" t="s">
        <v>451</v>
      </c>
      <c r="B176" s="1136" t="s">
        <v>48</v>
      </c>
      <c r="C176" s="1137" t="s">
        <v>628</v>
      </c>
      <c r="D176" s="1113"/>
    </row>
    <row r="177" spans="1:4" ht="12.5" x14ac:dyDescent="0.25">
      <c r="A177" s="1116" t="s">
        <v>451</v>
      </c>
      <c r="B177" s="1136" t="s">
        <v>48</v>
      </c>
      <c r="C177" s="1137" t="s">
        <v>629</v>
      </c>
      <c r="D177" s="1113"/>
    </row>
    <row r="178" spans="1:4" ht="12.5" x14ac:dyDescent="0.25">
      <c r="A178" s="1116" t="s">
        <v>451</v>
      </c>
      <c r="B178" s="1136" t="s">
        <v>48</v>
      </c>
      <c r="C178" s="1137" t="s">
        <v>630</v>
      </c>
      <c r="D178" s="1113"/>
    </row>
    <row r="179" spans="1:4" ht="12.5" x14ac:dyDescent="0.25">
      <c r="A179" s="1116" t="s">
        <v>451</v>
      </c>
      <c r="B179" s="1136" t="s">
        <v>48</v>
      </c>
      <c r="C179" s="1137" t="s">
        <v>631</v>
      </c>
      <c r="D179" s="1113"/>
    </row>
    <row r="180" spans="1:4" ht="12.5" x14ac:dyDescent="0.25">
      <c r="A180" s="1116" t="s">
        <v>451</v>
      </c>
      <c r="B180" s="1136" t="s">
        <v>48</v>
      </c>
      <c r="C180" s="1137" t="s">
        <v>632</v>
      </c>
      <c r="D180" s="1113"/>
    </row>
    <row r="181" spans="1:4" ht="12.5" x14ac:dyDescent="0.25">
      <c r="A181" s="1116" t="s">
        <v>451</v>
      </c>
      <c r="B181" s="1136" t="s">
        <v>48</v>
      </c>
      <c r="C181" s="1137" t="s">
        <v>633</v>
      </c>
      <c r="D181" s="1113"/>
    </row>
    <row r="182" spans="1:4" ht="12.5" x14ac:dyDescent="0.25">
      <c r="A182" s="1116" t="s">
        <v>451</v>
      </c>
      <c r="B182" s="1136" t="s">
        <v>48</v>
      </c>
      <c r="C182" s="1137" t="s">
        <v>634</v>
      </c>
      <c r="D182" s="1113"/>
    </row>
    <row r="183" spans="1:4" ht="12.5" x14ac:dyDescent="0.25">
      <c r="A183" s="1116" t="s">
        <v>451</v>
      </c>
      <c r="B183" s="1136" t="s">
        <v>48</v>
      </c>
      <c r="C183" s="1137" t="s">
        <v>635</v>
      </c>
      <c r="D183" s="1113"/>
    </row>
    <row r="184" spans="1:4" ht="12.5" x14ac:dyDescent="0.25">
      <c r="A184" s="1116" t="s">
        <v>451</v>
      </c>
      <c r="B184" s="1136" t="s">
        <v>48</v>
      </c>
      <c r="C184" s="1137" t="s">
        <v>636</v>
      </c>
      <c r="D184" s="1113"/>
    </row>
    <row r="185" spans="1:4" ht="12.5" x14ac:dyDescent="0.25">
      <c r="A185" s="1116" t="s">
        <v>451</v>
      </c>
      <c r="B185" s="1136" t="s">
        <v>48</v>
      </c>
      <c r="C185" s="1137" t="s">
        <v>637</v>
      </c>
      <c r="D185" s="1113"/>
    </row>
    <row r="186" spans="1:4" ht="12.5" x14ac:dyDescent="0.25">
      <c r="A186" s="1116" t="s">
        <v>451</v>
      </c>
      <c r="B186" s="1136" t="s">
        <v>48</v>
      </c>
      <c r="C186" s="1137" t="s">
        <v>638</v>
      </c>
      <c r="D186" s="1113"/>
    </row>
    <row r="187" spans="1:4" ht="12.5" x14ac:dyDescent="0.25">
      <c r="A187" s="1116" t="s">
        <v>451</v>
      </c>
      <c r="B187" s="1136" t="s">
        <v>48</v>
      </c>
      <c r="C187" s="1137" t="s">
        <v>639</v>
      </c>
      <c r="D187" s="1113"/>
    </row>
    <row r="188" spans="1:4" ht="12.5" x14ac:dyDescent="0.25">
      <c r="A188" s="1116" t="s">
        <v>451</v>
      </c>
      <c r="B188" s="1136" t="s">
        <v>48</v>
      </c>
      <c r="C188" s="1137" t="s">
        <v>640</v>
      </c>
      <c r="D188" s="1113"/>
    </row>
    <row r="189" spans="1:4" ht="12.5" x14ac:dyDescent="0.25">
      <c r="A189" s="1116" t="s">
        <v>451</v>
      </c>
      <c r="B189" s="1136" t="s">
        <v>48</v>
      </c>
      <c r="C189" s="1137" t="s">
        <v>641</v>
      </c>
      <c r="D189" s="1113"/>
    </row>
    <row r="190" spans="1:4" ht="12.5" x14ac:dyDescent="0.25">
      <c r="A190" s="1116" t="s">
        <v>451</v>
      </c>
      <c r="B190" s="1136" t="s">
        <v>48</v>
      </c>
      <c r="C190" s="1137" t="s">
        <v>642</v>
      </c>
      <c r="D190" s="1113"/>
    </row>
    <row r="191" spans="1:4" ht="12.5" x14ac:dyDescent="0.25">
      <c r="A191" s="1116" t="s">
        <v>451</v>
      </c>
      <c r="B191" s="1136" t="s">
        <v>48</v>
      </c>
      <c r="C191" s="1137" t="s">
        <v>643</v>
      </c>
      <c r="D191" s="1113"/>
    </row>
    <row r="192" spans="1:4" ht="12.5" x14ac:dyDescent="0.25">
      <c r="A192" s="1116" t="s">
        <v>451</v>
      </c>
      <c r="B192" s="1136" t="s">
        <v>48</v>
      </c>
      <c r="C192" s="1137" t="s">
        <v>644</v>
      </c>
      <c r="D192" s="1113"/>
    </row>
    <row r="193" spans="1:4" ht="12.5" x14ac:dyDescent="0.25">
      <c r="A193" s="1116" t="s">
        <v>451</v>
      </c>
      <c r="B193" s="1136" t="s">
        <v>48</v>
      </c>
      <c r="C193" s="1137" t="s">
        <v>645</v>
      </c>
      <c r="D193" s="1113"/>
    </row>
    <row r="194" spans="1:4" ht="12.5" x14ac:dyDescent="0.25">
      <c r="A194" s="1116" t="s">
        <v>451</v>
      </c>
      <c r="B194" s="1136" t="s">
        <v>48</v>
      </c>
      <c r="C194" s="1137" t="s">
        <v>646</v>
      </c>
      <c r="D194" s="1113"/>
    </row>
    <row r="195" spans="1:4" ht="12.5" x14ac:dyDescent="0.25">
      <c r="A195" s="1116" t="s">
        <v>451</v>
      </c>
      <c r="B195" s="1136" t="s">
        <v>48</v>
      </c>
      <c r="C195" s="1137" t="s">
        <v>647</v>
      </c>
      <c r="D195" s="1113"/>
    </row>
    <row r="196" spans="1:4" ht="12.5" x14ac:dyDescent="0.25">
      <c r="A196" s="1116" t="s">
        <v>451</v>
      </c>
      <c r="B196" s="1136" t="s">
        <v>48</v>
      </c>
      <c r="C196" s="1137" t="s">
        <v>648</v>
      </c>
      <c r="D196" s="1113"/>
    </row>
    <row r="197" spans="1:4" ht="59.5" customHeight="1" x14ac:dyDescent="0.25">
      <c r="A197" s="1116" t="s">
        <v>451</v>
      </c>
      <c r="B197" s="1136" t="s">
        <v>48</v>
      </c>
      <c r="C197" s="1137" t="s">
        <v>649</v>
      </c>
      <c r="D197" s="1113"/>
    </row>
    <row r="198" spans="1:4" ht="58.5" customHeight="1" x14ac:dyDescent="0.25">
      <c r="A198" s="1116" t="s">
        <v>451</v>
      </c>
      <c r="B198" s="1136" t="s">
        <v>48</v>
      </c>
      <c r="C198" s="1137" t="s">
        <v>650</v>
      </c>
      <c r="D198" s="1113"/>
    </row>
    <row r="199" spans="1:4" ht="12.5" x14ac:dyDescent="0.25">
      <c r="A199" s="1116" t="s">
        <v>451</v>
      </c>
      <c r="B199" s="1136" t="s">
        <v>48</v>
      </c>
      <c r="C199" s="1137" t="s">
        <v>651</v>
      </c>
      <c r="D199" s="1113"/>
    </row>
    <row r="200" spans="1:4" ht="12.5" x14ac:dyDescent="0.25">
      <c r="A200" s="1116" t="s">
        <v>451</v>
      </c>
      <c r="B200" s="1136" t="s">
        <v>48</v>
      </c>
      <c r="C200" s="1137" t="s">
        <v>652</v>
      </c>
      <c r="D200" s="1113"/>
    </row>
    <row r="201" spans="1:4" ht="12.5" x14ac:dyDescent="0.25">
      <c r="A201" s="1116" t="s">
        <v>451</v>
      </c>
      <c r="B201" s="1136" t="s">
        <v>48</v>
      </c>
      <c r="C201" s="1137" t="s">
        <v>653</v>
      </c>
      <c r="D201" s="1113"/>
    </row>
    <row r="202" spans="1:4" ht="12.5" x14ac:dyDescent="0.25">
      <c r="A202" s="1116" t="s">
        <v>451</v>
      </c>
      <c r="B202" s="1136" t="s">
        <v>48</v>
      </c>
      <c r="C202" s="1137" t="s">
        <v>654</v>
      </c>
      <c r="D202" s="1113"/>
    </row>
    <row r="203" spans="1:4" ht="12.5" x14ac:dyDescent="0.25">
      <c r="A203" s="1116" t="s">
        <v>451</v>
      </c>
      <c r="B203" s="1136" t="s">
        <v>48</v>
      </c>
      <c r="C203" s="1137" t="s">
        <v>655</v>
      </c>
      <c r="D203" s="1113"/>
    </row>
    <row r="204" spans="1:4" ht="12.5" x14ac:dyDescent="0.25">
      <c r="A204" s="1116" t="s">
        <v>451</v>
      </c>
      <c r="B204" s="1136" t="s">
        <v>48</v>
      </c>
      <c r="C204" s="1137" t="s">
        <v>656</v>
      </c>
      <c r="D204" s="1113"/>
    </row>
    <row r="205" spans="1:4" ht="12.5" x14ac:dyDescent="0.25">
      <c r="A205" s="1116" t="s">
        <v>451</v>
      </c>
      <c r="B205" s="1136" t="s">
        <v>48</v>
      </c>
      <c r="C205" s="1137" t="s">
        <v>657</v>
      </c>
      <c r="D205" s="1113"/>
    </row>
    <row r="206" spans="1:4" ht="12.5" x14ac:dyDescent="0.25">
      <c r="A206" s="1116" t="s">
        <v>451</v>
      </c>
      <c r="B206" s="1136" t="s">
        <v>48</v>
      </c>
      <c r="C206" s="1137" t="s">
        <v>658</v>
      </c>
      <c r="D206" s="1113"/>
    </row>
    <row r="207" spans="1:4" ht="58.5" customHeight="1" x14ac:dyDescent="0.25">
      <c r="A207" s="1116" t="s">
        <v>451</v>
      </c>
      <c r="B207" s="1136" t="s">
        <v>48</v>
      </c>
      <c r="C207" s="1137" t="s">
        <v>659</v>
      </c>
      <c r="D207" s="1113"/>
    </row>
    <row r="208" spans="1:4" ht="50.5" x14ac:dyDescent="0.3">
      <c r="A208" s="1116" t="s">
        <v>451</v>
      </c>
      <c r="B208" s="1136" t="s">
        <v>48</v>
      </c>
      <c r="C208" s="1137" t="s">
        <v>660</v>
      </c>
      <c r="D208" s="1113"/>
    </row>
    <row r="209" spans="1:4" ht="50.5" x14ac:dyDescent="0.3">
      <c r="A209" s="1116" t="s">
        <v>451</v>
      </c>
      <c r="B209" s="1136" t="s">
        <v>48</v>
      </c>
      <c r="C209" s="1137" t="s">
        <v>661</v>
      </c>
      <c r="D209" s="1113"/>
    </row>
    <row r="210" spans="1:4" ht="50.5" x14ac:dyDescent="0.3">
      <c r="A210" s="1116" t="s">
        <v>451</v>
      </c>
      <c r="B210" s="1136" t="s">
        <v>48</v>
      </c>
      <c r="C210" s="1137" t="s">
        <v>662</v>
      </c>
      <c r="D210" s="1113"/>
    </row>
    <row r="211" spans="1:4" ht="50.5" x14ac:dyDescent="0.3">
      <c r="A211" s="1116" t="s">
        <v>451</v>
      </c>
      <c r="B211" s="1113" t="s">
        <v>50</v>
      </c>
      <c r="C211" s="1137" t="s">
        <v>663</v>
      </c>
      <c r="D211" s="1113"/>
    </row>
    <row r="212" spans="1:4" ht="150.5" x14ac:dyDescent="0.25">
      <c r="A212" s="1116" t="s">
        <v>451</v>
      </c>
      <c r="B212" s="1113" t="s">
        <v>50</v>
      </c>
      <c r="C212" s="1137" t="s">
        <v>664</v>
      </c>
      <c r="D212" s="1113"/>
    </row>
    <row r="213" spans="1:4" ht="138" x14ac:dyDescent="0.3">
      <c r="A213" s="1116" t="s">
        <v>451</v>
      </c>
      <c r="B213" s="1113" t="s">
        <v>50</v>
      </c>
      <c r="C213" s="1137" t="s">
        <v>665</v>
      </c>
      <c r="D213" s="1113"/>
    </row>
    <row r="214" spans="1:4" ht="151" x14ac:dyDescent="0.25">
      <c r="A214" s="1116" t="s">
        <v>451</v>
      </c>
      <c r="B214" s="1113" t="s">
        <v>50</v>
      </c>
      <c r="C214" s="1113" t="s">
        <v>666</v>
      </c>
      <c r="D214" s="1113"/>
    </row>
    <row r="215" spans="1:4" ht="150.5" x14ac:dyDescent="0.25">
      <c r="A215" s="1116" t="s">
        <v>451</v>
      </c>
      <c r="B215" s="1113" t="s">
        <v>50</v>
      </c>
      <c r="C215" s="1137" t="s">
        <v>667</v>
      </c>
      <c r="D215" s="1113"/>
    </row>
    <row r="216" spans="1:4" ht="163.5" x14ac:dyDescent="0.25">
      <c r="A216" s="1116" t="s">
        <v>451</v>
      </c>
      <c r="B216" s="1113" t="s">
        <v>50</v>
      </c>
      <c r="C216" s="1137" t="s">
        <v>668</v>
      </c>
      <c r="D216" s="1113"/>
    </row>
    <row r="217" spans="1:4" ht="57" customHeight="1" x14ac:dyDescent="0.3">
      <c r="A217" s="1116" t="s">
        <v>451</v>
      </c>
      <c r="B217" s="1113" t="s">
        <v>65</v>
      </c>
      <c r="C217" s="1137" t="s">
        <v>669</v>
      </c>
      <c r="D217" s="1113"/>
    </row>
    <row r="218" spans="1:4" ht="59.25" customHeight="1" x14ac:dyDescent="0.3">
      <c r="A218" s="1116" t="s">
        <v>451</v>
      </c>
      <c r="B218" s="1113" t="s">
        <v>65</v>
      </c>
      <c r="C218" s="1137" t="s">
        <v>670</v>
      </c>
      <c r="D218" s="1113"/>
    </row>
    <row r="219" spans="1:4" ht="50.5" x14ac:dyDescent="0.3">
      <c r="A219" s="1116" t="s">
        <v>451</v>
      </c>
      <c r="B219" s="1113" t="s">
        <v>65</v>
      </c>
      <c r="C219" s="1137" t="s">
        <v>671</v>
      </c>
      <c r="D219" s="1113"/>
    </row>
    <row r="220" spans="1:4" ht="150.5" x14ac:dyDescent="0.25">
      <c r="A220" s="1116" t="s">
        <v>451</v>
      </c>
      <c r="B220" s="1113" t="s">
        <v>65</v>
      </c>
      <c r="C220" s="1137" t="s">
        <v>672</v>
      </c>
      <c r="D220" s="1113"/>
    </row>
    <row r="221" spans="1:4" ht="175.5" x14ac:dyDescent="0.25">
      <c r="A221" s="1220" t="s">
        <v>503</v>
      </c>
      <c r="B221" s="1113" t="s">
        <v>50</v>
      </c>
      <c r="C221" s="1137" t="s">
        <v>9535</v>
      </c>
      <c r="D221" s="1113"/>
    </row>
    <row r="222" spans="1:4" ht="65" x14ac:dyDescent="0.3">
      <c r="A222" s="1220" t="s">
        <v>503</v>
      </c>
      <c r="B222" s="1113" t="s">
        <v>50</v>
      </c>
      <c r="C222" s="1137" t="s">
        <v>9541</v>
      </c>
      <c r="D222" s="1137" t="s">
        <v>9543</v>
      </c>
    </row>
    <row r="223" spans="1:4" ht="12.5" x14ac:dyDescent="0.25">
      <c r="A223" s="1220" t="s">
        <v>503</v>
      </c>
      <c r="B223" s="1113" t="s">
        <v>50</v>
      </c>
      <c r="C223" s="1137" t="s">
        <v>9542</v>
      </c>
      <c r="D223" s="1137" t="s">
        <v>9543</v>
      </c>
    </row>
    <row r="224" spans="1:4" ht="51" x14ac:dyDescent="0.3">
      <c r="A224" s="2356" t="s">
        <v>2355</v>
      </c>
      <c r="B224" s="1113" t="s">
        <v>54</v>
      </c>
      <c r="C224" s="1137" t="s">
        <v>9553</v>
      </c>
      <c r="D224" s="1137"/>
    </row>
    <row r="225" spans="1:4" ht="12.5" x14ac:dyDescent="0.25">
      <c r="A225" s="2356" t="s">
        <v>2355</v>
      </c>
      <c r="B225" s="1113" t="s">
        <v>54</v>
      </c>
      <c r="C225" s="1137" t="s">
        <v>9554</v>
      </c>
      <c r="D225" s="1137"/>
    </row>
    <row r="226" spans="1:4" ht="12.5" x14ac:dyDescent="0.25">
      <c r="A226" s="2356" t="s">
        <v>2355</v>
      </c>
      <c r="B226" s="1113" t="s">
        <v>54</v>
      </c>
      <c r="C226" s="1137" t="s">
        <v>9555</v>
      </c>
      <c r="D226" s="1137"/>
    </row>
    <row r="227" spans="1:4" ht="51.5" x14ac:dyDescent="0.3">
      <c r="A227" s="2356" t="s">
        <v>2355</v>
      </c>
      <c r="B227" s="1113" t="s">
        <v>54</v>
      </c>
      <c r="C227" s="1137" t="s">
        <v>9556</v>
      </c>
      <c r="D227" s="1137"/>
    </row>
    <row r="228" spans="1:4" ht="12.5" x14ac:dyDescent="0.25">
      <c r="A228" s="2356" t="s">
        <v>2355</v>
      </c>
      <c r="B228" s="1113" t="s">
        <v>477</v>
      </c>
      <c r="C228" s="1137" t="s">
        <v>9557</v>
      </c>
      <c r="D228" s="1137"/>
    </row>
    <row r="229" spans="1:4" ht="12.5" x14ac:dyDescent="0.25">
      <c r="A229" s="2356" t="s">
        <v>2355</v>
      </c>
      <c r="B229" s="1113" t="s">
        <v>477</v>
      </c>
      <c r="C229" s="1137" t="s">
        <v>9558</v>
      </c>
      <c r="D229" s="1137"/>
    </row>
    <row r="230" spans="1:4" ht="12.5" x14ac:dyDescent="0.25">
      <c r="A230" s="2356" t="s">
        <v>2355</v>
      </c>
      <c r="B230" s="1113" t="s">
        <v>601</v>
      </c>
      <c r="C230" s="1137" t="s">
        <v>9565</v>
      </c>
      <c r="D230" s="2363"/>
    </row>
    <row r="231" spans="1:4" ht="12.5" x14ac:dyDescent="0.25">
      <c r="A231" s="2356" t="s">
        <v>2355</v>
      </c>
      <c r="B231" s="1113" t="s">
        <v>601</v>
      </c>
      <c r="C231" s="1137" t="s">
        <v>9566</v>
      </c>
      <c r="D231" s="2363"/>
    </row>
    <row r="232" spans="1:4" ht="12.5" x14ac:dyDescent="0.25">
      <c r="A232" s="2356" t="s">
        <v>2355</v>
      </c>
      <c r="B232" s="1113" t="s">
        <v>516</v>
      </c>
      <c r="C232" s="1137" t="s">
        <v>9561</v>
      </c>
      <c r="D232" s="2363"/>
    </row>
    <row r="233" spans="1:4" ht="12.5" x14ac:dyDescent="0.25">
      <c r="A233" s="2356" t="s">
        <v>2355</v>
      </c>
      <c r="B233" s="1113" t="s">
        <v>516</v>
      </c>
      <c r="C233" s="1137" t="s">
        <v>9562</v>
      </c>
      <c r="D233" s="2363"/>
    </row>
    <row r="234" spans="1:4" x14ac:dyDescent="0.25">
      <c r="A234" s="1214" t="s">
        <v>9589</v>
      </c>
      <c r="B234" s="569">
        <v>45883</v>
      </c>
      <c r="D234" s="575"/>
    </row>
    <row r="235" spans="1:4" x14ac:dyDescent="0.25">
      <c r="A235" s="1215" t="s">
        <v>468</v>
      </c>
      <c r="B235" s="1113" t="s">
        <v>477</v>
      </c>
      <c r="C235" s="1216" t="s">
        <v>9590</v>
      </c>
      <c r="D235" s="1217"/>
    </row>
    <row r="236" spans="1:4" x14ac:dyDescent="0.25">
      <c r="A236" s="1214" t="s">
        <v>9593</v>
      </c>
      <c r="B236" s="569">
        <v>45895</v>
      </c>
      <c r="D236" s="575"/>
    </row>
    <row r="237" spans="1:4" ht="12.5" x14ac:dyDescent="0.25">
      <c r="A237" s="1116" t="s">
        <v>451</v>
      </c>
      <c r="B237" s="1113" t="s">
        <v>578</v>
      </c>
      <c r="C237" s="1137" t="s">
        <v>9594</v>
      </c>
      <c r="D237" s="1113"/>
    </row>
    <row r="238" spans="1:4" ht="12.5" x14ac:dyDescent="0.25">
      <c r="A238" s="1116" t="s">
        <v>451</v>
      </c>
      <c r="B238" s="1113" t="s">
        <v>578</v>
      </c>
      <c r="C238" s="1137" t="s">
        <v>9595</v>
      </c>
      <c r="D238" s="1113"/>
    </row>
    <row r="239" spans="1:4" ht="12.5" x14ac:dyDescent="0.25">
      <c r="A239" s="1116" t="s">
        <v>451</v>
      </c>
      <c r="B239" s="1113" t="s">
        <v>578</v>
      </c>
      <c r="C239" s="1137" t="s">
        <v>9597</v>
      </c>
      <c r="D239" s="1113"/>
    </row>
    <row r="240" spans="1:4" ht="12.5" x14ac:dyDescent="0.25">
      <c r="A240" s="1116" t="s">
        <v>451</v>
      </c>
      <c r="B240" s="1113" t="s">
        <v>578</v>
      </c>
      <c r="C240" s="1137" t="s">
        <v>9598</v>
      </c>
      <c r="D240" s="1113"/>
    </row>
    <row r="241" spans="1:4" ht="12.5" x14ac:dyDescent="0.25">
      <c r="A241" s="1116" t="s">
        <v>451</v>
      </c>
      <c r="B241" s="1113" t="s">
        <v>578</v>
      </c>
      <c r="C241" s="1137" t="s">
        <v>9596</v>
      </c>
      <c r="D241" s="1113"/>
    </row>
    <row r="242" spans="1:4" ht="12.5" x14ac:dyDescent="0.25">
      <c r="A242" s="1116" t="s">
        <v>451</v>
      </c>
      <c r="B242" s="1113" t="s">
        <v>54</v>
      </c>
      <c r="C242" s="1137" t="s">
        <v>9599</v>
      </c>
      <c r="D242" s="1113"/>
    </row>
    <row r="243" spans="1:4" ht="12.5" x14ac:dyDescent="0.25">
      <c r="A243" s="2356" t="s">
        <v>2355</v>
      </c>
      <c r="B243" s="1113" t="s">
        <v>54</v>
      </c>
      <c r="C243" s="1137" t="s">
        <v>9600</v>
      </c>
      <c r="D243" s="1113"/>
    </row>
    <row r="244" spans="1:4" ht="51" x14ac:dyDescent="0.25">
      <c r="A244" s="2401" t="s">
        <v>456</v>
      </c>
      <c r="B244" s="1113" t="s">
        <v>74</v>
      </c>
      <c r="C244" s="1217" t="s">
        <v>9697</v>
      </c>
      <c r="D244" s="1113"/>
    </row>
    <row r="245" spans="1:4" ht="12.5" x14ac:dyDescent="0.25">
      <c r="A245" s="2401" t="s">
        <v>456</v>
      </c>
      <c r="B245" s="1113" t="s">
        <v>519</v>
      </c>
      <c r="C245" s="1217" t="s">
        <v>9601</v>
      </c>
      <c r="D245" s="1113"/>
    </row>
    <row r="246" spans="1:4" ht="12.5" x14ac:dyDescent="0.25">
      <c r="A246" s="2401" t="s">
        <v>456</v>
      </c>
      <c r="B246" s="1113" t="s">
        <v>474</v>
      </c>
      <c r="C246" s="1217" t="s">
        <v>9602</v>
      </c>
      <c r="D246" s="1113"/>
    </row>
    <row r="247" spans="1:4" ht="88" x14ac:dyDescent="0.25">
      <c r="A247" s="2401" t="s">
        <v>456</v>
      </c>
      <c r="B247" s="1113" t="s">
        <v>40</v>
      </c>
      <c r="C247" s="1137" t="s">
        <v>9603</v>
      </c>
      <c r="D247" s="1113" t="s">
        <v>7437</v>
      </c>
    </row>
    <row r="248" spans="1:4" ht="151" x14ac:dyDescent="0.25">
      <c r="A248" s="1116" t="s">
        <v>451</v>
      </c>
      <c r="B248" s="1113" t="s">
        <v>50</v>
      </c>
      <c r="C248" s="1137" t="s">
        <v>9604</v>
      </c>
      <c r="D248" s="1113"/>
    </row>
    <row r="249" spans="1:4" ht="151.5" x14ac:dyDescent="0.25">
      <c r="A249" s="1116" t="s">
        <v>451</v>
      </c>
      <c r="B249" s="1113" t="s">
        <v>50</v>
      </c>
      <c r="C249" s="1137" t="s">
        <v>9612</v>
      </c>
      <c r="D249" s="1113"/>
    </row>
    <row r="250" spans="1:4" x14ac:dyDescent="0.25">
      <c r="A250" s="1214" t="s">
        <v>9609</v>
      </c>
      <c r="B250" s="569">
        <v>45919</v>
      </c>
      <c r="D250" s="575"/>
    </row>
    <row r="251" spans="1:4" ht="12.5" x14ac:dyDescent="0.25">
      <c r="A251" s="1116" t="s">
        <v>451</v>
      </c>
      <c r="B251" s="1113" t="s">
        <v>48</v>
      </c>
      <c r="C251" s="1137" t="s">
        <v>9610</v>
      </c>
      <c r="D251" s="1113"/>
    </row>
    <row r="252" spans="1:4" ht="76" x14ac:dyDescent="0.25">
      <c r="A252" s="1116" t="s">
        <v>451</v>
      </c>
      <c r="B252" s="1113" t="s">
        <v>48</v>
      </c>
      <c r="C252" s="1137" t="s">
        <v>9611</v>
      </c>
      <c r="D252" s="1113"/>
    </row>
    <row r="253" spans="1:4" ht="51" x14ac:dyDescent="0.3">
      <c r="A253" s="1116" t="s">
        <v>451</v>
      </c>
      <c r="B253" s="1113" t="s">
        <v>9613</v>
      </c>
      <c r="C253" s="1137" t="s">
        <v>9614</v>
      </c>
      <c r="D253" s="1113"/>
    </row>
    <row r="254" spans="1:4" ht="12.5" x14ac:dyDescent="0.25">
      <c r="A254" s="1215" t="s">
        <v>468</v>
      </c>
      <c r="B254" s="1113" t="s">
        <v>601</v>
      </c>
      <c r="C254" s="1137" t="s">
        <v>9615</v>
      </c>
      <c r="D254" s="1113"/>
    </row>
    <row r="255" spans="1:4" ht="12.5" x14ac:dyDescent="0.25">
      <c r="A255" s="1215" t="s">
        <v>468</v>
      </c>
      <c r="B255" s="1113" t="s">
        <v>516</v>
      </c>
      <c r="C255" s="1137" t="s">
        <v>9621</v>
      </c>
      <c r="D255" s="1113"/>
    </row>
    <row r="256" spans="1:4" ht="12.5" x14ac:dyDescent="0.25">
      <c r="A256" s="2457" t="s">
        <v>451</v>
      </c>
      <c r="B256" s="1113" t="s">
        <v>500</v>
      </c>
      <c r="C256" s="1217" t="s">
        <v>9618</v>
      </c>
      <c r="D256" s="1113"/>
    </row>
    <row r="257" spans="1:4" ht="12.5" x14ac:dyDescent="0.25">
      <c r="A257" s="2458" t="s">
        <v>453</v>
      </c>
      <c r="B257" s="1113" t="s">
        <v>500</v>
      </c>
      <c r="C257" s="1217" t="s">
        <v>9620</v>
      </c>
      <c r="D257" s="1217"/>
    </row>
    <row r="258" spans="1:4" ht="12.5" x14ac:dyDescent="0.25">
      <c r="A258" s="2457" t="s">
        <v>451</v>
      </c>
      <c r="B258" s="1113" t="s">
        <v>500</v>
      </c>
      <c r="C258" s="1217" t="s">
        <v>9619</v>
      </c>
      <c r="D258" s="1217"/>
    </row>
    <row r="259" spans="1:4" x14ac:dyDescent="0.25">
      <c r="A259" s="1214" t="s">
        <v>9623</v>
      </c>
      <c r="B259" s="569">
        <v>45938</v>
      </c>
      <c r="D259" s="575"/>
    </row>
    <row r="260" spans="1:4" ht="51" x14ac:dyDescent="0.3">
      <c r="A260" s="1116" t="s">
        <v>451</v>
      </c>
      <c r="B260" s="1113" t="s">
        <v>48</v>
      </c>
      <c r="C260" s="1137" t="s">
        <v>9622</v>
      </c>
      <c r="D260" s="1113"/>
    </row>
    <row r="261" spans="1:4" ht="12.5" x14ac:dyDescent="0.25">
      <c r="A261" s="2356" t="s">
        <v>2355</v>
      </c>
      <c r="B261" s="1113" t="s">
        <v>54</v>
      </c>
      <c r="C261" s="1137" t="s">
        <v>9626</v>
      </c>
      <c r="D261" s="1113"/>
    </row>
    <row r="262" spans="1:4" x14ac:dyDescent="0.25">
      <c r="A262" s="1214" t="s">
        <v>9629</v>
      </c>
      <c r="B262" s="569">
        <v>45964</v>
      </c>
      <c r="D262" s="575"/>
    </row>
    <row r="263" spans="1:4" ht="12.5" x14ac:dyDescent="0.25">
      <c r="A263" s="2459" t="s">
        <v>454</v>
      </c>
      <c r="B263" s="1113" t="s">
        <v>601</v>
      </c>
      <c r="C263" s="1217" t="s">
        <v>9631</v>
      </c>
      <c r="D263" s="1113"/>
    </row>
    <row r="264" spans="1:4" ht="177.5" x14ac:dyDescent="0.25">
      <c r="A264" s="2401" t="s">
        <v>456</v>
      </c>
      <c r="B264" s="1113" t="s">
        <v>40</v>
      </c>
      <c r="C264" s="1137" t="s">
        <v>9630</v>
      </c>
      <c r="D264" s="1113"/>
    </row>
    <row r="265" spans="1:4" x14ac:dyDescent="0.25">
      <c r="A265" s="1214" t="s">
        <v>9640</v>
      </c>
      <c r="B265" s="569">
        <v>45987</v>
      </c>
      <c r="D265" s="575"/>
    </row>
    <row r="266" spans="1:4" ht="12.5" x14ac:dyDescent="0.25">
      <c r="A266" s="2457" t="s">
        <v>451</v>
      </c>
      <c r="B266" s="1113" t="s">
        <v>601</v>
      </c>
      <c r="C266" s="1217" t="s">
        <v>9634</v>
      </c>
      <c r="D266" s="2412"/>
    </row>
    <row r="267" spans="1:4" x14ac:dyDescent="0.25">
      <c r="A267" s="2458" t="s">
        <v>453</v>
      </c>
      <c r="B267" s="1203" t="s">
        <v>500</v>
      </c>
      <c r="C267" s="1217" t="s">
        <v>9637</v>
      </c>
      <c r="D267" s="1137"/>
    </row>
    <row r="268" spans="1:4" ht="12.5" x14ac:dyDescent="0.25">
      <c r="A268" s="2356" t="s">
        <v>2355</v>
      </c>
      <c r="B268" s="1113" t="s">
        <v>601</v>
      </c>
      <c r="C268" s="1217" t="s">
        <v>9638</v>
      </c>
      <c r="D268" s="2412"/>
    </row>
    <row r="269" spans="1:4" ht="12.5" x14ac:dyDescent="0.25">
      <c r="A269" s="2356" t="s">
        <v>2355</v>
      </c>
      <c r="B269" s="1113" t="s">
        <v>9639</v>
      </c>
      <c r="C269" s="1217" t="s">
        <v>9638</v>
      </c>
      <c r="D269" s="2412"/>
    </row>
    <row r="270" spans="1:4" ht="12.5" x14ac:dyDescent="0.25">
      <c r="A270" s="2356" t="s">
        <v>2355</v>
      </c>
      <c r="B270" s="1113" t="s">
        <v>500</v>
      </c>
      <c r="C270" s="1217" t="s">
        <v>9653</v>
      </c>
      <c r="D270" s="1113" t="s">
        <v>9654</v>
      </c>
    </row>
    <row r="271" spans="1:4" x14ac:dyDescent="0.3">
      <c r="A271" s="2419" t="s">
        <v>451</v>
      </c>
      <c r="B271" s="2420" t="s">
        <v>48</v>
      </c>
      <c r="C271" s="1137" t="s">
        <v>9643</v>
      </c>
      <c r="D271" s="2420"/>
    </row>
    <row r="272" spans="1:4" ht="12.5" x14ac:dyDescent="0.25">
      <c r="A272" s="2419" t="s">
        <v>451</v>
      </c>
      <c r="B272" s="2420" t="s">
        <v>48</v>
      </c>
      <c r="C272" s="1137" t="s">
        <v>9642</v>
      </c>
      <c r="D272" s="2420"/>
    </row>
    <row r="273" spans="1:4" ht="51" x14ac:dyDescent="0.3">
      <c r="A273" s="2419" t="s">
        <v>451</v>
      </c>
      <c r="B273" s="2420" t="s">
        <v>48</v>
      </c>
      <c r="C273" s="1137" t="s">
        <v>9644</v>
      </c>
      <c r="D273" s="2420"/>
    </row>
    <row r="274" spans="1:4" ht="76" x14ac:dyDescent="0.25">
      <c r="A274" s="2419" t="s">
        <v>451</v>
      </c>
      <c r="B274" s="2420" t="s">
        <v>48</v>
      </c>
      <c r="C274" s="1137" t="s">
        <v>9645</v>
      </c>
      <c r="D274" s="2420"/>
    </row>
    <row r="275" spans="1:4" x14ac:dyDescent="0.3">
      <c r="A275" s="2419" t="s">
        <v>451</v>
      </c>
      <c r="B275" s="2420" t="s">
        <v>54</v>
      </c>
      <c r="C275" s="1137" t="s">
        <v>9647</v>
      </c>
      <c r="D275" s="2420"/>
    </row>
    <row r="276" spans="1:4" ht="151" x14ac:dyDescent="0.25">
      <c r="A276" s="2419" t="s">
        <v>451</v>
      </c>
      <c r="B276" s="2420" t="s">
        <v>54</v>
      </c>
      <c r="C276" s="1137" t="s">
        <v>9648</v>
      </c>
      <c r="D276" s="2420"/>
    </row>
    <row r="277" spans="1:4" ht="76" x14ac:dyDescent="0.25">
      <c r="A277" s="1205" t="s">
        <v>449</v>
      </c>
      <c r="B277" s="2420" t="s">
        <v>74</v>
      </c>
      <c r="C277" s="1137" t="s">
        <v>9649</v>
      </c>
      <c r="D277" s="2420"/>
    </row>
    <row r="278" spans="1:4" ht="113" x14ac:dyDescent="0.25">
      <c r="A278" s="2419" t="s">
        <v>451</v>
      </c>
      <c r="B278" s="2420" t="s">
        <v>65</v>
      </c>
      <c r="C278" s="1137" t="s">
        <v>9651</v>
      </c>
      <c r="D278" s="2420"/>
    </row>
    <row r="279" spans="1:4" ht="137.5" x14ac:dyDescent="0.25">
      <c r="A279" s="2419" t="s">
        <v>451</v>
      </c>
      <c r="B279" s="2420" t="s">
        <v>65</v>
      </c>
      <c r="C279" s="1137" t="s">
        <v>9652</v>
      </c>
      <c r="D279" s="2420"/>
    </row>
    <row r="280" spans="1:4" ht="38.5" x14ac:dyDescent="0.25">
      <c r="A280" s="1209" t="s">
        <v>454</v>
      </c>
      <c r="B280" s="2420" t="s">
        <v>578</v>
      </c>
      <c r="C280" s="1137" t="s">
        <v>9646</v>
      </c>
      <c r="D280" s="2420"/>
    </row>
    <row r="281" spans="1:4" ht="138" x14ac:dyDescent="0.25">
      <c r="A281" s="2419" t="s">
        <v>451</v>
      </c>
      <c r="B281" s="2420" t="s">
        <v>578</v>
      </c>
      <c r="C281" s="1137" t="s">
        <v>9650</v>
      </c>
      <c r="D281" s="2420"/>
    </row>
    <row r="282" spans="1:4" x14ac:dyDescent="0.3">
      <c r="A282" s="2419" t="s">
        <v>451</v>
      </c>
      <c r="B282" s="2420" t="s">
        <v>54</v>
      </c>
      <c r="C282" s="1137" t="s">
        <v>9655</v>
      </c>
      <c r="D282" s="1137"/>
    </row>
    <row r="283" spans="1:4" ht="12.5" x14ac:dyDescent="0.25">
      <c r="A283" s="2419" t="s">
        <v>451</v>
      </c>
      <c r="B283" s="2420" t="s">
        <v>500</v>
      </c>
      <c r="C283" s="1137" t="s">
        <v>9656</v>
      </c>
      <c r="D283" s="1137"/>
    </row>
    <row r="284" spans="1:4" x14ac:dyDescent="0.25">
      <c r="A284" s="1214" t="s">
        <v>9659</v>
      </c>
      <c r="B284" s="569">
        <v>45993</v>
      </c>
      <c r="D284" s="575"/>
    </row>
    <row r="285" spans="1:4" ht="12.5" x14ac:dyDescent="0.25">
      <c r="A285" s="2461" t="s">
        <v>9660</v>
      </c>
      <c r="B285" s="1113" t="s">
        <v>500</v>
      </c>
      <c r="C285" s="1217" t="s">
        <v>9662</v>
      </c>
      <c r="D285" s="1113"/>
    </row>
    <row r="286" spans="1:4" x14ac:dyDescent="0.25">
      <c r="A286" s="1214" t="s">
        <v>9665</v>
      </c>
      <c r="B286" s="569">
        <v>46007</v>
      </c>
      <c r="D286" s="575"/>
    </row>
    <row r="287" spans="1:4" ht="25" x14ac:dyDescent="0.25">
      <c r="A287" s="2461" t="s">
        <v>9660</v>
      </c>
      <c r="B287" s="1113" t="s">
        <v>500</v>
      </c>
      <c r="C287" s="1217" t="s">
        <v>9664</v>
      </c>
      <c r="D287" s="1113"/>
    </row>
    <row r="288" spans="1:4" ht="12.5" x14ac:dyDescent="0.25">
      <c r="A288" s="2461" t="s">
        <v>9660</v>
      </c>
      <c r="B288" s="1113" t="s">
        <v>500</v>
      </c>
      <c r="C288" s="1217" t="s">
        <v>9694</v>
      </c>
      <c r="D288" s="1113"/>
    </row>
    <row r="289" spans="1:4" ht="12.5" x14ac:dyDescent="0.25">
      <c r="A289" s="2461" t="s">
        <v>9660</v>
      </c>
      <c r="B289" s="1113" t="s">
        <v>500</v>
      </c>
      <c r="C289" s="1217" t="s">
        <v>9663</v>
      </c>
      <c r="D289" s="1113"/>
    </row>
    <row r="290" spans="1:4" ht="12.5" x14ac:dyDescent="0.25">
      <c r="A290" s="2461" t="s">
        <v>9660</v>
      </c>
      <c r="B290" s="1113" t="s">
        <v>9639</v>
      </c>
      <c r="C290" s="1217" t="s">
        <v>9691</v>
      </c>
      <c r="D290" s="1113"/>
    </row>
    <row r="291" spans="1:4" ht="12.5" x14ac:dyDescent="0.25">
      <c r="A291" s="2461" t="s">
        <v>9660</v>
      </c>
      <c r="B291" s="1113" t="s">
        <v>500</v>
      </c>
      <c r="C291" s="1217" t="s">
        <v>9692</v>
      </c>
      <c r="D291" s="1113"/>
    </row>
    <row r="292" spans="1:4" ht="12.5" x14ac:dyDescent="0.25">
      <c r="A292" s="2461" t="s">
        <v>9660</v>
      </c>
      <c r="B292" s="1113" t="s">
        <v>500</v>
      </c>
      <c r="C292" s="1217" t="s">
        <v>9693</v>
      </c>
      <c r="D292" s="1113"/>
    </row>
    <row r="293" spans="1:4" ht="12.5" x14ac:dyDescent="0.25">
      <c r="A293" s="2461" t="s">
        <v>9660</v>
      </c>
      <c r="B293" s="1113" t="s">
        <v>500</v>
      </c>
      <c r="C293" s="1217" t="s">
        <v>9695</v>
      </c>
      <c r="D293" s="1113"/>
    </row>
    <row r="294" spans="1:4" ht="12.5" x14ac:dyDescent="0.25">
      <c r="A294" s="2461" t="s">
        <v>9660</v>
      </c>
      <c r="B294" s="1113" t="s">
        <v>500</v>
      </c>
      <c r="C294" s="1217" t="s">
        <v>9696</v>
      </c>
      <c r="D294" s="1113"/>
    </row>
    <row r="295" spans="1:4" ht="12.5" x14ac:dyDescent="0.25">
      <c r="A295" s="2461" t="s">
        <v>9660</v>
      </c>
      <c r="B295" s="1113" t="s">
        <v>23</v>
      </c>
      <c r="C295" s="1217" t="s">
        <v>9699</v>
      </c>
      <c r="D295" s="1113"/>
    </row>
    <row r="296" spans="1:4" ht="12.5" x14ac:dyDescent="0.25">
      <c r="A296" s="2461" t="s">
        <v>9660</v>
      </c>
      <c r="B296" s="1113" t="s">
        <v>500</v>
      </c>
      <c r="C296" s="1217" t="s">
        <v>9700</v>
      </c>
      <c r="D296" s="1113"/>
    </row>
    <row r="297" spans="1:4" x14ac:dyDescent="0.25">
      <c r="A297" s="1214" t="s">
        <v>9701</v>
      </c>
      <c r="B297" s="569">
        <v>46072</v>
      </c>
      <c r="D297" s="575"/>
    </row>
    <row r="298" spans="1:4" ht="25" x14ac:dyDescent="0.25">
      <c r="A298" s="2461" t="s">
        <v>9660</v>
      </c>
      <c r="B298" s="1113" t="s">
        <v>500</v>
      </c>
      <c r="C298" s="1217" t="s">
        <v>9702</v>
      </c>
      <c r="D298" s="1113"/>
    </row>
    <row r="299" spans="1:4" ht="12.5" x14ac:dyDescent="0.25">
      <c r="A299" s="2461" t="s">
        <v>9660</v>
      </c>
      <c r="B299" s="1113" t="s">
        <v>500</v>
      </c>
      <c r="C299" s="1217" t="s">
        <v>9723</v>
      </c>
      <c r="D299" s="1113"/>
    </row>
    <row r="300" spans="1:4" ht="12.5" x14ac:dyDescent="0.25">
      <c r="A300" s="2461" t="s">
        <v>9660</v>
      </c>
      <c r="B300" s="1113" t="s">
        <v>500</v>
      </c>
      <c r="C300" s="1217" t="s">
        <v>9703</v>
      </c>
      <c r="D300" s="1113"/>
    </row>
    <row r="301" spans="1:4" ht="12.5" x14ac:dyDescent="0.25">
      <c r="A301" s="2461" t="s">
        <v>9660</v>
      </c>
      <c r="B301" s="1113" t="s">
        <v>500</v>
      </c>
      <c r="C301" s="1217" t="s">
        <v>9724</v>
      </c>
      <c r="D301" s="1113"/>
    </row>
    <row r="302" spans="1:4" ht="12.5" x14ac:dyDescent="0.25">
      <c r="A302" s="2461" t="s">
        <v>9660</v>
      </c>
      <c r="B302" s="1113" t="s">
        <v>500</v>
      </c>
      <c r="C302" s="1217" t="s">
        <v>9722</v>
      </c>
      <c r="D302" s="1113"/>
    </row>
    <row r="303" spans="1:4" ht="12.5" x14ac:dyDescent="0.25">
      <c r="A303" s="2461" t="s">
        <v>9660</v>
      </c>
      <c r="B303" s="1113" t="s">
        <v>500</v>
      </c>
      <c r="C303" s="1217" t="s">
        <v>9721</v>
      </c>
      <c r="D303" s="1113"/>
    </row>
    <row r="304" spans="1:4" ht="12.5" x14ac:dyDescent="0.25">
      <c r="A304" s="2461" t="s">
        <v>9660</v>
      </c>
      <c r="B304" s="1113" t="s">
        <v>500</v>
      </c>
      <c r="C304" s="1217" t="s">
        <v>9720</v>
      </c>
      <c r="D304" s="1113"/>
    </row>
    <row r="305" spans="1:4" ht="12.5" x14ac:dyDescent="0.25">
      <c r="A305" s="2461" t="s">
        <v>9660</v>
      </c>
      <c r="B305" s="1113" t="s">
        <v>500</v>
      </c>
      <c r="C305" s="1217" t="s">
        <v>9704</v>
      </c>
      <c r="D305" s="1113"/>
    </row>
    <row r="306" spans="1:4" ht="12.5" x14ac:dyDescent="0.25">
      <c r="A306" s="2461" t="s">
        <v>9660</v>
      </c>
      <c r="B306" s="1113" t="s">
        <v>500</v>
      </c>
      <c r="C306" s="1217" t="s">
        <v>9705</v>
      </c>
      <c r="D306" s="1113"/>
    </row>
    <row r="307" spans="1:4" ht="12.5" x14ac:dyDescent="0.25">
      <c r="A307" s="2461" t="s">
        <v>9660</v>
      </c>
      <c r="B307" s="1113" t="s">
        <v>500</v>
      </c>
      <c r="C307" s="1217" t="s">
        <v>9754</v>
      </c>
      <c r="D307" s="1113"/>
    </row>
    <row r="308" spans="1:4" ht="12.5" x14ac:dyDescent="0.25">
      <c r="A308" s="2461" t="s">
        <v>9660</v>
      </c>
      <c r="B308" s="1113" t="s">
        <v>500</v>
      </c>
      <c r="C308" s="1217" t="s">
        <v>9717</v>
      </c>
      <c r="D308" s="1113"/>
    </row>
    <row r="309" spans="1:4" ht="12.5" x14ac:dyDescent="0.25">
      <c r="A309" s="2461" t="s">
        <v>9660</v>
      </c>
      <c r="B309" s="1113" t="s">
        <v>500</v>
      </c>
      <c r="C309" s="1217" t="s">
        <v>9718</v>
      </c>
      <c r="D309" s="1113"/>
    </row>
    <row r="310" spans="1:4" ht="12.5" x14ac:dyDescent="0.25">
      <c r="A310" s="2461" t="s">
        <v>9660</v>
      </c>
      <c r="B310" s="1113" t="s">
        <v>500</v>
      </c>
      <c r="C310" s="1217" t="s">
        <v>9719</v>
      </c>
      <c r="D310" s="1113"/>
    </row>
    <row r="311" spans="1:4" ht="12.5" x14ac:dyDescent="0.25">
      <c r="A311" s="2461" t="s">
        <v>9660</v>
      </c>
      <c r="B311" s="1113" t="s">
        <v>500</v>
      </c>
      <c r="C311" s="1217" t="s">
        <v>9725</v>
      </c>
      <c r="D311" s="1113"/>
    </row>
    <row r="312" spans="1:4" ht="12.5" x14ac:dyDescent="0.25">
      <c r="A312" s="2461" t="s">
        <v>9660</v>
      </c>
      <c r="B312" s="1113" t="s">
        <v>500</v>
      </c>
      <c r="C312" s="1217" t="s">
        <v>9748</v>
      </c>
      <c r="D312" s="1113"/>
    </row>
    <row r="313" spans="1:4" ht="12.5" x14ac:dyDescent="0.25">
      <c r="A313" s="2461" t="s">
        <v>9660</v>
      </c>
      <c r="B313" s="1113" t="s">
        <v>500</v>
      </c>
      <c r="C313" s="1217" t="s">
        <v>9749</v>
      </c>
      <c r="D313" s="1113"/>
    </row>
    <row r="314" spans="1:4" ht="12.5" x14ac:dyDescent="0.25">
      <c r="A314" s="2461" t="s">
        <v>9660</v>
      </c>
      <c r="B314" s="1113" t="s">
        <v>500</v>
      </c>
      <c r="C314" s="1217" t="s">
        <v>9751</v>
      </c>
      <c r="D314" s="1113"/>
    </row>
    <row r="315" spans="1:4" ht="12.5" x14ac:dyDescent="0.25">
      <c r="A315" s="2461" t="s">
        <v>9660</v>
      </c>
      <c r="B315" s="1113" t="s">
        <v>500</v>
      </c>
      <c r="C315" s="1217" t="s">
        <v>9750</v>
      </c>
      <c r="D315" s="1113"/>
    </row>
    <row r="316" spans="1:4" ht="12.5" x14ac:dyDescent="0.25">
      <c r="A316" s="2461" t="s">
        <v>9660</v>
      </c>
      <c r="B316" s="1113" t="s">
        <v>500</v>
      </c>
      <c r="C316" s="1217" t="s">
        <v>9726</v>
      </c>
      <c r="D316" s="1113"/>
    </row>
    <row r="317" spans="1:4" ht="12.5" x14ac:dyDescent="0.25">
      <c r="A317" s="2461" t="s">
        <v>9660</v>
      </c>
      <c r="B317" s="1113" t="s">
        <v>500</v>
      </c>
      <c r="C317" s="1217" t="s">
        <v>9727</v>
      </c>
      <c r="D317" s="1113"/>
    </row>
    <row r="318" spans="1:4" ht="12.5" x14ac:dyDescent="0.25">
      <c r="A318" s="2461" t="s">
        <v>9660</v>
      </c>
      <c r="B318" s="1113" t="s">
        <v>500</v>
      </c>
      <c r="C318" s="1217" t="s">
        <v>9729</v>
      </c>
      <c r="D318" s="1113"/>
    </row>
    <row r="319" spans="1:4" ht="12.5" x14ac:dyDescent="0.25">
      <c r="A319" s="2461" t="s">
        <v>9660</v>
      </c>
      <c r="B319" s="1113" t="s">
        <v>500</v>
      </c>
      <c r="C319" s="1217" t="s">
        <v>9728</v>
      </c>
      <c r="D319" s="1113"/>
    </row>
    <row r="320" spans="1:4" ht="12.5" x14ac:dyDescent="0.25">
      <c r="A320" s="2461" t="s">
        <v>9660</v>
      </c>
      <c r="B320" s="1113" t="s">
        <v>500</v>
      </c>
      <c r="C320" s="1217" t="s">
        <v>9730</v>
      </c>
      <c r="D320" s="1113"/>
    </row>
    <row r="321" spans="1:4" ht="12.5" x14ac:dyDescent="0.25">
      <c r="A321" s="2461" t="s">
        <v>9660</v>
      </c>
      <c r="B321" s="1113" t="s">
        <v>500</v>
      </c>
      <c r="C321" s="1217" t="s">
        <v>9731</v>
      </c>
      <c r="D321" s="1113"/>
    </row>
    <row r="322" spans="1:4" ht="12.5" x14ac:dyDescent="0.25">
      <c r="A322" s="2461" t="s">
        <v>9660</v>
      </c>
      <c r="B322" s="1113" t="s">
        <v>500</v>
      </c>
      <c r="C322" s="1217" t="s">
        <v>9743</v>
      </c>
      <c r="D322" s="1113"/>
    </row>
    <row r="323" spans="1:4" ht="12.5" x14ac:dyDescent="0.25">
      <c r="A323" s="2461" t="s">
        <v>9660</v>
      </c>
      <c r="B323" s="1113" t="s">
        <v>500</v>
      </c>
      <c r="C323" s="1217" t="s">
        <v>9744</v>
      </c>
      <c r="D323" s="1113"/>
    </row>
    <row r="324" spans="1:4" ht="12.5" x14ac:dyDescent="0.25">
      <c r="A324" s="2461" t="s">
        <v>9660</v>
      </c>
      <c r="B324" s="1113" t="s">
        <v>500</v>
      </c>
      <c r="C324" s="1217" t="s">
        <v>9745</v>
      </c>
      <c r="D324" s="1113"/>
    </row>
    <row r="325" spans="1:4" ht="12.5" x14ac:dyDescent="0.25">
      <c r="A325" s="2461" t="s">
        <v>9660</v>
      </c>
      <c r="B325" s="1113" t="s">
        <v>500</v>
      </c>
      <c r="C325" s="1217" t="s">
        <v>9746</v>
      </c>
      <c r="D325" s="1113"/>
    </row>
    <row r="326" spans="1:4" ht="12.5" x14ac:dyDescent="0.25">
      <c r="A326" s="2461" t="s">
        <v>9660</v>
      </c>
      <c r="B326" s="1113" t="s">
        <v>500</v>
      </c>
      <c r="C326" s="1217" t="s">
        <v>9747</v>
      </c>
      <c r="D326" s="1113"/>
    </row>
    <row r="327" spans="1:4" ht="12.5" x14ac:dyDescent="0.25">
      <c r="A327" s="2461" t="s">
        <v>9660</v>
      </c>
      <c r="B327" s="1113" t="s">
        <v>500</v>
      </c>
      <c r="C327" s="1217" t="s">
        <v>9752</v>
      </c>
      <c r="D327" s="1113"/>
    </row>
    <row r="328" spans="1:4" ht="12.5" x14ac:dyDescent="0.25">
      <c r="A328" s="2461" t="s">
        <v>9660</v>
      </c>
      <c r="B328" s="1113" t="s">
        <v>500</v>
      </c>
      <c r="C328" s="1217" t="s">
        <v>9753</v>
      </c>
      <c r="D328" s="1113"/>
    </row>
    <row r="329" spans="1:4" ht="12.5" x14ac:dyDescent="0.25">
      <c r="A329" s="2461" t="s">
        <v>9660</v>
      </c>
      <c r="B329" s="1113" t="s">
        <v>500</v>
      </c>
      <c r="C329" s="1217" t="s">
        <v>9755</v>
      </c>
      <c r="D329" s="1113"/>
    </row>
    <row r="330" spans="1:4" ht="12.5" x14ac:dyDescent="0.25">
      <c r="A330" s="2461" t="s">
        <v>9660</v>
      </c>
      <c r="B330" s="1113" t="s">
        <v>500</v>
      </c>
      <c r="C330" s="1217" t="s">
        <v>9756</v>
      </c>
      <c r="D330" s="1113"/>
    </row>
    <row r="331" spans="1:4" ht="12.5" x14ac:dyDescent="0.25">
      <c r="A331" s="2461" t="s">
        <v>9660</v>
      </c>
      <c r="B331" s="1113" t="s">
        <v>500</v>
      </c>
      <c r="C331" s="1217" t="s">
        <v>9757</v>
      </c>
      <c r="D331" s="1113"/>
    </row>
    <row r="332" spans="1:4" x14ac:dyDescent="0.25">
      <c r="A332" s="1214" t="s">
        <v>9758</v>
      </c>
      <c r="B332" s="569">
        <v>46078</v>
      </c>
      <c r="D332" s="575"/>
    </row>
    <row r="333" spans="1:4" ht="12.5" x14ac:dyDescent="0.25">
      <c r="A333" s="2461" t="s">
        <v>9660</v>
      </c>
      <c r="B333" s="1113" t="s">
        <v>500</v>
      </c>
      <c r="C333" s="1217" t="s">
        <v>9760</v>
      </c>
      <c r="D333" s="1113"/>
    </row>
    <row r="334" spans="1:4" ht="12.5" x14ac:dyDescent="0.25">
      <c r="A334" s="2461" t="s">
        <v>9660</v>
      </c>
      <c r="B334" s="1113" t="s">
        <v>500</v>
      </c>
      <c r="C334" s="1217" t="s">
        <v>9759</v>
      </c>
      <c r="D334" s="1113"/>
    </row>
    <row r="335" spans="1:4" ht="12.5" x14ac:dyDescent="0.25">
      <c r="A335" s="2461" t="s">
        <v>9660</v>
      </c>
      <c r="B335" s="1113" t="s">
        <v>500</v>
      </c>
      <c r="C335" s="1217" t="s">
        <v>9705</v>
      </c>
      <c r="D335" s="1113"/>
    </row>
    <row r="336" spans="1:4" ht="12.5" x14ac:dyDescent="0.25">
      <c r="A336" s="2461" t="s">
        <v>9660</v>
      </c>
      <c r="B336" s="1113" t="s">
        <v>500</v>
      </c>
      <c r="C336" s="1217" t="s">
        <v>9761</v>
      </c>
      <c r="D336" s="1113"/>
    </row>
    <row r="337" spans="1:4" ht="12.5" x14ac:dyDescent="0.25">
      <c r="A337" s="2461" t="s">
        <v>9660</v>
      </c>
      <c r="B337" s="1113" t="s">
        <v>500</v>
      </c>
      <c r="C337" s="1217" t="s">
        <v>9762</v>
      </c>
      <c r="D337" s="1113"/>
    </row>
    <row r="338" spans="1:4" ht="12.5" x14ac:dyDescent="0.25">
      <c r="A338" s="2461" t="s">
        <v>9660</v>
      </c>
      <c r="B338" s="1113" t="s">
        <v>500</v>
      </c>
      <c r="C338" s="1217" t="s">
        <v>9763</v>
      </c>
      <c r="D338" s="1113"/>
    </row>
    <row r="339" spans="1:4" ht="12.5" x14ac:dyDescent="0.25">
      <c r="A339" s="2461" t="s">
        <v>9660</v>
      </c>
      <c r="B339" s="1113" t="s">
        <v>500</v>
      </c>
      <c r="C339" s="1217" t="s">
        <v>9764</v>
      </c>
      <c r="D339" s="1113"/>
    </row>
    <row r="340" spans="1:4" ht="12.5" x14ac:dyDescent="0.25">
      <c r="A340" s="2461" t="s">
        <v>9660</v>
      </c>
      <c r="B340" s="1113" t="s">
        <v>500</v>
      </c>
      <c r="C340" s="1217" t="s">
        <v>9765</v>
      </c>
      <c r="D340" s="1113"/>
    </row>
    <row r="341" spans="1:4" ht="12.5" x14ac:dyDescent="0.25">
      <c r="A341" s="2461" t="s">
        <v>9660</v>
      </c>
      <c r="B341" s="1113" t="s">
        <v>500</v>
      </c>
      <c r="C341" s="1217" t="s">
        <v>9766</v>
      </c>
      <c r="D341" s="1113"/>
    </row>
    <row r="342" spans="1:4" ht="12.5" x14ac:dyDescent="0.25">
      <c r="A342" s="2461" t="s">
        <v>9660</v>
      </c>
      <c r="B342" s="1113" t="s">
        <v>500</v>
      </c>
      <c r="C342" s="1217" t="s">
        <v>9767</v>
      </c>
      <c r="D342" s="1113"/>
    </row>
  </sheetData>
  <phoneticPr fontId="7" type="noConversion"/>
  <pageMargins left="0.7" right="0.7" top="0.75" bottom="0.75" header="0.3" footer="0.3"/>
  <pageSetup paperSize="9" orientation="portrait" horizontalDpi="90" verticalDpi="90" r:id="rId1"/>
  <headerFooter>
    <oddFooter>&amp;C&amp;1#&amp;"Calibri"&amp;10&amp;K000000OFFICIAL-SENSITIVE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B1:I551"/>
  <sheetViews>
    <sheetView showGridLines="0" zoomScaleNormal="100" workbookViewId="0">
      <selection activeCell="F277" sqref="F277"/>
    </sheetView>
  </sheetViews>
  <sheetFormatPr defaultColWidth="9.1796875" defaultRowHeight="11.5" x14ac:dyDescent="0.25"/>
  <cols>
    <col min="1" max="1" width="0.54296875" style="8" customWidth="1"/>
    <col min="2" max="2" width="10.453125" style="8" customWidth="1"/>
    <col min="3" max="3" width="60" style="8" customWidth="1"/>
    <col min="4" max="4" width="16.453125" style="8" bestFit="1" customWidth="1"/>
    <col min="5" max="5" width="20.1796875" style="8" bestFit="1" customWidth="1"/>
    <col min="6" max="6" width="10.54296875" style="8" bestFit="1" customWidth="1"/>
    <col min="7" max="7" width="25.81640625" style="8" bestFit="1" customWidth="1"/>
    <col min="8" max="8" width="10.54296875" style="8" bestFit="1" customWidth="1"/>
    <col min="9" max="9" width="25.81640625" style="8" bestFit="1" customWidth="1"/>
    <col min="10" max="16384" width="9.1796875" style="8"/>
  </cols>
  <sheetData>
    <row r="1" spans="2:3" x14ac:dyDescent="0.25">
      <c r="B1" s="12" t="s">
        <v>673</v>
      </c>
      <c r="C1" s="12" t="str">
        <f>'Add pages'!G2</f>
        <v>Version E1.5.4</v>
      </c>
    </row>
    <row r="2" spans="2:3" x14ac:dyDescent="0.25">
      <c r="B2" s="8" t="s">
        <v>674</v>
      </c>
    </row>
    <row r="3" spans="2:3" x14ac:dyDescent="0.25">
      <c r="B3" s="406" t="str">
        <f>"a "&amp;tax_year&amp;" Main Tax Return (MTR), and can be used in 3 ways."</f>
        <v>a 2025-26 Main Tax Return (MTR), and can be used in 3 ways.</v>
      </c>
    </row>
    <row r="4" spans="2:3" ht="6" customHeight="1" x14ac:dyDescent="0.25"/>
    <row r="5" spans="2:3" x14ac:dyDescent="0.25">
      <c r="B5" s="8" t="s">
        <v>675</v>
      </c>
    </row>
    <row r="6" spans="2:3" x14ac:dyDescent="0.25">
      <c r="B6" s="127" t="s">
        <v>676</v>
      </c>
    </row>
    <row r="7" spans="2:3" x14ac:dyDescent="0.25">
      <c r="B7" s="127" t="s">
        <v>677</v>
      </c>
    </row>
    <row r="8" spans="2:3" x14ac:dyDescent="0.25">
      <c r="B8" s="127" t="s">
        <v>678</v>
      </c>
    </row>
    <row r="9" spans="2:3" x14ac:dyDescent="0.25">
      <c r="B9" s="127" t="s">
        <v>679</v>
      </c>
    </row>
    <row r="10" spans="2:3" ht="12" x14ac:dyDescent="0.3">
      <c r="B10" s="128" t="s">
        <v>680</v>
      </c>
    </row>
    <row r="11" spans="2:3" ht="12" x14ac:dyDescent="0.3">
      <c r="B11" s="128" t="s">
        <v>681</v>
      </c>
    </row>
    <row r="12" spans="2:3" ht="5.25" customHeight="1" x14ac:dyDescent="0.25">
      <c r="B12" s="129"/>
    </row>
    <row r="13" spans="2:3" x14ac:dyDescent="0.25">
      <c r="B13" s="8" t="s">
        <v>682</v>
      </c>
    </row>
    <row r="14" spans="2:3" x14ac:dyDescent="0.25">
      <c r="B14" s="127" t="s">
        <v>683</v>
      </c>
    </row>
    <row r="15" spans="2:3" x14ac:dyDescent="0.25">
      <c r="B15" s="127" t="s">
        <v>684</v>
      </c>
    </row>
    <row r="16" spans="2:3" x14ac:dyDescent="0.25">
      <c r="B16" s="127" t="s">
        <v>685</v>
      </c>
    </row>
    <row r="17" spans="2:2" x14ac:dyDescent="0.25">
      <c r="B17" s="127" t="s">
        <v>686</v>
      </c>
    </row>
    <row r="18" spans="2:2" x14ac:dyDescent="0.25">
      <c r="B18" s="127" t="s">
        <v>687</v>
      </c>
    </row>
    <row r="19" spans="2:2" ht="5.25" customHeight="1" x14ac:dyDescent="0.25"/>
    <row r="20" spans="2:2" x14ac:dyDescent="0.25">
      <c r="B20" s="8" t="s">
        <v>688</v>
      </c>
    </row>
    <row r="21" spans="2:2" ht="12.75" customHeight="1" x14ac:dyDescent="0.25">
      <c r="B21" s="127" t="s">
        <v>689</v>
      </c>
    </row>
    <row r="22" spans="2:2" ht="12.75" customHeight="1" x14ac:dyDescent="0.25">
      <c r="B22" s="127" t="s">
        <v>690</v>
      </c>
    </row>
    <row r="23" spans="2:2" ht="12.75" customHeight="1" x14ac:dyDescent="0.25">
      <c r="B23" s="127" t="s">
        <v>691</v>
      </c>
    </row>
    <row r="24" spans="2:2" ht="12.75" customHeight="1" x14ac:dyDescent="0.25">
      <c r="B24" s="127" t="s">
        <v>692</v>
      </c>
    </row>
    <row r="25" spans="2:2" ht="12.75" customHeight="1" x14ac:dyDescent="0.25">
      <c r="B25" s="127" t="s">
        <v>693</v>
      </c>
    </row>
    <row r="26" spans="2:2" ht="12.75" customHeight="1" x14ac:dyDescent="0.25">
      <c r="B26" s="127"/>
    </row>
    <row r="27" spans="2:2" ht="12.75" customHeight="1" x14ac:dyDescent="0.25">
      <c r="B27" s="24" t="s">
        <v>694</v>
      </c>
    </row>
    <row r="28" spans="2:2" ht="12.75" customHeight="1" x14ac:dyDescent="0.25">
      <c r="B28" s="22" t="s">
        <v>695</v>
      </c>
    </row>
    <row r="29" spans="2:2" ht="12.75" customHeight="1" x14ac:dyDescent="0.25">
      <c r="B29" s="22" t="s">
        <v>696</v>
      </c>
    </row>
    <row r="30" spans="2:2" ht="12.75" customHeight="1" x14ac:dyDescent="0.25">
      <c r="B30" s="22" t="s">
        <v>697</v>
      </c>
    </row>
    <row r="31" spans="2:2" ht="12.75" customHeight="1" x14ac:dyDescent="0.25">
      <c r="B31" s="22" t="s">
        <v>698</v>
      </c>
    </row>
    <row r="32" spans="2:2" ht="12.75" customHeight="1" x14ac:dyDescent="0.25">
      <c r="B32" s="22" t="s">
        <v>699</v>
      </c>
    </row>
    <row r="33" spans="2:5" ht="12.75" customHeight="1" x14ac:dyDescent="0.25">
      <c r="B33" s="22" t="s">
        <v>700</v>
      </c>
    </row>
    <row r="34" spans="2:5" ht="12.75" customHeight="1" x14ac:dyDescent="0.25">
      <c r="B34" s="129"/>
    </row>
    <row r="35" spans="2:5" x14ac:dyDescent="0.25">
      <c r="B35" s="12" t="s">
        <v>701</v>
      </c>
    </row>
    <row r="36" spans="2:5" x14ac:dyDescent="0.25">
      <c r="B36" s="8" t="s">
        <v>702</v>
      </c>
    </row>
    <row r="37" spans="2:5" x14ac:dyDescent="0.25">
      <c r="B37" s="8" t="s">
        <v>703</v>
      </c>
    </row>
    <row r="38" spans="2:5" x14ac:dyDescent="0.25">
      <c r="B38" s="8" t="s">
        <v>704</v>
      </c>
    </row>
    <row r="39" spans="2:5" ht="6.75" customHeight="1" x14ac:dyDescent="0.25"/>
    <row r="40" spans="2:5" x14ac:dyDescent="0.25">
      <c r="B40" s="791" t="s">
        <v>705</v>
      </c>
      <c r="C40" s="792" t="s">
        <v>706</v>
      </c>
      <c r="D40" s="791" t="s">
        <v>707</v>
      </c>
      <c r="E40" s="791" t="s">
        <v>708</v>
      </c>
    </row>
    <row r="41" spans="2:5" x14ac:dyDescent="0.25">
      <c r="B41" s="793" t="s">
        <v>1</v>
      </c>
      <c r="C41" s="778" t="s">
        <v>709</v>
      </c>
      <c r="D41" s="793">
        <v>15</v>
      </c>
      <c r="E41" s="793" t="s">
        <v>98</v>
      </c>
    </row>
    <row r="42" spans="2:5" x14ac:dyDescent="0.25">
      <c r="B42" s="793" t="s">
        <v>2</v>
      </c>
      <c r="C42" s="778" t="s">
        <v>710</v>
      </c>
      <c r="D42" s="793">
        <v>11</v>
      </c>
      <c r="E42" s="793" t="s">
        <v>98</v>
      </c>
    </row>
    <row r="43" spans="2:5" x14ac:dyDescent="0.25">
      <c r="B43" s="793" t="s">
        <v>3</v>
      </c>
      <c r="C43" s="778" t="s">
        <v>711</v>
      </c>
      <c r="D43" s="793">
        <v>6</v>
      </c>
      <c r="E43" s="793" t="s">
        <v>98</v>
      </c>
    </row>
    <row r="44" spans="2:5" x14ac:dyDescent="0.25">
      <c r="B44" s="793" t="s">
        <v>4</v>
      </c>
      <c r="C44" s="778" t="s">
        <v>712</v>
      </c>
      <c r="D44" s="793">
        <v>7</v>
      </c>
      <c r="E44" s="793" t="s">
        <v>98</v>
      </c>
    </row>
    <row r="45" spans="2:5" x14ac:dyDescent="0.25">
      <c r="B45" s="793" t="s">
        <v>5</v>
      </c>
      <c r="C45" s="778" t="s">
        <v>713</v>
      </c>
      <c r="D45" s="793">
        <v>8</v>
      </c>
      <c r="E45" s="793" t="s">
        <v>98</v>
      </c>
    </row>
    <row r="46" spans="2:5" x14ac:dyDescent="0.25">
      <c r="B46" s="793" t="s">
        <v>6</v>
      </c>
      <c r="C46" s="778" t="s">
        <v>714</v>
      </c>
      <c r="D46" s="793">
        <v>2</v>
      </c>
      <c r="E46" s="793" t="s">
        <v>98</v>
      </c>
    </row>
    <row r="47" spans="2:5" x14ac:dyDescent="0.25">
      <c r="B47" s="793" t="s">
        <v>7</v>
      </c>
      <c r="C47" s="778" t="s">
        <v>715</v>
      </c>
      <c r="D47" s="793">
        <v>6</v>
      </c>
      <c r="E47" s="793" t="s">
        <v>98</v>
      </c>
    </row>
    <row r="48" spans="2:5" x14ac:dyDescent="0.25">
      <c r="B48" s="793" t="s">
        <v>8</v>
      </c>
      <c r="C48" s="778" t="s">
        <v>716</v>
      </c>
      <c r="D48" s="793">
        <v>4</v>
      </c>
      <c r="E48" s="793" t="s">
        <v>98</v>
      </c>
    </row>
    <row r="49" spans="2:5" x14ac:dyDescent="0.25">
      <c r="B49" s="793" t="s">
        <v>10</v>
      </c>
      <c r="C49" s="778" t="s">
        <v>717</v>
      </c>
      <c r="D49" s="793">
        <v>4</v>
      </c>
      <c r="E49" s="793" t="s">
        <v>98</v>
      </c>
    </row>
    <row r="50" spans="2:5" x14ac:dyDescent="0.25">
      <c r="B50" s="793" t="s">
        <v>12</v>
      </c>
      <c r="C50" s="778" t="s">
        <v>718</v>
      </c>
      <c r="D50" s="793">
        <v>3</v>
      </c>
      <c r="E50" s="793" t="s">
        <v>106</v>
      </c>
    </row>
    <row r="51" spans="2:5" x14ac:dyDescent="0.25">
      <c r="B51" s="793" t="s">
        <v>13</v>
      </c>
      <c r="C51" s="778" t="s">
        <v>719</v>
      </c>
      <c r="D51" s="793">
        <v>9</v>
      </c>
      <c r="E51" s="793" t="s">
        <v>106</v>
      </c>
    </row>
    <row r="52" spans="2:5" x14ac:dyDescent="0.25">
      <c r="B52" s="793" t="s">
        <v>14</v>
      </c>
      <c r="C52" s="778" t="s">
        <v>720</v>
      </c>
      <c r="D52" s="793">
        <v>5</v>
      </c>
      <c r="E52" s="793" t="s">
        <v>106</v>
      </c>
    </row>
    <row r="53" spans="2:5" x14ac:dyDescent="0.25">
      <c r="B53" s="793" t="s">
        <v>15</v>
      </c>
      <c r="C53" s="778" t="s">
        <v>721</v>
      </c>
      <c r="D53" s="793">
        <v>3</v>
      </c>
      <c r="E53" s="793" t="s">
        <v>106</v>
      </c>
    </row>
    <row r="54" spans="2:5" x14ac:dyDescent="0.25">
      <c r="B54" s="793" t="s">
        <v>16</v>
      </c>
      <c r="C54" s="778" t="s">
        <v>722</v>
      </c>
      <c r="D54" s="793">
        <v>3</v>
      </c>
      <c r="E54" s="793" t="s">
        <v>106</v>
      </c>
    </row>
    <row r="55" spans="2:5" x14ac:dyDescent="0.25">
      <c r="B55" s="793" t="s">
        <v>17</v>
      </c>
      <c r="C55" s="778" t="s">
        <v>723</v>
      </c>
      <c r="D55" s="793">
        <v>4</v>
      </c>
      <c r="E55" s="793" t="s">
        <v>106</v>
      </c>
    </row>
    <row r="56" spans="2:5" x14ac:dyDescent="0.25">
      <c r="B56" s="793" t="s">
        <v>18</v>
      </c>
      <c r="C56" s="778" t="s">
        <v>724</v>
      </c>
      <c r="D56" s="793">
        <v>10</v>
      </c>
      <c r="E56" s="793" t="s">
        <v>106</v>
      </c>
    </row>
    <row r="57" spans="2:5" x14ac:dyDescent="0.25">
      <c r="B57" s="793" t="s">
        <v>19</v>
      </c>
      <c r="C57" s="778" t="s">
        <v>725</v>
      </c>
      <c r="D57" s="793">
        <v>9</v>
      </c>
      <c r="E57" s="793" t="s">
        <v>106</v>
      </c>
    </row>
    <row r="58" spans="2:5" x14ac:dyDescent="0.25">
      <c r="B58" s="793" t="s">
        <v>20</v>
      </c>
      <c r="C58" s="778" t="s">
        <v>726</v>
      </c>
      <c r="D58" s="793">
        <v>11</v>
      </c>
      <c r="E58" s="793" t="s">
        <v>106</v>
      </c>
    </row>
    <row r="59" spans="2:5" x14ac:dyDescent="0.25">
      <c r="B59" s="793" t="s">
        <v>78</v>
      </c>
      <c r="C59" s="778" t="s">
        <v>727</v>
      </c>
      <c r="D59" s="793">
        <v>11</v>
      </c>
      <c r="E59" s="793" t="s">
        <v>112</v>
      </c>
    </row>
    <row r="60" spans="2:5" x14ac:dyDescent="0.25">
      <c r="B60" s="793" t="s">
        <v>23</v>
      </c>
      <c r="C60" s="778" t="s">
        <v>728</v>
      </c>
      <c r="D60" s="793">
        <v>6</v>
      </c>
      <c r="E60" s="793" t="s">
        <v>112</v>
      </c>
    </row>
    <row r="61" spans="2:5" x14ac:dyDescent="0.25">
      <c r="B61" s="793" t="s">
        <v>24</v>
      </c>
      <c r="C61" s="778" t="s">
        <v>729</v>
      </c>
      <c r="D61" s="793">
        <v>8</v>
      </c>
      <c r="E61" s="793" t="s">
        <v>118</v>
      </c>
    </row>
    <row r="62" spans="2:5" x14ac:dyDescent="0.25">
      <c r="B62" s="793" t="s">
        <v>25</v>
      </c>
      <c r="C62" s="778" t="s">
        <v>730</v>
      </c>
      <c r="D62" s="793">
        <v>9</v>
      </c>
      <c r="E62" s="793" t="s">
        <v>118</v>
      </c>
    </row>
    <row r="63" spans="2:5" x14ac:dyDescent="0.25">
      <c r="B63" s="793" t="s">
        <v>26</v>
      </c>
      <c r="C63" s="778" t="s">
        <v>731</v>
      </c>
      <c r="D63" s="793">
        <v>7</v>
      </c>
      <c r="E63" s="793" t="s">
        <v>118</v>
      </c>
    </row>
    <row r="64" spans="2:5" x14ac:dyDescent="0.25">
      <c r="B64" s="793" t="s">
        <v>27</v>
      </c>
      <c r="C64" s="778" t="s">
        <v>732</v>
      </c>
      <c r="D64" s="793">
        <v>6</v>
      </c>
      <c r="E64" s="793" t="s">
        <v>124</v>
      </c>
    </row>
    <row r="65" spans="2:5" x14ac:dyDescent="0.25">
      <c r="B65" s="793" t="s">
        <v>28</v>
      </c>
      <c r="C65" s="778" t="s">
        <v>733</v>
      </c>
      <c r="D65" s="793">
        <v>8</v>
      </c>
      <c r="E65" s="793" t="s">
        <v>124</v>
      </c>
    </row>
    <row r="66" spans="2:5" x14ac:dyDescent="0.25">
      <c r="B66" s="793" t="s">
        <v>33</v>
      </c>
      <c r="C66" s="778" t="s">
        <v>734</v>
      </c>
      <c r="D66" s="793">
        <v>10</v>
      </c>
      <c r="E66" s="793" t="s">
        <v>129</v>
      </c>
    </row>
    <row r="67" spans="2:5" x14ac:dyDescent="0.25">
      <c r="B67" s="793" t="s">
        <v>34</v>
      </c>
      <c r="C67" s="778" t="str">
        <f>"Foreign income (excluding Foreign Tax Credit Relief  - box "&amp;'C6'!C3&amp;")"</f>
        <v>Foreign income (excluding Foreign Tax Credit Relief  - box FOR2)</v>
      </c>
      <c r="D67" s="793">
        <v>8</v>
      </c>
      <c r="E67" s="793" t="s">
        <v>136</v>
      </c>
    </row>
    <row r="68" spans="2:5" x14ac:dyDescent="0.25">
      <c r="B68" s="793" t="s">
        <v>36</v>
      </c>
      <c r="C68" s="778" t="s">
        <v>735</v>
      </c>
      <c r="D68" s="793">
        <v>4</v>
      </c>
      <c r="E68" s="793" t="s">
        <v>142</v>
      </c>
    </row>
    <row r="69" spans="2:5" x14ac:dyDescent="0.25">
      <c r="B69" s="793" t="s">
        <v>37</v>
      </c>
      <c r="C69" s="778" t="s">
        <v>736</v>
      </c>
      <c r="D69" s="793">
        <v>9</v>
      </c>
      <c r="E69" s="793" t="s">
        <v>737</v>
      </c>
    </row>
    <row r="70" spans="2:5" x14ac:dyDescent="0.25">
      <c r="B70" s="793" t="s">
        <v>38</v>
      </c>
      <c r="C70" s="778" t="s">
        <v>738</v>
      </c>
      <c r="D70" s="793">
        <v>10</v>
      </c>
      <c r="E70" s="793" t="s">
        <v>739</v>
      </c>
    </row>
    <row r="71" spans="2:5" x14ac:dyDescent="0.25">
      <c r="B71" s="793" t="s">
        <v>39</v>
      </c>
      <c r="C71" s="778" t="s">
        <v>740</v>
      </c>
      <c r="D71" s="793">
        <v>18</v>
      </c>
      <c r="E71" s="793" t="s">
        <v>148</v>
      </c>
    </row>
    <row r="72" spans="2:5" x14ac:dyDescent="0.25">
      <c r="B72" s="793" t="s">
        <v>29</v>
      </c>
      <c r="C72" s="778" t="s">
        <v>741</v>
      </c>
      <c r="D72" s="793">
        <v>2</v>
      </c>
      <c r="E72" s="793" t="s">
        <v>148</v>
      </c>
    </row>
    <row r="73" spans="2:5" ht="12" customHeight="1" x14ac:dyDescent="0.25">
      <c r="B73" s="793" t="s">
        <v>30</v>
      </c>
      <c r="C73" s="778" t="s">
        <v>742</v>
      </c>
      <c r="D73" s="793">
        <v>2</v>
      </c>
      <c r="E73" s="793" t="s">
        <v>148</v>
      </c>
    </row>
    <row r="74" spans="2:5" ht="12" customHeight="1" x14ac:dyDescent="0.25"/>
    <row r="75" spans="2:5" x14ac:dyDescent="0.25">
      <c r="B75" s="8" t="s">
        <v>743</v>
      </c>
    </row>
    <row r="76" spans="2:5" x14ac:dyDescent="0.25">
      <c r="B76" s="8" t="s">
        <v>744</v>
      </c>
    </row>
    <row r="77" spans="2:5" x14ac:dyDescent="0.25">
      <c r="B77" s="8" t="s">
        <v>745</v>
      </c>
    </row>
    <row r="78" spans="2:5" x14ac:dyDescent="0.25">
      <c r="B78" s="8" t="s">
        <v>746</v>
      </c>
    </row>
    <row r="79" spans="2:5" x14ac:dyDescent="0.25">
      <c r="B79" s="8" t="s">
        <v>747</v>
      </c>
    </row>
    <row r="80" spans="2:5" x14ac:dyDescent="0.25">
      <c r="B80" s="8" t="s">
        <v>748</v>
      </c>
    </row>
    <row r="81" spans="2:2" x14ac:dyDescent="0.25">
      <c r="B81" s="8" t="s">
        <v>749</v>
      </c>
    </row>
    <row r="82" spans="2:2" x14ac:dyDescent="0.25">
      <c r="B82" s="8" t="s">
        <v>750</v>
      </c>
    </row>
    <row r="83" spans="2:2" x14ac:dyDescent="0.25">
      <c r="B83" s="8" t="s">
        <v>751</v>
      </c>
    </row>
    <row r="84" spans="2:2" x14ac:dyDescent="0.25">
      <c r="B84" s="8" t="s">
        <v>752</v>
      </c>
    </row>
    <row r="86" spans="2:2" x14ac:dyDescent="0.25">
      <c r="B86" s="12" t="s">
        <v>753</v>
      </c>
    </row>
    <row r="87" spans="2:2" x14ac:dyDescent="0.25">
      <c r="B87" s="8" t="str">
        <f>'Add pages'!G2&amp;" of the "&amp;tax_year&amp;" test case generator has a built in database of "&amp;Last_row-1&amp;" test cases."</f>
        <v>Version E1.5.4 of the 2025-26 test case generator has a built in database of 273 test cases.</v>
      </c>
    </row>
    <row r="88" spans="2:2" x14ac:dyDescent="0.25">
      <c r="B88" s="8" t="s">
        <v>754</v>
      </c>
    </row>
    <row r="89" spans="2:2" x14ac:dyDescent="0.25">
      <c r="B89" s="8" t="s">
        <v>755</v>
      </c>
    </row>
    <row r="90" spans="2:2" x14ac:dyDescent="0.25">
      <c r="B90" s="129" t="s">
        <v>756</v>
      </c>
    </row>
    <row r="91" spans="2:2" x14ac:dyDescent="0.25">
      <c r="B91" s="8" t="s">
        <v>757</v>
      </c>
    </row>
    <row r="92" spans="2:2" ht="12.75" customHeight="1" x14ac:dyDescent="0.25">
      <c r="B92" s="8" t="s">
        <v>692</v>
      </c>
    </row>
    <row r="93" spans="2:2" ht="12.75" customHeight="1" x14ac:dyDescent="0.25">
      <c r="B93" s="8" t="s">
        <v>693</v>
      </c>
    </row>
    <row r="94" spans="2:2" x14ac:dyDescent="0.25">
      <c r="B94" s="8" t="s">
        <v>758</v>
      </c>
    </row>
    <row r="96" spans="2:2" x14ac:dyDescent="0.25">
      <c r="B96" s="12" t="s">
        <v>759</v>
      </c>
    </row>
    <row r="97" spans="2:3" x14ac:dyDescent="0.25">
      <c r="B97" s="8" t="s">
        <v>760</v>
      </c>
    </row>
    <row r="98" spans="2:3" x14ac:dyDescent="0.25">
      <c r="B98" s="8" t="s">
        <v>761</v>
      </c>
    </row>
    <row r="99" spans="2:3" x14ac:dyDescent="0.25">
      <c r="B99" s="8" t="s">
        <v>762</v>
      </c>
    </row>
    <row r="100" spans="2:3" x14ac:dyDescent="0.25">
      <c r="C100" s="8" t="s">
        <v>763</v>
      </c>
    </row>
    <row r="101" spans="2:3" x14ac:dyDescent="0.25">
      <c r="C101" s="8" t="s">
        <v>764</v>
      </c>
    </row>
    <row r="102" spans="2:3" x14ac:dyDescent="0.25">
      <c r="C102" s="8" t="s">
        <v>765</v>
      </c>
    </row>
    <row r="103" spans="2:3" x14ac:dyDescent="0.25">
      <c r="C103" s="8" t="s">
        <v>766</v>
      </c>
    </row>
    <row r="104" spans="2:3" ht="6" customHeight="1" x14ac:dyDescent="0.25"/>
    <row r="105" spans="2:3" x14ac:dyDescent="0.25">
      <c r="B105" s="8" t="s">
        <v>767</v>
      </c>
    </row>
    <row r="106" spans="2:3" x14ac:dyDescent="0.25">
      <c r="B106" s="8" t="s">
        <v>768</v>
      </c>
    </row>
    <row r="107" spans="2:3" x14ac:dyDescent="0.25">
      <c r="B107" s="8" t="s">
        <v>769</v>
      </c>
    </row>
    <row r="108" spans="2:3" ht="12" x14ac:dyDescent="0.3">
      <c r="B108" s="23" t="s">
        <v>770</v>
      </c>
    </row>
    <row r="109" spans="2:3" ht="12" x14ac:dyDescent="0.3">
      <c r="B109" s="23" t="s">
        <v>771</v>
      </c>
    </row>
    <row r="111" spans="2:3" x14ac:dyDescent="0.25">
      <c r="B111" s="12" t="s">
        <v>772</v>
      </c>
    </row>
    <row r="112" spans="2:3" x14ac:dyDescent="0.25">
      <c r="B112" s="8" t="s">
        <v>773</v>
      </c>
    </row>
    <row r="113" spans="2:2" x14ac:dyDescent="0.25">
      <c r="B113" s="8" t="s">
        <v>774</v>
      </c>
    </row>
    <row r="114" spans="2:2" x14ac:dyDescent="0.25">
      <c r="B114" s="8" t="s">
        <v>775</v>
      </c>
    </row>
    <row r="115" spans="2:2" x14ac:dyDescent="0.25">
      <c r="B115" s="8" t="s">
        <v>776</v>
      </c>
    </row>
    <row r="116" spans="2:2" ht="12" x14ac:dyDescent="0.3">
      <c r="B116" s="23" t="s">
        <v>777</v>
      </c>
    </row>
    <row r="117" spans="2:2" ht="12" x14ac:dyDescent="0.3">
      <c r="B117" s="23" t="s">
        <v>778</v>
      </c>
    </row>
    <row r="118" spans="2:2" ht="12" x14ac:dyDescent="0.3">
      <c r="B118" s="23" t="s">
        <v>779</v>
      </c>
    </row>
    <row r="119" spans="2:2" ht="12" x14ac:dyDescent="0.3">
      <c r="B119" s="130" t="s">
        <v>780</v>
      </c>
    </row>
    <row r="121" spans="2:2" x14ac:dyDescent="0.25">
      <c r="B121" s="12" t="s">
        <v>781</v>
      </c>
    </row>
    <row r="122" spans="2:2" ht="12" customHeight="1" x14ac:dyDescent="0.25">
      <c r="B122" s="8" t="s">
        <v>782</v>
      </c>
    </row>
    <row r="123" spans="2:2" ht="12" customHeight="1" x14ac:dyDescent="0.25"/>
    <row r="124" spans="2:2" x14ac:dyDescent="0.25">
      <c r="B124" s="8" t="s">
        <v>783</v>
      </c>
    </row>
    <row r="126" spans="2:2" x14ac:dyDescent="0.25">
      <c r="B126" s="8" t="s">
        <v>784</v>
      </c>
    </row>
    <row r="128" spans="2:2" x14ac:dyDescent="0.25">
      <c r="B128" s="8" t="s">
        <v>785</v>
      </c>
    </row>
    <row r="130" spans="2:2" x14ac:dyDescent="0.25">
      <c r="B130" s="8" t="s">
        <v>786</v>
      </c>
    </row>
    <row r="132" spans="2:2" x14ac:dyDescent="0.25">
      <c r="B132" s="8" t="s">
        <v>787</v>
      </c>
    </row>
    <row r="133" spans="2:2" x14ac:dyDescent="0.25">
      <c r="B133" s="8" t="s">
        <v>788</v>
      </c>
    </row>
    <row r="135" spans="2:2" x14ac:dyDescent="0.25">
      <c r="B135" s="12" t="s">
        <v>789</v>
      </c>
    </row>
    <row r="136" spans="2:2" x14ac:dyDescent="0.25">
      <c r="B136" s="8" t="s">
        <v>790</v>
      </c>
    </row>
    <row r="137" spans="2:2" x14ac:dyDescent="0.25">
      <c r="B137" s="127" t="s">
        <v>791</v>
      </c>
    </row>
    <row r="138" spans="2:2" x14ac:dyDescent="0.25">
      <c r="B138" s="127" t="s">
        <v>792</v>
      </c>
    </row>
    <row r="139" spans="2:2" x14ac:dyDescent="0.25">
      <c r="B139" s="8" t="s">
        <v>793</v>
      </c>
    </row>
    <row r="140" spans="2:2" x14ac:dyDescent="0.25">
      <c r="B140" s="127" t="s">
        <v>794</v>
      </c>
    </row>
    <row r="141" spans="2:2" x14ac:dyDescent="0.25">
      <c r="B141" s="22" t="s">
        <v>795</v>
      </c>
    </row>
    <row r="143" spans="2:2" x14ac:dyDescent="0.25">
      <c r="B143" s="12" t="s">
        <v>796</v>
      </c>
    </row>
    <row r="144" spans="2:2" x14ac:dyDescent="0.25">
      <c r="B144" s="8" t="s">
        <v>797</v>
      </c>
    </row>
    <row r="145" spans="2:2" x14ac:dyDescent="0.25">
      <c r="B145" s="8" t="s">
        <v>798</v>
      </c>
    </row>
    <row r="147" spans="2:2" ht="18" x14ac:dyDescent="0.25">
      <c r="B147" s="245" t="s">
        <v>799</v>
      </c>
    </row>
    <row r="148" spans="2:2" ht="12.5" x14ac:dyDescent="0.25">
      <c r="B148"/>
    </row>
    <row r="149" spans="2:2" ht="15.5" x14ac:dyDescent="0.35">
      <c r="B149" s="243" t="s">
        <v>800</v>
      </c>
    </row>
    <row r="150" spans="2:2" ht="15.5" x14ac:dyDescent="0.35">
      <c r="B150" s="243" t="s">
        <v>801</v>
      </c>
    </row>
    <row r="151" spans="2:2" ht="15.5" x14ac:dyDescent="0.35">
      <c r="B151" s="243" t="s">
        <v>802</v>
      </c>
    </row>
    <row r="152" spans="2:2" ht="15.5" x14ac:dyDescent="0.35">
      <c r="B152" s="243"/>
    </row>
    <row r="153" spans="2:2" ht="15.5" x14ac:dyDescent="0.35">
      <c r="B153" s="243"/>
    </row>
    <row r="154" spans="2:2" ht="15.5" x14ac:dyDescent="0.35">
      <c r="B154" s="243"/>
    </row>
    <row r="180" spans="2:2" ht="15.5" x14ac:dyDescent="0.35">
      <c r="B180" s="243" t="s">
        <v>803</v>
      </c>
    </row>
    <row r="188" spans="2:2" ht="15.5" x14ac:dyDescent="0.35">
      <c r="B188" s="243"/>
    </row>
    <row r="213" spans="2:2" ht="15.5" x14ac:dyDescent="0.35">
      <c r="B213" s="243" t="s">
        <v>804</v>
      </c>
    </row>
    <row r="244" spans="2:2" ht="15.5" x14ac:dyDescent="0.35">
      <c r="B244" s="235" t="s">
        <v>83</v>
      </c>
    </row>
    <row r="245" spans="2:2" x14ac:dyDescent="0.25">
      <c r="B245" s="8" t="s">
        <v>805</v>
      </c>
    </row>
    <row r="247" spans="2:2" x14ac:dyDescent="0.25">
      <c r="B247" s="8" t="s">
        <v>806</v>
      </c>
    </row>
    <row r="249" spans="2:2" x14ac:dyDescent="0.25">
      <c r="B249" s="12" t="s">
        <v>444</v>
      </c>
    </row>
    <row r="250" spans="2:2" x14ac:dyDescent="0.25">
      <c r="B250" s="8" t="s">
        <v>807</v>
      </c>
    </row>
    <row r="251" spans="2:2" x14ac:dyDescent="0.25">
      <c r="B251" s="8" t="s">
        <v>808</v>
      </c>
    </row>
    <row r="252" spans="2:2" x14ac:dyDescent="0.25">
      <c r="B252" s="8" t="s">
        <v>809</v>
      </c>
    </row>
    <row r="253" spans="2:2" x14ac:dyDescent="0.25">
      <c r="B253" s="8" t="s">
        <v>810</v>
      </c>
    </row>
    <row r="254" spans="2:2" x14ac:dyDescent="0.25">
      <c r="B254" s="12"/>
    </row>
    <row r="255" spans="2:2" x14ac:dyDescent="0.25">
      <c r="B255" s="12" t="s">
        <v>442</v>
      </c>
    </row>
    <row r="256" spans="2:2" x14ac:dyDescent="0.25">
      <c r="B256" s="8" t="s">
        <v>811</v>
      </c>
    </row>
    <row r="257" spans="2:2" x14ac:dyDescent="0.25">
      <c r="B257" s="8" t="s">
        <v>812</v>
      </c>
    </row>
    <row r="258" spans="2:2" x14ac:dyDescent="0.25">
      <c r="B258" s="8" t="s">
        <v>813</v>
      </c>
    </row>
    <row r="259" spans="2:2" x14ac:dyDescent="0.25">
      <c r="B259" s="8" t="s">
        <v>814</v>
      </c>
    </row>
    <row r="260" spans="2:2" x14ac:dyDescent="0.25">
      <c r="B260" s="8" t="s">
        <v>815</v>
      </c>
    </row>
    <row r="261" spans="2:2" x14ac:dyDescent="0.25">
      <c r="B261" s="8" t="s">
        <v>816</v>
      </c>
    </row>
    <row r="262" spans="2:2" x14ac:dyDescent="0.25">
      <c r="B262" s="8" t="s">
        <v>817</v>
      </c>
    </row>
    <row r="263" spans="2:2" x14ac:dyDescent="0.25">
      <c r="B263" s="8" t="s">
        <v>818</v>
      </c>
    </row>
    <row r="264" spans="2:2" x14ac:dyDescent="0.25">
      <c r="B264" s="8" t="s">
        <v>819</v>
      </c>
    </row>
    <row r="265" spans="2:2" x14ac:dyDescent="0.25">
      <c r="B265" s="8" t="s">
        <v>820</v>
      </c>
    </row>
    <row r="267" spans="2:2" x14ac:dyDescent="0.25">
      <c r="B267" s="12" t="s">
        <v>821</v>
      </c>
    </row>
    <row r="269" spans="2:2" x14ac:dyDescent="0.25">
      <c r="B269" s="8" t="s">
        <v>822</v>
      </c>
    </row>
    <row r="271" spans="2:2" x14ac:dyDescent="0.25">
      <c r="B271" s="8"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5">
      <c r="B272" s="8"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5">
      <c r="B274" s="8" t="s">
        <v>823</v>
      </c>
    </row>
    <row r="277" spans="2:2" x14ac:dyDescent="0.25">
      <c r="B277" s="12" t="s">
        <v>824</v>
      </c>
    </row>
    <row r="278" spans="2:2" x14ac:dyDescent="0.25">
      <c r="B278" s="8" t="str">
        <f>"Enter the amounts in the "&amp;NI!C19&amp;"/"&amp;NI!C22&amp;" and/or "&amp;NI!C26&amp;"/"&amp;NI!C29&amp;" boxes."</f>
        <v>Enter the amounts in the EMPCL1/ and/or MORCL1/ boxes.</v>
      </c>
    </row>
    <row r="308" spans="2:2" ht="15.5" x14ac:dyDescent="0.35">
      <c r="B308" s="243" t="s">
        <v>825</v>
      </c>
    </row>
    <row r="340" spans="2:2" ht="15.5" x14ac:dyDescent="0.35">
      <c r="B340" s="243" t="s">
        <v>826</v>
      </c>
    </row>
    <row r="380" spans="2:2" ht="15.5" x14ac:dyDescent="0.35">
      <c r="B380" s="244" t="s">
        <v>827</v>
      </c>
    </row>
    <row r="381" spans="2:2" ht="15.5" x14ac:dyDescent="0.35">
      <c r="B381" s="244" t="s">
        <v>828</v>
      </c>
    </row>
    <row r="383" spans="2:2" ht="15.5" x14ac:dyDescent="0.35">
      <c r="B383" s="246" t="s">
        <v>829</v>
      </c>
    </row>
    <row r="384" spans="2:2" ht="15.5" x14ac:dyDescent="0.35">
      <c r="B384" s="235" t="s">
        <v>717</v>
      </c>
    </row>
    <row r="385" spans="2:2" ht="15.5" x14ac:dyDescent="0.35">
      <c r="B385" s="243" t="s">
        <v>830</v>
      </c>
    </row>
    <row r="386" spans="2:2" ht="15.5" x14ac:dyDescent="0.35">
      <c r="B386" s="243" t="s">
        <v>831</v>
      </c>
    </row>
    <row r="387" spans="2:2" ht="15.5" x14ac:dyDescent="0.35">
      <c r="B387" s="243" t="s">
        <v>9777</v>
      </c>
    </row>
    <row r="411" spans="2:2" ht="15.5" x14ac:dyDescent="0.35">
      <c r="B411" s="235" t="s">
        <v>832</v>
      </c>
    </row>
    <row r="412" spans="2:2" ht="15.5" x14ac:dyDescent="0.35">
      <c r="B412" s="266" t="s">
        <v>833</v>
      </c>
    </row>
    <row r="413" spans="2:2" ht="15.5" x14ac:dyDescent="0.35">
      <c r="B413" s="266" t="s">
        <v>834</v>
      </c>
    </row>
    <row r="414" spans="2:2" ht="15.5" x14ac:dyDescent="0.35">
      <c r="B414" s="266"/>
    </row>
    <row r="415" spans="2:2" ht="15.5" x14ac:dyDescent="0.35">
      <c r="B415" s="266"/>
    </row>
    <row r="416" spans="2:2" ht="15.5" x14ac:dyDescent="0.35">
      <c r="B416" s="243"/>
    </row>
    <row r="417" spans="2:2" ht="15.5" x14ac:dyDescent="0.35">
      <c r="B417" s="243"/>
    </row>
    <row r="418" spans="2:2" ht="15.5" x14ac:dyDescent="0.35">
      <c r="B418" s="243"/>
    </row>
    <row r="419" spans="2:2" ht="15.5" x14ac:dyDescent="0.35">
      <c r="B419" s="243"/>
    </row>
    <row r="420" spans="2:2" ht="15.5" x14ac:dyDescent="0.35">
      <c r="B420" s="243"/>
    </row>
    <row r="421" spans="2:2" ht="15.5" x14ac:dyDescent="0.35">
      <c r="B421" s="243"/>
    </row>
    <row r="422" spans="2:2" ht="15.5" x14ac:dyDescent="0.35">
      <c r="B422" s="243"/>
    </row>
    <row r="423" spans="2:2" ht="15.5" x14ac:dyDescent="0.35">
      <c r="B423" s="243"/>
    </row>
    <row r="424" spans="2:2" ht="15.5" x14ac:dyDescent="0.35">
      <c r="B424" s="243"/>
    </row>
    <row r="425" spans="2:2" ht="15.5" x14ac:dyDescent="0.35">
      <c r="B425" s="243"/>
    </row>
    <row r="426" spans="2:2" ht="15.5" x14ac:dyDescent="0.35">
      <c r="B426" s="243"/>
    </row>
    <row r="427" spans="2:2" ht="15.5" x14ac:dyDescent="0.35">
      <c r="B427" s="243"/>
    </row>
    <row r="428" spans="2:2" ht="15.5" x14ac:dyDescent="0.35">
      <c r="B428" s="243"/>
    </row>
    <row r="429" spans="2:2" ht="15.5" x14ac:dyDescent="0.35">
      <c r="B429" s="243"/>
    </row>
    <row r="430" spans="2:2" ht="15.5" x14ac:dyDescent="0.35">
      <c r="B430" s="243"/>
    </row>
    <row r="431" spans="2:2" ht="15.5" x14ac:dyDescent="0.35">
      <c r="B431" s="243"/>
    </row>
    <row r="432" spans="2:2" ht="15.5" x14ac:dyDescent="0.35">
      <c r="B432" s="243"/>
    </row>
    <row r="433" spans="2:7" ht="15.5" x14ac:dyDescent="0.35">
      <c r="B433" s="235" t="s">
        <v>835</v>
      </c>
    </row>
    <row r="434" spans="2:7" ht="35.25" customHeight="1" x14ac:dyDescent="0.25">
      <c r="B434" s="22" t="s">
        <v>836</v>
      </c>
      <c r="C434" s="780"/>
      <c r="D434" s="780"/>
      <c r="E434" s="780"/>
      <c r="F434" s="780"/>
      <c r="G434" s="780"/>
    </row>
    <row r="435" spans="2:7" ht="23.25" customHeight="1" x14ac:dyDescent="0.25">
      <c r="B435" s="22" t="s">
        <v>837</v>
      </c>
      <c r="C435" s="22"/>
      <c r="D435" s="22"/>
      <c r="E435" s="22"/>
      <c r="F435" s="22"/>
      <c r="G435" s="22"/>
    </row>
    <row r="436" spans="2:7" ht="37.5" customHeight="1" x14ac:dyDescent="0.25">
      <c r="B436" s="22" t="s">
        <v>838</v>
      </c>
      <c r="C436" s="22"/>
      <c r="D436" s="22"/>
      <c r="E436" s="22"/>
      <c r="F436" s="22"/>
      <c r="G436" s="22"/>
    </row>
    <row r="437" spans="2:7" ht="24.75" customHeight="1" x14ac:dyDescent="0.25">
      <c r="B437" s="22" t="s">
        <v>839</v>
      </c>
      <c r="C437" s="22"/>
      <c r="D437" s="22"/>
      <c r="E437" s="22"/>
      <c r="F437" s="22"/>
      <c r="G437" s="22"/>
    </row>
    <row r="438" spans="2:7" ht="12" customHeight="1" x14ac:dyDescent="0.25">
      <c r="B438" s="22" t="s">
        <v>840</v>
      </c>
      <c r="C438" s="780"/>
      <c r="D438" s="780"/>
      <c r="E438" s="780"/>
      <c r="F438" s="780"/>
      <c r="G438" s="780"/>
    </row>
    <row r="440" spans="2:7" ht="15.5" x14ac:dyDescent="0.35">
      <c r="B440" s="235" t="s">
        <v>841</v>
      </c>
    </row>
    <row r="441" spans="2:7" ht="28.5" customHeight="1" x14ac:dyDescent="0.25">
      <c r="B441" s="8" t="s">
        <v>842</v>
      </c>
      <c r="C441"/>
      <c r="D441"/>
      <c r="E441"/>
      <c r="F441"/>
      <c r="G441"/>
    </row>
    <row r="442" spans="2:7" x14ac:dyDescent="0.25">
      <c r="B442" s="8" t="s">
        <v>843</v>
      </c>
    </row>
    <row r="443" spans="2:7" x14ac:dyDescent="0.25">
      <c r="B443" s="129" t="s">
        <v>844</v>
      </c>
    </row>
    <row r="444" spans="2:7" ht="27.75" customHeight="1" x14ac:dyDescent="0.25">
      <c r="B444" s="129" t="s">
        <v>845</v>
      </c>
      <c r="C444"/>
      <c r="D444"/>
      <c r="E444"/>
      <c r="F444"/>
      <c r="G444"/>
    </row>
    <row r="445" spans="2:7" ht="36" customHeight="1" x14ac:dyDescent="0.25">
      <c r="B445" s="8" t="s">
        <v>846</v>
      </c>
      <c r="C445"/>
      <c r="D445"/>
      <c r="E445"/>
      <c r="F445"/>
      <c r="G445"/>
    </row>
    <row r="446" spans="2:7" x14ac:dyDescent="0.25">
      <c r="B446" s="8" t="s">
        <v>847</v>
      </c>
    </row>
    <row r="447" spans="2:7" ht="12.5" x14ac:dyDescent="0.25">
      <c r="B447" s="338" t="s">
        <v>848</v>
      </c>
    </row>
    <row r="449" spans="2:2" ht="15.5" x14ac:dyDescent="0.35">
      <c r="B449" s="235" t="s">
        <v>849</v>
      </c>
    </row>
    <row r="451" spans="2:2" x14ac:dyDescent="0.25">
      <c r="B451" s="8" t="s">
        <v>850</v>
      </c>
    </row>
    <row r="453" spans="2:2" x14ac:dyDescent="0.25">
      <c r="B453" s="8" t="s">
        <v>851</v>
      </c>
    </row>
    <row r="455" spans="2:2" x14ac:dyDescent="0.25">
      <c r="B455" s="8" t="s">
        <v>852</v>
      </c>
    </row>
    <row r="456" spans="2:2" x14ac:dyDescent="0.25">
      <c r="B456" s="8" t="s">
        <v>853</v>
      </c>
    </row>
    <row r="458" spans="2:2" x14ac:dyDescent="0.25">
      <c r="B458" s="129" t="s">
        <v>854</v>
      </c>
    </row>
    <row r="459" spans="2:2" x14ac:dyDescent="0.25">
      <c r="B459" s="129" t="s">
        <v>855</v>
      </c>
    </row>
    <row r="460" spans="2:2" x14ac:dyDescent="0.25">
      <c r="B460" s="129" t="s">
        <v>856</v>
      </c>
    </row>
    <row r="461" spans="2:2" x14ac:dyDescent="0.25">
      <c r="B461" s="129" t="s">
        <v>857</v>
      </c>
    </row>
    <row r="462" spans="2:2" x14ac:dyDescent="0.25">
      <c r="B462" s="129" t="s">
        <v>858</v>
      </c>
    </row>
    <row r="463" spans="2:2" x14ac:dyDescent="0.25">
      <c r="B463" s="129" t="s">
        <v>859</v>
      </c>
    </row>
    <row r="464" spans="2:2" x14ac:dyDescent="0.25">
      <c r="B464" s="129" t="s">
        <v>860</v>
      </c>
    </row>
    <row r="466" spans="2:2" ht="15.5" x14ac:dyDescent="0.35">
      <c r="B466" s="235" t="s">
        <v>861</v>
      </c>
    </row>
    <row r="468" spans="2:2" x14ac:dyDescent="0.25">
      <c r="B468" s="8" t="s">
        <v>862</v>
      </c>
    </row>
    <row r="469" spans="2:2" x14ac:dyDescent="0.25">
      <c r="B469" s="8" t="s">
        <v>863</v>
      </c>
    </row>
    <row r="471" spans="2:2" x14ac:dyDescent="0.25">
      <c r="B471" s="8" t="s">
        <v>864</v>
      </c>
    </row>
    <row r="472" spans="2:2" x14ac:dyDescent="0.25">
      <c r="B472" s="8" t="s">
        <v>865</v>
      </c>
    </row>
    <row r="473" spans="2:2" x14ac:dyDescent="0.25">
      <c r="B473" s="8" t="s">
        <v>866</v>
      </c>
    </row>
    <row r="475" spans="2:2" x14ac:dyDescent="0.25">
      <c r="B475" s="129" t="s">
        <v>867</v>
      </c>
    </row>
    <row r="476" spans="2:2" x14ac:dyDescent="0.25">
      <c r="B476" s="129" t="s">
        <v>868</v>
      </c>
    </row>
    <row r="477" spans="2:2" x14ac:dyDescent="0.25">
      <c r="B477" s="129" t="s">
        <v>869</v>
      </c>
    </row>
    <row r="478" spans="2:2" x14ac:dyDescent="0.25">
      <c r="B478" s="129" t="s">
        <v>870</v>
      </c>
    </row>
    <row r="480" spans="2:2" ht="15.5" x14ac:dyDescent="0.35">
      <c r="B480" s="235" t="s">
        <v>717</v>
      </c>
    </row>
    <row r="481" spans="2:2" x14ac:dyDescent="0.25">
      <c r="B481" s="8" t="s">
        <v>871</v>
      </c>
    </row>
    <row r="483" spans="2:2" ht="15.5" x14ac:dyDescent="0.35">
      <c r="B483" s="235" t="s">
        <v>872</v>
      </c>
    </row>
    <row r="485" spans="2:2" x14ac:dyDescent="0.25">
      <c r="B485" s="8" t="s">
        <v>873</v>
      </c>
    </row>
    <row r="486" spans="2:2" x14ac:dyDescent="0.25">
      <c r="B486" s="8" t="s">
        <v>874</v>
      </c>
    </row>
    <row r="487" spans="2:2" x14ac:dyDescent="0.25">
      <c r="B487" s="8" t="s">
        <v>875</v>
      </c>
    </row>
    <row r="489" spans="2:2" ht="15.5" x14ac:dyDescent="0.35">
      <c r="B489" s="235" t="s">
        <v>876</v>
      </c>
    </row>
    <row r="491" spans="2:2" x14ac:dyDescent="0.25">
      <c r="B491" s="8" t="s">
        <v>877</v>
      </c>
    </row>
    <row r="493" spans="2:2" x14ac:dyDescent="0.25">
      <c r="B493" s="8" t="s">
        <v>878</v>
      </c>
    </row>
    <row r="495" spans="2:2" x14ac:dyDescent="0.25">
      <c r="B495" s="8" t="s">
        <v>879</v>
      </c>
    </row>
    <row r="496" spans="2:2" x14ac:dyDescent="0.25">
      <c r="B496" s="8" t="s">
        <v>880</v>
      </c>
    </row>
    <row r="497" spans="2:6" x14ac:dyDescent="0.25">
      <c r="B497" s="8" t="s">
        <v>881</v>
      </c>
    </row>
    <row r="498" spans="2:6" x14ac:dyDescent="0.25">
      <c r="B498" s="8" t="s">
        <v>882</v>
      </c>
    </row>
    <row r="500" spans="2:6" x14ac:dyDescent="0.25">
      <c r="B500" s="8" t="s">
        <v>883</v>
      </c>
    </row>
    <row r="501" spans="2:6" x14ac:dyDescent="0.25">
      <c r="B501" s="8" t="s">
        <v>884</v>
      </c>
    </row>
    <row r="502" spans="2:6" x14ac:dyDescent="0.25">
      <c r="B502" s="8" t="s">
        <v>885</v>
      </c>
    </row>
    <row r="504" spans="2:6" ht="15.5" x14ac:dyDescent="0.35">
      <c r="B504" s="235" t="s">
        <v>886</v>
      </c>
    </row>
    <row r="505" spans="2:6" x14ac:dyDescent="0.25">
      <c r="B505" s="8" t="s">
        <v>887</v>
      </c>
    </row>
    <row r="507" spans="2:6" x14ac:dyDescent="0.25">
      <c r="C507" s="778" t="s">
        <v>888</v>
      </c>
      <c r="D507" s="798"/>
      <c r="E507" s="1221"/>
      <c r="F507" s="797"/>
    </row>
    <row r="508" spans="2:6" x14ac:dyDescent="0.25">
      <c r="C508" s="693" t="s">
        <v>889</v>
      </c>
      <c r="D508" s="799" t="s">
        <v>890</v>
      </c>
      <c r="F508" s="249"/>
    </row>
    <row r="509" spans="2:6" x14ac:dyDescent="0.25">
      <c r="C509" s="693" t="s">
        <v>891</v>
      </c>
      <c r="D509" s="799" t="s">
        <v>892</v>
      </c>
      <c r="F509" s="249"/>
    </row>
    <row r="510" spans="2:6" x14ac:dyDescent="0.25">
      <c r="C510" s="802" t="s">
        <v>893</v>
      </c>
      <c r="D510" s="805" t="s">
        <v>894</v>
      </c>
      <c r="E510" s="1222"/>
      <c r="F510" s="806"/>
    </row>
    <row r="512" spans="2:6" ht="15.5" x14ac:dyDescent="0.35">
      <c r="B512" s="235" t="s">
        <v>895</v>
      </c>
    </row>
    <row r="513" spans="2:2" x14ac:dyDescent="0.25">
      <c r="B513" s="8" t="s">
        <v>896</v>
      </c>
    </row>
    <row r="514" spans="2:2" x14ac:dyDescent="0.25">
      <c r="B514" s="8" t="s">
        <v>897</v>
      </c>
    </row>
    <row r="515" spans="2:2" x14ac:dyDescent="0.25">
      <c r="B515" s="8" t="s">
        <v>898</v>
      </c>
    </row>
    <row r="517" spans="2:2" x14ac:dyDescent="0.25">
      <c r="B517" s="8" t="s">
        <v>899</v>
      </c>
    </row>
    <row r="519" spans="2:2" x14ac:dyDescent="0.25">
      <c r="B519" s="8" t="s">
        <v>900</v>
      </c>
    </row>
    <row r="521" spans="2:2" x14ac:dyDescent="0.25">
      <c r="B521" s="8" t="s">
        <v>901</v>
      </c>
    </row>
    <row r="522" spans="2:2" ht="15.5" x14ac:dyDescent="0.35">
      <c r="B522" s="235"/>
    </row>
    <row r="523" spans="2:2" x14ac:dyDescent="0.25">
      <c r="B523" s="8" t="s">
        <v>902</v>
      </c>
    </row>
    <row r="524" spans="2:2" x14ac:dyDescent="0.25">
      <c r="B524" s="8" t="s">
        <v>903</v>
      </c>
    </row>
    <row r="525" spans="2:2" x14ac:dyDescent="0.25">
      <c r="B525" s="25" t="s">
        <v>904</v>
      </c>
    </row>
    <row r="526" spans="2:2" x14ac:dyDescent="0.25">
      <c r="B526" s="8" t="s">
        <v>905</v>
      </c>
    </row>
    <row r="527" spans="2:2" x14ac:dyDescent="0.25">
      <c r="B527" s="8" t="s">
        <v>906</v>
      </c>
    </row>
    <row r="528" spans="2:2" x14ac:dyDescent="0.25">
      <c r="B528" s="8" t="s">
        <v>907</v>
      </c>
    </row>
    <row r="530" spans="2:9" x14ac:dyDescent="0.25">
      <c r="C530" s="792" t="s">
        <v>908</v>
      </c>
      <c r="D530" s="2603" t="s">
        <v>909</v>
      </c>
      <c r="E530" s="2604"/>
      <c r="F530" s="2605"/>
      <c r="G530" s="778" t="s">
        <v>910</v>
      </c>
      <c r="H530" s="778" t="s">
        <v>911</v>
      </c>
      <c r="I530" s="778" t="s">
        <v>912</v>
      </c>
    </row>
    <row r="531" spans="2:9" x14ac:dyDescent="0.25">
      <c r="C531" s="778" t="s">
        <v>913</v>
      </c>
      <c r="D531" s="2606" t="s">
        <v>914</v>
      </c>
      <c r="E531" s="2607"/>
      <c r="F531" s="2608"/>
      <c r="G531" s="1223">
        <v>0.1</v>
      </c>
      <c r="H531" s="1223">
        <v>0.1</v>
      </c>
      <c r="I531" s="1223">
        <v>0.2</v>
      </c>
    </row>
    <row r="532" spans="2:9" x14ac:dyDescent="0.25">
      <c r="C532" s="778" t="s">
        <v>915</v>
      </c>
      <c r="D532" s="2606" t="s">
        <v>916</v>
      </c>
      <c r="E532" s="2607"/>
      <c r="F532" s="2608"/>
      <c r="G532" s="1223">
        <v>0.3</v>
      </c>
      <c r="H532" s="1223">
        <v>0.1</v>
      </c>
      <c r="I532" s="1223">
        <v>0.4</v>
      </c>
    </row>
    <row r="533" spans="2:9" x14ac:dyDescent="0.25">
      <c r="C533" s="778" t="s">
        <v>917</v>
      </c>
      <c r="D533" s="2606" t="s">
        <v>918</v>
      </c>
      <c r="E533" s="2607"/>
      <c r="F533" s="2608"/>
      <c r="G533" s="1223">
        <v>0.35</v>
      </c>
      <c r="H533" s="1223">
        <v>0.1</v>
      </c>
      <c r="I533" s="1223">
        <v>0.45</v>
      </c>
    </row>
    <row r="535" spans="2:9" x14ac:dyDescent="0.25">
      <c r="B535" s="12" t="s">
        <v>919</v>
      </c>
    </row>
    <row r="536" spans="2:9" x14ac:dyDescent="0.25">
      <c r="B536" s="8" t="s">
        <v>920</v>
      </c>
    </row>
    <row r="537" spans="2:9" x14ac:dyDescent="0.25">
      <c r="B537" s="8" t="s">
        <v>921</v>
      </c>
    </row>
    <row r="539" spans="2:9" x14ac:dyDescent="0.25">
      <c r="B539" s="12" t="s">
        <v>922</v>
      </c>
    </row>
    <row r="540" spans="2:9" x14ac:dyDescent="0.25">
      <c r="B540" s="8" t="s">
        <v>923</v>
      </c>
    </row>
    <row r="541" spans="2:9" x14ac:dyDescent="0.25">
      <c r="B541" s="8" t="s">
        <v>924</v>
      </c>
    </row>
    <row r="542" spans="2:9" x14ac:dyDescent="0.25">
      <c r="B542" s="8" t="s">
        <v>925</v>
      </c>
    </row>
    <row r="543" spans="2:9" x14ac:dyDescent="0.25">
      <c r="B543" s="8" t="s">
        <v>926</v>
      </c>
    </row>
    <row r="544" spans="2:9" x14ac:dyDescent="0.25">
      <c r="B544" s="8" t="s">
        <v>927</v>
      </c>
    </row>
    <row r="545" spans="2:2" x14ac:dyDescent="0.25">
      <c r="B545" s="8" t="s">
        <v>928</v>
      </c>
    </row>
    <row r="547" spans="2:2" x14ac:dyDescent="0.25">
      <c r="B547" s="8" t="s">
        <v>929</v>
      </c>
    </row>
    <row r="548" spans="2:2" x14ac:dyDescent="0.25">
      <c r="B548" s="8" t="s">
        <v>930</v>
      </c>
    </row>
    <row r="549" spans="2:2" x14ac:dyDescent="0.25">
      <c r="B549" s="8" t="s">
        <v>931</v>
      </c>
    </row>
    <row r="550" spans="2:2" x14ac:dyDescent="0.25">
      <c r="B550" s="8" t="s">
        <v>932</v>
      </c>
    </row>
    <row r="551" spans="2:2" x14ac:dyDescent="0.25">
      <c r="B551" s="8" t="s">
        <v>933</v>
      </c>
    </row>
  </sheetData>
  <mergeCells count="4">
    <mergeCell ref="D530:F530"/>
    <mergeCell ref="D531:F531"/>
    <mergeCell ref="D532:F532"/>
    <mergeCell ref="D533:F533"/>
  </mergeCells>
  <phoneticPr fontId="58" type="noConversion"/>
  <hyperlinks>
    <hyperlink ref="B412" r:id="rId1" xr:uid="{00000000-0004-0000-0300-000000000000}"/>
    <hyperlink ref="B447" r:id="rId2" xr:uid="{00000000-0004-0000-0300-000001000000}"/>
  </hyperlinks>
  <pageMargins left="0.196850393700787" right="0.196850393700787" top="0.196850393700787" bottom="0.196850393700787" header="0" footer="0"/>
  <pageSetup paperSize="9" orientation="portrait" horizontalDpi="1200" verticalDpi="1200" r:id="rId3"/>
  <headerFooter alignWithMargins="0">
    <oddFooter>&amp;C&amp;1#&amp;"Calibri"&amp;10&amp;K000000OFFICIAL-SENSITIVE</oddFooter>
  </headerFooter>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L278"/>
  <sheetViews>
    <sheetView showGridLines="0" zoomScaleNormal="100" workbookViewId="0">
      <pane xSplit="1" ySplit="5" topLeftCell="B155" activePane="bottomRight" state="frozen"/>
      <selection pane="topRight" activeCell="B7" sqref="B7"/>
      <selection pane="bottomLeft" activeCell="B7" sqref="B7"/>
      <selection pane="bottomRight" activeCell="F173" sqref="F173"/>
    </sheetView>
  </sheetViews>
  <sheetFormatPr defaultColWidth="9.1796875" defaultRowHeight="11.5" x14ac:dyDescent="0.25"/>
  <cols>
    <col min="1" max="1" width="4.453125" style="12" customWidth="1"/>
    <col min="2" max="2" width="47.1796875" style="168" customWidth="1"/>
    <col min="3" max="3" width="5.1796875" style="59" customWidth="1"/>
    <col min="4" max="4" width="46.1796875" style="270" customWidth="1"/>
    <col min="5" max="5" width="13.7265625" style="270" customWidth="1"/>
    <col min="6" max="7" width="10.54296875" style="270" customWidth="1"/>
    <col min="8" max="8" width="94.54296875" style="59" customWidth="1"/>
    <col min="9" max="10" width="9.1796875" style="59"/>
    <col min="11" max="11" width="7.1796875" style="59" customWidth="1"/>
    <col min="12" max="12" width="7.453125" style="59" customWidth="1"/>
    <col min="13" max="16384" width="9.1796875" style="59"/>
  </cols>
  <sheetData>
    <row r="1" spans="1:12" x14ac:dyDescent="0.25">
      <c r="A1" s="1224"/>
      <c r="B1" s="1225"/>
      <c r="C1" s="1226" t="str">
        <f>"There are "&amp;Last_row-1&amp;" stored test cases"</f>
        <v>There are 273 stored test cases</v>
      </c>
      <c r="D1" s="1227"/>
      <c r="E1" s="1228"/>
      <c r="F1" s="268"/>
      <c r="G1" s="268"/>
      <c r="H1" s="229"/>
    </row>
    <row r="2" spans="1:12" x14ac:dyDescent="0.25">
      <c r="A2" s="807"/>
      <c r="B2" s="247"/>
      <c r="C2" s="17"/>
      <c r="D2" s="268"/>
      <c r="E2" s="583"/>
      <c r="F2" s="268"/>
      <c r="G2" s="268"/>
      <c r="H2" s="229"/>
    </row>
    <row r="3" spans="1:12" ht="15" customHeight="1" x14ac:dyDescent="0.25">
      <c r="A3" s="807"/>
      <c r="B3" s="248"/>
      <c r="C3" s="1229">
        <v>168</v>
      </c>
      <c r="D3" s="268"/>
      <c r="E3" s="583"/>
      <c r="F3" s="268"/>
      <c r="G3" s="268"/>
      <c r="H3" s="229"/>
    </row>
    <row r="4" spans="1:12" x14ac:dyDescent="0.25">
      <c r="A4" s="807"/>
      <c r="B4" s="247"/>
      <c r="C4" s="17"/>
      <c r="D4" s="268"/>
      <c r="E4" s="583"/>
      <c r="F4" s="268"/>
      <c r="G4" s="269" t="s">
        <v>934</v>
      </c>
      <c r="H4" s="229"/>
    </row>
    <row r="5" spans="1:12" x14ac:dyDescent="0.25">
      <c r="A5" s="808"/>
      <c r="B5" s="1230" t="s">
        <v>935</v>
      </c>
      <c r="C5" s="1231"/>
      <c r="D5" s="1232" t="s">
        <v>936</v>
      </c>
      <c r="E5" s="809" t="s">
        <v>937</v>
      </c>
      <c r="F5" s="1232" t="s">
        <v>9698</v>
      </c>
      <c r="G5" s="1232" t="s">
        <v>938</v>
      </c>
      <c r="H5" s="1233" t="s">
        <v>939</v>
      </c>
    </row>
    <row r="6" spans="1:12" ht="34.5" x14ac:dyDescent="0.25">
      <c r="A6" s="1234">
        <v>1</v>
      </c>
      <c r="B6" s="1028" t="s">
        <v>940</v>
      </c>
      <c r="C6" s="1235"/>
      <c r="D6" s="1236" t="s">
        <v>941</v>
      </c>
      <c r="E6" s="1237">
        <v>137.97999999999999</v>
      </c>
      <c r="F6" s="2392">
        <v>137.97999999999999</v>
      </c>
      <c r="G6" s="1237" t="s">
        <v>942</v>
      </c>
      <c r="H6" s="777"/>
      <c r="K6" s="131"/>
      <c r="L6" s="131"/>
    </row>
    <row r="7" spans="1:12" ht="46" x14ac:dyDescent="0.25">
      <c r="A7" s="1238">
        <v>2</v>
      </c>
      <c r="B7" s="1029" t="s">
        <v>943</v>
      </c>
      <c r="C7" s="1235"/>
      <c r="D7" s="1239" t="s">
        <v>944</v>
      </c>
      <c r="E7" s="1237">
        <v>9691.1200000000008</v>
      </c>
      <c r="F7" s="2393">
        <v>8870.48</v>
      </c>
      <c r="G7" s="1237" t="s">
        <v>942</v>
      </c>
      <c r="H7" s="777"/>
      <c r="K7" s="131"/>
      <c r="L7" s="131"/>
    </row>
    <row r="8" spans="1:12" ht="57.5" x14ac:dyDescent="0.25">
      <c r="A8" s="1238">
        <v>3</v>
      </c>
      <c r="B8" s="1029" t="s">
        <v>945</v>
      </c>
      <c r="C8" s="1235"/>
      <c r="D8" s="1239" t="s">
        <v>946</v>
      </c>
      <c r="E8" s="1237">
        <v>7461.9300000000021</v>
      </c>
      <c r="F8" s="2393">
        <v>6950.94</v>
      </c>
      <c r="G8" s="1237" t="s">
        <v>942</v>
      </c>
      <c r="H8" s="777"/>
      <c r="K8" s="131"/>
      <c r="L8" s="131"/>
    </row>
    <row r="9" spans="1:12" ht="46" x14ac:dyDescent="0.25">
      <c r="A9" s="1238">
        <v>4</v>
      </c>
      <c r="B9" s="1029" t="s">
        <v>947</v>
      </c>
      <c r="C9" s="1235"/>
      <c r="D9" s="1239" t="s">
        <v>948</v>
      </c>
      <c r="E9" s="1237">
        <v>6990.6100000000006</v>
      </c>
      <c r="F9" s="2393">
        <v>6990.61</v>
      </c>
      <c r="G9" s="1237" t="s">
        <v>942</v>
      </c>
      <c r="H9" s="777"/>
      <c r="K9" s="131"/>
      <c r="L9" s="131"/>
    </row>
    <row r="10" spans="1:12" ht="46" x14ac:dyDescent="0.25">
      <c r="A10" s="1238">
        <v>5</v>
      </c>
      <c r="B10" s="1029" t="s">
        <v>949</v>
      </c>
      <c r="C10" s="1235"/>
      <c r="D10" s="1239" t="s">
        <v>950</v>
      </c>
      <c r="E10" s="1237">
        <v>766.23</v>
      </c>
      <c r="F10" s="2393">
        <v>1025.1400000000001</v>
      </c>
      <c r="G10" s="1237" t="s">
        <v>942</v>
      </c>
      <c r="H10" s="777"/>
      <c r="K10" s="131"/>
      <c r="L10" s="131"/>
    </row>
    <row r="11" spans="1:12" ht="34.5" x14ac:dyDescent="0.25">
      <c r="A11" s="1238">
        <v>6</v>
      </c>
      <c r="B11" s="1029" t="s">
        <v>951</v>
      </c>
      <c r="C11" s="1235"/>
      <c r="D11" s="1239" t="s">
        <v>952</v>
      </c>
      <c r="E11" s="1237">
        <v>6678.91</v>
      </c>
      <c r="F11" s="2393">
        <v>6351.66</v>
      </c>
      <c r="G11" s="1237" t="s">
        <v>942</v>
      </c>
      <c r="H11" s="777"/>
      <c r="K11" s="131"/>
      <c r="L11" s="131"/>
    </row>
    <row r="12" spans="1:12" ht="23" x14ac:dyDescent="0.25">
      <c r="A12" s="1238">
        <v>7</v>
      </c>
      <c r="B12" s="1029" t="s">
        <v>953</v>
      </c>
      <c r="C12" s="1235"/>
      <c r="D12" s="1239" t="s">
        <v>954</v>
      </c>
      <c r="E12" s="1237">
        <v>54.8</v>
      </c>
      <c r="F12" s="2392">
        <v>68.3</v>
      </c>
      <c r="G12" s="1237" t="s">
        <v>942</v>
      </c>
      <c r="H12" s="777"/>
      <c r="K12" s="131"/>
      <c r="L12" s="131"/>
    </row>
    <row r="13" spans="1:12" ht="23" x14ac:dyDescent="0.25">
      <c r="A13" s="1238">
        <v>8</v>
      </c>
      <c r="B13" s="1029" t="s">
        <v>955</v>
      </c>
      <c r="C13" s="1235"/>
      <c r="D13" s="1239" t="s">
        <v>956</v>
      </c>
      <c r="E13" s="1237">
        <v>1041.98</v>
      </c>
      <c r="F13" s="2393">
        <v>1059.3800000000001</v>
      </c>
      <c r="G13" s="1237" t="s">
        <v>942</v>
      </c>
      <c r="H13" s="794"/>
      <c r="K13" s="131"/>
      <c r="L13" s="131"/>
    </row>
    <row r="14" spans="1:12" ht="69" x14ac:dyDescent="0.25">
      <c r="A14" s="1238">
        <v>9</v>
      </c>
      <c r="B14" s="1029" t="s">
        <v>957</v>
      </c>
      <c r="C14" s="1235"/>
      <c r="D14" s="1239" t="s">
        <v>958</v>
      </c>
      <c r="E14" s="1237">
        <v>197.01999999999998</v>
      </c>
      <c r="F14" s="2392">
        <v>190.92</v>
      </c>
      <c r="G14" s="1237" t="s">
        <v>942</v>
      </c>
      <c r="H14" s="777"/>
      <c r="K14" s="131"/>
      <c r="L14" s="131"/>
    </row>
    <row r="15" spans="1:12" ht="46" x14ac:dyDescent="0.25">
      <c r="A15" s="1238">
        <v>10</v>
      </c>
      <c r="B15" s="1029" t="s">
        <v>959</v>
      </c>
      <c r="C15" s="1235"/>
      <c r="D15" s="1239" t="s">
        <v>960</v>
      </c>
      <c r="E15" s="1237">
        <v>4379.99</v>
      </c>
      <c r="F15" s="2393">
        <v>4379.99</v>
      </c>
      <c r="G15" s="1237" t="s">
        <v>942</v>
      </c>
      <c r="H15" s="777"/>
      <c r="K15" s="131"/>
      <c r="L15" s="131"/>
    </row>
    <row r="16" spans="1:12" ht="34.5" x14ac:dyDescent="0.25">
      <c r="A16" s="1238">
        <v>11</v>
      </c>
      <c r="B16" s="1030" t="s">
        <v>961</v>
      </c>
      <c r="C16" s="1235"/>
      <c r="D16" s="1239" t="s">
        <v>962</v>
      </c>
      <c r="E16" s="1237">
        <v>4177.3500000000004</v>
      </c>
      <c r="F16" s="2393">
        <v>4191.8599999999997</v>
      </c>
      <c r="G16" s="1237" t="s">
        <v>942</v>
      </c>
      <c r="H16" s="777"/>
      <c r="K16" s="131"/>
      <c r="L16" s="131"/>
    </row>
    <row r="17" spans="1:12" ht="23" x14ac:dyDescent="0.25">
      <c r="A17" s="1238">
        <v>12</v>
      </c>
      <c r="B17" s="1028" t="s">
        <v>963</v>
      </c>
      <c r="C17" s="1235"/>
      <c r="D17" s="1239" t="s">
        <v>964</v>
      </c>
      <c r="E17" s="1237">
        <v>6999.9400000000005</v>
      </c>
      <c r="F17" s="2393">
        <v>6999.94</v>
      </c>
      <c r="G17" s="1237" t="s">
        <v>942</v>
      </c>
      <c r="H17" s="777"/>
      <c r="K17" s="131"/>
      <c r="L17" s="131"/>
    </row>
    <row r="18" spans="1:12" ht="23" x14ac:dyDescent="0.25">
      <c r="A18" s="1238">
        <v>13</v>
      </c>
      <c r="B18" s="1028" t="s">
        <v>965</v>
      </c>
      <c r="C18" s="1235"/>
      <c r="D18" s="1239" t="s">
        <v>966</v>
      </c>
      <c r="E18" s="1237">
        <v>25819.78</v>
      </c>
      <c r="F18" s="2393">
        <v>18445.080000000002</v>
      </c>
      <c r="G18" s="1237" t="s">
        <v>942</v>
      </c>
      <c r="H18" s="777"/>
      <c r="K18" s="131"/>
      <c r="L18" s="131"/>
    </row>
    <row r="19" spans="1:12" ht="57.5" x14ac:dyDescent="0.25">
      <c r="A19" s="1238">
        <v>14</v>
      </c>
      <c r="B19" s="1030" t="s">
        <v>967</v>
      </c>
      <c r="C19" s="1235"/>
      <c r="D19" s="1239" t="s">
        <v>968</v>
      </c>
      <c r="E19" s="1237">
        <v>7235.170000000001</v>
      </c>
      <c r="F19" s="2393">
        <v>7235.17</v>
      </c>
      <c r="G19" s="1237" t="s">
        <v>942</v>
      </c>
      <c r="H19" s="777"/>
      <c r="K19" s="131"/>
      <c r="L19" s="131"/>
    </row>
    <row r="20" spans="1:12" ht="34.5" x14ac:dyDescent="0.25">
      <c r="A20" s="1238">
        <v>15</v>
      </c>
      <c r="B20" s="1028" t="s">
        <v>969</v>
      </c>
      <c r="C20" s="1235"/>
      <c r="D20" s="1239" t="s">
        <v>970</v>
      </c>
      <c r="E20" s="1237">
        <v>10552.15</v>
      </c>
      <c r="F20" s="2393">
        <v>10878.32</v>
      </c>
      <c r="G20" s="1237" t="s">
        <v>942</v>
      </c>
      <c r="H20" s="777"/>
      <c r="K20" s="131"/>
      <c r="L20" s="131"/>
    </row>
    <row r="21" spans="1:12" ht="34.5" x14ac:dyDescent="0.25">
      <c r="A21" s="1238">
        <v>16</v>
      </c>
      <c r="B21" s="1031" t="s">
        <v>971</v>
      </c>
      <c r="C21" s="1240"/>
      <c r="D21" s="1239" t="s">
        <v>972</v>
      </c>
      <c r="E21" s="1237">
        <v>16020.32</v>
      </c>
      <c r="F21" s="2393">
        <v>16034.83</v>
      </c>
      <c r="G21" s="1237" t="s">
        <v>942</v>
      </c>
      <c r="H21" s="777"/>
      <c r="K21" s="131"/>
      <c r="L21" s="131"/>
    </row>
    <row r="22" spans="1:12" ht="46" x14ac:dyDescent="0.25">
      <c r="A22" s="1238">
        <v>17</v>
      </c>
      <c r="B22" s="1031" t="s">
        <v>973</v>
      </c>
      <c r="C22" s="1240"/>
      <c r="D22" s="1239" t="s">
        <v>974</v>
      </c>
      <c r="E22" s="1237">
        <v>25254.110000000004</v>
      </c>
      <c r="F22" s="2393">
        <v>25254.11</v>
      </c>
      <c r="G22" s="1237" t="s">
        <v>942</v>
      </c>
      <c r="H22" s="777"/>
      <c r="K22" s="131"/>
      <c r="L22" s="131"/>
    </row>
    <row r="23" spans="1:12" ht="34.5" x14ac:dyDescent="0.25">
      <c r="A23" s="1238">
        <v>18</v>
      </c>
      <c r="B23" s="1031" t="s">
        <v>975</v>
      </c>
      <c r="C23" s="1240"/>
      <c r="D23" s="1239" t="s">
        <v>976</v>
      </c>
      <c r="E23" s="1237">
        <v>3236.8100000000004</v>
      </c>
      <c r="F23" s="2393">
        <v>3236.81</v>
      </c>
      <c r="G23" s="1237" t="s">
        <v>942</v>
      </c>
      <c r="H23" s="777"/>
      <c r="K23" s="131"/>
      <c r="L23" s="131"/>
    </row>
    <row r="24" spans="1:12" ht="23" x14ac:dyDescent="0.25">
      <c r="A24" s="1238">
        <v>19</v>
      </c>
      <c r="B24" s="1031" t="s">
        <v>977</v>
      </c>
      <c r="C24" s="1241"/>
      <c r="D24" s="1239" t="s">
        <v>978</v>
      </c>
      <c r="E24" s="1237">
        <v>4012.7799999999988</v>
      </c>
      <c r="F24" s="2392">
        <v>831.33</v>
      </c>
      <c r="G24" s="1237" t="s">
        <v>942</v>
      </c>
      <c r="H24" s="777"/>
      <c r="K24" s="131"/>
      <c r="L24" s="131"/>
    </row>
    <row r="25" spans="1:12" ht="23" x14ac:dyDescent="0.25">
      <c r="A25" s="1238">
        <v>20</v>
      </c>
      <c r="B25" s="1030" t="s">
        <v>979</v>
      </c>
      <c r="C25" s="1241"/>
      <c r="D25" s="1239" t="s">
        <v>980</v>
      </c>
      <c r="E25" s="1237">
        <v>2700.85</v>
      </c>
      <c r="F25" s="2393">
        <v>2700.85</v>
      </c>
      <c r="G25" s="1237" t="s">
        <v>942</v>
      </c>
      <c r="H25" s="777"/>
      <c r="K25" s="131"/>
      <c r="L25" s="131"/>
    </row>
    <row r="26" spans="1:12" ht="23" x14ac:dyDescent="0.25">
      <c r="A26" s="1238">
        <v>21</v>
      </c>
      <c r="B26" s="1030" t="s">
        <v>981</v>
      </c>
      <c r="C26" s="1241"/>
      <c r="D26" s="1239" t="s">
        <v>948</v>
      </c>
      <c r="E26" s="1237">
        <v>15160.220000000001</v>
      </c>
      <c r="F26" s="2393">
        <v>15160.22</v>
      </c>
      <c r="G26" s="1237" t="s">
        <v>942</v>
      </c>
      <c r="H26" s="777"/>
      <c r="K26" s="131"/>
      <c r="L26" s="131"/>
    </row>
    <row r="27" spans="1:12" ht="23" x14ac:dyDescent="0.25">
      <c r="A27" s="1238">
        <v>22</v>
      </c>
      <c r="B27" s="1028" t="s">
        <v>982</v>
      </c>
      <c r="C27" s="1241"/>
      <c r="D27" s="1242" t="s">
        <v>983</v>
      </c>
      <c r="E27" s="1237">
        <v>27692.709999999995</v>
      </c>
      <c r="F27" s="2393">
        <v>14244.81</v>
      </c>
      <c r="G27" s="1237" t="s">
        <v>942</v>
      </c>
      <c r="H27" s="777"/>
      <c r="K27" s="131"/>
      <c r="L27" s="131"/>
    </row>
    <row r="28" spans="1:12" ht="46" x14ac:dyDescent="0.25">
      <c r="A28" s="1238">
        <v>23</v>
      </c>
      <c r="B28" s="1031" t="s">
        <v>984</v>
      </c>
      <c r="C28" s="1241"/>
      <c r="D28" s="1239" t="s">
        <v>985</v>
      </c>
      <c r="E28" s="1243">
        <v>6818.6299999999992</v>
      </c>
      <c r="F28" s="2392">
        <v>6818.63</v>
      </c>
      <c r="G28" s="1237" t="s">
        <v>942</v>
      </c>
      <c r="H28" s="777"/>
      <c r="K28" s="131"/>
      <c r="L28" s="131"/>
    </row>
    <row r="29" spans="1:12" ht="23" x14ac:dyDescent="0.25">
      <c r="A29" s="1238">
        <v>24</v>
      </c>
      <c r="B29" s="1031" t="s">
        <v>986</v>
      </c>
      <c r="C29" s="1241"/>
      <c r="D29" s="1239" t="s">
        <v>987</v>
      </c>
      <c r="E29" s="1243">
        <v>2195.6699999999983</v>
      </c>
      <c r="F29" s="2392">
        <v>1883.01</v>
      </c>
      <c r="G29" s="1237" t="s">
        <v>942</v>
      </c>
      <c r="H29" s="777"/>
      <c r="K29" s="131"/>
      <c r="L29" s="131"/>
    </row>
    <row r="30" spans="1:12" ht="34.5" x14ac:dyDescent="0.25">
      <c r="A30" s="1238">
        <v>25</v>
      </c>
      <c r="B30" s="1031" t="s">
        <v>988</v>
      </c>
      <c r="C30" s="1241"/>
      <c r="D30" s="1239" t="s">
        <v>989</v>
      </c>
      <c r="E30" s="1243">
        <v>3952.09</v>
      </c>
      <c r="F30" s="2392">
        <v>3383.86</v>
      </c>
      <c r="G30" s="1237" t="s">
        <v>942</v>
      </c>
      <c r="H30" s="777"/>
      <c r="K30" s="131"/>
      <c r="L30" s="131"/>
    </row>
    <row r="31" spans="1:12" ht="34.5" x14ac:dyDescent="0.25">
      <c r="A31" s="1238">
        <v>26</v>
      </c>
      <c r="B31" s="1030" t="s">
        <v>990</v>
      </c>
      <c r="C31" s="1235"/>
      <c r="D31" s="1239" t="s">
        <v>991</v>
      </c>
      <c r="E31" s="1237">
        <v>-652.60000000000036</v>
      </c>
      <c r="F31" s="2392">
        <v>-652.6</v>
      </c>
      <c r="G31" s="1237" t="s">
        <v>942</v>
      </c>
      <c r="H31" s="777"/>
      <c r="K31" s="131"/>
      <c r="L31" s="131"/>
    </row>
    <row r="32" spans="1:12" ht="23" x14ac:dyDescent="0.25">
      <c r="A32" s="1238">
        <v>27</v>
      </c>
      <c r="B32" s="1030" t="s">
        <v>992</v>
      </c>
      <c r="C32" s="1235"/>
      <c r="D32" s="1239" t="s">
        <v>993</v>
      </c>
      <c r="E32" s="1237">
        <v>5656.82</v>
      </c>
      <c r="F32" s="2393">
        <v>5683.93</v>
      </c>
      <c r="G32" s="1237" t="s">
        <v>942</v>
      </c>
      <c r="H32" s="777"/>
      <c r="K32" s="131"/>
      <c r="L32" s="131"/>
    </row>
    <row r="33" spans="1:12" ht="23" x14ac:dyDescent="0.25">
      <c r="A33" s="1238">
        <v>28</v>
      </c>
      <c r="B33" s="1030" t="s">
        <v>994</v>
      </c>
      <c r="C33" s="1235"/>
      <c r="D33" s="1239" t="s">
        <v>960</v>
      </c>
      <c r="E33" s="1237">
        <v>7457.65</v>
      </c>
      <c r="F33" s="2393">
        <v>7457.65</v>
      </c>
      <c r="G33" s="1237" t="s">
        <v>942</v>
      </c>
      <c r="H33" s="777"/>
      <c r="K33" s="131"/>
      <c r="L33" s="131"/>
    </row>
    <row r="34" spans="1:12" x14ac:dyDescent="0.25">
      <c r="A34" s="1238">
        <v>29</v>
      </c>
      <c r="B34" s="1030" t="s">
        <v>995</v>
      </c>
      <c r="C34" s="1235"/>
      <c r="D34" s="1239" t="s">
        <v>996</v>
      </c>
      <c r="E34" s="1237">
        <v>25941.42</v>
      </c>
      <c r="F34" s="2393">
        <v>25955.93</v>
      </c>
      <c r="G34" s="1237" t="s">
        <v>942</v>
      </c>
      <c r="H34" s="777"/>
      <c r="K34" s="131"/>
      <c r="L34" s="131"/>
    </row>
    <row r="35" spans="1:12" x14ac:dyDescent="0.25">
      <c r="A35" s="1238">
        <v>30</v>
      </c>
      <c r="B35" s="1030" t="s">
        <v>997</v>
      </c>
      <c r="C35" s="1235"/>
      <c r="D35" s="1239" t="s">
        <v>998</v>
      </c>
      <c r="E35" s="1237">
        <v>36014</v>
      </c>
      <c r="F35" s="2393">
        <v>36083</v>
      </c>
      <c r="G35" s="1237" t="s">
        <v>942</v>
      </c>
      <c r="H35" s="777"/>
      <c r="K35" s="131"/>
      <c r="L35" s="131"/>
    </row>
    <row r="36" spans="1:12" x14ac:dyDescent="0.25">
      <c r="A36" s="1238">
        <v>31</v>
      </c>
      <c r="B36" s="1028" t="s">
        <v>999</v>
      </c>
      <c r="C36" s="1235"/>
      <c r="D36" s="1239" t="s">
        <v>1000</v>
      </c>
      <c r="E36" s="1237">
        <v>327.80000000000018</v>
      </c>
      <c r="F36" s="2392">
        <v>342.31</v>
      </c>
      <c r="G36" s="1237" t="s">
        <v>942</v>
      </c>
      <c r="H36" s="777"/>
      <c r="K36" s="131"/>
      <c r="L36" s="131"/>
    </row>
    <row r="37" spans="1:12" ht="23" x14ac:dyDescent="0.25">
      <c r="A37" s="1238">
        <v>32</v>
      </c>
      <c r="B37" s="1028" t="s">
        <v>1001</v>
      </c>
      <c r="C37" s="1235"/>
      <c r="D37" s="1239" t="s">
        <v>1002</v>
      </c>
      <c r="E37" s="1237">
        <v>11160.150000000001</v>
      </c>
      <c r="F37" s="2393">
        <v>11161.15</v>
      </c>
      <c r="G37" s="1237" t="s">
        <v>942</v>
      </c>
      <c r="H37" s="777"/>
      <c r="K37" s="131"/>
      <c r="L37" s="131"/>
    </row>
    <row r="38" spans="1:12" x14ac:dyDescent="0.25">
      <c r="A38" s="1238">
        <v>33</v>
      </c>
      <c r="B38" s="1028" t="s">
        <v>1003</v>
      </c>
      <c r="C38" s="1235"/>
      <c r="D38" s="1239" t="s">
        <v>1004</v>
      </c>
      <c r="E38" s="1237">
        <v>9189.7999999999993</v>
      </c>
      <c r="F38" s="2393">
        <v>9188.7999999999993</v>
      </c>
      <c r="G38" s="1237" t="s">
        <v>942</v>
      </c>
      <c r="H38" s="777"/>
      <c r="K38" s="131"/>
      <c r="L38" s="131"/>
    </row>
    <row r="39" spans="1:12" x14ac:dyDescent="0.25">
      <c r="A39" s="1238">
        <v>34</v>
      </c>
      <c r="B39" s="1028" t="s">
        <v>1005</v>
      </c>
      <c r="C39" s="1235"/>
      <c r="D39" s="1239" t="s">
        <v>1006</v>
      </c>
      <c r="E39" s="1237">
        <v>42682.22</v>
      </c>
      <c r="F39" s="2393">
        <v>42696.67</v>
      </c>
      <c r="G39" s="1237" t="s">
        <v>942</v>
      </c>
      <c r="H39" s="777"/>
      <c r="K39" s="131"/>
      <c r="L39" s="131"/>
    </row>
    <row r="40" spans="1:12" ht="23" x14ac:dyDescent="0.25">
      <c r="A40" s="1238">
        <v>35</v>
      </c>
      <c r="B40" s="1028" t="s">
        <v>1007</v>
      </c>
      <c r="C40" s="1235"/>
      <c r="D40" s="1239" t="s">
        <v>1008</v>
      </c>
      <c r="E40" s="1237">
        <v>770.3</v>
      </c>
      <c r="F40" s="2392">
        <v>428.45</v>
      </c>
      <c r="G40" s="1237" t="s">
        <v>942</v>
      </c>
      <c r="H40" s="777"/>
      <c r="K40" s="131"/>
      <c r="L40" s="131"/>
    </row>
    <row r="41" spans="1:12" x14ac:dyDescent="0.25">
      <c r="A41" s="1238">
        <v>36</v>
      </c>
      <c r="B41" s="1028" t="s">
        <v>1009</v>
      </c>
      <c r="C41" s="1235"/>
      <c r="D41" s="1239" t="s">
        <v>1010</v>
      </c>
      <c r="E41" s="1237">
        <v>4605.8999999999996</v>
      </c>
      <c r="F41" s="2393">
        <v>4651.8999999999996</v>
      </c>
      <c r="G41" s="1237" t="s">
        <v>942</v>
      </c>
      <c r="H41" s="777"/>
      <c r="K41" s="131"/>
      <c r="L41" s="131"/>
    </row>
    <row r="42" spans="1:12" ht="23" x14ac:dyDescent="0.25">
      <c r="A42" s="1238">
        <v>37</v>
      </c>
      <c r="B42" s="1028" t="s">
        <v>1011</v>
      </c>
      <c r="C42" s="1235"/>
      <c r="D42" s="1239" t="s">
        <v>1012</v>
      </c>
      <c r="E42" s="1237">
        <v>344.20000000000005</v>
      </c>
      <c r="F42" s="2392">
        <v>344.2</v>
      </c>
      <c r="G42" s="1237" t="s">
        <v>942</v>
      </c>
      <c r="H42" s="777"/>
      <c r="K42" s="131"/>
      <c r="L42" s="131"/>
    </row>
    <row r="43" spans="1:12" ht="23" x14ac:dyDescent="0.25">
      <c r="A43" s="1238">
        <v>38</v>
      </c>
      <c r="B43" s="1028" t="s">
        <v>1013</v>
      </c>
      <c r="C43" s="1235"/>
      <c r="D43" s="1239" t="s">
        <v>1014</v>
      </c>
      <c r="E43" s="1237">
        <v>9660.42</v>
      </c>
      <c r="F43" s="2393">
        <v>8882.7199999999993</v>
      </c>
      <c r="G43" s="1237" t="s">
        <v>942</v>
      </c>
      <c r="H43" s="777"/>
      <c r="K43" s="131"/>
      <c r="L43" s="131"/>
    </row>
    <row r="44" spans="1:12" x14ac:dyDescent="0.25">
      <c r="A44" s="1238">
        <v>39</v>
      </c>
      <c r="B44" s="1028" t="s">
        <v>1015</v>
      </c>
      <c r="C44" s="1235"/>
      <c r="D44" s="1239" t="s">
        <v>1016</v>
      </c>
      <c r="E44" s="1237">
        <v>21131.599999999999</v>
      </c>
      <c r="F44" s="2393">
        <v>21146.11</v>
      </c>
      <c r="G44" s="1237" t="s">
        <v>942</v>
      </c>
      <c r="H44" s="777"/>
      <c r="K44" s="131"/>
      <c r="L44" s="131"/>
    </row>
    <row r="45" spans="1:12" x14ac:dyDescent="0.25">
      <c r="A45" s="1238">
        <v>40</v>
      </c>
      <c r="B45" s="1028" t="s">
        <v>1017</v>
      </c>
      <c r="C45" s="1235"/>
      <c r="D45" s="1239" t="s">
        <v>1018</v>
      </c>
      <c r="E45" s="1237">
        <v>15728.630000000001</v>
      </c>
      <c r="F45" s="2393">
        <v>15728.63</v>
      </c>
      <c r="G45" s="1237" t="s">
        <v>942</v>
      </c>
      <c r="H45" s="777"/>
      <c r="K45" s="131"/>
      <c r="L45" s="131"/>
    </row>
    <row r="46" spans="1:12" ht="34.5" x14ac:dyDescent="0.25">
      <c r="A46" s="1238">
        <v>41</v>
      </c>
      <c r="B46" s="1028" t="s">
        <v>1019</v>
      </c>
      <c r="C46" s="1235"/>
      <c r="D46" s="1239" t="s">
        <v>1020</v>
      </c>
      <c r="E46" s="1237">
        <v>54970.489999999991</v>
      </c>
      <c r="F46" s="2393">
        <v>54375</v>
      </c>
      <c r="G46" s="1237" t="s">
        <v>942</v>
      </c>
      <c r="H46" s="777"/>
      <c r="K46" s="131"/>
      <c r="L46" s="131"/>
    </row>
    <row r="47" spans="1:12" ht="34.5" x14ac:dyDescent="0.25">
      <c r="A47" s="1238">
        <v>42</v>
      </c>
      <c r="B47" s="1028" t="s">
        <v>1021</v>
      </c>
      <c r="C47" s="1235"/>
      <c r="D47" s="1239" t="s">
        <v>1022</v>
      </c>
      <c r="E47" s="1237">
        <v>3915.119999999999</v>
      </c>
      <c r="F47" s="2392">
        <v>337.75</v>
      </c>
      <c r="G47" s="1237" t="s">
        <v>942</v>
      </c>
      <c r="H47" s="777"/>
      <c r="K47" s="131"/>
      <c r="L47" s="131"/>
    </row>
    <row r="48" spans="1:12" ht="23" x14ac:dyDescent="0.25">
      <c r="A48" s="1238">
        <v>43</v>
      </c>
      <c r="B48" s="1028" t="s">
        <v>1023</v>
      </c>
      <c r="C48" s="1235"/>
      <c r="D48" s="1239" t="s">
        <v>1024</v>
      </c>
      <c r="E48" s="1237">
        <v>16492.57</v>
      </c>
      <c r="F48" s="2393">
        <v>26797.98</v>
      </c>
      <c r="G48" s="1237" t="s">
        <v>942</v>
      </c>
      <c r="H48" s="777"/>
      <c r="K48" s="131"/>
      <c r="L48" s="131"/>
    </row>
    <row r="49" spans="1:12" ht="23" x14ac:dyDescent="0.25">
      <c r="A49" s="1238">
        <v>44</v>
      </c>
      <c r="B49" s="1028" t="s">
        <v>1025</v>
      </c>
      <c r="C49" s="1235"/>
      <c r="D49" s="1239" t="s">
        <v>1026</v>
      </c>
      <c r="E49" s="1237">
        <v>-965.46000000000276</v>
      </c>
      <c r="F49" s="2392">
        <v>-4.45</v>
      </c>
      <c r="G49" s="1237" t="s">
        <v>1027</v>
      </c>
      <c r="H49" s="777"/>
      <c r="K49" s="131"/>
      <c r="L49" s="131"/>
    </row>
    <row r="50" spans="1:12" ht="46" x14ac:dyDescent="0.25">
      <c r="A50" s="1238">
        <v>45</v>
      </c>
      <c r="B50" s="1028" t="s">
        <v>1028</v>
      </c>
      <c r="C50" s="1235"/>
      <c r="D50" s="1239" t="s">
        <v>1029</v>
      </c>
      <c r="E50" s="1237">
        <v>3707.8100000000013</v>
      </c>
      <c r="F50" s="2393">
        <v>3711.81</v>
      </c>
      <c r="G50" s="1237" t="s">
        <v>942</v>
      </c>
      <c r="H50" s="777"/>
      <c r="K50" s="131"/>
      <c r="L50" s="131"/>
    </row>
    <row r="51" spans="1:12" ht="23" x14ac:dyDescent="0.25">
      <c r="A51" s="1238">
        <v>46</v>
      </c>
      <c r="B51" s="1028" t="s">
        <v>1030</v>
      </c>
      <c r="C51" s="1235"/>
      <c r="D51" s="1239" t="s">
        <v>1031</v>
      </c>
      <c r="E51" s="1237">
        <v>-91.25</v>
      </c>
      <c r="F51" s="2392">
        <v>-91.25</v>
      </c>
      <c r="G51" s="1237" t="s">
        <v>1027</v>
      </c>
      <c r="H51" s="777"/>
      <c r="K51" s="131"/>
      <c r="L51" s="131"/>
    </row>
    <row r="52" spans="1:12" ht="46" x14ac:dyDescent="0.25">
      <c r="A52" s="1238">
        <v>47</v>
      </c>
      <c r="B52" s="1028" t="s">
        <v>1032</v>
      </c>
      <c r="C52" s="1235"/>
      <c r="D52" s="1239" t="s">
        <v>1033</v>
      </c>
      <c r="E52" s="1237">
        <v>10872.8</v>
      </c>
      <c r="F52" s="2393">
        <v>7189</v>
      </c>
      <c r="G52" s="1237" t="s">
        <v>1027</v>
      </c>
      <c r="H52" s="777"/>
      <c r="K52" s="131"/>
      <c r="L52" s="131"/>
    </row>
    <row r="53" spans="1:12" ht="46" x14ac:dyDescent="0.25">
      <c r="A53" s="1238">
        <v>48</v>
      </c>
      <c r="B53" s="1028" t="s">
        <v>1034</v>
      </c>
      <c r="C53" s="1235"/>
      <c r="D53" s="1239" t="s">
        <v>1035</v>
      </c>
      <c r="E53" s="1237">
        <v>5217</v>
      </c>
      <c r="F53" s="2393">
        <v>5217</v>
      </c>
      <c r="G53" s="1237" t="s">
        <v>1027</v>
      </c>
      <c r="H53" s="777"/>
      <c r="K53" s="131"/>
      <c r="L53" s="131"/>
    </row>
    <row r="54" spans="1:12" ht="46" x14ac:dyDescent="0.25">
      <c r="A54" s="1238">
        <v>49</v>
      </c>
      <c r="B54" s="1028" t="s">
        <v>1036</v>
      </c>
      <c r="C54" s="1235"/>
      <c r="D54" s="1239" t="s">
        <v>1037</v>
      </c>
      <c r="E54" s="1237">
        <v>22345</v>
      </c>
      <c r="F54" s="2393">
        <v>22345</v>
      </c>
      <c r="G54" s="1237" t="s">
        <v>942</v>
      </c>
      <c r="H54" s="777"/>
      <c r="K54" s="131"/>
      <c r="L54" s="131"/>
    </row>
    <row r="55" spans="1:12" ht="46" x14ac:dyDescent="0.25">
      <c r="A55" s="1238">
        <v>50</v>
      </c>
      <c r="B55" s="1028" t="s">
        <v>1038</v>
      </c>
      <c r="C55" s="1235"/>
      <c r="D55" s="1239" t="s">
        <v>1039</v>
      </c>
      <c r="E55" s="1237">
        <v>6511.45</v>
      </c>
      <c r="F55" s="2393">
        <v>8826.42</v>
      </c>
      <c r="G55" s="1237" t="s">
        <v>942</v>
      </c>
      <c r="H55" s="777"/>
      <c r="K55" s="131"/>
      <c r="L55" s="131"/>
    </row>
    <row r="56" spans="1:12" ht="46" x14ac:dyDescent="0.25">
      <c r="A56" s="1238">
        <v>51</v>
      </c>
      <c r="B56" s="1028" t="s">
        <v>1040</v>
      </c>
      <c r="C56" s="1235"/>
      <c r="D56" s="1239" t="s">
        <v>1041</v>
      </c>
      <c r="E56" s="1237">
        <v>47178.46</v>
      </c>
      <c r="F56" s="2393">
        <v>19081.830000000002</v>
      </c>
      <c r="G56" s="1237" t="s">
        <v>1027</v>
      </c>
      <c r="H56" s="777"/>
      <c r="K56" s="131"/>
      <c r="L56" s="131"/>
    </row>
    <row r="57" spans="1:12" ht="34.5" x14ac:dyDescent="0.25">
      <c r="A57" s="1238">
        <v>52</v>
      </c>
      <c r="B57" s="1028" t="s">
        <v>1042</v>
      </c>
      <c r="C57" s="1235"/>
      <c r="D57" s="1239" t="s">
        <v>1043</v>
      </c>
      <c r="E57" s="1237">
        <v>107225.1</v>
      </c>
      <c r="F57" s="2393">
        <v>102356.02</v>
      </c>
      <c r="G57" s="1237" t="s">
        <v>1027</v>
      </c>
      <c r="H57" s="777"/>
      <c r="K57" s="131"/>
      <c r="L57" s="131"/>
    </row>
    <row r="58" spans="1:12" ht="34.5" x14ac:dyDescent="0.25">
      <c r="A58" s="1238">
        <v>53</v>
      </c>
      <c r="B58" s="1028" t="s">
        <v>1044</v>
      </c>
      <c r="C58" s="1235"/>
      <c r="D58" s="1242" t="s">
        <v>1045</v>
      </c>
      <c r="E58" s="1237">
        <v>7036.0599999999995</v>
      </c>
      <c r="F58" s="2393">
        <v>7142.06</v>
      </c>
      <c r="G58" s="1237" t="s">
        <v>942</v>
      </c>
      <c r="H58" s="777"/>
      <c r="K58" s="131"/>
      <c r="L58" s="131"/>
    </row>
    <row r="59" spans="1:12" ht="34.5" x14ac:dyDescent="0.25">
      <c r="A59" s="1238">
        <v>54</v>
      </c>
      <c r="B59" s="1028" t="s">
        <v>1046</v>
      </c>
      <c r="C59" s="1235"/>
      <c r="D59" s="1239" t="s">
        <v>1047</v>
      </c>
      <c r="E59" s="1237">
        <v>10904.970000000001</v>
      </c>
      <c r="F59" s="2393">
        <v>10970.49</v>
      </c>
      <c r="G59" s="1237" t="s">
        <v>942</v>
      </c>
      <c r="H59" s="777"/>
      <c r="K59" s="131"/>
      <c r="L59" s="131"/>
    </row>
    <row r="60" spans="1:12" ht="46" x14ac:dyDescent="0.25">
      <c r="A60" s="1238">
        <v>55</v>
      </c>
      <c r="B60" s="1028" t="s">
        <v>1048</v>
      </c>
      <c r="C60" s="1235"/>
      <c r="D60" s="1239" t="s">
        <v>1049</v>
      </c>
      <c r="E60" s="1237">
        <v>4494.3999999999996</v>
      </c>
      <c r="F60" s="2393">
        <v>8660.2199999999993</v>
      </c>
      <c r="G60" s="1237" t="s">
        <v>942</v>
      </c>
      <c r="H60" s="777"/>
      <c r="K60" s="131"/>
      <c r="L60" s="131"/>
    </row>
    <row r="61" spans="1:12" ht="23" x14ac:dyDescent="0.25">
      <c r="A61" s="1238">
        <v>56</v>
      </c>
      <c r="B61" s="1028" t="s">
        <v>1050</v>
      </c>
      <c r="C61" s="1235"/>
      <c r="D61" s="1239" t="s">
        <v>1051</v>
      </c>
      <c r="E61" s="1237">
        <v>4.3700000000008004</v>
      </c>
      <c r="F61" s="2392">
        <v>4.37</v>
      </c>
      <c r="G61" s="1237" t="s">
        <v>942</v>
      </c>
      <c r="H61" s="777"/>
      <c r="K61" s="131"/>
      <c r="L61" s="131"/>
    </row>
    <row r="62" spans="1:12" ht="23" x14ac:dyDescent="0.25">
      <c r="A62" s="1238">
        <v>57</v>
      </c>
      <c r="B62" s="1028" t="s">
        <v>1052</v>
      </c>
      <c r="C62" s="1235"/>
      <c r="D62" s="1239" t="s">
        <v>1053</v>
      </c>
      <c r="E62" s="1237">
        <v>1681.9399999999996</v>
      </c>
      <c r="F62" s="2393">
        <v>1681.95</v>
      </c>
      <c r="G62" s="1237" t="s">
        <v>942</v>
      </c>
      <c r="H62" s="777"/>
      <c r="K62" s="131"/>
      <c r="L62" s="131"/>
    </row>
    <row r="63" spans="1:12" ht="34.5" x14ac:dyDescent="0.25">
      <c r="A63" s="1238">
        <v>58</v>
      </c>
      <c r="B63" s="1028" t="s">
        <v>1054</v>
      </c>
      <c r="C63" s="1235"/>
      <c r="D63" s="1239" t="s">
        <v>1055</v>
      </c>
      <c r="E63" s="1237">
        <v>1790.6900000000005</v>
      </c>
      <c r="F63" s="2393">
        <v>34376.949999999997</v>
      </c>
      <c r="G63" s="1237" t="s">
        <v>942</v>
      </c>
      <c r="H63" s="777"/>
      <c r="K63" s="131"/>
      <c r="L63" s="131"/>
    </row>
    <row r="64" spans="1:12" ht="23" x14ac:dyDescent="0.25">
      <c r="A64" s="1238">
        <v>59</v>
      </c>
      <c r="B64" s="1028" t="s">
        <v>1056</v>
      </c>
      <c r="C64" s="1235"/>
      <c r="D64" s="1239" t="s">
        <v>1057</v>
      </c>
      <c r="E64" s="1237">
        <v>0</v>
      </c>
      <c r="F64" s="2392">
        <v>0</v>
      </c>
      <c r="G64" s="1237" t="s">
        <v>1027</v>
      </c>
      <c r="H64" s="777"/>
      <c r="K64" s="131"/>
      <c r="L64" s="131"/>
    </row>
    <row r="65" spans="1:12" x14ac:dyDescent="0.25">
      <c r="A65" s="1238">
        <v>60</v>
      </c>
      <c r="B65" s="1028" t="s">
        <v>1058</v>
      </c>
      <c r="C65" s="1235"/>
      <c r="D65" s="1239" t="s">
        <v>1059</v>
      </c>
      <c r="E65" s="1237">
        <v>-6310.97</v>
      </c>
      <c r="F65" s="2393">
        <v>-6310.97</v>
      </c>
      <c r="G65" s="1237" t="s">
        <v>1027</v>
      </c>
      <c r="H65" s="777"/>
      <c r="K65" s="131"/>
      <c r="L65" s="131"/>
    </row>
    <row r="66" spans="1:12" ht="23" x14ac:dyDescent="0.25">
      <c r="A66" s="1238">
        <v>61</v>
      </c>
      <c r="B66" s="1028" t="s">
        <v>1060</v>
      </c>
      <c r="C66" s="1235"/>
      <c r="D66" s="1239" t="s">
        <v>1061</v>
      </c>
      <c r="E66" s="1237">
        <v>2311.5</v>
      </c>
      <c r="F66" s="2393">
        <v>2311.5</v>
      </c>
      <c r="G66" s="1237" t="s">
        <v>942</v>
      </c>
      <c r="H66" s="777"/>
      <c r="K66" s="131"/>
      <c r="L66" s="131"/>
    </row>
    <row r="67" spans="1:12" ht="23" x14ac:dyDescent="0.25">
      <c r="A67" s="1238">
        <v>62</v>
      </c>
      <c r="B67" s="1028" t="s">
        <v>1062</v>
      </c>
      <c r="C67" s="1235"/>
      <c r="D67" s="1239" t="s">
        <v>1063</v>
      </c>
      <c r="E67" s="1237">
        <v>-2834.79</v>
      </c>
      <c r="F67" s="2393">
        <v>-2834.79</v>
      </c>
      <c r="G67" s="1237" t="s">
        <v>942</v>
      </c>
      <c r="H67" s="777"/>
      <c r="K67" s="131"/>
      <c r="L67" s="131"/>
    </row>
    <row r="68" spans="1:12" ht="34.5" x14ac:dyDescent="0.25">
      <c r="A68" s="1238">
        <v>63</v>
      </c>
      <c r="B68" s="1028" t="s">
        <v>1064</v>
      </c>
      <c r="C68" s="1235"/>
      <c r="D68" s="1239" t="s">
        <v>1065</v>
      </c>
      <c r="E68" s="1237">
        <v>306752.65000000002</v>
      </c>
      <c r="F68" s="2393">
        <v>306780.01</v>
      </c>
      <c r="G68" s="1237" t="s">
        <v>942</v>
      </c>
      <c r="H68" s="777"/>
      <c r="K68" s="131"/>
      <c r="L68" s="131"/>
    </row>
    <row r="69" spans="1:12" ht="23" x14ac:dyDescent="0.25">
      <c r="A69" s="1238">
        <v>64</v>
      </c>
      <c r="B69" s="1028" t="s">
        <v>1066</v>
      </c>
      <c r="C69" s="1235"/>
      <c r="D69" s="1239" t="s">
        <v>1067</v>
      </c>
      <c r="E69" s="1237">
        <v>34977.019999999997</v>
      </c>
      <c r="F69" s="2393">
        <v>4972</v>
      </c>
      <c r="G69" s="1237" t="s">
        <v>942</v>
      </c>
      <c r="H69" s="777"/>
      <c r="K69" s="131"/>
      <c r="L69" s="131"/>
    </row>
    <row r="70" spans="1:12" x14ac:dyDescent="0.25">
      <c r="A70" s="1238">
        <v>65</v>
      </c>
      <c r="B70" s="1028" t="s">
        <v>1068</v>
      </c>
      <c r="C70" s="1235"/>
      <c r="D70" s="1239" t="s">
        <v>1069</v>
      </c>
      <c r="E70" s="1237">
        <v>10332.57</v>
      </c>
      <c r="F70" s="2393">
        <v>10332.57</v>
      </c>
      <c r="G70" s="1237" t="s">
        <v>942</v>
      </c>
      <c r="H70" s="777"/>
      <c r="K70" s="131"/>
      <c r="L70" s="131"/>
    </row>
    <row r="71" spans="1:12" x14ac:dyDescent="0.25">
      <c r="A71" s="1238">
        <v>66</v>
      </c>
      <c r="B71" s="1031" t="s">
        <v>1070</v>
      </c>
      <c r="C71" s="1235"/>
      <c r="D71" s="1239" t="s">
        <v>1071</v>
      </c>
      <c r="E71" s="1237">
        <v>-202.13000000000011</v>
      </c>
      <c r="F71" s="2392">
        <v>-202.13</v>
      </c>
      <c r="G71" s="1237" t="s">
        <v>942</v>
      </c>
      <c r="H71" s="777"/>
      <c r="K71" s="131"/>
      <c r="L71" s="131"/>
    </row>
    <row r="72" spans="1:12" ht="23" x14ac:dyDescent="0.25">
      <c r="A72" s="1238">
        <v>67</v>
      </c>
      <c r="B72" s="1031" t="s">
        <v>1072</v>
      </c>
      <c r="C72" s="1235"/>
      <c r="D72" s="1239" t="s">
        <v>1073</v>
      </c>
      <c r="E72" s="1237">
        <v>1144.8400000000001</v>
      </c>
      <c r="F72" s="2393">
        <v>1144.8499999999999</v>
      </c>
      <c r="G72" s="1237" t="s">
        <v>942</v>
      </c>
      <c r="H72" s="777"/>
      <c r="K72" s="131"/>
      <c r="L72" s="131"/>
    </row>
    <row r="73" spans="1:12" x14ac:dyDescent="0.25">
      <c r="A73" s="1238">
        <v>68</v>
      </c>
      <c r="B73" s="1028" t="s">
        <v>1074</v>
      </c>
      <c r="C73" s="1235"/>
      <c r="D73" s="1239" t="s">
        <v>1075</v>
      </c>
      <c r="E73" s="1237">
        <v>3054.32</v>
      </c>
      <c r="F73" s="2393">
        <v>20422.48</v>
      </c>
      <c r="G73" s="1237" t="s">
        <v>942</v>
      </c>
      <c r="H73" s="777"/>
      <c r="K73" s="131"/>
      <c r="L73" s="131"/>
    </row>
    <row r="74" spans="1:12" x14ac:dyDescent="0.25">
      <c r="A74" s="1238">
        <v>69</v>
      </c>
      <c r="B74" s="168" t="s">
        <v>1076</v>
      </c>
      <c r="C74" s="1235"/>
      <c r="D74" s="1239" t="s">
        <v>1077</v>
      </c>
      <c r="E74" s="1237">
        <v>8646.39</v>
      </c>
      <c r="F74" s="2393">
        <v>4778.8500000000004</v>
      </c>
      <c r="G74" s="1237" t="s">
        <v>942</v>
      </c>
      <c r="H74" s="777"/>
      <c r="K74" s="131"/>
      <c r="L74" s="131"/>
    </row>
    <row r="75" spans="1:12" ht="23" x14ac:dyDescent="0.25">
      <c r="A75" s="1238">
        <v>70</v>
      </c>
      <c r="B75" s="1028" t="s">
        <v>1078</v>
      </c>
      <c r="C75" s="1235"/>
      <c r="D75" s="1239" t="s">
        <v>1079</v>
      </c>
      <c r="E75" s="1237">
        <v>20602.25</v>
      </c>
      <c r="F75" s="2392">
        <v>0</v>
      </c>
      <c r="G75" s="1237" t="s">
        <v>942</v>
      </c>
      <c r="H75" s="777"/>
      <c r="K75" s="131"/>
      <c r="L75" s="131"/>
    </row>
    <row r="76" spans="1:12" x14ac:dyDescent="0.25">
      <c r="A76" s="1238">
        <v>71</v>
      </c>
      <c r="B76" s="1028" t="s">
        <v>1080</v>
      </c>
      <c r="C76" s="1235"/>
      <c r="D76" s="1239" t="s">
        <v>1081</v>
      </c>
      <c r="E76" s="1237">
        <v>-91.25</v>
      </c>
      <c r="F76" s="2393">
        <v>2608.75</v>
      </c>
      <c r="G76" s="1237" t="s">
        <v>942</v>
      </c>
      <c r="H76" s="777"/>
      <c r="K76" s="131"/>
      <c r="L76" s="131"/>
    </row>
    <row r="77" spans="1:12" ht="34.5" x14ac:dyDescent="0.25">
      <c r="A77" s="1238">
        <v>72</v>
      </c>
      <c r="B77" s="1028" t="s">
        <v>1082</v>
      </c>
      <c r="C77" s="1235"/>
      <c r="D77" s="1239" t="s">
        <v>1083</v>
      </c>
      <c r="E77" s="1237">
        <v>-1996</v>
      </c>
      <c r="F77" s="2392">
        <v>-697.53</v>
      </c>
      <c r="G77" s="1237" t="s">
        <v>942</v>
      </c>
      <c r="H77" s="777"/>
      <c r="K77" s="131"/>
      <c r="L77" s="131"/>
    </row>
    <row r="78" spans="1:12" ht="23" x14ac:dyDescent="0.25">
      <c r="A78" s="1238">
        <v>73</v>
      </c>
      <c r="B78" s="168" t="s">
        <v>1084</v>
      </c>
      <c r="C78" s="1235"/>
      <c r="D78" s="1239" t="s">
        <v>1085</v>
      </c>
      <c r="E78" s="1237">
        <v>600</v>
      </c>
      <c r="F78" s="2392">
        <v>600</v>
      </c>
      <c r="G78" s="1237" t="s">
        <v>942</v>
      </c>
      <c r="H78" s="777"/>
      <c r="K78" s="131"/>
      <c r="L78" s="131"/>
    </row>
    <row r="79" spans="1:12" x14ac:dyDescent="0.25">
      <c r="A79" s="1238">
        <v>74</v>
      </c>
      <c r="B79" s="1028" t="s">
        <v>1086</v>
      </c>
      <c r="C79" s="1235"/>
      <c r="D79" s="1239" t="s">
        <v>1087</v>
      </c>
      <c r="E79" s="1237">
        <v>-1032.5899999999999</v>
      </c>
      <c r="F79" s="2393">
        <v>3167.41</v>
      </c>
      <c r="G79" s="1237" t="s">
        <v>942</v>
      </c>
      <c r="H79" s="777"/>
      <c r="K79" s="131"/>
      <c r="L79" s="131"/>
    </row>
    <row r="80" spans="1:12" x14ac:dyDescent="0.25">
      <c r="A80" s="1238">
        <v>75</v>
      </c>
      <c r="B80" s="1028" t="s">
        <v>1088</v>
      </c>
      <c r="C80" s="1235"/>
      <c r="D80" s="1239" t="s">
        <v>1089</v>
      </c>
      <c r="E80" s="1237">
        <v>2556.7099999999991</v>
      </c>
      <c r="F80" s="2392">
        <v>0</v>
      </c>
      <c r="G80" s="1237" t="s">
        <v>942</v>
      </c>
      <c r="H80" s="777"/>
      <c r="K80" s="131"/>
      <c r="L80" s="131"/>
    </row>
    <row r="81" spans="1:12" ht="34.5" x14ac:dyDescent="0.25">
      <c r="A81" s="1238">
        <v>76</v>
      </c>
      <c r="B81" s="1028" t="s">
        <v>1090</v>
      </c>
      <c r="C81" s="1235"/>
      <c r="D81" s="1239" t="s">
        <v>1091</v>
      </c>
      <c r="E81" s="1237">
        <v>157233.13</v>
      </c>
      <c r="F81" s="2393">
        <v>143309.56</v>
      </c>
      <c r="G81" s="1237" t="s">
        <v>942</v>
      </c>
      <c r="H81" s="777"/>
      <c r="K81" s="131"/>
      <c r="L81" s="131"/>
    </row>
    <row r="82" spans="1:12" ht="23" x14ac:dyDescent="0.25">
      <c r="A82" s="1238">
        <v>77</v>
      </c>
      <c r="B82" s="1028" t="s">
        <v>1092</v>
      </c>
      <c r="C82" s="1235"/>
      <c r="D82" s="1239" t="s">
        <v>1093</v>
      </c>
      <c r="E82" s="1237">
        <v>193308.97</v>
      </c>
      <c r="F82" s="2393">
        <v>219033.49</v>
      </c>
      <c r="G82" s="1237" t="s">
        <v>1027</v>
      </c>
      <c r="H82" s="777"/>
      <c r="K82" s="131"/>
      <c r="L82" s="131"/>
    </row>
    <row r="83" spans="1:12" ht="23" x14ac:dyDescent="0.25">
      <c r="A83" s="1238">
        <v>78</v>
      </c>
      <c r="B83" s="505" t="s">
        <v>1094</v>
      </c>
      <c r="C83" s="1235" t="s">
        <v>1095</v>
      </c>
      <c r="D83" s="1239" t="s">
        <v>1096</v>
      </c>
      <c r="E83" s="1237">
        <v>69722.76999999999</v>
      </c>
      <c r="F83" s="2393">
        <v>45721.32</v>
      </c>
      <c r="G83" s="1237" t="s">
        <v>942</v>
      </c>
      <c r="H83" s="777"/>
      <c r="K83" s="131"/>
      <c r="L83" s="131"/>
    </row>
    <row r="84" spans="1:12" x14ac:dyDescent="0.25">
      <c r="A84" s="1238">
        <v>79</v>
      </c>
      <c r="B84" s="1028" t="s">
        <v>1097</v>
      </c>
      <c r="C84" s="1235"/>
      <c r="D84" s="1239" t="s">
        <v>1098</v>
      </c>
      <c r="E84" s="1237">
        <v>-5739.05</v>
      </c>
      <c r="F84" s="2393">
        <v>-8126</v>
      </c>
      <c r="G84" s="1237" t="s">
        <v>942</v>
      </c>
      <c r="H84" s="777"/>
      <c r="K84" s="131"/>
      <c r="L84" s="131"/>
    </row>
    <row r="85" spans="1:12" ht="23" x14ac:dyDescent="0.25">
      <c r="A85" s="1238">
        <v>80</v>
      </c>
      <c r="B85" s="1028" t="s">
        <v>1099</v>
      </c>
      <c r="C85" s="1235"/>
      <c r="D85" s="1239" t="s">
        <v>1100</v>
      </c>
      <c r="E85" s="1237">
        <v>352528.91</v>
      </c>
      <c r="F85" s="2393">
        <v>351989.01</v>
      </c>
      <c r="G85" s="1237" t="s">
        <v>942</v>
      </c>
      <c r="H85" s="777"/>
      <c r="K85" s="131"/>
      <c r="L85" s="131"/>
    </row>
    <row r="86" spans="1:12" x14ac:dyDescent="0.25">
      <c r="A86" s="1238">
        <v>81</v>
      </c>
      <c r="B86" s="1028" t="s">
        <v>1101</v>
      </c>
      <c r="C86" s="1235"/>
      <c r="D86" s="1239" t="s">
        <v>1102</v>
      </c>
      <c r="E86" s="1237">
        <v>9562.3700000000008</v>
      </c>
      <c r="F86" s="2393">
        <v>2146.33</v>
      </c>
      <c r="G86" s="1237" t="s">
        <v>942</v>
      </c>
      <c r="H86" s="777"/>
      <c r="K86" s="131"/>
      <c r="L86" s="131"/>
    </row>
    <row r="87" spans="1:12" ht="34.5" x14ac:dyDescent="0.25">
      <c r="A87" s="1238">
        <v>82</v>
      </c>
      <c r="B87" s="1028" t="s">
        <v>1103</v>
      </c>
      <c r="C87" s="1235"/>
      <c r="D87" s="1239" t="s">
        <v>1104</v>
      </c>
      <c r="E87" s="1237">
        <v>26218.77</v>
      </c>
      <c r="F87" s="2393">
        <v>23825.57</v>
      </c>
      <c r="G87" s="1237" t="s">
        <v>942</v>
      </c>
      <c r="H87" s="777"/>
      <c r="K87" s="131"/>
      <c r="L87" s="131"/>
    </row>
    <row r="88" spans="1:12" ht="46" x14ac:dyDescent="0.25">
      <c r="A88" s="1238">
        <v>83</v>
      </c>
      <c r="B88" s="1028" t="s">
        <v>1105</v>
      </c>
      <c r="C88" s="1235"/>
      <c r="D88" s="1239" t="s">
        <v>1106</v>
      </c>
      <c r="E88" s="1237">
        <v>83666.83</v>
      </c>
      <c r="F88" s="2393">
        <v>16640.84</v>
      </c>
      <c r="G88" s="1237" t="s">
        <v>1027</v>
      </c>
      <c r="H88" s="777"/>
      <c r="K88" s="131"/>
      <c r="L88" s="131"/>
    </row>
    <row r="89" spans="1:12" ht="34.5" x14ac:dyDescent="0.25">
      <c r="A89" s="1238">
        <v>84</v>
      </c>
      <c r="B89" s="1028" t="s">
        <v>1107</v>
      </c>
      <c r="C89" s="1235"/>
      <c r="D89" s="1239" t="s">
        <v>1108</v>
      </c>
      <c r="E89" s="1237">
        <v>240580.72</v>
      </c>
      <c r="F89" s="2393">
        <v>67375.63</v>
      </c>
      <c r="G89" s="1237" t="s">
        <v>1027</v>
      </c>
      <c r="H89" s="777"/>
      <c r="K89" s="131"/>
      <c r="L89" s="131"/>
    </row>
    <row r="90" spans="1:12" ht="34.5" x14ac:dyDescent="0.25">
      <c r="A90" s="1238">
        <v>85</v>
      </c>
      <c r="B90" s="1028" t="s">
        <v>1109</v>
      </c>
      <c r="C90" s="1235"/>
      <c r="D90" s="1239" t="s">
        <v>1110</v>
      </c>
      <c r="E90" s="1237">
        <v>14155.1</v>
      </c>
      <c r="F90" s="2393">
        <v>11826.75</v>
      </c>
      <c r="G90" s="1237" t="s">
        <v>942</v>
      </c>
      <c r="H90" s="777"/>
      <c r="K90" s="131"/>
      <c r="L90" s="131"/>
    </row>
    <row r="91" spans="1:12" ht="23" x14ac:dyDescent="0.25">
      <c r="A91" s="1238">
        <v>86</v>
      </c>
      <c r="B91" s="1028" t="s">
        <v>1111</v>
      </c>
      <c r="C91" s="1235"/>
      <c r="D91" s="1239" t="s">
        <v>1112</v>
      </c>
      <c r="E91" s="1237">
        <v>15612.560000000001</v>
      </c>
      <c r="F91" s="2393">
        <v>21713.96</v>
      </c>
      <c r="G91" s="1237" t="s">
        <v>942</v>
      </c>
      <c r="H91" s="777"/>
      <c r="K91" s="131"/>
      <c r="L91" s="131"/>
    </row>
    <row r="92" spans="1:12" ht="23" x14ac:dyDescent="0.25">
      <c r="A92" s="1238">
        <v>87</v>
      </c>
      <c r="B92" s="1028" t="s">
        <v>1113</v>
      </c>
      <c r="C92" s="1235"/>
      <c r="D92" s="1239" t="s">
        <v>1114</v>
      </c>
      <c r="E92" s="1237">
        <v>-1433.5</v>
      </c>
      <c r="F92" s="2393">
        <v>1264.04</v>
      </c>
      <c r="G92" s="1237" t="s">
        <v>942</v>
      </c>
      <c r="H92" s="777"/>
      <c r="K92" s="131"/>
      <c r="L92" s="131"/>
    </row>
    <row r="93" spans="1:12" ht="23" x14ac:dyDescent="0.25">
      <c r="A93" s="1238">
        <v>88</v>
      </c>
      <c r="B93" s="1028" t="s">
        <v>1115</v>
      </c>
      <c r="C93" s="1235"/>
      <c r="D93" s="1239" t="s">
        <v>1116</v>
      </c>
      <c r="E93" s="1237">
        <v>130349.95000000001</v>
      </c>
      <c r="F93" s="2393">
        <v>1287.2</v>
      </c>
      <c r="G93" s="1237" t="s">
        <v>942</v>
      </c>
      <c r="H93" s="777"/>
      <c r="K93" s="131"/>
      <c r="L93" s="131"/>
    </row>
    <row r="94" spans="1:12" ht="34.5" x14ac:dyDescent="0.25">
      <c r="A94" s="1238">
        <v>89</v>
      </c>
      <c r="B94" s="1028" t="s">
        <v>1117</v>
      </c>
      <c r="C94" s="1235"/>
      <c r="D94" s="1239" t="s">
        <v>1118</v>
      </c>
      <c r="E94" s="1237">
        <v>-1145</v>
      </c>
      <c r="F94" s="2393">
        <v>-1148.5</v>
      </c>
      <c r="G94" s="1237" t="s">
        <v>942</v>
      </c>
      <c r="H94" s="777"/>
      <c r="K94" s="131"/>
      <c r="L94" s="131"/>
    </row>
    <row r="95" spans="1:12" ht="23" x14ac:dyDescent="0.25">
      <c r="A95" s="1238">
        <v>90</v>
      </c>
      <c r="B95" s="1028" t="s">
        <v>1119</v>
      </c>
      <c r="C95" s="1235"/>
      <c r="D95" s="1239" t="s">
        <v>1120</v>
      </c>
      <c r="E95" s="1237">
        <v>76372.690000000017</v>
      </c>
      <c r="F95" s="2393">
        <v>79238.16</v>
      </c>
      <c r="G95" s="1237" t="s">
        <v>942</v>
      </c>
      <c r="H95" s="777"/>
      <c r="K95" s="131"/>
      <c r="L95" s="131"/>
    </row>
    <row r="96" spans="1:12" ht="34.5" x14ac:dyDescent="0.25">
      <c r="A96" s="1238">
        <v>91</v>
      </c>
      <c r="B96" s="1028" t="s">
        <v>1121</v>
      </c>
      <c r="C96" s="1235"/>
      <c r="D96" s="1239" t="s">
        <v>1122</v>
      </c>
      <c r="E96" s="1237">
        <v>2182.15</v>
      </c>
      <c r="F96" s="2393">
        <v>1164.1400000000001</v>
      </c>
      <c r="G96" s="1237" t="s">
        <v>942</v>
      </c>
      <c r="H96" s="777"/>
      <c r="K96" s="131"/>
      <c r="L96" s="131"/>
    </row>
    <row r="97" spans="1:12" ht="46" x14ac:dyDescent="0.25">
      <c r="A97" s="1238">
        <v>92</v>
      </c>
      <c r="B97" s="1028" t="s">
        <v>1123</v>
      </c>
      <c r="C97" s="1235"/>
      <c r="D97" s="1239" t="s">
        <v>1124</v>
      </c>
      <c r="E97" s="1237">
        <v>378949.13</v>
      </c>
      <c r="F97" s="2393">
        <v>372670.28</v>
      </c>
      <c r="G97" s="1237" t="s">
        <v>942</v>
      </c>
      <c r="H97" s="777"/>
      <c r="K97" s="131"/>
      <c r="L97" s="131"/>
    </row>
    <row r="98" spans="1:12" ht="34.5" x14ac:dyDescent="0.25">
      <c r="A98" s="1238">
        <v>93</v>
      </c>
      <c r="B98" s="1028" t="s">
        <v>1125</v>
      </c>
      <c r="C98" s="1235"/>
      <c r="D98" s="1239" t="s">
        <v>1124</v>
      </c>
      <c r="E98" s="1237">
        <v>373977.73000000004</v>
      </c>
      <c r="F98" s="2393">
        <v>368311.13</v>
      </c>
      <c r="G98" s="1237" t="s">
        <v>942</v>
      </c>
      <c r="H98" s="1244"/>
      <c r="K98" s="131"/>
      <c r="L98" s="131"/>
    </row>
    <row r="99" spans="1:12" ht="34.5" x14ac:dyDescent="0.25">
      <c r="A99" s="1238">
        <v>94</v>
      </c>
      <c r="B99" s="1028" t="s">
        <v>1126</v>
      </c>
      <c r="C99" s="1235"/>
      <c r="D99" s="1239" t="s">
        <v>1127</v>
      </c>
      <c r="E99" s="1237">
        <v>35703.17</v>
      </c>
      <c r="F99" s="2393">
        <v>40155.370000000003</v>
      </c>
      <c r="G99" s="1237" t="s">
        <v>1027</v>
      </c>
      <c r="H99" s="777"/>
      <c r="K99" s="131"/>
      <c r="L99" s="131"/>
    </row>
    <row r="100" spans="1:12" ht="34.5" x14ac:dyDescent="0.25">
      <c r="A100" s="1238">
        <v>95</v>
      </c>
      <c r="B100" s="1028" t="s">
        <v>1128</v>
      </c>
      <c r="C100" s="1235"/>
      <c r="D100" s="1239" t="s">
        <v>1129</v>
      </c>
      <c r="E100" s="1237">
        <v>55924.039999999994</v>
      </c>
      <c r="F100" s="2393">
        <v>56857.440000000002</v>
      </c>
      <c r="G100" s="1237" t="s">
        <v>942</v>
      </c>
      <c r="H100" s="777"/>
      <c r="K100" s="131"/>
      <c r="L100" s="131"/>
    </row>
    <row r="101" spans="1:12" ht="46" x14ac:dyDescent="0.25">
      <c r="A101" s="1238">
        <v>96</v>
      </c>
      <c r="B101" s="1028" t="s">
        <v>1130</v>
      </c>
      <c r="C101" s="1235"/>
      <c r="D101" s="1239" t="s">
        <v>1131</v>
      </c>
      <c r="E101" s="1237">
        <v>68142.02</v>
      </c>
      <c r="F101" s="2393">
        <v>66520.399999999994</v>
      </c>
      <c r="G101" s="1237" t="s">
        <v>942</v>
      </c>
      <c r="H101" s="777"/>
      <c r="K101" s="131"/>
      <c r="L101" s="131"/>
    </row>
    <row r="102" spans="1:12" ht="34.5" x14ac:dyDescent="0.25">
      <c r="A102" s="1238">
        <v>97</v>
      </c>
      <c r="B102" s="1028" t="s">
        <v>1132</v>
      </c>
      <c r="C102" s="1235"/>
      <c r="D102" s="1239" t="s">
        <v>1133</v>
      </c>
      <c r="E102" s="1237">
        <v>14601.069999999998</v>
      </c>
      <c r="F102" s="2393">
        <v>15534.47</v>
      </c>
      <c r="G102" s="1237" t="s">
        <v>942</v>
      </c>
      <c r="H102" s="777"/>
      <c r="K102" s="131"/>
      <c r="L102" s="131"/>
    </row>
    <row r="103" spans="1:12" ht="23" x14ac:dyDescent="0.25">
      <c r="A103" s="1238">
        <v>98</v>
      </c>
      <c r="B103" s="1028" t="s">
        <v>1134</v>
      </c>
      <c r="C103" s="1235"/>
      <c r="D103" s="1239" t="s">
        <v>1135</v>
      </c>
      <c r="E103" s="1237">
        <v>22264.089999999993</v>
      </c>
      <c r="F103" s="2392">
        <v>913.54</v>
      </c>
      <c r="G103" s="1237" t="s">
        <v>942</v>
      </c>
      <c r="H103" s="777"/>
      <c r="K103" s="131"/>
      <c r="L103" s="131"/>
    </row>
    <row r="104" spans="1:12" ht="34.5" x14ac:dyDescent="0.25">
      <c r="A104" s="1238">
        <v>99</v>
      </c>
      <c r="B104" s="1028" t="s">
        <v>1136</v>
      </c>
      <c r="C104" s="1235"/>
      <c r="D104" s="1239" t="s">
        <v>1137</v>
      </c>
      <c r="E104" s="1237">
        <v>9899.52</v>
      </c>
      <c r="F104" s="2393">
        <v>10642.62</v>
      </c>
      <c r="G104" s="1237" t="s">
        <v>942</v>
      </c>
      <c r="H104" s="777"/>
      <c r="K104" s="131"/>
      <c r="L104" s="131"/>
    </row>
    <row r="105" spans="1:12" ht="34.5" x14ac:dyDescent="0.25">
      <c r="A105" s="1238">
        <v>100</v>
      </c>
      <c r="B105" s="1028" t="s">
        <v>1138</v>
      </c>
      <c r="C105" s="1235"/>
      <c r="D105" s="1239" t="s">
        <v>1139</v>
      </c>
      <c r="E105" s="1237">
        <v>92573.42</v>
      </c>
      <c r="F105" s="2393">
        <v>93484.92</v>
      </c>
      <c r="G105" s="1237" t="s">
        <v>942</v>
      </c>
      <c r="H105" s="777"/>
      <c r="K105" s="131"/>
      <c r="L105" s="131"/>
    </row>
    <row r="106" spans="1:12" ht="34.5" x14ac:dyDescent="0.25">
      <c r="A106" s="1238">
        <v>101</v>
      </c>
      <c r="B106" s="1028" t="s">
        <v>1140</v>
      </c>
      <c r="C106" s="1235"/>
      <c r="D106" s="1239" t="s">
        <v>1141</v>
      </c>
      <c r="E106" s="1237">
        <v>192490.65999999997</v>
      </c>
      <c r="F106" s="2393">
        <v>100804.66</v>
      </c>
      <c r="G106" s="1237" t="s">
        <v>942</v>
      </c>
      <c r="H106" s="777"/>
      <c r="K106" s="131"/>
      <c r="L106" s="131"/>
    </row>
    <row r="107" spans="1:12" ht="23" x14ac:dyDescent="0.25">
      <c r="A107" s="1238">
        <v>102</v>
      </c>
      <c r="B107" s="1028" t="s">
        <v>1142</v>
      </c>
      <c r="C107" s="1235"/>
      <c r="D107" s="1239" t="s">
        <v>1143</v>
      </c>
      <c r="E107" s="1237">
        <v>-78471.86</v>
      </c>
      <c r="F107" s="2393">
        <v>-99405.84</v>
      </c>
      <c r="G107" s="1237" t="s">
        <v>942</v>
      </c>
      <c r="H107" s="777"/>
      <c r="K107" s="131"/>
      <c r="L107" s="131"/>
    </row>
    <row r="108" spans="1:12" ht="34.5" x14ac:dyDescent="0.25">
      <c r="A108" s="1238">
        <v>103</v>
      </c>
      <c r="B108" s="1028" t="s">
        <v>1144</v>
      </c>
      <c r="C108" s="1235"/>
      <c r="D108" s="1239" t="s">
        <v>1145</v>
      </c>
      <c r="E108" s="1237">
        <v>36938.080000000002</v>
      </c>
      <c r="F108" s="2393">
        <v>53568.34</v>
      </c>
      <c r="G108" s="1237" t="s">
        <v>942</v>
      </c>
      <c r="H108" s="777"/>
      <c r="K108" s="131"/>
      <c r="L108" s="131"/>
    </row>
    <row r="109" spans="1:12" ht="23" x14ac:dyDescent="0.25">
      <c r="A109" s="1238">
        <v>104</v>
      </c>
      <c r="B109" s="1028" t="s">
        <v>1146</v>
      </c>
      <c r="C109" s="1235"/>
      <c r="D109" s="1239" t="s">
        <v>1147</v>
      </c>
      <c r="E109" s="1237">
        <v>7102.4</v>
      </c>
      <c r="F109" s="2393">
        <v>7626.8</v>
      </c>
      <c r="G109" s="1237" t="s">
        <v>942</v>
      </c>
      <c r="H109" s="777"/>
      <c r="K109" s="131"/>
      <c r="L109" s="131"/>
    </row>
    <row r="110" spans="1:12" ht="23" x14ac:dyDescent="0.25">
      <c r="A110" s="1238">
        <v>105</v>
      </c>
      <c r="B110" s="1028" t="s">
        <v>1148</v>
      </c>
      <c r="C110" s="1235"/>
      <c r="D110" s="1239" t="s">
        <v>1149</v>
      </c>
      <c r="E110" s="1237">
        <v>523.90999999999985</v>
      </c>
      <c r="F110" s="2392">
        <v>523.91</v>
      </c>
      <c r="G110" s="1237" t="s">
        <v>942</v>
      </c>
      <c r="H110" s="777"/>
      <c r="K110" s="131"/>
      <c r="L110" s="131"/>
    </row>
    <row r="111" spans="1:12" ht="23" x14ac:dyDescent="0.25">
      <c r="A111" s="1238">
        <v>106</v>
      </c>
      <c r="B111" s="1028" t="s">
        <v>1150</v>
      </c>
      <c r="C111" s="1235"/>
      <c r="D111" s="1239" t="s">
        <v>1151</v>
      </c>
      <c r="E111" s="1237">
        <v>89859.84000000004</v>
      </c>
      <c r="F111" s="2393">
        <v>2152.5500000000002</v>
      </c>
      <c r="G111" s="1237" t="s">
        <v>942</v>
      </c>
      <c r="H111" s="777"/>
      <c r="K111" s="131"/>
      <c r="L111" s="131"/>
    </row>
    <row r="112" spans="1:12" ht="23" x14ac:dyDescent="0.25">
      <c r="A112" s="1238">
        <v>107</v>
      </c>
      <c r="B112" s="1028" t="s">
        <v>1152</v>
      </c>
      <c r="C112" s="1235"/>
      <c r="D112" s="1239" t="s">
        <v>1153</v>
      </c>
      <c r="E112" s="1237">
        <v>19066.060000000001</v>
      </c>
      <c r="F112" s="2393">
        <v>11328.87</v>
      </c>
      <c r="G112" s="1237" t="s">
        <v>942</v>
      </c>
      <c r="H112" s="777"/>
      <c r="K112" s="131"/>
      <c r="L112" s="131"/>
    </row>
    <row r="113" spans="1:12" ht="34.5" x14ac:dyDescent="0.25">
      <c r="A113" s="1238">
        <v>108</v>
      </c>
      <c r="B113" s="1028" t="s">
        <v>1154</v>
      </c>
      <c r="C113" s="1235"/>
      <c r="D113" s="1239" t="s">
        <v>1155</v>
      </c>
      <c r="E113" s="1237">
        <v>-56.050000000000182</v>
      </c>
      <c r="F113" s="2392">
        <v>-56.04</v>
      </c>
      <c r="G113" s="1237" t="s">
        <v>1027</v>
      </c>
      <c r="H113" s="777"/>
      <c r="K113" s="131"/>
      <c r="L113" s="131"/>
    </row>
    <row r="114" spans="1:12" ht="34.5" x14ac:dyDescent="0.25">
      <c r="A114" s="1238">
        <v>109</v>
      </c>
      <c r="B114" s="1028" t="s">
        <v>1156</v>
      </c>
      <c r="C114" s="1235"/>
      <c r="D114" s="1239" t="s">
        <v>1157</v>
      </c>
      <c r="E114" s="1237">
        <v>3454.08</v>
      </c>
      <c r="F114" s="2392">
        <v>-108.15</v>
      </c>
      <c r="G114" s="1237" t="s">
        <v>942</v>
      </c>
      <c r="H114" s="777"/>
      <c r="K114" s="131"/>
      <c r="L114" s="131"/>
    </row>
    <row r="115" spans="1:12" ht="34.5" x14ac:dyDescent="0.25">
      <c r="A115" s="1238">
        <v>110</v>
      </c>
      <c r="B115" s="1028" t="s">
        <v>1158</v>
      </c>
      <c r="C115" s="1235"/>
      <c r="D115" s="1239" t="s">
        <v>1159</v>
      </c>
      <c r="E115" s="1237">
        <v>83535.839999999982</v>
      </c>
      <c r="F115" s="2393">
        <v>111349.21</v>
      </c>
      <c r="G115" s="1237" t="s">
        <v>1027</v>
      </c>
      <c r="H115" s="777"/>
      <c r="K115" s="131"/>
      <c r="L115" s="131"/>
    </row>
    <row r="116" spans="1:12" x14ac:dyDescent="0.25">
      <c r="A116" s="1238">
        <v>111</v>
      </c>
      <c r="B116" s="1028" t="s">
        <v>1160</v>
      </c>
      <c r="C116" s="1235"/>
      <c r="D116" s="1239" t="s">
        <v>1161</v>
      </c>
      <c r="E116" s="1237">
        <v>-1724.25</v>
      </c>
      <c r="F116" s="2393">
        <v>-1724.25</v>
      </c>
      <c r="G116" s="1237" t="s">
        <v>1027</v>
      </c>
      <c r="H116" s="777"/>
      <c r="K116" s="131"/>
      <c r="L116" s="131"/>
    </row>
    <row r="117" spans="1:12" ht="34.5" x14ac:dyDescent="0.25">
      <c r="A117" s="1238">
        <v>112</v>
      </c>
      <c r="B117" s="1028" t="s">
        <v>1162</v>
      </c>
      <c r="C117" s="1235"/>
      <c r="D117" s="1239" t="s">
        <v>1163</v>
      </c>
      <c r="E117" s="1237">
        <v>22079.699999999997</v>
      </c>
      <c r="F117" s="2393">
        <v>22079.7</v>
      </c>
      <c r="G117" s="1237" t="s">
        <v>942</v>
      </c>
      <c r="H117" s="777"/>
      <c r="K117" s="131"/>
      <c r="L117" s="131"/>
    </row>
    <row r="118" spans="1:12" ht="46" x14ac:dyDescent="0.25">
      <c r="A118" s="1238">
        <v>113</v>
      </c>
      <c r="B118" s="1028" t="s">
        <v>1164</v>
      </c>
      <c r="C118" s="1235"/>
      <c r="D118" s="1239" t="s">
        <v>1165</v>
      </c>
      <c r="E118" s="1237">
        <v>47598.32</v>
      </c>
      <c r="F118" s="2393">
        <v>45394.879999999997</v>
      </c>
      <c r="G118" s="1237" t="s">
        <v>1027</v>
      </c>
      <c r="H118" s="777"/>
      <c r="K118" s="131"/>
    </row>
    <row r="119" spans="1:12" x14ac:dyDescent="0.25">
      <c r="A119" s="1238">
        <v>114</v>
      </c>
      <c r="B119" s="1028" t="s">
        <v>1166</v>
      </c>
      <c r="C119" s="1235"/>
      <c r="D119" s="1239" t="s">
        <v>1167</v>
      </c>
      <c r="E119" s="1237">
        <v>5264.5</v>
      </c>
      <c r="F119" s="2393">
        <v>5802.4</v>
      </c>
      <c r="G119" s="1237" t="s">
        <v>942</v>
      </c>
      <c r="H119" s="777"/>
      <c r="K119" s="131"/>
    </row>
    <row r="120" spans="1:12" x14ac:dyDescent="0.25">
      <c r="A120" s="1238">
        <v>115</v>
      </c>
      <c r="B120" s="1028" t="s">
        <v>1168</v>
      </c>
      <c r="C120" s="1235"/>
      <c r="D120" s="1239" t="s">
        <v>1169</v>
      </c>
      <c r="E120" s="1237">
        <v>20830.759999999998</v>
      </c>
      <c r="F120" s="2393">
        <v>13630</v>
      </c>
      <c r="G120" s="1237" t="s">
        <v>1027</v>
      </c>
      <c r="H120" s="777"/>
    </row>
    <row r="121" spans="1:12" ht="23" x14ac:dyDescent="0.25">
      <c r="A121" s="1238">
        <v>116</v>
      </c>
      <c r="B121" s="1028" t="s">
        <v>1170</v>
      </c>
      <c r="C121" s="1235"/>
      <c r="D121" s="1239" t="s">
        <v>1171</v>
      </c>
      <c r="E121" s="1237">
        <v>9429.94</v>
      </c>
      <c r="F121" s="2393">
        <v>5021.25</v>
      </c>
      <c r="G121" s="1237" t="s">
        <v>1027</v>
      </c>
      <c r="H121" s="777"/>
    </row>
    <row r="122" spans="1:12" ht="23" x14ac:dyDescent="0.25">
      <c r="A122" s="1238">
        <v>117</v>
      </c>
      <c r="B122" s="1028" t="s">
        <v>1172</v>
      </c>
      <c r="C122" s="1235"/>
      <c r="D122" s="1239" t="s">
        <v>1173</v>
      </c>
      <c r="E122" s="1237">
        <v>3004</v>
      </c>
      <c r="F122" s="2393">
        <v>3004</v>
      </c>
      <c r="G122" s="1237" t="s">
        <v>1027</v>
      </c>
      <c r="H122" s="777"/>
    </row>
    <row r="123" spans="1:12" ht="34.5" x14ac:dyDescent="0.25">
      <c r="A123" s="1238">
        <v>118</v>
      </c>
      <c r="B123" s="1028" t="s">
        <v>1174</v>
      </c>
      <c r="C123" s="1235"/>
      <c r="D123" s="1239" t="s">
        <v>1175</v>
      </c>
      <c r="E123" s="1237">
        <v>16556.759999999998</v>
      </c>
      <c r="F123" s="2393">
        <v>23102.83</v>
      </c>
      <c r="G123" s="1237" t="s">
        <v>1027</v>
      </c>
      <c r="H123" s="777"/>
    </row>
    <row r="124" spans="1:12" ht="23" x14ac:dyDescent="0.25">
      <c r="A124" s="1238">
        <v>119</v>
      </c>
      <c r="B124" s="1028" t="s">
        <v>1176</v>
      </c>
      <c r="C124" s="1235"/>
      <c r="D124" s="1239" t="s">
        <v>1177</v>
      </c>
      <c r="E124" s="1237">
        <v>-99048.29</v>
      </c>
      <c r="F124" s="2393">
        <v>59919.75</v>
      </c>
      <c r="G124" s="1237" t="s">
        <v>1027</v>
      </c>
      <c r="H124" s="777"/>
    </row>
    <row r="125" spans="1:12" ht="23" x14ac:dyDescent="0.25">
      <c r="A125" s="1238">
        <v>120</v>
      </c>
      <c r="B125" s="1028" t="s">
        <v>1178</v>
      </c>
      <c r="C125" s="1235"/>
      <c r="D125" s="1239" t="s">
        <v>1179</v>
      </c>
      <c r="E125" s="1237">
        <v>-102551.16</v>
      </c>
      <c r="F125" s="2393">
        <v>19785.23</v>
      </c>
      <c r="G125" s="1237" t="s">
        <v>1027</v>
      </c>
      <c r="H125" s="777"/>
    </row>
    <row r="126" spans="1:12" ht="23" x14ac:dyDescent="0.25">
      <c r="A126" s="1238">
        <v>121</v>
      </c>
      <c r="B126" s="505" t="s">
        <v>1180</v>
      </c>
      <c r="C126" s="1235"/>
      <c r="D126" s="1239" t="s">
        <v>1181</v>
      </c>
      <c r="E126" s="1237">
        <v>590.5</v>
      </c>
      <c r="F126" s="2392">
        <v>590.5</v>
      </c>
      <c r="G126" s="1237" t="s">
        <v>942</v>
      </c>
      <c r="H126" s="777"/>
    </row>
    <row r="127" spans="1:12" ht="23" x14ac:dyDescent="0.25">
      <c r="A127" s="1238">
        <v>122</v>
      </c>
      <c r="B127" s="1028" t="s">
        <v>1182</v>
      </c>
      <c r="C127" s="1235"/>
      <c r="D127" s="1239" t="s">
        <v>1183</v>
      </c>
      <c r="E127" s="1237">
        <v>10206.799999999999</v>
      </c>
      <c r="F127" s="2393">
        <v>14512.8</v>
      </c>
      <c r="G127" s="1237" t="s">
        <v>942</v>
      </c>
      <c r="H127" s="777"/>
    </row>
    <row r="128" spans="1:12" ht="34.5" x14ac:dyDescent="0.25">
      <c r="A128" s="1238">
        <v>123</v>
      </c>
      <c r="B128" s="1028" t="s">
        <v>1184</v>
      </c>
      <c r="C128" s="1235"/>
      <c r="D128" s="1239" t="s">
        <v>1185</v>
      </c>
      <c r="E128" s="1237">
        <v>9976.2099999999991</v>
      </c>
      <c r="F128" s="2393">
        <v>-3515</v>
      </c>
      <c r="G128" s="1237" t="s">
        <v>942</v>
      </c>
      <c r="H128" s="777"/>
    </row>
    <row r="129" spans="1:8" ht="23" x14ac:dyDescent="0.25">
      <c r="A129" s="1238">
        <v>124</v>
      </c>
      <c r="B129" s="1028" t="s">
        <v>1186</v>
      </c>
      <c r="C129" s="1235"/>
      <c r="D129" s="1239" t="s">
        <v>1187</v>
      </c>
      <c r="E129" s="1237">
        <v>-496.66</v>
      </c>
      <c r="F129" s="2392">
        <v>0</v>
      </c>
      <c r="G129" s="1237" t="s">
        <v>942</v>
      </c>
      <c r="H129" s="777"/>
    </row>
    <row r="130" spans="1:8" x14ac:dyDescent="0.25">
      <c r="A130" s="1238">
        <v>125</v>
      </c>
      <c r="B130" s="1028" t="s">
        <v>1188</v>
      </c>
      <c r="C130" s="1235"/>
      <c r="D130" s="1239" t="s">
        <v>1189</v>
      </c>
      <c r="E130" s="1237">
        <v>-2140.6799999999998</v>
      </c>
      <c r="F130" s="2392">
        <v>-91.25</v>
      </c>
      <c r="G130" s="1237" t="s">
        <v>942</v>
      </c>
      <c r="H130" s="777"/>
    </row>
    <row r="131" spans="1:8" ht="23" x14ac:dyDescent="0.25">
      <c r="A131" s="1238">
        <v>126</v>
      </c>
      <c r="B131" s="1028" t="s">
        <v>1190</v>
      </c>
      <c r="C131" s="1235"/>
      <c r="D131" s="1239" t="s">
        <v>1191</v>
      </c>
      <c r="E131" s="1237">
        <v>-76.900000000000546</v>
      </c>
      <c r="F131" s="2393">
        <v>-1400</v>
      </c>
      <c r="G131" s="1237" t="s">
        <v>942</v>
      </c>
      <c r="H131" s="777"/>
    </row>
    <row r="132" spans="1:8" x14ac:dyDescent="0.25">
      <c r="A132" s="1238">
        <v>127</v>
      </c>
      <c r="B132" s="1028" t="s">
        <v>1192</v>
      </c>
      <c r="C132" s="1235"/>
      <c r="D132" s="1239" t="s">
        <v>1193</v>
      </c>
      <c r="E132" s="1237">
        <v>21042.05</v>
      </c>
      <c r="F132" s="2392">
        <v>398.6</v>
      </c>
      <c r="G132" s="1237" t="s">
        <v>1027</v>
      </c>
      <c r="H132" s="777"/>
    </row>
    <row r="133" spans="1:8" ht="23" x14ac:dyDescent="0.25">
      <c r="A133" s="1238">
        <v>128</v>
      </c>
      <c r="B133" s="1028" t="s">
        <v>1194</v>
      </c>
      <c r="C133" s="1235"/>
      <c r="D133" s="1239" t="s">
        <v>1195</v>
      </c>
      <c r="E133" s="1237">
        <v>-139.90000000000009</v>
      </c>
      <c r="F133" s="2392">
        <v>-102.65</v>
      </c>
      <c r="G133" s="1237" t="s">
        <v>1027</v>
      </c>
      <c r="H133" s="777"/>
    </row>
    <row r="134" spans="1:8" ht="23" x14ac:dyDescent="0.25">
      <c r="A134" s="1238">
        <v>129</v>
      </c>
      <c r="B134" s="1028" t="s">
        <v>1196</v>
      </c>
      <c r="C134" s="1235"/>
      <c r="D134" s="1239" t="s">
        <v>1197</v>
      </c>
      <c r="E134" s="1237">
        <v>326931.95999999996</v>
      </c>
      <c r="F134" s="2393">
        <v>326811.64</v>
      </c>
      <c r="G134" s="1237" t="s">
        <v>1027</v>
      </c>
      <c r="H134" s="777"/>
    </row>
    <row r="135" spans="1:8" x14ac:dyDescent="0.25">
      <c r="A135" s="1238">
        <v>130</v>
      </c>
      <c r="B135" s="1028" t="s">
        <v>1198</v>
      </c>
      <c r="C135" s="1235"/>
      <c r="D135" s="1239" t="s">
        <v>1199</v>
      </c>
      <c r="E135" s="1237">
        <v>0</v>
      </c>
      <c r="F135" s="2393">
        <v>16898.400000000001</v>
      </c>
      <c r="G135" s="1237" t="s">
        <v>942</v>
      </c>
      <c r="H135" s="777"/>
    </row>
    <row r="136" spans="1:8" ht="23" x14ac:dyDescent="0.25">
      <c r="A136" s="1238">
        <v>131</v>
      </c>
      <c r="B136" s="1028" t="s">
        <v>1200</v>
      </c>
      <c r="C136" s="1235"/>
      <c r="D136" s="1239" t="s">
        <v>1201</v>
      </c>
      <c r="E136" s="1237">
        <v>62714.59</v>
      </c>
      <c r="F136" s="2393">
        <v>14029</v>
      </c>
      <c r="G136" s="1237" t="s">
        <v>942</v>
      </c>
      <c r="H136" s="777"/>
    </row>
    <row r="137" spans="1:8" ht="23" x14ac:dyDescent="0.25">
      <c r="A137" s="1238">
        <v>132</v>
      </c>
      <c r="B137" s="1028" t="s">
        <v>1202</v>
      </c>
      <c r="C137" s="1235"/>
      <c r="D137" s="1239" t="s">
        <v>1203</v>
      </c>
      <c r="E137" s="1237">
        <v>573.03</v>
      </c>
      <c r="F137" s="2392">
        <v>781.5</v>
      </c>
      <c r="G137" s="1237" t="s">
        <v>942</v>
      </c>
      <c r="H137" s="777"/>
    </row>
    <row r="138" spans="1:8" x14ac:dyDescent="0.25">
      <c r="A138" s="1238">
        <v>133</v>
      </c>
      <c r="B138" s="1028" t="s">
        <v>1204</v>
      </c>
      <c r="C138" s="1235"/>
      <c r="D138" s="1239" t="s">
        <v>1205</v>
      </c>
      <c r="E138" s="1237">
        <v>17264.32</v>
      </c>
      <c r="F138" s="2393">
        <v>14201.2</v>
      </c>
      <c r="G138" s="1237" t="s">
        <v>942</v>
      </c>
      <c r="H138" s="777"/>
    </row>
    <row r="139" spans="1:8" ht="34.5" x14ac:dyDescent="0.25">
      <c r="A139" s="1238">
        <v>134</v>
      </c>
      <c r="B139" s="1028" t="s">
        <v>1206</v>
      </c>
      <c r="C139" s="1235"/>
      <c r="D139" s="1239" t="s">
        <v>1207</v>
      </c>
      <c r="E139" s="1237">
        <v>13269.49</v>
      </c>
      <c r="F139" s="2393">
        <v>12597.42</v>
      </c>
      <c r="G139" s="1237" t="s">
        <v>942</v>
      </c>
      <c r="H139" s="777"/>
    </row>
    <row r="140" spans="1:8" ht="23" x14ac:dyDescent="0.25">
      <c r="A140" s="1238">
        <v>135</v>
      </c>
      <c r="B140" s="1028" t="s">
        <v>1208</v>
      </c>
      <c r="C140" s="1235"/>
      <c r="D140" s="1239" t="s">
        <v>1209</v>
      </c>
      <c r="E140" s="1237">
        <v>38284.699999999997</v>
      </c>
      <c r="F140" s="2393">
        <v>37392.800000000003</v>
      </c>
      <c r="G140" s="1237" t="s">
        <v>942</v>
      </c>
      <c r="H140" s="777"/>
    </row>
    <row r="141" spans="1:8" ht="23" x14ac:dyDescent="0.25">
      <c r="A141" s="1238">
        <v>136</v>
      </c>
      <c r="B141" s="1028" t="s">
        <v>1210</v>
      </c>
      <c r="C141" s="1235"/>
      <c r="D141" s="1239" t="s">
        <v>1211</v>
      </c>
      <c r="E141" s="1237">
        <v>4289.7700000000004</v>
      </c>
      <c r="F141" s="2393">
        <v>6017</v>
      </c>
      <c r="G141" s="1237" t="s">
        <v>942</v>
      </c>
      <c r="H141" s="777"/>
    </row>
    <row r="142" spans="1:8" ht="34.5" x14ac:dyDescent="0.25">
      <c r="A142" s="1238">
        <v>137</v>
      </c>
      <c r="B142" s="1028" t="s">
        <v>1212</v>
      </c>
      <c r="C142" s="1235"/>
      <c r="D142" s="1239" t="s">
        <v>1213</v>
      </c>
      <c r="E142" s="1237">
        <v>5215.75</v>
      </c>
      <c r="F142" s="2393">
        <v>5396.49</v>
      </c>
      <c r="G142" s="1237" t="s">
        <v>942</v>
      </c>
      <c r="H142" s="777"/>
    </row>
    <row r="143" spans="1:8" ht="23" x14ac:dyDescent="0.25">
      <c r="A143" s="1238">
        <v>138</v>
      </c>
      <c r="B143" s="1028" t="s">
        <v>1214</v>
      </c>
      <c r="C143" s="1235"/>
      <c r="D143" s="1239" t="s">
        <v>1215</v>
      </c>
      <c r="E143" s="1237">
        <v>52656.72</v>
      </c>
      <c r="F143" s="2393">
        <v>90528.13</v>
      </c>
      <c r="G143" s="1237" t="s">
        <v>942</v>
      </c>
      <c r="H143" s="777"/>
    </row>
    <row r="144" spans="1:8" ht="23" x14ac:dyDescent="0.25">
      <c r="A144" s="1238">
        <v>139</v>
      </c>
      <c r="B144" s="1028" t="s">
        <v>1216</v>
      </c>
      <c r="C144" s="1235"/>
      <c r="D144" s="1239" t="s">
        <v>1217</v>
      </c>
      <c r="E144" s="1237">
        <v>8372141.4500000002</v>
      </c>
      <c r="F144" s="2393">
        <v>37759.72</v>
      </c>
      <c r="G144" s="1237" t="s">
        <v>942</v>
      </c>
      <c r="H144" s="777"/>
    </row>
    <row r="145" spans="1:8" ht="46" x14ac:dyDescent="0.25">
      <c r="A145" s="1238">
        <v>140</v>
      </c>
      <c r="B145" s="1028" t="s">
        <v>1218</v>
      </c>
      <c r="C145" s="1235"/>
      <c r="D145" s="1239" t="s">
        <v>1219</v>
      </c>
      <c r="E145" s="1237">
        <v>67968.820000000007</v>
      </c>
      <c r="F145" s="2393">
        <v>4253.41</v>
      </c>
      <c r="G145" s="1237" t="s">
        <v>942</v>
      </c>
      <c r="H145" s="777"/>
    </row>
    <row r="146" spans="1:8" ht="34.5" x14ac:dyDescent="0.25">
      <c r="A146" s="1238">
        <v>141</v>
      </c>
      <c r="B146" s="1028" t="s">
        <v>1220</v>
      </c>
      <c r="C146" s="1235"/>
      <c r="D146" s="1239" t="s">
        <v>1221</v>
      </c>
      <c r="E146" s="1237">
        <v>235781.93</v>
      </c>
      <c r="F146" s="2393">
        <v>227221.53</v>
      </c>
      <c r="G146" s="1237" t="s">
        <v>942</v>
      </c>
      <c r="H146" s="777"/>
    </row>
    <row r="147" spans="1:8" ht="23" x14ac:dyDescent="0.25">
      <c r="A147" s="1238">
        <v>142</v>
      </c>
      <c r="B147" s="1028" t="s">
        <v>1222</v>
      </c>
      <c r="C147" s="1235"/>
      <c r="D147" s="1239" t="s">
        <v>1223</v>
      </c>
      <c r="E147" s="1237">
        <v>61090.32</v>
      </c>
      <c r="F147" s="2393">
        <v>47730.86</v>
      </c>
      <c r="G147" s="1237" t="s">
        <v>942</v>
      </c>
      <c r="H147" s="777"/>
    </row>
    <row r="148" spans="1:8" x14ac:dyDescent="0.25">
      <c r="A148" s="1238">
        <v>143</v>
      </c>
      <c r="B148" s="1028" t="s">
        <v>1224</v>
      </c>
      <c r="C148" s="1235"/>
      <c r="D148" s="1239" t="s">
        <v>1225</v>
      </c>
      <c r="E148" s="1237">
        <v>19676.580000000002</v>
      </c>
      <c r="F148" s="2392">
        <v>-358.5</v>
      </c>
      <c r="G148" s="1237" t="s">
        <v>1027</v>
      </c>
      <c r="H148" s="777"/>
    </row>
    <row r="149" spans="1:8" ht="23" x14ac:dyDescent="0.25">
      <c r="A149" s="1238">
        <v>144</v>
      </c>
      <c r="B149" s="1028" t="s">
        <v>1226</v>
      </c>
      <c r="C149" s="1235"/>
      <c r="D149" s="1239" t="s">
        <v>1227</v>
      </c>
      <c r="E149" s="1237">
        <v>22660.120000000006</v>
      </c>
      <c r="F149" s="2393">
        <v>20715.91</v>
      </c>
      <c r="G149" s="1237" t="s">
        <v>1027</v>
      </c>
      <c r="H149" s="777"/>
    </row>
    <row r="150" spans="1:8" ht="23" x14ac:dyDescent="0.25">
      <c r="A150" s="1238">
        <v>145</v>
      </c>
      <c r="B150" s="1028" t="s">
        <v>1228</v>
      </c>
      <c r="C150" s="1235"/>
      <c r="D150" s="1239" t="s">
        <v>1229</v>
      </c>
      <c r="E150" s="1237">
        <v>-634.98</v>
      </c>
      <c r="F150" s="2393">
        <v>3642.75</v>
      </c>
      <c r="G150" s="1237" t="s">
        <v>1027</v>
      </c>
      <c r="H150" s="777"/>
    </row>
    <row r="151" spans="1:8" ht="23" x14ac:dyDescent="0.25">
      <c r="A151" s="1238">
        <v>146</v>
      </c>
      <c r="B151" s="1028" t="s">
        <v>1230</v>
      </c>
      <c r="C151" s="1235"/>
      <c r="D151" s="1239" t="s">
        <v>1231</v>
      </c>
      <c r="E151" s="1237">
        <v>269.66000000000003</v>
      </c>
      <c r="F151" s="2393">
        <v>5133.67</v>
      </c>
      <c r="G151" s="1237" t="s">
        <v>1027</v>
      </c>
      <c r="H151" s="777"/>
    </row>
    <row r="152" spans="1:8" ht="23" x14ac:dyDescent="0.25">
      <c r="A152" s="1238">
        <v>147</v>
      </c>
      <c r="B152" s="1028" t="s">
        <v>1232</v>
      </c>
      <c r="C152" s="1235"/>
      <c r="D152" s="1239" t="s">
        <v>1233</v>
      </c>
      <c r="E152" s="1237">
        <v>9259.58</v>
      </c>
      <c r="F152" s="2393">
        <v>2486.34</v>
      </c>
      <c r="G152" s="1237" t="s">
        <v>1027</v>
      </c>
      <c r="H152" s="777"/>
    </row>
    <row r="153" spans="1:8" ht="23" x14ac:dyDescent="0.25">
      <c r="A153" s="1238">
        <v>148</v>
      </c>
      <c r="B153" s="1028" t="s">
        <v>1234</v>
      </c>
      <c r="C153" s="1235"/>
      <c r="D153" s="1239" t="s">
        <v>1235</v>
      </c>
      <c r="E153" s="1237">
        <v>78967.02</v>
      </c>
      <c r="F153" s="2393">
        <v>5415</v>
      </c>
      <c r="G153" s="1237" t="s">
        <v>1027</v>
      </c>
      <c r="H153" s="777"/>
    </row>
    <row r="154" spans="1:8" ht="23" x14ac:dyDescent="0.25">
      <c r="A154" s="1238">
        <v>149</v>
      </c>
      <c r="B154" s="1028" t="s">
        <v>1236</v>
      </c>
      <c r="C154" s="1235"/>
      <c r="D154" s="1239" t="s">
        <v>1237</v>
      </c>
      <c r="E154" s="1237">
        <v>-2545.0300000000007</v>
      </c>
      <c r="F154" s="2393">
        <v>-4976.8500000000004</v>
      </c>
      <c r="G154" s="1237" t="s">
        <v>1027</v>
      </c>
      <c r="H154" s="777"/>
    </row>
    <row r="155" spans="1:8" ht="23" x14ac:dyDescent="0.25">
      <c r="A155" s="1238">
        <v>150</v>
      </c>
      <c r="B155" s="1028" t="s">
        <v>1238</v>
      </c>
      <c r="C155" s="1235"/>
      <c r="D155" s="1239" t="s">
        <v>1239</v>
      </c>
      <c r="E155" s="1237">
        <v>27567.34</v>
      </c>
      <c r="F155" s="2393">
        <v>5404.52</v>
      </c>
      <c r="G155" s="1237" t="s">
        <v>1027</v>
      </c>
      <c r="H155" s="777"/>
    </row>
    <row r="156" spans="1:8" ht="23" x14ac:dyDescent="0.25">
      <c r="A156" s="1238">
        <v>151</v>
      </c>
      <c r="B156" s="1028" t="s">
        <v>1240</v>
      </c>
      <c r="C156" s="1235"/>
      <c r="D156" s="1239" t="s">
        <v>1241</v>
      </c>
      <c r="E156" s="1237">
        <v>56500.020000000004</v>
      </c>
      <c r="F156" s="2393">
        <v>37997.58</v>
      </c>
      <c r="G156" s="1237" t="s">
        <v>1027</v>
      </c>
      <c r="H156" s="777"/>
    </row>
    <row r="157" spans="1:8" ht="23" x14ac:dyDescent="0.25">
      <c r="A157" s="1238">
        <v>152</v>
      </c>
      <c r="B157" s="1028" t="s">
        <v>1242</v>
      </c>
      <c r="C157" s="1235"/>
      <c r="D157" s="1239" t="s">
        <v>1243</v>
      </c>
      <c r="E157" s="1237">
        <v>18809.669999999998</v>
      </c>
      <c r="F157" s="2393">
        <v>1261.2</v>
      </c>
      <c r="G157" s="1237" t="s">
        <v>1027</v>
      </c>
      <c r="H157" s="777"/>
    </row>
    <row r="158" spans="1:8" ht="34.5" x14ac:dyDescent="0.25">
      <c r="A158" s="1238">
        <v>153</v>
      </c>
      <c r="B158" s="1028" t="s">
        <v>1244</v>
      </c>
      <c r="C158" s="1235"/>
      <c r="D158" s="1239" t="s">
        <v>1245</v>
      </c>
      <c r="E158" s="1237">
        <v>2814824.04</v>
      </c>
      <c r="F158" s="2393">
        <v>63078.66</v>
      </c>
      <c r="G158" s="1237" t="s">
        <v>1027</v>
      </c>
      <c r="H158" s="777"/>
    </row>
    <row r="159" spans="1:8" ht="23" x14ac:dyDescent="0.25">
      <c r="A159" s="1238">
        <v>154</v>
      </c>
      <c r="B159" s="1245" t="s">
        <v>1246</v>
      </c>
      <c r="C159" s="1246"/>
      <c r="D159" s="1239" t="s">
        <v>1247</v>
      </c>
      <c r="E159" s="1237">
        <v>4736163.6399999997</v>
      </c>
      <c r="F159" s="2393">
        <v>1957.92</v>
      </c>
      <c r="G159" s="1237" t="s">
        <v>1027</v>
      </c>
      <c r="H159" s="777"/>
    </row>
    <row r="160" spans="1:8" ht="23" x14ac:dyDescent="0.25">
      <c r="A160" s="1238">
        <v>155</v>
      </c>
      <c r="B160" s="1031" t="s">
        <v>1248</v>
      </c>
      <c r="C160" s="1240"/>
      <c r="D160" s="1247" t="s">
        <v>1249</v>
      </c>
      <c r="E160" s="1237">
        <v>23755.399999999994</v>
      </c>
      <c r="F160" s="2393">
        <v>-1538.15</v>
      </c>
      <c r="G160" s="1237" t="s">
        <v>942</v>
      </c>
      <c r="H160" s="777"/>
    </row>
    <row r="161" spans="1:8" ht="34.5" x14ac:dyDescent="0.25">
      <c r="A161" s="1238">
        <v>156</v>
      </c>
      <c r="B161" s="810" t="s">
        <v>1250</v>
      </c>
      <c r="C161" s="1248"/>
      <c r="D161" s="1249" t="s">
        <v>1251</v>
      </c>
      <c r="E161" s="1237">
        <v>46417.8</v>
      </c>
      <c r="F161" s="2393">
        <v>13947.16</v>
      </c>
      <c r="G161" s="1237" t="s">
        <v>942</v>
      </c>
      <c r="H161" s="777"/>
    </row>
    <row r="162" spans="1:8" ht="23" x14ac:dyDescent="0.25">
      <c r="A162" s="1238">
        <v>157</v>
      </c>
      <c r="B162" s="1031" t="s">
        <v>1252</v>
      </c>
      <c r="C162" s="1241"/>
      <c r="D162" s="1249" t="s">
        <v>1253</v>
      </c>
      <c r="E162" s="1237">
        <v>194716.52999999997</v>
      </c>
      <c r="F162" s="2393">
        <v>13710.4</v>
      </c>
      <c r="G162" s="1237" t="s">
        <v>942</v>
      </c>
      <c r="H162" s="777"/>
    </row>
    <row r="163" spans="1:8" ht="34.5" x14ac:dyDescent="0.25">
      <c r="A163" s="1238">
        <v>158</v>
      </c>
      <c r="B163" s="1031" t="s">
        <v>1254</v>
      </c>
      <c r="C163" s="1241"/>
      <c r="D163" s="1249" t="s">
        <v>1255</v>
      </c>
      <c r="E163" s="1237">
        <v>2297952.0300000003</v>
      </c>
      <c r="F163" s="2393">
        <v>32550.25</v>
      </c>
      <c r="G163" s="1237" t="s">
        <v>942</v>
      </c>
      <c r="H163" s="777"/>
    </row>
    <row r="164" spans="1:8" ht="34.5" x14ac:dyDescent="0.25">
      <c r="A164" s="1238">
        <v>159</v>
      </c>
      <c r="B164" s="1031" t="s">
        <v>1256</v>
      </c>
      <c r="C164" s="1240"/>
      <c r="D164" s="1249" t="s">
        <v>1253</v>
      </c>
      <c r="E164" s="1250">
        <v>0</v>
      </c>
      <c r="F164" s="2394">
        <v>2780.4</v>
      </c>
      <c r="G164" s="1237" t="s">
        <v>942</v>
      </c>
      <c r="H164" s="777"/>
    </row>
    <row r="165" spans="1:8" ht="23" x14ac:dyDescent="0.25">
      <c r="A165" s="1238">
        <v>160</v>
      </c>
      <c r="B165" s="1031" t="s">
        <v>1257</v>
      </c>
      <c r="C165" s="1240"/>
      <c r="D165" s="1249" t="s">
        <v>1258</v>
      </c>
      <c r="E165" s="1237">
        <v>129074.7</v>
      </c>
      <c r="F165" s="2393">
        <v>70736.81</v>
      </c>
      <c r="G165" s="1237" t="s">
        <v>942</v>
      </c>
      <c r="H165" s="777"/>
    </row>
    <row r="166" spans="1:8" x14ac:dyDescent="0.25">
      <c r="A166" s="1238">
        <v>161</v>
      </c>
      <c r="B166" s="1031" t="s">
        <v>1259</v>
      </c>
      <c r="C166" s="1240"/>
      <c r="D166" s="1249" t="s">
        <v>1260</v>
      </c>
      <c r="E166" s="1237">
        <v>4208.05</v>
      </c>
      <c r="F166" s="2393">
        <v>5708.75</v>
      </c>
      <c r="G166" s="1237" t="s">
        <v>942</v>
      </c>
      <c r="H166" s="777"/>
    </row>
    <row r="167" spans="1:8" x14ac:dyDescent="0.25">
      <c r="A167" s="1238">
        <v>162</v>
      </c>
      <c r="B167" s="1031" t="s">
        <v>1261</v>
      </c>
      <c r="C167" s="1241"/>
      <c r="D167" s="1249" t="s">
        <v>1262</v>
      </c>
      <c r="E167" s="1237">
        <v>237807.13</v>
      </c>
      <c r="F167" s="2393">
        <v>4837.9399999999996</v>
      </c>
      <c r="G167" s="1237" t="s">
        <v>942</v>
      </c>
      <c r="H167" s="777"/>
    </row>
    <row r="168" spans="1:8" ht="34.5" x14ac:dyDescent="0.25">
      <c r="A168" s="1238">
        <v>163</v>
      </c>
      <c r="B168" s="1031" t="s">
        <v>1263</v>
      </c>
      <c r="C168" s="1240"/>
      <c r="D168" s="1249" t="s">
        <v>1264</v>
      </c>
      <c r="E168" s="1237">
        <v>110062</v>
      </c>
      <c r="F168" s="2393">
        <v>92880.98</v>
      </c>
      <c r="G168" s="1237" t="s">
        <v>942</v>
      </c>
      <c r="H168" s="777"/>
    </row>
    <row r="169" spans="1:8" x14ac:dyDescent="0.25">
      <c r="A169" s="1238">
        <v>164</v>
      </c>
      <c r="B169" s="1031" t="s">
        <v>1265</v>
      </c>
      <c r="C169" s="1240"/>
      <c r="D169" s="1249" t="s">
        <v>1266</v>
      </c>
      <c r="E169" s="1237">
        <v>12652.48</v>
      </c>
      <c r="F169" s="2392">
        <v>996</v>
      </c>
      <c r="G169" s="1237" t="s">
        <v>1027</v>
      </c>
      <c r="H169" s="777"/>
    </row>
    <row r="170" spans="1:8" x14ac:dyDescent="0.25">
      <c r="A170" s="1238">
        <v>165</v>
      </c>
      <c r="B170" s="1031" t="s">
        <v>1267</v>
      </c>
      <c r="C170" s="1240"/>
      <c r="D170" s="1249" t="s">
        <v>1268</v>
      </c>
      <c r="E170" s="1237">
        <v>215701.53</v>
      </c>
      <c r="F170" s="2393">
        <v>32973.25</v>
      </c>
      <c r="G170" s="1237" t="s">
        <v>942</v>
      </c>
      <c r="H170" s="777"/>
    </row>
    <row r="171" spans="1:8" x14ac:dyDescent="0.25">
      <c r="A171" s="1238">
        <v>166</v>
      </c>
      <c r="B171" s="1031" t="s">
        <v>1269</v>
      </c>
      <c r="C171" s="1240"/>
      <c r="D171" s="1249" t="s">
        <v>1270</v>
      </c>
      <c r="E171" s="1237">
        <v>18885.8</v>
      </c>
      <c r="F171" s="2393">
        <v>14743</v>
      </c>
      <c r="G171" s="1237" t="s">
        <v>942</v>
      </c>
      <c r="H171" s="777"/>
    </row>
    <row r="172" spans="1:8" ht="23" x14ac:dyDescent="0.25">
      <c r="A172" s="1238">
        <v>167</v>
      </c>
      <c r="B172" s="1031" t="s">
        <v>1271</v>
      </c>
      <c r="C172" s="1240"/>
      <c r="D172" s="1249" t="s">
        <v>1270</v>
      </c>
      <c r="E172" s="1237">
        <v>139119.35999999999</v>
      </c>
      <c r="F172" s="2393">
        <v>14890.95</v>
      </c>
      <c r="G172" s="1237" t="s">
        <v>942</v>
      </c>
      <c r="H172" s="777"/>
    </row>
    <row r="173" spans="1:8" ht="23" x14ac:dyDescent="0.25">
      <c r="A173" s="1238">
        <v>168</v>
      </c>
      <c r="B173" s="1031" t="s">
        <v>1272</v>
      </c>
      <c r="C173" s="1241"/>
      <c r="D173" s="1249" t="s">
        <v>1273</v>
      </c>
      <c r="E173" s="1237">
        <v>21373.83</v>
      </c>
      <c r="F173" s="2393">
        <v>60075.38</v>
      </c>
      <c r="G173" s="1237" t="s">
        <v>942</v>
      </c>
      <c r="H173" s="777"/>
    </row>
    <row r="174" spans="1:8" x14ac:dyDescent="0.25">
      <c r="A174" s="1238">
        <v>169</v>
      </c>
      <c r="B174" s="1031" t="s">
        <v>1274</v>
      </c>
      <c r="C174" s="1240"/>
      <c r="D174" s="1249" t="s">
        <v>1275</v>
      </c>
      <c r="E174" s="1237">
        <v>1124.6999999999998</v>
      </c>
      <c r="F174" s="2392">
        <v>222.95</v>
      </c>
      <c r="G174" s="1237" t="s">
        <v>942</v>
      </c>
      <c r="H174" s="777"/>
    </row>
    <row r="175" spans="1:8" ht="23" x14ac:dyDescent="0.25">
      <c r="A175" s="1238">
        <v>170</v>
      </c>
      <c r="B175" s="1031" t="s">
        <v>1276</v>
      </c>
      <c r="C175" s="1240"/>
      <c r="D175" s="1249" t="s">
        <v>1277</v>
      </c>
      <c r="E175" s="1237">
        <v>517057.89999999997</v>
      </c>
      <c r="F175" s="2393">
        <v>6185</v>
      </c>
      <c r="G175" s="1237" t="s">
        <v>942</v>
      </c>
      <c r="H175" s="777"/>
    </row>
    <row r="176" spans="1:8" x14ac:dyDescent="0.25">
      <c r="A176" s="1238">
        <v>171</v>
      </c>
      <c r="B176" s="1031" t="s">
        <v>1278</v>
      </c>
      <c r="C176" s="1240"/>
      <c r="D176" s="1249" t="s">
        <v>1279</v>
      </c>
      <c r="E176" s="1237">
        <v>-499.20000000000005</v>
      </c>
      <c r="F176" s="2392">
        <v>-499.2</v>
      </c>
      <c r="G176" s="1237" t="s">
        <v>942</v>
      </c>
      <c r="H176" s="777"/>
    </row>
    <row r="177" spans="1:8" ht="34.5" x14ac:dyDescent="0.25">
      <c r="A177" s="1238">
        <v>172</v>
      </c>
      <c r="B177" s="1251" t="s">
        <v>1280</v>
      </c>
      <c r="C177" s="1252"/>
      <c r="D177" s="1249" t="s">
        <v>1281</v>
      </c>
      <c r="E177" s="1237">
        <v>4608.68</v>
      </c>
      <c r="F177" s="2393">
        <v>4292.38</v>
      </c>
      <c r="G177" s="1237" t="s">
        <v>1027</v>
      </c>
      <c r="H177" s="777"/>
    </row>
    <row r="178" spans="1:8" ht="34.5" x14ac:dyDescent="0.25">
      <c r="A178" s="1238">
        <v>173</v>
      </c>
      <c r="B178" s="1031" t="s">
        <v>1282</v>
      </c>
      <c r="C178" s="1240"/>
      <c r="D178" s="1249" t="s">
        <v>1281</v>
      </c>
      <c r="E178" s="1237">
        <v>5217</v>
      </c>
      <c r="F178" s="2393">
        <v>4263.87</v>
      </c>
      <c r="G178" s="1237" t="s">
        <v>1027</v>
      </c>
      <c r="H178" s="777"/>
    </row>
    <row r="179" spans="1:8" ht="23" x14ac:dyDescent="0.25">
      <c r="A179" s="1238">
        <v>174</v>
      </c>
      <c r="B179" s="1031" t="s">
        <v>1283</v>
      </c>
      <c r="C179" s="1240"/>
      <c r="D179" s="1249" t="s">
        <v>1284</v>
      </c>
      <c r="E179" s="1237">
        <v>23439.300000000003</v>
      </c>
      <c r="F179" s="2393">
        <v>19308.099999999999</v>
      </c>
      <c r="G179" s="1237" t="s">
        <v>1027</v>
      </c>
      <c r="H179" s="777"/>
    </row>
    <row r="180" spans="1:8" ht="23" x14ac:dyDescent="0.25">
      <c r="A180" s="1238">
        <v>175</v>
      </c>
      <c r="B180" s="1031" t="s">
        <v>1285</v>
      </c>
      <c r="C180" s="1240"/>
      <c r="D180" s="1249" t="s">
        <v>1286</v>
      </c>
      <c r="E180" s="1250">
        <v>12048.2</v>
      </c>
      <c r="F180" s="2394">
        <v>13518.06</v>
      </c>
      <c r="G180" s="1237" t="s">
        <v>1027</v>
      </c>
      <c r="H180" s="777"/>
    </row>
    <row r="181" spans="1:8" x14ac:dyDescent="0.25">
      <c r="A181" s="1238">
        <v>176</v>
      </c>
      <c r="B181" s="1031" t="s">
        <v>1287</v>
      </c>
      <c r="C181" s="1240"/>
      <c r="D181" s="1249" t="s">
        <v>1288</v>
      </c>
      <c r="E181" s="1250">
        <v>77733</v>
      </c>
      <c r="F181" s="2394">
        <v>77733</v>
      </c>
      <c r="G181" s="1237" t="s">
        <v>942</v>
      </c>
      <c r="H181" s="777"/>
    </row>
    <row r="182" spans="1:8" x14ac:dyDescent="0.25">
      <c r="A182" s="1238">
        <v>177</v>
      </c>
      <c r="B182" s="1253" t="s">
        <v>1289</v>
      </c>
      <c r="C182" s="1254"/>
      <c r="D182" s="1249" t="s">
        <v>1290</v>
      </c>
      <c r="E182" s="1237">
        <v>21414.06</v>
      </c>
      <c r="F182" s="2393">
        <v>-1400</v>
      </c>
      <c r="G182" s="1237" t="s">
        <v>942</v>
      </c>
      <c r="H182" s="777"/>
    </row>
    <row r="183" spans="1:8" ht="23" x14ac:dyDescent="0.25">
      <c r="A183" s="1238">
        <v>178</v>
      </c>
      <c r="B183" s="1031" t="s">
        <v>1291</v>
      </c>
      <c r="C183" s="1240"/>
      <c r="D183" s="1249" t="s">
        <v>1292</v>
      </c>
      <c r="E183" s="1237">
        <v>7520</v>
      </c>
      <c r="F183" s="2393">
        <v>1896.04</v>
      </c>
      <c r="G183" s="1237" t="s">
        <v>942</v>
      </c>
      <c r="H183" s="777"/>
    </row>
    <row r="184" spans="1:8" x14ac:dyDescent="0.25">
      <c r="A184" s="1238">
        <v>179</v>
      </c>
      <c r="B184" s="1031" t="s">
        <v>1293</v>
      </c>
      <c r="C184" s="1240"/>
      <c r="D184" s="1249" t="s">
        <v>1292</v>
      </c>
      <c r="E184" s="1237">
        <v>9423.75</v>
      </c>
      <c r="F184" s="2393">
        <v>-1400</v>
      </c>
      <c r="G184" s="1237" t="s">
        <v>942</v>
      </c>
      <c r="H184" s="777"/>
    </row>
    <row r="185" spans="1:8" ht="23" x14ac:dyDescent="0.25">
      <c r="A185" s="1238">
        <v>180</v>
      </c>
      <c r="B185" s="1031" t="s">
        <v>1294</v>
      </c>
      <c r="C185" s="1240"/>
      <c r="D185" s="1249" t="s">
        <v>1292</v>
      </c>
      <c r="E185" s="1237">
        <v>6412</v>
      </c>
      <c r="F185" s="2393">
        <v>-1156.9000000000001</v>
      </c>
      <c r="G185" s="1237" t="s">
        <v>942</v>
      </c>
      <c r="H185" s="777"/>
    </row>
    <row r="186" spans="1:8" ht="23" x14ac:dyDescent="0.25">
      <c r="A186" s="1238">
        <v>181</v>
      </c>
      <c r="B186" s="1028" t="s">
        <v>1295</v>
      </c>
      <c r="C186" s="1235"/>
      <c r="D186" s="1249" t="s">
        <v>1296</v>
      </c>
      <c r="E186" s="1237">
        <v>-2321.15</v>
      </c>
      <c r="F186" s="2393">
        <v>6194.4</v>
      </c>
      <c r="G186" s="1237" t="s">
        <v>942</v>
      </c>
      <c r="H186" s="777"/>
    </row>
    <row r="187" spans="1:8" ht="34.5" x14ac:dyDescent="0.25">
      <c r="A187" s="1238">
        <v>182</v>
      </c>
      <c r="B187" s="1028" t="s">
        <v>1297</v>
      </c>
      <c r="C187" s="1235"/>
      <c r="D187" s="1249" t="s">
        <v>1298</v>
      </c>
      <c r="E187" s="1237">
        <v>463.03</v>
      </c>
      <c r="F187" s="2393">
        <v>2569</v>
      </c>
      <c r="G187" s="1237" t="s">
        <v>942</v>
      </c>
      <c r="H187" s="777"/>
    </row>
    <row r="188" spans="1:8" ht="23" x14ac:dyDescent="0.25">
      <c r="A188" s="1238">
        <v>183</v>
      </c>
      <c r="B188" s="1031" t="s">
        <v>1299</v>
      </c>
      <c r="C188" s="1240"/>
      <c r="D188" s="1249" t="s">
        <v>1300</v>
      </c>
      <c r="E188" s="1237">
        <v>2233.4699999999998</v>
      </c>
      <c r="F188" s="2393">
        <v>4833.47</v>
      </c>
      <c r="G188" s="1237" t="s">
        <v>942</v>
      </c>
      <c r="H188" s="777"/>
    </row>
    <row r="189" spans="1:8" ht="46" x14ac:dyDescent="0.25">
      <c r="A189" s="1238">
        <v>184</v>
      </c>
      <c r="B189" s="1253" t="s">
        <v>1301</v>
      </c>
      <c r="C189" s="1254"/>
      <c r="D189" s="1249" t="s">
        <v>1302</v>
      </c>
      <c r="E189" s="1237">
        <v>7962.01</v>
      </c>
      <c r="F189" s="2393">
        <v>23142.53</v>
      </c>
      <c r="G189" s="1237" t="s">
        <v>942</v>
      </c>
      <c r="H189" s="777"/>
    </row>
    <row r="190" spans="1:8" ht="34.5" x14ac:dyDescent="0.25">
      <c r="A190" s="1238">
        <v>185</v>
      </c>
      <c r="B190" s="1028" t="s">
        <v>1303</v>
      </c>
      <c r="C190" s="1235"/>
      <c r="D190" s="1247" t="s">
        <v>1304</v>
      </c>
      <c r="E190" s="1237">
        <v>16175.88</v>
      </c>
      <c r="F190" s="2393">
        <v>16297.88</v>
      </c>
      <c r="G190" s="1237" t="s">
        <v>1027</v>
      </c>
      <c r="H190" s="777"/>
    </row>
    <row r="191" spans="1:8" ht="23" x14ac:dyDescent="0.25">
      <c r="A191" s="1238">
        <v>186</v>
      </c>
      <c r="B191" s="1028" t="s">
        <v>1305</v>
      </c>
      <c r="C191" s="1235"/>
      <c r="D191" s="1247" t="s">
        <v>1306</v>
      </c>
      <c r="E191" s="1237">
        <v>-1257.95</v>
      </c>
      <c r="F191" s="2393">
        <v>-1187.94</v>
      </c>
      <c r="G191" s="1237" t="s">
        <v>942</v>
      </c>
      <c r="H191" s="777"/>
    </row>
    <row r="192" spans="1:8" ht="23" x14ac:dyDescent="0.25">
      <c r="A192" s="1238">
        <v>187</v>
      </c>
      <c r="B192" s="1028" t="s">
        <v>1307</v>
      </c>
      <c r="C192" s="1235"/>
      <c r="D192" s="1247" t="s">
        <v>1308</v>
      </c>
      <c r="E192" s="1237">
        <v>18768.29</v>
      </c>
      <c r="F192" s="2393">
        <v>30662.7</v>
      </c>
      <c r="G192" s="1237" t="s">
        <v>942</v>
      </c>
      <c r="H192" s="777"/>
    </row>
    <row r="193" spans="1:8" ht="34.5" x14ac:dyDescent="0.25">
      <c r="A193" s="1238">
        <v>188</v>
      </c>
      <c r="B193" s="505" t="s">
        <v>1309</v>
      </c>
      <c r="C193" s="811"/>
      <c r="D193" s="1247" t="s">
        <v>1310</v>
      </c>
      <c r="E193" s="1237">
        <v>178656.68000000002</v>
      </c>
      <c r="F193" s="2393">
        <v>183329.63</v>
      </c>
      <c r="G193" s="1237" t="s">
        <v>942</v>
      </c>
      <c r="H193" s="777"/>
    </row>
    <row r="194" spans="1:8" ht="23" x14ac:dyDescent="0.25">
      <c r="A194" s="1238">
        <v>189</v>
      </c>
      <c r="B194" s="1031" t="s">
        <v>1311</v>
      </c>
      <c r="C194" s="1241"/>
      <c r="D194" s="1255" t="s">
        <v>1312</v>
      </c>
      <c r="E194" s="1237">
        <v>17358.2</v>
      </c>
      <c r="F194" s="2393">
        <v>7918.5</v>
      </c>
      <c r="G194" s="1237" t="s">
        <v>942</v>
      </c>
      <c r="H194" s="777"/>
    </row>
    <row r="195" spans="1:8" ht="23" x14ac:dyDescent="0.25">
      <c r="A195" s="1238">
        <v>190</v>
      </c>
      <c r="B195" s="1031" t="s">
        <v>1313</v>
      </c>
      <c r="C195" s="1241"/>
      <c r="D195" s="1247" t="s">
        <v>1314</v>
      </c>
      <c r="E195" s="1237">
        <v>53719.77</v>
      </c>
      <c r="F195" s="2393">
        <v>16266.47</v>
      </c>
      <c r="G195" s="1237" t="s">
        <v>942</v>
      </c>
      <c r="H195" s="777"/>
    </row>
    <row r="196" spans="1:8" ht="23" x14ac:dyDescent="0.25">
      <c r="A196" s="1238">
        <v>191</v>
      </c>
      <c r="B196" s="1031" t="s">
        <v>1315</v>
      </c>
      <c r="C196" s="1241"/>
      <c r="D196" s="1247" t="s">
        <v>1314</v>
      </c>
      <c r="E196" s="1237">
        <v>42892.02</v>
      </c>
      <c r="F196" s="2393">
        <v>13266.47</v>
      </c>
      <c r="G196" s="1237" t="s">
        <v>942</v>
      </c>
      <c r="H196" s="777"/>
    </row>
    <row r="197" spans="1:8" ht="23" x14ac:dyDescent="0.25">
      <c r="A197" s="1238">
        <v>192</v>
      </c>
      <c r="B197" s="1031" t="s">
        <v>1316</v>
      </c>
      <c r="C197" s="1241"/>
      <c r="D197" s="1255" t="s">
        <v>1317</v>
      </c>
      <c r="E197" s="1243">
        <v>21750.190000000002</v>
      </c>
      <c r="F197" s="2392">
        <v>8842.02</v>
      </c>
      <c r="G197" s="1237" t="s">
        <v>942</v>
      </c>
      <c r="H197" s="777"/>
    </row>
    <row r="198" spans="1:8" ht="23" x14ac:dyDescent="0.25">
      <c r="A198" s="1238">
        <v>193</v>
      </c>
      <c r="B198" s="1031" t="s">
        <v>1318</v>
      </c>
      <c r="C198" s="1241"/>
      <c r="D198" s="1255" t="s">
        <v>1319</v>
      </c>
      <c r="E198" s="1243">
        <v>11630.150000000001</v>
      </c>
      <c r="F198" s="2392">
        <v>12117.98</v>
      </c>
      <c r="G198" s="1237" t="s">
        <v>942</v>
      </c>
      <c r="H198" s="777"/>
    </row>
    <row r="199" spans="1:8" x14ac:dyDescent="0.25">
      <c r="A199" s="1238">
        <v>194</v>
      </c>
      <c r="B199" s="1031" t="s">
        <v>1320</v>
      </c>
      <c r="C199" s="1241"/>
      <c r="D199" s="1255" t="s">
        <v>1321</v>
      </c>
      <c r="E199" s="1237">
        <v>13703.37000000001</v>
      </c>
      <c r="F199" s="2393">
        <v>13703.37</v>
      </c>
      <c r="G199" s="1237" t="s">
        <v>942</v>
      </c>
      <c r="H199" s="777"/>
    </row>
    <row r="200" spans="1:8" ht="23" x14ac:dyDescent="0.25">
      <c r="A200" s="1238">
        <v>195</v>
      </c>
      <c r="B200" s="1031" t="s">
        <v>1322</v>
      </c>
      <c r="C200" s="1241"/>
      <c r="D200" s="1255" t="s">
        <v>1323</v>
      </c>
      <c r="E200" s="1237">
        <v>1097.33</v>
      </c>
      <c r="F200" s="2393">
        <v>2766.83</v>
      </c>
      <c r="G200" s="1237" t="s">
        <v>942</v>
      </c>
      <c r="H200" s="777"/>
    </row>
    <row r="201" spans="1:8" x14ac:dyDescent="0.25">
      <c r="A201" s="1238">
        <v>196</v>
      </c>
      <c r="B201" s="1031" t="s">
        <v>1324</v>
      </c>
      <c r="C201" s="1241"/>
      <c r="D201" s="1255" t="s">
        <v>1325</v>
      </c>
      <c r="E201" s="1237">
        <v>45793.16</v>
      </c>
      <c r="F201" s="2392">
        <v>714.47</v>
      </c>
      <c r="G201" s="1237" t="s">
        <v>942</v>
      </c>
      <c r="H201" s="777"/>
    </row>
    <row r="202" spans="1:8" ht="34.5" x14ac:dyDescent="0.25">
      <c r="A202" s="1238">
        <v>197</v>
      </c>
      <c r="B202" s="1028" t="s">
        <v>1326</v>
      </c>
      <c r="C202" s="1235"/>
      <c r="D202" s="1247" t="s">
        <v>1327</v>
      </c>
      <c r="E202" s="1237">
        <v>330458.77</v>
      </c>
      <c r="F202" s="2393">
        <v>330458.77</v>
      </c>
      <c r="G202" s="1237" t="s">
        <v>942</v>
      </c>
      <c r="H202" s="777"/>
    </row>
    <row r="203" spans="1:8" ht="46" x14ac:dyDescent="0.25">
      <c r="A203" s="1238">
        <v>198</v>
      </c>
      <c r="B203" s="1028" t="s">
        <v>1328</v>
      </c>
      <c r="C203" s="1235"/>
      <c r="D203" s="1247" t="s">
        <v>1329</v>
      </c>
      <c r="E203" s="1237">
        <v>-309.14000000000124</v>
      </c>
      <c r="F203" s="2392">
        <v>-570.54</v>
      </c>
      <c r="G203" s="1237" t="s">
        <v>942</v>
      </c>
      <c r="H203" s="777"/>
    </row>
    <row r="204" spans="1:8" ht="57.5" x14ac:dyDescent="0.25">
      <c r="A204" s="1238">
        <v>199</v>
      </c>
      <c r="B204" s="1028" t="s">
        <v>1330</v>
      </c>
      <c r="C204" s="1235"/>
      <c r="D204" s="1247" t="s">
        <v>1331</v>
      </c>
      <c r="E204" s="1237">
        <v>16331.86</v>
      </c>
      <c r="F204" s="2393">
        <v>14388.86</v>
      </c>
      <c r="G204" s="1237" t="s">
        <v>942</v>
      </c>
      <c r="H204" s="777"/>
    </row>
    <row r="205" spans="1:8" ht="23" x14ac:dyDescent="0.25">
      <c r="A205" s="1238">
        <v>200</v>
      </c>
      <c r="B205" s="1028" t="s">
        <v>1332</v>
      </c>
      <c r="C205" s="1235"/>
      <c r="D205" s="1247" t="s">
        <v>1333</v>
      </c>
      <c r="E205" s="1237">
        <v>23506.799999999999</v>
      </c>
      <c r="F205" s="2393">
        <v>-4368.6000000000004</v>
      </c>
      <c r="G205" s="1237" t="s">
        <v>942</v>
      </c>
      <c r="H205" s="777"/>
    </row>
    <row r="206" spans="1:8" ht="46" x14ac:dyDescent="0.25">
      <c r="A206" s="1238">
        <v>201</v>
      </c>
      <c r="B206" s="1031" t="s">
        <v>1334</v>
      </c>
      <c r="C206" s="1241"/>
      <c r="D206" s="1247" t="s">
        <v>1335</v>
      </c>
      <c r="E206" s="1237">
        <v>84116.01</v>
      </c>
      <c r="F206" s="2393">
        <v>88327.6</v>
      </c>
      <c r="G206" s="1237" t="s">
        <v>1027</v>
      </c>
      <c r="H206" s="777"/>
    </row>
    <row r="207" spans="1:8" ht="34.5" x14ac:dyDescent="0.25">
      <c r="A207" s="1238">
        <v>202</v>
      </c>
      <c r="B207" s="1031" t="s">
        <v>1336</v>
      </c>
      <c r="C207" s="1241"/>
      <c r="D207" s="1247" t="s">
        <v>1337</v>
      </c>
      <c r="E207" s="1237">
        <v>17717.25</v>
      </c>
      <c r="F207" s="2393">
        <v>13426.5</v>
      </c>
      <c r="G207" s="1237" t="s">
        <v>1027</v>
      </c>
      <c r="H207" s="777"/>
    </row>
    <row r="208" spans="1:8" ht="23" x14ac:dyDescent="0.25">
      <c r="A208" s="1238">
        <v>203</v>
      </c>
      <c r="B208" s="1031" t="s">
        <v>1338</v>
      </c>
      <c r="C208" s="1241"/>
      <c r="D208" s="1247" t="s">
        <v>1339</v>
      </c>
      <c r="E208" s="1237">
        <v>6328.7</v>
      </c>
      <c r="F208" s="2393">
        <v>6322.6</v>
      </c>
      <c r="G208" s="1237" t="s">
        <v>942</v>
      </c>
      <c r="H208" s="777"/>
    </row>
    <row r="209" spans="1:8" ht="34.5" x14ac:dyDescent="0.25">
      <c r="A209" s="1238">
        <v>204</v>
      </c>
      <c r="B209" s="1031" t="s">
        <v>1340</v>
      </c>
      <c r="C209" s="1241"/>
      <c r="D209" s="1247" t="s">
        <v>1341</v>
      </c>
      <c r="E209" s="1237">
        <v>-3641.2799999999988</v>
      </c>
      <c r="F209" s="2393">
        <v>-3647.38</v>
      </c>
      <c r="G209" s="1237" t="s">
        <v>942</v>
      </c>
      <c r="H209" s="777"/>
    </row>
    <row r="210" spans="1:8" ht="34.5" x14ac:dyDescent="0.25">
      <c r="A210" s="1238">
        <v>205</v>
      </c>
      <c r="B210" s="1031" t="s">
        <v>1342</v>
      </c>
      <c r="C210" s="1241"/>
      <c r="D210" s="1247" t="s">
        <v>1343</v>
      </c>
      <c r="E210" s="1237">
        <v>-10814.5</v>
      </c>
      <c r="F210" s="2393">
        <v>51693.4</v>
      </c>
      <c r="G210" s="1237" t="s">
        <v>1027</v>
      </c>
      <c r="H210" s="777"/>
    </row>
    <row r="211" spans="1:8" ht="46" x14ac:dyDescent="0.25">
      <c r="A211" s="1238">
        <v>206</v>
      </c>
      <c r="B211" s="1031" t="s">
        <v>1344</v>
      </c>
      <c r="C211" s="1241"/>
      <c r="D211" s="1247" t="s">
        <v>1345</v>
      </c>
      <c r="E211" s="1237">
        <v>39803.739999999991</v>
      </c>
      <c r="F211" s="2393">
        <v>37298.26</v>
      </c>
      <c r="G211" s="1237" t="s">
        <v>942</v>
      </c>
      <c r="H211" s="777"/>
    </row>
    <row r="212" spans="1:8" ht="23" x14ac:dyDescent="0.25">
      <c r="A212" s="1238">
        <v>207</v>
      </c>
      <c r="B212" s="1031" t="s">
        <v>1346</v>
      </c>
      <c r="C212" s="1241"/>
      <c r="D212" s="1247" t="s">
        <v>1347</v>
      </c>
      <c r="E212" s="1237">
        <v>29360.639999999999</v>
      </c>
      <c r="F212" s="2393">
        <v>30318.04</v>
      </c>
      <c r="G212" s="1237" t="s">
        <v>942</v>
      </c>
      <c r="H212" s="777"/>
    </row>
    <row r="213" spans="1:8" ht="34.5" x14ac:dyDescent="0.25">
      <c r="A213" s="1238">
        <v>208</v>
      </c>
      <c r="B213" s="1031" t="s">
        <v>1348</v>
      </c>
      <c r="C213" s="1241"/>
      <c r="D213" s="1247" t="s">
        <v>1349</v>
      </c>
      <c r="E213" s="1237">
        <v>24840</v>
      </c>
      <c r="F213" s="2392">
        <v>0</v>
      </c>
      <c r="G213" s="1237" t="s">
        <v>1027</v>
      </c>
      <c r="H213" s="777"/>
    </row>
    <row r="214" spans="1:8" ht="23" x14ac:dyDescent="0.25">
      <c r="A214" s="1238">
        <v>209</v>
      </c>
      <c r="B214" s="1030" t="s">
        <v>1350</v>
      </c>
      <c r="C214" s="1241"/>
      <c r="D214" s="1247" t="s">
        <v>1351</v>
      </c>
      <c r="E214" s="1237">
        <v>162634.6</v>
      </c>
      <c r="F214" s="2393">
        <v>163568</v>
      </c>
      <c r="G214" s="1237" t="s">
        <v>942</v>
      </c>
      <c r="H214" s="777"/>
    </row>
    <row r="215" spans="1:8" ht="46" x14ac:dyDescent="0.25">
      <c r="A215" s="1238">
        <v>210</v>
      </c>
      <c r="B215" s="1031" t="s">
        <v>1352</v>
      </c>
      <c r="C215" s="1241"/>
      <c r="D215" s="1247" t="s">
        <v>1353</v>
      </c>
      <c r="E215" s="1237">
        <v>37682.400000000001</v>
      </c>
      <c r="F215" s="2393">
        <v>37682.400000000001</v>
      </c>
      <c r="G215" s="1237" t="s">
        <v>1027</v>
      </c>
      <c r="H215" s="777"/>
    </row>
    <row r="216" spans="1:8" ht="46" x14ac:dyDescent="0.25">
      <c r="A216" s="1238">
        <v>211</v>
      </c>
      <c r="B216" s="1031" t="s">
        <v>1354</v>
      </c>
      <c r="C216" s="1241"/>
      <c r="D216" s="1247" t="s">
        <v>1355</v>
      </c>
      <c r="E216" s="1237">
        <v>104207.75</v>
      </c>
      <c r="F216" s="2393">
        <v>55082.400000000001</v>
      </c>
      <c r="G216" s="1237" t="s">
        <v>1027</v>
      </c>
      <c r="H216" s="777"/>
    </row>
    <row r="217" spans="1:8" ht="23" x14ac:dyDescent="0.25">
      <c r="A217" s="1238">
        <v>212</v>
      </c>
      <c r="B217" s="1031" t="s">
        <v>1356</v>
      </c>
      <c r="C217" s="1241"/>
      <c r="D217" s="1247" t="s">
        <v>1357</v>
      </c>
      <c r="E217" s="1237">
        <v>-192.5</v>
      </c>
      <c r="F217" s="2392">
        <v>-20.25</v>
      </c>
      <c r="G217" s="1237" t="s">
        <v>942</v>
      </c>
      <c r="H217" s="777"/>
    </row>
    <row r="218" spans="1:8" ht="46" x14ac:dyDescent="0.25">
      <c r="A218" s="1238">
        <v>213</v>
      </c>
      <c r="B218" s="1031" t="s">
        <v>1358</v>
      </c>
      <c r="C218" s="1241"/>
      <c r="D218" s="1247" t="s">
        <v>1359</v>
      </c>
      <c r="E218" s="1237">
        <v>249113.3</v>
      </c>
      <c r="F218" s="2393">
        <v>68243.199999999997</v>
      </c>
      <c r="G218" s="1237" t="s">
        <v>1027</v>
      </c>
      <c r="H218" s="777"/>
    </row>
    <row r="219" spans="1:8" ht="23" x14ac:dyDescent="0.25">
      <c r="A219" s="1238">
        <v>214</v>
      </c>
      <c r="B219" s="1031" t="s">
        <v>1360</v>
      </c>
      <c r="C219" s="1240"/>
      <c r="D219" s="1249" t="s">
        <v>1361</v>
      </c>
      <c r="E219" s="1237">
        <v>336503.63</v>
      </c>
      <c r="F219" s="2393">
        <v>21384.66</v>
      </c>
      <c r="G219" s="1237" t="s">
        <v>1027</v>
      </c>
      <c r="H219" s="777"/>
    </row>
    <row r="220" spans="1:8" ht="57.5" x14ac:dyDescent="0.25">
      <c r="A220" s="1238">
        <v>215</v>
      </c>
      <c r="B220" s="1031" t="s">
        <v>1362</v>
      </c>
      <c r="C220" s="1241"/>
      <c r="D220" s="1247" t="s">
        <v>1363</v>
      </c>
      <c r="E220" s="1237">
        <v>109810.25</v>
      </c>
      <c r="F220" s="2393">
        <v>51027.199999999997</v>
      </c>
      <c r="G220" s="1237" t="s">
        <v>1027</v>
      </c>
      <c r="H220" s="777" t="s">
        <v>1364</v>
      </c>
    </row>
    <row r="221" spans="1:8" ht="57.5" x14ac:dyDescent="0.25">
      <c r="A221" s="1238">
        <v>216</v>
      </c>
      <c r="B221" s="1031" t="s">
        <v>1365</v>
      </c>
      <c r="C221" s="1241"/>
      <c r="D221" s="1247" t="s">
        <v>1363</v>
      </c>
      <c r="E221" s="1237">
        <v>435691.12</v>
      </c>
      <c r="F221" s="2393">
        <v>81027.199999999997</v>
      </c>
      <c r="G221" s="1237" t="s">
        <v>1027</v>
      </c>
      <c r="H221" s="777" t="s">
        <v>1366</v>
      </c>
    </row>
    <row r="222" spans="1:8" ht="57.5" x14ac:dyDescent="0.25">
      <c r="A222" s="1238">
        <v>217</v>
      </c>
      <c r="B222" s="1031" t="s">
        <v>1367</v>
      </c>
      <c r="C222" s="1241"/>
      <c r="D222" s="1247" t="s">
        <v>1363</v>
      </c>
      <c r="E222" s="1237">
        <v>469031.85</v>
      </c>
      <c r="F222" s="2393">
        <v>17334.3</v>
      </c>
      <c r="G222" s="1237" t="s">
        <v>1027</v>
      </c>
      <c r="H222" s="1244"/>
    </row>
    <row r="223" spans="1:8" ht="34.5" x14ac:dyDescent="0.25">
      <c r="A223" s="1238">
        <v>218</v>
      </c>
      <c r="B223" s="1031" t="s">
        <v>1368</v>
      </c>
      <c r="C223" s="1241"/>
      <c r="D223" s="1247" t="s">
        <v>1369</v>
      </c>
      <c r="E223" s="1237">
        <v>0</v>
      </c>
      <c r="F223" s="2392">
        <v>0</v>
      </c>
      <c r="G223" s="1237" t="s">
        <v>1027</v>
      </c>
      <c r="H223" s="777"/>
    </row>
    <row r="224" spans="1:8" ht="34.5" x14ac:dyDescent="0.25">
      <c r="A224" s="1238">
        <v>219</v>
      </c>
      <c r="B224" s="1031" t="s">
        <v>1370</v>
      </c>
      <c r="C224" s="1241"/>
      <c r="D224" s="1247" t="s">
        <v>1371</v>
      </c>
      <c r="E224" s="1237">
        <v>13363.150000000001</v>
      </c>
      <c r="F224" s="2393">
        <v>13518.4</v>
      </c>
      <c r="G224" s="1237" t="s">
        <v>942</v>
      </c>
      <c r="H224" s="777"/>
    </row>
    <row r="225" spans="1:8" ht="46" x14ac:dyDescent="0.25">
      <c r="A225" s="1238">
        <v>220</v>
      </c>
      <c r="B225" s="1031" t="s">
        <v>1372</v>
      </c>
      <c r="C225" s="1241"/>
      <c r="D225" s="1247" t="s">
        <v>1373</v>
      </c>
      <c r="E225" s="1237">
        <v>5719.24</v>
      </c>
      <c r="F225" s="2393">
        <v>3800.8</v>
      </c>
      <c r="G225" s="1237" t="s">
        <v>1027</v>
      </c>
      <c r="H225" s="777"/>
    </row>
    <row r="226" spans="1:8" ht="23" x14ac:dyDescent="0.25">
      <c r="A226" s="1238">
        <v>221</v>
      </c>
      <c r="B226" s="1031" t="s">
        <v>1374</v>
      </c>
      <c r="C226" s="1241"/>
      <c r="D226" s="1247" t="s">
        <v>952</v>
      </c>
      <c r="E226" s="1237">
        <v>18040.5</v>
      </c>
      <c r="F226" s="2392">
        <v>0</v>
      </c>
      <c r="G226" s="1237" t="s">
        <v>942</v>
      </c>
      <c r="H226" s="777"/>
    </row>
    <row r="227" spans="1:8" x14ac:dyDescent="0.25">
      <c r="A227" s="1238">
        <v>222</v>
      </c>
      <c r="B227" s="1031" t="s">
        <v>1375</v>
      </c>
      <c r="C227" s="1241"/>
      <c r="D227" s="1239" t="s">
        <v>1376</v>
      </c>
      <c r="E227" s="1237">
        <v>-11846.399999999994</v>
      </c>
      <c r="F227" s="2393">
        <v>55568.6</v>
      </c>
      <c r="G227" s="1237" t="s">
        <v>1027</v>
      </c>
      <c r="H227" s="777"/>
    </row>
    <row r="228" spans="1:8" ht="23" x14ac:dyDescent="0.25">
      <c r="A228" s="1238">
        <v>223</v>
      </c>
      <c r="B228" s="1031" t="s">
        <v>1377</v>
      </c>
      <c r="C228" s="1241"/>
      <c r="D228" s="1247" t="s">
        <v>1378</v>
      </c>
      <c r="E228" s="1237">
        <v>6761.8600000000006</v>
      </c>
      <c r="F228" s="2393">
        <v>5397.07</v>
      </c>
      <c r="G228" s="1237" t="s">
        <v>942</v>
      </c>
      <c r="H228" s="777"/>
    </row>
    <row r="229" spans="1:8" ht="23" x14ac:dyDescent="0.25">
      <c r="A229" s="1238">
        <v>224</v>
      </c>
      <c r="B229" s="1031" t="s">
        <v>1379</v>
      </c>
      <c r="C229" s="1241"/>
      <c r="D229" s="1247" t="s">
        <v>1380</v>
      </c>
      <c r="E229" s="1237">
        <v>75539.930000000008</v>
      </c>
      <c r="F229" s="2393">
        <v>22963.55</v>
      </c>
      <c r="G229" s="1237" t="s">
        <v>942</v>
      </c>
      <c r="H229" s="777"/>
    </row>
    <row r="230" spans="1:8" x14ac:dyDescent="0.25">
      <c r="A230" s="1238">
        <v>225</v>
      </c>
      <c r="B230" s="1031" t="s">
        <v>1381</v>
      </c>
      <c r="C230" s="1241"/>
      <c r="D230" s="1247" t="s">
        <v>1382</v>
      </c>
      <c r="E230" s="1237">
        <v>-6521.31</v>
      </c>
      <c r="F230" s="2393">
        <v>5119.3999999999996</v>
      </c>
      <c r="G230" s="1237" t="s">
        <v>1027</v>
      </c>
      <c r="H230" s="777"/>
    </row>
    <row r="231" spans="1:8" ht="23" x14ac:dyDescent="0.25">
      <c r="A231" s="1238">
        <v>226</v>
      </c>
      <c r="B231" s="1031" t="s">
        <v>1383</v>
      </c>
      <c r="C231" s="1241"/>
      <c r="D231" s="1247" t="s">
        <v>1384</v>
      </c>
      <c r="E231" s="1237">
        <v>14965.440000000002</v>
      </c>
      <c r="F231" s="2393">
        <v>191768.61</v>
      </c>
      <c r="G231" s="1237" t="s">
        <v>1027</v>
      </c>
      <c r="H231" s="777"/>
    </row>
    <row r="232" spans="1:8" ht="23" x14ac:dyDescent="0.25">
      <c r="A232" s="1238">
        <v>227</v>
      </c>
      <c r="B232" s="1031" t="s">
        <v>1385</v>
      </c>
      <c r="C232" s="1241"/>
      <c r="D232" s="1247" t="s">
        <v>1386</v>
      </c>
      <c r="E232" s="1237">
        <v>14961.710000000001</v>
      </c>
      <c r="F232" s="2393">
        <v>13794.11</v>
      </c>
      <c r="G232" s="1237" t="s">
        <v>942</v>
      </c>
      <c r="H232" s="777"/>
    </row>
    <row r="233" spans="1:8" ht="34.5" x14ac:dyDescent="0.25">
      <c r="A233" s="1238">
        <v>228</v>
      </c>
      <c r="B233" s="1031" t="s">
        <v>1387</v>
      </c>
      <c r="C233" s="1241"/>
      <c r="D233" s="1247" t="s">
        <v>1388</v>
      </c>
      <c r="E233" s="1237">
        <v>-14565.339999999982</v>
      </c>
      <c r="F233" s="2393">
        <v>9013.4500000000007</v>
      </c>
      <c r="G233" s="1237" t="s">
        <v>942</v>
      </c>
      <c r="H233" s="777"/>
    </row>
    <row r="234" spans="1:8" ht="34.5" x14ac:dyDescent="0.25">
      <c r="A234" s="1238">
        <v>229</v>
      </c>
      <c r="B234" s="1031" t="s">
        <v>1389</v>
      </c>
      <c r="C234" s="1241"/>
      <c r="D234" s="1247" t="s">
        <v>1390</v>
      </c>
      <c r="E234" s="1237">
        <v>22547.769999999997</v>
      </c>
      <c r="F234" s="2393">
        <v>13667.11</v>
      </c>
      <c r="G234" s="1237" t="s">
        <v>942</v>
      </c>
      <c r="H234" s="777"/>
    </row>
    <row r="235" spans="1:8" ht="23" x14ac:dyDescent="0.25">
      <c r="A235" s="1238">
        <v>230</v>
      </c>
      <c r="B235" s="1031" t="s">
        <v>1391</v>
      </c>
      <c r="C235" s="1241"/>
      <c r="D235" s="1247" t="s">
        <v>960</v>
      </c>
      <c r="E235" s="1237">
        <v>13064.650000000001</v>
      </c>
      <c r="F235" s="2392">
        <v>-57.75</v>
      </c>
      <c r="G235" s="1237" t="s">
        <v>942</v>
      </c>
      <c r="H235" s="777"/>
    </row>
    <row r="236" spans="1:8" ht="34.5" x14ac:dyDescent="0.25">
      <c r="A236" s="1238">
        <v>231</v>
      </c>
      <c r="B236" s="1031" t="s">
        <v>1392</v>
      </c>
      <c r="C236" s="1241"/>
      <c r="D236" s="1247" t="s">
        <v>1393</v>
      </c>
      <c r="E236" s="1237">
        <v>23362.489999999998</v>
      </c>
      <c r="F236" s="2393">
        <v>18365.3</v>
      </c>
      <c r="G236" s="1237" t="s">
        <v>942</v>
      </c>
      <c r="H236" s="777"/>
    </row>
    <row r="237" spans="1:8" ht="23" x14ac:dyDescent="0.25">
      <c r="A237" s="1238">
        <v>232</v>
      </c>
      <c r="B237" s="1031" t="s">
        <v>1394</v>
      </c>
      <c r="C237" s="1241"/>
      <c r="D237" s="1247" t="s">
        <v>1395</v>
      </c>
      <c r="E237" s="1237">
        <v>-694.83000000000175</v>
      </c>
      <c r="F237" s="2392">
        <v>-700.08</v>
      </c>
      <c r="G237" s="1237" t="s">
        <v>942</v>
      </c>
      <c r="H237" s="777"/>
    </row>
    <row r="238" spans="1:8" ht="23" x14ac:dyDescent="0.25">
      <c r="A238" s="1238">
        <v>233</v>
      </c>
      <c r="B238" s="1031" t="s">
        <v>1396</v>
      </c>
      <c r="C238" s="1241"/>
      <c r="D238" s="1247" t="s">
        <v>1397</v>
      </c>
      <c r="E238" s="1237">
        <v>30309.980000000003</v>
      </c>
      <c r="F238" s="2393">
        <v>6072.73</v>
      </c>
      <c r="G238" s="1237" t="s">
        <v>942</v>
      </c>
      <c r="H238" s="777"/>
    </row>
    <row r="239" spans="1:8" ht="23" x14ac:dyDescent="0.25">
      <c r="A239" s="1238">
        <v>234</v>
      </c>
      <c r="B239" s="1031" t="s">
        <v>1398</v>
      </c>
      <c r="C239" s="1241"/>
      <c r="D239" s="1247" t="s">
        <v>1388</v>
      </c>
      <c r="E239" s="1237">
        <v>11819.86</v>
      </c>
      <c r="F239" s="2392">
        <v>-855.09</v>
      </c>
      <c r="G239" s="1237" t="s">
        <v>942</v>
      </c>
      <c r="H239" s="777"/>
    </row>
    <row r="240" spans="1:8" ht="23" x14ac:dyDescent="0.25">
      <c r="A240" s="1238">
        <v>235</v>
      </c>
      <c r="B240" s="1031" t="s">
        <v>1399</v>
      </c>
      <c r="C240" s="1241"/>
      <c r="D240" s="1247" t="s">
        <v>1400</v>
      </c>
      <c r="E240" s="1237">
        <v>14760.529999999999</v>
      </c>
      <c r="F240" s="2393">
        <v>9880.94</v>
      </c>
      <c r="G240" s="1237" t="s">
        <v>942</v>
      </c>
      <c r="H240" s="777"/>
    </row>
    <row r="241" spans="1:8" ht="23" x14ac:dyDescent="0.25">
      <c r="A241" s="1238">
        <v>236</v>
      </c>
      <c r="B241" s="1031" t="s">
        <v>1401</v>
      </c>
      <c r="C241" s="1241"/>
      <c r="D241" s="1247" t="s">
        <v>1402</v>
      </c>
      <c r="E241" s="1237">
        <v>70069.679999999993</v>
      </c>
      <c r="F241" s="2393">
        <v>73253.03</v>
      </c>
      <c r="G241" s="1237" t="s">
        <v>942</v>
      </c>
      <c r="H241" s="777"/>
    </row>
    <row r="242" spans="1:8" ht="23" x14ac:dyDescent="0.25">
      <c r="A242" s="1238">
        <v>237</v>
      </c>
      <c r="B242" s="1031" t="s">
        <v>1403</v>
      </c>
      <c r="C242" s="1241"/>
      <c r="D242" s="1247" t="s">
        <v>1404</v>
      </c>
      <c r="E242" s="1237">
        <v>77494.06</v>
      </c>
      <c r="F242" s="2393">
        <v>16732.13</v>
      </c>
      <c r="G242" s="1237" t="s">
        <v>942</v>
      </c>
      <c r="H242" s="777"/>
    </row>
    <row r="243" spans="1:8" ht="34.5" x14ac:dyDescent="0.25">
      <c r="A243" s="1238">
        <v>238</v>
      </c>
      <c r="B243" s="1031" t="s">
        <v>1405</v>
      </c>
      <c r="C243" s="1241"/>
      <c r="D243" s="1247" t="s">
        <v>1406</v>
      </c>
      <c r="E243" s="1237">
        <v>55273.98</v>
      </c>
      <c r="F243" s="2393">
        <v>24609.43</v>
      </c>
      <c r="G243" s="1237" t="s">
        <v>942</v>
      </c>
      <c r="H243" s="777"/>
    </row>
    <row r="244" spans="1:8" ht="23" x14ac:dyDescent="0.25">
      <c r="A244" s="1238">
        <v>239</v>
      </c>
      <c r="B244" s="1031" t="s">
        <v>1407</v>
      </c>
      <c r="C244" s="1241"/>
      <c r="D244" s="1247" t="s">
        <v>1408</v>
      </c>
      <c r="E244" s="1237">
        <v>342012.69</v>
      </c>
      <c r="F244" s="2393">
        <v>3286</v>
      </c>
      <c r="G244" s="1237" t="s">
        <v>942</v>
      </c>
      <c r="H244" s="777"/>
    </row>
    <row r="245" spans="1:8" ht="34.5" x14ac:dyDescent="0.25">
      <c r="A245" s="1238">
        <v>240</v>
      </c>
      <c r="B245" s="1031" t="s">
        <v>1409</v>
      </c>
      <c r="C245" s="1241"/>
      <c r="D245" s="1247" t="s">
        <v>1410</v>
      </c>
      <c r="E245" s="1237">
        <v>-15362.33</v>
      </c>
      <c r="F245" s="2393">
        <v>-1024</v>
      </c>
      <c r="G245" s="1237" t="s">
        <v>942</v>
      </c>
      <c r="H245" s="777"/>
    </row>
    <row r="246" spans="1:8" ht="23" x14ac:dyDescent="0.25">
      <c r="A246" s="1238">
        <v>241</v>
      </c>
      <c r="B246" s="1031" t="s">
        <v>1411</v>
      </c>
      <c r="C246" s="1241"/>
      <c r="D246" s="1247" t="s">
        <v>1408</v>
      </c>
      <c r="E246" s="1237">
        <v>7972.8</v>
      </c>
      <c r="F246" s="2393">
        <v>7958.49</v>
      </c>
      <c r="G246" s="1237" t="s">
        <v>942</v>
      </c>
      <c r="H246" s="777"/>
    </row>
    <row r="247" spans="1:8" ht="23" x14ac:dyDescent="0.25">
      <c r="A247" s="1238">
        <v>242</v>
      </c>
      <c r="B247" s="1031" t="s">
        <v>1412</v>
      </c>
      <c r="C247" s="1241"/>
      <c r="D247" s="1247" t="s">
        <v>1413</v>
      </c>
      <c r="E247" s="1237">
        <v>19702.759999999998</v>
      </c>
      <c r="F247" s="2393">
        <v>1117.25</v>
      </c>
      <c r="G247" s="1237" t="s">
        <v>942</v>
      </c>
      <c r="H247" s="777"/>
    </row>
    <row r="248" spans="1:8" ht="34.5" x14ac:dyDescent="0.25">
      <c r="A248" s="1238">
        <v>243</v>
      </c>
      <c r="B248" s="1031" t="s">
        <v>1414</v>
      </c>
      <c r="C248" s="1241"/>
      <c r="D248" s="1247" t="s">
        <v>952</v>
      </c>
      <c r="E248" s="1237">
        <v>23804</v>
      </c>
      <c r="F248" s="2393">
        <v>4116</v>
      </c>
      <c r="G248" s="1237" t="s">
        <v>942</v>
      </c>
      <c r="H248" s="777"/>
    </row>
    <row r="249" spans="1:8" ht="23" x14ac:dyDescent="0.25">
      <c r="A249" s="1238">
        <v>244</v>
      </c>
      <c r="B249" s="1031" t="s">
        <v>1415</v>
      </c>
      <c r="C249" s="1241"/>
      <c r="D249" s="1247" t="s">
        <v>952</v>
      </c>
      <c r="E249" s="1237">
        <v>-5219.6000000000004</v>
      </c>
      <c r="F249" s="2393">
        <v>-5219.6000000000004</v>
      </c>
      <c r="G249" s="1237" t="s">
        <v>942</v>
      </c>
      <c r="H249" s="777"/>
    </row>
    <row r="250" spans="1:8" ht="23" x14ac:dyDescent="0.25">
      <c r="A250" s="1238">
        <v>245</v>
      </c>
      <c r="B250" s="1031" t="s">
        <v>1416</v>
      </c>
      <c r="C250" s="1241"/>
      <c r="D250" s="1247" t="s">
        <v>1417</v>
      </c>
      <c r="E250" s="1237">
        <v>9828.56</v>
      </c>
      <c r="F250" s="2393">
        <v>8279.7999999999993</v>
      </c>
      <c r="G250" s="1237" t="s">
        <v>942</v>
      </c>
      <c r="H250" s="777"/>
    </row>
    <row r="251" spans="1:8" ht="23" x14ac:dyDescent="0.25">
      <c r="A251" s="1238">
        <v>246</v>
      </c>
      <c r="B251" s="1031" t="s">
        <v>1418</v>
      </c>
      <c r="C251" s="1241"/>
      <c r="D251" s="1247" t="s">
        <v>1419</v>
      </c>
      <c r="E251" s="1237">
        <v>28708.939999999995</v>
      </c>
      <c r="F251" s="2393">
        <v>28708.94</v>
      </c>
      <c r="G251" s="1237" t="s">
        <v>1027</v>
      </c>
      <c r="H251" s="777"/>
    </row>
    <row r="252" spans="1:8" ht="23" x14ac:dyDescent="0.25">
      <c r="A252" s="1238">
        <v>247</v>
      </c>
      <c r="B252" s="1031" t="s">
        <v>1420</v>
      </c>
      <c r="C252" s="1241"/>
      <c r="D252" s="1247" t="s">
        <v>1421</v>
      </c>
      <c r="E252" s="1237">
        <v>35189.259999999995</v>
      </c>
      <c r="F252" s="2393">
        <v>35189.25</v>
      </c>
      <c r="G252" s="1237" t="s">
        <v>1027</v>
      </c>
      <c r="H252" s="777"/>
    </row>
    <row r="253" spans="1:8" ht="23" x14ac:dyDescent="0.25">
      <c r="A253" s="1238">
        <v>248</v>
      </c>
      <c r="B253" s="1031" t="s">
        <v>1422</v>
      </c>
      <c r="C253" s="1241"/>
      <c r="D253" s="1247" t="s">
        <v>1423</v>
      </c>
      <c r="E253" s="1237">
        <v>2293.9999999999991</v>
      </c>
      <c r="F253" s="2393">
        <v>2294</v>
      </c>
      <c r="G253" s="1237" t="s">
        <v>1027</v>
      </c>
      <c r="H253" s="777"/>
    </row>
    <row r="254" spans="1:8" x14ac:dyDescent="0.25">
      <c r="A254" s="1238">
        <v>249</v>
      </c>
      <c r="B254" s="1031" t="s">
        <v>1424</v>
      </c>
      <c r="C254" s="1241"/>
      <c r="D254" s="1247" t="s">
        <v>1425</v>
      </c>
      <c r="E254" s="1237">
        <v>592056.56999999995</v>
      </c>
      <c r="F254" s="2393">
        <v>52623.35</v>
      </c>
      <c r="G254" s="1237" t="s">
        <v>942</v>
      </c>
      <c r="H254" s="777"/>
    </row>
    <row r="255" spans="1:8" x14ac:dyDescent="0.25">
      <c r="A255" s="1238">
        <v>250</v>
      </c>
      <c r="B255" s="1031" t="s">
        <v>1426</v>
      </c>
      <c r="C255" s="1241"/>
      <c r="D255" s="1247" t="s">
        <v>1427</v>
      </c>
      <c r="E255" s="1237">
        <v>110097</v>
      </c>
      <c r="F255" s="2393">
        <v>118210.5</v>
      </c>
      <c r="G255" s="1237" t="s">
        <v>1027</v>
      </c>
      <c r="H255" s="777"/>
    </row>
    <row r="256" spans="1:8" x14ac:dyDescent="0.25">
      <c r="A256" s="1238">
        <v>251</v>
      </c>
      <c r="B256" s="1031" t="s">
        <v>1428</v>
      </c>
      <c r="C256" s="1241"/>
      <c r="D256" s="1247" t="s">
        <v>1429</v>
      </c>
      <c r="E256" s="1237">
        <v>37990.53</v>
      </c>
      <c r="F256" s="2393">
        <v>28696.12</v>
      </c>
      <c r="G256" s="1237" t="s">
        <v>942</v>
      </c>
      <c r="H256" s="777"/>
    </row>
    <row r="257" spans="1:8" x14ac:dyDescent="0.25">
      <c r="A257" s="1238">
        <v>252</v>
      </c>
      <c r="B257" s="1031" t="s">
        <v>1424</v>
      </c>
      <c r="C257" s="1241"/>
      <c r="D257" s="1247" t="s">
        <v>1378</v>
      </c>
      <c r="E257" s="1237">
        <v>170952.31</v>
      </c>
      <c r="F257" s="2393">
        <v>179428.4</v>
      </c>
      <c r="G257" s="1237" t="s">
        <v>1027</v>
      </c>
      <c r="H257" s="777"/>
    </row>
    <row r="258" spans="1:8" x14ac:dyDescent="0.25">
      <c r="A258" s="1238">
        <v>253</v>
      </c>
      <c r="B258" s="1031" t="s">
        <v>1430</v>
      </c>
      <c r="C258" s="1241"/>
      <c r="D258" s="1247" t="s">
        <v>1431</v>
      </c>
      <c r="E258" s="1237">
        <v>104576.79</v>
      </c>
      <c r="F258" s="2393">
        <v>3035.73</v>
      </c>
      <c r="G258" s="1237" t="s">
        <v>1027</v>
      </c>
      <c r="H258" s="777"/>
    </row>
    <row r="259" spans="1:8" ht="23" x14ac:dyDescent="0.25">
      <c r="A259" s="1238">
        <v>254</v>
      </c>
      <c r="B259" s="1028" t="s">
        <v>1432</v>
      </c>
      <c r="C259" s="1235"/>
      <c r="D259" s="1239" t="s">
        <v>1433</v>
      </c>
      <c r="E259" s="1237">
        <v>4161147.4</v>
      </c>
      <c r="F259" s="2393">
        <v>-1520</v>
      </c>
      <c r="G259" s="1237" t="s">
        <v>1027</v>
      </c>
      <c r="H259" s="777"/>
    </row>
    <row r="260" spans="1:8" ht="34.5" x14ac:dyDescent="0.25">
      <c r="A260" s="1238">
        <v>255</v>
      </c>
      <c r="B260" s="1028" t="s">
        <v>1434</v>
      </c>
      <c r="C260" s="1235"/>
      <c r="D260" s="1239" t="s">
        <v>1435</v>
      </c>
      <c r="E260" s="1237">
        <v>74249.119999999995</v>
      </c>
      <c r="F260" s="2393">
        <v>79388.990000000005</v>
      </c>
      <c r="G260" s="1237" t="s">
        <v>1027</v>
      </c>
      <c r="H260" s="777"/>
    </row>
    <row r="261" spans="1:8" ht="23" x14ac:dyDescent="0.25">
      <c r="A261" s="1238">
        <v>256</v>
      </c>
      <c r="B261" s="1028" t="s">
        <v>1436</v>
      </c>
      <c r="C261" s="1235"/>
      <c r="D261" s="1239" t="s">
        <v>1437</v>
      </c>
      <c r="E261" s="1237">
        <v>334221.96000000002</v>
      </c>
      <c r="F261" s="2393">
        <v>335356.46999999997</v>
      </c>
      <c r="G261" s="1237" t="s">
        <v>942</v>
      </c>
      <c r="H261" s="777"/>
    </row>
    <row r="262" spans="1:8" ht="23" x14ac:dyDescent="0.25">
      <c r="A262" s="1238">
        <v>257</v>
      </c>
      <c r="B262" s="1028" t="s">
        <v>1438</v>
      </c>
      <c r="C262" s="1235"/>
      <c r="D262" s="1239" t="s">
        <v>1439</v>
      </c>
      <c r="E262" s="1237">
        <v>358604.32</v>
      </c>
      <c r="F262" s="2393">
        <v>359276.23</v>
      </c>
      <c r="G262" s="1237" t="s">
        <v>1027</v>
      </c>
      <c r="H262" s="777"/>
    </row>
    <row r="263" spans="1:8" ht="23" x14ac:dyDescent="0.25">
      <c r="A263" s="1238">
        <v>258</v>
      </c>
      <c r="B263" s="1028" t="s">
        <v>1440</v>
      </c>
      <c r="C263" s="1235"/>
      <c r="D263" s="1239" t="s">
        <v>1441</v>
      </c>
      <c r="E263" s="1237">
        <v>-5526.929999999993</v>
      </c>
      <c r="F263" s="2393">
        <v>19188.849999999999</v>
      </c>
      <c r="G263" s="1237" t="s">
        <v>942</v>
      </c>
      <c r="H263" s="777"/>
    </row>
    <row r="264" spans="1:8" ht="23" x14ac:dyDescent="0.25">
      <c r="A264" s="1238">
        <v>259</v>
      </c>
      <c r="B264" s="1028" t="s">
        <v>1442</v>
      </c>
      <c r="C264" s="1235"/>
      <c r="D264" s="1239" t="s">
        <v>1171</v>
      </c>
      <c r="E264" s="1237">
        <v>316216.49</v>
      </c>
      <c r="F264" s="2393">
        <v>316216.49</v>
      </c>
      <c r="G264" s="1237" t="s">
        <v>942</v>
      </c>
      <c r="H264" s="777"/>
    </row>
    <row r="265" spans="1:8" ht="34.5" x14ac:dyDescent="0.25">
      <c r="A265" s="1238">
        <v>260</v>
      </c>
      <c r="B265" s="1028" t="s">
        <v>1443</v>
      </c>
      <c r="C265" s="1235"/>
      <c r="D265" s="1239" t="s">
        <v>1444</v>
      </c>
      <c r="E265" s="1237">
        <v>95122.44</v>
      </c>
      <c r="F265" s="2392">
        <v>591.41</v>
      </c>
      <c r="G265" s="1237" t="s">
        <v>1027</v>
      </c>
      <c r="H265" s="777"/>
    </row>
    <row r="266" spans="1:8" ht="34.5" x14ac:dyDescent="0.25">
      <c r="A266" s="1238">
        <v>261</v>
      </c>
      <c r="B266" s="1028" t="s">
        <v>1445</v>
      </c>
      <c r="C266" s="1235"/>
      <c r="D266" s="1239" t="s">
        <v>1446</v>
      </c>
      <c r="E266" s="1237">
        <v>9149.16</v>
      </c>
      <c r="F266" s="2393">
        <v>7898</v>
      </c>
      <c r="G266" s="1237" t="s">
        <v>1027</v>
      </c>
      <c r="H266" s="777"/>
    </row>
    <row r="267" spans="1:8" ht="23" x14ac:dyDescent="0.25">
      <c r="A267" s="1238">
        <v>262</v>
      </c>
      <c r="B267" s="1028" t="s">
        <v>1447</v>
      </c>
      <c r="C267" s="1235"/>
      <c r="D267" s="1239" t="s">
        <v>1448</v>
      </c>
      <c r="E267" s="1237">
        <v>-7179.4</v>
      </c>
      <c r="F267" s="2393">
        <v>-5073.9399999999996</v>
      </c>
      <c r="G267" s="1237" t="s">
        <v>1027</v>
      </c>
      <c r="H267" s="777"/>
    </row>
    <row r="268" spans="1:8" ht="23" x14ac:dyDescent="0.25">
      <c r="A268" s="1238">
        <v>263</v>
      </c>
      <c r="B268" s="1028" t="s">
        <v>1449</v>
      </c>
      <c r="C268" s="1235"/>
      <c r="D268" s="1239" t="s">
        <v>1300</v>
      </c>
      <c r="E268" s="1237">
        <v>3271.53</v>
      </c>
      <c r="F268" s="2393">
        <v>8407.0300000000007</v>
      </c>
      <c r="G268" s="1237" t="s">
        <v>1027</v>
      </c>
      <c r="H268" s="777"/>
    </row>
    <row r="269" spans="1:8" x14ac:dyDescent="0.25">
      <c r="A269" s="1238">
        <v>264</v>
      </c>
      <c r="B269" s="1031" t="s">
        <v>1428</v>
      </c>
      <c r="C269" s="1241"/>
      <c r="D269" s="1247" t="s">
        <v>1450</v>
      </c>
      <c r="E269" s="1237">
        <v>204689.56</v>
      </c>
      <c r="F269" s="2393">
        <v>194169.64</v>
      </c>
      <c r="G269" s="1237" t="s">
        <v>1027</v>
      </c>
      <c r="H269" s="777"/>
    </row>
    <row r="270" spans="1:8" x14ac:dyDescent="0.25">
      <c r="A270" s="1238">
        <v>265</v>
      </c>
      <c r="B270" s="1031" t="s">
        <v>1428</v>
      </c>
      <c r="C270" s="1241"/>
      <c r="D270" s="1247" t="s">
        <v>1451</v>
      </c>
      <c r="E270" s="1237">
        <v>62935.339999999989</v>
      </c>
      <c r="F270" s="2393">
        <v>8521.08</v>
      </c>
      <c r="G270" s="1237" t="s">
        <v>1027</v>
      </c>
      <c r="H270" s="777"/>
    </row>
    <row r="271" spans="1:8" x14ac:dyDescent="0.25">
      <c r="A271" s="1238">
        <v>266</v>
      </c>
      <c r="B271" s="1031" t="s">
        <v>1452</v>
      </c>
      <c r="C271" s="1241"/>
      <c r="D271" s="1247" t="s">
        <v>1453</v>
      </c>
      <c r="E271" s="1237">
        <v>79119.69</v>
      </c>
      <c r="F271" s="2393">
        <v>-3107.41</v>
      </c>
      <c r="G271" s="1237" t="s">
        <v>1027</v>
      </c>
      <c r="H271" s="777"/>
    </row>
    <row r="272" spans="1:8" x14ac:dyDescent="0.25">
      <c r="A272" s="1238">
        <v>267</v>
      </c>
      <c r="B272" s="1031" t="s">
        <v>1454</v>
      </c>
      <c r="C272" s="1241"/>
      <c r="D272" s="1247" t="s">
        <v>1033</v>
      </c>
      <c r="E272" s="1237">
        <v>7715.27</v>
      </c>
      <c r="F272" s="2393">
        <v>4161.79</v>
      </c>
      <c r="G272" s="1237" t="s">
        <v>1027</v>
      </c>
      <c r="H272" s="777"/>
    </row>
    <row r="273" spans="1:8" x14ac:dyDescent="0.25">
      <c r="A273" s="1238">
        <v>268</v>
      </c>
      <c r="B273" s="1031" t="s">
        <v>9661</v>
      </c>
      <c r="C273" s="1241"/>
      <c r="D273" s="1247" t="s">
        <v>1455</v>
      </c>
      <c r="E273" s="1237">
        <v>630719.09</v>
      </c>
      <c r="F273" s="2393">
        <v>54353.45</v>
      </c>
      <c r="G273" s="1237" t="s">
        <v>1027</v>
      </c>
      <c r="H273" s="777"/>
    </row>
    <row r="274" spans="1:8" x14ac:dyDescent="0.25">
      <c r="A274" s="1238">
        <v>269</v>
      </c>
      <c r="B274" s="1031" t="s">
        <v>1456</v>
      </c>
      <c r="C274" s="1241"/>
      <c r="D274" s="1247" t="s">
        <v>1457</v>
      </c>
      <c r="E274" s="1237">
        <v>9531.3799999999992</v>
      </c>
      <c r="F274" s="2393">
        <v>2250</v>
      </c>
      <c r="G274" s="1237" t="s">
        <v>1027</v>
      </c>
      <c r="H274" s="777"/>
    </row>
    <row r="275" spans="1:8" ht="23" x14ac:dyDescent="0.25">
      <c r="A275" s="1238">
        <v>270</v>
      </c>
      <c r="B275" s="1031" t="s">
        <v>1458</v>
      </c>
      <c r="C275" s="1241"/>
      <c r="D275" s="1247" t="s">
        <v>1459</v>
      </c>
      <c r="E275" s="1237">
        <v>2513.9999999999982</v>
      </c>
      <c r="F275" s="2393">
        <v>2514</v>
      </c>
      <c r="G275" s="1237" t="s">
        <v>1027</v>
      </c>
      <c r="H275" s="777"/>
    </row>
    <row r="276" spans="1:8" ht="34.5" x14ac:dyDescent="0.25">
      <c r="A276" s="1238">
        <v>271</v>
      </c>
      <c r="B276" s="1031" t="s">
        <v>1460</v>
      </c>
      <c r="C276" s="1241"/>
      <c r="D276" s="1247" t="s">
        <v>1461</v>
      </c>
      <c r="E276" s="1237">
        <v>22493.75</v>
      </c>
      <c r="F276" s="2393">
        <v>24462.75</v>
      </c>
      <c r="G276" s="1237" t="s">
        <v>942</v>
      </c>
      <c r="H276" s="777"/>
    </row>
    <row r="277" spans="1:8" ht="23" x14ac:dyDescent="0.25">
      <c r="A277" s="1238">
        <v>272</v>
      </c>
      <c r="B277" s="1031" t="s">
        <v>1462</v>
      </c>
      <c r="C277" s="1241"/>
      <c r="D277" s="1247" t="s">
        <v>1463</v>
      </c>
      <c r="E277" s="1237">
        <v>-6966.91</v>
      </c>
      <c r="F277" s="2393">
        <v>-6975.66</v>
      </c>
      <c r="G277" s="1237" t="s">
        <v>942</v>
      </c>
      <c r="H277" s="777"/>
    </row>
    <row r="278" spans="1:8" ht="23" x14ac:dyDescent="0.25">
      <c r="A278" s="1238">
        <v>273</v>
      </c>
      <c r="B278" s="1031" t="s">
        <v>1464</v>
      </c>
      <c r="C278" s="1241"/>
      <c r="D278" s="1247" t="s">
        <v>1465</v>
      </c>
      <c r="E278" s="1237">
        <v>259154.05</v>
      </c>
      <c r="F278" s="2393">
        <v>79543.5</v>
      </c>
      <c r="G278" s="1237" t="s">
        <v>1027</v>
      </c>
      <c r="H278" s="777"/>
    </row>
  </sheetData>
  <phoneticPr fontId="58" type="noConversion"/>
  <pageMargins left="0.19685039370078741" right="0.19685039370078741" top="0.19685039370078741" bottom="0.19685039370078741" header="0" footer="0"/>
  <pageSetup paperSize="8" orientation="portrait"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play_Test_case">
                <anchor moveWithCells="1" sizeWithCells="1">
                  <from>
                    <xdr:col>3</xdr:col>
                    <xdr:colOff>146050</xdr:colOff>
                    <xdr:row>1</xdr:row>
                    <xdr:rowOff>38100</xdr:rowOff>
                  </from>
                  <to>
                    <xdr:col>3</xdr:col>
                    <xdr:colOff>1936750</xdr:colOff>
                    <xdr:row>3</xdr:row>
                    <xdr:rowOff>114300</xdr:rowOff>
                  </to>
                </anchor>
              </controlPr>
            </control>
          </mc:Choice>
        </mc:AlternateContent>
        <mc:AlternateContent xmlns:mc="http://schemas.openxmlformats.org/markup-compatibility/2006">
          <mc:Choice Requires="x14">
            <control shapeId="45059" r:id="rId5" name="Button 3">
              <controlPr defaultSize="0" print="0" autoFill="0" autoPict="0" macro="[0]!reset_test_selection">
                <anchor moveWithCells="1">
                  <from>
                    <xdr:col>3</xdr:col>
                    <xdr:colOff>2051050</xdr:colOff>
                    <xdr:row>1</xdr:row>
                    <xdr:rowOff>69850</xdr:rowOff>
                  </from>
                  <to>
                    <xdr:col>4</xdr:col>
                    <xdr:colOff>609600</xdr:colOff>
                    <xdr:row>3</xdr:row>
                    <xdr:rowOff>50800</xdr:rowOff>
                  </to>
                </anchor>
              </controlPr>
            </control>
          </mc:Choice>
        </mc:AlternateContent>
        <mc:AlternateContent xmlns:mc="http://schemas.openxmlformats.org/markup-compatibility/2006">
          <mc:Choice Requires="x14">
            <control shapeId="45060" r:id="rId6" name="Button 4">
              <controlPr defaultSize="0" print="0" autoFill="0" autoPict="0" macro="[0]!Show_hide_components">
                <anchor moveWithCells="1">
                  <from>
                    <xdr:col>1</xdr:col>
                    <xdr:colOff>1428750</xdr:colOff>
                    <xdr:row>1</xdr:row>
                    <xdr:rowOff>95250</xdr:rowOff>
                  </from>
                  <to>
                    <xdr:col>1</xdr:col>
                    <xdr:colOff>3124200</xdr:colOff>
                    <xdr:row>3</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M34"/>
  <sheetViews>
    <sheetView showGridLines="0" topLeftCell="B1" zoomScaleNormal="100" workbookViewId="0">
      <selection activeCell="I31" sqref="I31"/>
    </sheetView>
  </sheetViews>
  <sheetFormatPr defaultColWidth="9.1796875" defaultRowHeight="11.5" x14ac:dyDescent="0.25"/>
  <cols>
    <col min="1" max="1" width="9.1796875" style="39" hidden="1" customWidth="1"/>
    <col min="2" max="2" width="2.54296875" style="39" customWidth="1"/>
    <col min="3" max="4" width="21.54296875" style="39" customWidth="1"/>
    <col min="5" max="6" width="12.453125" style="39" customWidth="1"/>
    <col min="7" max="7" width="18.1796875" style="39" customWidth="1"/>
    <col min="8" max="8" width="12.453125" style="39" customWidth="1"/>
    <col min="9" max="19" width="10.54296875" style="39" customWidth="1"/>
    <col min="20" max="16384" width="9.1796875" style="39"/>
  </cols>
  <sheetData>
    <row r="1" spans="1:13" ht="12" customHeight="1" x14ac:dyDescent="0.25">
      <c r="A1" s="8" t="s">
        <v>1466</v>
      </c>
      <c r="B1" s="17"/>
      <c r="C1" s="17"/>
      <c r="D1" s="102" t="s">
        <v>1467</v>
      </c>
      <c r="E1" s="17"/>
      <c r="F1" s="17"/>
      <c r="G1" s="17"/>
      <c r="H1" s="17"/>
      <c r="I1" s="17"/>
      <c r="J1" s="17"/>
      <c r="K1" s="17"/>
      <c r="L1" s="17"/>
      <c r="M1" s="17"/>
    </row>
    <row r="2" spans="1:13" ht="12" customHeight="1" x14ac:dyDescent="0.25">
      <c r="A2" s="8">
        <v>1</v>
      </c>
      <c r="B2" s="17"/>
      <c r="C2" s="1256" t="s">
        <v>1468</v>
      </c>
      <c r="D2" s="1257"/>
      <c r="E2" s="1257"/>
      <c r="F2" s="1257"/>
      <c r="G2" s="1257"/>
      <c r="H2" s="1257"/>
      <c r="I2" s="1258"/>
      <c r="J2" s="17"/>
      <c r="K2" s="17"/>
      <c r="L2" s="17"/>
      <c r="M2" s="17"/>
    </row>
    <row r="3" spans="1:13" ht="12" customHeight="1" x14ac:dyDescent="0.25">
      <c r="A3" s="8">
        <v>2</v>
      </c>
      <c r="B3" s="17"/>
      <c r="C3" s="638"/>
      <c r="D3" s="17"/>
      <c r="E3" s="17"/>
      <c r="F3" s="17"/>
      <c r="G3" s="17"/>
      <c r="H3" s="17"/>
      <c r="I3" s="92"/>
      <c r="J3" s="17"/>
      <c r="K3" s="17"/>
      <c r="L3" s="17"/>
      <c r="M3" s="17"/>
    </row>
    <row r="4" spans="1:13" ht="12" customHeight="1" x14ac:dyDescent="0.25">
      <c r="A4" s="8">
        <v>3</v>
      </c>
      <c r="B4" s="17"/>
      <c r="C4" s="639" t="s">
        <v>1469</v>
      </c>
      <c r="D4" s="17"/>
      <c r="E4" s="21" t="s">
        <v>1470</v>
      </c>
      <c r="F4" s="1259">
        <v>168</v>
      </c>
      <c r="G4" s="21" t="str">
        <f>'REL(2)'!C50&amp;" ("&amp;FIN&amp;'REL(2)'!C52&amp;")"</f>
        <v>Tax refunded (FIN1)</v>
      </c>
      <c r="H4" s="1260"/>
      <c r="I4" s="92"/>
      <c r="J4" s="17"/>
      <c r="K4" s="17"/>
      <c r="L4" s="17"/>
      <c r="M4" s="17"/>
    </row>
    <row r="5" spans="1:13" ht="12" customHeight="1" x14ac:dyDescent="0.25">
      <c r="A5" s="8">
        <v>4</v>
      </c>
      <c r="B5" s="17"/>
      <c r="C5" s="638"/>
      <c r="D5" s="17"/>
      <c r="E5" s="17"/>
      <c r="F5" s="17"/>
      <c r="G5" s="17"/>
      <c r="H5" s="17"/>
      <c r="I5" s="92"/>
      <c r="J5" s="17"/>
      <c r="K5" s="17"/>
      <c r="L5" s="17"/>
      <c r="M5" s="17"/>
    </row>
    <row r="6" spans="1:13" ht="12" customHeight="1" x14ac:dyDescent="0.25">
      <c r="A6" s="8">
        <v>5</v>
      </c>
      <c r="B6" s="17"/>
      <c r="C6" s="640" t="s">
        <v>1471</v>
      </c>
      <c r="D6" s="17"/>
      <c r="E6" s="17"/>
      <c r="F6" s="17"/>
      <c r="G6" s="17"/>
      <c r="H6" s="17"/>
      <c r="I6" s="92"/>
      <c r="J6" s="17"/>
      <c r="K6" s="17"/>
      <c r="L6" s="17"/>
      <c r="M6" s="17"/>
    </row>
    <row r="7" spans="1:13" ht="12" customHeight="1" x14ac:dyDescent="0.25">
      <c r="A7" s="8">
        <v>6</v>
      </c>
      <c r="B7" s="17"/>
      <c r="C7" s="641" t="s">
        <v>1472</v>
      </c>
      <c r="D7" s="17"/>
      <c r="E7" s="21" t="s">
        <v>1473</v>
      </c>
      <c r="F7" s="17"/>
      <c r="G7" s="21" t="s">
        <v>1474</v>
      </c>
      <c r="H7" s="17"/>
      <c r="I7" s="92"/>
      <c r="J7" s="17"/>
      <c r="K7" s="17"/>
      <c r="L7" s="17"/>
      <c r="M7" s="17"/>
    </row>
    <row r="8" spans="1:13" ht="12" customHeight="1" x14ac:dyDescent="0.25">
      <c r="A8" s="8">
        <v>7</v>
      </c>
      <c r="B8" s="17"/>
      <c r="C8" s="642" t="str">
        <f>C0!C11&amp;" ("&amp;C0!C12&amp;" to "&amp;C0!C18&amp;")"</f>
        <v>INC-A (INC1 to INC7)</v>
      </c>
      <c r="D8" s="17"/>
      <c r="E8" s="114" t="str">
        <f>C0!C20&amp;" ("&amp;C0!C21&amp;" to "&amp;C0!C28&amp;")"</f>
        <v>INC-B (INC8 to INC15)</v>
      </c>
      <c r="F8" s="17"/>
      <c r="G8" s="114" t="str">
        <f>C0!C31&amp;" ("&amp;C0!C32&amp;" to "&amp;C0!C36&amp;")"</f>
        <v>INC-C (INC17 to INC21)</v>
      </c>
      <c r="H8" s="17"/>
      <c r="I8" s="92"/>
      <c r="J8" s="17"/>
      <c r="K8" s="17"/>
      <c r="L8" s="17"/>
      <c r="M8" s="17"/>
    </row>
    <row r="9" spans="1:13" ht="12" customHeight="1" x14ac:dyDescent="0.25">
      <c r="A9" s="8">
        <v>8</v>
      </c>
      <c r="B9" s="17"/>
      <c r="C9" s="638"/>
      <c r="D9" s="17"/>
      <c r="E9" s="21"/>
      <c r="F9" s="17"/>
      <c r="G9" s="21"/>
      <c r="H9" s="17"/>
      <c r="I9" s="92"/>
      <c r="J9" s="17"/>
      <c r="K9" s="17"/>
      <c r="L9" s="17"/>
      <c r="M9" s="17"/>
    </row>
    <row r="10" spans="1:13" ht="12" customHeight="1" x14ac:dyDescent="0.25">
      <c r="A10" s="8">
        <v>9</v>
      </c>
      <c r="B10" s="17"/>
      <c r="C10" s="640" t="s">
        <v>1475</v>
      </c>
      <c r="D10" s="17"/>
      <c r="E10" s="21"/>
      <c r="F10" s="17"/>
      <c r="G10" s="21"/>
      <c r="H10" s="17"/>
      <c r="I10" s="92"/>
      <c r="J10" s="17"/>
      <c r="K10" s="17"/>
      <c r="L10" s="17"/>
      <c r="M10" s="17"/>
    </row>
    <row r="11" spans="1:13" ht="12" customHeight="1" x14ac:dyDescent="0.25">
      <c r="A11" s="8">
        <v>10</v>
      </c>
      <c r="B11" s="17"/>
      <c r="C11" s="641" t="s">
        <v>1476</v>
      </c>
      <c r="D11" s="17"/>
      <c r="E11" s="21" t="s">
        <v>1477</v>
      </c>
      <c r="F11" s="17"/>
      <c r="G11" s="21" t="s">
        <v>353</v>
      </c>
      <c r="H11" s="17"/>
      <c r="I11" s="92"/>
      <c r="J11" s="17"/>
      <c r="K11" s="17"/>
      <c r="L11" s="17"/>
      <c r="M11" s="17"/>
    </row>
    <row r="12" spans="1:13" ht="12" customHeight="1" x14ac:dyDescent="0.25">
      <c r="A12" s="8">
        <v>11</v>
      </c>
      <c r="B12" s="17"/>
      <c r="C12" s="642" t="str">
        <f>C0!C38&amp;" ("&amp;C0!C39&amp;" to "&amp;C0!C43&amp;")"</f>
        <v>REL-A (REL1 to REL4)</v>
      </c>
      <c r="D12" s="17"/>
      <c r="E12" s="114" t="str">
        <f>C0!C45&amp;" ("&amp;C0!C46&amp;" to "&amp;C0!C51&amp;")"</f>
        <v>REL-B (REL5 to REL10)</v>
      </c>
      <c r="F12" s="17"/>
      <c r="G12" s="114" t="str">
        <f>C0!C53&amp;" ("&amp;C0!C54&amp;" to "&amp;C0!C57&amp;")"</f>
        <v>REL-C (REL13 to REL16)</v>
      </c>
      <c r="H12" s="17"/>
      <c r="I12" s="92"/>
      <c r="J12" s="111" t="str">
        <f>" Components are currently "&amp;IF(A34,"visible","hidden")</f>
        <v xml:space="preserve"> Components are currently hidden</v>
      </c>
      <c r="K12" s="17"/>
      <c r="L12" s="17"/>
      <c r="M12" s="17"/>
    </row>
    <row r="13" spans="1:13" ht="12" customHeight="1" x14ac:dyDescent="0.25">
      <c r="A13" s="8">
        <v>12</v>
      </c>
      <c r="B13" s="17"/>
      <c r="C13" s="638"/>
      <c r="D13" s="17"/>
      <c r="E13" s="21"/>
      <c r="F13" s="17"/>
      <c r="G13" s="21"/>
      <c r="H13" s="17"/>
      <c r="I13" s="92"/>
      <c r="J13" s="17"/>
      <c r="K13" s="17"/>
      <c r="L13" s="17"/>
      <c r="M13" s="17"/>
    </row>
    <row r="14" spans="1:13" ht="12" customHeight="1" x14ac:dyDescent="0.25">
      <c r="A14" s="8">
        <v>13</v>
      </c>
      <c r="B14" s="17"/>
      <c r="C14" s="640" t="s">
        <v>1478</v>
      </c>
      <c r="D14" s="17"/>
      <c r="E14" s="337" t="s">
        <v>1479</v>
      </c>
      <c r="F14" s="17"/>
      <c r="G14" s="81" t="s">
        <v>717</v>
      </c>
      <c r="H14" s="17"/>
      <c r="I14" s="92"/>
      <c r="J14" s="17"/>
      <c r="K14" s="17"/>
      <c r="L14" s="17"/>
      <c r="M14" s="17"/>
    </row>
    <row r="15" spans="1:13" ht="12" customHeight="1" x14ac:dyDescent="0.25">
      <c r="A15" s="8">
        <v>14</v>
      </c>
      <c r="B15" s="17"/>
      <c r="C15" s="641" t="s">
        <v>1478</v>
      </c>
      <c r="D15" s="17"/>
      <c r="E15" s="21" t="s">
        <v>1480</v>
      </c>
      <c r="F15" s="17"/>
      <c r="G15" s="21" t="s">
        <v>1481</v>
      </c>
      <c r="H15" s="17"/>
      <c r="I15" s="92"/>
      <c r="J15" s="17"/>
      <c r="K15" s="17"/>
      <c r="L15" s="17"/>
      <c r="M15" s="17"/>
    </row>
    <row r="16" spans="1:13" ht="12" customHeight="1" x14ac:dyDescent="0.25">
      <c r="A16" s="8">
        <v>15</v>
      </c>
      <c r="B16" s="17"/>
      <c r="C16" s="642" t="str">
        <f>C0!C59&amp;" ("&amp;C0!C63&amp;" to "&amp;C0!C60&amp;")"</f>
        <v>SLR (SLR2 to SLR1)</v>
      </c>
      <c r="D16" s="17"/>
      <c r="E16" s="114" t="str">
        <f>C0!C66&amp;" ("&amp;C0!C67&amp;" to "&amp;C0!C69&amp;")"</f>
        <v>CBC (CBC1 to CBC3)</v>
      </c>
      <c r="F16" s="17"/>
      <c r="G16" s="114" t="str">
        <f>C0!C74&amp;" ("&amp;C0!C75&amp;" to "&amp;C0!C80&amp;")"</f>
        <v>MAT (MAT1-5 to MAT5)</v>
      </c>
      <c r="H16" s="17"/>
      <c r="I16" s="92"/>
      <c r="J16" s="17"/>
      <c r="K16" s="17"/>
      <c r="L16" s="17"/>
      <c r="M16" s="17"/>
    </row>
    <row r="17" spans="1:13" ht="12" customHeight="1" x14ac:dyDescent="0.25">
      <c r="A17" s="8">
        <v>16</v>
      </c>
      <c r="B17" s="17"/>
      <c r="C17" s="1261"/>
      <c r="D17" s="1262"/>
      <c r="E17" s="1262"/>
      <c r="F17" s="1262"/>
      <c r="G17" s="1262"/>
      <c r="H17" s="1262"/>
      <c r="I17" s="1263"/>
      <c r="J17" s="17"/>
      <c r="K17" s="17"/>
      <c r="L17" s="17"/>
      <c r="M17" s="17"/>
    </row>
    <row r="18" spans="1:13" ht="12" customHeight="1" x14ac:dyDescent="0.25">
      <c r="A18" s="8">
        <v>17</v>
      </c>
      <c r="B18" s="17"/>
      <c r="C18" s="17"/>
      <c r="D18" s="17"/>
      <c r="E18" s="17"/>
      <c r="F18" s="17"/>
      <c r="G18" s="17"/>
      <c r="H18" s="17"/>
      <c r="I18" s="17"/>
      <c r="J18" s="17"/>
      <c r="K18" s="17"/>
      <c r="L18" s="17"/>
      <c r="M18" s="17"/>
    </row>
    <row r="19" spans="1:13" ht="12" customHeight="1" x14ac:dyDescent="0.25">
      <c r="A19" s="8">
        <v>18</v>
      </c>
      <c r="B19" s="17"/>
      <c r="C19" s="1256" t="s">
        <v>1482</v>
      </c>
      <c r="D19" s="1257"/>
      <c r="E19" s="1257"/>
      <c r="F19" s="1257"/>
      <c r="G19" s="1257"/>
      <c r="H19" s="1257"/>
      <c r="I19" s="1258"/>
      <c r="J19" s="17"/>
      <c r="K19" s="17"/>
      <c r="L19" s="17"/>
      <c r="M19" s="17"/>
    </row>
    <row r="20" spans="1:13" ht="12" customHeight="1" x14ac:dyDescent="0.25">
      <c r="A20" s="8">
        <v>19</v>
      </c>
      <c r="B20" s="17"/>
      <c r="C20" s="641" t="s">
        <v>1483</v>
      </c>
      <c r="D20" s="17"/>
      <c r="E20" s="21" t="s">
        <v>1484</v>
      </c>
      <c r="F20" s="17"/>
      <c r="G20" s="21" t="s">
        <v>1485</v>
      </c>
      <c r="H20" s="17"/>
      <c r="I20" s="92"/>
      <c r="J20" s="17"/>
      <c r="K20" s="17"/>
      <c r="L20" s="17"/>
      <c r="M20" s="17"/>
    </row>
    <row r="21" spans="1:13" ht="12" customHeight="1" x14ac:dyDescent="0.25">
      <c r="A21" s="8">
        <v>20</v>
      </c>
      <c r="B21" s="17"/>
      <c r="C21" s="642" t="str">
        <f>'C1'!C3&amp;" ("&amp;'C1'!C4&amp;" to "&amp;'C1'!C6&amp;")"</f>
        <v>AOI-A (AOI1 to AOI3)</v>
      </c>
      <c r="D21" s="17"/>
      <c r="E21" s="114" t="str">
        <f>'C1'!C9&amp;" ("&amp;'C1'!C10&amp;" to "&amp;'C1'!C17&amp;")"</f>
        <v>AOI-B (AOI4 to AOI11)</v>
      </c>
      <c r="F21" s="17"/>
      <c r="G21" s="114" t="str">
        <f>'C1'!C20&amp;" ("&amp;'C1'!C21&amp;" to "&amp;'C1'!C25&amp;")"</f>
        <v>AOI-C (AOI12 to AOI15)</v>
      </c>
      <c r="H21" s="17"/>
      <c r="I21" s="92"/>
      <c r="J21" s="17"/>
      <c r="K21" s="17"/>
      <c r="L21" s="17"/>
      <c r="M21" s="17"/>
    </row>
    <row r="22" spans="1:13" ht="12" customHeight="1" x14ac:dyDescent="0.25">
      <c r="A22" s="8"/>
      <c r="B22" s="17"/>
      <c r="C22" s="638"/>
      <c r="D22" s="17"/>
      <c r="E22" s="17"/>
      <c r="F22" s="17"/>
      <c r="G22" s="17"/>
      <c r="H22" s="17"/>
      <c r="I22" s="92"/>
      <c r="J22" s="17"/>
      <c r="K22" s="17"/>
      <c r="L22" s="17"/>
      <c r="M22" s="17"/>
    </row>
    <row r="23" spans="1:13" ht="12" customHeight="1" x14ac:dyDescent="0.25">
      <c r="A23" s="8" t="s">
        <v>1486</v>
      </c>
      <c r="B23" s="17"/>
      <c r="C23" s="641" t="str">
        <f>'C1'!C27</f>
        <v>Share schemes</v>
      </c>
      <c r="D23" s="17"/>
      <c r="E23" s="21" t="str">
        <f>'C1'!C31</f>
        <v>Lump Sums</v>
      </c>
      <c r="F23" s="17"/>
      <c r="G23" s="21" t="str">
        <f>'C1'!C42</f>
        <v>Other deductions</v>
      </c>
      <c r="H23" s="17"/>
      <c r="I23" s="92"/>
      <c r="J23" s="17"/>
      <c r="K23" s="17"/>
      <c r="L23" s="17"/>
      <c r="M23" s="17"/>
    </row>
    <row r="24" spans="1:13" ht="12" customHeight="1" x14ac:dyDescent="0.25">
      <c r="A24" s="1264">
        <v>7</v>
      </c>
      <c r="B24" s="17"/>
      <c r="C24" s="642" t="str">
        <f>'C1'!C28&amp;" ("&amp;'C1'!C29&amp;")"</f>
        <v>ASE-A (ASE1)</v>
      </c>
      <c r="D24" s="17"/>
      <c r="E24" s="114" t="str">
        <f>'C1'!C32&amp;" ("&amp;'C1'!C33&amp;" to "&amp;'C1'!C40&amp;")"</f>
        <v>ASE-B (ASE3 to ASE10)</v>
      </c>
      <c r="F24" s="17"/>
      <c r="G24" s="114" t="str">
        <f>'C1'!C43&amp;" ("&amp;'C1'!C44&amp;" to "&amp;'C1'!C48&amp;")"</f>
        <v>ASE-C (ASE11 to ASE15)</v>
      </c>
      <c r="H24" s="17"/>
      <c r="I24" s="92"/>
      <c r="J24" s="17"/>
      <c r="K24" s="17"/>
      <c r="L24" s="17"/>
      <c r="M24" s="17"/>
    </row>
    <row r="25" spans="1:13" ht="12" customHeight="1" x14ac:dyDescent="0.25">
      <c r="A25" s="584" t="str">
        <f>"03/06/"&amp;MCA_year-1</f>
        <v>03/06/1934</v>
      </c>
      <c r="B25" s="17"/>
      <c r="C25" s="638"/>
      <c r="D25" s="17"/>
      <c r="E25" s="17"/>
      <c r="F25" s="17"/>
      <c r="G25" s="17"/>
      <c r="H25" s="17"/>
      <c r="I25" s="92"/>
      <c r="J25" s="17"/>
      <c r="K25" s="17"/>
      <c r="L25" s="17"/>
      <c r="M25" s="17"/>
    </row>
    <row r="26" spans="1:13" ht="12" customHeight="1" x14ac:dyDescent="0.25">
      <c r="A26" s="584" t="str">
        <f>"22/02/"&amp;MCA_year+1</f>
        <v>22/02/1936</v>
      </c>
      <c r="B26" s="17"/>
      <c r="C26" s="641" t="str">
        <f>AOR!C3</f>
        <v>Other tax reliefs</v>
      </c>
      <c r="D26" s="17"/>
      <c r="E26" s="115" t="str">
        <f>MCA!C2</f>
        <v>Married couple's allowance</v>
      </c>
      <c r="F26" s="17"/>
      <c r="G26" s="17" t="str">
        <f>AIL!C3</f>
        <v>Other Income Tax losses</v>
      </c>
      <c r="H26" s="17"/>
      <c r="I26" s="92"/>
      <c r="J26" s="17"/>
      <c r="K26" s="17"/>
      <c r="L26" s="17"/>
      <c r="M26" s="17"/>
    </row>
    <row r="27" spans="1:13" ht="12" customHeight="1" x14ac:dyDescent="0.25">
      <c r="A27" s="584" t="str">
        <f>"05/03/"&amp;Tax_year_end-75</f>
        <v>05/03/1951</v>
      </c>
      <c r="B27" s="17"/>
      <c r="C27" s="642" t="str">
        <f>'C1'!C50&amp;" ("&amp;'C1'!C51&amp;" to "&amp;'C1'!C60&amp;")"</f>
        <v>AOR (AOR1 to AOR9)</v>
      </c>
      <c r="D27" s="17"/>
      <c r="E27" s="114" t="str">
        <f>'C1'!C74&amp;" ("&amp;'C1'!C75&amp;" to "&amp;'C1'!C85&amp;")"</f>
        <v>MCA (MCA1 to MCA11)</v>
      </c>
      <c r="F27" s="17"/>
      <c r="G27" s="114" t="str">
        <f>'C1'!C88</f>
        <v>AIL1</v>
      </c>
      <c r="H27" s="17"/>
      <c r="I27" s="92"/>
      <c r="J27" s="17"/>
      <c r="K27" s="17"/>
      <c r="L27" s="17"/>
      <c r="M27" s="17"/>
    </row>
    <row r="28" spans="1:13" ht="12" customHeight="1" x14ac:dyDescent="0.25">
      <c r="A28" s="584" t="str">
        <f>"03/01/"&amp;Tax_year_end-63</f>
        <v>03/01/1963</v>
      </c>
      <c r="B28" s="17"/>
      <c r="C28" s="1261"/>
      <c r="D28" s="1262"/>
      <c r="E28" s="1262"/>
      <c r="F28" s="1262"/>
      <c r="G28" s="1262"/>
      <c r="H28" s="1262"/>
      <c r="I28" s="1263"/>
      <c r="J28" s="17"/>
      <c r="K28" s="17"/>
      <c r="L28" s="17"/>
      <c r="M28" s="17"/>
    </row>
    <row r="29" spans="1:13" ht="12" customHeight="1" x14ac:dyDescent="0.25">
      <c r="A29" s="584" t="str">
        <f>"17/11/"&amp;Tax_year_end-40</f>
        <v>17/11/1986</v>
      </c>
      <c r="B29" s="17"/>
      <c r="C29" s="17"/>
      <c r="D29" s="17"/>
      <c r="E29" s="17"/>
      <c r="F29" s="17"/>
      <c r="G29" s="17"/>
      <c r="H29" s="17"/>
      <c r="I29" s="17"/>
      <c r="J29" s="17"/>
      <c r="K29" s="17"/>
      <c r="L29" s="17"/>
      <c r="M29" s="17"/>
    </row>
    <row r="30" spans="1:13" ht="12" customHeight="1" x14ac:dyDescent="0.25">
      <c r="A30" s="191" t="str">
        <f>"02/05/"&amp;Tax_year_end-15</f>
        <v>02/05/2011</v>
      </c>
      <c r="B30" s="17"/>
      <c r="C30" s="17"/>
      <c r="D30" s="17"/>
      <c r="E30" s="17"/>
      <c r="F30" s="17"/>
      <c r="G30" s="17"/>
      <c r="H30" s="17"/>
      <c r="I30" s="17"/>
      <c r="J30" s="17"/>
      <c r="K30" s="17"/>
      <c r="L30" s="17"/>
      <c r="M30" s="17"/>
    </row>
    <row r="31" spans="1:13" ht="12" customHeight="1" x14ac:dyDescent="0.25">
      <c r="A31" s="292" t="s">
        <v>1487</v>
      </c>
      <c r="B31" s="17"/>
      <c r="C31" s="17"/>
      <c r="D31" s="17"/>
      <c r="E31" s="17"/>
      <c r="F31" s="17"/>
      <c r="G31" s="17"/>
      <c r="H31" s="17"/>
      <c r="I31" s="17"/>
      <c r="J31" s="17"/>
      <c r="K31" s="17"/>
      <c r="L31" s="17"/>
      <c r="M31" s="17"/>
    </row>
    <row r="32" spans="1:13" ht="12" customHeight="1" x14ac:dyDescent="0.25">
      <c r="A32" s="1265" t="str">
        <f>IF(A24=1,A25,IF(A24=2,A26,IF(A24=3,A27,IF(A24=4,A28,IF(A24=5,A29,IF(A24=6,A30,A31))))))</f>
        <v>not present</v>
      </c>
      <c r="B32" s="17"/>
      <c r="C32" s="17"/>
      <c r="D32" s="17"/>
      <c r="E32" s="17"/>
      <c r="F32" s="17"/>
      <c r="G32" s="17"/>
      <c r="H32" s="17"/>
      <c r="I32" s="17"/>
      <c r="J32" s="17"/>
      <c r="K32" s="17"/>
      <c r="L32" s="17"/>
      <c r="M32" s="17"/>
    </row>
    <row r="33" spans="1:13" ht="12" customHeight="1" x14ac:dyDescent="0.25">
      <c r="A33" s="8" t="s">
        <v>1488</v>
      </c>
      <c r="B33" s="17"/>
      <c r="C33" s="17"/>
      <c r="D33" s="17"/>
      <c r="E33" s="17"/>
      <c r="F33" s="17"/>
      <c r="G33" s="17"/>
      <c r="H33" s="17"/>
      <c r="I33" s="17"/>
      <c r="J33" s="17"/>
      <c r="K33" s="17"/>
      <c r="L33" s="17"/>
      <c r="M33" s="17"/>
    </row>
    <row r="34" spans="1:13" ht="12" customHeight="1" x14ac:dyDescent="0.25">
      <c r="A34" s="59" t="b">
        <v>0</v>
      </c>
      <c r="B34" s="17"/>
      <c r="C34" s="17"/>
      <c r="D34" s="17"/>
      <c r="E34" s="17"/>
      <c r="F34" s="17"/>
      <c r="G34" s="17"/>
      <c r="H34" s="17"/>
      <c r="I34" s="17"/>
      <c r="J34" s="17"/>
      <c r="K34" s="17"/>
      <c r="L34" s="17"/>
      <c r="M34" s="17"/>
    </row>
  </sheetData>
  <phoneticPr fontId="58" type="noConversion"/>
  <pageMargins left="0.196850393700787" right="0.196850393700787" top="0.196850393700787" bottom="0.196850393700787" header="0" footer="0"/>
  <pageSetup paperSize="9" orientation="landscape" horizontalDpi="1200" verticalDpi="1200"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6" r:id="rId4" name="Button 18">
              <controlPr defaultSize="0" print="0" autoFill="0" autoPict="0" macro="[0]!test_this_case">
                <anchor moveWithCells="1">
                  <from>
                    <xdr:col>9</xdr:col>
                    <xdr:colOff>107950</xdr:colOff>
                    <xdr:row>13</xdr:row>
                    <xdr:rowOff>31750</xdr:rowOff>
                  </from>
                  <to>
                    <xdr:col>11</xdr:col>
                    <xdr:colOff>355600</xdr:colOff>
                    <xdr:row>15</xdr:row>
                    <xdr:rowOff>107950</xdr:rowOff>
                  </to>
                </anchor>
              </controlPr>
            </control>
          </mc:Choice>
        </mc:AlternateContent>
        <mc:AlternateContent xmlns:mc="http://schemas.openxmlformats.org/markup-compatibility/2006">
          <mc:Choice Requires="x14">
            <control shapeId="43027" r:id="rId5" name="Button 19">
              <controlPr defaultSize="0" print="0" autoFill="0" autoPict="0" macro="[0]!reset_test_selection">
                <anchor moveWithCells="1">
                  <from>
                    <xdr:col>9</xdr:col>
                    <xdr:colOff>107950</xdr:colOff>
                    <xdr:row>22</xdr:row>
                    <xdr:rowOff>12700</xdr:rowOff>
                  </from>
                  <to>
                    <xdr:col>11</xdr:col>
                    <xdr:colOff>374650</xdr:colOff>
                    <xdr:row>24</xdr:row>
                    <xdr:rowOff>38100</xdr:rowOff>
                  </to>
                </anchor>
              </controlPr>
            </control>
          </mc:Choice>
        </mc:AlternateContent>
        <mc:AlternateContent xmlns:mc="http://schemas.openxmlformats.org/markup-compatibility/2006">
          <mc:Choice Requires="x14">
            <control shapeId="43028" r:id="rId6" name="Button 20">
              <controlPr defaultSize="0" print="0" autoFill="0" autoPict="0" macro="[0]!Show_hide_components">
                <anchor moveWithCells="1">
                  <from>
                    <xdr:col>9</xdr:col>
                    <xdr:colOff>76200</xdr:colOff>
                    <xdr:row>8</xdr:row>
                    <xdr:rowOff>114300</xdr:rowOff>
                  </from>
                  <to>
                    <xdr:col>11</xdr:col>
                    <xdr:colOff>336550</xdr:colOff>
                    <xdr:row>10</xdr:row>
                    <xdr:rowOff>107950</xdr:rowOff>
                  </to>
                </anchor>
              </controlPr>
            </control>
          </mc:Choice>
        </mc:AlternateContent>
        <mc:AlternateContent xmlns:mc="http://schemas.openxmlformats.org/markup-compatibility/2006">
          <mc:Choice Requires="x14">
            <control shapeId="43029" r:id="rId7" name="Button 21">
              <controlPr defaultSize="0" print="0" autoFill="0" autoPict="0" macro="[0]!go_more_select">
                <anchor moveWithCells="1">
                  <from>
                    <xdr:col>9</xdr:col>
                    <xdr:colOff>88900</xdr:colOff>
                    <xdr:row>5</xdr:row>
                    <xdr:rowOff>31750</xdr:rowOff>
                  </from>
                  <to>
                    <xdr:col>11</xdr:col>
                    <xdr:colOff>336550</xdr:colOff>
                    <xdr:row>6</xdr:row>
                    <xdr:rowOff>146050</xdr:rowOff>
                  </to>
                </anchor>
              </controlPr>
            </control>
          </mc:Choice>
        </mc:AlternateContent>
        <mc:AlternateContent xmlns:mc="http://schemas.openxmlformats.org/markup-compatibility/2006">
          <mc:Choice Requires="x14">
            <control shapeId="43030" r:id="rId8" name="Button 22">
              <controlPr defaultSize="0" print="0" autoFill="0" autoPict="0" macro="[0]!record_settings">
                <anchor moveWithCells="1" sizeWithCells="1">
                  <from>
                    <xdr:col>9</xdr:col>
                    <xdr:colOff>107950</xdr:colOff>
                    <xdr:row>17</xdr:row>
                    <xdr:rowOff>107950</xdr:rowOff>
                  </from>
                  <to>
                    <xdr:col>11</xdr:col>
                    <xdr:colOff>374650</xdr:colOff>
                    <xdr:row>20</xdr:row>
                    <xdr:rowOff>38100</xdr:rowOff>
                  </to>
                </anchor>
              </controlPr>
            </control>
          </mc:Choice>
        </mc:AlternateContent>
        <mc:AlternateContent xmlns:mc="http://schemas.openxmlformats.org/markup-compatibility/2006">
          <mc:Choice Requires="x14">
            <control shapeId="43031" r:id="rId9" name="Drop Down 23">
              <controlPr defaultSize="0" autoLine="0" autoPict="0" altText="Drop down button to select taxpayer's date of birth.">
                <anchor moveWithCells="1">
                  <from>
                    <xdr:col>3</xdr:col>
                    <xdr:colOff>0</xdr:colOff>
                    <xdr:row>3</xdr:row>
                    <xdr:rowOff>12700</xdr:rowOff>
                  </from>
                  <to>
                    <xdr:col>3</xdr:col>
                    <xdr:colOff>914400</xdr:colOff>
                    <xdr:row>4</xdr:row>
                    <xdr:rowOff>69850</xdr:rowOff>
                  </to>
                </anchor>
              </controlPr>
            </control>
          </mc:Choice>
        </mc:AlternateContent>
        <mc:AlternateContent xmlns:mc="http://schemas.openxmlformats.org/markup-compatibility/2006">
          <mc:Choice Requires="x14">
            <control shapeId="43032" r:id="rId10" name="Drop Down 24">
              <controlPr defaultSize="0" autoLine="0" autoPict="0" altText="Drop down button to select student loan repayment.">
                <anchor moveWithCells="1">
                  <from>
                    <xdr:col>3</xdr:col>
                    <xdr:colOff>69850</xdr:colOff>
                    <xdr:row>14</xdr:row>
                    <xdr:rowOff>38100</xdr:rowOff>
                  </from>
                  <to>
                    <xdr:col>3</xdr:col>
                    <xdr:colOff>533400</xdr:colOff>
                    <xdr:row>15</xdr:row>
                    <xdr:rowOff>88900</xdr:rowOff>
                  </to>
                </anchor>
              </controlPr>
            </control>
          </mc:Choice>
        </mc:AlternateContent>
        <mc:AlternateContent xmlns:mc="http://schemas.openxmlformats.org/markup-compatibility/2006">
          <mc:Choice Requires="x14">
            <control shapeId="43033" r:id="rId11" name="Drop Down 25">
              <controlPr defaultSize="0" autoLine="0" autoPict="0" altText="Drop down button to select UK interest and dividends.">
                <anchor moveWithCells="1">
                  <from>
                    <xdr:col>3</xdr:col>
                    <xdr:colOff>69850</xdr:colOff>
                    <xdr:row>6</xdr:row>
                    <xdr:rowOff>31750</xdr:rowOff>
                  </from>
                  <to>
                    <xdr:col>3</xdr:col>
                    <xdr:colOff>533400</xdr:colOff>
                    <xdr:row>7</xdr:row>
                    <xdr:rowOff>76200</xdr:rowOff>
                  </to>
                </anchor>
              </controlPr>
            </control>
          </mc:Choice>
        </mc:AlternateContent>
        <mc:AlternateContent xmlns:mc="http://schemas.openxmlformats.org/markup-compatibility/2006">
          <mc:Choice Requires="x14">
            <control shapeId="43034" r:id="rId12" name="Drop Down 26">
              <controlPr defaultSize="0" autoLine="0" autoPict="0" altText="Drop down button to select UK pensions received.">
                <anchor moveWithCells="1">
                  <from>
                    <xdr:col>5</xdr:col>
                    <xdr:colOff>38100</xdr:colOff>
                    <xdr:row>6</xdr:row>
                    <xdr:rowOff>50800</xdr:rowOff>
                  </from>
                  <to>
                    <xdr:col>5</xdr:col>
                    <xdr:colOff>527050</xdr:colOff>
                    <xdr:row>7</xdr:row>
                    <xdr:rowOff>107950</xdr:rowOff>
                  </to>
                </anchor>
              </controlPr>
            </control>
          </mc:Choice>
        </mc:AlternateContent>
        <mc:AlternateContent xmlns:mc="http://schemas.openxmlformats.org/markup-compatibility/2006">
          <mc:Choice Requires="x14">
            <control shapeId="43035" r:id="rId13" name="Drop Down 27">
              <controlPr defaultSize="0" autoLine="0" autoPict="0" altText="Drop down button to select Other UK income.">
                <anchor moveWithCells="1">
                  <from>
                    <xdr:col>7</xdr:col>
                    <xdr:colOff>69850</xdr:colOff>
                    <xdr:row>6</xdr:row>
                    <xdr:rowOff>69850</xdr:rowOff>
                  </from>
                  <to>
                    <xdr:col>7</xdr:col>
                    <xdr:colOff>533400</xdr:colOff>
                    <xdr:row>7</xdr:row>
                    <xdr:rowOff>107950</xdr:rowOff>
                  </to>
                </anchor>
              </controlPr>
            </control>
          </mc:Choice>
        </mc:AlternateContent>
        <mc:AlternateContent xmlns:mc="http://schemas.openxmlformats.org/markup-compatibility/2006">
          <mc:Choice Requires="x14">
            <control shapeId="43036" r:id="rId14" name="Drop Down 28">
              <controlPr defaultSize="0" autoLine="0" autoPict="0" altText="Drop down button to select Paying personal pensions.">
                <anchor moveWithCells="1">
                  <from>
                    <xdr:col>3</xdr:col>
                    <xdr:colOff>76200</xdr:colOff>
                    <xdr:row>10</xdr:row>
                    <xdr:rowOff>38100</xdr:rowOff>
                  </from>
                  <to>
                    <xdr:col>3</xdr:col>
                    <xdr:colOff>565150</xdr:colOff>
                    <xdr:row>11</xdr:row>
                    <xdr:rowOff>88900</xdr:rowOff>
                  </to>
                </anchor>
              </controlPr>
            </control>
          </mc:Choice>
        </mc:AlternateContent>
        <mc:AlternateContent xmlns:mc="http://schemas.openxmlformats.org/markup-compatibility/2006">
          <mc:Choice Requires="x14">
            <control shapeId="43037" r:id="rId15" name="Drop Down 29">
              <controlPr defaultSize="0" autoLine="0" autoPict="0" altText="Drop down button to select Charitable giving.">
                <anchor moveWithCells="1">
                  <from>
                    <xdr:col>5</xdr:col>
                    <xdr:colOff>50800</xdr:colOff>
                    <xdr:row>10</xdr:row>
                    <xdr:rowOff>50800</xdr:rowOff>
                  </from>
                  <to>
                    <xdr:col>5</xdr:col>
                    <xdr:colOff>527050</xdr:colOff>
                    <xdr:row>11</xdr:row>
                    <xdr:rowOff>107950</xdr:rowOff>
                  </to>
                </anchor>
              </controlPr>
            </control>
          </mc:Choice>
        </mc:AlternateContent>
        <mc:AlternateContent xmlns:mc="http://schemas.openxmlformats.org/markup-compatibility/2006">
          <mc:Choice Requires="x14">
            <control shapeId="43038" r:id="rId16" name="Drop Down 30">
              <controlPr defaultSize="0" autoLine="0" autoPict="0" altText="Drop down button to select Blind Person's allowance.">
                <anchor moveWithCells="1">
                  <from>
                    <xdr:col>7</xdr:col>
                    <xdr:colOff>69850</xdr:colOff>
                    <xdr:row>10</xdr:row>
                    <xdr:rowOff>38100</xdr:rowOff>
                  </from>
                  <to>
                    <xdr:col>7</xdr:col>
                    <xdr:colOff>546100</xdr:colOff>
                    <xdr:row>11</xdr:row>
                    <xdr:rowOff>88900</xdr:rowOff>
                  </to>
                </anchor>
              </controlPr>
            </control>
          </mc:Choice>
        </mc:AlternateContent>
        <mc:AlternateContent xmlns:mc="http://schemas.openxmlformats.org/markup-compatibility/2006">
          <mc:Choice Requires="x14">
            <control shapeId="43039" r:id="rId17" name="Drop Down 31">
              <controlPr defaultSize="0" autoLine="0" autoPict="0" altText="Drop down button to select Gilt edged securities.">
                <anchor moveWithCells="1">
                  <from>
                    <xdr:col>3</xdr:col>
                    <xdr:colOff>76200</xdr:colOff>
                    <xdr:row>19</xdr:row>
                    <xdr:rowOff>69850</xdr:rowOff>
                  </from>
                  <to>
                    <xdr:col>3</xdr:col>
                    <xdr:colOff>565150</xdr:colOff>
                    <xdr:row>20</xdr:row>
                    <xdr:rowOff>107950</xdr:rowOff>
                  </to>
                </anchor>
              </controlPr>
            </control>
          </mc:Choice>
        </mc:AlternateContent>
        <mc:AlternateContent xmlns:mc="http://schemas.openxmlformats.org/markup-compatibility/2006">
          <mc:Choice Requires="x14">
            <control shapeId="43040" r:id="rId18" name="Drop Down 32">
              <controlPr defaultSize="0" autoLine="0" autoPict="0" altText="Drop down button to select Life Insurance gains.">
                <anchor moveWithCells="1">
                  <from>
                    <xdr:col>5</xdr:col>
                    <xdr:colOff>69850</xdr:colOff>
                    <xdr:row>19</xdr:row>
                    <xdr:rowOff>69850</xdr:rowOff>
                  </from>
                  <to>
                    <xdr:col>5</xdr:col>
                    <xdr:colOff>533400</xdr:colOff>
                    <xdr:row>20</xdr:row>
                    <xdr:rowOff>107950</xdr:rowOff>
                  </to>
                </anchor>
              </controlPr>
            </control>
          </mc:Choice>
        </mc:AlternateContent>
        <mc:AlternateContent xmlns:mc="http://schemas.openxmlformats.org/markup-compatibility/2006">
          <mc:Choice Requires="x14">
            <control shapeId="43041" r:id="rId19" name="Drop Down 33">
              <controlPr defaultSize="0" autoLine="0" autoPict="0" altText="Drop down button to select Stock dividends.">
                <anchor moveWithCells="1">
                  <from>
                    <xdr:col>7</xdr:col>
                    <xdr:colOff>69850</xdr:colOff>
                    <xdr:row>19</xdr:row>
                    <xdr:rowOff>31750</xdr:rowOff>
                  </from>
                  <to>
                    <xdr:col>7</xdr:col>
                    <xdr:colOff>546100</xdr:colOff>
                    <xdr:row>20</xdr:row>
                    <xdr:rowOff>76200</xdr:rowOff>
                  </to>
                </anchor>
              </controlPr>
            </control>
          </mc:Choice>
        </mc:AlternateContent>
        <mc:AlternateContent xmlns:mc="http://schemas.openxmlformats.org/markup-compatibility/2006">
          <mc:Choice Requires="x14">
            <control shapeId="43042" r:id="rId20" name="Drop Down 34">
              <controlPr defaultSize="0" autoLine="0" autoPict="0" altText="Drop down button to select Share schemes.">
                <anchor moveWithCells="1">
                  <from>
                    <xdr:col>3</xdr:col>
                    <xdr:colOff>88900</xdr:colOff>
                    <xdr:row>22</xdr:row>
                    <xdr:rowOff>50800</xdr:rowOff>
                  </from>
                  <to>
                    <xdr:col>3</xdr:col>
                    <xdr:colOff>565150</xdr:colOff>
                    <xdr:row>23</xdr:row>
                    <xdr:rowOff>107950</xdr:rowOff>
                  </to>
                </anchor>
              </controlPr>
            </control>
          </mc:Choice>
        </mc:AlternateContent>
        <mc:AlternateContent xmlns:mc="http://schemas.openxmlformats.org/markup-compatibility/2006">
          <mc:Choice Requires="x14">
            <control shapeId="43043" r:id="rId21" name="Drop Down 35">
              <controlPr defaultSize="0" autoLine="0" autoPict="0" altText="Drop down button to select Lump Sums.">
                <anchor moveWithCells="1">
                  <from>
                    <xdr:col>5</xdr:col>
                    <xdr:colOff>50800</xdr:colOff>
                    <xdr:row>22</xdr:row>
                    <xdr:rowOff>31750</xdr:rowOff>
                  </from>
                  <to>
                    <xdr:col>5</xdr:col>
                    <xdr:colOff>527050</xdr:colOff>
                    <xdr:row>23</xdr:row>
                    <xdr:rowOff>76200</xdr:rowOff>
                  </to>
                </anchor>
              </controlPr>
            </control>
          </mc:Choice>
        </mc:AlternateContent>
        <mc:AlternateContent xmlns:mc="http://schemas.openxmlformats.org/markup-compatibility/2006">
          <mc:Choice Requires="x14">
            <control shapeId="43044" r:id="rId22" name="Drop Down 36">
              <controlPr defaultSize="0" autoLine="0" autoPict="0" altText="Drop down button to select Other deductions.">
                <anchor moveWithCells="1">
                  <from>
                    <xdr:col>7</xdr:col>
                    <xdr:colOff>76200</xdr:colOff>
                    <xdr:row>22</xdr:row>
                    <xdr:rowOff>50800</xdr:rowOff>
                  </from>
                  <to>
                    <xdr:col>7</xdr:col>
                    <xdr:colOff>565150</xdr:colOff>
                    <xdr:row>23</xdr:row>
                    <xdr:rowOff>107950</xdr:rowOff>
                  </to>
                </anchor>
              </controlPr>
            </control>
          </mc:Choice>
        </mc:AlternateContent>
        <mc:AlternateContent xmlns:mc="http://schemas.openxmlformats.org/markup-compatibility/2006">
          <mc:Choice Requires="x14">
            <control shapeId="43045" r:id="rId23" name="Drop Down 37">
              <controlPr defaultSize="0" autoLine="0" autoPict="0" altText="Drop down button to select Other tax reliefs.">
                <anchor moveWithCells="1">
                  <from>
                    <xdr:col>3</xdr:col>
                    <xdr:colOff>88900</xdr:colOff>
                    <xdr:row>25</xdr:row>
                    <xdr:rowOff>31750</xdr:rowOff>
                  </from>
                  <to>
                    <xdr:col>3</xdr:col>
                    <xdr:colOff>565150</xdr:colOff>
                    <xdr:row>26</xdr:row>
                    <xdr:rowOff>69850</xdr:rowOff>
                  </to>
                </anchor>
              </controlPr>
            </control>
          </mc:Choice>
        </mc:AlternateContent>
        <mc:AlternateContent xmlns:mc="http://schemas.openxmlformats.org/markup-compatibility/2006">
          <mc:Choice Requires="x14">
            <control shapeId="43046" r:id="rId24" name="Drop Down 38">
              <controlPr defaultSize="0" autoLine="0" autoPict="0" altText="Drop down button to select Married couple's allowance.">
                <anchor moveWithCells="1">
                  <from>
                    <xdr:col>5</xdr:col>
                    <xdr:colOff>69850</xdr:colOff>
                    <xdr:row>25</xdr:row>
                    <xdr:rowOff>38100</xdr:rowOff>
                  </from>
                  <to>
                    <xdr:col>5</xdr:col>
                    <xdr:colOff>533400</xdr:colOff>
                    <xdr:row>26</xdr:row>
                    <xdr:rowOff>88900</xdr:rowOff>
                  </to>
                </anchor>
              </controlPr>
            </control>
          </mc:Choice>
        </mc:AlternateContent>
        <mc:AlternateContent xmlns:mc="http://schemas.openxmlformats.org/markup-compatibility/2006">
          <mc:Choice Requires="x14">
            <control shapeId="43047" r:id="rId25" name="Drop Down 39">
              <controlPr defaultSize="0" autoLine="0" autoPict="0" altText="Drop down button to select Other Income Tax losses.">
                <anchor moveWithCells="1">
                  <from>
                    <xdr:col>7</xdr:col>
                    <xdr:colOff>88900</xdr:colOff>
                    <xdr:row>25</xdr:row>
                    <xdr:rowOff>38100</xdr:rowOff>
                  </from>
                  <to>
                    <xdr:col>7</xdr:col>
                    <xdr:colOff>565150</xdr:colOff>
                    <xdr:row>26</xdr:row>
                    <xdr:rowOff>88900</xdr:rowOff>
                  </to>
                </anchor>
              </controlPr>
            </control>
          </mc:Choice>
        </mc:AlternateContent>
        <mc:AlternateContent xmlns:mc="http://schemas.openxmlformats.org/markup-compatibility/2006">
          <mc:Choice Requires="x14">
            <control shapeId="43051" r:id="rId26" name="Drop Down 43">
              <controlPr defaultSize="0" autoLine="0" autoPict="0" altText="Drop down button to select High Income Child Benefit Charge.">
                <anchor moveWithCells="1">
                  <from>
                    <xdr:col>5</xdr:col>
                    <xdr:colOff>69850</xdr:colOff>
                    <xdr:row>14</xdr:row>
                    <xdr:rowOff>31750</xdr:rowOff>
                  </from>
                  <to>
                    <xdr:col>5</xdr:col>
                    <xdr:colOff>546100</xdr:colOff>
                    <xdr:row>15</xdr:row>
                    <xdr:rowOff>76200</xdr:rowOff>
                  </to>
                </anchor>
              </controlPr>
            </control>
          </mc:Choice>
        </mc:AlternateContent>
        <mc:AlternateContent xmlns:mc="http://schemas.openxmlformats.org/markup-compatibility/2006">
          <mc:Choice Requires="x14">
            <control shapeId="43053" r:id="rId27" name="Drop Down 45">
              <controlPr defaultSize="0" autoLine="0" autoPict="0" altText="Drop down button to select Marriage Allowance Transfer.">
                <anchor moveWithCells="1">
                  <from>
                    <xdr:col>7</xdr:col>
                    <xdr:colOff>50800</xdr:colOff>
                    <xdr:row>14</xdr:row>
                    <xdr:rowOff>31750</xdr:rowOff>
                  </from>
                  <to>
                    <xdr:col>7</xdr:col>
                    <xdr:colOff>527050</xdr:colOff>
                    <xdr:row>15</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N35"/>
  <sheetViews>
    <sheetView showGridLines="0" showRowColHeaders="0" topLeftCell="B1" workbookViewId="0">
      <selection activeCell="G8" sqref="G8"/>
    </sheetView>
  </sheetViews>
  <sheetFormatPr defaultColWidth="9.1796875" defaultRowHeight="11.5" x14ac:dyDescent="0.25"/>
  <cols>
    <col min="1" max="1" width="14" style="8" hidden="1" customWidth="1"/>
    <col min="2" max="2" width="1.453125" style="8" customWidth="1"/>
    <col min="3" max="3" width="22.1796875" style="8" customWidth="1"/>
    <col min="4" max="4" width="10.54296875" style="8" customWidth="1"/>
    <col min="5" max="5" width="16.54296875" style="8" customWidth="1"/>
    <col min="6" max="6" width="9.453125" style="8" customWidth="1"/>
    <col min="7" max="7" width="6.1796875" style="8" customWidth="1"/>
    <col min="8" max="8" width="13.81640625" style="8" customWidth="1"/>
    <col min="9" max="9" width="8.81640625" style="8" customWidth="1"/>
    <col min="10" max="10" width="2" style="8" customWidth="1"/>
    <col min="11" max="11" width="21" style="8" customWidth="1"/>
    <col min="12" max="12" width="12" style="8" customWidth="1"/>
    <col min="13" max="13" width="3.453125" style="8" customWidth="1"/>
    <col min="14" max="14" width="32.1796875" style="8" customWidth="1"/>
    <col min="15" max="16384" width="9.1796875" style="8"/>
  </cols>
  <sheetData>
    <row r="1" spans="1:14" ht="12" customHeight="1" x14ac:dyDescent="0.25">
      <c r="A1" s="8" t="s">
        <v>1466</v>
      </c>
      <c r="B1" s="17"/>
      <c r="C1" s="17"/>
      <c r="D1" s="17"/>
      <c r="E1" s="102" t="s">
        <v>1489</v>
      </c>
      <c r="F1" s="17"/>
      <c r="G1" s="17"/>
      <c r="H1" s="17"/>
      <c r="I1" s="17"/>
      <c r="J1" s="17"/>
      <c r="K1" s="17"/>
      <c r="L1" s="17"/>
      <c r="M1" s="17"/>
      <c r="N1" s="17"/>
    </row>
    <row r="2" spans="1:14" ht="12" customHeight="1" x14ac:dyDescent="0.25">
      <c r="A2" s="8">
        <v>1</v>
      </c>
      <c r="B2" s="17"/>
      <c r="C2" s="17"/>
      <c r="D2" s="17"/>
      <c r="E2" s="17"/>
      <c r="F2" s="17"/>
      <c r="G2" s="17"/>
      <c r="H2" s="17"/>
      <c r="I2" s="17"/>
      <c r="J2" s="17"/>
      <c r="K2" s="17"/>
      <c r="L2" s="17"/>
      <c r="M2" s="17"/>
      <c r="N2" s="17"/>
    </row>
    <row r="3" spans="1:14" ht="12" customHeight="1" x14ac:dyDescent="0.25">
      <c r="A3" s="8">
        <v>2</v>
      </c>
      <c r="B3" s="17"/>
      <c r="C3" s="1266" t="s">
        <v>727</v>
      </c>
      <c r="D3" s="1267"/>
      <c r="E3" s="1267"/>
      <c r="F3" s="1267"/>
      <c r="G3" s="1267"/>
      <c r="H3" s="1267"/>
      <c r="I3" s="1268"/>
      <c r="J3" s="17"/>
      <c r="K3" s="17"/>
      <c r="L3" s="115"/>
      <c r="M3" s="17"/>
      <c r="N3" s="17"/>
    </row>
    <row r="4" spans="1:14" ht="12" customHeight="1" x14ac:dyDescent="0.25">
      <c r="A4" s="8">
        <v>3</v>
      </c>
      <c r="B4" s="17"/>
      <c r="C4" s="641" t="s">
        <v>1490</v>
      </c>
      <c r="D4" s="17"/>
      <c r="E4" s="21" t="s">
        <v>1491</v>
      </c>
      <c r="F4" s="17"/>
      <c r="G4" s="17"/>
      <c r="H4" s="21" t="s">
        <v>1492</v>
      </c>
      <c r="I4" s="92"/>
      <c r="J4" s="17"/>
      <c r="K4" s="115"/>
      <c r="L4" s="115"/>
      <c r="M4" s="17"/>
      <c r="N4" s="17"/>
    </row>
    <row r="5" spans="1:14" ht="12" customHeight="1" x14ac:dyDescent="0.25">
      <c r="A5" s="8">
        <v>4</v>
      </c>
      <c r="B5" s="17"/>
      <c r="C5" s="642" t="str">
        <f>'C2'!B2</f>
        <v>selected 168</v>
      </c>
      <c r="D5" s="17"/>
      <c r="E5" s="114" t="s">
        <v>1493</v>
      </c>
      <c r="F5" s="17"/>
      <c r="G5" s="17"/>
      <c r="H5" s="21" t="s">
        <v>1494</v>
      </c>
      <c r="I5" s="92"/>
      <c r="J5" s="17"/>
      <c r="K5" s="17"/>
      <c r="L5" s="115"/>
      <c r="M5" s="17"/>
      <c r="N5" s="17"/>
    </row>
    <row r="6" spans="1:14" ht="12" customHeight="1" x14ac:dyDescent="0.25">
      <c r="A6" s="8">
        <v>5</v>
      </c>
      <c r="B6" s="17"/>
      <c r="C6" s="1269" t="str">
        <f>"("&amp;'C2'!C3&amp;" to "&amp;'C2'!C29&amp;")"</f>
        <v>(EMP1 to EMP20)</v>
      </c>
      <c r="D6" s="1262"/>
      <c r="E6" s="1270" t="str">
        <f>"("&amp;'C2'!C3&amp;" to "&amp;'C2'!C29&amp;")"</f>
        <v>(EMP1 to EMP20)</v>
      </c>
      <c r="F6" s="1262"/>
      <c r="G6" s="1262"/>
      <c r="H6" s="1270" t="str">
        <f>"("&amp;'C2'!C61&amp;" to "&amp;'C2'!C101&amp;")"</f>
        <v>(MOR1 to MOR39)</v>
      </c>
      <c r="I6" s="1263"/>
      <c r="J6" s="17"/>
      <c r="K6" s="17"/>
      <c r="L6" s="115"/>
      <c r="M6" s="17"/>
      <c r="N6" s="17"/>
    </row>
    <row r="7" spans="1:14" ht="12" customHeight="1" x14ac:dyDescent="0.25">
      <c r="A7" s="8">
        <v>6</v>
      </c>
      <c r="B7" s="17"/>
      <c r="C7" s="114"/>
      <c r="D7" s="17"/>
      <c r="E7" s="114"/>
      <c r="F7" s="17"/>
      <c r="G7" s="17"/>
      <c r="H7" s="114"/>
      <c r="I7" s="17"/>
      <c r="J7" s="17"/>
      <c r="K7" s="17"/>
      <c r="L7" s="17"/>
      <c r="M7" s="17"/>
      <c r="N7" s="17"/>
    </row>
    <row r="8" spans="1:14" ht="12" customHeight="1" x14ac:dyDescent="0.25">
      <c r="A8" s="8">
        <v>7</v>
      </c>
      <c r="B8" s="17"/>
      <c r="C8" s="1266" t="s">
        <v>1495</v>
      </c>
      <c r="D8" s="1267"/>
      <c r="E8" s="1267"/>
      <c r="F8" s="1267"/>
      <c r="G8" s="1267"/>
      <c r="H8" s="1267"/>
      <c r="I8" s="1268"/>
      <c r="J8" s="17"/>
      <c r="K8" s="17"/>
      <c r="L8" s="17"/>
      <c r="M8" s="17"/>
      <c r="N8" s="17"/>
    </row>
    <row r="9" spans="1:14" ht="12" customHeight="1" x14ac:dyDescent="0.25">
      <c r="A9" s="8">
        <v>8</v>
      </c>
      <c r="B9" s="17"/>
      <c r="C9" s="641" t="s">
        <v>1496</v>
      </c>
      <c r="D9" s="17"/>
      <c r="E9" s="21" t="s">
        <v>1497</v>
      </c>
      <c r="F9" s="17"/>
      <c r="G9" s="17"/>
      <c r="H9" s="21" t="s">
        <v>1498</v>
      </c>
      <c r="I9" s="92"/>
      <c r="J9" s="17"/>
      <c r="K9" s="126" t="str">
        <f>"Components are currently "&amp;IF(Selector!A34,"visible","hidden")</f>
        <v>Components are currently hidden</v>
      </c>
      <c r="L9" s="17"/>
      <c r="M9" s="17"/>
      <c r="N9" s="17"/>
    </row>
    <row r="10" spans="1:14" ht="12" customHeight="1" x14ac:dyDescent="0.25">
      <c r="A10" s="8">
        <v>9</v>
      </c>
      <c r="B10" s="17"/>
      <c r="C10" s="642" t="str">
        <f>"("&amp;'C3'!C3&amp;" to "&amp;'C3'!C46&amp;")"</f>
        <v>(SSE1 to SSE38)</v>
      </c>
      <c r="D10" s="17"/>
      <c r="E10" s="114" t="str">
        <f>"("&amp;'C3'!C49&amp;" to "&amp;'C3'!C155&amp;")"</f>
        <v>(FSE1 to FSE103)</v>
      </c>
      <c r="F10" s="17"/>
      <c r="G10" s="17"/>
      <c r="H10" s="114"/>
      <c r="I10" s="92"/>
      <c r="J10" s="17"/>
      <c r="K10" s="17"/>
      <c r="L10" s="17"/>
      <c r="M10" s="17"/>
      <c r="N10" s="17"/>
    </row>
    <row r="11" spans="1:14" ht="12" customHeight="1" x14ac:dyDescent="0.25">
      <c r="A11" s="8">
        <v>10</v>
      </c>
      <c r="B11" s="17"/>
      <c r="C11" s="638"/>
      <c r="D11" s="17"/>
      <c r="E11" s="17"/>
      <c r="F11" s="17"/>
      <c r="G11" s="17"/>
      <c r="H11" s="17"/>
      <c r="I11" s="92"/>
      <c r="J11" s="17"/>
      <c r="K11" s="110"/>
      <c r="L11" s="17"/>
      <c r="M11" s="17"/>
      <c r="N11" s="17"/>
    </row>
    <row r="12" spans="1:14" ht="12" customHeight="1" x14ac:dyDescent="0.25">
      <c r="A12" s="8">
        <v>11</v>
      </c>
      <c r="B12" s="17"/>
      <c r="C12" s="641" t="s">
        <v>1499</v>
      </c>
      <c r="D12" s="17"/>
      <c r="E12" s="21" t="s">
        <v>1500</v>
      </c>
      <c r="F12" s="17"/>
      <c r="G12" s="17"/>
      <c r="H12" s="21"/>
      <c r="I12" s="92"/>
      <c r="J12" s="17"/>
      <c r="K12" s="110"/>
      <c r="L12" s="17"/>
      <c r="M12" s="17"/>
      <c r="N12" s="17"/>
    </row>
    <row r="13" spans="1:14" ht="12" customHeight="1" x14ac:dyDescent="0.25">
      <c r="A13" s="8">
        <v>12</v>
      </c>
      <c r="B13" s="17"/>
      <c r="C13" s="642" t="str">
        <f>"("&amp;'C4'!C3&amp;" to "&amp;'C4'!C29&amp;")"</f>
        <v>(SPS1 to SPS32)</v>
      </c>
      <c r="D13" s="17"/>
      <c r="E13" s="114" t="str">
        <f>"("&amp;'C4'!C32&amp;" to "&amp;'C4'!C120&amp;")"</f>
        <v>(FPS1 to FPS80)</v>
      </c>
      <c r="F13" s="17"/>
      <c r="G13" s="17"/>
      <c r="H13" s="17"/>
      <c r="I13" s="92"/>
      <c r="J13" s="17"/>
      <c r="K13" s="17"/>
      <c r="L13" s="17"/>
      <c r="M13" s="17"/>
      <c r="N13" s="17"/>
    </row>
    <row r="14" spans="1:14" ht="12" customHeight="1" x14ac:dyDescent="0.25">
      <c r="A14" s="8">
        <v>13</v>
      </c>
      <c r="B14" s="17"/>
      <c r="C14" s="1261"/>
      <c r="D14" s="1262"/>
      <c r="E14" s="1262"/>
      <c r="F14" s="1262"/>
      <c r="G14" s="1262"/>
      <c r="H14" s="1262"/>
      <c r="I14" s="1263"/>
      <c r="J14" s="17"/>
      <c r="K14" s="17"/>
      <c r="L14" s="17"/>
      <c r="M14" s="17"/>
      <c r="N14" s="17"/>
    </row>
    <row r="15" spans="1:14" ht="12" customHeight="1" x14ac:dyDescent="0.25">
      <c r="A15" s="8">
        <v>14</v>
      </c>
      <c r="B15" s="17"/>
      <c r="C15" s="17"/>
      <c r="D15" s="17"/>
      <c r="E15" s="17"/>
      <c r="F15" s="17"/>
      <c r="G15" s="17"/>
      <c r="H15" s="17"/>
      <c r="I15" s="17"/>
      <c r="J15" s="17"/>
      <c r="K15" s="17"/>
      <c r="L15" s="17"/>
      <c r="M15" s="17"/>
      <c r="N15" s="17"/>
    </row>
    <row r="16" spans="1:14" ht="12" customHeight="1" x14ac:dyDescent="0.25">
      <c r="A16" s="8">
        <v>15</v>
      </c>
      <c r="B16" s="17"/>
      <c r="C16" s="21" t="s">
        <v>1501</v>
      </c>
      <c r="D16" s="17"/>
      <c r="E16" s="21" t="s">
        <v>1502</v>
      </c>
      <c r="F16" s="17"/>
      <c r="G16" s="17"/>
      <c r="H16" s="21" t="s">
        <v>735</v>
      </c>
      <c r="I16" s="17"/>
      <c r="J16" s="17"/>
      <c r="K16" s="17"/>
      <c r="L16" s="17"/>
      <c r="M16" s="17"/>
      <c r="N16" s="17"/>
    </row>
    <row r="17" spans="1:14" ht="12" customHeight="1" x14ac:dyDescent="0.25">
      <c r="A17" s="8">
        <v>16</v>
      </c>
      <c r="B17" s="17"/>
      <c r="C17" s="116" t="str">
        <f>"("&amp;'C5'!C2&amp;" to "&amp;'C5'!C74&amp;")"</f>
        <v>(PRO1 to PRO45)</v>
      </c>
      <c r="D17" s="17"/>
      <c r="E17" s="114" t="e">
        <f>"("&amp;'C6'!C2&amp;" to "&amp;'C6'!#REF!&amp;")"</f>
        <v>#REF!</v>
      </c>
      <c r="F17" s="17"/>
      <c r="G17" s="17"/>
      <c r="H17" s="114" t="str">
        <f>"("&amp;'C7'!C2&amp;" to "&amp;'C7'!C28&amp;")"</f>
        <v>(TRU1 to TRU26)</v>
      </c>
      <c r="I17" s="17"/>
      <c r="J17" s="17"/>
      <c r="K17" s="17"/>
      <c r="L17" s="17"/>
      <c r="M17" s="17"/>
      <c r="N17" s="17"/>
    </row>
    <row r="18" spans="1:14" ht="12" customHeight="1" x14ac:dyDescent="0.25">
      <c r="A18" s="8">
        <v>17</v>
      </c>
      <c r="B18" s="17"/>
      <c r="C18" s="17"/>
      <c r="D18" s="17"/>
      <c r="E18" s="17"/>
      <c r="F18" s="17"/>
      <c r="G18" s="17"/>
      <c r="H18" s="17"/>
      <c r="I18" s="17"/>
      <c r="J18" s="17"/>
      <c r="K18" s="17"/>
      <c r="L18" s="17"/>
      <c r="M18" s="17"/>
      <c r="N18" s="17"/>
    </row>
    <row r="19" spans="1:14" ht="12" customHeight="1" x14ac:dyDescent="0.25">
      <c r="A19" s="8">
        <v>18</v>
      </c>
      <c r="B19" s="17"/>
      <c r="C19" s="21" t="s">
        <v>1503</v>
      </c>
      <c r="D19" s="17"/>
      <c r="E19" s="21" t="s">
        <v>1504</v>
      </c>
      <c r="F19" s="17"/>
      <c r="G19" s="17"/>
      <c r="H19" s="21" t="s">
        <v>740</v>
      </c>
      <c r="I19" s="17"/>
      <c r="J19" s="17"/>
      <c r="K19" s="17"/>
      <c r="L19" s="17"/>
      <c r="M19" s="17"/>
      <c r="N19" s="17"/>
    </row>
    <row r="20" spans="1:14" ht="12" customHeight="1" x14ac:dyDescent="0.25">
      <c r="A20" s="7" t="s">
        <v>1505</v>
      </c>
      <c r="B20" s="17"/>
      <c r="C20" s="114" t="str">
        <f>"("&amp;'C8C9C10'!C3&amp;" to "&amp;'C8C9C10'!C86&amp;")"</f>
        <v>(CGT1 to CGT54)</v>
      </c>
      <c r="D20" s="17"/>
      <c r="E20" s="114" t="str">
        <f>"("&amp;'C8C9C10'!C89&amp;" to "&amp;'C8C9C10'!C145&amp;")"</f>
        <v>(NRD1 to NRD54)</v>
      </c>
      <c r="F20" s="17"/>
      <c r="G20" s="17"/>
      <c r="H20" s="114" t="str">
        <f>"("&amp;'C8C9C10'!C156&amp;" to "&amp;'C8C9C10'!C166&amp;")"</f>
        <v>(CAL7 to CAL17)</v>
      </c>
      <c r="I20" s="17"/>
      <c r="J20" s="17"/>
      <c r="K20" s="17"/>
      <c r="L20" s="17"/>
      <c r="M20" s="17"/>
      <c r="N20" s="17"/>
    </row>
    <row r="21" spans="1:14" ht="12" customHeight="1" x14ac:dyDescent="0.25">
      <c r="A21" s="1271" t="b">
        <v>0</v>
      </c>
      <c r="B21" s="17"/>
      <c r="C21" s="17"/>
      <c r="D21" s="17"/>
      <c r="E21" s="17"/>
      <c r="F21" s="17"/>
      <c r="G21" s="17"/>
      <c r="H21" s="17"/>
      <c r="I21" s="17"/>
      <c r="J21" s="17"/>
      <c r="K21" s="17"/>
      <c r="L21" s="17"/>
      <c r="M21" s="17"/>
      <c r="N21" s="17"/>
    </row>
    <row r="22" spans="1:14" ht="12" customHeight="1" x14ac:dyDescent="0.25">
      <c r="A22" s="222" t="s">
        <v>1506</v>
      </c>
      <c r="B22" s="17"/>
      <c r="C22" s="17"/>
      <c r="D22" s="17"/>
      <c r="E22" s="21" t="s">
        <v>741</v>
      </c>
      <c r="F22" s="17"/>
      <c r="G22" s="17"/>
      <c r="H22" s="21" t="s">
        <v>742</v>
      </c>
      <c r="I22" s="17"/>
      <c r="J22" s="17"/>
      <c r="K22" s="17"/>
      <c r="L22" s="17"/>
      <c r="M22" s="17"/>
      <c r="N22" s="17"/>
    </row>
    <row r="23" spans="1:14" ht="12" customHeight="1" x14ac:dyDescent="0.25">
      <c r="A23" s="1272" t="b">
        <v>0</v>
      </c>
      <c r="B23" s="17"/>
      <c r="C23" s="17"/>
      <c r="D23" s="17"/>
      <c r="E23" s="114"/>
      <c r="F23" s="17"/>
      <c r="G23" s="17"/>
      <c r="H23" s="114"/>
      <c r="I23" s="17"/>
      <c r="J23" s="17"/>
      <c r="K23" s="17"/>
      <c r="L23" s="17"/>
      <c r="M23" s="17"/>
      <c r="N23" s="17"/>
    </row>
    <row r="24" spans="1:14" ht="12" customHeight="1" x14ac:dyDescent="0.25">
      <c r="A24" s="8" t="s">
        <v>1507</v>
      </c>
      <c r="B24" s="17"/>
      <c r="C24" s="17"/>
      <c r="D24" s="17"/>
      <c r="E24" s="17"/>
      <c r="F24" s="17"/>
      <c r="G24" s="17"/>
      <c r="H24" s="17"/>
      <c r="I24" s="17"/>
      <c r="J24" s="17"/>
      <c r="K24" s="17"/>
      <c r="L24" s="17"/>
      <c r="M24" s="17"/>
      <c r="N24" s="17"/>
    </row>
    <row r="25" spans="1:14" ht="12" customHeight="1" x14ac:dyDescent="0.25">
      <c r="A25" s="1272" t="b">
        <v>0</v>
      </c>
      <c r="B25" s="17"/>
      <c r="C25" s="17"/>
      <c r="D25" s="17"/>
      <c r="E25" s="17"/>
      <c r="F25" s="17"/>
      <c r="G25" s="17"/>
      <c r="H25" s="17"/>
      <c r="I25" s="17"/>
      <c r="J25" s="17"/>
      <c r="K25" s="17"/>
      <c r="L25" s="17"/>
      <c r="M25" s="17"/>
      <c r="N25" s="17"/>
    </row>
    <row r="26" spans="1:14" ht="12" customHeight="1" x14ac:dyDescent="0.25">
      <c r="B26" s="17"/>
      <c r="C26" s="17"/>
      <c r="D26" s="17"/>
      <c r="E26" s="17"/>
      <c r="F26" s="17"/>
      <c r="G26" s="17"/>
      <c r="H26" s="17"/>
      <c r="I26" s="17"/>
      <c r="J26" s="17"/>
      <c r="K26" s="17"/>
      <c r="L26" s="17"/>
      <c r="M26" s="17"/>
      <c r="N26" s="17"/>
    </row>
    <row r="27" spans="1:14" ht="14.25" customHeight="1" x14ac:dyDescent="0.25">
      <c r="B27" s="17"/>
      <c r="C27" s="17"/>
      <c r="D27" s="17"/>
      <c r="E27" s="17"/>
      <c r="F27" s="17"/>
      <c r="G27" s="17"/>
      <c r="H27" s="17"/>
      <c r="I27" s="17"/>
      <c r="J27" s="17"/>
      <c r="K27" s="17"/>
      <c r="L27" s="17"/>
      <c r="M27" s="17"/>
      <c r="N27" s="17"/>
    </row>
    <row r="28" spans="1:14" ht="8.25" customHeight="1" x14ac:dyDescent="0.25">
      <c r="B28" s="17"/>
      <c r="C28" s="17"/>
      <c r="D28" s="17"/>
      <c r="E28" s="17"/>
      <c r="F28" s="17"/>
      <c r="G28" s="17"/>
      <c r="H28" s="17"/>
      <c r="I28" s="17"/>
      <c r="J28" s="17"/>
      <c r="K28" s="17"/>
      <c r="L28" s="17"/>
      <c r="M28" s="17"/>
      <c r="N28" s="17"/>
    </row>
    <row r="29" spans="1:14" ht="12" customHeight="1" x14ac:dyDescent="0.25">
      <c r="B29" s="17"/>
      <c r="C29" s="17"/>
      <c r="D29" s="17"/>
      <c r="E29" s="17"/>
      <c r="F29" s="17"/>
      <c r="G29" s="17"/>
      <c r="H29" s="17"/>
      <c r="I29" s="17"/>
      <c r="J29" s="17"/>
      <c r="K29" s="17"/>
      <c r="L29" s="17"/>
      <c r="M29" s="17"/>
      <c r="N29" s="17"/>
    </row>
    <row r="30" spans="1:14" ht="12" customHeight="1" x14ac:dyDescent="0.25">
      <c r="B30" s="17"/>
      <c r="C30" s="17"/>
      <c r="D30" s="17"/>
      <c r="E30" s="17"/>
      <c r="F30" s="17"/>
      <c r="G30" s="17"/>
      <c r="H30" s="17"/>
      <c r="I30" s="17"/>
      <c r="J30" s="17"/>
      <c r="K30" s="17"/>
      <c r="L30" s="17"/>
      <c r="M30" s="17"/>
      <c r="N30" s="17"/>
    </row>
    <row r="31" spans="1:14" ht="12" customHeight="1" x14ac:dyDescent="0.25">
      <c r="B31" s="17"/>
      <c r="C31" s="17"/>
      <c r="D31" s="17"/>
      <c r="E31" s="17"/>
      <c r="F31" s="17"/>
      <c r="G31" s="17"/>
      <c r="H31" s="17"/>
      <c r="I31" s="17"/>
      <c r="J31" s="17"/>
      <c r="K31" s="17"/>
      <c r="L31" s="17"/>
      <c r="M31" s="17"/>
      <c r="N31" s="17"/>
    </row>
    <row r="32" spans="1:14" ht="12" customHeight="1" x14ac:dyDescent="0.25">
      <c r="B32" s="17"/>
      <c r="C32" s="17"/>
      <c r="D32" s="17"/>
      <c r="E32" s="17"/>
      <c r="F32" s="17"/>
      <c r="G32" s="17"/>
      <c r="H32" s="17"/>
      <c r="I32" s="17"/>
      <c r="J32" s="17"/>
      <c r="K32" s="17"/>
      <c r="L32" s="17"/>
      <c r="M32" s="17"/>
      <c r="N32" s="17"/>
    </row>
    <row r="33" spans="2:14" ht="12" customHeight="1" x14ac:dyDescent="0.25">
      <c r="B33" s="17"/>
      <c r="C33" s="17"/>
      <c r="D33" s="17"/>
      <c r="E33" s="17"/>
      <c r="F33" s="17"/>
      <c r="G33" s="17"/>
      <c r="H33" s="17"/>
      <c r="I33" s="17"/>
      <c r="J33" s="17"/>
      <c r="K33" s="17"/>
      <c r="L33" s="17"/>
      <c r="M33" s="17"/>
      <c r="N33" s="17"/>
    </row>
    <row r="34" spans="2:14" ht="12" customHeight="1" x14ac:dyDescent="0.25"/>
    <row r="35" spans="2:14" ht="12" customHeight="1" x14ac:dyDescent="0.25"/>
  </sheetData>
  <phoneticPr fontId="58" type="noConversion"/>
  <pageMargins left="0.75" right="0.75" top="1" bottom="1" header="0.5" footer="0.5"/>
  <pageSetup paperSize="9" orientation="portrait" horizontalDpi="1200" verticalDpi="1200"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52" r:id="rId4" name="Check Box 20">
              <controlPr defaultSize="0" autoFill="0" autoLine="0" autoPict="0" altText="Tick box to select Class 4 NIC Exempt.">
                <anchor moveWithCells="1">
                  <from>
                    <xdr:col>8</xdr:col>
                    <xdr:colOff>165100</xdr:colOff>
                    <xdr:row>10</xdr:row>
                    <xdr:rowOff>88900</xdr:rowOff>
                  </from>
                  <to>
                    <xdr:col>8</xdr:col>
                    <xdr:colOff>469900</xdr:colOff>
                    <xdr:row>12</xdr:row>
                    <xdr:rowOff>0</xdr:rowOff>
                  </to>
                </anchor>
              </controlPr>
            </control>
          </mc:Choice>
        </mc:AlternateContent>
        <mc:AlternateContent xmlns:mc="http://schemas.openxmlformats.org/markup-compatibility/2006">
          <mc:Choice Requires="x14">
            <control shapeId="44056" r:id="rId5" name="Button 24">
              <controlPr defaultSize="0" print="0" autoFill="0" autoPict="0" macro="[0]!record_settings">
                <anchor moveWithCells="1" sizeWithCells="1">
                  <from>
                    <xdr:col>10</xdr:col>
                    <xdr:colOff>12700</xdr:colOff>
                    <xdr:row>14</xdr:row>
                    <xdr:rowOff>69850</xdr:rowOff>
                  </from>
                  <to>
                    <xdr:col>11</xdr:col>
                    <xdr:colOff>412750</xdr:colOff>
                    <xdr:row>16</xdr:row>
                    <xdr:rowOff>146050</xdr:rowOff>
                  </to>
                </anchor>
              </controlPr>
            </control>
          </mc:Choice>
        </mc:AlternateContent>
        <mc:AlternateContent xmlns:mc="http://schemas.openxmlformats.org/markup-compatibility/2006">
          <mc:Choice Requires="x14">
            <control shapeId="44057" r:id="rId6" name="Button 25">
              <controlPr defaultSize="0" print="0" autoFill="0" autoPict="0" macro="[0]!Show_hide_components">
                <anchor moveWithCells="1">
                  <from>
                    <xdr:col>10</xdr:col>
                    <xdr:colOff>12700</xdr:colOff>
                    <xdr:row>5</xdr:row>
                    <xdr:rowOff>107950</xdr:rowOff>
                  </from>
                  <to>
                    <xdr:col>11</xdr:col>
                    <xdr:colOff>412750</xdr:colOff>
                    <xdr:row>7</xdr:row>
                    <xdr:rowOff>88900</xdr:rowOff>
                  </to>
                </anchor>
              </controlPr>
            </control>
          </mc:Choice>
        </mc:AlternateContent>
        <mc:AlternateContent xmlns:mc="http://schemas.openxmlformats.org/markup-compatibility/2006">
          <mc:Choice Requires="x14">
            <control shapeId="44058" r:id="rId7" name="Button 26">
              <controlPr defaultSize="0" print="0" autoFill="0" autoPict="0" macro="[0]!reset_test_selection">
                <anchor moveWithCells="1">
                  <from>
                    <xdr:col>10</xdr:col>
                    <xdr:colOff>31750</xdr:colOff>
                    <xdr:row>18</xdr:row>
                    <xdr:rowOff>88900</xdr:rowOff>
                  </from>
                  <to>
                    <xdr:col>11</xdr:col>
                    <xdr:colOff>412750</xdr:colOff>
                    <xdr:row>20</xdr:row>
                    <xdr:rowOff>114300</xdr:rowOff>
                  </to>
                </anchor>
              </controlPr>
            </control>
          </mc:Choice>
        </mc:AlternateContent>
        <mc:AlternateContent xmlns:mc="http://schemas.openxmlformats.org/markup-compatibility/2006">
          <mc:Choice Requires="x14">
            <control shapeId="44059" r:id="rId8" name="Button 27">
              <controlPr defaultSize="0" print="0" autoFill="0" autoPict="0" macro="[0]!go_select">
                <anchor moveWithCells="1">
                  <from>
                    <xdr:col>9</xdr:col>
                    <xdr:colOff>127000</xdr:colOff>
                    <xdr:row>2</xdr:row>
                    <xdr:rowOff>0</xdr:rowOff>
                  </from>
                  <to>
                    <xdr:col>11</xdr:col>
                    <xdr:colOff>393700</xdr:colOff>
                    <xdr:row>3</xdr:row>
                    <xdr:rowOff>127000</xdr:rowOff>
                  </to>
                </anchor>
              </controlPr>
            </control>
          </mc:Choice>
        </mc:AlternateContent>
        <mc:AlternateContent xmlns:mc="http://schemas.openxmlformats.org/markup-compatibility/2006">
          <mc:Choice Requires="x14">
            <control shapeId="44060" r:id="rId9" name="Button 28">
              <controlPr defaultSize="0" print="0" autoFill="0" autoPict="0" macro="[0]!test_this_case">
                <anchor moveWithCells="1">
                  <from>
                    <xdr:col>10</xdr:col>
                    <xdr:colOff>31750</xdr:colOff>
                    <xdr:row>10</xdr:row>
                    <xdr:rowOff>12700</xdr:rowOff>
                  </from>
                  <to>
                    <xdr:col>11</xdr:col>
                    <xdr:colOff>412750</xdr:colOff>
                    <xdr:row>12</xdr:row>
                    <xdr:rowOff>88900</xdr:rowOff>
                  </to>
                </anchor>
              </controlPr>
            </control>
          </mc:Choice>
        </mc:AlternateContent>
        <mc:AlternateContent xmlns:mc="http://schemas.openxmlformats.org/markup-compatibility/2006">
          <mc:Choice Requires="x14">
            <control shapeId="44062" r:id="rId10" name="Drop Down 30">
              <controlPr defaultSize="0" autoLine="0" autoPict="0" altText="Drop down button to select Employment 1.">
                <anchor moveWithCells="1">
                  <from>
                    <xdr:col>3</xdr:col>
                    <xdr:colOff>31750</xdr:colOff>
                    <xdr:row>3</xdr:row>
                    <xdr:rowOff>69850</xdr:rowOff>
                  </from>
                  <to>
                    <xdr:col>3</xdr:col>
                    <xdr:colOff>508000</xdr:colOff>
                    <xdr:row>4</xdr:row>
                    <xdr:rowOff>114300</xdr:rowOff>
                  </to>
                </anchor>
              </controlPr>
            </control>
          </mc:Choice>
        </mc:AlternateContent>
        <mc:AlternateContent xmlns:mc="http://schemas.openxmlformats.org/markup-compatibility/2006">
          <mc:Choice Requires="x14">
            <control shapeId="44063" r:id="rId11" name="Drop Down 31">
              <controlPr defaultSize="0" autoLine="0" autoPict="0" altText="Drop down button to select Employment 2.">
                <anchor moveWithCells="1">
                  <from>
                    <xdr:col>5</xdr:col>
                    <xdr:colOff>69850</xdr:colOff>
                    <xdr:row>3</xdr:row>
                    <xdr:rowOff>50800</xdr:rowOff>
                  </from>
                  <to>
                    <xdr:col>5</xdr:col>
                    <xdr:colOff>533400</xdr:colOff>
                    <xdr:row>4</xdr:row>
                    <xdr:rowOff>107950</xdr:rowOff>
                  </to>
                </anchor>
              </controlPr>
            </control>
          </mc:Choice>
        </mc:AlternateContent>
        <mc:AlternateContent xmlns:mc="http://schemas.openxmlformats.org/markup-compatibility/2006">
          <mc:Choice Requires="x14">
            <control shapeId="44064" r:id="rId12" name="Drop Down 32">
              <controlPr defaultSize="0" autoLine="0" autoPict="0" altText="Drop down button to select Ministers of Religion.">
                <anchor moveWithCells="1">
                  <from>
                    <xdr:col>8</xdr:col>
                    <xdr:colOff>31750</xdr:colOff>
                    <xdr:row>3</xdr:row>
                    <xdr:rowOff>50800</xdr:rowOff>
                  </from>
                  <to>
                    <xdr:col>8</xdr:col>
                    <xdr:colOff>508000</xdr:colOff>
                    <xdr:row>4</xdr:row>
                    <xdr:rowOff>107950</xdr:rowOff>
                  </to>
                </anchor>
              </controlPr>
            </control>
          </mc:Choice>
        </mc:AlternateContent>
        <mc:AlternateContent xmlns:mc="http://schemas.openxmlformats.org/markup-compatibility/2006">
          <mc:Choice Requires="x14">
            <control shapeId="44065" r:id="rId13" name="Drop Down 33">
              <controlPr defaultSize="0" autoLine="0" autoPict="0" altText="Drop down button to select Short Self Employment.">
                <anchor moveWithCells="1">
                  <from>
                    <xdr:col>3</xdr:col>
                    <xdr:colOff>31750</xdr:colOff>
                    <xdr:row>8</xdr:row>
                    <xdr:rowOff>50800</xdr:rowOff>
                  </from>
                  <to>
                    <xdr:col>3</xdr:col>
                    <xdr:colOff>508000</xdr:colOff>
                    <xdr:row>9</xdr:row>
                    <xdr:rowOff>107950</xdr:rowOff>
                  </to>
                </anchor>
              </controlPr>
            </control>
          </mc:Choice>
        </mc:AlternateContent>
        <mc:AlternateContent xmlns:mc="http://schemas.openxmlformats.org/markup-compatibility/2006">
          <mc:Choice Requires="x14">
            <control shapeId="44066" r:id="rId14" name="Drop Down 34">
              <controlPr defaultSize="0" autoLine="0" autoPict="0" altText="Drop down button to select Full Self Employment.">
                <anchor moveWithCells="1">
                  <from>
                    <xdr:col>5</xdr:col>
                    <xdr:colOff>50800</xdr:colOff>
                    <xdr:row>8</xdr:row>
                    <xdr:rowOff>69850</xdr:rowOff>
                  </from>
                  <to>
                    <xdr:col>5</xdr:col>
                    <xdr:colOff>527050</xdr:colOff>
                    <xdr:row>9</xdr:row>
                    <xdr:rowOff>107950</xdr:rowOff>
                  </to>
                </anchor>
              </controlPr>
            </control>
          </mc:Choice>
        </mc:AlternateContent>
        <mc:AlternateContent xmlns:mc="http://schemas.openxmlformats.org/markup-compatibility/2006">
          <mc:Choice Requires="x14">
            <control shapeId="44067" r:id="rId15" name="Drop Down 35">
              <controlPr defaultSize="0" autoLine="0" autoPict="0" altText="Drop down button to select Lloyds Underwriter.">
                <anchor moveWithCells="1">
                  <from>
                    <xdr:col>8</xdr:col>
                    <xdr:colOff>31750</xdr:colOff>
                    <xdr:row>8</xdr:row>
                    <xdr:rowOff>38100</xdr:rowOff>
                  </from>
                  <to>
                    <xdr:col>8</xdr:col>
                    <xdr:colOff>508000</xdr:colOff>
                    <xdr:row>9</xdr:row>
                    <xdr:rowOff>88900</xdr:rowOff>
                  </to>
                </anchor>
              </controlPr>
            </control>
          </mc:Choice>
        </mc:AlternateContent>
        <mc:AlternateContent xmlns:mc="http://schemas.openxmlformats.org/markup-compatibility/2006">
          <mc:Choice Requires="x14">
            <control shapeId="44068" r:id="rId16" name="Drop Down 36">
              <controlPr defaultSize="0" autoLine="0" autoPict="0" altText="Drop down button to select Short Partnership.">
                <anchor moveWithCells="1">
                  <from>
                    <xdr:col>3</xdr:col>
                    <xdr:colOff>31750</xdr:colOff>
                    <xdr:row>11</xdr:row>
                    <xdr:rowOff>38100</xdr:rowOff>
                  </from>
                  <to>
                    <xdr:col>3</xdr:col>
                    <xdr:colOff>508000</xdr:colOff>
                    <xdr:row>12</xdr:row>
                    <xdr:rowOff>88900</xdr:rowOff>
                  </to>
                </anchor>
              </controlPr>
            </control>
          </mc:Choice>
        </mc:AlternateContent>
        <mc:AlternateContent xmlns:mc="http://schemas.openxmlformats.org/markup-compatibility/2006">
          <mc:Choice Requires="x14">
            <control shapeId="44069" r:id="rId17" name="Drop Down 37">
              <controlPr defaultSize="0" autoLine="0" autoPict="0" altText="Drop down button to select Full Partnership.">
                <anchor moveWithCells="1">
                  <from>
                    <xdr:col>5</xdr:col>
                    <xdr:colOff>50800</xdr:colOff>
                    <xdr:row>11</xdr:row>
                    <xdr:rowOff>31750</xdr:rowOff>
                  </from>
                  <to>
                    <xdr:col>5</xdr:col>
                    <xdr:colOff>527050</xdr:colOff>
                    <xdr:row>12</xdr:row>
                    <xdr:rowOff>76200</xdr:rowOff>
                  </to>
                </anchor>
              </controlPr>
            </control>
          </mc:Choice>
        </mc:AlternateContent>
        <mc:AlternateContent xmlns:mc="http://schemas.openxmlformats.org/markup-compatibility/2006">
          <mc:Choice Requires="x14">
            <control shapeId="44070" r:id="rId18" name="Drop Down 38">
              <controlPr defaultSize="0" autoLine="0" autoPict="0" altText="Drop down button to select Income from Property.">
                <anchor moveWithCells="1">
                  <from>
                    <xdr:col>3</xdr:col>
                    <xdr:colOff>31750</xdr:colOff>
                    <xdr:row>15</xdr:row>
                    <xdr:rowOff>31750</xdr:rowOff>
                  </from>
                  <to>
                    <xdr:col>3</xdr:col>
                    <xdr:colOff>508000</xdr:colOff>
                    <xdr:row>16</xdr:row>
                    <xdr:rowOff>76200</xdr:rowOff>
                  </to>
                </anchor>
              </controlPr>
            </control>
          </mc:Choice>
        </mc:AlternateContent>
        <mc:AlternateContent xmlns:mc="http://schemas.openxmlformats.org/markup-compatibility/2006">
          <mc:Choice Requires="x14">
            <control shapeId="44071" r:id="rId19" name="Drop Down 39">
              <controlPr defaultSize="0" autoLine="0" autoPict="0" altText="Drop down button to select Foreign Income.">
                <anchor moveWithCells="1">
                  <from>
                    <xdr:col>5</xdr:col>
                    <xdr:colOff>50800</xdr:colOff>
                    <xdr:row>15</xdr:row>
                    <xdr:rowOff>31750</xdr:rowOff>
                  </from>
                  <to>
                    <xdr:col>5</xdr:col>
                    <xdr:colOff>527050</xdr:colOff>
                    <xdr:row>16</xdr:row>
                    <xdr:rowOff>76200</xdr:rowOff>
                  </to>
                </anchor>
              </controlPr>
            </control>
          </mc:Choice>
        </mc:AlternateContent>
        <mc:AlternateContent xmlns:mc="http://schemas.openxmlformats.org/markup-compatibility/2006">
          <mc:Choice Requires="x14">
            <control shapeId="44072" r:id="rId20" name="Drop Down 40">
              <controlPr defaultSize="0" autoLine="0" autoPict="0" altText="Drop down button to select Trust Income.">
                <anchor moveWithCells="1">
                  <from>
                    <xdr:col>8</xdr:col>
                    <xdr:colOff>31750</xdr:colOff>
                    <xdr:row>15</xdr:row>
                    <xdr:rowOff>31750</xdr:rowOff>
                  </from>
                  <to>
                    <xdr:col>8</xdr:col>
                    <xdr:colOff>508000</xdr:colOff>
                    <xdr:row>16</xdr:row>
                    <xdr:rowOff>76200</xdr:rowOff>
                  </to>
                </anchor>
              </controlPr>
            </control>
          </mc:Choice>
        </mc:AlternateContent>
        <mc:AlternateContent xmlns:mc="http://schemas.openxmlformats.org/markup-compatibility/2006">
          <mc:Choice Requires="x14">
            <control shapeId="44073" r:id="rId21" name="Drop Down 41">
              <controlPr defaultSize="0" autoLine="0" autoPict="0" altText="Drop down button to select Capital Gains.">
                <anchor moveWithCells="1">
                  <from>
                    <xdr:col>3</xdr:col>
                    <xdr:colOff>31750</xdr:colOff>
                    <xdr:row>18</xdr:row>
                    <xdr:rowOff>69850</xdr:rowOff>
                  </from>
                  <to>
                    <xdr:col>3</xdr:col>
                    <xdr:colOff>508000</xdr:colOff>
                    <xdr:row>19</xdr:row>
                    <xdr:rowOff>107950</xdr:rowOff>
                  </to>
                </anchor>
              </controlPr>
            </control>
          </mc:Choice>
        </mc:AlternateContent>
        <mc:AlternateContent xmlns:mc="http://schemas.openxmlformats.org/markup-compatibility/2006">
          <mc:Choice Requires="x14">
            <control shapeId="44074" r:id="rId22" name="Drop Down 42">
              <controlPr defaultSize="0" autoLine="0" autoPict="0" altText="Drop down button to select Residence etc.">
                <anchor moveWithCells="1">
                  <from>
                    <xdr:col>5</xdr:col>
                    <xdr:colOff>50800</xdr:colOff>
                    <xdr:row>18</xdr:row>
                    <xdr:rowOff>50800</xdr:rowOff>
                  </from>
                  <to>
                    <xdr:col>5</xdr:col>
                    <xdr:colOff>527050</xdr:colOff>
                    <xdr:row>19</xdr:row>
                    <xdr:rowOff>107950</xdr:rowOff>
                  </to>
                </anchor>
              </controlPr>
            </control>
          </mc:Choice>
        </mc:AlternateContent>
        <mc:AlternateContent xmlns:mc="http://schemas.openxmlformats.org/markup-compatibility/2006">
          <mc:Choice Requires="x14">
            <control shapeId="44079" r:id="rId23" name="Drop Down 47">
              <controlPr defaultSize="0" autoLine="0" autoPict="0" altText="Drop down button to select Tax calculation summary.">
                <anchor moveWithCells="1">
                  <from>
                    <xdr:col>8</xdr:col>
                    <xdr:colOff>31750</xdr:colOff>
                    <xdr:row>18</xdr:row>
                    <xdr:rowOff>50800</xdr:rowOff>
                  </from>
                  <to>
                    <xdr:col>8</xdr:col>
                    <xdr:colOff>508000</xdr:colOff>
                    <xdr:row>19</xdr:row>
                    <xdr:rowOff>107950</xdr:rowOff>
                  </to>
                </anchor>
              </controlPr>
            </control>
          </mc:Choice>
        </mc:AlternateContent>
        <mc:AlternateContent xmlns:mc="http://schemas.openxmlformats.org/markup-compatibility/2006">
          <mc:Choice Requires="x14">
            <control shapeId="44080" r:id="rId24" name="Check Box 48">
              <controlPr defaultSize="0" autoFill="0" autoLine="0" autoPict="0" altText="Tick box to select Class 2 Voluntary.">
                <anchor moveWithCells="1">
                  <from>
                    <xdr:col>8</xdr:col>
                    <xdr:colOff>165100</xdr:colOff>
                    <xdr:row>12</xdr:row>
                    <xdr:rowOff>31750</xdr:rowOff>
                  </from>
                  <to>
                    <xdr:col>8</xdr:col>
                    <xdr:colOff>469900</xdr:colOff>
                    <xdr:row>13</xdr:row>
                    <xdr:rowOff>107950</xdr:rowOff>
                  </to>
                </anchor>
              </controlPr>
            </control>
          </mc:Choice>
        </mc:AlternateContent>
        <mc:AlternateContent xmlns:mc="http://schemas.openxmlformats.org/markup-compatibility/2006">
          <mc:Choice Requires="x14">
            <control shapeId="44081" r:id="rId25" name="Drop Down 49">
              <controlPr defaultSize="0" autoLine="0" autoPict="0" altText="Drop down button to select Class 2 NIC.">
                <anchor moveWithCells="1">
                  <from>
                    <xdr:col>5</xdr:col>
                    <xdr:colOff>50800</xdr:colOff>
                    <xdr:row>21</xdr:row>
                    <xdr:rowOff>38100</xdr:rowOff>
                  </from>
                  <to>
                    <xdr:col>5</xdr:col>
                    <xdr:colOff>527050</xdr:colOff>
                    <xdr:row>22</xdr:row>
                    <xdr:rowOff>88900</xdr:rowOff>
                  </to>
                </anchor>
              </controlPr>
            </control>
          </mc:Choice>
        </mc:AlternateContent>
        <mc:AlternateContent xmlns:mc="http://schemas.openxmlformats.org/markup-compatibility/2006">
          <mc:Choice Requires="x14">
            <control shapeId="44082" r:id="rId26" name="Drop Down 50">
              <controlPr defaultSize="0" autoLine="0" autoPict="0" altText="Drop down button to select Class 1 NIC.">
                <anchor moveWithCells="1">
                  <from>
                    <xdr:col>8</xdr:col>
                    <xdr:colOff>38100</xdr:colOff>
                    <xdr:row>21</xdr:row>
                    <xdr:rowOff>50800</xdr:rowOff>
                  </from>
                  <to>
                    <xdr:col>8</xdr:col>
                    <xdr:colOff>527050</xdr:colOff>
                    <xdr:row>22</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dimension ref="A1:BJ133"/>
  <sheetViews>
    <sheetView showGridLines="0" topLeftCell="U41" zoomScale="106" zoomScaleNormal="106" workbookViewId="0">
      <selection activeCell="AF76" sqref="AF76"/>
    </sheetView>
  </sheetViews>
  <sheetFormatPr defaultColWidth="9.1796875" defaultRowHeight="11.5" x14ac:dyDescent="0.25"/>
  <cols>
    <col min="1" max="1" width="7" style="107" customWidth="1"/>
    <col min="2" max="2" width="11.453125" style="11" customWidth="1"/>
    <col min="3" max="3" width="2.453125" style="11" customWidth="1"/>
    <col min="4" max="4" width="5.54296875" style="11" customWidth="1"/>
    <col min="5" max="5" width="11.81640625" style="11" customWidth="1"/>
    <col min="6" max="6" width="2.54296875" style="11" customWidth="1"/>
    <col min="7" max="7" width="5.1796875" style="11" customWidth="1"/>
    <col min="8" max="8" width="12" style="11" customWidth="1"/>
    <col min="9" max="9" width="2.453125" style="11" customWidth="1"/>
    <col min="10" max="10" width="4.81640625" style="11" customWidth="1"/>
    <col min="11" max="11" width="12.54296875" style="11" customWidth="1"/>
    <col min="12" max="12" width="2.1796875" style="11" customWidth="1"/>
    <col min="13" max="13" width="7.54296875" style="107" customWidth="1"/>
    <col min="14" max="14" width="12.54296875" style="11" customWidth="1"/>
    <col min="15" max="15" width="2.453125" style="11" customWidth="1"/>
    <col min="16" max="16" width="8" style="11" customWidth="1"/>
    <col min="17" max="17" width="11.54296875" style="11" customWidth="1"/>
    <col min="18" max="18" width="2.54296875" style="11" customWidth="1"/>
    <col min="19" max="19" width="4.54296875" style="11" customWidth="1"/>
    <col min="20" max="20" width="11.453125" style="11" customWidth="1"/>
    <col min="21" max="21" width="3.1796875" style="11" customWidth="1"/>
    <col min="22" max="22" width="4.54296875" style="11" customWidth="1"/>
    <col min="23" max="23" width="11.81640625" style="11" customWidth="1"/>
    <col min="24" max="24" width="2.81640625" style="11" customWidth="1"/>
    <col min="25" max="25" width="5.1796875" style="11" customWidth="1"/>
    <col min="26" max="26" width="12.81640625" style="11" customWidth="1"/>
    <col min="27" max="27" width="3.453125" style="11" customWidth="1"/>
    <col min="28" max="28" width="4.1796875" style="8" customWidth="1"/>
    <col min="29" max="29" width="11.81640625" style="8" customWidth="1"/>
    <col min="30" max="30" width="2.54296875" style="8" customWidth="1"/>
    <col min="31" max="31" width="4.1796875" style="8" customWidth="1"/>
    <col min="32" max="32" width="12" style="8" customWidth="1"/>
    <col min="33" max="33" width="2.54296875" style="8" customWidth="1"/>
    <col min="34" max="34" width="4.54296875" style="8" customWidth="1"/>
    <col min="35" max="35" width="11.81640625" style="8" customWidth="1"/>
    <col min="36" max="36" width="2.54296875" style="8" customWidth="1"/>
    <col min="37" max="37" width="4.81640625" style="8" customWidth="1"/>
    <col min="38" max="38" width="13.54296875" style="8" customWidth="1"/>
    <col min="39" max="39" width="1.54296875" style="8" customWidth="1"/>
    <col min="40" max="40" width="4.54296875" style="8" customWidth="1"/>
    <col min="41" max="41" width="12.1796875" style="8" customWidth="1"/>
    <col min="42" max="42" width="2.54296875" style="8" customWidth="1"/>
    <col min="43" max="43" width="4.1796875" style="8" customWidth="1"/>
    <col min="44" max="44" width="11.81640625" style="8" customWidth="1"/>
    <col min="45" max="45" width="2.54296875" style="8" customWidth="1"/>
    <col min="46" max="46" width="6.1796875" style="8" customWidth="1"/>
    <col min="47" max="47" width="11.1796875" style="8" customWidth="1"/>
    <col min="48" max="48" width="2.1796875" style="8" customWidth="1"/>
    <col min="49" max="49" width="6.1796875" style="8" customWidth="1"/>
    <col min="50" max="50" width="11" style="8" customWidth="1"/>
    <col min="51" max="51" width="2.1796875" style="8" customWidth="1"/>
    <col min="52" max="52" width="4.1796875" style="8" customWidth="1"/>
    <col min="53" max="53" width="12.1796875" style="8" customWidth="1"/>
    <col min="54" max="54" width="2.54296875" style="8" customWidth="1"/>
    <col min="55" max="55" width="4.453125" style="8" customWidth="1"/>
    <col min="56" max="56" width="10.1796875" style="8" customWidth="1"/>
    <col min="57" max="57" width="2.54296875" style="8" customWidth="1"/>
    <col min="58" max="58" width="5.1796875" style="8" customWidth="1"/>
    <col min="59" max="59" width="11.54296875" style="8" customWidth="1"/>
    <col min="60" max="60" width="2" style="8" customWidth="1"/>
    <col min="61" max="61" width="14.54296875" style="107" customWidth="1"/>
    <col min="62" max="62" width="13.54296875" style="8" customWidth="1"/>
    <col min="63" max="63" width="3.54296875" style="8" customWidth="1"/>
    <col min="64" max="64" width="6.54296875" style="8" customWidth="1"/>
    <col min="65" max="65" width="13.1796875" style="8" customWidth="1"/>
    <col min="66" max="16384" width="9.1796875" style="8"/>
  </cols>
  <sheetData>
    <row r="1" spans="1:62" x14ac:dyDescent="0.25">
      <c r="A1" s="108"/>
      <c r="B1" s="8" t="str">
        <f>IF(Selector!F4="","","Test case "&amp;Selector!F4)</f>
        <v>Test case 168</v>
      </c>
      <c r="C1" s="8"/>
      <c r="D1" s="8"/>
      <c r="E1" s="8"/>
      <c r="F1" s="8"/>
      <c r="G1" s="108"/>
      <c r="H1" s="8"/>
      <c r="I1" s="8"/>
      <c r="J1" s="108"/>
      <c r="K1" s="8"/>
      <c r="L1" s="8"/>
      <c r="M1" s="108"/>
      <c r="N1" s="8"/>
      <c r="O1" s="8"/>
      <c r="P1" s="8"/>
      <c r="Q1" s="8"/>
      <c r="R1" s="8"/>
      <c r="S1" s="8"/>
      <c r="T1" s="8"/>
      <c r="U1" s="8"/>
      <c r="V1" s="108"/>
      <c r="W1" s="8"/>
      <c r="X1" s="8"/>
      <c r="Y1" s="8"/>
      <c r="Z1" s="8"/>
      <c r="AA1" s="8"/>
      <c r="AQ1" s="108"/>
      <c r="BI1" s="108"/>
    </row>
    <row r="2" spans="1:62" x14ac:dyDescent="0.25">
      <c r="A2" s="1273"/>
      <c r="B2" s="1274"/>
      <c r="C2" s="1275" t="s">
        <v>1508</v>
      </c>
      <c r="D2" s="1276"/>
      <c r="E2" s="1277"/>
      <c r="F2" s="8"/>
      <c r="G2" s="1273"/>
      <c r="H2" s="1274"/>
      <c r="I2" s="1275" t="s">
        <v>1509</v>
      </c>
      <c r="J2" s="1276"/>
      <c r="K2" s="1277"/>
      <c r="L2" s="8"/>
      <c r="M2" s="1273"/>
      <c r="N2" s="1278" t="s">
        <v>1510</v>
      </c>
      <c r="O2" s="8"/>
      <c r="P2" s="1273"/>
      <c r="Q2" s="1278" t="s">
        <v>1511</v>
      </c>
      <c r="R2" s="8"/>
      <c r="S2" s="1273"/>
      <c r="T2" s="1278" t="s">
        <v>1512</v>
      </c>
      <c r="U2" s="8"/>
      <c r="V2" s="1273"/>
      <c r="W2" s="1274"/>
      <c r="X2" s="1279" t="s">
        <v>1513</v>
      </c>
      <c r="Y2" s="1275"/>
      <c r="Z2" s="1280"/>
      <c r="AA2" s="8"/>
      <c r="AB2" s="1273"/>
      <c r="AC2" s="1274"/>
      <c r="AD2" s="1275" t="s">
        <v>1514</v>
      </c>
      <c r="AE2" s="1274"/>
      <c r="AF2" s="1277"/>
      <c r="AH2" s="1273"/>
      <c r="AI2" s="1278" t="s">
        <v>1515</v>
      </c>
      <c r="AK2" s="1273"/>
      <c r="AL2" s="1276"/>
      <c r="AM2" s="1275" t="s">
        <v>1516</v>
      </c>
      <c r="AN2" s="1276"/>
      <c r="AO2" s="1278"/>
      <c r="AQ2" s="1273"/>
      <c r="AR2" s="1278" t="s">
        <v>1517</v>
      </c>
      <c r="AT2" s="1273"/>
      <c r="AU2" s="1274"/>
      <c r="AV2" s="1278" t="s">
        <v>1518</v>
      </c>
      <c r="AW2" s="1273"/>
      <c r="AX2" s="1278"/>
      <c r="AZ2" s="1273"/>
      <c r="BA2" s="1278" t="s">
        <v>1519</v>
      </c>
      <c r="BC2" s="1273"/>
      <c r="BD2" s="1278" t="s">
        <v>1520</v>
      </c>
      <c r="BF2" s="1273"/>
      <c r="BG2" s="1278" t="s">
        <v>1521</v>
      </c>
      <c r="BI2" s="1273"/>
      <c r="BJ2" s="1278" t="s">
        <v>1522</v>
      </c>
    </row>
    <row r="3" spans="1:62" ht="12" thickBot="1" x14ac:dyDescent="0.3">
      <c r="A3" s="108" t="s">
        <v>0</v>
      </c>
      <c r="B3" s="8"/>
      <c r="C3" s="8"/>
      <c r="D3" s="839" t="s">
        <v>1523</v>
      </c>
      <c r="E3" s="840" t="str">
        <f>"Selected  = "&amp;REL_A_IND-1&amp;"/"&amp;REL_B_IND-1&amp;"/"&amp;REL_C_IND-1</f>
        <v>Selected  = 0/0/0</v>
      </c>
      <c r="F3" s="8"/>
      <c r="G3" s="108" t="s">
        <v>86</v>
      </c>
      <c r="H3" s="840" t="str">
        <f>"Selected  = "&amp;AOI_A_IND-1&amp;"/"&amp;AOI_B_IND-1&amp;"/"&amp;AOI_C_IND-1</f>
        <v>Selected  = 0/0/0</v>
      </c>
      <c r="I3" s="8"/>
      <c r="J3" s="108" t="s">
        <v>19</v>
      </c>
      <c r="K3" s="840" t="str">
        <f>"Selected  = "&amp;MCA_IND-1</f>
        <v>Selected  = 0</v>
      </c>
      <c r="L3" s="8"/>
      <c r="M3" s="108" t="s">
        <v>1524</v>
      </c>
      <c r="N3" s="112" t="str">
        <f>"Selected  = "&amp;EMP_A_IND-1</f>
        <v>Selected  = 168</v>
      </c>
      <c r="O3" s="8"/>
      <c r="P3" s="108" t="s">
        <v>23</v>
      </c>
      <c r="Q3" s="112" t="str">
        <f>"Selected  = "&amp;MOR_IND-1</f>
        <v>Selected  = 0</v>
      </c>
      <c r="R3" s="8"/>
      <c r="S3" s="108" t="s">
        <v>24</v>
      </c>
      <c r="T3" s="112" t="str">
        <f>"Selected  = "&amp;SE_A_IND-1</f>
        <v>Selected  = 168</v>
      </c>
      <c r="U3" s="8"/>
      <c r="V3" s="108" t="s">
        <v>25</v>
      </c>
      <c r="W3" s="112" t="str">
        <f>"Selected  = "&amp;SE_B_IND-1</f>
        <v>Selected  = 0</v>
      </c>
      <c r="X3" s="8"/>
      <c r="Y3" s="108" t="s">
        <v>25</v>
      </c>
      <c r="Z3" s="112" t="str">
        <f>"Selected  = "&amp;SE_B_IND-1</f>
        <v>Selected  = 0</v>
      </c>
      <c r="AA3" s="8"/>
      <c r="AB3" s="108" t="s">
        <v>26</v>
      </c>
      <c r="AC3" s="112" t="str">
        <f>"Selected  = "&amp;LUN_IND-1</f>
        <v>Selected  = 0</v>
      </c>
      <c r="AE3" s="108" t="s">
        <v>26</v>
      </c>
      <c r="AF3" s="112" t="str">
        <f>"Selected  = "&amp;LUN_IND-1</f>
        <v>Selected  = 0</v>
      </c>
      <c r="AH3" s="108" t="s">
        <v>27</v>
      </c>
      <c r="AI3" s="112" t="str">
        <f>"Selected  = "&amp;PS_A_IND-1</f>
        <v>Selected  = 168</v>
      </c>
      <c r="AK3" s="108" t="s">
        <v>28</v>
      </c>
      <c r="AL3" s="112" t="str">
        <f>"Selected  = "&amp;PS_B_IND-1</f>
        <v>Selected  = 0</v>
      </c>
      <c r="AM3" s="112"/>
      <c r="AN3" s="108" t="s">
        <v>28</v>
      </c>
      <c r="AO3" s="112" t="str">
        <f>"Selected  = "&amp;PS_B_IND-1</f>
        <v>Selected  = 0</v>
      </c>
      <c r="AQ3" s="108" t="s">
        <v>33</v>
      </c>
      <c r="AR3" s="112" t="str">
        <f>"Selected  = "&amp;PRO_IND-1</f>
        <v>Selected  = 0</v>
      </c>
      <c r="AT3" s="108" t="s">
        <v>34</v>
      </c>
      <c r="AU3" s="112" t="str">
        <f>"Selected  = "&amp;FOR_IND-1</f>
        <v>Selected  = 168</v>
      </c>
      <c r="AW3" s="108" t="s">
        <v>34</v>
      </c>
      <c r="AX3" s="112" t="str">
        <f>"Selected  = "&amp;FOR_IND-1</f>
        <v>Selected  = 168</v>
      </c>
      <c r="AZ3" s="108" t="s">
        <v>36</v>
      </c>
      <c r="BA3" s="112" t="str">
        <f>"Selected  = "&amp;TRU_IND-1</f>
        <v>Selected  = 0</v>
      </c>
      <c r="BC3" s="108" t="s">
        <v>37</v>
      </c>
      <c r="BD3" s="112" t="str">
        <f>"Selected  = "&amp;CGT_IND-1</f>
        <v>Selected  = 168</v>
      </c>
      <c r="BF3" s="108" t="s">
        <v>38</v>
      </c>
      <c r="BG3" s="112" t="str">
        <f>"Selected  = "&amp;NRD_IND-1</f>
        <v>Selected  = 0</v>
      </c>
      <c r="BI3" s="108" t="s">
        <v>39</v>
      </c>
      <c r="BJ3" s="112" t="str">
        <f>"Selected  = "&amp;CAL_IND-1</f>
        <v>Selected  = 0</v>
      </c>
    </row>
    <row r="4" spans="1:62" ht="12" thickBot="1" x14ac:dyDescent="0.3">
      <c r="A4" s="1281" t="s">
        <v>1525</v>
      </c>
      <c r="B4" s="1282" t="str">
        <f>IF(C0!B4&lt;&gt;"",C0!B4,"")</f>
        <v>23/04/1987</v>
      </c>
      <c r="C4" s="8"/>
      <c r="D4" s="109" t="s">
        <v>1525</v>
      </c>
      <c r="E4" s="1283" t="str">
        <f>IF(C0!B39&lt;&gt;"",C0!B39,"")</f>
        <v/>
      </c>
      <c r="F4" s="8"/>
      <c r="G4" s="109" t="s">
        <v>1525</v>
      </c>
      <c r="H4" s="1284" t="str">
        <f>IF('C1'!B4&lt;&gt;"",'C1'!B4,"")</f>
        <v/>
      </c>
      <c r="I4" s="8"/>
      <c r="J4" s="109" t="s">
        <v>1525</v>
      </c>
      <c r="K4" s="1284" t="str">
        <f>IF('C1'!B75&lt;&gt;0,'C1'!B75,"")</f>
        <v/>
      </c>
      <c r="L4" s="8"/>
      <c r="M4" s="109" t="s">
        <v>1525</v>
      </c>
      <c r="N4" s="1284">
        <f>IF('C2'!B3&lt;&gt;0,'C2'!B3,"")</f>
        <v>89201</v>
      </c>
      <c r="O4" s="8"/>
      <c r="P4" s="109" t="s">
        <v>1525</v>
      </c>
      <c r="Q4" s="1284" t="str">
        <f>IF('C2'!B61&lt;&gt;0,'C2'!B61,"")</f>
        <v/>
      </c>
      <c r="R4" s="8"/>
      <c r="S4" s="109" t="s">
        <v>1525</v>
      </c>
      <c r="T4" s="1284" t="str">
        <f>IF('C3'!B3&lt;&gt;0,'C3'!B3,"")</f>
        <v>caterer</v>
      </c>
      <c r="U4" s="8"/>
      <c r="V4" s="109" t="s">
        <v>1525</v>
      </c>
      <c r="W4" s="1284" t="str">
        <f>IF('C3'!B49&lt;&gt;0,'C3'!B49,"")</f>
        <v/>
      </c>
      <c r="X4" s="8"/>
      <c r="Y4" s="1285" t="s">
        <v>1526</v>
      </c>
      <c r="Z4" s="1284" t="str">
        <f>IF('C3'!B105&lt;&gt;0,'C3'!B105,"")</f>
        <v/>
      </c>
      <c r="AA4" s="8"/>
      <c r="AB4" s="109" t="s">
        <v>1525</v>
      </c>
      <c r="AC4" s="1284" t="str">
        <f>IF('C3'!B158&lt;&gt;0,'C3'!B158,"")</f>
        <v/>
      </c>
      <c r="AE4" s="109" t="s">
        <v>1527</v>
      </c>
      <c r="AF4" s="1284" t="str">
        <f>IF('C3'!B205&lt;&gt;0,'C3'!B205,"")</f>
        <v/>
      </c>
      <c r="AH4" s="109" t="s">
        <v>1525</v>
      </c>
      <c r="AI4" s="1286">
        <f>IF('C4'!B3&lt;&gt;0,'C4'!B3,"")</f>
        <v>1000050020</v>
      </c>
      <c r="AK4" s="109" t="s">
        <v>1525</v>
      </c>
      <c r="AL4" s="1287" t="str">
        <f>IF('C4'!B32&lt;&gt;0,'C4'!B32,"")</f>
        <v/>
      </c>
      <c r="AM4" s="11"/>
      <c r="AN4" s="109" t="s">
        <v>1528</v>
      </c>
      <c r="AO4" s="1283" t="str">
        <f>IF('C4'!B87&lt;&gt;0,'C4'!B87,"")</f>
        <v/>
      </c>
      <c r="AQ4" s="109" t="s">
        <v>1525</v>
      </c>
      <c r="AR4" s="1292" t="str">
        <f>IF('C5'!B2&lt;&gt;0,'C5'!B2,"")</f>
        <v/>
      </c>
      <c r="AT4" s="841">
        <v>1</v>
      </c>
      <c r="AU4" s="1284" t="str">
        <f>IF('C6'!B2&lt;&gt;0,'C6'!B2,"")</f>
        <v/>
      </c>
      <c r="AW4" s="694">
        <v>13.1</v>
      </c>
      <c r="AX4" s="1284" t="str">
        <f>IF('C6'!B96&lt;&gt;0,'C6'!B96,"")</f>
        <v/>
      </c>
      <c r="AZ4" s="109" t="s">
        <v>1525</v>
      </c>
      <c r="BA4" s="1284" t="str">
        <f>IF('C7'!B2&lt;&gt;0,'C7'!B2,"")</f>
        <v/>
      </c>
      <c r="BC4" s="109" t="s">
        <v>1525</v>
      </c>
      <c r="BD4" s="1284" t="str">
        <f>IF('C8C9C10'!B3&lt;&gt;0,'C8C9C10'!B3,"")</f>
        <v/>
      </c>
      <c r="BF4" s="109" t="s">
        <v>1525</v>
      </c>
      <c r="BG4" s="1286" t="str">
        <f>IF('C8C9C10'!B89&lt;&gt;"",'C8C9C10'!B89,"")</f>
        <v/>
      </c>
      <c r="BI4" s="109" t="s">
        <v>1525</v>
      </c>
      <c r="BJ4" s="1284">
        <f>IF(box_18_3&lt;0,"",ROUND(box_18_3,2))</f>
        <v>0</v>
      </c>
    </row>
    <row r="5" spans="1:62" ht="12" thickBot="1" x14ac:dyDescent="0.3">
      <c r="A5" s="1281" t="s">
        <v>1529</v>
      </c>
      <c r="B5" s="1282"/>
      <c r="C5" s="8"/>
      <c r="D5" s="109" t="s">
        <v>1530</v>
      </c>
      <c r="E5" s="1283" t="str">
        <f>IF(C0!B40&lt;&gt;"",C0!B40,"")</f>
        <v/>
      </c>
      <c r="F5" s="8"/>
      <c r="G5" s="1285" t="s">
        <v>1529</v>
      </c>
      <c r="H5" s="1284" t="str">
        <f>IF('C1'!B5&lt;&gt;"",'C1'!B5,"")</f>
        <v/>
      </c>
      <c r="I5" s="8"/>
      <c r="J5" s="1285" t="s">
        <v>1529</v>
      </c>
      <c r="K5" s="1282" t="str">
        <f>IF('C1'!B76&lt;&gt;0,'C1'!B76,"")</f>
        <v/>
      </c>
      <c r="L5" s="8"/>
      <c r="M5" s="1285" t="s">
        <v>1530</v>
      </c>
      <c r="N5" s="1284" t="str">
        <f>IF('C2'!B4&lt;&gt;0,'C2'!B4,"")</f>
        <v/>
      </c>
      <c r="O5" s="8"/>
      <c r="P5" s="1285" t="s">
        <v>1529</v>
      </c>
      <c r="Q5" s="1284" t="str">
        <f>IF('C2'!B62&lt;&gt;0,'C2'!B62,"")</f>
        <v/>
      </c>
      <c r="R5" s="8"/>
      <c r="S5" s="1285" t="s">
        <v>1529</v>
      </c>
      <c r="T5" s="1284" t="str">
        <f>IF('C3'!B4&lt;&gt;0,'C3'!B4,"")</f>
        <v/>
      </c>
      <c r="U5" s="8"/>
      <c r="V5" s="1285" t="s">
        <v>1529</v>
      </c>
      <c r="W5" s="1284" t="str">
        <f>IF('C3'!B50&lt;&gt;0,'C3'!B50,"")</f>
        <v/>
      </c>
      <c r="X5" s="8"/>
      <c r="Y5" s="1285" t="s">
        <v>1531</v>
      </c>
      <c r="Z5" s="1284" t="str">
        <f>IF('C3'!B106&lt;&gt;0,'C3'!B106,"")</f>
        <v/>
      </c>
      <c r="AA5" s="8"/>
      <c r="AB5" s="1285" t="s">
        <v>1529</v>
      </c>
      <c r="AC5" s="1284" t="str">
        <f>IF('C3'!B159&lt;&gt;0,'C3'!B159,"")</f>
        <v/>
      </c>
      <c r="AE5" s="1285" t="s">
        <v>1528</v>
      </c>
      <c r="AF5" s="1284" t="str">
        <f>IF('C3'!B206&lt;&gt;0,'C3'!B206,"")</f>
        <v/>
      </c>
      <c r="AH5" s="1285" t="s">
        <v>1529</v>
      </c>
      <c r="AI5" s="1286" t="str">
        <f>IF('C4'!B4&lt;&gt;0,'C4'!B4,"")</f>
        <v>trader</v>
      </c>
      <c r="AK5" s="1285" t="s">
        <v>1529</v>
      </c>
      <c r="AL5" s="1287" t="str">
        <f>IF('C4'!B33&lt;&gt;0,'C4'!B33,"")</f>
        <v/>
      </c>
      <c r="AM5" s="11"/>
      <c r="AN5" s="1285" t="s">
        <v>1526</v>
      </c>
      <c r="AO5" s="1283" t="str">
        <f>IF('C4'!B88&lt;&gt;0,'C4'!B88,"")</f>
        <v/>
      </c>
      <c r="AQ5" s="1285" t="s">
        <v>1529</v>
      </c>
      <c r="AR5" s="1283" t="str">
        <f>IF('C5'!B3&lt;&gt;0,'C5'!B3,"")</f>
        <v/>
      </c>
      <c r="AT5" s="1288">
        <v>2</v>
      </c>
      <c r="AU5" s="1284" t="str">
        <f>IF('C6'!B3&lt;&gt;0,'C6'!B3,"")</f>
        <v/>
      </c>
      <c r="AW5" s="694">
        <v>13.2</v>
      </c>
      <c r="AX5" s="1284" t="str">
        <f>IF('C6'!B97&lt;&gt;0,'C6'!B97,"")</f>
        <v/>
      </c>
      <c r="AZ5" s="1285" t="s">
        <v>1529</v>
      </c>
      <c r="BA5" s="1284" t="str">
        <f>IF('C7'!B3&lt;&gt;0,'C7'!B3,"")</f>
        <v/>
      </c>
      <c r="BC5" s="1285" t="s">
        <v>1529</v>
      </c>
      <c r="BD5" s="1284" t="str">
        <f>IF('C8C9C10'!B4&lt;&gt;0,'C8C9C10'!B4,"")</f>
        <v/>
      </c>
      <c r="BF5" s="1285" t="s">
        <v>1529</v>
      </c>
      <c r="BG5" s="1289" t="s">
        <v>1532</v>
      </c>
      <c r="BI5" s="1285" t="s">
        <v>1529</v>
      </c>
      <c r="BJ5" s="1284" t="str">
        <f>IF(box_18_3&lt;0,-1*box_18_3,"")</f>
        <v/>
      </c>
    </row>
    <row r="6" spans="1:62" ht="12" thickBot="1" x14ac:dyDescent="0.3">
      <c r="A6" s="1281" t="s">
        <v>1533</v>
      </c>
      <c r="B6" s="1290"/>
      <c r="C6" s="8"/>
      <c r="D6" s="1285" t="s">
        <v>1529</v>
      </c>
      <c r="E6" s="1283" t="str">
        <f>IF(C0!B41&lt;&gt;"",C0!B41,"")</f>
        <v/>
      </c>
      <c r="F6" s="8"/>
      <c r="G6" s="695" t="s">
        <v>1533</v>
      </c>
      <c r="H6" s="1284" t="str">
        <f>IF('C1'!B6&lt;&gt;"",'C1'!B6,"")</f>
        <v/>
      </c>
      <c r="I6" s="8"/>
      <c r="J6" s="1285" t="s">
        <v>1533</v>
      </c>
      <c r="K6" s="1284" t="str">
        <f>IF('C1'!B77&lt;&gt;0,'C1'!B77,"")</f>
        <v/>
      </c>
      <c r="L6" s="8"/>
      <c r="M6" s="1285" t="s">
        <v>1529</v>
      </c>
      <c r="N6" s="1284">
        <f>IF('C2'!B5&lt;&gt;0,'C2'!B5,"")</f>
        <v>14056</v>
      </c>
      <c r="O6" s="8"/>
      <c r="P6" s="1285" t="s">
        <v>1534</v>
      </c>
      <c r="Q6" s="1284" t="str">
        <f>IF('C2'!B63&lt;&gt;0,'C2'!B63,"")</f>
        <v/>
      </c>
      <c r="R6" s="8"/>
      <c r="S6" s="1285" t="s">
        <v>1533</v>
      </c>
      <c r="T6" s="1284" t="str">
        <f>IF('C3'!B5&lt;&gt;0,'C3'!B5,"")</f>
        <v/>
      </c>
      <c r="U6" s="8"/>
      <c r="V6" s="1285" t="s">
        <v>1533</v>
      </c>
      <c r="W6" s="1284" t="str">
        <f>IF('C3'!B51&lt;&gt;0,'C3'!B51,"")</f>
        <v/>
      </c>
      <c r="X6" s="8"/>
      <c r="Y6" s="1285" t="s">
        <v>1535</v>
      </c>
      <c r="Z6" s="1284" t="str">
        <f>IF('C3'!B107&lt;&gt;0,'C3'!B107,"")</f>
        <v/>
      </c>
      <c r="AA6" s="8"/>
      <c r="AB6" s="1285" t="s">
        <v>1534</v>
      </c>
      <c r="AC6" s="1284" t="s">
        <v>1532</v>
      </c>
      <c r="AE6" s="1285" t="s">
        <v>1526</v>
      </c>
      <c r="AF6" s="1284" t="str">
        <f>IF('C3'!B207&lt;&gt;0,'C3'!B207,"")</f>
        <v/>
      </c>
      <c r="AH6" s="1291" t="s">
        <v>1536</v>
      </c>
      <c r="AI6" s="1286" t="str">
        <f>IF('C4'!B5&lt;&gt;0,'C4'!B5,"")</f>
        <v>N</v>
      </c>
      <c r="AK6" s="1291" t="s">
        <v>1536</v>
      </c>
      <c r="AL6" s="1287" t="str">
        <f>IF('C4'!B34&lt;&gt;0,'C4'!B34,"")</f>
        <v/>
      </c>
      <c r="AM6" s="842"/>
      <c r="AN6" s="1285" t="s">
        <v>1535</v>
      </c>
      <c r="AO6" s="1283" t="str">
        <f>IF('C4'!B89&lt;&gt;0,'C4'!B89,"")</f>
        <v/>
      </c>
      <c r="AQ6" s="1285" t="s">
        <v>1533</v>
      </c>
      <c r="AR6" s="1283" t="str">
        <f>IF('C5'!B4&lt;&gt;0,'C5'!B4,"")</f>
        <v/>
      </c>
      <c r="AT6" s="1288" t="s">
        <v>1537</v>
      </c>
      <c r="AU6" s="1284" t="str">
        <f>IF('C6'!B4&lt;&gt;0,'C6'!B4,"")</f>
        <v>GGY</v>
      </c>
      <c r="AW6" s="841">
        <v>14</v>
      </c>
      <c r="AX6" s="1284" t="str">
        <f>IF('C6'!B98&lt;&gt;0,'C6'!B98,"")</f>
        <v/>
      </c>
      <c r="AZ6" s="1285" t="s">
        <v>1533</v>
      </c>
      <c r="BA6" s="1284" t="str">
        <f>IF('C7'!B4&lt;&gt;0,'C7'!B4,"")</f>
        <v/>
      </c>
      <c r="BC6" s="1285" t="s">
        <v>1533</v>
      </c>
      <c r="BD6" s="1292">
        <f>IF('C8C9C10'!B5&lt;&gt;0,'C8C9C10'!B5,"")</f>
        <v>1</v>
      </c>
      <c r="BF6" s="1285" t="s">
        <v>1533</v>
      </c>
      <c r="BG6" s="1286" t="str">
        <f>IF('C8C9C10'!B91&lt;&gt;"",'C8C9C10'!B91,"")</f>
        <v/>
      </c>
      <c r="BI6" s="1285" t="s">
        <v>1533</v>
      </c>
      <c r="BJ6" s="1283" t="str">
        <f>IF(AND(C0!B60="Y",'Tax due (c12)'!J61&gt;0),'Tax due (c12)'!J61,"")</f>
        <v/>
      </c>
    </row>
    <row r="7" spans="1:62" x14ac:dyDescent="0.25">
      <c r="A7" s="1281" t="s">
        <v>1538</v>
      </c>
      <c r="B7" s="1290"/>
      <c r="C7" s="8"/>
      <c r="D7" s="1285" t="s">
        <v>1533</v>
      </c>
      <c r="E7" s="1283" t="str">
        <f>IF(C0!B42&lt;&gt;"",C0!B42,"")</f>
        <v/>
      </c>
      <c r="F7" s="8"/>
      <c r="G7" s="109" t="s">
        <v>1538</v>
      </c>
      <c r="H7" s="1284" t="str">
        <f>IF('C1'!B10&lt;&gt;"",'C1'!B10,"")</f>
        <v/>
      </c>
      <c r="I7" s="8"/>
      <c r="J7" s="1285" t="s">
        <v>1538</v>
      </c>
      <c r="K7" s="1284" t="str">
        <f>IF('C1'!B78&lt;&gt;0,'C1'!B78,"")</f>
        <v/>
      </c>
      <c r="L7" s="8"/>
      <c r="M7" s="1285" t="s">
        <v>1533</v>
      </c>
      <c r="N7" s="1284" t="str">
        <f>IF('C2'!B6&lt;&gt;0,'C2'!B6,"")</f>
        <v/>
      </c>
      <c r="O7" s="8"/>
      <c r="P7" s="1285" t="s">
        <v>1533</v>
      </c>
      <c r="Q7" s="1284" t="str">
        <f>IF('C2'!B64&lt;&gt;0,'C2'!B64,"")</f>
        <v/>
      </c>
      <c r="R7" s="8"/>
      <c r="S7" s="1285" t="s">
        <v>1538</v>
      </c>
      <c r="T7" s="1284" t="str">
        <f>IF('C3'!B6&lt;&gt;0,'C3'!B6,"")</f>
        <v/>
      </c>
      <c r="U7" s="8"/>
      <c r="V7" s="1285" t="s">
        <v>1538</v>
      </c>
      <c r="W7" s="1284" t="str">
        <f>IF('C3'!B52&lt;&gt;0,'C3'!B52,"")</f>
        <v/>
      </c>
      <c r="X7" s="8"/>
      <c r="Y7" s="1285" t="s">
        <v>1539</v>
      </c>
      <c r="Z7" s="1284" t="str">
        <f>IF('C3'!B108&lt;&gt;0,'C3'!B108,"")</f>
        <v/>
      </c>
      <c r="AA7" s="8"/>
      <c r="AB7" s="1285" t="s">
        <v>1533</v>
      </c>
      <c r="AC7" s="1284" t="str">
        <f>IF('C3'!B160&lt;&gt;0,'C3'!B160,"")</f>
        <v/>
      </c>
      <c r="AE7" s="1285" t="s">
        <v>1535</v>
      </c>
      <c r="AF7" s="1284" t="str">
        <f>IF('C3'!B208&lt;&gt;0,'C3'!B208,"")</f>
        <v/>
      </c>
      <c r="AH7" s="1285" t="s">
        <v>1533</v>
      </c>
      <c r="AI7" s="1283" t="str">
        <f>IF('C4'!B6&lt;&gt;0,'C4'!B6,"")</f>
        <v/>
      </c>
      <c r="AK7" s="1285" t="s">
        <v>1533</v>
      </c>
      <c r="AL7" s="1287" t="str">
        <f>IF('C4'!B35&lt;&gt;0,'C4'!B35,"")</f>
        <v/>
      </c>
      <c r="AM7" s="842"/>
      <c r="AN7" s="1285" t="s">
        <v>1539</v>
      </c>
      <c r="AO7" s="1283" t="str">
        <f>IF('C4'!B90&lt;&gt;0,'C4'!B90,"")</f>
        <v/>
      </c>
      <c r="AQ7" s="1285" t="s">
        <v>1538</v>
      </c>
      <c r="AR7" s="1283" t="str">
        <f>IF('C5'!B5&lt;&gt;0,'C5'!B5,"")</f>
        <v/>
      </c>
      <c r="AT7" s="1288" t="s">
        <v>1540</v>
      </c>
      <c r="AU7" s="1284">
        <f>IF('C6'!B5&lt;&gt;0,'C6'!B5,"")</f>
        <v>698</v>
      </c>
      <c r="AW7" s="1288">
        <v>14.1</v>
      </c>
      <c r="AX7" s="1284" t="str">
        <f>IF('C6'!B99&lt;&gt;0,'C6'!B99,"")</f>
        <v/>
      </c>
      <c r="AZ7" s="1285" t="s">
        <v>1538</v>
      </c>
      <c r="BA7" s="1284" t="str">
        <f>IF('C7'!B5&lt;&gt;0,'C7'!B5,"")</f>
        <v/>
      </c>
      <c r="BC7" s="1285" t="s">
        <v>1538</v>
      </c>
      <c r="BD7" s="1284" t="str">
        <f>IF(CGT_IND-1&gt;0,'C8C9C10'!B6,"")</f>
        <v/>
      </c>
      <c r="BF7" s="1285" t="s">
        <v>1541</v>
      </c>
      <c r="BG7" s="1286" t="str">
        <f>IF('C8C9C10'!B92&lt;&gt;"",'C8C9C10'!B92,"")</f>
        <v/>
      </c>
      <c r="BI7" s="1285" t="s">
        <v>1541</v>
      </c>
      <c r="BJ7" s="1283" t="str">
        <f>IF(AND(C0!B60="Y",'Tax due (c12)'!J64&gt;0),'Tax due (c12)'!J64,"")</f>
        <v/>
      </c>
    </row>
    <row r="8" spans="1:62" ht="12" thickBot="1" x14ac:dyDescent="0.3">
      <c r="A8" s="696" t="s">
        <v>1542</v>
      </c>
      <c r="B8" s="1290">
        <f>IF(C0!B9&lt;&gt;"",C0!B9,"")</f>
        <v>2</v>
      </c>
      <c r="C8" s="8"/>
      <c r="D8" s="695" t="s">
        <v>1538</v>
      </c>
      <c r="E8" s="1283" t="str">
        <f>IF(C0!B43&lt;&gt;"",C0!B43,"")</f>
        <v/>
      </c>
      <c r="F8" s="8"/>
      <c r="G8" s="1285" t="s">
        <v>1543</v>
      </c>
      <c r="H8" s="1292" t="str">
        <f>IF('C1'!B11&lt;&gt;"",'C1'!B11,"")</f>
        <v/>
      </c>
      <c r="I8" s="8"/>
      <c r="J8" s="1285" t="s">
        <v>1543</v>
      </c>
      <c r="K8" s="1282" t="str">
        <f>IF('C1'!B79&lt;&gt;0,'C1'!B79,"")</f>
        <v/>
      </c>
      <c r="L8" s="8"/>
      <c r="M8" s="1285" t="s">
        <v>1541</v>
      </c>
      <c r="N8" s="2395" t="s">
        <v>1532</v>
      </c>
      <c r="O8" s="8"/>
      <c r="P8" s="1285" t="s">
        <v>1538</v>
      </c>
      <c r="Q8" s="1284" t="str">
        <f>IF('C2'!B65&lt;&gt;0,'C2'!B65,"")</f>
        <v/>
      </c>
      <c r="R8" s="8"/>
      <c r="S8" s="1291" t="s">
        <v>1544</v>
      </c>
      <c r="T8" s="1284" t="str">
        <f>IF('C3'!B7&lt;&gt;0,'C3'!B7,"")</f>
        <v>Y</v>
      </c>
      <c r="U8" s="8"/>
      <c r="V8" s="1285" t="s">
        <v>1543</v>
      </c>
      <c r="W8" s="1284" t="str">
        <f>IF('C3'!B53&lt;&gt;0,'C3'!B53,"")</f>
        <v/>
      </c>
      <c r="X8" s="8"/>
      <c r="Y8" s="1285" t="s">
        <v>1545</v>
      </c>
      <c r="Z8" s="1284" t="str">
        <f>IF('C3'!B109&lt;&gt;0,'C3'!B109,"")</f>
        <v/>
      </c>
      <c r="AA8" s="8"/>
      <c r="AB8" s="1285" t="s">
        <v>1541</v>
      </c>
      <c r="AC8" s="1284" t="s">
        <v>1532</v>
      </c>
      <c r="AE8" s="1285" t="s">
        <v>1539</v>
      </c>
      <c r="AF8" s="1284" t="str">
        <f>IF('C3'!B209&lt;&gt;0,'C3'!B209,"")</f>
        <v/>
      </c>
      <c r="AH8" s="1291" t="s">
        <v>1546</v>
      </c>
      <c r="AI8" s="1283" t="str">
        <f>IF('C4'!B7&lt;&gt;0,'C4'!B7,"")</f>
        <v>Y</v>
      </c>
      <c r="AK8" s="1291" t="s">
        <v>1546</v>
      </c>
      <c r="AL8" s="1287" t="str">
        <f>IF('C4'!B36&lt;&gt;0,'C4'!B36,"")</f>
        <v/>
      </c>
      <c r="AM8" s="842"/>
      <c r="AN8" s="1293" t="s">
        <v>1547</v>
      </c>
      <c r="AO8" s="1283" t="str">
        <f>IF('C4'!B91&lt;&gt;0,'C4'!B91,"")</f>
        <v/>
      </c>
      <c r="AQ8" s="1291" t="s">
        <v>1543</v>
      </c>
      <c r="AR8" s="1294" t="s">
        <v>1532</v>
      </c>
      <c r="AT8" s="1288" t="s">
        <v>1548</v>
      </c>
      <c r="AU8" s="1284" t="str">
        <f>IF('C6'!B6&lt;&gt;0,'C6'!B6,"")</f>
        <v/>
      </c>
      <c r="AW8" s="1288">
        <v>14.2</v>
      </c>
      <c r="AX8" s="1284" t="str">
        <f>IF('C6'!B100&lt;&gt;"",'C6'!B100,"")</f>
        <v/>
      </c>
      <c r="AZ8" s="1285" t="s">
        <v>1543</v>
      </c>
      <c r="BA8" s="1284" t="str">
        <f>IF('C7'!B6&lt;&gt;0,'C7'!B6,"")</f>
        <v/>
      </c>
      <c r="BC8" s="1285" t="s">
        <v>1543</v>
      </c>
      <c r="BD8" s="1284" t="str">
        <f>IF('C8C9C10'!B7&lt;&gt;0,'C8C9C10'!B7,"")</f>
        <v/>
      </c>
      <c r="BF8" s="1285" t="s">
        <v>1538</v>
      </c>
      <c r="BG8" s="1286" t="str">
        <f>IF('C8C9C10'!B93&lt;&gt;"",'C8C9C10'!B93,"")</f>
        <v/>
      </c>
      <c r="BI8" s="1285" t="s">
        <v>1538</v>
      </c>
      <c r="BJ8" s="1284">
        <f>'Tax due (c12)'!J39</f>
        <v>0</v>
      </c>
    </row>
    <row r="9" spans="1:62" x14ac:dyDescent="0.25">
      <c r="C9" s="8"/>
      <c r="D9" s="109" t="s">
        <v>1543</v>
      </c>
      <c r="E9" s="1283" t="str">
        <f>IF(C0!B46&lt;&gt;"",C0!B46,"")</f>
        <v/>
      </c>
      <c r="F9" s="8"/>
      <c r="G9" s="1285" t="s">
        <v>1549</v>
      </c>
      <c r="H9" s="1284" t="str">
        <f>IF('C1'!B12&lt;&gt;"",'C1'!B12,"")</f>
        <v/>
      </c>
      <c r="I9" s="8"/>
      <c r="J9" s="1285" t="s">
        <v>1549</v>
      </c>
      <c r="K9" s="1284" t="str">
        <f>IF('C1'!B80&lt;&gt;0,'C1'!B80,"")</f>
        <v/>
      </c>
      <c r="L9" s="8"/>
      <c r="M9" s="1285" t="s">
        <v>1538</v>
      </c>
      <c r="N9" s="1284" t="str">
        <f>IF('C2'!B8&lt;&gt;0,'C2'!B8,"")</f>
        <v>525/444</v>
      </c>
      <c r="O9" s="8"/>
      <c r="P9" s="1285" t="s">
        <v>1550</v>
      </c>
      <c r="Q9" s="2395" t="s">
        <v>1532</v>
      </c>
      <c r="R9" s="8"/>
      <c r="S9" s="1285" t="s">
        <v>1543</v>
      </c>
      <c r="T9" s="1284" t="str">
        <f>IF('C3'!B8&lt;&gt;0,'C3'!B8,"")</f>
        <v>25/04/2025</v>
      </c>
      <c r="U9" s="8"/>
      <c r="V9" s="1291" t="s">
        <v>1551</v>
      </c>
      <c r="W9" s="1284" t="str">
        <f>IF('C3'!B54&lt;&gt;0,'C3'!B54,"")</f>
        <v/>
      </c>
      <c r="X9" s="8"/>
      <c r="Y9" s="1285" t="s">
        <v>1552</v>
      </c>
      <c r="Z9" s="1284" t="str">
        <f>IF('C3'!B110&lt;&gt;0,'C3'!B110,"")</f>
        <v/>
      </c>
      <c r="AA9" s="8"/>
      <c r="AB9" s="1285" t="s">
        <v>1538</v>
      </c>
      <c r="AC9" s="1284" t="str">
        <f>IF('C3'!B161&lt;&gt;0,'C3'!B161,"")</f>
        <v/>
      </c>
      <c r="AE9" s="1285" t="s">
        <v>1545</v>
      </c>
      <c r="AF9" s="1284" t="str">
        <f>IF('C3'!B210&lt;&gt;0,'C3'!B210,"")</f>
        <v/>
      </c>
      <c r="AH9" s="1285" t="s">
        <v>1538</v>
      </c>
      <c r="AI9" s="1283" t="str">
        <f>IF('C4'!B8&lt;&gt;0,'C4'!B8,"")</f>
        <v>30/03/2026</v>
      </c>
      <c r="AK9" s="1285" t="s">
        <v>1538</v>
      </c>
      <c r="AL9" s="1287" t="str">
        <f>IF('C4'!B37&lt;&gt;0,'C4'!B37,"")</f>
        <v/>
      </c>
      <c r="AN9" s="1285" t="s">
        <v>1545</v>
      </c>
      <c r="AO9" s="1283" t="str">
        <f>IF('C4'!B92&lt;&gt;"",'C4'!B92,"")</f>
        <v/>
      </c>
      <c r="AQ9" s="1291" t="s">
        <v>1553</v>
      </c>
      <c r="AR9" s="1294" t="s">
        <v>1532</v>
      </c>
      <c r="AT9" s="1288" t="s">
        <v>1554</v>
      </c>
      <c r="AU9" s="1284" t="str">
        <f>IF('C6'!B7&lt;&gt;0,'C6'!B7,"")</f>
        <v/>
      </c>
      <c r="AW9" s="1288">
        <v>15</v>
      </c>
      <c r="AX9" s="1292" t="str">
        <f>IF('C6'!B101&lt;&gt;0,'C6'!B101,"")</f>
        <v/>
      </c>
      <c r="AZ9" s="1285" t="s">
        <v>1549</v>
      </c>
      <c r="BA9" s="1284" t="str">
        <f>IF('C7'!B7&lt;&gt;0,'C7'!B7,"")</f>
        <v/>
      </c>
      <c r="BC9" s="1285" t="s">
        <v>1549</v>
      </c>
      <c r="BD9" s="1284">
        <f>IF('C8C9C10'!B8&lt;&gt;0,'C8C9C10'!B8,"")</f>
        <v>29077</v>
      </c>
      <c r="BF9" s="1285" t="s">
        <v>1543</v>
      </c>
      <c r="BG9" s="1289" t="s">
        <v>1532</v>
      </c>
      <c r="BI9" s="1285" t="s">
        <v>1550</v>
      </c>
      <c r="BJ9" s="1284">
        <f>'Tax due (c12)'!J47</f>
        <v>0</v>
      </c>
    </row>
    <row r="10" spans="1:62" ht="12" thickBot="1" x14ac:dyDescent="0.3">
      <c r="A10" s="843" t="s">
        <v>1555</v>
      </c>
      <c r="B10" s="840" t="str">
        <f>"Selected  = "&amp;INC_A_IND-1&amp;"/"&amp;INC_B_IND-1&amp;"/"&amp;INC_C_IND-1</f>
        <v>Selected  = 168/0/0</v>
      </c>
      <c r="C10" s="8"/>
      <c r="D10" s="1285" t="s">
        <v>1549</v>
      </c>
      <c r="E10" s="1283" t="str">
        <f>IF(C0!B47&lt;&gt;"",C0!B47,"")</f>
        <v/>
      </c>
      <c r="F10" s="8"/>
      <c r="G10" s="1285" t="s">
        <v>1556</v>
      </c>
      <c r="H10" s="1292" t="str">
        <f>IF('C1'!B13&lt;&gt;"",'C1'!B13,"")</f>
        <v/>
      </c>
      <c r="I10" s="8"/>
      <c r="J10" s="1285" t="s">
        <v>1556</v>
      </c>
      <c r="K10" s="1284" t="str">
        <f>IF('C1'!B81&lt;&gt;0,'C1'!B81,"")</f>
        <v/>
      </c>
      <c r="L10" s="8"/>
      <c r="M10" s="1285" t="s">
        <v>1543</v>
      </c>
      <c r="N10" s="1284" t="str">
        <f>IF('C2'!B9&lt;&gt;0,'C2'!B9,"")</f>
        <v/>
      </c>
      <c r="O10" s="8"/>
      <c r="P10" s="1285" t="s">
        <v>1543</v>
      </c>
      <c r="Q10" s="1284" t="str">
        <f>IF('C2'!B67&lt;&gt;0,'C2'!B67,"")</f>
        <v/>
      </c>
      <c r="R10" s="8"/>
      <c r="S10" s="1291" t="s">
        <v>1551</v>
      </c>
      <c r="T10" s="1284" t="str">
        <f>IF('C3'!B9&lt;&gt;0,'C3'!B9,"")</f>
        <v>Y</v>
      </c>
      <c r="U10" s="8"/>
      <c r="V10" s="1285" t="s">
        <v>1549</v>
      </c>
      <c r="W10" s="1284" t="str">
        <f>IF('C3'!B55&lt;&gt;0,'C3'!B55,"")</f>
        <v/>
      </c>
      <c r="X10" s="8"/>
      <c r="Y10" s="1285" t="s">
        <v>1557</v>
      </c>
      <c r="Z10" s="1284" t="s">
        <v>1532</v>
      </c>
      <c r="AA10" s="8"/>
      <c r="AB10" s="1285" t="s">
        <v>1543</v>
      </c>
      <c r="AC10" s="1284" t="str">
        <f>IF('C3'!B162&lt;&gt;0,'C3'!B162,"")</f>
        <v/>
      </c>
      <c r="AE10" s="1285" t="s">
        <v>1552</v>
      </c>
      <c r="AF10" s="1284" t="str">
        <f>IF('C3'!B211&lt;&gt;0,'C3'!B211,"")</f>
        <v/>
      </c>
      <c r="AH10" s="1285" t="s">
        <v>1543</v>
      </c>
      <c r="AI10" s="1283" t="s">
        <v>1532</v>
      </c>
      <c r="AK10" s="1285" t="s">
        <v>1543</v>
      </c>
      <c r="AL10" s="1283" t="s">
        <v>1532</v>
      </c>
      <c r="AN10" s="1285" t="s">
        <v>1552</v>
      </c>
      <c r="AO10" s="1283" t="str">
        <f>IF('C4'!B93&lt;&gt;0,'C4'!B93,"")</f>
        <v/>
      </c>
      <c r="AQ10" s="1291" t="s">
        <v>1558</v>
      </c>
      <c r="AR10" s="1294" t="s">
        <v>1532</v>
      </c>
      <c r="AT10" s="1288" t="s">
        <v>1559</v>
      </c>
      <c r="AU10" s="1284" t="str">
        <f>IF('C6'!B8&lt;&gt;0,'C6'!B8,"")</f>
        <v/>
      </c>
      <c r="AW10" s="1288">
        <v>16</v>
      </c>
      <c r="AX10" s="1284" t="str">
        <f>IF('C6'!B102&lt;&gt;0,'C6'!B102,"")</f>
        <v/>
      </c>
      <c r="AZ10" s="1285" t="s">
        <v>1556</v>
      </c>
      <c r="BA10" s="1284" t="str">
        <f>IF('C7'!B8&lt;&gt;0,'C7'!B8,"")</f>
        <v/>
      </c>
      <c r="BC10" s="1293" t="s">
        <v>1560</v>
      </c>
      <c r="BD10" s="1284" t="str">
        <f>IF('C8C9C10'!B9&lt;&gt;0,'C8C9C10'!B9,"")</f>
        <v/>
      </c>
      <c r="BF10" s="1285" t="s">
        <v>1549</v>
      </c>
      <c r="BG10" s="1295" t="str">
        <f>IF('C8C9C10'!B95&lt;&gt;"",'C8C9C10'!B95,"")</f>
        <v/>
      </c>
      <c r="BI10" s="1285" t="s">
        <v>1543</v>
      </c>
      <c r="BJ10" s="1284" t="str">
        <f>IF('Tax due (c12)'!J95&gt;0,'Tax due (c12)'!J95,"")</f>
        <v/>
      </c>
    </row>
    <row r="11" spans="1:62" x14ac:dyDescent="0.25">
      <c r="A11" s="109" t="s">
        <v>1525</v>
      </c>
      <c r="B11" s="1284" t="str">
        <f>IF(C0!B12&lt;&gt;"",C0!B12,"")</f>
        <v/>
      </c>
      <c r="C11" s="8"/>
      <c r="D11" s="1285" t="s">
        <v>1556</v>
      </c>
      <c r="E11" s="1283" t="str">
        <f>IF(C0!B48&lt;&gt;"",C0!B48,"")</f>
        <v/>
      </c>
      <c r="F11" s="8"/>
      <c r="G11" s="1285" t="s">
        <v>1561</v>
      </c>
      <c r="H11" s="1284" t="str">
        <f>IF('C1'!B14&lt;&gt;"",'C1'!B14,"")</f>
        <v/>
      </c>
      <c r="I11" s="8"/>
      <c r="J11" s="1285" t="s">
        <v>1561</v>
      </c>
      <c r="K11" s="1284" t="str">
        <f>IF('C1'!B82&lt;&gt;0,'C1'!B82,"")</f>
        <v/>
      </c>
      <c r="L11" s="8"/>
      <c r="M11" s="1285" t="s">
        <v>1549</v>
      </c>
      <c r="N11" s="1284" t="str">
        <f>IF('C2'!B10&lt;&gt;0,'C2'!B10,"")</f>
        <v>Y</v>
      </c>
      <c r="O11" s="8"/>
      <c r="P11" s="1285" t="s">
        <v>1549</v>
      </c>
      <c r="Q11" s="1284" t="str">
        <f>IF('C2'!B68&lt;&gt;0,'C2'!B68,"")</f>
        <v/>
      </c>
      <c r="R11" s="8"/>
      <c r="S11" s="1285" t="s">
        <v>1549</v>
      </c>
      <c r="T11" s="1284" t="str">
        <f>IF('C3'!B10&lt;&gt;0,'C3'!B10,"")</f>
        <v>05/04/2026</v>
      </c>
      <c r="U11" s="8"/>
      <c r="V11" s="1291" t="s">
        <v>1562</v>
      </c>
      <c r="W11" s="1284" t="str">
        <f>IF('C3'!B56&lt;&gt;0,'C3'!B56,"")</f>
        <v/>
      </c>
      <c r="X11" s="8"/>
      <c r="Y11" s="1285" t="s">
        <v>1563</v>
      </c>
      <c r="Z11" s="1284" t="str">
        <f>IF('C3'!B111&lt;&gt;0,'C3'!B111,"")</f>
        <v/>
      </c>
      <c r="AA11" s="8"/>
      <c r="AB11" s="1285" t="s">
        <v>1549</v>
      </c>
      <c r="AC11" s="1284" t="str">
        <f>IF('C3'!B163&lt;&gt;0,'C3'!B163,"")</f>
        <v/>
      </c>
      <c r="AE11" s="1285" t="s">
        <v>1557</v>
      </c>
      <c r="AF11" s="1284" t="str">
        <f>IF('C3'!B212&lt;&gt;0,'C3'!B212,"")</f>
        <v/>
      </c>
      <c r="AH11" s="1285" t="s">
        <v>1549</v>
      </c>
      <c r="AI11" s="1283" t="s">
        <v>1532</v>
      </c>
      <c r="AK11" s="1285" t="s">
        <v>1549</v>
      </c>
      <c r="AL11" s="1283" t="s">
        <v>1532</v>
      </c>
      <c r="AN11" s="1285" t="s">
        <v>1557</v>
      </c>
      <c r="AO11" s="1283" t="str">
        <f>IF('C4'!B94&lt;&gt;"",'C4'!B94,"")</f>
        <v/>
      </c>
      <c r="AQ11" s="1291" t="s">
        <v>1549</v>
      </c>
      <c r="AR11" s="1294" t="s">
        <v>1532</v>
      </c>
      <c r="AT11" s="1288" t="s">
        <v>1564</v>
      </c>
      <c r="AU11" s="1284">
        <f>IF('C6'!B9&lt;&gt;0,'C6'!B9,"")</f>
        <v>698</v>
      </c>
      <c r="AW11" s="1288">
        <v>17</v>
      </c>
      <c r="AX11" s="1284" t="str">
        <f>IF('C6'!B103&lt;&gt;0,'C6'!B103,"")</f>
        <v/>
      </c>
      <c r="AZ11" s="1285" t="s">
        <v>1561</v>
      </c>
      <c r="BA11" s="1284" t="str">
        <f>IF('C7'!B9&lt;&gt;0,'C7'!B9,"")</f>
        <v/>
      </c>
      <c r="BC11" s="1285" t="s">
        <v>1556</v>
      </c>
      <c r="BD11" s="1284" t="str">
        <f>IF('C8C9C10'!B10&lt;&gt;0,'C8C9C10'!B10,"")</f>
        <v/>
      </c>
      <c r="BF11" s="1285" t="s">
        <v>1556</v>
      </c>
      <c r="BG11" s="1286" t="str">
        <f>IF('C8C9C10'!B96&lt;&gt;"",'C8C9C10'!B96,"")</f>
        <v/>
      </c>
      <c r="BI11" s="1285" t="s">
        <v>1549</v>
      </c>
      <c r="BJ11" s="1284" t="str">
        <f>IF('Tax adj (c9)'!J161&gt;0,'Tax adj (c9)'!J161,"")</f>
        <v/>
      </c>
    </row>
    <row r="12" spans="1:62" x14ac:dyDescent="0.25">
      <c r="A12" s="1285" t="s">
        <v>1529</v>
      </c>
      <c r="B12" s="1284" t="str">
        <f>IF(C0!B13&lt;&gt;"",C0!B13,"")</f>
        <v/>
      </c>
      <c r="C12" s="8"/>
      <c r="D12" s="1285" t="s">
        <v>1561</v>
      </c>
      <c r="E12" s="1283" t="str">
        <f>IF(C0!B49&lt;&gt;"",C0!B49,"")</f>
        <v/>
      </c>
      <c r="F12" s="8"/>
      <c r="G12" s="1285" t="s">
        <v>1565</v>
      </c>
      <c r="H12" s="1292" t="str">
        <f>IF('C1'!B15&lt;&gt;"",'C1'!B15,"")</f>
        <v/>
      </c>
      <c r="I12" s="8"/>
      <c r="J12" s="1285" t="s">
        <v>1565</v>
      </c>
      <c r="K12" s="1282" t="str">
        <f>IF('C1'!B83&lt;&gt;0,'C1'!B83,"")</f>
        <v/>
      </c>
      <c r="L12" s="8"/>
      <c r="M12" s="1285" t="s">
        <v>1560</v>
      </c>
      <c r="N12" s="1295" t="str">
        <f>IF('C2'!B11&lt;&gt;0,'C2'!B11,"")</f>
        <v/>
      </c>
      <c r="O12" s="8"/>
      <c r="P12" s="1285" t="s">
        <v>1556</v>
      </c>
      <c r="Q12" s="1284" t="str">
        <f>IF('C2'!B69&lt;&gt;0,'C2'!B69,"")</f>
        <v/>
      </c>
      <c r="R12" s="8"/>
      <c r="S12" s="1285" t="s">
        <v>1556</v>
      </c>
      <c r="T12" s="1284" t="str">
        <f>IF('C3'!B11&lt;&gt;0,'C3'!B11,"")</f>
        <v>05/04/2026</v>
      </c>
      <c r="U12" s="8"/>
      <c r="V12" s="1285" t="s">
        <v>1556</v>
      </c>
      <c r="W12" s="1284" t="str">
        <f>IF('C3'!B57&lt;&gt;0,'C3'!B57,"")</f>
        <v/>
      </c>
      <c r="X12" s="8"/>
      <c r="Y12" s="1285" t="s">
        <v>1566</v>
      </c>
      <c r="Z12" s="1284" t="str">
        <f>IF('C3'!B112&lt;&gt;0,'C3'!B112,"")</f>
        <v/>
      </c>
      <c r="AA12" s="8"/>
      <c r="AB12" s="1296" t="s">
        <v>1556</v>
      </c>
      <c r="AC12" s="1297"/>
      <c r="AE12" s="1285" t="s">
        <v>1563</v>
      </c>
      <c r="AF12" s="1284" t="str">
        <f>IF('C3'!B213&lt;&gt;0,'C3'!B213,"")</f>
        <v/>
      </c>
      <c r="AH12" s="1285" t="s">
        <v>1556</v>
      </c>
      <c r="AI12" s="1283" t="s">
        <v>1532</v>
      </c>
      <c r="AK12" s="1285" t="s">
        <v>1556</v>
      </c>
      <c r="AL12" s="1283" t="s">
        <v>1532</v>
      </c>
      <c r="AN12" s="1285" t="s">
        <v>1563</v>
      </c>
      <c r="AO12" s="1283" t="str">
        <f>IF('C4'!B95&lt;&gt;0,'C4'!B95,"")</f>
        <v/>
      </c>
      <c r="AQ12" s="1291" t="s">
        <v>1556</v>
      </c>
      <c r="AR12" s="1294" t="s">
        <v>1532</v>
      </c>
      <c r="AT12" s="1288" t="s">
        <v>1567</v>
      </c>
      <c r="AU12" s="1284" t="str">
        <f>IF('C6'!B10&lt;&gt;0,'C6'!B10,"")</f>
        <v>IRL</v>
      </c>
      <c r="AW12" s="1288">
        <v>18</v>
      </c>
      <c r="AX12" s="1284" t="str">
        <f>IF('C6'!B104&lt;&gt;0,'C6'!B104,"")</f>
        <v/>
      </c>
      <c r="AZ12" s="1285" t="s">
        <v>1565</v>
      </c>
      <c r="BA12" s="1284" t="str">
        <f>IF('C7'!B10&lt;&gt;0,'C7'!B10,"")</f>
        <v/>
      </c>
      <c r="BC12" s="1285" t="s">
        <v>1561</v>
      </c>
      <c r="BD12" s="1286" t="str">
        <f>IF('C8C9C10'!B11&lt;&gt;0,'C8C9C10'!B11,"")</f>
        <v/>
      </c>
      <c r="BF12" s="1285" t="s">
        <v>1561</v>
      </c>
      <c r="BG12" s="1286" t="str">
        <f>IF('C8C9C10'!B97&lt;&gt;"",'C8C9C10'!B97,"")</f>
        <v/>
      </c>
      <c r="BI12" s="1285" t="s">
        <v>1556</v>
      </c>
      <c r="BJ12" s="1284" t="str">
        <f>IF('C8C9C10'!B156&lt;&gt;0,'C8C9C10'!B156,"")</f>
        <v/>
      </c>
    </row>
    <row r="13" spans="1:62" ht="12" thickBot="1" x14ac:dyDescent="0.3">
      <c r="A13" s="1285" t="s">
        <v>1533</v>
      </c>
      <c r="B13" s="1284" t="str">
        <f>IF(C0!B14&lt;&gt;"",C0!B14,"")</f>
        <v/>
      </c>
      <c r="C13" s="8"/>
      <c r="D13" s="1285" t="s">
        <v>1565</v>
      </c>
      <c r="E13" s="1283" t="str">
        <f>IF(C0!B50&lt;&gt;"",C0!B50,"")</f>
        <v/>
      </c>
      <c r="F13" s="8"/>
      <c r="G13" s="1285" t="s">
        <v>1568</v>
      </c>
      <c r="H13" s="1284" t="str">
        <f>IF('C1'!B16&lt;&gt;"",'C1'!B16,"")</f>
        <v/>
      </c>
      <c r="I13" s="8"/>
      <c r="J13" s="1285" t="s">
        <v>1568</v>
      </c>
      <c r="K13" s="1284" t="str">
        <f>IF('C1'!B84&lt;&gt;0,'C1'!B84,"")</f>
        <v/>
      </c>
      <c r="L13" s="8"/>
      <c r="M13" s="1298" t="s">
        <v>1556</v>
      </c>
      <c r="N13" s="1284" t="str">
        <f>IF('C2'!B12&lt;&gt;0,'C2'!B12,"")</f>
        <v/>
      </c>
      <c r="O13" s="8"/>
      <c r="P13" s="1285" t="s">
        <v>1561</v>
      </c>
      <c r="Q13" s="1284" t="str">
        <f>IF('C2'!B70&lt;&gt;0,'C2'!B70,"")</f>
        <v/>
      </c>
      <c r="R13" s="8"/>
      <c r="S13" s="1285" t="s">
        <v>1561</v>
      </c>
      <c r="T13" s="1284" t="str">
        <f>IF('C3'!B12&lt;&gt;0,'C3'!B12,"")</f>
        <v>N</v>
      </c>
      <c r="U13" s="8"/>
      <c r="V13" s="1285" t="s">
        <v>1561</v>
      </c>
      <c r="W13" s="1284" t="str">
        <f>IF('C3'!B58&lt;&gt;0,'C3'!B58,"")</f>
        <v/>
      </c>
      <c r="X13" s="8"/>
      <c r="Y13" s="1285" t="s">
        <v>1569</v>
      </c>
      <c r="Z13" s="1284" t="str">
        <f>IF('C3'!B113&lt;&gt;0,'C3'!B113,"")</f>
        <v/>
      </c>
      <c r="AA13" s="8"/>
      <c r="AB13" s="1285" t="s">
        <v>1561</v>
      </c>
      <c r="AC13" s="1284" t="str">
        <f>IF('C3'!B164&lt;&gt;0,'C3'!B164,"")</f>
        <v/>
      </c>
      <c r="AE13" s="1285" t="s">
        <v>1566</v>
      </c>
      <c r="AF13" s="1284" t="str">
        <f>IF('C3'!B214&lt;&gt;0,'C3'!B214,"")</f>
        <v/>
      </c>
      <c r="AH13" s="1285" t="s">
        <v>1561</v>
      </c>
      <c r="AI13" s="1283">
        <f>IF('C4'!B9&lt;&gt;0,'C4'!B9,"")</f>
        <v>-1840</v>
      </c>
      <c r="AK13" s="1285" t="s">
        <v>1561</v>
      </c>
      <c r="AL13" s="1299" t="str">
        <f>IF('C4'!B38&lt;&gt;"",'C4'!B38,"")</f>
        <v/>
      </c>
      <c r="AN13" s="1285" t="s">
        <v>1566</v>
      </c>
      <c r="AO13" s="1283" t="str">
        <f>IF('C4'!B96&lt;&gt;0,'C4'!B96,"")</f>
        <v/>
      </c>
      <c r="AQ13" s="1291" t="s">
        <v>1561</v>
      </c>
      <c r="AR13" s="1294" t="s">
        <v>1532</v>
      </c>
      <c r="AT13" s="1288" t="s">
        <v>1570</v>
      </c>
      <c r="AU13" s="1284">
        <f>IF('C6'!B11&lt;&gt;0,'C6'!B11,"")</f>
        <v>14265</v>
      </c>
      <c r="AW13" s="1288">
        <v>19</v>
      </c>
      <c r="AX13" s="1284" t="str">
        <f>IF('C6'!B105&lt;&gt;0,'C6'!B105,"")</f>
        <v/>
      </c>
      <c r="AZ13" s="1285" t="s">
        <v>1568</v>
      </c>
      <c r="BA13" s="1284" t="str">
        <f>IF('C7'!B11&lt;&gt;0,'C7'!B11,"")</f>
        <v/>
      </c>
      <c r="BC13" s="1285" t="s">
        <v>1565</v>
      </c>
      <c r="BD13" s="1286" t="str">
        <f>IF('C8C9C10'!B12&lt;&gt;0,'C8C9C10'!B12,"")</f>
        <v/>
      </c>
      <c r="BF13" s="1285" t="s">
        <v>1565</v>
      </c>
      <c r="BG13" s="1286" t="str">
        <f>IF('C8C9C10'!B98&lt;&gt;"",'C8C9C10'!B98,"")</f>
        <v/>
      </c>
      <c r="BI13" s="1285" t="s">
        <v>1561</v>
      </c>
      <c r="BJ13" s="1284" t="str">
        <f>IF('C8C9C10'!B157&lt;&gt;0,'C8C9C10'!B157,"")</f>
        <v/>
      </c>
    </row>
    <row r="14" spans="1:62" ht="12" thickBot="1" x14ac:dyDescent="0.3">
      <c r="A14" s="109" t="s">
        <v>1538</v>
      </c>
      <c r="B14" s="1284">
        <f>IF(C0!B15&lt;&gt;"",C0!B15,"")</f>
        <v>40000</v>
      </c>
      <c r="C14" s="8"/>
      <c r="D14" s="1285" t="s">
        <v>1568</v>
      </c>
      <c r="E14" s="1283" t="str">
        <f>IF(C0!B51&lt;&gt;"",C0!B51,"")</f>
        <v/>
      </c>
      <c r="F14" s="8"/>
      <c r="G14" s="695" t="s">
        <v>1571</v>
      </c>
      <c r="H14" s="1284" t="str">
        <f>IF('C1'!B17&lt;&gt;"",'C1'!B17,"")</f>
        <v/>
      </c>
      <c r="I14" s="8"/>
      <c r="J14" s="695" t="s">
        <v>1571</v>
      </c>
      <c r="K14" s="1284" t="str">
        <f>IF('C1'!B85&lt;&gt;0,'C1'!B85,"")</f>
        <v/>
      </c>
      <c r="L14" s="8"/>
      <c r="M14" s="1298" t="s">
        <v>1572</v>
      </c>
      <c r="N14" s="1284" t="str">
        <f>IF('C2'!B13&lt;&gt;0,'C2'!B13,"")</f>
        <v/>
      </c>
      <c r="O14" s="8"/>
      <c r="P14" s="1285" t="s">
        <v>1565</v>
      </c>
      <c r="Q14" s="1284" t="str">
        <f>IF('C2'!B71&lt;&gt;0,'C2'!B71,"")</f>
        <v/>
      </c>
      <c r="R14" s="8"/>
      <c r="S14" s="1285" t="s">
        <v>1565</v>
      </c>
      <c r="T14" s="1284">
        <f>IF('C3'!B13&lt;&gt;0,'C3'!B13,"")</f>
        <v>27643</v>
      </c>
      <c r="U14" s="8"/>
      <c r="V14" s="1285" t="s">
        <v>1565</v>
      </c>
      <c r="W14" s="1284" t="str">
        <f>IF('C3'!B59&lt;&gt;0,'C3'!B59,"")</f>
        <v/>
      </c>
      <c r="X14" s="8"/>
      <c r="Y14" s="1285" t="s">
        <v>1573</v>
      </c>
      <c r="Z14" s="1284" t="str">
        <f>IF('C3'!B114&lt;&gt;0,'C3'!B114,"")</f>
        <v/>
      </c>
      <c r="AA14" s="8"/>
      <c r="AB14" s="1285" t="s">
        <v>1565</v>
      </c>
      <c r="AC14" s="1284" t="str">
        <f>IF('C3'!B165&lt;&gt;0,'C3'!B165,"")</f>
        <v/>
      </c>
      <c r="AE14" s="1285" t="s">
        <v>1569</v>
      </c>
      <c r="AF14" s="1284" t="str">
        <f>IF('C3'!B215&lt;&gt;0,'C3'!B215,"")</f>
        <v/>
      </c>
      <c r="AH14" s="1285" t="s">
        <v>1565</v>
      </c>
      <c r="AI14" s="1283" t="str">
        <f>IF('C4'!B10&lt;&gt;0,'C4'!B10,"")</f>
        <v/>
      </c>
      <c r="AK14" s="1285" t="s">
        <v>1565</v>
      </c>
      <c r="AL14" s="1299" t="str">
        <f>IF('C4'!B39&lt;&gt;"",'C4'!B39,"")</f>
        <v/>
      </c>
      <c r="AN14" s="1293" t="s">
        <v>1574</v>
      </c>
      <c r="AO14" s="1283" t="str">
        <f>IF('C4'!B97&lt;&gt;0,'C4'!B97,"")</f>
        <v/>
      </c>
      <c r="AQ14" s="1291" t="s">
        <v>1565</v>
      </c>
      <c r="AR14" s="1294" t="s">
        <v>1532</v>
      </c>
      <c r="AT14" s="1288" t="s">
        <v>1575</v>
      </c>
      <c r="AU14" s="1284" t="str">
        <f>IF('C6'!B12&lt;&gt;0,'C6'!B12,"")</f>
        <v/>
      </c>
      <c r="AW14" s="1288">
        <v>20</v>
      </c>
      <c r="AX14" s="1284" t="str">
        <f>IF('C6'!B106&lt;&gt;0,'C6'!B106,"")</f>
        <v/>
      </c>
      <c r="AZ14" s="1285" t="s">
        <v>1571</v>
      </c>
      <c r="BA14" s="1284" t="str">
        <f>IF('C7'!B12&lt;&gt;0,'C7'!B12,"")</f>
        <v/>
      </c>
      <c r="BC14" s="1285" t="s">
        <v>1568</v>
      </c>
      <c r="BD14" s="1284" t="str">
        <f>IF('C8C9C10'!B13&lt;&gt;0,'C8C9C10'!B13,"")</f>
        <v/>
      </c>
      <c r="BF14" s="1285" t="s">
        <v>1568</v>
      </c>
      <c r="BG14" s="1292" t="str">
        <f>IF('C8C9C10'!B99&lt;&gt;"",'C8C9C10'!B99,"")</f>
        <v/>
      </c>
      <c r="BI14" s="1285" t="s">
        <v>1565</v>
      </c>
      <c r="BJ14" s="1284" t="str">
        <f>IF('C8C9C10'!B158&lt;&gt;0,'C8C9C10'!B158,"")</f>
        <v/>
      </c>
    </row>
    <row r="15" spans="1:62" x14ac:dyDescent="0.25">
      <c r="A15" s="1285" t="s">
        <v>1543</v>
      </c>
      <c r="B15" s="1284" t="str">
        <f>IF(C0!B16&lt;&gt;"",C0!B16,"")</f>
        <v/>
      </c>
      <c r="C15" s="8"/>
      <c r="D15" s="1296" t="s">
        <v>1571</v>
      </c>
      <c r="E15" s="1283" t="s">
        <v>1532</v>
      </c>
      <c r="F15" s="8"/>
      <c r="G15" s="109" t="s">
        <v>1576</v>
      </c>
      <c r="H15" s="1284" t="str">
        <f>IF('C1'!B21&lt;&gt;"",'C1'!B21,"")</f>
        <v/>
      </c>
      <c r="I15" s="8"/>
      <c r="J15" s="8"/>
      <c r="K15" s="8"/>
      <c r="L15" s="8"/>
      <c r="M15" s="1298" t="s">
        <v>1577</v>
      </c>
      <c r="N15" s="1292" t="str">
        <f>IF('C2'!B14&lt;&gt;0,'C2'!B14,"")</f>
        <v/>
      </c>
      <c r="O15" s="8"/>
      <c r="P15" s="1285" t="s">
        <v>1568</v>
      </c>
      <c r="Q15" s="1284" t="str">
        <f>IF('C2'!B72&lt;&gt;0,'C2'!B72,"")</f>
        <v/>
      </c>
      <c r="R15" s="8"/>
      <c r="S15" s="1285" t="s">
        <v>1568</v>
      </c>
      <c r="T15" s="1284" t="str">
        <f>IF('C3'!B14&lt;&gt;0,'C3'!B14,"")</f>
        <v/>
      </c>
      <c r="U15" s="8"/>
      <c r="V15" s="1285" t="s">
        <v>1568</v>
      </c>
      <c r="W15" s="1284" t="str">
        <f>IF('C3'!B60&lt;&gt;0,'C3'!B60,"")</f>
        <v/>
      </c>
      <c r="X15" s="8"/>
      <c r="Y15" s="1285" t="s">
        <v>1578</v>
      </c>
      <c r="Z15" s="1284" t="str">
        <f>IF('C3'!B115&lt;&gt;0,'C3'!B115,"")</f>
        <v/>
      </c>
      <c r="AA15" s="8"/>
      <c r="AB15" s="1285" t="s">
        <v>1568</v>
      </c>
      <c r="AC15" s="1284" t="s">
        <v>1532</v>
      </c>
      <c r="AE15" s="1285" t="s">
        <v>1573</v>
      </c>
      <c r="AF15" s="1284" t="str">
        <f>IF('C3'!B216&lt;&gt;0,'C3'!B216,"")</f>
        <v/>
      </c>
      <c r="AH15" s="1285" t="s">
        <v>1579</v>
      </c>
      <c r="AI15" s="1283" t="s">
        <v>1532</v>
      </c>
      <c r="AK15" s="1285" t="s">
        <v>1579</v>
      </c>
      <c r="AL15" s="1283" t="s">
        <v>1532</v>
      </c>
      <c r="AN15" s="1285" t="s">
        <v>1569</v>
      </c>
      <c r="AO15" s="1283" t="str">
        <f>IF('C4'!B98&lt;&gt;0,'C4'!B98,"")</f>
        <v/>
      </c>
      <c r="AQ15" s="1291" t="s">
        <v>1568</v>
      </c>
      <c r="AR15" s="1294" t="s">
        <v>1532</v>
      </c>
      <c r="AT15" s="1288" t="s">
        <v>1580</v>
      </c>
      <c r="AU15" s="1284" t="str">
        <f>IF('C6'!B13&lt;&gt;0,'C6'!B13,"")</f>
        <v/>
      </c>
      <c r="AW15" s="1288">
        <v>21</v>
      </c>
      <c r="AX15" s="1284" t="str">
        <f>IF('C6'!B107&lt;&gt;0,'C6'!B107,"")</f>
        <v/>
      </c>
      <c r="AZ15" s="1285" t="s">
        <v>1576</v>
      </c>
      <c r="BA15" s="1284" t="str">
        <f>IF('C7'!B13&lt;&gt;0,'C7'!B13,"")</f>
        <v/>
      </c>
      <c r="BC15" s="1285" t="s">
        <v>1571</v>
      </c>
      <c r="BD15" s="1284" t="str">
        <f>IF('C8C9C10'!B14&lt;&gt;0,'C8C9C10'!B14,"")</f>
        <v/>
      </c>
      <c r="BF15" s="1285" t="s">
        <v>1571</v>
      </c>
      <c r="BG15" s="1292" t="str">
        <f>IF('C8C9C10'!B100&lt;&gt;"",'C8C9C10'!B100,"")</f>
        <v/>
      </c>
      <c r="BI15" s="1285" t="s">
        <v>1568</v>
      </c>
      <c r="BJ15" s="1284" t="str">
        <f>IF('C8C9C10'!B159&lt;&gt;0,'C8C9C10'!B159,"")</f>
        <v/>
      </c>
    </row>
    <row r="16" spans="1:62" ht="12" thickBot="1" x14ac:dyDescent="0.3">
      <c r="A16" s="1285" t="s">
        <v>1549</v>
      </c>
      <c r="B16" s="1284" t="str">
        <f>IF(C0!B17&lt;&gt;"",C0!B17,"")</f>
        <v/>
      </c>
      <c r="C16" s="8"/>
      <c r="D16" s="844" t="s">
        <v>1576</v>
      </c>
      <c r="E16" s="1283" t="s">
        <v>1532</v>
      </c>
      <c r="F16" s="8"/>
      <c r="G16" s="1285" t="s">
        <v>1581</v>
      </c>
      <c r="H16" s="1284" t="str">
        <f>IF('C1'!B22&lt;&gt;"",'C1'!B22,"")</f>
        <v/>
      </c>
      <c r="I16" s="8"/>
      <c r="J16" s="108" t="s">
        <v>20</v>
      </c>
      <c r="K16" s="840" t="str">
        <f>"Selected  = "&amp;AIL_IND-1</f>
        <v>Selected  = 0</v>
      </c>
      <c r="L16" s="8"/>
      <c r="M16" s="1298" t="s">
        <v>1582</v>
      </c>
      <c r="N16" s="1284" t="str">
        <f>IF('C2'!B15&lt;&gt;0,'C2'!B15,"")</f>
        <v/>
      </c>
      <c r="O16" s="8"/>
      <c r="P16" s="1285" t="s">
        <v>1571</v>
      </c>
      <c r="Q16" s="1284" t="str">
        <f>IF('C2'!B73&lt;&gt;0,'C2'!B73,"")</f>
        <v/>
      </c>
      <c r="R16" s="8"/>
      <c r="S16" s="1285" t="s">
        <v>1583</v>
      </c>
      <c r="T16" s="1284" t="str">
        <f>IF('C3'!B15&lt;&gt;0,'C3'!B15,"")</f>
        <v/>
      </c>
      <c r="U16" s="8"/>
      <c r="V16" s="1285" t="s">
        <v>1571</v>
      </c>
      <c r="W16" s="1284" t="str">
        <f>IF('C3'!B61&lt;&gt;0,'C3'!B61,"")</f>
        <v/>
      </c>
      <c r="X16" s="8"/>
      <c r="Y16" s="1285" t="s">
        <v>1584</v>
      </c>
      <c r="Z16" s="1284" t="str">
        <f>IF('C3'!B116&lt;&gt;0,'C3'!B116,"")</f>
        <v/>
      </c>
      <c r="AA16" s="8"/>
      <c r="AB16" s="1285" t="s">
        <v>1571</v>
      </c>
      <c r="AC16" s="1284" t="str">
        <f>IF('C3'!B166&lt;&gt;0,'C3'!B166,"")</f>
        <v/>
      </c>
      <c r="AE16" s="1285" t="s">
        <v>1578</v>
      </c>
      <c r="AF16" s="1284" t="str">
        <f>IF('C3'!B217&lt;&gt;0,'C3'!B217,"")</f>
        <v/>
      </c>
      <c r="AH16" s="1285" t="s">
        <v>1568</v>
      </c>
      <c r="AI16" s="1283" t="str">
        <f>IF('C4'!B11&lt;&gt;0,'C4'!B11,"")</f>
        <v/>
      </c>
      <c r="AK16" s="1285" t="s">
        <v>1568</v>
      </c>
      <c r="AL16" s="1299" t="str">
        <f>IF('C4'!B40&lt;&gt;0,'C4'!B40,"")</f>
        <v/>
      </c>
      <c r="AN16" s="1285" t="s">
        <v>1573</v>
      </c>
      <c r="AO16" s="1283" t="str">
        <f>IF('C4'!B99&lt;&gt;0,'C4'!B99,"")</f>
        <v/>
      </c>
      <c r="AQ16" s="1291" t="s">
        <v>1571</v>
      </c>
      <c r="AR16" s="1294" t="s">
        <v>1532</v>
      </c>
      <c r="AT16" s="1288" t="s">
        <v>1585</v>
      </c>
      <c r="AU16" s="1284" t="str">
        <f>IF('C6'!B14&lt;&gt;0,'C6'!B14,"")</f>
        <v/>
      </c>
      <c r="AW16" s="1288">
        <v>21.1</v>
      </c>
      <c r="AX16" s="1284" t="str">
        <f>IF('C6'!B108&lt;&gt;0,'C6'!B108,"")</f>
        <v/>
      </c>
      <c r="AZ16" s="1285" t="s">
        <v>1581</v>
      </c>
      <c r="BA16" s="1284" t="str">
        <f>IF('C7'!B14&lt;&gt;0,'C7'!B14,"")</f>
        <v/>
      </c>
      <c r="BC16" s="1285" t="s">
        <v>1576</v>
      </c>
      <c r="BD16" s="1284" t="str">
        <f>IF('C8C9C10'!B15&lt;&gt;0,'C8C9C10'!B15,"")</f>
        <v/>
      </c>
      <c r="BF16" s="1285" t="s">
        <v>1586</v>
      </c>
      <c r="BG16" s="1292" t="str">
        <f>IF('C8C9C10'!B101&lt;&gt;"",'C8C9C10'!B101,"")</f>
        <v/>
      </c>
      <c r="BI16" s="1285" t="s">
        <v>1571</v>
      </c>
      <c r="BJ16" s="1284" t="str">
        <f>IF('C8C9C10'!B160&lt;&gt;0,'C8C9C10'!B160,"")</f>
        <v/>
      </c>
    </row>
    <row r="17" spans="1:62" x14ac:dyDescent="0.25">
      <c r="A17" s="109" t="s">
        <v>1556</v>
      </c>
      <c r="B17" s="1284" t="str">
        <f>IF(C0!B18&lt;&gt;"",C0!B18,"")</f>
        <v/>
      </c>
      <c r="C17" s="8"/>
      <c r="D17" s="109" t="s">
        <v>1581</v>
      </c>
      <c r="E17" s="1286" t="str">
        <f>IF(C0!B54&lt;&gt;"",C0!B54,"")</f>
        <v/>
      </c>
      <c r="F17" s="8"/>
      <c r="G17" s="1285" t="s">
        <v>1587</v>
      </c>
      <c r="H17" s="1284" t="str">
        <f>IF('C1'!B23&lt;&gt;"",'C1'!B23,"")</f>
        <v/>
      </c>
      <c r="I17" s="8"/>
      <c r="J17" s="109" t="s">
        <v>1525</v>
      </c>
      <c r="K17" s="1284" t="str">
        <f>IF('C1'!B88&lt;&gt;0,'C1'!B88,"")</f>
        <v/>
      </c>
      <c r="L17" s="8"/>
      <c r="M17" s="1298" t="s">
        <v>1588</v>
      </c>
      <c r="N17" s="1292" t="str">
        <f>IF('C2'!B16&lt;&gt;0,'C2'!B16,"")</f>
        <v/>
      </c>
      <c r="O17" s="8"/>
      <c r="P17" s="1285" t="s">
        <v>1576</v>
      </c>
      <c r="Q17" s="1284" t="str">
        <f>IF('C2'!B74&lt;&gt;0,'C2'!B74,"")</f>
        <v/>
      </c>
      <c r="R17" s="8"/>
      <c r="S17" s="1285" t="s">
        <v>1571</v>
      </c>
      <c r="T17" s="1284">
        <f>IF('C3'!B16&lt;&gt;0,'C3'!B16,"")</f>
        <v>1200</v>
      </c>
      <c r="U17" s="8"/>
      <c r="V17" s="1285" t="s">
        <v>1576</v>
      </c>
      <c r="W17" s="1284" t="str">
        <f>IF('C3'!B62&lt;&gt;0,'C3'!B62,"")</f>
        <v/>
      </c>
      <c r="X17" s="8"/>
      <c r="Y17" s="1285" t="s">
        <v>1589</v>
      </c>
      <c r="Z17" s="1284" t="str">
        <f>IF('C3'!B117&lt;&gt;0,'C3'!B117,"")</f>
        <v/>
      </c>
      <c r="AA17" s="8"/>
      <c r="AB17" s="1285" t="s">
        <v>1576</v>
      </c>
      <c r="AC17" s="1284" t="str">
        <f>IF('C3'!B167&lt;&gt;0,'C3'!B167,"")</f>
        <v/>
      </c>
      <c r="AE17" s="1285" t="s">
        <v>1584</v>
      </c>
      <c r="AF17" s="1284" t="str">
        <f>IF('C3'!B218&lt;&gt;0,'C3'!B218,"")</f>
        <v/>
      </c>
      <c r="AH17" s="1285" t="s">
        <v>1571</v>
      </c>
      <c r="AI17" s="1283" t="str">
        <f>IF('C4'!B12&lt;&gt;0,'C4'!B12,"")</f>
        <v/>
      </c>
      <c r="AK17" s="1285" t="s">
        <v>1571</v>
      </c>
      <c r="AL17" s="1299" t="str">
        <f>IF('C4'!B41&lt;&gt;"",'C4'!B41,"")</f>
        <v/>
      </c>
      <c r="AN17" s="1285" t="s">
        <v>1578</v>
      </c>
      <c r="AO17" s="1283" t="str">
        <f>IF('C4'!B100&lt;&gt;0,'C4'!B100,"")</f>
        <v/>
      </c>
      <c r="AQ17" s="1291" t="s">
        <v>1586</v>
      </c>
      <c r="AR17" s="1294" t="s">
        <v>1532</v>
      </c>
      <c r="AT17" s="1288" t="s">
        <v>1590</v>
      </c>
      <c r="AU17" s="1284">
        <f>IF('C6'!B15&lt;&gt;0,'C6'!B15,"")</f>
        <v>14265</v>
      </c>
      <c r="AW17" s="1300">
        <v>22</v>
      </c>
      <c r="AX17" s="1301" t="s">
        <v>1532</v>
      </c>
      <c r="AZ17" s="1285" t="s">
        <v>1591</v>
      </c>
      <c r="BA17" s="1284" t="str">
        <f>IF('C7'!B15&lt;&gt;0,'C7'!B15,"")</f>
        <v/>
      </c>
      <c r="BC17" s="1285" t="s">
        <v>1581</v>
      </c>
      <c r="BD17" s="1284" t="str">
        <f>IF('C8C9C10'!B16&lt;&gt;0,'C8C9C10'!B16,"")</f>
        <v/>
      </c>
      <c r="BF17" s="1285" t="s">
        <v>1576</v>
      </c>
      <c r="BG17" s="1292" t="str">
        <f>IF('C8C9C10'!B102&lt;&gt;"",'C8C9C10'!B102,"")</f>
        <v/>
      </c>
      <c r="BI17" s="1285" t="s">
        <v>1576</v>
      </c>
      <c r="BJ17" s="1284" t="str">
        <f>IF('C8C9C10'!B161&lt;&gt;0,'C8C9C10'!B161,"")</f>
        <v/>
      </c>
    </row>
    <row r="18" spans="1:62" x14ac:dyDescent="0.25">
      <c r="A18" s="1285" t="s">
        <v>1561</v>
      </c>
      <c r="B18" s="1284" t="str">
        <f>IF(C0!B21&lt;&gt;"",C0!B21,"")</f>
        <v/>
      </c>
      <c r="C18" s="8"/>
      <c r="D18" s="1285" t="s">
        <v>1591</v>
      </c>
      <c r="E18" s="1286" t="str">
        <f>IF(C0!B55&lt;&gt;"",C0!B55,"")</f>
        <v/>
      </c>
      <c r="F18" s="8"/>
      <c r="G18" s="1285" t="s">
        <v>1591</v>
      </c>
      <c r="H18" s="1284" t="str">
        <f>IF('C1'!B24&lt;&gt;"",'C1'!B24,"")</f>
        <v/>
      </c>
      <c r="I18" s="8"/>
      <c r="J18" s="1285" t="s">
        <v>1529</v>
      </c>
      <c r="K18" s="1284" t="str">
        <f>IF('C1'!B89&lt;&gt;0,'C1'!B89,"")</f>
        <v/>
      </c>
      <c r="L18" s="8"/>
      <c r="M18" s="1302" t="s">
        <v>1561</v>
      </c>
      <c r="N18" s="1284" t="str">
        <f>IF('C2'!B17&lt;&gt;0,'C2'!B17,"")</f>
        <v/>
      </c>
      <c r="O18" s="8"/>
      <c r="P18" s="1285" t="s">
        <v>1581</v>
      </c>
      <c r="Q18" s="1284" t="str">
        <f>IF('C2'!B75&lt;&gt;0,'C2'!B75,"")</f>
        <v/>
      </c>
      <c r="R18" s="8"/>
      <c r="S18" s="1285" t="s">
        <v>1576</v>
      </c>
      <c r="T18" s="1284">
        <f>IF('C3'!B17&lt;&gt;0,'C3'!B17,"")</f>
        <v>9200</v>
      </c>
      <c r="U18" s="8"/>
      <c r="V18" s="1285" t="s">
        <v>1581</v>
      </c>
      <c r="W18" s="1284" t="str">
        <f>IF('C3'!B63&lt;&gt;0,'C3'!B63,"")</f>
        <v/>
      </c>
      <c r="X18" s="8"/>
      <c r="Y18" s="1285" t="s">
        <v>1592</v>
      </c>
      <c r="Z18" s="1284" t="s">
        <v>1532</v>
      </c>
      <c r="AA18" s="8"/>
      <c r="AB18" s="1285" t="s">
        <v>1581</v>
      </c>
      <c r="AC18" s="1284" t="str">
        <f>IF('C3'!B168&lt;&gt;0,'C3'!B168,"")</f>
        <v/>
      </c>
      <c r="AE18" s="1285" t="s">
        <v>1589</v>
      </c>
      <c r="AF18" s="1284" t="str">
        <f>IF('C3'!B219&lt;&gt;0,'C3'!B219,"")</f>
        <v/>
      </c>
      <c r="AH18" s="1285" t="s">
        <v>1576</v>
      </c>
      <c r="AI18" s="1283" t="str">
        <f>IF('C4'!B13&lt;&gt;0,'C4'!B13,"")</f>
        <v/>
      </c>
      <c r="AK18" s="1285" t="s">
        <v>1576</v>
      </c>
      <c r="AL18" s="1299" t="str">
        <f>IF('C4'!B42&lt;&gt;0,'C4'!B42,"")</f>
        <v/>
      </c>
      <c r="AN18" s="1285" t="s">
        <v>1593</v>
      </c>
      <c r="AO18" s="1283" t="str">
        <f>IF('C4'!B101&lt;&gt;0,'C4'!B101,"")</f>
        <v/>
      </c>
      <c r="AQ18" s="1291" t="s">
        <v>1594</v>
      </c>
      <c r="AR18" s="1294" t="s">
        <v>1532</v>
      </c>
      <c r="AT18" s="1288">
        <v>3</v>
      </c>
      <c r="AU18" s="1284" t="str">
        <f>IF('C6'!B16&lt;&gt;0,'C6'!B16,"")</f>
        <v/>
      </c>
      <c r="AW18" s="1288">
        <v>22.1</v>
      </c>
      <c r="AX18" s="1284" t="str">
        <f>IF('C6'!B110&lt;&gt;0,'C6'!B110,"")</f>
        <v/>
      </c>
      <c r="AZ18" s="1285" t="s">
        <v>1595</v>
      </c>
      <c r="BA18" s="1284" t="str">
        <f>IF('C7'!B16&lt;&gt;0,'C7'!B16,"")</f>
        <v/>
      </c>
      <c r="BC18" s="1285" t="s">
        <v>1596</v>
      </c>
      <c r="BD18" s="1284" t="str">
        <f>IF('C8C9C10'!B17&lt;&gt;0,'C8C9C10'!B17,"")</f>
        <v/>
      </c>
      <c r="BF18" s="1285" t="s">
        <v>1581</v>
      </c>
      <c r="BG18" s="1292" t="str">
        <f>IF('C8C9C10'!B103&lt;&gt;"",'C8C9C10'!B103,"")</f>
        <v/>
      </c>
      <c r="BI18" s="1285" t="s">
        <v>1581</v>
      </c>
      <c r="BJ18" s="1284" t="str">
        <f>IF('C8C9C10'!B162&lt;&gt;0,'C8C9C10'!B162,"")</f>
        <v/>
      </c>
    </row>
    <row r="19" spans="1:62" ht="12" thickBot="1" x14ac:dyDescent="0.3">
      <c r="A19" s="1285" t="s">
        <v>1565</v>
      </c>
      <c r="B19" s="1284" t="str">
        <f>IF(C0!B22&lt;&gt;"",C0!B22,"")</f>
        <v/>
      </c>
      <c r="C19" s="8"/>
      <c r="D19" s="1285" t="s">
        <v>1595</v>
      </c>
      <c r="E19" s="1286" t="str">
        <f>IF(C0!B56&lt;&gt;"",C0!B56,"")</f>
        <v/>
      </c>
      <c r="F19" s="8"/>
      <c r="G19" s="695" t="s">
        <v>1595</v>
      </c>
      <c r="H19" s="1284" t="str">
        <f>IF('C1'!B25&lt;&gt;"",'C1'!B25,"")</f>
        <v/>
      </c>
      <c r="I19" s="8"/>
      <c r="J19" s="1285" t="s">
        <v>1533</v>
      </c>
      <c r="K19" s="1284" t="str">
        <f>IF('C1'!B90&lt;&gt;0,'C1'!B90,"")</f>
        <v/>
      </c>
      <c r="L19" s="8"/>
      <c r="M19" s="1302" t="s">
        <v>1597</v>
      </c>
      <c r="N19" s="1284" t="s">
        <v>1532</v>
      </c>
      <c r="O19" s="8"/>
      <c r="P19" s="1285" t="s">
        <v>1591</v>
      </c>
      <c r="Q19" s="1284" t="str">
        <f>IF('C2'!B76&lt;&gt;0,'C2'!B76,"")</f>
        <v/>
      </c>
      <c r="R19" s="8"/>
      <c r="S19" s="1285" t="s">
        <v>1581</v>
      </c>
      <c r="T19" s="1284">
        <f>IF('C3'!B18&lt;&gt;0,'C3'!B18,"")</f>
        <v>12500</v>
      </c>
      <c r="U19" s="8"/>
      <c r="V19" s="1285" t="s">
        <v>1591</v>
      </c>
      <c r="W19" s="1284" t="str">
        <f>IF('C3'!B64&lt;&gt;0,'C3'!B64,"")</f>
        <v/>
      </c>
      <c r="X19" s="8"/>
      <c r="Y19" s="1285" t="s">
        <v>1598</v>
      </c>
      <c r="Z19" s="1284" t="s">
        <v>1532</v>
      </c>
      <c r="AA19" s="8"/>
      <c r="AB19" s="1285" t="s">
        <v>1591</v>
      </c>
      <c r="AC19" s="1284" t="str">
        <f>IF('C3'!B169&lt;&gt;0,'C3'!B169,"")</f>
        <v/>
      </c>
      <c r="AE19" s="695" t="s">
        <v>1592</v>
      </c>
      <c r="AF19" s="1284" t="str">
        <f>IF('C3'!B220&lt;&gt;0,'C3'!B220,"")</f>
        <v/>
      </c>
      <c r="AH19" s="1285" t="s">
        <v>1581</v>
      </c>
      <c r="AI19" s="1283" t="s">
        <v>1532</v>
      </c>
      <c r="AK19" s="1285" t="s">
        <v>1581</v>
      </c>
      <c r="AL19" s="1283" t="s">
        <v>1532</v>
      </c>
      <c r="AN19" s="1285" t="s">
        <v>1599</v>
      </c>
      <c r="AO19" s="1283" t="str">
        <f>IF('C4'!B102&lt;&gt;0,'C4'!B102,"")</f>
        <v/>
      </c>
      <c r="AQ19" s="1291" t="s">
        <v>1576</v>
      </c>
      <c r="AR19" s="1294" t="s">
        <v>1532</v>
      </c>
      <c r="AT19" s="1288">
        <v>4</v>
      </c>
      <c r="AU19" s="1284">
        <f>IF('C6'!B17&lt;&gt;0,'C6'!B17,"")</f>
        <v>14963</v>
      </c>
      <c r="AW19" s="1303">
        <v>22.2</v>
      </c>
      <c r="AX19" s="1304" t="str">
        <f>IF('C6'!B111&lt;&gt;0,'C6'!B111,"")</f>
        <v/>
      </c>
      <c r="AZ19" s="1285" t="s">
        <v>1600</v>
      </c>
      <c r="BA19" s="1284" t="str">
        <f>IF('C7'!B17&lt;&gt;0,'C7'!B17,"")</f>
        <v/>
      </c>
      <c r="BC19" s="1285" t="s">
        <v>1601</v>
      </c>
      <c r="BD19" s="1284" t="str">
        <f>IF('C8C9C10'!B18&lt;&gt;0,'C8C9C10'!B18,"")</f>
        <v/>
      </c>
      <c r="BF19" s="1285" t="s">
        <v>1591</v>
      </c>
      <c r="BG19" s="1292" t="str">
        <f>IF('C8C9C10'!B104&lt;&gt;"",'C8C9C10'!B104,"")</f>
        <v/>
      </c>
      <c r="BI19" s="1285" t="s">
        <v>1591</v>
      </c>
      <c r="BJ19" s="1284" t="str">
        <f>IF('C8C9C10'!B163&lt;&gt;0,'C8C9C10'!B163,"")</f>
        <v/>
      </c>
    </row>
    <row r="20" spans="1:62" ht="12" thickBot="1" x14ac:dyDescent="0.3">
      <c r="A20" s="109" t="s">
        <v>1568</v>
      </c>
      <c r="B20" s="1284" t="str">
        <f>IF(C0!B23&lt;&gt;"",C0!B23,"")</f>
        <v/>
      </c>
      <c r="C20" s="8"/>
      <c r="D20" s="695" t="s">
        <v>1600</v>
      </c>
      <c r="E20" s="1286" t="str">
        <f>IF(C0!B57&lt;&gt;"",C0!B57,"")</f>
        <v/>
      </c>
      <c r="F20" s="8"/>
      <c r="G20" s="108"/>
      <c r="H20" s="8"/>
      <c r="I20" s="8"/>
      <c r="J20" s="1285" t="s">
        <v>1538</v>
      </c>
      <c r="K20" s="1284" t="str">
        <f>IF('C1'!B91&lt;&gt;0,'C1'!B91,"")</f>
        <v/>
      </c>
      <c r="L20" s="8"/>
      <c r="M20" s="1285" t="s">
        <v>1565</v>
      </c>
      <c r="N20" s="1284" t="str">
        <f>IF('C2'!B18&lt;&gt;0,'C2'!B18,"")</f>
        <v/>
      </c>
      <c r="O20" s="8"/>
      <c r="P20" s="1285" t="s">
        <v>1595</v>
      </c>
      <c r="Q20" s="1284" t="str">
        <f>IF('C2'!B77&lt;&gt;0,'C2'!B77,"")</f>
        <v/>
      </c>
      <c r="R20" s="8"/>
      <c r="S20" s="1285" t="s">
        <v>1591</v>
      </c>
      <c r="T20" s="1284">
        <f>IF('C3'!B19&lt;&gt;0,'C3'!B19,"")</f>
        <v>17320</v>
      </c>
      <c r="U20" s="8"/>
      <c r="V20" s="1285" t="s">
        <v>1595</v>
      </c>
      <c r="W20" s="1284" t="str">
        <f>IF('C3'!B65&lt;&gt;0,'C3'!B65,"")</f>
        <v/>
      </c>
      <c r="X20" s="8"/>
      <c r="Y20" s="1285" t="s">
        <v>1602</v>
      </c>
      <c r="Z20" s="1284" t="str">
        <f>IF('C3'!B118&lt;&gt;0,'C3'!B118,"")</f>
        <v/>
      </c>
      <c r="AA20" s="8"/>
      <c r="AB20" s="1285" t="s">
        <v>1595</v>
      </c>
      <c r="AC20" s="1284" t="str">
        <f>IF('C3'!B170&lt;&gt;0,'C3'!B170,"")</f>
        <v/>
      </c>
      <c r="AH20" s="1285" t="s">
        <v>1591</v>
      </c>
      <c r="AI20" s="1283" t="s">
        <v>1532</v>
      </c>
      <c r="AK20" s="1285" t="s">
        <v>1591</v>
      </c>
      <c r="AL20" s="1283" t="s">
        <v>1532</v>
      </c>
      <c r="AN20" s="695" t="s">
        <v>1603</v>
      </c>
      <c r="AO20" s="1283" t="str">
        <f>IF('C4'!B103&lt;&gt;0,'C4'!B103,"")</f>
        <v/>
      </c>
      <c r="AQ20" s="1291" t="s">
        <v>1581</v>
      </c>
      <c r="AR20" s="1294" t="s">
        <v>1532</v>
      </c>
      <c r="AT20" s="1305">
        <v>4.0999999999999996</v>
      </c>
      <c r="AU20" s="1284" t="str">
        <f>IF('C6'!B18&lt;&gt;0,'C6'!B18,"")</f>
        <v/>
      </c>
      <c r="AW20" s="1288">
        <v>23</v>
      </c>
      <c r="AX20" s="1284" t="str">
        <f>IF('C6'!B112&lt;&gt;0,'C6'!B112,"")</f>
        <v/>
      </c>
      <c r="AZ20" s="1285" t="s">
        <v>1604</v>
      </c>
      <c r="BA20" s="1284" t="str">
        <f>IF('C7'!B18&lt;&gt;0,'C7'!B18,"")</f>
        <v/>
      </c>
      <c r="BC20" s="1293" t="s">
        <v>1605</v>
      </c>
      <c r="BD20" s="1284" t="str">
        <f>IF('C8C9C10'!B19&lt;&gt;0,'C8C9C10'!B19,"")</f>
        <v/>
      </c>
      <c r="BF20" s="1285" t="s">
        <v>1595</v>
      </c>
      <c r="BG20" s="1286" t="str">
        <f>IF('C8C9C10'!B105&lt;&gt;"",'C8C9C10'!B105,"")</f>
        <v/>
      </c>
      <c r="BI20" s="1285" t="s">
        <v>1595</v>
      </c>
      <c r="BJ20" s="1284" t="str">
        <f>IF('C8C9C10'!B164&lt;&gt;0,'C8C9C10'!B164,"")</f>
        <v/>
      </c>
    </row>
    <row r="21" spans="1:62" ht="12" thickBot="1" x14ac:dyDescent="0.3">
      <c r="A21" s="1285" t="s">
        <v>1571</v>
      </c>
      <c r="B21" s="1284" t="str">
        <f>IF(C0!B24&lt;&gt;"",C0!B24,"")</f>
        <v/>
      </c>
      <c r="C21" s="8"/>
      <c r="F21" s="8"/>
      <c r="G21" s="108" t="s">
        <v>88</v>
      </c>
      <c r="H21" s="840" t="str">
        <f>"Selected  = "&amp;ASE_A_IND-1&amp;"/"&amp;ASE_B_IND-1&amp;"/"&amp;ASE_C_IND-1</f>
        <v>Selected  = 0/0/0</v>
      </c>
      <c r="I21" s="8"/>
      <c r="J21" s="1285" t="s">
        <v>1543</v>
      </c>
      <c r="K21" s="1284" t="str">
        <f>IF('C1'!B92&lt;&gt;0,'C1'!B92,"")</f>
        <v/>
      </c>
      <c r="L21" s="8"/>
      <c r="M21" s="1285" t="s">
        <v>1568</v>
      </c>
      <c r="N21" s="1284" t="str">
        <f>IF('C2'!B19&lt;&gt;0,'C2'!B19,"")</f>
        <v/>
      </c>
      <c r="O21" s="8"/>
      <c r="P21" s="1285" t="s">
        <v>1600</v>
      </c>
      <c r="Q21" s="1284" t="str">
        <f>IF('C2'!B78&lt;&gt;0,'C2'!B78,"")</f>
        <v/>
      </c>
      <c r="R21" s="8"/>
      <c r="S21" s="1285" t="s">
        <v>1595</v>
      </c>
      <c r="T21" s="1284">
        <f>IF('C3'!B20&lt;&gt;0,'C3'!B20,"")</f>
        <v>11109</v>
      </c>
      <c r="U21" s="8"/>
      <c r="V21" s="1285" t="s">
        <v>1600</v>
      </c>
      <c r="W21" s="1284" t="str">
        <f>IF('C3'!B66&lt;&gt;0,'C3'!B66,"")</f>
        <v/>
      </c>
      <c r="X21" s="8"/>
      <c r="Y21" s="1285" t="s">
        <v>1606</v>
      </c>
      <c r="Z21" s="1284" t="s">
        <v>1532</v>
      </c>
      <c r="AA21" s="8"/>
      <c r="AB21" s="1285" t="s">
        <v>1600</v>
      </c>
      <c r="AC21" s="1284" t="str">
        <f>IF('C3'!B171&lt;&gt;0,'C3'!B171,"")</f>
        <v/>
      </c>
      <c r="AH21" s="1285" t="s">
        <v>1595</v>
      </c>
      <c r="AI21" s="1283" t="s">
        <v>1532</v>
      </c>
      <c r="AK21" s="1285" t="s">
        <v>1595</v>
      </c>
      <c r="AL21" s="1283" t="s">
        <v>1532</v>
      </c>
      <c r="AN21" s="1285" t="s">
        <v>1584</v>
      </c>
      <c r="AO21" s="1283" t="s">
        <v>1532</v>
      </c>
      <c r="AQ21" s="1291" t="s">
        <v>1591</v>
      </c>
      <c r="AR21" s="1294" t="s">
        <v>1532</v>
      </c>
      <c r="AT21" s="1288" t="s">
        <v>1537</v>
      </c>
      <c r="AU21" s="1284" t="str">
        <f>IF('C6'!B19&lt;&gt;0,'C6'!B19,"")</f>
        <v/>
      </c>
      <c r="AW21" s="1288">
        <v>24</v>
      </c>
      <c r="AX21" s="1284" t="str">
        <f>IF('C6'!B113&lt;&gt;0,'C6'!B113,"")</f>
        <v/>
      </c>
      <c r="AZ21" s="1285" t="s">
        <v>1607</v>
      </c>
      <c r="BA21" s="1284" t="str">
        <f>IF('C7'!B19&lt;&gt;0,'C7'!B19,"")</f>
        <v/>
      </c>
      <c r="BC21" s="1285" t="s">
        <v>1587</v>
      </c>
      <c r="BD21" s="1292" t="str">
        <f>IF('C8C9C10'!B20&lt;&gt;0,'C8C9C10'!B20,"")</f>
        <v/>
      </c>
      <c r="BF21" s="1285" t="s">
        <v>1600</v>
      </c>
      <c r="BG21" s="1286" t="str">
        <f>IF('C8C9C10'!B106&lt;&gt;"",'C8C9C10'!B106,"")</f>
        <v/>
      </c>
      <c r="BI21" s="1285" t="s">
        <v>1600</v>
      </c>
      <c r="BJ21" s="1284" t="str">
        <f>IF('C8C9C10'!B165&lt;&gt;0,'C8C9C10'!B165,"")</f>
        <v/>
      </c>
    </row>
    <row r="22" spans="1:62" ht="12" thickBot="1" x14ac:dyDescent="0.3">
      <c r="A22" s="1285" t="s">
        <v>1576</v>
      </c>
      <c r="B22" s="1284" t="str">
        <f>IF(C0!B25&lt;&gt;"",C0!B25,"")</f>
        <v/>
      </c>
      <c r="C22" s="8"/>
      <c r="D22" s="108" t="s">
        <v>11</v>
      </c>
      <c r="E22" s="840"/>
      <c r="F22" s="8"/>
      <c r="G22" s="109" t="s">
        <v>1525</v>
      </c>
      <c r="H22" s="1284" t="str">
        <f>IF('C1'!B29&lt;&gt;0,'C1'!B29,"")</f>
        <v/>
      </c>
      <c r="I22" s="8"/>
      <c r="J22" s="1285" t="s">
        <v>1549</v>
      </c>
      <c r="K22" s="1284" t="str">
        <f>IF('C1'!B93&lt;&gt;0,'C1'!B93,"")</f>
        <v/>
      </c>
      <c r="L22" s="8"/>
      <c r="M22" s="1285" t="s">
        <v>1571</v>
      </c>
      <c r="N22" s="1284">
        <f>IF('C2'!B20&lt;&gt;0,'C2'!B20,"")</f>
        <v>8303</v>
      </c>
      <c r="O22" s="8"/>
      <c r="P22" s="1285" t="s">
        <v>1604</v>
      </c>
      <c r="Q22" s="1284" t="str">
        <f>IF('C2'!B79&lt;&gt;0,'C2'!B79,"")</f>
        <v/>
      </c>
      <c r="R22" s="8"/>
      <c r="S22" s="1285" t="s">
        <v>1600</v>
      </c>
      <c r="T22" s="1284">
        <f>IF('C3'!B21&lt;&gt;0,'C3'!B21,"")</f>
        <v>4200</v>
      </c>
      <c r="U22" s="8"/>
      <c r="V22" s="1285" t="s">
        <v>1608</v>
      </c>
      <c r="W22" s="1284" t="str">
        <f>IF('C3'!B67&lt;&gt;0,'C3'!B67,"")</f>
        <v/>
      </c>
      <c r="X22" s="8"/>
      <c r="Y22" s="1285" t="s">
        <v>1609</v>
      </c>
      <c r="Z22" s="1284" t="s">
        <v>1532</v>
      </c>
      <c r="AA22" s="8"/>
      <c r="AB22" s="1285" t="s">
        <v>1604</v>
      </c>
      <c r="AC22" s="1284" t="str">
        <f>IF('C3'!B172&lt;&gt;0,'C3'!B172,"")</f>
        <v/>
      </c>
      <c r="AH22" s="1285" t="s">
        <v>1600</v>
      </c>
      <c r="AI22" s="1283" t="str">
        <f>IF('C4'!B14&lt;&gt;0,'C4'!B14,"")</f>
        <v/>
      </c>
      <c r="AK22" s="1285" t="s">
        <v>1600</v>
      </c>
      <c r="AL22" s="1299" t="str">
        <f>IF('C4'!B43&lt;&gt;"",'C4'!B43,"")</f>
        <v/>
      </c>
      <c r="AN22" s="1285" t="s">
        <v>1589</v>
      </c>
      <c r="AO22" s="1283" t="s">
        <v>1532</v>
      </c>
      <c r="AQ22" s="1291" t="s">
        <v>1595</v>
      </c>
      <c r="AR22" s="1294" t="s">
        <v>1532</v>
      </c>
      <c r="AT22" s="1288" t="s">
        <v>1540</v>
      </c>
      <c r="AU22" s="1284" t="str">
        <f>IF('C6'!B20&lt;&gt;0,'C6'!B20,"")</f>
        <v/>
      </c>
      <c r="AW22" s="1288">
        <v>24.1</v>
      </c>
      <c r="AX22" s="1284" t="str">
        <f>IF('C6'!B114&lt;&gt;0,'C6'!B114,"")</f>
        <v/>
      </c>
      <c r="AZ22" s="1285" t="s">
        <v>1610</v>
      </c>
      <c r="BA22" s="1284" t="str">
        <f>IF('C7'!B20&lt;&gt;0,'C7'!B20,"")</f>
        <v/>
      </c>
      <c r="BC22" s="1285" t="s">
        <v>1611</v>
      </c>
      <c r="BD22" s="1284" t="str">
        <f>IF('C8C9C10'!B21&lt;&gt;0,'C8C9C10'!B21,"")</f>
        <v/>
      </c>
      <c r="BF22" s="1285" t="s">
        <v>1604</v>
      </c>
      <c r="BG22" s="1286" t="str">
        <f>IF('C8C9C10'!B107&lt;&gt;"",'C8C9C10'!B107,"")</f>
        <v/>
      </c>
      <c r="BI22" s="695" t="s">
        <v>1604</v>
      </c>
      <c r="BJ22" s="1284"/>
    </row>
    <row r="23" spans="1:62" ht="12" thickBot="1" x14ac:dyDescent="0.3">
      <c r="A23" s="109" t="s">
        <v>1581</v>
      </c>
      <c r="B23" s="1284" t="str">
        <f>IF(C0!B26&lt;&gt;"",C0!B26,"")</f>
        <v/>
      </c>
      <c r="C23" s="8"/>
      <c r="D23" s="1281" t="s">
        <v>1525</v>
      </c>
      <c r="E23" s="1306" t="str">
        <f>IF(C0!B85&lt;&gt;"",C0!B85,"")</f>
        <v/>
      </c>
      <c r="F23" s="8"/>
      <c r="G23" s="1296" t="s">
        <v>1529</v>
      </c>
      <c r="H23" s="1284"/>
      <c r="I23" s="8"/>
      <c r="J23" s="1296" t="s">
        <v>1556</v>
      </c>
      <c r="K23" s="1284" t="s">
        <v>1532</v>
      </c>
      <c r="L23" s="8"/>
      <c r="M23" s="1285" t="s">
        <v>1576</v>
      </c>
      <c r="N23" s="1284" t="str">
        <f>IF('C2'!B21&lt;&gt;0,'C2'!B21,"")</f>
        <v/>
      </c>
      <c r="O23" s="8"/>
      <c r="P23" s="1285" t="s">
        <v>1607</v>
      </c>
      <c r="Q23" s="1284" t="str">
        <f>IF('C2'!B80&lt;&gt;0,'C2'!B80,"")</f>
        <v/>
      </c>
      <c r="R23" s="8"/>
      <c r="S23" s="1285" t="s">
        <v>1604</v>
      </c>
      <c r="T23" s="1284">
        <f>IF('C3'!B22&lt;&gt;0,'C3'!B22,"")</f>
        <v>13642</v>
      </c>
      <c r="U23" s="8"/>
      <c r="V23" s="1285" t="s">
        <v>1604</v>
      </c>
      <c r="W23" s="1284" t="str">
        <f>IF('C3'!B68&lt;&gt;0,'C3'!B68,"")</f>
        <v/>
      </c>
      <c r="X23" s="8"/>
      <c r="Y23" s="1285" t="s">
        <v>1612</v>
      </c>
      <c r="Z23" s="1284" t="s">
        <v>1532</v>
      </c>
      <c r="AA23" s="8"/>
      <c r="AB23" s="1285" t="s">
        <v>1607</v>
      </c>
      <c r="AC23" s="1284" t="str">
        <f>IF('C3'!B173&lt;&gt;0,'C3'!B173,"")</f>
        <v/>
      </c>
      <c r="AH23" s="1285" t="s">
        <v>1604</v>
      </c>
      <c r="AI23" s="1283" t="str">
        <f>IF('C4'!B15&lt;&gt;0,'C4'!B15,"")</f>
        <v/>
      </c>
      <c r="AK23" s="1285" t="s">
        <v>1608</v>
      </c>
      <c r="AL23" s="1283" t="s">
        <v>1532</v>
      </c>
      <c r="AN23" s="1285" t="s">
        <v>1592</v>
      </c>
      <c r="AO23" s="1283" t="s">
        <v>1532</v>
      </c>
      <c r="AQ23" s="1291" t="s">
        <v>1600</v>
      </c>
      <c r="AR23" s="1294" t="s">
        <v>1532</v>
      </c>
      <c r="AT23" s="1288" t="s">
        <v>1548</v>
      </c>
      <c r="AU23" s="1284" t="str">
        <f>IF('C6'!B21&lt;&gt;0,'C6'!B21,"")</f>
        <v/>
      </c>
      <c r="AW23" s="1288">
        <v>24.2</v>
      </c>
      <c r="AX23" s="1284" t="str">
        <f>IF('C6'!B115&lt;&gt;0,'C6'!B115,"")</f>
        <v/>
      </c>
      <c r="AZ23" s="1285" t="s">
        <v>1613</v>
      </c>
      <c r="BA23" s="1284" t="str">
        <f>IF('C7'!B21&lt;&gt;0,'C7'!B21,"")</f>
        <v/>
      </c>
      <c r="BC23" s="1285" t="s">
        <v>1614</v>
      </c>
      <c r="BD23" s="1284" t="str">
        <f>IF('C8C9C10'!B22&lt;&gt;0,'C8C9C10'!B22,"")</f>
        <v/>
      </c>
      <c r="BF23" s="1285" t="s">
        <v>1607</v>
      </c>
      <c r="BG23" s="1286" t="str">
        <f>IF('C8C9C10'!B108&lt;&gt;"",'C8C9C10'!B108,"")</f>
        <v/>
      </c>
      <c r="BI23" s="108"/>
    </row>
    <row r="24" spans="1:62" x14ac:dyDescent="0.25">
      <c r="A24" s="1285" t="s">
        <v>1591</v>
      </c>
      <c r="B24" s="1284" t="str">
        <f>IF(C0!B27&lt;&gt;"",C0!B27,"")</f>
        <v/>
      </c>
      <c r="C24" s="8"/>
      <c r="D24" s="1281" t="s">
        <v>1529</v>
      </c>
      <c r="E24" s="1307" t="s">
        <v>1615</v>
      </c>
      <c r="F24" s="8"/>
      <c r="G24" s="109" t="s">
        <v>1533</v>
      </c>
      <c r="H24" s="1284" t="str">
        <f>IF('C1'!B33&lt;&gt;0,'C1'!B33,"")</f>
        <v/>
      </c>
      <c r="I24" s="8"/>
      <c r="J24" s="1296" t="s">
        <v>1561</v>
      </c>
      <c r="K24" s="1284" t="s">
        <v>1532</v>
      </c>
      <c r="L24" s="8"/>
      <c r="M24" s="1285" t="s">
        <v>1581</v>
      </c>
      <c r="N24" s="1284" t="str">
        <f>IF('C2'!B22&lt;&gt;0,'C2'!B22,"")</f>
        <v/>
      </c>
      <c r="O24" s="8"/>
      <c r="P24" s="1285" t="s">
        <v>1613</v>
      </c>
      <c r="Q24" s="1284" t="str">
        <f>IF('C2'!B81&lt;&gt;0,'C2'!B81,"")</f>
        <v/>
      </c>
      <c r="R24" s="8"/>
      <c r="S24" s="1285" t="s">
        <v>1607</v>
      </c>
      <c r="T24" s="1284">
        <f>IF('C3'!B23&lt;&gt;0,'C3'!B23,"")</f>
        <v>1602</v>
      </c>
      <c r="U24" s="8"/>
      <c r="V24" s="1285" t="s">
        <v>1607</v>
      </c>
      <c r="W24" s="1284" t="str">
        <f>IF('C3'!B69&lt;&gt;0,'C3'!B69,"")</f>
        <v/>
      </c>
      <c r="X24" s="8"/>
      <c r="Y24" s="1285" t="s">
        <v>1616</v>
      </c>
      <c r="Z24" s="1284" t="str">
        <f>IF('C3'!B119&lt;&gt;0,'C3'!B119,"")</f>
        <v/>
      </c>
      <c r="AA24" s="8"/>
      <c r="AB24" s="1285" t="s">
        <v>1613</v>
      </c>
      <c r="AC24" s="1297"/>
      <c r="AH24" s="1285" t="s">
        <v>1607</v>
      </c>
      <c r="AI24" s="1283" t="str">
        <f>IF('C4'!B16&lt;&gt;0,'C4'!B16,"")</f>
        <v/>
      </c>
      <c r="AK24" s="1285" t="s">
        <v>1617</v>
      </c>
      <c r="AL24" s="1283" t="s">
        <v>1532</v>
      </c>
      <c r="AN24" s="1285" t="s">
        <v>1598</v>
      </c>
      <c r="AO24" s="1283" t="str">
        <f>IF('C4'!B104&lt;&gt;0,'C4'!B104,"")</f>
        <v/>
      </c>
      <c r="AQ24" s="1291" t="s">
        <v>1604</v>
      </c>
      <c r="AR24" s="1294" t="s">
        <v>1532</v>
      </c>
      <c r="AT24" s="1288" t="s">
        <v>1618</v>
      </c>
      <c r="AU24" s="1284" t="str">
        <f>IF('C6'!B22&lt;&gt;0,'C6'!B22,"")</f>
        <v/>
      </c>
      <c r="AW24" s="1288" t="s">
        <v>1537</v>
      </c>
      <c r="AX24" s="1284" t="str">
        <f>IF('C6'!B116&lt;&gt;0,'C6'!B116,"")</f>
        <v/>
      </c>
      <c r="AZ24" s="1285" t="s">
        <v>1619</v>
      </c>
      <c r="BA24" s="1284" t="str">
        <f>IF('C7'!B22&lt;&gt;0,'C7'!B22,"")</f>
        <v/>
      </c>
      <c r="BC24" s="1285" t="s">
        <v>1620</v>
      </c>
      <c r="BD24" s="1284" t="str">
        <f>IF('C8C9C10'!B23&lt;&gt;0,'C8C9C10'!B23,"")</f>
        <v/>
      </c>
      <c r="BF24" s="1285" t="s">
        <v>1613</v>
      </c>
      <c r="BG24" s="1286" t="str">
        <f>IF('C8C9C10'!B109&lt;&gt;"",'C8C9C10'!B109,"")</f>
        <v/>
      </c>
      <c r="BI24" s="1273"/>
      <c r="BJ24" s="1278" t="s">
        <v>83</v>
      </c>
    </row>
    <row r="25" spans="1:62" ht="12" thickBot="1" x14ac:dyDescent="0.3">
      <c r="A25" s="1285" t="s">
        <v>1595</v>
      </c>
      <c r="B25" s="1284" t="str">
        <f>IF(C0!B28&lt;&gt;"",C0!B28,"")</f>
        <v/>
      </c>
      <c r="C25" s="8"/>
      <c r="D25" s="1281" t="s">
        <v>1533</v>
      </c>
      <c r="E25" s="1307" t="s">
        <v>1615</v>
      </c>
      <c r="F25" s="8"/>
      <c r="G25" s="1285" t="s">
        <v>1538</v>
      </c>
      <c r="H25" s="1284" t="str">
        <f>IF('C1'!B34&lt;&gt;0,'C1'!B34,"")</f>
        <v/>
      </c>
      <c r="I25" s="8"/>
      <c r="J25" s="1296" t="s">
        <v>1565</v>
      </c>
      <c r="K25" s="1284" t="s">
        <v>1532</v>
      </c>
      <c r="L25" s="8"/>
      <c r="M25" s="1285" t="s">
        <v>1591</v>
      </c>
      <c r="N25" s="1284" t="str">
        <f>IF('C2'!B23&lt;&gt;0,'C2'!B23,"")</f>
        <v/>
      </c>
      <c r="O25" s="8"/>
      <c r="P25" s="1285" t="s">
        <v>1621</v>
      </c>
      <c r="Q25" s="1284" t="str">
        <f>IF('C2'!B82&lt;&gt;0,'C2'!B82,"")</f>
        <v/>
      </c>
      <c r="S25" s="1285" t="s">
        <v>1613</v>
      </c>
      <c r="T25" s="1284">
        <f>IF('C3'!B24&lt;&gt;0,'C3'!B24,"")</f>
        <v>777</v>
      </c>
      <c r="U25" s="8"/>
      <c r="V25" s="1285" t="s">
        <v>1613</v>
      </c>
      <c r="W25" s="1284" t="str">
        <f>IF('C3'!B70&lt;&gt;0,'C3'!B70,"")</f>
        <v/>
      </c>
      <c r="X25" s="8"/>
      <c r="Y25" s="1285" t="s">
        <v>1622</v>
      </c>
      <c r="Z25" s="1284" t="str">
        <f>IF('C3'!B120&lt;&gt;0,'C3'!B120,"")</f>
        <v/>
      </c>
      <c r="AA25" s="8"/>
      <c r="AB25" s="1285" t="s">
        <v>1621</v>
      </c>
      <c r="AC25" s="1284" t="str">
        <f>IF('C3'!B174&lt;&gt;0,'C3'!B174,"")</f>
        <v/>
      </c>
      <c r="AH25" s="1285" t="s">
        <v>1613</v>
      </c>
      <c r="AI25" s="1283" t="str">
        <f>IF('C4'!B17&lt;&gt;0,'C4'!B17,"")</f>
        <v/>
      </c>
      <c r="AK25" s="1285" t="s">
        <v>1623</v>
      </c>
      <c r="AL25" s="1299" t="str">
        <f>IF('C4'!B44&lt;&gt;"",'C4'!B44,"")</f>
        <v/>
      </c>
      <c r="AN25" s="1285" t="s">
        <v>1602</v>
      </c>
      <c r="AO25" s="1283" t="str">
        <f>IF('C4'!B105&lt;&gt;0,'C4'!B105,"")</f>
        <v/>
      </c>
      <c r="AQ25" s="1291" t="s">
        <v>1607</v>
      </c>
      <c r="AR25" s="1294" t="s">
        <v>1532</v>
      </c>
      <c r="AT25" s="1288" t="s">
        <v>1559</v>
      </c>
      <c r="AU25" s="1284" t="str">
        <f>IF('C6'!B23&lt;&gt;0,'C6'!B23,"")</f>
        <v/>
      </c>
      <c r="AW25" s="1288" t="s">
        <v>1624</v>
      </c>
      <c r="AX25" s="1284" t="str">
        <f>IF('C6'!B117&lt;&gt;0,'C6'!B117,"")</f>
        <v/>
      </c>
      <c r="AZ25" s="1293" t="s">
        <v>1625</v>
      </c>
      <c r="BA25" s="1284" t="str">
        <f>IF('C7'!B23&lt;&gt;0,'C7'!B23,"")</f>
        <v/>
      </c>
      <c r="BC25" s="1285" t="s">
        <v>1626</v>
      </c>
      <c r="BD25" s="1284" t="str">
        <f>IF('C8C9C10'!B24&lt;&gt;0,'C8C9C10'!B24,"")</f>
        <v/>
      </c>
      <c r="BF25" s="1285" t="s">
        <v>1621</v>
      </c>
      <c r="BG25" s="1283" t="str">
        <f>IF('C8C9C10'!B110&lt;&gt;"",'C8C9C10'!B110,"")</f>
        <v/>
      </c>
      <c r="BI25" s="107" t="s">
        <v>444</v>
      </c>
      <c r="BJ25" s="8" t="str">
        <f>"Selected  = "&amp;NI2_IND-1</f>
        <v>Selected  = 0</v>
      </c>
    </row>
    <row r="26" spans="1:62" x14ac:dyDescent="0.25">
      <c r="A26" s="109" t="s">
        <v>1600</v>
      </c>
      <c r="B26" s="1284" t="str">
        <f>IF(C0!B29&lt;&gt;"",C0!B29,"")</f>
        <v/>
      </c>
      <c r="C26" s="8"/>
      <c r="D26" s="1281" t="s">
        <v>1538</v>
      </c>
      <c r="E26" s="1284"/>
      <c r="F26" s="8"/>
      <c r="G26" s="1285" t="s">
        <v>1543</v>
      </c>
      <c r="H26" s="1284" t="str">
        <f>IF('C1'!B35&lt;&gt;0,'C1'!B35,"")</f>
        <v/>
      </c>
      <c r="I26" s="8"/>
      <c r="J26" s="1285" t="s">
        <v>1568</v>
      </c>
      <c r="K26" s="1284" t="str">
        <f>IF('C1'!B94&lt;&gt;0,'C1'!B94,"")</f>
        <v/>
      </c>
      <c r="L26" s="8"/>
      <c r="M26" s="1285" t="s">
        <v>1595</v>
      </c>
      <c r="N26" s="1284" t="str">
        <f>IF('C2'!B24&lt;&gt;0,'C2'!B24,"")</f>
        <v/>
      </c>
      <c r="O26" s="8"/>
      <c r="P26" s="1285" t="s">
        <v>1627</v>
      </c>
      <c r="Q26" s="1284" t="str">
        <f>IF('C2'!B83&lt;&gt;0,'C2'!B83,"")</f>
        <v/>
      </c>
      <c r="S26" s="1285" t="s">
        <v>1621</v>
      </c>
      <c r="T26" s="1284">
        <f>IF('C3'!B25&lt;&gt;0,'C3'!B25,"")</f>
        <v>71550</v>
      </c>
      <c r="U26" s="8"/>
      <c r="V26" s="1285" t="s">
        <v>1621</v>
      </c>
      <c r="W26" s="1284" t="str">
        <f>IF('C3'!B71&lt;&gt;0,'C3'!B71,"")</f>
        <v/>
      </c>
      <c r="X26" s="8"/>
      <c r="Y26" s="1285" t="s">
        <v>1628</v>
      </c>
      <c r="Z26" s="1284" t="str">
        <f>IF('C3'!B121&lt;&gt;0,'C3'!B121,"")</f>
        <v/>
      </c>
      <c r="AA26" s="8"/>
      <c r="AB26" s="1285" t="s">
        <v>1627</v>
      </c>
      <c r="AC26" s="1284" t="str">
        <f>IF('C3'!B175&lt;&gt;0,'C3'!B175,"")</f>
        <v/>
      </c>
      <c r="AH26" s="1285" t="s">
        <v>1621</v>
      </c>
      <c r="AI26" s="1283" t="str">
        <f>IF('C4'!B18&lt;&gt;0,'C4'!B18,"")</f>
        <v/>
      </c>
      <c r="AK26" s="1285" t="s">
        <v>1629</v>
      </c>
      <c r="AL26" s="1299" t="str">
        <f>IF('C4'!B45&lt;&gt;0,'C4'!B45,"")</f>
        <v/>
      </c>
      <c r="AN26" s="1285" t="s">
        <v>1606</v>
      </c>
      <c r="AO26" s="1283" t="str">
        <f>IF('C4'!B106&lt;&gt;0,'C4'!B106,"")</f>
        <v/>
      </c>
      <c r="AQ26" s="1291" t="s">
        <v>1613</v>
      </c>
      <c r="AR26" s="1294" t="s">
        <v>1532</v>
      </c>
      <c r="AT26" s="1288" t="s">
        <v>1630</v>
      </c>
      <c r="AU26" s="1284" t="str">
        <f>IF('C6'!B24&lt;&gt;0,'C6'!B24,"")</f>
        <v/>
      </c>
      <c r="AW26" s="1288" t="s">
        <v>1631</v>
      </c>
      <c r="AX26" s="1284" t="str">
        <f>IF('C6'!B118&lt;&gt;0,'C6'!B118,"")</f>
        <v/>
      </c>
      <c r="AZ26" s="1285" t="s">
        <v>1632</v>
      </c>
      <c r="BA26" s="1284" t="str">
        <f>IF('C7'!B24&lt;&gt;0,'C7'!B24,"")</f>
        <v/>
      </c>
      <c r="BC26" s="1285" t="s">
        <v>1633</v>
      </c>
      <c r="BD26" s="1284" t="str">
        <f>IF('C8C9C10'!B25&lt;&gt;0,'C8C9C10'!B25,"")</f>
        <v/>
      </c>
      <c r="BF26" s="1285" t="s">
        <v>1627</v>
      </c>
      <c r="BG26" s="1283" t="str">
        <f>IF('C8C9C10'!B111&lt;&gt;"",'C8C9C10'!B111,"")</f>
        <v/>
      </c>
      <c r="BI26" s="109" t="s">
        <v>1634</v>
      </c>
      <c r="BJ26" s="1284" t="str">
        <f>IF('C8C9C10'!B170="","",'C8C9C10'!B170)</f>
        <v/>
      </c>
    </row>
    <row r="27" spans="1:62" ht="12" thickBot="1" x14ac:dyDescent="0.3">
      <c r="A27" s="1285" t="s">
        <v>1604</v>
      </c>
      <c r="B27" s="1284" t="str">
        <f>IF(C0!B32&lt;&gt;"",C0!B32,"")</f>
        <v/>
      </c>
      <c r="C27" s="8"/>
      <c r="D27" s="1281" t="s">
        <v>1543</v>
      </c>
      <c r="E27" s="1284"/>
      <c r="F27" s="8"/>
      <c r="G27" s="1285" t="s">
        <v>1549</v>
      </c>
      <c r="H27" s="1284" t="str">
        <f>IF('C1'!B36&lt;&gt;0,'C1'!B36,"")</f>
        <v/>
      </c>
      <c r="I27" s="8"/>
      <c r="J27" s="1285" t="s">
        <v>1571</v>
      </c>
      <c r="K27" s="1284" t="str">
        <f>IF('C1'!B95&lt;&gt;0,'C1'!B95,"")</f>
        <v/>
      </c>
      <c r="L27" s="8"/>
      <c r="M27" s="1285" t="s">
        <v>1600</v>
      </c>
      <c r="N27" s="1284" t="str">
        <f>IF('C2'!B25&lt;&gt;0,'C2'!B25,"")</f>
        <v/>
      </c>
      <c r="O27" s="8"/>
      <c r="P27" s="1285" t="s">
        <v>1619</v>
      </c>
      <c r="Q27" s="1284" t="str">
        <f>IF('C2'!B84&lt;&gt;0,'C2'!B84,"")</f>
        <v/>
      </c>
      <c r="R27" s="8"/>
      <c r="S27" s="1285" t="s">
        <v>1627</v>
      </c>
      <c r="T27" s="1284" t="str">
        <f>IF('C3'!B26&lt;&gt;0,'C3'!B26,"")</f>
        <v/>
      </c>
      <c r="U27" s="8"/>
      <c r="V27" s="1285" t="s">
        <v>1627</v>
      </c>
      <c r="W27" s="1284" t="str">
        <f>IF('C3'!B72&lt;&gt;0,'C3'!B72,"")</f>
        <v/>
      </c>
      <c r="X27" s="8"/>
      <c r="Y27" s="1285" t="s">
        <v>1635</v>
      </c>
      <c r="Z27" s="1284" t="s">
        <v>1532</v>
      </c>
      <c r="AA27" s="8"/>
      <c r="AB27" s="1285" t="s">
        <v>1619</v>
      </c>
      <c r="AC27" s="1284" t="str">
        <f>IF('C3'!B176&lt;&gt;0,'C3'!B176,"")</f>
        <v/>
      </c>
      <c r="AH27" s="1285" t="s">
        <v>1627</v>
      </c>
      <c r="AI27" s="1283">
        <f>IF('C4'!B19&lt;&gt;0,'C4'!B19,"")</f>
        <v>1844</v>
      </c>
      <c r="AK27" s="1285" t="s">
        <v>1604</v>
      </c>
      <c r="AL27" s="1299" t="str">
        <f>IF('C4'!B46&lt;&gt;0,'C4'!B46,"")</f>
        <v/>
      </c>
      <c r="AN27" s="1285" t="s">
        <v>1609</v>
      </c>
      <c r="AO27" s="1283" t="str">
        <f>IF('C4'!B107&lt;&gt;0,'C4'!B107,"")</f>
        <v/>
      </c>
      <c r="AQ27" s="1291" t="s">
        <v>1543</v>
      </c>
      <c r="AR27" s="1294" t="s">
        <v>1532</v>
      </c>
      <c r="AT27" s="1288" t="s">
        <v>1567</v>
      </c>
      <c r="AU27" s="1284" t="str">
        <f>IF('C6'!B25&lt;&gt;0,'C6'!B25,"")</f>
        <v/>
      </c>
      <c r="AW27" s="1288" t="s">
        <v>1636</v>
      </c>
      <c r="AX27" s="1284" t="str">
        <f>IF('C6'!B119&lt;&gt;0,'C6'!B119,"")</f>
        <v/>
      </c>
      <c r="AZ27" s="1285" t="s">
        <v>1637</v>
      </c>
      <c r="BA27" s="1284" t="str">
        <f>IF('C7'!B25&lt;&gt;0,'C7'!B25,"")</f>
        <v/>
      </c>
      <c r="BC27" s="1285" t="s">
        <v>1638</v>
      </c>
      <c r="BD27" s="1284" t="str">
        <f>IF('C8C9C10'!B26&lt;&gt;0,'C8C9C10'!B26,"")</f>
        <v/>
      </c>
      <c r="BF27" s="1285" t="s">
        <v>1619</v>
      </c>
      <c r="BG27" s="1283" t="str">
        <f>IF('C8C9C10'!B112&lt;&gt;"",'C8C9C10'!B112,"")</f>
        <v/>
      </c>
      <c r="BI27" s="695" t="s">
        <v>1639</v>
      </c>
      <c r="BJ27" s="1292" t="str">
        <f>IF('C8C9C10'!B171="","",'C8C9C10'!B171)</f>
        <v/>
      </c>
    </row>
    <row r="28" spans="1:62" ht="12" thickBot="1" x14ac:dyDescent="0.3">
      <c r="A28" s="1285" t="s">
        <v>1607</v>
      </c>
      <c r="B28" s="1284" t="str">
        <f>IF(C0!B33&lt;&gt;"",C0!B33,"")</f>
        <v/>
      </c>
      <c r="C28" s="8"/>
      <c r="D28" s="1281" t="s">
        <v>1549</v>
      </c>
      <c r="E28" s="1284"/>
      <c r="F28" s="8"/>
      <c r="G28" s="1285" t="s">
        <v>1556</v>
      </c>
      <c r="H28" s="1284" t="str">
        <f>IF('C1'!B37&lt;&gt;0,'C1'!B37,"")</f>
        <v/>
      </c>
      <c r="I28" s="8"/>
      <c r="J28" s="1285" t="s">
        <v>1586</v>
      </c>
      <c r="K28" s="1284" t="str">
        <f>IF('C1'!B96&lt;&gt;0,'C1'!B96,"")</f>
        <v/>
      </c>
      <c r="L28" s="8"/>
      <c r="M28" s="1285" t="s">
        <v>1604</v>
      </c>
      <c r="N28" s="1284" t="str">
        <f>IF('C2'!B26&lt;&gt;0,'C2'!B26,"")</f>
        <v/>
      </c>
      <c r="O28" s="8"/>
      <c r="P28" s="1285" t="s">
        <v>1632</v>
      </c>
      <c r="Q28" s="1284" t="str">
        <f>IF('C2'!B85&lt;&gt;0,'C2'!B85,"")</f>
        <v/>
      </c>
      <c r="R28" s="8"/>
      <c r="S28" s="1285" t="s">
        <v>1619</v>
      </c>
      <c r="T28" s="1284">
        <f>IF('C3'!B27&lt;&gt;0,'C3'!B27,"")</f>
        <v>43907</v>
      </c>
      <c r="U28" s="8"/>
      <c r="V28" s="1285" t="s">
        <v>1619</v>
      </c>
      <c r="W28" s="1284" t="str">
        <f>IF('C3'!B73&lt;&gt;0,'C3'!B73,"")</f>
        <v/>
      </c>
      <c r="X28" s="8"/>
      <c r="Y28" s="1285" t="s">
        <v>1640</v>
      </c>
      <c r="Z28" s="1284" t="s">
        <v>1532</v>
      </c>
      <c r="AA28" s="8"/>
      <c r="AB28" s="1285" t="s">
        <v>1632</v>
      </c>
      <c r="AC28" s="1284" t="str">
        <f>IF('C3'!B177&lt;&gt;0,'C3'!B177,"")</f>
        <v/>
      </c>
      <c r="AH28" s="1285" t="s">
        <v>1619</v>
      </c>
      <c r="AI28" s="1283">
        <f>IF('C4'!B20&lt;&gt;0,'C4'!B20,"")</f>
        <v>1844</v>
      </c>
      <c r="AK28" s="1285" t="s">
        <v>1607</v>
      </c>
      <c r="AL28" s="1299" t="str">
        <f>IF('C4'!B47&lt;&gt;"",'C4'!B47,"")</f>
        <v/>
      </c>
      <c r="AN28" s="1293" t="s">
        <v>1612</v>
      </c>
      <c r="AO28" s="1283" t="str">
        <f>IF('C4'!B108&lt;&gt;0,'C4'!B108,"")</f>
        <v/>
      </c>
      <c r="AQ28" s="1291" t="s">
        <v>1553</v>
      </c>
      <c r="AR28" s="1294" t="s">
        <v>1532</v>
      </c>
      <c r="AT28" s="1288" t="s">
        <v>1570</v>
      </c>
      <c r="AU28" s="1284" t="str">
        <f>IF('C6'!B26&lt;&gt;0,'C6'!B26,"")</f>
        <v/>
      </c>
      <c r="AW28" s="1288" t="s">
        <v>1559</v>
      </c>
      <c r="AX28" s="1284" t="str">
        <f>IF('C6'!B120&lt;&gt;0,'C6'!B120,"")</f>
        <v/>
      </c>
      <c r="AZ28" s="695" t="s">
        <v>1641</v>
      </c>
      <c r="BA28" s="1284" t="str">
        <f>IF('C7'!B26&lt;&gt;0,'C7'!B26,"")</f>
        <v/>
      </c>
      <c r="BC28" s="1285" t="s">
        <v>1642</v>
      </c>
      <c r="BD28" s="1284" t="str">
        <f>IF('C8C9C10'!B27&lt;&gt;0,'C8C9C10'!B27,"")</f>
        <v/>
      </c>
      <c r="BF28" s="1285" t="s">
        <v>1632</v>
      </c>
      <c r="BG28" s="1295" t="str">
        <f>IF('C8C9C10'!B113&lt;&gt;"",'C8C9C10'!B113,"")</f>
        <v/>
      </c>
    </row>
    <row r="29" spans="1:62" ht="12" thickBot="1" x14ac:dyDescent="0.3">
      <c r="A29" s="109" t="s">
        <v>1613</v>
      </c>
      <c r="B29" s="1284" t="str">
        <f>IF(C0!B34&lt;&gt;"",C0!B34,"")</f>
        <v/>
      </c>
      <c r="C29" s="8"/>
      <c r="D29" s="1281" t="s">
        <v>1556</v>
      </c>
      <c r="E29" s="1284"/>
      <c r="F29" s="8"/>
      <c r="G29" s="1285" t="s">
        <v>1561</v>
      </c>
      <c r="H29" s="1284" t="str">
        <f>IF('C1'!B38&lt;&gt;0,'C1'!B38,"")</f>
        <v/>
      </c>
      <c r="I29" s="8"/>
      <c r="J29" s="1285" t="s">
        <v>1594</v>
      </c>
      <c r="K29" s="1284" t="str">
        <f>IF('C1'!B97&lt;&gt;0,'C1'!B97,"")</f>
        <v/>
      </c>
      <c r="L29" s="8"/>
      <c r="M29" s="1285" t="s">
        <v>1607</v>
      </c>
      <c r="N29" s="1284" t="str">
        <f>IF('C2'!B27&lt;&gt;0,'C2'!B27,"")</f>
        <v/>
      </c>
      <c r="O29" s="8"/>
      <c r="P29" s="1285" t="s">
        <v>1637</v>
      </c>
      <c r="Q29" s="1284" t="str">
        <f>IF('C2'!B86&lt;&gt;0,'C2'!B86,"")</f>
        <v/>
      </c>
      <c r="R29" s="8"/>
      <c r="S29" s="1285" t="s">
        <v>1632</v>
      </c>
      <c r="T29" s="1284" t="str">
        <f>IF('C3'!B28&lt;&gt;0,'C3'!B28,"")</f>
        <v/>
      </c>
      <c r="U29" s="8"/>
      <c r="V29" s="1285" t="s">
        <v>1632</v>
      </c>
      <c r="W29" s="1284" t="str">
        <f>IF('C3'!B74&lt;&gt;0,'C3'!B74,"")</f>
        <v/>
      </c>
      <c r="X29" s="8"/>
      <c r="Y29" s="1285" t="s">
        <v>1643</v>
      </c>
      <c r="Z29" s="1284" t="str">
        <f>IF('C3'!B122&lt;&gt;"",'C3'!B122,"")</f>
        <v/>
      </c>
      <c r="AA29" s="8"/>
      <c r="AB29" s="1285" t="s">
        <v>1637</v>
      </c>
      <c r="AC29" s="1284" t="str">
        <f>IF('C3'!B178&lt;&gt;0,'C3'!B178,"")</f>
        <v/>
      </c>
      <c r="AH29" s="1285" t="s">
        <v>1632</v>
      </c>
      <c r="AI29" s="1283" t="str">
        <f>IF('C4'!B21&lt;&gt;0,'C4'!B21,"")</f>
        <v/>
      </c>
      <c r="AK29" s="1285" t="s">
        <v>1613</v>
      </c>
      <c r="AL29" s="1299" t="str">
        <f>IF('C4'!B48&lt;&gt;0,'C4'!B48,"")</f>
        <v/>
      </c>
      <c r="AN29" s="1285" t="s">
        <v>1616</v>
      </c>
      <c r="AO29" s="1283" t="str">
        <f>IF('C4'!B109&lt;&gt;0,'C4'!B109,"")</f>
        <v/>
      </c>
      <c r="AQ29" s="1291" t="s">
        <v>1558</v>
      </c>
      <c r="AR29" s="1294" t="s">
        <v>1532</v>
      </c>
      <c r="AT29" s="1288" t="s">
        <v>1575</v>
      </c>
      <c r="AU29" s="1284" t="str">
        <f>IF('C6'!B27&lt;&gt;0,'C6'!B27,"")</f>
        <v/>
      </c>
      <c r="AW29" s="1288" t="s">
        <v>1644</v>
      </c>
      <c r="AX29" s="1284" t="str">
        <f>IF('C6'!B121&lt;&gt;0,'C6'!B121,"")</f>
        <v/>
      </c>
      <c r="AZ29" s="695" t="s">
        <v>1645</v>
      </c>
      <c r="BA29" s="1284" t="str">
        <f>IF('C7'!B27&lt;&gt;0,'C7'!B27,"")</f>
        <v/>
      </c>
      <c r="BC29" s="1285" t="s">
        <v>1591</v>
      </c>
      <c r="BD29" s="1292" t="str">
        <f>IF('C8C9C10'!B28&lt;&gt;0,'C8C9C10'!B28,"")</f>
        <v/>
      </c>
      <c r="BF29" s="1285" t="s">
        <v>1646</v>
      </c>
      <c r="BG29" s="1289" t="s">
        <v>1532</v>
      </c>
      <c r="BI29" s="1273"/>
      <c r="BJ29" s="1278" t="s">
        <v>83</v>
      </c>
    </row>
    <row r="30" spans="1:62" ht="12" thickBot="1" x14ac:dyDescent="0.3">
      <c r="A30" s="1285" t="s">
        <v>1621</v>
      </c>
      <c r="B30" s="1284" t="str">
        <f>IF(C0!B35&lt;&gt;"",C0!B35,"")</f>
        <v/>
      </c>
      <c r="C30" s="8"/>
      <c r="D30" s="1281" t="s">
        <v>1561</v>
      </c>
      <c r="E30" s="1284"/>
      <c r="F30" s="8"/>
      <c r="G30" s="1285" t="s">
        <v>1565</v>
      </c>
      <c r="H30" s="1284" t="str">
        <f>IF('C1'!B39&lt;&gt;0,'C1'!B39,"")</f>
        <v/>
      </c>
      <c r="I30" s="8"/>
      <c r="J30" s="1285" t="s">
        <v>1576</v>
      </c>
      <c r="K30" s="1286" t="str">
        <f>IF('C1'!B98&lt;&gt;0,'C1'!B98,"")</f>
        <v/>
      </c>
      <c r="L30" s="8"/>
      <c r="M30" s="1285" t="s">
        <v>1613</v>
      </c>
      <c r="N30" s="1284" t="str">
        <f>IF('C2'!B28&lt;&gt;0,'C2'!B28,"")</f>
        <v/>
      </c>
      <c r="O30" s="8"/>
      <c r="P30" s="1285" t="s">
        <v>1641</v>
      </c>
      <c r="Q30" s="1284" t="str">
        <f>IF('C2'!B87&lt;&gt;0,'C2'!B87,"")</f>
        <v/>
      </c>
      <c r="R30" s="8"/>
      <c r="S30" s="1285" t="s">
        <v>1637</v>
      </c>
      <c r="T30" s="1284" t="str">
        <f>IF('C3'!B29&lt;&gt;0,'C3'!B29,"")</f>
        <v/>
      </c>
      <c r="U30" s="8"/>
      <c r="V30" s="1285" t="s">
        <v>1637</v>
      </c>
      <c r="W30" s="1284" t="str">
        <f>IF('C3'!B75&lt;&gt;0,'C3'!B75,"")</f>
        <v/>
      </c>
      <c r="X30" s="8"/>
      <c r="Y30" s="1285" t="s">
        <v>1647</v>
      </c>
      <c r="Z30" s="1284" t="str">
        <f>IF('C3'!B123&lt;&gt;0,'C3'!B123,"")</f>
        <v/>
      </c>
      <c r="AA30" s="8"/>
      <c r="AB30" s="1285" t="s">
        <v>1641</v>
      </c>
      <c r="AC30" s="1284" t="str">
        <f>IF('C3'!B179&lt;&gt;0,'C3'!B179,"")</f>
        <v/>
      </c>
      <c r="AH30" s="1285" t="s">
        <v>1637</v>
      </c>
      <c r="AI30" s="1283" t="str">
        <f>IF('C4'!B22&lt;&gt;0,'C4'!B22,"")</f>
        <v/>
      </c>
      <c r="AK30" s="1285" t="s">
        <v>1621</v>
      </c>
      <c r="AL30" s="1299" t="str">
        <f>IF('C4'!B49&lt;&gt;"",'C4'!B49,"")</f>
        <v/>
      </c>
      <c r="AN30" s="1285" t="s">
        <v>1622</v>
      </c>
      <c r="AO30" s="1283" t="str">
        <f>IF('C4'!B110&lt;&gt;0,'C4'!B110,"")</f>
        <v/>
      </c>
      <c r="AQ30" s="1291" t="s">
        <v>1549</v>
      </c>
      <c r="AR30" s="1294" t="s">
        <v>1532</v>
      </c>
      <c r="AT30" s="1288" t="s">
        <v>1648</v>
      </c>
      <c r="AU30" s="1284" t="str">
        <f>IF('C6'!B28&lt;&gt;0,'C6'!B28,"")</f>
        <v/>
      </c>
      <c r="AW30" s="1288">
        <v>25</v>
      </c>
      <c r="AX30" s="1284" t="str">
        <f>IF('C6'!B122&lt;&gt;0,'C6'!B122,"")</f>
        <v/>
      </c>
      <c r="BC30" s="1285" t="s">
        <v>1595</v>
      </c>
      <c r="BD30" s="1284" t="str">
        <f>IF('C8C9C10'!B29&lt;&gt;0,'C8C9C10'!B29,"")</f>
        <v/>
      </c>
      <c r="BF30" s="1285" t="s">
        <v>1649</v>
      </c>
      <c r="BG30" s="1289" t="s">
        <v>1532</v>
      </c>
      <c r="BI30" s="107" t="s">
        <v>1650</v>
      </c>
      <c r="BJ30" s="8" t="str">
        <f>"Selected  = "&amp;NI1_IND-1</f>
        <v>Selected  = 168</v>
      </c>
    </row>
    <row r="31" spans="1:62" ht="12" thickBot="1" x14ac:dyDescent="0.3">
      <c r="A31" s="1285" t="s">
        <v>1627</v>
      </c>
      <c r="B31" s="1286" t="str">
        <f>IF(C0!B36&lt;&gt;"",C0!B36,"")</f>
        <v/>
      </c>
      <c r="C31" s="8"/>
      <c r="D31" s="1281" t="s">
        <v>1565</v>
      </c>
      <c r="E31" s="1307" t="s">
        <v>1615</v>
      </c>
      <c r="F31" s="8"/>
      <c r="G31" s="695" t="s">
        <v>1568</v>
      </c>
      <c r="H31" s="1284" t="str">
        <f>IF('C1'!B40&lt;&gt;0,'C1'!B40,"")</f>
        <v/>
      </c>
      <c r="I31" s="8"/>
      <c r="J31" s="1285" t="s">
        <v>1581</v>
      </c>
      <c r="K31" s="1284" t="str">
        <f>IF('C1'!B99&lt;&gt;0,'C1'!B99,"")</f>
        <v/>
      </c>
      <c r="L31" s="8"/>
      <c r="M31" s="695" t="s">
        <v>1621</v>
      </c>
      <c r="N31" s="1284" t="str">
        <f>IF('C2'!B29&lt;&gt;0,'C2'!B29,"")</f>
        <v/>
      </c>
      <c r="O31" s="8"/>
      <c r="P31" s="1285" t="s">
        <v>1651</v>
      </c>
      <c r="Q31" s="1284" t="str">
        <f>IF('C2'!B88&lt;&gt;0,'C2'!B88,"")</f>
        <v/>
      </c>
      <c r="R31" s="8"/>
      <c r="S31" s="1285" t="s">
        <v>1652</v>
      </c>
      <c r="T31" s="1284" t="str">
        <f>IF('C3'!B30&lt;&gt;0,'C3'!B30,"")</f>
        <v/>
      </c>
      <c r="U31" s="8"/>
      <c r="V31" s="1285" t="s">
        <v>1641</v>
      </c>
      <c r="W31" s="1284" t="str">
        <f>IF('C3'!B76&lt;&gt;0,'C3'!B76,"")</f>
        <v/>
      </c>
      <c r="X31" s="8"/>
      <c r="Y31" s="1285" t="s">
        <v>1653</v>
      </c>
      <c r="Z31" s="1284" t="str">
        <f>IF('C3'!B124&lt;&gt;0,'C3'!B124,"")</f>
        <v/>
      </c>
      <c r="AA31" s="8"/>
      <c r="AB31" s="1285" t="s">
        <v>1651</v>
      </c>
      <c r="AC31" s="1284" t="str">
        <f>IF('C3'!B180&lt;&gt;0,'C3'!B180,"")</f>
        <v/>
      </c>
      <c r="AH31" s="1285" t="s">
        <v>1641</v>
      </c>
      <c r="AI31" s="1283" t="str">
        <f>IF('C4'!B23&lt;&gt;0,'C4'!B23,"")</f>
        <v/>
      </c>
      <c r="AK31" s="1293" t="s">
        <v>1654</v>
      </c>
      <c r="AL31" s="1299" t="str">
        <f>IF('C4'!B50&lt;&gt;"",'C4'!B50,"")</f>
        <v/>
      </c>
      <c r="AN31" s="1285" t="s">
        <v>1628</v>
      </c>
      <c r="AO31" s="1283" t="str">
        <f>IF('C4'!B111&lt;&gt;0,'C4'!B111,"")</f>
        <v/>
      </c>
      <c r="AQ31" s="1291" t="s">
        <v>1556</v>
      </c>
      <c r="AR31" s="1294" t="s">
        <v>1532</v>
      </c>
      <c r="AT31" s="1288" t="s">
        <v>1585</v>
      </c>
      <c r="AU31" s="1284" t="str">
        <f>IF('C6'!B29&lt;&gt;0,'C6'!B29,"")</f>
        <v/>
      </c>
      <c r="AW31" s="1288">
        <v>26</v>
      </c>
      <c r="AX31" s="1284" t="str">
        <f>IF('C6'!B123&lt;&gt;0,'C6'!B123,"")</f>
        <v/>
      </c>
      <c r="BC31" s="1285" t="s">
        <v>1600</v>
      </c>
      <c r="BD31" s="1284" t="str">
        <f>IF('C8C9C10'!B30&lt;&gt;0,'C8C9C10'!B30,"")</f>
        <v/>
      </c>
      <c r="BF31" s="1285" t="s">
        <v>1655</v>
      </c>
      <c r="BG31" s="1289" t="s">
        <v>1532</v>
      </c>
      <c r="BI31" s="388" t="s">
        <v>1656</v>
      </c>
      <c r="BJ31" s="1284">
        <f>IF('C2'!B106="",0,'C2'!B106)+IF('C2'!B109="",0,'C2'!B109)</f>
        <v>37700</v>
      </c>
    </row>
    <row r="32" spans="1:62" ht="12" thickBot="1" x14ac:dyDescent="0.3">
      <c r="C32" s="8"/>
      <c r="D32" s="1281" t="s">
        <v>1568</v>
      </c>
      <c r="E32" s="1307" t="s">
        <v>1615</v>
      </c>
      <c r="F32" s="8"/>
      <c r="G32" s="109" t="s">
        <v>1571</v>
      </c>
      <c r="H32" s="1284" t="str">
        <f>IF('C1'!B44&lt;&gt;0,'C1'!B44,"")</f>
        <v/>
      </c>
      <c r="I32" s="8"/>
      <c r="J32" s="1285" t="s">
        <v>1591</v>
      </c>
      <c r="K32" s="1284" t="str">
        <f>IF('C1'!B100&lt;&gt;0,'C1'!B100,"")</f>
        <v/>
      </c>
      <c r="L32" s="8"/>
      <c r="O32" s="8"/>
      <c r="P32" s="1285" t="s">
        <v>1657</v>
      </c>
      <c r="Q32" s="1284" t="str">
        <f>IF('C2'!B89&lt;&gt;0,'C2'!B89,"")</f>
        <v/>
      </c>
      <c r="R32" s="8"/>
      <c r="S32" s="1285" t="s">
        <v>1641</v>
      </c>
      <c r="T32" s="1284">
        <f>IF('C3'!B31&lt;&gt;0,'C3'!B31,"")</f>
        <v>11260</v>
      </c>
      <c r="U32" s="8"/>
      <c r="V32" s="1285" t="s">
        <v>1651</v>
      </c>
      <c r="W32" s="1284" t="str">
        <f>IF('C3'!B77&lt;&gt;0,'C3'!B77,"")</f>
        <v/>
      </c>
      <c r="X32" s="8"/>
      <c r="Y32" s="1285" t="s">
        <v>1658</v>
      </c>
      <c r="Z32" s="1284" t="str">
        <f>IF('C3'!B125&lt;&gt;0,'C3'!B125,"")</f>
        <v/>
      </c>
      <c r="AA32" s="8"/>
      <c r="AB32" s="1285" t="s">
        <v>1657</v>
      </c>
      <c r="AC32" s="1284" t="str">
        <f>IF('C3'!B181&lt;&gt;0,'C3'!B181,"")</f>
        <v/>
      </c>
      <c r="AH32" s="1285" t="s">
        <v>1651</v>
      </c>
      <c r="AI32" s="1283" t="str">
        <f>IF('C4'!B24&lt;&gt;0,'C4'!B24,"")</f>
        <v/>
      </c>
      <c r="AK32" s="1285" t="s">
        <v>1627</v>
      </c>
      <c r="AL32" s="1299" t="str">
        <f>IF('C4'!B51&lt;&gt;"",'C4'!B51,"")</f>
        <v/>
      </c>
      <c r="AN32" s="1285" t="s">
        <v>1653</v>
      </c>
      <c r="AO32" s="1283" t="str">
        <f>IF('C4'!B112&lt;&gt;0,'C4'!B112,"")</f>
        <v/>
      </c>
      <c r="AQ32" s="1291" t="s">
        <v>1561</v>
      </c>
      <c r="AR32" s="1294" t="s">
        <v>1532</v>
      </c>
      <c r="AT32" s="1288" t="s">
        <v>1659</v>
      </c>
      <c r="AU32" s="1284" t="str">
        <f>IF('C6'!B30&lt;&gt;0,'C6'!B30,"")</f>
        <v/>
      </c>
      <c r="AW32" s="1288">
        <v>27</v>
      </c>
      <c r="AX32" s="1284" t="str">
        <f>IF('C6'!B124&lt;&gt;0,'C6'!B124,"")</f>
        <v/>
      </c>
      <c r="BC32" s="1285" t="s">
        <v>1604</v>
      </c>
      <c r="BD32" s="2430" t="str">
        <f>IF('C8C9C10'!B31&lt;&gt;0,'C8C9C10'!B31,"")</f>
        <v/>
      </c>
      <c r="BF32" s="1285" t="s">
        <v>1637</v>
      </c>
      <c r="BG32" s="1286" t="str">
        <f>IF('C8C9C10'!B117&lt;&gt;"",'C8C9C10'!B117,"")</f>
        <v/>
      </c>
      <c r="BI32" s="697"/>
      <c r="BJ32" s="1284"/>
    </row>
    <row r="33" spans="1:61" x14ac:dyDescent="0.25">
      <c r="A33" s="108" t="s">
        <v>7</v>
      </c>
      <c r="B33" s="840" t="str">
        <f>"Selected  = "&amp;SLR_ind-1</f>
        <v>Selected  = 0</v>
      </c>
      <c r="C33" s="8"/>
      <c r="D33" s="1281" t="s">
        <v>1571</v>
      </c>
      <c r="E33" s="1307" t="s">
        <v>1615</v>
      </c>
      <c r="F33" s="8"/>
      <c r="G33" s="1285" t="s">
        <v>1576</v>
      </c>
      <c r="H33" s="1284" t="str">
        <f>IF('C1'!B45&lt;&gt;0,'C1'!B45,"")</f>
        <v/>
      </c>
      <c r="I33" s="8"/>
      <c r="J33" s="1285" t="s">
        <v>1595</v>
      </c>
      <c r="K33" s="1284" t="str">
        <f>IF('C1'!B101&lt;&gt;0,'C1'!B101,"")</f>
        <v/>
      </c>
      <c r="L33" s="8"/>
      <c r="M33" s="1308"/>
      <c r="N33" s="1309" t="s">
        <v>1510</v>
      </c>
      <c r="O33" s="8"/>
      <c r="P33" s="1285" t="s">
        <v>1660</v>
      </c>
      <c r="Q33" s="1284" t="str">
        <f>IF('C2'!B90&lt;&gt;0,'C2'!B90,"")</f>
        <v/>
      </c>
      <c r="R33" s="8"/>
      <c r="S33" s="1285" t="s">
        <v>1645</v>
      </c>
      <c r="T33" s="1284" t="str">
        <f>IF('C3'!B32&lt;&gt;0,'C3'!B32,"")</f>
        <v/>
      </c>
      <c r="U33" s="8"/>
      <c r="V33" s="1285" t="s">
        <v>1657</v>
      </c>
      <c r="W33" s="1284" t="str">
        <f>IF('C3'!B78&lt;&gt;0,'C3'!B78,"")</f>
        <v/>
      </c>
      <c r="X33" s="8"/>
      <c r="Y33" s="1285" t="s">
        <v>1661</v>
      </c>
      <c r="Z33" s="1284" t="s">
        <v>1532</v>
      </c>
      <c r="AA33" s="8"/>
      <c r="AB33" s="1285" t="s">
        <v>1660</v>
      </c>
      <c r="AC33" s="1284" t="str">
        <f>IF('C3'!B182&lt;&gt;0,'C3'!B182,"")</f>
        <v/>
      </c>
      <c r="AH33" s="1285" t="s">
        <v>1657</v>
      </c>
      <c r="AI33" s="1283" t="str">
        <f>IF('C4'!B25&lt;&gt;0,'C4'!B25,"")</f>
        <v/>
      </c>
      <c r="AK33" s="1293" t="s">
        <v>1662</v>
      </c>
      <c r="AL33" s="1299" t="str">
        <f>IF('C4'!B52&lt;&gt;"",'C4'!B52,"")</f>
        <v/>
      </c>
      <c r="AN33" s="1285" t="s">
        <v>1658</v>
      </c>
      <c r="AO33" s="1283" t="str">
        <f>IF('C4'!B113&lt;&gt;0,'C4'!B113,"")</f>
        <v/>
      </c>
      <c r="AQ33" s="1291" t="s">
        <v>1565</v>
      </c>
      <c r="AR33" s="1294" t="s">
        <v>1532</v>
      </c>
      <c r="AT33" s="1288" t="s">
        <v>1663</v>
      </c>
      <c r="AU33" s="1284" t="str">
        <f>IF('C6'!B31&lt;&gt;0,'C6'!B31,"")</f>
        <v/>
      </c>
      <c r="AW33" s="1288">
        <v>28</v>
      </c>
      <c r="AX33" s="1284" t="str">
        <f>IF('C6'!B125&lt;&gt;0,'C6'!B125,"")</f>
        <v/>
      </c>
      <c r="BC33" s="1293" t="s">
        <v>1664</v>
      </c>
      <c r="BD33" s="2430" t="str">
        <f>IF('C8C9C10'!B32&lt;&gt;0,'C8C9C10'!B32,"")</f>
        <v/>
      </c>
      <c r="BF33" s="1285" t="s">
        <v>1641</v>
      </c>
      <c r="BG33" s="1289" t="s">
        <v>1532</v>
      </c>
      <c r="BI33" s="221"/>
    </row>
    <row r="34" spans="1:61" ht="12" thickBot="1" x14ac:dyDescent="0.3">
      <c r="A34" s="1281" t="s">
        <v>1525</v>
      </c>
      <c r="B34" s="1292" t="str">
        <f>IF(C0!B60&lt;&gt;"",C0!B60,"")</f>
        <v/>
      </c>
      <c r="C34" s="8"/>
      <c r="D34" s="1281" t="s">
        <v>1576</v>
      </c>
      <c r="E34" s="1284"/>
      <c r="F34" s="8"/>
      <c r="G34" s="1285" t="s">
        <v>1581</v>
      </c>
      <c r="H34" s="1284" t="str">
        <f>IF('C1'!B46&lt;&gt;0,'C1'!B46,"")</f>
        <v/>
      </c>
      <c r="I34" s="8"/>
      <c r="J34" s="1285" t="s">
        <v>1600</v>
      </c>
      <c r="K34" s="1284" t="str">
        <f>IF('C1'!B102&lt;&gt;0,'C1'!B102,"")</f>
        <v/>
      </c>
      <c r="L34" s="8"/>
      <c r="M34" s="108" t="s">
        <v>1493</v>
      </c>
      <c r="N34" s="112" t="str">
        <f>"Selected  = "&amp;EMP_B_IND-1</f>
        <v>Selected  = 0</v>
      </c>
      <c r="O34" s="8"/>
      <c r="P34" s="1285" t="s">
        <v>1665</v>
      </c>
      <c r="Q34" s="1284" t="str">
        <f>IF('C2'!B91&lt;&gt;0,'C2'!B91,"")</f>
        <v/>
      </c>
      <c r="R34" s="8"/>
      <c r="S34" s="1285" t="s">
        <v>1666</v>
      </c>
      <c r="T34" s="1284" t="str">
        <f>IF('C3'!B33&lt;&gt;0,'C3'!B33,"")</f>
        <v/>
      </c>
      <c r="U34" s="8"/>
      <c r="V34" s="1285" t="s">
        <v>1660</v>
      </c>
      <c r="W34" s="1284" t="str">
        <f>IF('C3'!B79&lt;&gt;0,'C3'!B79,"")</f>
        <v/>
      </c>
      <c r="X34" s="8"/>
      <c r="Y34" s="1285" t="s">
        <v>1667</v>
      </c>
      <c r="Z34" s="1284" t="str">
        <f>IF('C3'!B121&lt;&gt;0,'C3'!B126,"")</f>
        <v/>
      </c>
      <c r="AA34" s="8"/>
      <c r="AB34" s="1285" t="s">
        <v>1665</v>
      </c>
      <c r="AC34" s="1284" t="str">
        <f>IF('C3'!B183&lt;&gt;0,'C3'!B183,"")</f>
        <v/>
      </c>
      <c r="AH34" s="1285" t="s">
        <v>1660</v>
      </c>
      <c r="AI34" s="1283" t="str">
        <f>IF('C4'!B26&lt;&gt;0,'C4'!B26,"")</f>
        <v/>
      </c>
      <c r="AK34" s="1285" t="s">
        <v>1619</v>
      </c>
      <c r="AL34" s="1299" t="str">
        <f>IF('C4'!B53&lt;&gt;0,'C4'!B53,"")</f>
        <v/>
      </c>
      <c r="AN34" s="1293" t="s">
        <v>1661</v>
      </c>
      <c r="AO34" s="1283" t="str">
        <f>IF('C4'!B114&lt;&gt;0,'C4'!B114,"")</f>
        <v/>
      </c>
      <c r="AQ34" s="1291" t="s">
        <v>1568</v>
      </c>
      <c r="AR34" s="1294" t="s">
        <v>1532</v>
      </c>
      <c r="AT34" s="1288" t="s">
        <v>1668</v>
      </c>
      <c r="AU34" s="1284" t="str">
        <f>IF('C6'!B32&lt;&gt;0,'C6'!B32,"")</f>
        <v/>
      </c>
      <c r="AW34" s="1288">
        <v>29</v>
      </c>
      <c r="AX34" s="1284" t="str">
        <f>IF('C6'!B126&lt;&gt;0,'C6'!B126,"")</f>
        <v/>
      </c>
      <c r="BC34" s="1285" t="s">
        <v>1669</v>
      </c>
      <c r="BD34" s="1284" t="str">
        <f>IF('C8C9C10'!B33&lt;&gt;0,'C8C9C10'!B33,"")</f>
        <v/>
      </c>
      <c r="BF34" s="1285" t="s">
        <v>1651</v>
      </c>
      <c r="BG34" s="1289" t="s">
        <v>1532</v>
      </c>
      <c r="BI34" s="221"/>
    </row>
    <row r="35" spans="1:61" ht="12" thickBot="1" x14ac:dyDescent="0.3">
      <c r="A35" s="1310" t="s">
        <v>1670</v>
      </c>
      <c r="B35" s="1292" t="str">
        <f>IF(C0!B61&lt;&gt;"",C0!B61,"")</f>
        <v/>
      </c>
      <c r="C35" s="8"/>
      <c r="D35" s="1281" t="s">
        <v>1581</v>
      </c>
      <c r="E35" s="1284"/>
      <c r="F35" s="8"/>
      <c r="G35" s="695" t="s">
        <v>1591</v>
      </c>
      <c r="H35" s="1284" t="str">
        <f>IF('C1'!B47&lt;&gt;0,'C1'!B47,"")</f>
        <v/>
      </c>
      <c r="I35" s="8"/>
      <c r="J35" s="1285" t="s">
        <v>1604</v>
      </c>
      <c r="K35" s="1284" t="s">
        <v>1532</v>
      </c>
      <c r="L35" s="8"/>
      <c r="M35" s="109" t="s">
        <v>1525</v>
      </c>
      <c r="N35" s="1284" t="str">
        <f>IF('C2'!B32&lt;&gt;0,'C2'!B32,"")</f>
        <v/>
      </c>
      <c r="O35" s="8"/>
      <c r="P35" s="1285" t="s">
        <v>1671</v>
      </c>
      <c r="Q35" s="1284" t="str">
        <f>IF('C2'!B92&lt;&gt;0,'C2'!B92,"")</f>
        <v/>
      </c>
      <c r="R35" s="8"/>
      <c r="S35" s="1285" t="s">
        <v>1651</v>
      </c>
      <c r="T35" s="1284">
        <f>IF('C3'!B34&lt;&gt;0,'C3'!B34,"")</f>
        <v>1340</v>
      </c>
      <c r="U35" s="8"/>
      <c r="V35" s="1285" t="s">
        <v>1665</v>
      </c>
      <c r="W35" s="1284" t="str">
        <f>IF('C3'!B80&lt;&gt;0,'C3'!B80,"")</f>
        <v/>
      </c>
      <c r="X35" s="8"/>
      <c r="Y35" s="1293" t="s">
        <v>1672</v>
      </c>
      <c r="Z35" s="1284" t="str">
        <f>IF('C3'!B122&lt;&gt;0,'C3'!B127,"")</f>
        <v/>
      </c>
      <c r="AA35" s="8"/>
      <c r="AB35" s="1285" t="s">
        <v>1671</v>
      </c>
      <c r="AC35" s="1284" t="str">
        <f>IF('C3'!B184&lt;&gt;0,'C3'!B184,"")</f>
        <v/>
      </c>
      <c r="AH35" s="1285" t="s">
        <v>1665</v>
      </c>
      <c r="AI35" s="1283" t="s">
        <v>1532</v>
      </c>
      <c r="AK35" s="1285" t="s">
        <v>1632</v>
      </c>
      <c r="AL35" s="1299" t="str">
        <f>IF('C4'!B54&lt;&gt;0,'C4'!B54,"")</f>
        <v/>
      </c>
      <c r="AN35" s="1285" t="s">
        <v>1667</v>
      </c>
      <c r="AO35" s="1283" t="str">
        <f>IF('C4'!B115&lt;&gt;0,'C4'!B115,"")</f>
        <v/>
      </c>
      <c r="AQ35" s="1291" t="s">
        <v>1571</v>
      </c>
      <c r="AR35" s="1294" t="s">
        <v>1532</v>
      </c>
      <c r="AT35" s="1288" t="s">
        <v>1673</v>
      </c>
      <c r="AU35" s="1284" t="str">
        <f>IF('C6'!B33&lt;&gt;0,'C6'!B33,"")</f>
        <v/>
      </c>
      <c r="AW35" s="1288">
        <v>30</v>
      </c>
      <c r="AX35" s="1284" t="str">
        <f>IF('C6'!B127&lt;&gt;0,'C6'!B127,"")</f>
        <v/>
      </c>
      <c r="BC35" s="1285" t="s">
        <v>1674</v>
      </c>
      <c r="BD35" s="1284" t="str">
        <f>IF('C8C9C10'!B34&lt;&gt;0,'C8C9C10'!B34,"")</f>
        <v/>
      </c>
      <c r="BF35" s="1285" t="s">
        <v>1657</v>
      </c>
      <c r="BG35" s="1289" t="s">
        <v>1532</v>
      </c>
      <c r="BI35" s="108"/>
    </row>
    <row r="36" spans="1:61" ht="12" thickBot="1" x14ac:dyDescent="0.3">
      <c r="A36" s="1311" t="s">
        <v>1670</v>
      </c>
      <c r="B36" s="1292" t="str">
        <f>IF(C0!B62&lt;&gt;"",C0!B62,"")</f>
        <v/>
      </c>
      <c r="C36" s="8"/>
      <c r="D36" s="1281" t="s">
        <v>1591</v>
      </c>
      <c r="E36" s="1284"/>
      <c r="F36" s="8"/>
      <c r="G36" s="695" t="s">
        <v>1595</v>
      </c>
      <c r="H36" s="1284" t="str">
        <f>IF('C1'!B48&lt;&gt;0,'C1'!B48,"")</f>
        <v/>
      </c>
      <c r="I36" s="8"/>
      <c r="J36" s="1285" t="s">
        <v>1607</v>
      </c>
      <c r="K36" s="1284" t="str">
        <f>IF('C1'!B103&lt;&gt;0,'C1'!B103,"")</f>
        <v/>
      </c>
      <c r="L36" s="8"/>
      <c r="M36" s="1285" t="s">
        <v>1530</v>
      </c>
      <c r="N36" s="1284" t="str">
        <f>IF('C2'!B33&lt;&gt;0,'C2'!B33,"")</f>
        <v/>
      </c>
      <c r="O36" s="8"/>
      <c r="P36" s="1285" t="s">
        <v>1675</v>
      </c>
      <c r="Q36" s="1284" t="str">
        <f>IF('C2'!B93&lt;&gt;0,'C2'!B93,"")</f>
        <v/>
      </c>
      <c r="R36" s="8"/>
      <c r="S36" s="1285" t="s">
        <v>1657</v>
      </c>
      <c r="T36" s="1284" t="str">
        <f>IF('C3'!B35&lt;&gt;0,'C3'!B35,"")</f>
        <v/>
      </c>
      <c r="U36" s="8"/>
      <c r="V36" s="1285" t="s">
        <v>1671</v>
      </c>
      <c r="W36" s="1284" t="str">
        <f>IF('C3'!B81&lt;&gt;0,'C3'!B81,"")</f>
        <v/>
      </c>
      <c r="X36" s="8"/>
      <c r="Y36" s="1285" t="s">
        <v>1676</v>
      </c>
      <c r="Z36" s="1284" t="str">
        <f>IF('C3'!B128&lt;&gt;0,'C3'!B128,"")</f>
        <v/>
      </c>
      <c r="AA36" s="8"/>
      <c r="AB36" s="1285" t="s">
        <v>1675</v>
      </c>
      <c r="AC36" s="1284" t="str">
        <f>IF('C3'!B185&lt;&gt;0,'C3'!B185,"")</f>
        <v/>
      </c>
      <c r="AH36" s="1285" t="s">
        <v>1671</v>
      </c>
      <c r="AI36" s="1283" t="str">
        <f>IF('C4'!B27&lt;&gt;0,'C4'!B27,"")</f>
        <v/>
      </c>
      <c r="AK36" s="1285" t="s">
        <v>1637</v>
      </c>
      <c r="AL36" s="1299" t="str">
        <f>IF('C4'!B55&lt;&gt;"",'C4'!B55,"")</f>
        <v/>
      </c>
      <c r="AN36" s="1293" t="s">
        <v>1672</v>
      </c>
      <c r="AO36" s="1283" t="str">
        <f>IF('C4'!B116&lt;&gt;0,'C4'!B116,"")</f>
        <v/>
      </c>
      <c r="AQ36" s="1291" t="s">
        <v>1586</v>
      </c>
      <c r="AR36" s="1294" t="s">
        <v>1532</v>
      </c>
      <c r="AT36" s="1288" t="s">
        <v>1677</v>
      </c>
      <c r="AU36" s="1284" t="str">
        <f>IF('C6'!B34&lt;&gt;0,'C6'!B34,"")</f>
        <v/>
      </c>
      <c r="AW36" s="1305">
        <v>30.1</v>
      </c>
      <c r="AX36" s="1284" t="str">
        <f>IF('C6'!B128&lt;&gt;0,'C6'!B128,"")</f>
        <v/>
      </c>
      <c r="BC36" s="1285" t="s">
        <v>1678</v>
      </c>
      <c r="BD36" s="1284" t="str">
        <f>IF('C8C9C10'!B35&lt;&gt;0,'C8C9C10'!B35,"")</f>
        <v/>
      </c>
      <c r="BF36" s="1285" t="s">
        <v>1660</v>
      </c>
      <c r="BG36" s="1286" t="str">
        <f>IF('C8C9C10'!B121&lt;&gt;"",'C8C9C10'!B121,"")</f>
        <v/>
      </c>
      <c r="BI36" s="108"/>
    </row>
    <row r="37" spans="1:61" x14ac:dyDescent="0.25">
      <c r="A37" s="1281" t="s">
        <v>1529</v>
      </c>
      <c r="B37" s="1283" t="str">
        <f>IF(C0!B63&lt;&gt;"",C0!B63,"")</f>
        <v/>
      </c>
      <c r="C37" s="8"/>
      <c r="D37" s="1281" t="s">
        <v>1595</v>
      </c>
      <c r="E37" s="1284"/>
      <c r="F37" s="8"/>
      <c r="I37" s="8"/>
      <c r="J37" s="1285" t="s">
        <v>1613</v>
      </c>
      <c r="K37" s="1284" t="str">
        <f>IF('C1'!B104&lt;&gt;0,'C1'!B104,"")</f>
        <v/>
      </c>
      <c r="L37" s="8"/>
      <c r="M37" s="1285" t="s">
        <v>1529</v>
      </c>
      <c r="N37" s="1284" t="str">
        <f>IF('C2'!B34&lt;&gt;0,'C2'!B34,"")</f>
        <v/>
      </c>
      <c r="O37" s="8"/>
      <c r="P37" s="1285" t="s">
        <v>1679</v>
      </c>
      <c r="Q37" s="1284" t="str">
        <f>IF('C2'!B94&lt;&gt;0,'C2'!B94,"")</f>
        <v/>
      </c>
      <c r="R37" s="8"/>
      <c r="S37" s="1285" t="s">
        <v>1680</v>
      </c>
      <c r="T37" s="1284" t="s">
        <v>1532</v>
      </c>
      <c r="U37" s="8"/>
      <c r="V37" s="1285" t="s">
        <v>1675</v>
      </c>
      <c r="W37" s="1284" t="str">
        <f>IF('C3'!B82&lt;&gt;0,'C3'!B82,"")</f>
        <v/>
      </c>
      <c r="X37" s="8"/>
      <c r="Y37" s="1293" t="s">
        <v>1681</v>
      </c>
      <c r="Z37" s="1284" t="str">
        <f>IF('C3'!B129&lt;&gt;0,'C3'!B129,"")</f>
        <v/>
      </c>
      <c r="AA37" s="8"/>
      <c r="AB37" s="1285" t="s">
        <v>1679</v>
      </c>
      <c r="AC37" s="1284" t="str">
        <f>IF('C3'!B186&lt;&gt;0,'C3'!B186,"")</f>
        <v/>
      </c>
      <c r="AH37" s="1285" t="s">
        <v>1675</v>
      </c>
      <c r="AI37" s="1283" t="str">
        <f>IF('C4'!B28&lt;&gt;0,'C4'!B28,"")</f>
        <v/>
      </c>
      <c r="AK37" s="1285" t="s">
        <v>1641</v>
      </c>
      <c r="AL37" s="1287" t="str">
        <f>IF('C4'!B56&lt;&gt;0,'C4'!B56,"")</f>
        <v/>
      </c>
      <c r="AN37" s="1285" t="s">
        <v>1676</v>
      </c>
      <c r="AO37" s="1283" t="str">
        <f>IF('C4'!B117&lt;&gt;0,'C4'!B117,"")</f>
        <v/>
      </c>
      <c r="AQ37" s="1291" t="s">
        <v>1594</v>
      </c>
      <c r="AR37" s="1294" t="s">
        <v>1532</v>
      </c>
      <c r="AT37" s="1288" t="s">
        <v>1682</v>
      </c>
      <c r="AU37" s="1284" t="str">
        <f>IF('C6'!B35&lt;&gt;0,'C6'!B35,"")</f>
        <v/>
      </c>
      <c r="AW37" s="1288">
        <v>31</v>
      </c>
      <c r="AX37" s="1284" t="str">
        <f>IF('C6'!B129&lt;&gt;0,'C6'!B129,"")</f>
        <v/>
      </c>
      <c r="BC37" s="1285" t="s">
        <v>1683</v>
      </c>
      <c r="BD37" s="1284" t="str">
        <f>IF('C8C9C10'!B36&lt;&gt;0,'C8C9C10'!B36,"")</f>
        <v/>
      </c>
      <c r="BF37" s="1285" t="s">
        <v>1665</v>
      </c>
      <c r="BG37" s="1286" t="str">
        <f>IF('C8C9C10'!B122&lt;&gt;"",'C8C9C10'!B122,"")</f>
        <v/>
      </c>
      <c r="BI37" s="108"/>
    </row>
    <row r="38" spans="1:61" ht="12" thickBot="1" x14ac:dyDescent="0.3">
      <c r="A38" s="1281" t="s">
        <v>1533</v>
      </c>
      <c r="B38" s="1286" t="str">
        <f>IF(C0!B64&lt;&gt;"",C0!B64,"")</f>
        <v/>
      </c>
      <c r="C38" s="8"/>
      <c r="D38" s="1281" t="s">
        <v>1600</v>
      </c>
      <c r="E38" s="1284"/>
      <c r="F38" s="8"/>
      <c r="G38" s="108" t="s">
        <v>18</v>
      </c>
      <c r="H38" s="840" t="str">
        <f>"Selected  = "&amp;AOR_IND-1</f>
        <v>Selected  = 0</v>
      </c>
      <c r="I38" s="8"/>
      <c r="J38" s="1285" t="s">
        <v>1621</v>
      </c>
      <c r="K38" s="1284" t="str">
        <f>IF('C1'!B105&lt;&gt;0,'C1'!B105,"")</f>
        <v/>
      </c>
      <c r="L38" s="8"/>
      <c r="M38" s="1285" t="s">
        <v>1533</v>
      </c>
      <c r="N38" s="1284" t="str">
        <f>IF('C2'!B35&lt;&gt;0,'C2'!B35,"")</f>
        <v/>
      </c>
      <c r="O38" s="8"/>
      <c r="P38" s="1285" t="s">
        <v>1684</v>
      </c>
      <c r="Q38" s="1284" t="str">
        <f>IF('C2'!B95&lt;&gt;0,'C2'!B95,"")</f>
        <v/>
      </c>
      <c r="R38" s="8"/>
      <c r="S38" s="1285" t="s">
        <v>1660</v>
      </c>
      <c r="T38" s="1284" t="str">
        <f>IF('C3'!B36&lt;&gt;0,'C3'!B36,"")</f>
        <v/>
      </c>
      <c r="U38" s="8"/>
      <c r="V38" s="1285" t="s">
        <v>1679</v>
      </c>
      <c r="W38" s="1284" t="str">
        <f>IF('C3'!B83&lt;&gt;0,'C3'!B83,"")</f>
        <v/>
      </c>
      <c r="X38" s="8"/>
      <c r="Y38" s="1285" t="s">
        <v>1685</v>
      </c>
      <c r="Z38" s="1284" t="str">
        <f>IF('C3'!B130&lt;&gt;0,'C3'!B130,"")</f>
        <v/>
      </c>
      <c r="AA38" s="8"/>
      <c r="AB38" s="1285" t="s">
        <v>1684</v>
      </c>
      <c r="AC38" s="1284" t="str">
        <f>IF('C3'!B187&lt;&gt;0,'C3'!B187,"")</f>
        <v/>
      </c>
      <c r="AH38" s="695" t="s">
        <v>1679</v>
      </c>
      <c r="AI38" s="1283" t="str">
        <f>IF('C4'!B29&lt;&gt;0,'C4'!B29,"")</f>
        <v/>
      </c>
      <c r="AK38" s="1285" t="s">
        <v>1651</v>
      </c>
      <c r="AL38" s="1287" t="str">
        <f>IF('C4'!B57&lt;&gt;0,'C4'!B57,"")</f>
        <v/>
      </c>
      <c r="AN38" s="1285" t="s">
        <v>1685</v>
      </c>
      <c r="AO38" s="1283" t="str">
        <f>IF('C4'!B118&lt;&gt;0,'C4'!B118,"")</f>
        <v/>
      </c>
      <c r="AQ38" s="1291" t="s">
        <v>1576</v>
      </c>
      <c r="AR38" s="1294" t="s">
        <v>1532</v>
      </c>
      <c r="AT38" s="1288" t="s">
        <v>1686</v>
      </c>
      <c r="AU38" s="1284" t="str">
        <f>IF('C6'!B36&lt;&gt;0,'C6'!B36,"")</f>
        <v/>
      </c>
      <c r="AW38" s="1288">
        <v>32</v>
      </c>
      <c r="AX38" s="1284" t="str">
        <f>IF('C6'!B130&lt;&gt;0,'C6'!B130,"")</f>
        <v/>
      </c>
      <c r="BC38" s="1285" t="s">
        <v>1607</v>
      </c>
      <c r="BD38" s="1312" t="s">
        <v>1532</v>
      </c>
      <c r="BF38" s="1285" t="s">
        <v>1671</v>
      </c>
      <c r="BG38" s="1286" t="str">
        <f>IF('C8C9C10'!B123&lt;&gt;"",'C8C9C10'!B123,"")</f>
        <v/>
      </c>
      <c r="BI38" s="108"/>
    </row>
    <row r="39" spans="1:61" x14ac:dyDescent="0.25">
      <c r="C39" s="8"/>
      <c r="D39" s="1281" t="s">
        <v>1604</v>
      </c>
      <c r="E39" s="1284"/>
      <c r="F39" s="8"/>
      <c r="G39" s="109" t="s">
        <v>1525</v>
      </c>
      <c r="H39" s="1284" t="str">
        <f>IF('C1'!B51&lt;&gt;0,'C1'!B51,"")</f>
        <v/>
      </c>
      <c r="I39" s="8"/>
      <c r="J39" s="1285" t="s">
        <v>1627</v>
      </c>
      <c r="K39" s="1284" t="s">
        <v>1532</v>
      </c>
      <c r="L39" s="8"/>
      <c r="M39" s="1285" t="s">
        <v>1541</v>
      </c>
      <c r="N39" s="2395" t="s">
        <v>1532</v>
      </c>
      <c r="O39" s="8"/>
      <c r="P39" s="1285" t="s">
        <v>1687</v>
      </c>
      <c r="Q39" s="1284" t="str">
        <f>IF('C2'!B96&lt;&gt;0,'C2'!B96,"")</f>
        <v/>
      </c>
      <c r="R39" s="8"/>
      <c r="S39" s="1285" t="s">
        <v>1665</v>
      </c>
      <c r="T39" s="1284" t="str">
        <f>IF('C3'!B37&lt;&gt;0,'C3'!B37,"")</f>
        <v/>
      </c>
      <c r="U39" s="8"/>
      <c r="V39" s="1285" t="s">
        <v>1684</v>
      </c>
      <c r="W39" s="1284" t="str">
        <f>IF('C3'!B84&lt;&gt;0,'C3'!B84,"")</f>
        <v/>
      </c>
      <c r="X39" s="8"/>
      <c r="Y39" s="1285" t="s">
        <v>1688</v>
      </c>
      <c r="Z39" s="1284" t="str">
        <f>IF('C3'!B131&lt;&gt;0,'C3'!B131,"")</f>
        <v/>
      </c>
      <c r="AA39" s="8"/>
      <c r="AB39" s="1285" t="s">
        <v>1687</v>
      </c>
      <c r="AC39" s="1284" t="str">
        <f>IF('C3'!B188&lt;&gt;0,'C3'!B188,"")</f>
        <v/>
      </c>
      <c r="AK39" s="1285" t="s">
        <v>1657</v>
      </c>
      <c r="AL39" s="1299" t="str">
        <f>IF('C4'!B58&lt;&gt;0,'C4'!B58,"")</f>
        <v/>
      </c>
      <c r="AN39" s="1285" t="s">
        <v>1688</v>
      </c>
      <c r="AO39" s="1283" t="str">
        <f>IF('C4'!B119&lt;&gt;0,'C4'!B119,"")</f>
        <v/>
      </c>
      <c r="AQ39" s="1291" t="s">
        <v>1581</v>
      </c>
      <c r="AR39" s="1294" t="s">
        <v>1532</v>
      </c>
      <c r="AT39" s="1288" t="s">
        <v>1689</v>
      </c>
      <c r="AU39" s="1284" t="str">
        <f>IF('C6'!B37&lt;&gt;0,'C6'!B37,"")</f>
        <v/>
      </c>
      <c r="AW39" s="1288" t="s">
        <v>1537</v>
      </c>
      <c r="AX39" s="1284" t="str">
        <f>IF('C6'!B131&lt;&gt;0,'C6'!B131,"")</f>
        <v/>
      </c>
      <c r="BC39" s="1285" t="s">
        <v>1613</v>
      </c>
      <c r="BD39" s="1284" t="str">
        <f>IF('C8C9C10'!B38&lt;&gt;0,'C8C9C10'!B38,"")</f>
        <v/>
      </c>
      <c r="BF39" s="1285" t="s">
        <v>1675</v>
      </c>
      <c r="BG39" s="1289" t="s">
        <v>1532</v>
      </c>
      <c r="BI39" s="108"/>
    </row>
    <row r="40" spans="1:61" ht="12" thickBot="1" x14ac:dyDescent="0.3">
      <c r="A40" s="108" t="s">
        <v>8</v>
      </c>
      <c r="B40" s="840" t="str">
        <f>"Selected  = "&amp;CBC_Ind-1</f>
        <v>Selected  = 0</v>
      </c>
      <c r="C40" s="8"/>
      <c r="D40" s="1281" t="s">
        <v>1607</v>
      </c>
      <c r="E40" s="1284"/>
      <c r="F40" s="8"/>
      <c r="G40" s="1285" t="s">
        <v>1529</v>
      </c>
      <c r="H40" s="1284" t="str">
        <f>IF('C1'!B52&lt;&gt;0,'C1'!B52,"")</f>
        <v/>
      </c>
      <c r="I40" s="8"/>
      <c r="J40" s="1285" t="s">
        <v>1619</v>
      </c>
      <c r="K40" s="1284" t="s">
        <v>1532</v>
      </c>
      <c r="L40" s="8"/>
      <c r="M40" s="1285" t="s">
        <v>1538</v>
      </c>
      <c r="N40" s="1284" t="str">
        <f>IF('C2'!B37&lt;&gt;0,'C2'!B37,"")</f>
        <v/>
      </c>
      <c r="O40" s="8"/>
      <c r="P40" s="1285" t="s">
        <v>1690</v>
      </c>
      <c r="Q40" s="1284" t="str">
        <f>IF('C2'!B97&lt;&gt;0,'C2'!B97,"")</f>
        <v/>
      </c>
      <c r="R40" s="8"/>
      <c r="S40" s="1285" t="s">
        <v>1671</v>
      </c>
      <c r="T40" s="1284" t="str">
        <f>IF('C3'!B38&lt;&gt;0,'C3'!B38,"")</f>
        <v/>
      </c>
      <c r="U40" s="8"/>
      <c r="V40" s="1285" t="s">
        <v>1687</v>
      </c>
      <c r="W40" s="1284" t="str">
        <f>IF('C3'!B85&lt;&gt;0,'C3'!B85,"")</f>
        <v/>
      </c>
      <c r="X40" s="8"/>
      <c r="Y40" s="1285" t="s">
        <v>1691</v>
      </c>
      <c r="Z40" s="1284" t="str">
        <f>IF('C3'!B132&lt;&gt;0,'C3'!B132,"")</f>
        <v/>
      </c>
      <c r="AA40" s="8"/>
      <c r="AB40" s="1285" t="s">
        <v>1690</v>
      </c>
      <c r="AC40" s="1284" t="str">
        <f>IF('C3'!B189&lt;&gt;0,'C3'!B189,"")</f>
        <v/>
      </c>
      <c r="AK40" s="1285" t="s">
        <v>1660</v>
      </c>
      <c r="AL40" s="1299" t="str">
        <f>IF('C4'!B59&lt;&gt;0,'C4'!B59,"")</f>
        <v/>
      </c>
      <c r="AN40" s="695" t="s">
        <v>1691</v>
      </c>
      <c r="AO40" s="1283" t="str">
        <f>IF('C4'!B120&lt;&gt;0,'C4'!B120,"")</f>
        <v/>
      </c>
      <c r="AQ40" s="1291" t="s">
        <v>1591</v>
      </c>
      <c r="AR40" s="1294" t="s">
        <v>1532</v>
      </c>
      <c r="AT40" s="1288" t="s">
        <v>1692</v>
      </c>
      <c r="AU40" s="1284" t="str">
        <f>IF('C6'!B38&lt;&gt;0,'C6'!B38,"")</f>
        <v/>
      </c>
      <c r="AW40" s="1288" t="s">
        <v>1548</v>
      </c>
      <c r="AX40" s="1284" t="str">
        <f>IF('C6'!B132&lt;&gt;0,'C6'!B132,"")</f>
        <v/>
      </c>
      <c r="BC40" s="1285" t="s">
        <v>1621</v>
      </c>
      <c r="BD40" s="1284" t="str">
        <f>IF('C8C9C10'!B39&lt;&gt;0,'C8C9C10'!B39,"")</f>
        <v/>
      </c>
      <c r="BF40" s="1285" t="s">
        <v>1679</v>
      </c>
      <c r="BG40" s="1289" t="s">
        <v>1532</v>
      </c>
      <c r="BI40" s="108"/>
    </row>
    <row r="41" spans="1:61" x14ac:dyDescent="0.25">
      <c r="A41" s="1281" t="s">
        <v>1525</v>
      </c>
      <c r="B41" s="1283" t="str">
        <f>IF(C0!B67&lt;&gt;"",C0!B67,"")</f>
        <v/>
      </c>
      <c r="C41" s="8"/>
      <c r="D41" s="1281" t="s">
        <v>1613</v>
      </c>
      <c r="E41" s="1284" t="s">
        <v>1693</v>
      </c>
      <c r="F41" s="8"/>
      <c r="G41" s="1285" t="s">
        <v>1533</v>
      </c>
      <c r="H41" s="1284" t="str">
        <f>IF('C1'!B53&lt;&gt;0,'C1'!B53,"")</f>
        <v/>
      </c>
      <c r="I41" s="8"/>
      <c r="J41" s="1285" t="s">
        <v>1632</v>
      </c>
      <c r="K41" s="1292" t="s">
        <v>1532</v>
      </c>
      <c r="L41" s="8"/>
      <c r="M41" s="1285" t="s">
        <v>1543</v>
      </c>
      <c r="N41" s="1284" t="str">
        <f>IF('C2'!B38&lt;&gt;0,'C2'!B38,"")</f>
        <v/>
      </c>
      <c r="O41" s="8"/>
      <c r="P41" s="1285" t="s">
        <v>1694</v>
      </c>
      <c r="Q41" s="1284" t="str">
        <f>IF('C2'!B98&lt;&gt;0,'C2'!B98,"")</f>
        <v/>
      </c>
      <c r="R41" s="8"/>
      <c r="S41" s="1285" t="s">
        <v>1675</v>
      </c>
      <c r="T41" s="1284" t="str">
        <f>IF('C3'!B39&lt;&gt;0,'C3'!B39,"")</f>
        <v/>
      </c>
      <c r="U41" s="8"/>
      <c r="V41" s="1285" t="s">
        <v>1690</v>
      </c>
      <c r="W41" s="1284" t="str">
        <f>IF('C3'!B86&lt;&gt;0,'C3'!B86,"")</f>
        <v/>
      </c>
      <c r="X41" s="8"/>
      <c r="Y41" s="1285" t="s">
        <v>1695</v>
      </c>
      <c r="Z41" s="1284" t="str">
        <f>IF('C3'!B133&lt;&gt;0,'C3'!B133,"")</f>
        <v/>
      </c>
      <c r="AA41" s="8"/>
      <c r="AB41" s="1285" t="s">
        <v>1694</v>
      </c>
      <c r="AC41" s="1284" t="str">
        <f>IF('C3'!B190&lt;&gt;0,'C3'!B190,"")</f>
        <v/>
      </c>
      <c r="AK41" s="1285" t="s">
        <v>1665</v>
      </c>
      <c r="AL41" s="1299" t="str">
        <f>IF('C4'!B60&lt;&gt;"",'C4'!B60,"")</f>
        <v/>
      </c>
      <c r="AQ41" s="1291" t="s">
        <v>1595</v>
      </c>
      <c r="AR41" s="1294" t="s">
        <v>1532</v>
      </c>
      <c r="AT41" s="1288" t="s">
        <v>1696</v>
      </c>
      <c r="AU41" s="1284" t="str">
        <f>IF('C6'!B39&lt;&gt;0,'C6'!B39,"")</f>
        <v/>
      </c>
      <c r="AW41" s="1288" t="s">
        <v>1559</v>
      </c>
      <c r="AX41" s="1284" t="str">
        <f>IF('C6'!B133&lt;&gt;0,'C6'!B133,"")</f>
        <v/>
      </c>
      <c r="BC41" s="1285" t="s">
        <v>1627</v>
      </c>
      <c r="BD41" s="1284" t="str">
        <f>IF('C8C9C10'!B40&lt;&gt;0,'C8C9C10'!B40,"")</f>
        <v/>
      </c>
      <c r="BF41" s="1285" t="s">
        <v>1684</v>
      </c>
      <c r="BG41" s="1289" t="s">
        <v>1532</v>
      </c>
      <c r="BI41" s="108"/>
    </row>
    <row r="42" spans="1:61" ht="12" thickBot="1" x14ac:dyDescent="0.3">
      <c r="A42" s="1281" t="s">
        <v>1529</v>
      </c>
      <c r="B42" s="1292" t="str">
        <f>IF(C0!B68&lt;&gt;"",C0!B68,"")</f>
        <v/>
      </c>
      <c r="C42" s="8"/>
      <c r="D42" s="1281" t="s">
        <v>1621</v>
      </c>
      <c r="E42" s="1284"/>
      <c r="F42" s="8"/>
      <c r="G42" s="1285" t="s">
        <v>1538</v>
      </c>
      <c r="H42" s="1284" t="str">
        <f>IF('C1'!B54&lt;&gt;0,'C1'!B54,"")</f>
        <v/>
      </c>
      <c r="I42" s="8"/>
      <c r="J42" s="695" t="s">
        <v>1637</v>
      </c>
      <c r="K42" s="1292" t="s">
        <v>1532</v>
      </c>
      <c r="L42" s="8"/>
      <c r="M42" s="1285" t="s">
        <v>1549</v>
      </c>
      <c r="N42" s="1284" t="str">
        <f>IF('C2'!B39&lt;&gt;0,'C2'!B39,"")</f>
        <v/>
      </c>
      <c r="O42" s="8"/>
      <c r="P42" s="1285" t="s">
        <v>1697</v>
      </c>
      <c r="Q42" s="1284" t="str">
        <f>IF('C2'!B99&lt;&gt;0,'C2'!B99,"")</f>
        <v/>
      </c>
      <c r="R42" s="8"/>
      <c r="S42" s="1285" t="s">
        <v>1679</v>
      </c>
      <c r="T42" s="1284">
        <f>IF('C3'!B40&lt;&gt;0,'C3'!B40,"")</f>
        <v>53827</v>
      </c>
      <c r="U42" s="8"/>
      <c r="V42" s="1285" t="s">
        <v>1694</v>
      </c>
      <c r="W42" s="1284" t="str">
        <f>IF('C3'!B87&lt;&gt;0,'C3'!B87,"")</f>
        <v/>
      </c>
      <c r="X42" s="8"/>
      <c r="Y42" s="1285" t="s">
        <v>1698</v>
      </c>
      <c r="Z42" s="1284" t="str">
        <f>IF('C3'!B134&lt;&gt;0,'C3'!B134,"")</f>
        <v/>
      </c>
      <c r="AA42" s="8"/>
      <c r="AB42" s="1285" t="s">
        <v>1697</v>
      </c>
      <c r="AC42" s="1284" t="str">
        <f>IF('C3'!B191&lt;&gt;0,'C3'!B191,"")</f>
        <v/>
      </c>
      <c r="AK42" s="1285" t="s">
        <v>1671</v>
      </c>
      <c r="AL42" s="1299" t="str">
        <f>IF('C4'!B61&lt;&gt;"",'C4'!B61,"")</f>
        <v/>
      </c>
      <c r="AQ42" s="1291" t="s">
        <v>1600</v>
      </c>
      <c r="AR42" s="1294" t="s">
        <v>1532</v>
      </c>
      <c r="AT42" s="1288" t="s">
        <v>1699</v>
      </c>
      <c r="AU42" s="1284" t="str">
        <f>IF('C6'!B40&lt;&gt;0,'C6'!B40,"")</f>
        <v/>
      </c>
      <c r="AW42" s="1288" t="s">
        <v>1700</v>
      </c>
      <c r="AX42" s="1284" t="str">
        <f>IF('C6'!B134&lt;&gt;0,'C6'!B134,"")</f>
        <v/>
      </c>
      <c r="BC42" s="1285" t="s">
        <v>1619</v>
      </c>
      <c r="BD42" s="1284" t="str">
        <f>IF('C8C9C10'!B41&lt;&gt;0,'C8C9C10'!B41,"")</f>
        <v/>
      </c>
      <c r="BF42" s="1285" t="s">
        <v>1687</v>
      </c>
      <c r="BG42" s="1289" t="s">
        <v>1532</v>
      </c>
      <c r="BI42" s="108"/>
    </row>
    <row r="43" spans="1:61" x14ac:dyDescent="0.25">
      <c r="A43" s="1281" t="s">
        <v>1533</v>
      </c>
      <c r="B43" s="1295" t="str">
        <f>IF(C0!B69&lt;&gt;"",C0!B69,"")</f>
        <v/>
      </c>
      <c r="C43" s="8"/>
      <c r="D43" s="1281" t="s">
        <v>1654</v>
      </c>
      <c r="E43" s="1284" t="s">
        <v>1532</v>
      </c>
      <c r="F43" s="8"/>
      <c r="G43" s="1285" t="s">
        <v>1543</v>
      </c>
      <c r="H43" s="1284" t="str">
        <f>IF('C1'!B55&lt;&gt;0,'C1'!B55,"")</f>
        <v/>
      </c>
      <c r="I43" s="8"/>
      <c r="J43" s="8"/>
      <c r="K43" s="8"/>
      <c r="L43" s="8"/>
      <c r="M43" s="1285" t="s">
        <v>1560</v>
      </c>
      <c r="N43" s="1295" t="str">
        <f>IF('C2'!B40&lt;&gt;0,'C2'!B40,"")</f>
        <v/>
      </c>
      <c r="O43" s="8"/>
      <c r="P43" s="1285" t="s">
        <v>1701</v>
      </c>
      <c r="Q43" s="1284" t="str">
        <f>IF('C2'!B100&lt;&gt;0,'C2'!B100,"")</f>
        <v/>
      </c>
      <c r="R43" s="8"/>
      <c r="S43" s="1285" t="s">
        <v>1684</v>
      </c>
      <c r="T43" s="1284">
        <f>IF('C3'!B41&lt;&gt;0,'C3'!B41,"")</f>
        <v>53827</v>
      </c>
      <c r="U43" s="8"/>
      <c r="V43" s="1285" t="s">
        <v>1697</v>
      </c>
      <c r="W43" s="1284" t="str">
        <f>IF('C3'!B88&lt;&gt;0,'C3'!B88,"")</f>
        <v/>
      </c>
      <c r="X43" s="8"/>
      <c r="Y43" s="1285" t="s">
        <v>1702</v>
      </c>
      <c r="Z43" s="1284" t="str">
        <f>IF('C3'!B135&lt;&gt;0,'C3'!B135,"")</f>
        <v/>
      </c>
      <c r="AA43" s="8"/>
      <c r="AB43" s="1285" t="s">
        <v>1701</v>
      </c>
      <c r="AC43" s="1284" t="str">
        <f>IF('C3'!B192&lt;&gt;0,'C3'!B192,"")</f>
        <v/>
      </c>
      <c r="AK43" s="1285" t="s">
        <v>1675</v>
      </c>
      <c r="AL43" s="1299" t="str">
        <f>IF('C4'!B62&lt;&gt;0,'C4'!B62,"")</f>
        <v/>
      </c>
      <c r="AQ43" s="1291" t="s">
        <v>1604</v>
      </c>
      <c r="AR43" s="1294" t="s">
        <v>1532</v>
      </c>
      <c r="AT43" s="1288" t="s">
        <v>1703</v>
      </c>
      <c r="AU43" s="1284" t="str">
        <f>IF('C6'!B41&lt;&gt;0,'C6'!B41,"")</f>
        <v/>
      </c>
      <c r="AW43" s="1288" t="s">
        <v>1567</v>
      </c>
      <c r="AX43" s="1284" t="str">
        <f>IF('C6'!B135&lt;&gt;0,'C6'!B135,"")</f>
        <v/>
      </c>
      <c r="BC43" s="1285" t="s">
        <v>1632</v>
      </c>
      <c r="BD43" s="1292" t="str">
        <f>IF('C8C9C10'!B42&lt;&gt;0,'C8C9C10'!B42,"")</f>
        <v/>
      </c>
      <c r="BF43" s="1285" t="s">
        <v>1690</v>
      </c>
      <c r="BG43" s="1289" t="s">
        <v>1532</v>
      </c>
      <c r="BI43" s="108"/>
    </row>
    <row r="44" spans="1:61" ht="12" thickBot="1" x14ac:dyDescent="0.3">
      <c r="C44" s="8"/>
      <c r="D44" s="1281" t="s">
        <v>1627</v>
      </c>
      <c r="E44" s="1284"/>
      <c r="F44" s="8"/>
      <c r="G44" s="1285" t="s">
        <v>1549</v>
      </c>
      <c r="H44" s="1284" t="str">
        <f>IF('C1'!B56&lt;&gt;0,'C1'!B56,"")</f>
        <v/>
      </c>
      <c r="I44" s="8"/>
      <c r="J44" s="8"/>
      <c r="K44" s="8"/>
      <c r="L44" s="8"/>
      <c r="M44" s="1285" t="s">
        <v>1556</v>
      </c>
      <c r="N44" s="1284" t="str">
        <f>IF('C2'!B41&lt;&gt;0,'C2'!B41,"")</f>
        <v/>
      </c>
      <c r="O44" s="8"/>
      <c r="P44" s="695" t="s">
        <v>1704</v>
      </c>
      <c r="Q44" s="1284" t="str">
        <f>IF('C2'!B101&lt;&gt;0,'C2'!B101,"")</f>
        <v/>
      </c>
      <c r="R44" s="8"/>
      <c r="S44" s="1285" t="s">
        <v>1687</v>
      </c>
      <c r="T44" s="1284" t="str">
        <f>IF('C3'!B42&lt;&gt;0,'C3'!B42,"")</f>
        <v/>
      </c>
      <c r="U44" s="8"/>
      <c r="V44" s="1285" t="s">
        <v>1701</v>
      </c>
      <c r="W44" s="1284" t="str">
        <f>IF('C3'!B89&lt;&gt;0,'C3'!B89,"")</f>
        <v/>
      </c>
      <c r="X44" s="8"/>
      <c r="Y44" s="1285" t="s">
        <v>1705</v>
      </c>
      <c r="Z44" s="1284" t="str">
        <f>IF('C3'!B136&lt;&gt;0,'C3'!B136,"")</f>
        <v/>
      </c>
      <c r="AA44" s="8"/>
      <c r="AB44" s="1285" t="s">
        <v>1704</v>
      </c>
      <c r="AC44" s="1284" t="str">
        <f>IF('C3'!B193&lt;&gt;0,'C3'!B193,"")</f>
        <v/>
      </c>
      <c r="AK44" s="1285" t="s">
        <v>1679</v>
      </c>
      <c r="AL44" s="1299" t="str">
        <f>IF('C4'!B63&lt;&gt;"",'C4'!B63,"")</f>
        <v/>
      </c>
      <c r="AQ44" s="1291" t="s">
        <v>1607</v>
      </c>
      <c r="AR44" s="1294" t="s">
        <v>1532</v>
      </c>
      <c r="AT44" s="1288" t="s">
        <v>1706</v>
      </c>
      <c r="AU44" s="1284" t="str">
        <f>IF('C6'!B42&lt;&gt;0,'C6'!B42,"")</f>
        <v/>
      </c>
      <c r="AW44" s="1288" t="s">
        <v>1575</v>
      </c>
      <c r="AX44" s="1284" t="str">
        <f>IF('C6'!B136&lt;&gt;0,'C6'!B136,"")</f>
        <v/>
      </c>
      <c r="BC44" s="1285" t="s">
        <v>1637</v>
      </c>
      <c r="BD44" s="1283">
        <f>IF('C8C9C10'!B43&lt;&gt;0,'C8C9C10'!B43,"")</f>
        <v>34228</v>
      </c>
      <c r="BF44" s="1285" t="s">
        <v>1694</v>
      </c>
      <c r="BG44" s="1289" t="s">
        <v>1532</v>
      </c>
      <c r="BI44" s="108"/>
    </row>
    <row r="45" spans="1:61" ht="12" thickBot="1" x14ac:dyDescent="0.3">
      <c r="A45" s="108" t="s">
        <v>9624</v>
      </c>
      <c r="B45" s="840" t="str">
        <f>"Selected  = "&amp;WFP_Ind-1</f>
        <v>Selected  = 0</v>
      </c>
      <c r="C45" s="8"/>
      <c r="D45" s="1281" t="s">
        <v>1619</v>
      </c>
      <c r="E45" s="1307" t="s">
        <v>1707</v>
      </c>
      <c r="F45" s="8"/>
      <c r="G45" s="1285">
        <v>6.1</v>
      </c>
      <c r="H45" s="1284" t="str">
        <f>IF('C1'!B57&lt;&gt;0,'C1'!B57,"")</f>
        <v/>
      </c>
      <c r="I45" s="8"/>
      <c r="J45" s="8"/>
      <c r="K45" s="8"/>
      <c r="L45" s="8"/>
      <c r="M45" s="1285" t="s">
        <v>1572</v>
      </c>
      <c r="N45" s="1284" t="str">
        <f>IF('C2'!B42&lt;&gt;0,'C2'!B42,"")</f>
        <v/>
      </c>
      <c r="O45" s="8"/>
      <c r="P45" s="695" t="s">
        <v>1708</v>
      </c>
      <c r="Q45" s="1284">
        <f>IF('C2'!B109="","",'C2'!B109)</f>
        <v>0</v>
      </c>
      <c r="R45" s="8"/>
      <c r="S45" s="1285" t="s">
        <v>1690</v>
      </c>
      <c r="T45" s="1284" t="str">
        <f>IF('C3'!B43&lt;&gt;0,'C3'!B43,"")</f>
        <v/>
      </c>
      <c r="U45" s="8"/>
      <c r="V45" s="1285" t="s">
        <v>1704</v>
      </c>
      <c r="W45" s="1284" t="str">
        <f>IF('C3'!B90&lt;&gt;0,'C3'!B90,"")</f>
        <v/>
      </c>
      <c r="X45" s="8"/>
      <c r="Y45" s="1285" t="s">
        <v>1709</v>
      </c>
      <c r="Z45" s="1284" t="str">
        <f>IF('C3'!B137&lt;&gt;0,'C3'!B137,"")</f>
        <v/>
      </c>
      <c r="AA45" s="8"/>
      <c r="AB45" s="1285" t="s">
        <v>1710</v>
      </c>
      <c r="AC45" s="1284" t="str">
        <f>IF('C3'!B194&lt;&gt;0,'C3'!B194,"")</f>
        <v/>
      </c>
      <c r="AK45" s="1285" t="s">
        <v>1684</v>
      </c>
      <c r="AL45" s="1299" t="str">
        <f>IF('C4'!B64&lt;&gt;0,'C4'!B64,"")</f>
        <v/>
      </c>
      <c r="AQ45" s="1291" t="s">
        <v>1613</v>
      </c>
      <c r="AR45" s="1294" t="s">
        <v>1532</v>
      </c>
      <c r="AT45" s="1288" t="s">
        <v>1711</v>
      </c>
      <c r="AU45" s="1284" t="str">
        <f>IF('C6'!B43&lt;&gt;0,'C6'!B43,"")</f>
        <v/>
      </c>
      <c r="AW45" s="1288" t="s">
        <v>1585</v>
      </c>
      <c r="AX45" s="1284" t="str">
        <f>IF('C6'!B137&lt;&gt;0,'C6'!B137,"")</f>
        <v/>
      </c>
      <c r="BC45" s="1285" t="s">
        <v>1641</v>
      </c>
      <c r="BD45" s="1284">
        <f>IF('C8C9C10'!B44&lt;&gt;0,'C8C9C10'!B44,"")</f>
        <v>26819</v>
      </c>
      <c r="BF45" s="1285" t="s">
        <v>1697</v>
      </c>
      <c r="BG45" s="1286" t="str">
        <f>IF('C8C9C10'!B130&lt;&gt;"",'C8C9C10'!B130,"")</f>
        <v/>
      </c>
      <c r="BI45" s="108"/>
    </row>
    <row r="46" spans="1:61" x14ac:dyDescent="0.25">
      <c r="A46" s="1281" t="s">
        <v>1525</v>
      </c>
      <c r="B46" s="1284" t="str">
        <f>IF(C0!B72&lt;&gt;"",C0!B72,"")</f>
        <v/>
      </c>
      <c r="C46" s="8"/>
      <c r="D46" s="1281" t="s">
        <v>1632</v>
      </c>
      <c r="E46" s="1284"/>
      <c r="F46" s="8"/>
      <c r="G46" s="1285" t="s">
        <v>1556</v>
      </c>
      <c r="H46" s="1284" t="str">
        <f>IF('C1'!B58&lt;&gt;0,'C1'!B58,"")</f>
        <v/>
      </c>
      <c r="I46" s="8"/>
      <c r="J46" s="108"/>
      <c r="K46" s="8"/>
      <c r="L46" s="8"/>
      <c r="M46" s="1285" t="s">
        <v>1577</v>
      </c>
      <c r="N46" s="1292" t="str">
        <f>IF('C2'!B43&lt;&gt;0,'C2'!B43,"")</f>
        <v/>
      </c>
      <c r="O46" s="8"/>
      <c r="P46" s="8"/>
      <c r="Q46" s="8"/>
      <c r="R46" s="8"/>
      <c r="S46" s="1285" t="s">
        <v>1694</v>
      </c>
      <c r="T46" s="1284" t="str">
        <f>IF('C3'!B44&lt;&gt;0,'C3'!B44,"")</f>
        <v/>
      </c>
      <c r="U46" s="8"/>
      <c r="V46" s="1285" t="s">
        <v>1710</v>
      </c>
      <c r="W46" s="1284" t="str">
        <f>IF('C3'!B91&lt;&gt;0,'C3'!B91,"")</f>
        <v/>
      </c>
      <c r="X46" s="8"/>
      <c r="Y46" s="1285" t="s">
        <v>1712</v>
      </c>
      <c r="Z46" s="1284" t="str">
        <f>IF('C3'!B138&lt;&gt;0,'C3'!B138,"")</f>
        <v/>
      </c>
      <c r="AA46" s="8"/>
      <c r="AB46" s="1285" t="s">
        <v>1713</v>
      </c>
      <c r="AC46" s="1284" t="str">
        <f>IF('C3'!B195&lt;&gt;0,'C3'!B195,"")</f>
        <v/>
      </c>
      <c r="AK46" s="1285" t="s">
        <v>1687</v>
      </c>
      <c r="AL46" s="1299" t="str">
        <f>IF('C4'!B65&lt;&gt;"",'C4'!B65,"")</f>
        <v/>
      </c>
      <c r="AQ46" s="1285" t="s">
        <v>1621</v>
      </c>
      <c r="AR46" s="1283" t="str">
        <f>IF('C5'!B44&lt;&gt;0,'C5'!B44,"")</f>
        <v/>
      </c>
      <c r="AT46" s="1288" t="s">
        <v>1714</v>
      </c>
      <c r="AU46" s="1284" t="str">
        <f>IF('C6'!B44&lt;&gt;0,'C6'!B44,"")</f>
        <v/>
      </c>
      <c r="AW46" s="1288" t="s">
        <v>1715</v>
      </c>
      <c r="AX46" s="1284" t="str">
        <f>IF('C6'!B138&lt;&gt;0,'C6'!B138,"")</f>
        <v/>
      </c>
      <c r="BC46" s="1285" t="s">
        <v>1651</v>
      </c>
      <c r="BD46" s="1284">
        <f>IF('C8C9C10'!B45&lt;&gt;0,'C8C9C10'!B45,"")</f>
        <v>7409</v>
      </c>
      <c r="BF46" s="1285" t="s">
        <v>1701</v>
      </c>
      <c r="BG46" s="1283" t="str">
        <f>IF('C8C9C10'!B131&lt;&gt;"",'C8C9C10'!B131,"")</f>
        <v/>
      </c>
      <c r="BI46" s="108"/>
    </row>
    <row r="47" spans="1:61" x14ac:dyDescent="0.25">
      <c r="C47" s="8"/>
      <c r="D47" s="1281" t="s">
        <v>1637</v>
      </c>
      <c r="E47" s="1284"/>
      <c r="F47" s="8"/>
      <c r="G47" s="1285" t="s">
        <v>1561</v>
      </c>
      <c r="H47" s="1284" t="str">
        <f>IF('C1'!B59&lt;&gt;0,'C1'!B59,"")</f>
        <v/>
      </c>
      <c r="I47" s="8"/>
      <c r="J47" s="108"/>
      <c r="K47" s="8"/>
      <c r="L47" s="8"/>
      <c r="M47" s="1285" t="s">
        <v>1582</v>
      </c>
      <c r="N47" s="1284" t="str">
        <f>IF('C2'!B44&lt;&gt;0,'C2'!B44,"")</f>
        <v/>
      </c>
      <c r="O47" s="8"/>
      <c r="P47" s="8"/>
      <c r="Q47" s="8"/>
      <c r="R47" s="8"/>
      <c r="S47" s="1285" t="s">
        <v>1697</v>
      </c>
      <c r="T47" s="1284" t="str">
        <f>IF('C3'!B45&lt;&gt;0,'C3'!B45,"")</f>
        <v>N</v>
      </c>
      <c r="U47" s="8"/>
      <c r="V47" s="1285" t="s">
        <v>1713</v>
      </c>
      <c r="W47" s="1284" t="str">
        <f>IF('C3'!B92&lt;&gt;0,'C3'!B92,"")</f>
        <v/>
      </c>
      <c r="X47" s="8"/>
      <c r="Y47" s="1285" t="s">
        <v>1716</v>
      </c>
      <c r="Z47" s="1284" t="str">
        <f>IF('C3'!B139&lt;&gt;0,'C3'!B139,"")</f>
        <v/>
      </c>
      <c r="AA47" s="8"/>
      <c r="AB47" s="1285" t="s">
        <v>1717</v>
      </c>
      <c r="AC47" s="1284" t="str">
        <f>IF('C3'!B196&lt;&gt;0,'C3'!B196,"")</f>
        <v/>
      </c>
      <c r="AK47" s="1285" t="s">
        <v>1718</v>
      </c>
      <c r="AL47" s="1283" t="s">
        <v>1532</v>
      </c>
      <c r="AQ47" s="1285" t="s">
        <v>1654</v>
      </c>
      <c r="AR47" s="1299" t="str">
        <f>IF('C5'!B45&lt;&gt;0,'C5'!B45,"")</f>
        <v/>
      </c>
      <c r="AT47" s="1288" t="s">
        <v>1719</v>
      </c>
      <c r="AU47" s="1284" t="str">
        <f>IF('C6'!B45&lt;&gt;0,'C6'!B45,"")</f>
        <v/>
      </c>
      <c r="AW47" s="1288" t="s">
        <v>1663</v>
      </c>
      <c r="AX47" s="1284" t="str">
        <f>IF('C6'!B139&lt;&gt;0,'C6'!B139,"")</f>
        <v/>
      </c>
      <c r="BC47" s="1293" t="s">
        <v>1720</v>
      </c>
      <c r="BD47" s="1284" t="str">
        <f>IF('C8C9C10'!B46&lt;&gt;0,'C8C9C10'!B46,"")</f>
        <v/>
      </c>
      <c r="BF47" s="1285" t="s">
        <v>1704</v>
      </c>
      <c r="BG47" s="1286" t="str">
        <f>IF('C8C9C10'!B132&lt;&gt;"",'C8C9C10'!B132,"")</f>
        <v/>
      </c>
      <c r="BI47" s="108"/>
    </row>
    <row r="48" spans="1:61" ht="12" thickBot="1" x14ac:dyDescent="0.3">
      <c r="A48" s="108" t="s">
        <v>10</v>
      </c>
      <c r="B48" s="840"/>
      <c r="D48" s="1281" t="s">
        <v>1641</v>
      </c>
      <c r="E48" s="1284"/>
      <c r="G48" s="1285" t="s">
        <v>1565</v>
      </c>
      <c r="H48" s="1284" t="str">
        <f>IF('C1'!B60&lt;&gt;0,'C1'!B60,"")</f>
        <v/>
      </c>
      <c r="M48" s="1285" t="s">
        <v>1588</v>
      </c>
      <c r="N48" s="1292" t="str">
        <f>IF('C2'!B45&lt;&gt;0,'C2'!B45,"")</f>
        <v/>
      </c>
      <c r="S48" s="695" t="s">
        <v>1701</v>
      </c>
      <c r="T48" s="1284" t="str">
        <f>IF('C3'!B46&lt;&gt;0,'C3'!B46,"")</f>
        <v/>
      </c>
      <c r="V48" s="1285" t="s">
        <v>1717</v>
      </c>
      <c r="W48" s="1284" t="str">
        <f>IF('C3'!B93&lt;&gt;0,'C3'!B93,"")</f>
        <v/>
      </c>
      <c r="X48" s="8"/>
      <c r="Y48" s="1285" t="s">
        <v>1721</v>
      </c>
      <c r="Z48" s="1284" t="str">
        <f>IF('C3'!B140&lt;&gt;0,'C3'!B140,"")</f>
        <v/>
      </c>
      <c r="AB48" s="1285" t="s">
        <v>1722</v>
      </c>
      <c r="AC48" s="1284" t="str">
        <f>IF('C3'!B197&lt;&gt;0,'C3'!B197,"")</f>
        <v/>
      </c>
      <c r="AK48" s="1285" t="s">
        <v>1690</v>
      </c>
      <c r="AL48" s="1299" t="str">
        <f>IF('C4'!B66&lt;&gt;"",'C4'!B66,"")</f>
        <v/>
      </c>
      <c r="AQ48" s="1285" t="s">
        <v>1723</v>
      </c>
      <c r="AR48" s="1299" t="str">
        <f>IF('C5'!B46&lt;&gt;"",'C5'!B46,"")</f>
        <v/>
      </c>
      <c r="AT48" s="1288" t="s">
        <v>1724</v>
      </c>
      <c r="AU48" s="1284" t="str">
        <f>IF('C6'!B46&lt;&gt;0,'C6'!B46,"")</f>
        <v/>
      </c>
      <c r="AW48" s="1288" t="s">
        <v>1673</v>
      </c>
      <c r="AX48" s="1284" t="str">
        <f>IF('C6'!B140&lt;&gt;0,'C6'!B140,"")</f>
        <v/>
      </c>
      <c r="BC48" s="1285" t="s">
        <v>1657</v>
      </c>
      <c r="BD48" s="1284" t="str">
        <f>IF('C8C9C10'!B47&lt;&gt;0,'C8C9C10'!B47,"")</f>
        <v/>
      </c>
      <c r="BF48" s="695" t="s">
        <v>1710</v>
      </c>
      <c r="BG48" s="1286" t="str">
        <f>IF('C8C9C10'!B133&lt;&gt;"",'C8C9C10'!B133,"")</f>
        <v/>
      </c>
    </row>
    <row r="49" spans="1:59" ht="12" thickBot="1" x14ac:dyDescent="0.3">
      <c r="A49" s="109" t="s">
        <v>1725</v>
      </c>
      <c r="B49" s="1286" t="str">
        <f>IF(C0!B75&lt;&gt;"",C0!B75,"")</f>
        <v/>
      </c>
      <c r="D49" s="1281" t="s">
        <v>1651</v>
      </c>
      <c r="E49" s="1284"/>
      <c r="G49" s="1285" t="s">
        <v>1568</v>
      </c>
      <c r="H49" s="1284" t="str">
        <f>IF('C1'!B61&lt;&gt;0,'C1'!B61,"")</f>
        <v/>
      </c>
      <c r="M49" s="1302" t="s">
        <v>1561</v>
      </c>
      <c r="N49" s="1284" t="str">
        <f>IF('C2'!B46&lt;&gt;0,'C2'!B46,"")</f>
        <v/>
      </c>
      <c r="V49" s="1285" t="s">
        <v>1722</v>
      </c>
      <c r="W49" s="1284" t="str">
        <f>IF('C3'!B94&lt;&gt;0,'C3'!B94,"")</f>
        <v/>
      </c>
      <c r="X49" s="8"/>
      <c r="Y49" s="1285" t="s">
        <v>1726</v>
      </c>
      <c r="Z49" s="1284" t="str">
        <f>IF('C3'!B141&lt;&gt;0,'C3'!B141,"")</f>
        <v/>
      </c>
      <c r="AB49" s="1285" t="s">
        <v>1727</v>
      </c>
      <c r="AC49" s="1284" t="str">
        <f>IF('C3'!B198&lt;&gt;0,'C3'!B198,"")</f>
        <v/>
      </c>
      <c r="AK49" s="1293" t="s">
        <v>1728</v>
      </c>
      <c r="AL49" s="1299" t="str">
        <f>IF('C4'!B67&lt;&gt;"",'C4'!B67,"")</f>
        <v/>
      </c>
      <c r="AQ49" s="1285" t="s">
        <v>1627</v>
      </c>
      <c r="AR49" s="1283" t="str">
        <f>IF('C5'!B47&lt;&gt;0,'C5'!B47,"")</f>
        <v/>
      </c>
      <c r="AT49" s="1288" t="s">
        <v>1729</v>
      </c>
      <c r="AU49" s="1284" t="str">
        <f>IF('C6'!B47&lt;&gt;0,'C6'!B47,"")</f>
        <v/>
      </c>
      <c r="AW49" s="1288" t="s">
        <v>1682</v>
      </c>
      <c r="AX49" s="1284" t="str">
        <f>IF('C6'!B141&lt;&gt;0,'C6'!B141,"")</f>
        <v/>
      </c>
      <c r="BC49" s="1285" t="s">
        <v>1660</v>
      </c>
      <c r="BD49" s="1286" t="str">
        <f>IF('C8C9C10'!B48&lt;&gt;0,'C8C9C10'!B48,"")</f>
        <v/>
      </c>
      <c r="BF49" s="1064" t="s">
        <v>1713</v>
      </c>
      <c r="BG49" s="1286" t="str">
        <f>IF('C8C9C10'!B134&lt;&gt;"",'C8C9C10'!B134,"")</f>
        <v/>
      </c>
    </row>
    <row r="50" spans="1:59" ht="12" thickBot="1" x14ac:dyDescent="0.3">
      <c r="A50" s="1285" t="s">
        <v>1525</v>
      </c>
      <c r="B50" s="1286" t="str">
        <f>IF(C0!B76&lt;&gt;"",C0!B76,"")</f>
        <v/>
      </c>
      <c r="G50" s="1285" t="s">
        <v>1571</v>
      </c>
      <c r="H50" s="1284" t="s">
        <v>1532</v>
      </c>
      <c r="M50" s="1285" t="s">
        <v>1597</v>
      </c>
      <c r="N50" s="1284" t="s">
        <v>1532</v>
      </c>
      <c r="V50" s="1285" t="s">
        <v>1727</v>
      </c>
      <c r="W50" s="1284" t="str">
        <f>IF('C3'!B95&lt;&gt;0,'C3'!B95,"")</f>
        <v/>
      </c>
      <c r="X50" s="8"/>
      <c r="Y50" s="1285" t="s">
        <v>1730</v>
      </c>
      <c r="Z50" s="1284" t="str">
        <f>IF('C3'!B142&lt;&gt;0,'C3'!B142,"")</f>
        <v/>
      </c>
      <c r="AB50" s="1285" t="s">
        <v>1731</v>
      </c>
      <c r="AC50" s="1284" t="str">
        <f>IF('C3'!B199&lt;&gt;0,'C3'!B199,"")</f>
        <v/>
      </c>
      <c r="AK50" s="1285" t="s">
        <v>1694</v>
      </c>
      <c r="AL50" s="1299" t="str">
        <f>IF('C4'!B68&lt;&gt;"",'C4'!B68,"")</f>
        <v/>
      </c>
      <c r="AQ50" s="1285" t="s">
        <v>1619</v>
      </c>
      <c r="AR50" s="1283" t="str">
        <f>IF('C5'!B48&lt;&gt;0,'C5'!B48,"")</f>
        <v/>
      </c>
      <c r="AT50" s="1288" t="s">
        <v>1732</v>
      </c>
      <c r="AU50" s="1284" t="str">
        <f>IF('C6'!B48&lt;&gt;0,'C6'!B48,"")</f>
        <v/>
      </c>
      <c r="AW50" s="1288" t="s">
        <v>1733</v>
      </c>
      <c r="AX50" s="1284" t="str">
        <f>IF('C6'!B142&lt;&gt;0,'C6'!B142,"")</f>
        <v/>
      </c>
      <c r="BC50" s="1285" t="s">
        <v>1665</v>
      </c>
      <c r="BD50" s="1284" t="str">
        <f>IF('C8C9C10'!B49&lt;&gt;0,'C8C9C10'!B49,"")</f>
        <v/>
      </c>
      <c r="BF50" s="1064" t="s">
        <v>1722</v>
      </c>
      <c r="BG50" s="1286" t="str">
        <f>IF('C8C9C10'!B135&lt;&gt;"",'C8C9C10'!B135,"")</f>
        <v/>
      </c>
    </row>
    <row r="51" spans="1:59" ht="12" thickBot="1" x14ac:dyDescent="0.3">
      <c r="A51" s="1285" t="s">
        <v>1529</v>
      </c>
      <c r="B51" s="1286" t="str">
        <f>IF(C0!B77&lt;&gt;"",C0!B77,"")</f>
        <v/>
      </c>
      <c r="G51" s="695" t="s">
        <v>1576</v>
      </c>
      <c r="H51" s="1284" t="str">
        <f>IF('C1'!B62&lt;&gt;0,'C1'!B62,"")</f>
        <v/>
      </c>
      <c r="M51" s="1285" t="s">
        <v>1565</v>
      </c>
      <c r="N51" s="1284" t="str">
        <f>IF('C2'!B47&lt;&gt;0,'C2'!B47,"")</f>
        <v/>
      </c>
      <c r="V51" s="1285" t="s">
        <v>1731</v>
      </c>
      <c r="W51" s="1284" t="str">
        <f>IF('C3'!B96&lt;&gt;0,'C3'!B96,"")</f>
        <v/>
      </c>
      <c r="X51" s="8"/>
      <c r="Y51" s="1285" t="s">
        <v>1734</v>
      </c>
      <c r="Z51" s="1284" t="str">
        <f>IF('C3'!B143&lt;&gt;0,'C3'!B143,"")</f>
        <v/>
      </c>
      <c r="AB51" s="1285" t="s">
        <v>1735</v>
      </c>
      <c r="AC51" s="1284" t="str">
        <f>IF('C3'!B200&lt;&gt;0,'C3'!B200,"")</f>
        <v/>
      </c>
      <c r="AK51" s="1285" t="s">
        <v>1697</v>
      </c>
      <c r="AL51" s="1299" t="str">
        <f>IF('C4'!B69&lt;&gt;"",'C4'!B69,"")</f>
        <v/>
      </c>
      <c r="AQ51" s="1285" t="s">
        <v>1632</v>
      </c>
      <c r="AR51" s="1283" t="str">
        <f>IF('C5'!B49&lt;&gt;0,'C5'!B49,"")</f>
        <v/>
      </c>
      <c r="AT51" s="1288">
        <v>5</v>
      </c>
      <c r="AU51" s="1284" t="str">
        <f>IF('C6'!B49&lt;&gt;0,'C6'!B49,"")</f>
        <v/>
      </c>
      <c r="AW51" s="1288" t="s">
        <v>1689</v>
      </c>
      <c r="AX51" s="1284" t="str">
        <f>IF('C6'!B143&lt;&gt;0,'C6'!B143,"")</f>
        <v/>
      </c>
      <c r="BC51" s="1285" t="s">
        <v>1671</v>
      </c>
      <c r="BD51" s="1284" t="str">
        <f>IF('C8C9C10'!B50&lt;&gt;0,'C8C9C10'!B50,"")</f>
        <v/>
      </c>
      <c r="BF51" s="1064" t="s">
        <v>1727</v>
      </c>
      <c r="BG51" s="1284" t="str">
        <f>IF('C8C9C10'!B136&lt;&gt;"",'C8C9C10'!B136,"")</f>
        <v/>
      </c>
    </row>
    <row r="52" spans="1:59" ht="12" thickBot="1" x14ac:dyDescent="0.3">
      <c r="A52" s="1285" t="s">
        <v>1533</v>
      </c>
      <c r="B52" s="1286" t="str">
        <f>IF(C0!B78&lt;&gt;"",C0!B78,"")</f>
        <v/>
      </c>
      <c r="M52" s="1285" t="s">
        <v>1568</v>
      </c>
      <c r="N52" s="1284" t="str">
        <f>IF('C2'!B48&lt;&gt;0,'C2'!B48,"")</f>
        <v/>
      </c>
      <c r="V52" s="1285" t="s">
        <v>1735</v>
      </c>
      <c r="W52" s="1284" t="str">
        <f>IF('C3'!B97&lt;&gt;0,'C3'!B97,"")</f>
        <v/>
      </c>
      <c r="X52" s="8"/>
      <c r="Y52" s="1285" t="s">
        <v>1736</v>
      </c>
      <c r="Z52" s="1284" t="str">
        <f>IF('C3'!B144&lt;&gt;0,'C3'!B144,"")</f>
        <v/>
      </c>
      <c r="AB52" s="1285" t="s">
        <v>1737</v>
      </c>
      <c r="AC52" s="1284" t="str">
        <f>IF('C3'!B201&lt;&gt;0,'C3'!B201,"")</f>
        <v/>
      </c>
      <c r="AK52" s="1285" t="s">
        <v>1701</v>
      </c>
      <c r="AL52" s="1299" t="str">
        <f>IF('C4'!B70&lt;&gt;0,'C4'!B70,"")</f>
        <v/>
      </c>
      <c r="AQ52" s="1285" t="s">
        <v>1637</v>
      </c>
      <c r="AR52" s="1283" t="str">
        <f>IF('C5'!B50&lt;&gt;0,'C5'!B50,"")</f>
        <v/>
      </c>
      <c r="AT52" s="1288">
        <v>6</v>
      </c>
      <c r="AU52" s="1284" t="str">
        <f>IF('C6'!B50&lt;&gt;0,'C6'!B50,"")</f>
        <v/>
      </c>
      <c r="AW52" s="1288" t="s">
        <v>1696</v>
      </c>
      <c r="AX52" s="1284" t="str">
        <f>IF('C6'!B144&lt;&gt;0,'C6'!B144,"")</f>
        <v/>
      </c>
      <c r="BC52" s="1285" t="s">
        <v>1675</v>
      </c>
      <c r="BD52" s="1292" t="str">
        <f>IF('C8C9C10'!B51&lt;&gt;0,'C8C9C10'!B51,"")</f>
        <v/>
      </c>
      <c r="BF52" s="1064" t="s">
        <v>1735</v>
      </c>
      <c r="BG52" s="1284" t="str">
        <f>IF('C8C9C10'!B137&lt;&gt;"",'C8C9C10'!B137,"")</f>
        <v/>
      </c>
    </row>
    <row r="53" spans="1:59" ht="12" thickBot="1" x14ac:dyDescent="0.3">
      <c r="A53" s="1285" t="s">
        <v>1538</v>
      </c>
      <c r="B53" s="1295" t="str">
        <f>IF(C0!B79&lt;&gt;"",C0!B79,"")</f>
        <v/>
      </c>
      <c r="M53" s="1285" t="s">
        <v>1571</v>
      </c>
      <c r="N53" s="1284" t="str">
        <f>IF('C2'!B49&lt;&gt;0,'C2'!B49,"")</f>
        <v/>
      </c>
      <c r="V53" s="1285" t="s">
        <v>1737</v>
      </c>
      <c r="W53" s="1284" t="str">
        <f>IF('C3'!B98&lt;&gt;0,'C3'!B98,"")</f>
        <v/>
      </c>
      <c r="X53" s="8"/>
      <c r="Y53" s="1285" t="s">
        <v>1738</v>
      </c>
      <c r="Z53" s="1284" t="str">
        <f>IF('C3'!B145&lt;&gt;0,'C3'!B145,"")</f>
        <v/>
      </c>
      <c r="AB53" s="1285" t="s">
        <v>1739</v>
      </c>
      <c r="AC53" s="1284" t="str">
        <f>IF('C3'!B202&lt;&gt;0,'C3'!B202,"")</f>
        <v/>
      </c>
      <c r="AK53" s="1285" t="s">
        <v>1704</v>
      </c>
      <c r="AL53" s="1299" t="str">
        <f>IF('C4'!B71&lt;&gt;0,'C4'!B71,"")</f>
        <v/>
      </c>
      <c r="AQ53" s="1285" t="s">
        <v>1641</v>
      </c>
      <c r="AR53" s="1283" t="str">
        <f>IF('C5'!B51&lt;&gt;0,'C5'!B51,"")</f>
        <v/>
      </c>
      <c r="AT53" s="1305">
        <v>6.1</v>
      </c>
      <c r="AU53" s="1284" t="str">
        <f>IF('C6'!B51&lt;&gt;0,'C6'!B51,"")</f>
        <v/>
      </c>
      <c r="AW53" s="1288" t="s">
        <v>1703</v>
      </c>
      <c r="AX53" s="1284" t="str">
        <f>IF('C6'!B145&lt;&gt;0,'C6'!B145,"")</f>
        <v/>
      </c>
      <c r="BC53" s="1285" t="s">
        <v>1679</v>
      </c>
      <c r="BD53" s="1284" t="str">
        <f>IF('C8C9C10'!B52&lt;&gt;0,'C8C9C10'!B52,"")</f>
        <v/>
      </c>
      <c r="BF53" s="1064" t="s">
        <v>1737</v>
      </c>
      <c r="BG53" s="1284" t="str">
        <f>IF('C8C9C10'!B138&lt;&gt;"",'C8C9C10'!B138,"")</f>
        <v/>
      </c>
    </row>
    <row r="54" spans="1:59" ht="12" thickBot="1" x14ac:dyDescent="0.3">
      <c r="A54" s="1285" t="s">
        <v>1543</v>
      </c>
      <c r="B54" s="1295" t="str">
        <f>IF(C0!B80&lt;&gt;"",C0!B80,"")</f>
        <v/>
      </c>
      <c r="M54" s="1285" t="s">
        <v>1576</v>
      </c>
      <c r="N54" s="1284" t="str">
        <f>IF('C2'!B50&lt;&gt;0,'C2'!B50,"")</f>
        <v/>
      </c>
      <c r="V54" s="1285" t="s">
        <v>1739</v>
      </c>
      <c r="W54" s="1284" t="str">
        <f>IF('C3'!B99&lt;&gt;0,'C3'!B99,"")</f>
        <v/>
      </c>
      <c r="X54" s="8"/>
      <c r="Y54" s="1285" t="s">
        <v>1740</v>
      </c>
      <c r="Z54" s="1284" t="str">
        <f>IF('C3'!B146&lt;&gt;0,'C3'!B146,"")</f>
        <v/>
      </c>
      <c r="AB54" s="1285" t="s">
        <v>1741</v>
      </c>
      <c r="AC54" s="1284" t="str">
        <f>IF('C3'!B203&lt;&gt;0,'C3'!B203,"")</f>
        <v/>
      </c>
      <c r="AK54" s="1285" t="s">
        <v>1710</v>
      </c>
      <c r="AL54" s="1299" t="str">
        <f>IF('C4'!B72&lt;&gt;"",'C4'!B72,"")</f>
        <v/>
      </c>
      <c r="AQ54" s="1285" t="s">
        <v>1651</v>
      </c>
      <c r="AR54" s="1283" t="str">
        <f>IF('C5'!B52&lt;&gt;0,'C5'!B52,"")</f>
        <v/>
      </c>
      <c r="AT54" s="1288" t="s">
        <v>1537</v>
      </c>
      <c r="AU54" s="1284" t="str">
        <f>IF('C6'!B52&lt;&gt;0,'C6'!B52,"")</f>
        <v/>
      </c>
      <c r="AW54" s="1288" t="s">
        <v>1742</v>
      </c>
      <c r="AX54" s="1284" t="str">
        <f>IF('C6'!B146&lt;&gt;0,'C6'!B146,"")</f>
        <v/>
      </c>
      <c r="BC54" s="1285" t="s">
        <v>1684</v>
      </c>
      <c r="BD54" s="1284" t="str">
        <f>IF('C8C9C10'!B53&lt;&gt;0,'C8C9C10'!B53,"")</f>
        <v/>
      </c>
      <c r="BF54" s="1064" t="s">
        <v>1739</v>
      </c>
      <c r="BG54" s="1284" t="str">
        <f>IF('C8C9C10'!B139&lt;&gt;"",'C8C9C10'!B139,"")</f>
        <v/>
      </c>
    </row>
    <row r="55" spans="1:59" ht="12" thickBot="1" x14ac:dyDescent="0.3">
      <c r="A55" s="1313" t="s">
        <v>1743</v>
      </c>
      <c r="B55" s="1286" t="str">
        <f>IF(C0!B81&lt;&gt;"",C0!B81,"")</f>
        <v/>
      </c>
      <c r="M55" s="1285" t="s">
        <v>1581</v>
      </c>
      <c r="N55" s="1284" t="str">
        <f>IF('C2'!B51&lt;&gt;0,'C2'!B51,"")</f>
        <v/>
      </c>
      <c r="V55" s="1285" t="s">
        <v>1741</v>
      </c>
      <c r="W55" s="1284" t="str">
        <f>IF('C3'!B100&lt;&gt;0,'C3'!B100,"")</f>
        <v/>
      </c>
      <c r="X55" s="8"/>
      <c r="Y55" s="1285" t="s">
        <v>1744</v>
      </c>
      <c r="Z55" s="1284" t="str">
        <f>IF('C3'!B147&lt;&gt;0,'C3'!B147,"")</f>
        <v/>
      </c>
      <c r="AB55" s="695" t="s">
        <v>1745</v>
      </c>
      <c r="AC55" s="1284" t="str">
        <f>IF('C3'!B204&lt;&gt;0,'C3'!B204,"")</f>
        <v/>
      </c>
      <c r="AK55" s="1285" t="s">
        <v>1713</v>
      </c>
      <c r="AL55" s="1299" t="str">
        <f>IF('C4'!B73&lt;&gt;"",'C4'!B73,"")</f>
        <v/>
      </c>
      <c r="AQ55" s="1285" t="s">
        <v>1657</v>
      </c>
      <c r="AR55" s="1283" t="str">
        <f>IF('C5'!B53&lt;&gt;0,'C5'!B53,"")</f>
        <v/>
      </c>
      <c r="AT55" s="1288" t="s">
        <v>1540</v>
      </c>
      <c r="AU55" s="1284" t="str">
        <f>IF('C6'!B53&lt;&gt;0,'C6'!B53,"")</f>
        <v/>
      </c>
      <c r="AW55" s="1288">
        <v>33</v>
      </c>
      <c r="AX55" s="1284" t="str">
        <f>IF('C6'!B147&lt;&gt;0,'C6'!B147,"")</f>
        <v/>
      </c>
      <c r="BC55" s="1285" t="s">
        <v>1687</v>
      </c>
      <c r="BD55" s="1284" t="str">
        <f>IF('C8C9C10'!B54&lt;&gt;0,'C8C9C10'!B54,"")</f>
        <v/>
      </c>
      <c r="BF55" s="1064" t="s">
        <v>1741</v>
      </c>
      <c r="BG55" s="1284" t="str">
        <f>IF('C8C9C10'!B140&lt;&gt;"",'C8C9C10'!B140,"")</f>
        <v/>
      </c>
    </row>
    <row r="56" spans="1:59" ht="12" thickBot="1" x14ac:dyDescent="0.3">
      <c r="A56" s="845" t="s">
        <v>1746</v>
      </c>
      <c r="B56" s="1286" t="str">
        <f>IF(C0!B82&lt;&gt;"",C0!B82,"")</f>
        <v/>
      </c>
      <c r="M56" s="1285" t="s">
        <v>1591</v>
      </c>
      <c r="N56" s="1284" t="str">
        <f>IF('C2'!B52&lt;&gt;0,'C2'!B52,"")</f>
        <v/>
      </c>
      <c r="V56" s="1285" t="s">
        <v>1745</v>
      </c>
      <c r="W56" s="1284" t="str">
        <f>IF('C3'!B101&lt;&gt;0,'C3'!B101,"")</f>
        <v/>
      </c>
      <c r="X56" s="8"/>
      <c r="Y56" s="1285" t="s">
        <v>1747</v>
      </c>
      <c r="Z56" s="1284" t="str">
        <f>IF('C3'!B148&lt;&gt;0,'C3'!B148,"")</f>
        <v/>
      </c>
      <c r="AK56" s="1285" t="s">
        <v>1748</v>
      </c>
      <c r="AL56" s="1299" t="str">
        <f>IF('C4'!B74&lt;&gt;"",'C4'!B74,"")</f>
        <v/>
      </c>
      <c r="AQ56" s="1285" t="s">
        <v>1660</v>
      </c>
      <c r="AR56" s="1283" t="str">
        <f>IF('C5'!B54&lt;&gt;0,'C5'!B54,"")</f>
        <v/>
      </c>
      <c r="AT56" s="1288" t="s">
        <v>1548</v>
      </c>
      <c r="AU56" s="1284" t="str">
        <f>IF('C6'!B54&lt;&gt;0,'C6'!B54,"")</f>
        <v/>
      </c>
      <c r="AW56" s="1288">
        <v>34</v>
      </c>
      <c r="AX56" s="1284" t="str">
        <f>IF('C6'!B148&lt;&gt;0,'C6'!B148,"")</f>
        <v/>
      </c>
      <c r="BC56" s="1293" t="s">
        <v>1718</v>
      </c>
      <c r="BD56" s="1284" t="str">
        <f>IF('C8C9C10'!B55&lt;&gt;0,'C8C9C10'!B55,"")</f>
        <v/>
      </c>
      <c r="BF56" s="1064" t="s">
        <v>1745</v>
      </c>
      <c r="BG56" s="1286" t="str">
        <f>IF('C8C9C10'!B141&lt;&gt;"",'C8C9C10'!B141,"")</f>
        <v/>
      </c>
    </row>
    <row r="57" spans="1:59" ht="12" thickBot="1" x14ac:dyDescent="0.3">
      <c r="A57" s="1314"/>
      <c r="B57" s="1283"/>
      <c r="M57" s="1285" t="s">
        <v>1595</v>
      </c>
      <c r="N57" s="1284" t="str">
        <f>IF('C2'!B53&lt;&gt;0,'C2'!B53,"")</f>
        <v/>
      </c>
      <c r="V57" s="1285" t="s">
        <v>1527</v>
      </c>
      <c r="W57" s="1284" t="str">
        <f>IF('C3'!B102&lt;&gt;0,'C3'!B102,"")</f>
        <v/>
      </c>
      <c r="X57" s="8"/>
      <c r="Y57" s="1285" t="s">
        <v>1749</v>
      </c>
      <c r="Z57" s="1284" t="str">
        <f>IF('C3'!B149&lt;&gt;0,'C3'!B149,"")</f>
        <v/>
      </c>
      <c r="AA57" s="8"/>
      <c r="AK57" s="1285" t="s">
        <v>1750</v>
      </c>
      <c r="AL57" s="1299" t="str">
        <f>IF('C4'!B75&lt;&gt;"",'C4'!B75,"")</f>
        <v/>
      </c>
      <c r="AQ57" s="1285" t="s">
        <v>1665</v>
      </c>
      <c r="AR57" s="1283" t="str">
        <f>IF('C5'!B55&lt;&gt;0,'C5'!B55,"")</f>
        <v/>
      </c>
      <c r="AT57" s="1288" t="s">
        <v>1751</v>
      </c>
      <c r="AU57" s="1284" t="str">
        <f>IF('C6'!B55&lt;&gt;0,'C6'!B55,"")</f>
        <v/>
      </c>
      <c r="AW57" s="1288">
        <v>35</v>
      </c>
      <c r="AX57" s="1284" t="str">
        <f>IF('C6'!B149&lt;&gt;0,'C6'!B149,"")</f>
        <v/>
      </c>
      <c r="BC57" s="1285" t="s">
        <v>1690</v>
      </c>
      <c r="BD57" s="1284" t="str">
        <f>IF('C8C9C10'!B56&lt;&gt;0,'C8C9C10'!B56,"")</f>
        <v/>
      </c>
      <c r="BF57" s="1064" t="s">
        <v>1527</v>
      </c>
      <c r="BG57" s="1284" t="str">
        <f>IF('C8C9C10'!B142&lt;&gt;"",'C8C9C10'!B142,"")</f>
        <v/>
      </c>
    </row>
    <row r="58" spans="1:59" ht="12" thickBot="1" x14ac:dyDescent="0.3">
      <c r="M58" s="1285" t="s">
        <v>1600</v>
      </c>
      <c r="N58" s="1284" t="str">
        <f>IF('C2'!B54&lt;&gt;0,'C2'!B54,"")</f>
        <v/>
      </c>
      <c r="V58" s="695" t="s">
        <v>1528</v>
      </c>
      <c r="W58" s="1284" t="str">
        <f>IF('C3'!B103&lt;&gt;0,'C3'!B103,"")</f>
        <v/>
      </c>
      <c r="X58" s="8"/>
      <c r="Y58" s="1285" t="s">
        <v>1752</v>
      </c>
      <c r="Z58" s="1284" t="str">
        <f>IF('C3'!B150&lt;&gt;0,'C3'!B150,"")</f>
        <v/>
      </c>
      <c r="AK58" s="695" t="s">
        <v>1753</v>
      </c>
      <c r="AL58" s="1283" t="str">
        <f>IF('C4'!B76&lt;&gt;0,'C4'!B76,"")</f>
        <v/>
      </c>
      <c r="AQ58" s="1285" t="s">
        <v>1671</v>
      </c>
      <c r="AR58" s="1283" t="str">
        <f>IF('C5'!B56&lt;&gt;0,'C5'!B56,"")</f>
        <v/>
      </c>
      <c r="AT58" s="1288" t="s">
        <v>1559</v>
      </c>
      <c r="AU58" s="1284" t="str">
        <f>IF('C6'!B56&lt;&gt;0,'C6'!B56,"")</f>
        <v/>
      </c>
      <c r="AW58" s="1288">
        <v>36</v>
      </c>
      <c r="AX58" s="1284" t="str">
        <f>IF('C6'!B150&lt;&gt;0,'C6'!B150,"")</f>
        <v/>
      </c>
      <c r="BC58" s="1285" t="s">
        <v>1694</v>
      </c>
      <c r="BD58" s="1286" t="str">
        <f>IF('C8C9C10'!B57&lt;&gt;0,'C8C9C10'!B57,"")</f>
        <v/>
      </c>
      <c r="BF58" s="1064" t="s">
        <v>1528</v>
      </c>
      <c r="BG58" s="1284" t="str">
        <f>IF('C8C9C10'!B143&lt;&gt;"",'C8C9C10'!B143,"")</f>
        <v/>
      </c>
    </row>
    <row r="59" spans="1:59" ht="12" thickBot="1" x14ac:dyDescent="0.3">
      <c r="M59" s="1285" t="s">
        <v>1604</v>
      </c>
      <c r="N59" s="1284" t="str">
        <f>IF('C2'!B55&lt;&gt;0,'C2'!B55,"")</f>
        <v/>
      </c>
      <c r="V59" s="695" t="s">
        <v>1754</v>
      </c>
      <c r="W59" s="1284" t="str">
        <f>IF('C3'!B104&lt;&gt;0,'C3'!B104,"")</f>
        <v/>
      </c>
      <c r="X59" s="8"/>
      <c r="Y59" s="1285" t="s">
        <v>1755</v>
      </c>
      <c r="Z59" s="1284" t="str">
        <f>IF('C3'!B151&lt;&gt;0,'C3'!B151,"")</f>
        <v/>
      </c>
      <c r="AK59" s="1291" t="s">
        <v>1717</v>
      </c>
      <c r="AL59" s="1294" t="s">
        <v>1532</v>
      </c>
      <c r="AQ59" s="1285" t="s">
        <v>1675</v>
      </c>
      <c r="AR59" s="1283" t="str">
        <f>IF('C5'!B57&lt;&gt;0,'C5'!B57,"")</f>
        <v/>
      </c>
      <c r="AT59" s="1288" t="s">
        <v>1700</v>
      </c>
      <c r="AU59" s="1284" t="str">
        <f>IF('C6'!B57&lt;&gt;0,'C6'!B57,"")</f>
        <v/>
      </c>
      <c r="AW59" s="1288">
        <v>37</v>
      </c>
      <c r="AX59" s="1284" t="str">
        <f>IF('C6'!B151&lt;&gt;0,'C6'!B151,"")</f>
        <v/>
      </c>
      <c r="BC59" s="1285" t="s">
        <v>1697</v>
      </c>
      <c r="BD59" s="1284" t="str">
        <f>IF('C8C9C10'!B58&lt;&gt;0,'C8C9C10'!B58,"")</f>
        <v/>
      </c>
      <c r="BF59" s="1064" t="s">
        <v>1526</v>
      </c>
      <c r="BG59" s="1284" t="str">
        <f>IF('C8C9C10'!B144&lt;&gt;"",'C8C9C10'!B144,"")</f>
        <v/>
      </c>
    </row>
    <row r="60" spans="1:59" ht="12" thickBot="1" x14ac:dyDescent="0.3">
      <c r="M60" s="1285" t="s">
        <v>1607</v>
      </c>
      <c r="N60" s="1284" t="str">
        <f>IF('C2'!B56&lt;&gt;0,'C2'!B56,"")</f>
        <v/>
      </c>
      <c r="Y60" s="1285" t="s">
        <v>1756</v>
      </c>
      <c r="Z60" s="1284" t="str">
        <f>IF('C3'!B152&lt;&gt;0,'C3'!B152,"")</f>
        <v/>
      </c>
      <c r="AK60" s="1291" t="s">
        <v>1722</v>
      </c>
      <c r="AL60" s="1294" t="s">
        <v>1532</v>
      </c>
      <c r="AQ60" s="1285" t="s">
        <v>1679</v>
      </c>
      <c r="AR60" s="1283" t="str">
        <f>IF('C5'!B58&lt;&gt;0,'C5'!B58,"")</f>
        <v/>
      </c>
      <c r="AT60" s="1288">
        <v>7.1</v>
      </c>
      <c r="AU60" s="1284" t="str">
        <f>IF('C6'!B58&lt;&gt;0,'C6'!B58,"")</f>
        <v/>
      </c>
      <c r="AW60" s="1288">
        <v>38</v>
      </c>
      <c r="AX60" s="1284" t="str">
        <f>IF('C6'!B152&lt;&gt;0,'C6'!B152,"")</f>
        <v/>
      </c>
      <c r="BC60" s="1285" t="s">
        <v>1701</v>
      </c>
      <c r="BD60" s="1284" t="str">
        <f>IF('C8C9C10'!B59&lt;&gt;0,'C8C9C10'!B59,"")</f>
        <v/>
      </c>
      <c r="BF60" s="1064" t="s">
        <v>1535</v>
      </c>
      <c r="BG60" s="1286" t="str">
        <f>IF('C8C9C10'!B145&lt;&gt;"",'C8C9C10'!B145,"")</f>
        <v/>
      </c>
    </row>
    <row r="61" spans="1:59" x14ac:dyDescent="0.25">
      <c r="M61" s="1285" t="s">
        <v>1613</v>
      </c>
      <c r="N61" s="1284" t="str">
        <f>IF('C2'!B57&lt;&gt;0,'C2'!B57,"")</f>
        <v/>
      </c>
      <c r="Y61" s="1285" t="s">
        <v>1757</v>
      </c>
      <c r="Z61" s="1284" t="str">
        <f>IF('C3'!B153&lt;&gt;0,'C3'!B153,"")</f>
        <v/>
      </c>
      <c r="AK61" s="1291" t="s">
        <v>1727</v>
      </c>
      <c r="AL61" s="1294" t="s">
        <v>1532</v>
      </c>
      <c r="AQ61" s="1285" t="s">
        <v>1684</v>
      </c>
      <c r="AR61" s="1283" t="str">
        <f>IF('C5'!B59&lt;&gt;0,'C5'!B59,"")</f>
        <v/>
      </c>
      <c r="AT61" s="1288">
        <v>7.2</v>
      </c>
      <c r="AU61" s="1284" t="str">
        <f>IF('C6'!B59&lt;&gt;0,'C6'!B59,"")</f>
        <v/>
      </c>
      <c r="AW61" s="1288">
        <v>39</v>
      </c>
      <c r="AX61" s="1284" t="str">
        <f>IF('C6'!B153&lt;&gt;0,'C6'!B153,"")</f>
        <v/>
      </c>
      <c r="BC61" s="1285" t="s">
        <v>1704</v>
      </c>
      <c r="BD61" s="1284" t="str">
        <f>IF('C8C9C10'!B60&lt;&gt;0,'C8C9C10'!B60,"")</f>
        <v/>
      </c>
    </row>
    <row r="62" spans="1:59" ht="12" thickBot="1" x14ac:dyDescent="0.3">
      <c r="M62" s="695" t="s">
        <v>1621</v>
      </c>
      <c r="N62" s="1284" t="str">
        <f>IF('C2'!B58&lt;&gt;0,'C2'!B58,"")</f>
        <v/>
      </c>
      <c r="Y62" s="1285" t="s">
        <v>1758</v>
      </c>
      <c r="Z62" s="1284" t="str">
        <f>IF('C3'!B154&lt;&gt;0,'C3'!B154,"")</f>
        <v/>
      </c>
      <c r="AK62" s="1285" t="s">
        <v>1731</v>
      </c>
      <c r="AL62" s="1299" t="str">
        <f>IF('C4'!B80&lt;&gt;0,'C4'!B80,"")</f>
        <v/>
      </c>
      <c r="AQ62" s="1285" t="s">
        <v>1759</v>
      </c>
      <c r="AR62" s="1283" t="str">
        <f>IF('C5'!B60&lt;&gt;0,'C5'!B60,"")</f>
        <v/>
      </c>
      <c r="AT62" s="1288" t="s">
        <v>1537</v>
      </c>
      <c r="AU62" s="1284" t="str">
        <f>IF('C6'!B60&lt;&gt;0,'C6'!B60,"")</f>
        <v/>
      </c>
      <c r="AW62" s="1288">
        <v>40</v>
      </c>
      <c r="AX62" s="1284" t="str">
        <f>IF('C6'!B154&lt;&gt;0,'C6'!B154,"")</f>
        <v/>
      </c>
      <c r="BC62" s="1285" t="s">
        <v>1710</v>
      </c>
      <c r="BD62" s="1284" t="str">
        <f>IF('C8C9C10'!B61&lt;&gt;0,'C8C9C10'!B61,"")</f>
        <v/>
      </c>
    </row>
    <row r="63" spans="1:59" ht="12" thickBot="1" x14ac:dyDescent="0.3">
      <c r="M63" s="695" t="s">
        <v>1708</v>
      </c>
      <c r="N63" s="1284">
        <f>IF('C2'!B106="","",'C2'!B106)</f>
        <v>37700</v>
      </c>
      <c r="Y63" s="695" t="s">
        <v>1760</v>
      </c>
      <c r="Z63" s="1284" t="str">
        <f>IF('C3'!B155&lt;&gt;0,'C3'!B155,"")</f>
        <v/>
      </c>
      <c r="AK63" s="1285" t="s">
        <v>1735</v>
      </c>
      <c r="AL63" s="1299" t="str">
        <f>IF('C4'!B81&lt;&gt;"",'C4'!B81,"")</f>
        <v/>
      </c>
      <c r="AQ63" s="1285" t="s">
        <v>1761</v>
      </c>
      <c r="AR63" s="1283" t="str">
        <f>IF('C5'!B61&lt;&gt;0,'C5'!B61,"")</f>
        <v/>
      </c>
      <c r="AT63" s="1288" t="s">
        <v>1540</v>
      </c>
      <c r="AU63" s="1284" t="str">
        <f>IF('C6'!B61&lt;&gt;0,'C6'!B61,"")</f>
        <v/>
      </c>
      <c r="AW63" s="1288">
        <v>41</v>
      </c>
      <c r="AX63" s="1315" t="s">
        <v>1532</v>
      </c>
      <c r="BC63" s="1285" t="s">
        <v>1713</v>
      </c>
      <c r="BD63" s="1284" t="str">
        <f>IF('C8C9C10'!B62&lt;&gt;0,'C8C9C10'!B62,"")</f>
        <v/>
      </c>
    </row>
    <row r="64" spans="1:59" x14ac:dyDescent="0.25">
      <c r="AK64" s="1285" t="s">
        <v>1737</v>
      </c>
      <c r="AL64" s="1299" t="str">
        <f>IF('C4'!B82&lt;&gt;"",'C4'!B82,"")</f>
        <v/>
      </c>
      <c r="AQ64" s="1316" t="s">
        <v>1687</v>
      </c>
      <c r="AR64" s="1317" t="s">
        <v>1532</v>
      </c>
      <c r="AT64" s="1288" t="s">
        <v>1548</v>
      </c>
      <c r="AU64" s="1284" t="str">
        <f>IF('C6'!B62&lt;&gt;0,'C6'!B62,"")</f>
        <v/>
      </c>
      <c r="AW64" s="1288">
        <v>42</v>
      </c>
      <c r="AX64" s="1315" t="s">
        <v>1532</v>
      </c>
      <c r="BC64" s="1285" t="s">
        <v>1717</v>
      </c>
      <c r="BD64" s="1284" t="str">
        <f>IF('C8C9C10'!B63&lt;&gt;0,'C8C9C10'!B63,"")</f>
        <v/>
      </c>
    </row>
    <row r="65" spans="37:56" x14ac:dyDescent="0.25">
      <c r="AK65" s="1285" t="s">
        <v>1739</v>
      </c>
      <c r="AL65" s="1299" t="str">
        <f>IF('C4'!B83&lt;&gt;"",'C4'!B83,"")</f>
        <v/>
      </c>
      <c r="AQ65" s="1285" t="s">
        <v>1718</v>
      </c>
      <c r="AR65" s="1283" t="str">
        <f>IF('C5'!B63&lt;&gt;0,'C5'!B63,"")</f>
        <v/>
      </c>
      <c r="AT65" s="1288" t="s">
        <v>1751</v>
      </c>
      <c r="AU65" s="1284" t="str">
        <f>IF('C6'!B63&lt;&gt;0,'C6'!B63,"")</f>
        <v/>
      </c>
      <c r="AW65" s="1288">
        <v>43</v>
      </c>
      <c r="AX65" s="1284" t="str">
        <f>IF('C6'!B157&lt;&gt;0,'C6'!B157,"")</f>
        <v/>
      </c>
      <c r="BC65" s="1285" t="s">
        <v>1722</v>
      </c>
      <c r="BD65" s="1284" t="str">
        <f>IF('C8C9C10'!B64&lt;&gt;0,'C8C9C10'!B64,"")</f>
        <v/>
      </c>
    </row>
    <row r="66" spans="37:56" x14ac:dyDescent="0.25">
      <c r="AK66" s="1285" t="s">
        <v>1741</v>
      </c>
      <c r="AL66" s="1299" t="str">
        <f>IF('C4'!B84&lt;&gt;0,'C4'!B84,"")</f>
        <v/>
      </c>
      <c r="AQ66" s="1285" t="s">
        <v>1690</v>
      </c>
      <c r="AR66" s="1283" t="str">
        <f>IF('C5'!B64&lt;&gt;0,'C5'!B64,"")</f>
        <v/>
      </c>
      <c r="AT66" s="1288" t="s">
        <v>1559</v>
      </c>
      <c r="AU66" s="1284" t="str">
        <f>IF('C6'!B64&lt;&gt;0,'C6'!B64,"")</f>
        <v/>
      </c>
      <c r="AW66" s="1288">
        <v>44</v>
      </c>
      <c r="AX66" s="1292" t="str">
        <f>IF('C6'!B158&lt;&gt;0,'C6'!B158,"")</f>
        <v/>
      </c>
      <c r="BC66" s="1285" t="s">
        <v>1727</v>
      </c>
      <c r="BD66" s="1284" t="str">
        <f>IF('C8C9C10'!B65&lt;&gt;0,'C8C9C10'!B65,"")</f>
        <v/>
      </c>
    </row>
    <row r="67" spans="37:56" x14ac:dyDescent="0.25">
      <c r="AK67" s="1285" t="s">
        <v>1745</v>
      </c>
      <c r="AL67" s="1299" t="str">
        <f>IF('C4'!B85&lt;&gt;"",'C4'!B85,"")</f>
        <v/>
      </c>
      <c r="AQ67" s="1285" t="s">
        <v>1694</v>
      </c>
      <c r="AR67" s="1283" t="str">
        <f>IF('C5'!B65&lt;&gt;0,'C5'!B65,"")</f>
        <v/>
      </c>
      <c r="AT67" s="1288" t="s">
        <v>1700</v>
      </c>
      <c r="AU67" s="1284" t="str">
        <f>IF('C6'!B65&lt;&gt;0,'C6'!B65,"")</f>
        <v/>
      </c>
      <c r="AW67" s="1288">
        <v>45</v>
      </c>
      <c r="AX67" s="1284" t="str">
        <f>IF('C6'!B159&lt;&gt;0,'C6'!B159,"")</f>
        <v/>
      </c>
      <c r="BC67" s="1285" t="s">
        <v>1731</v>
      </c>
      <c r="BD67" s="1284" t="str">
        <f>IF('C8C9C10'!B66&lt;&gt;0,'C8C9C10'!B66,"")</f>
        <v/>
      </c>
    </row>
    <row r="68" spans="37:56" ht="12" thickBot="1" x14ac:dyDescent="0.3">
      <c r="AK68" s="695" t="s">
        <v>1527</v>
      </c>
      <c r="AL68" s="1299" t="str">
        <f>IF('C4'!B86&lt;&gt;0,'C4'!B86,"")</f>
        <v/>
      </c>
      <c r="AQ68" s="1285" t="s">
        <v>1697</v>
      </c>
      <c r="AR68" s="1283" t="str">
        <f>IF('C5'!B66&lt;&gt;0,'C5'!B66,"")</f>
        <v/>
      </c>
      <c r="AT68" s="1288">
        <v>7.3</v>
      </c>
      <c r="AU68" s="1284" t="str">
        <f>IF('C6'!B66&lt;&gt;0,'C6'!B66,"")</f>
        <v/>
      </c>
      <c r="AW68" s="694">
        <v>46</v>
      </c>
      <c r="AX68" s="1284" t="str">
        <f>IF('C6'!B160&lt;&gt;0,'C6'!B160,"")</f>
        <v/>
      </c>
      <c r="BC68" s="1285" t="s">
        <v>1735</v>
      </c>
      <c r="BD68" s="1284" t="str">
        <f>IF('C8C9C10'!B67&lt;&gt;0,'C8C9C10'!B67,"")</f>
        <v/>
      </c>
    </row>
    <row r="69" spans="37:56" ht="12" thickBot="1" x14ac:dyDescent="0.3">
      <c r="AQ69" s="1285" t="s">
        <v>1701</v>
      </c>
      <c r="AR69" s="1283" t="str">
        <f>IF('C5'!B67&lt;&gt;0,'C5'!B67,"")</f>
        <v/>
      </c>
      <c r="AT69" s="1288">
        <v>7.4</v>
      </c>
      <c r="AU69" s="1284" t="str">
        <f>IF('C6'!B67&lt;&gt;0,'C6'!B67,"")</f>
        <v/>
      </c>
      <c r="AW69" s="1052" t="s">
        <v>1537</v>
      </c>
      <c r="AX69" s="1284" t="str">
        <f>IF('C6'!B161&lt;&gt;0,'C6'!B161,"")</f>
        <v/>
      </c>
      <c r="BC69" s="1285" t="s">
        <v>1737</v>
      </c>
      <c r="BD69" s="1284" t="str">
        <f>IF('C8C9C10'!B68&lt;&gt;0,'C8C9C10'!B68,"")</f>
        <v/>
      </c>
    </row>
    <row r="70" spans="37:56" ht="12" thickBot="1" x14ac:dyDescent="0.3">
      <c r="AQ70" s="1285" t="s">
        <v>1704</v>
      </c>
      <c r="AR70" s="1283" t="str">
        <f>IF('C5'!B68&lt;&gt;0,'C5'!B68,"")</f>
        <v/>
      </c>
      <c r="AT70" s="1288">
        <v>7.5</v>
      </c>
      <c r="AU70" s="1284" t="str">
        <f>IF('C6'!B68&lt;&gt;0,'C6'!B68,"")</f>
        <v/>
      </c>
      <c r="AW70" s="1052" t="s">
        <v>1540</v>
      </c>
      <c r="AX70" s="1284" t="str">
        <f>IF('C6'!B162&lt;&gt;0,'C6'!B162,"")</f>
        <v/>
      </c>
      <c r="BC70" s="1285" t="s">
        <v>1739</v>
      </c>
      <c r="BD70" s="1284" t="str">
        <f>IF('C8C9C10'!B69&lt;&gt;0,'C8C9C10'!B69,"")</f>
        <v/>
      </c>
    </row>
    <row r="71" spans="37:56" ht="12" thickBot="1" x14ac:dyDescent="0.3">
      <c r="AQ71" s="1285" t="s">
        <v>1710</v>
      </c>
      <c r="AR71" s="1283" t="str">
        <f>IF('C5'!B69&lt;&gt;0,'C5'!B69,"")</f>
        <v/>
      </c>
      <c r="AT71" s="1288" t="s">
        <v>1537</v>
      </c>
      <c r="AU71" s="1284" t="str">
        <f>IF('C6'!B69&lt;&gt;0,'C6'!B69,"")</f>
        <v/>
      </c>
      <c r="AW71" s="1052" t="s">
        <v>1548</v>
      </c>
      <c r="AX71" s="1284" t="str">
        <f>IF('C6'!B163&lt;&gt;0,'C6'!B163,"")</f>
        <v/>
      </c>
      <c r="BC71" s="1285" t="s">
        <v>1741</v>
      </c>
      <c r="BD71" s="1284" t="str">
        <f>IF('C8C9C10'!B70&lt;&gt;0,'C8C9C10'!B70,"")</f>
        <v/>
      </c>
    </row>
    <row r="72" spans="37:56" ht="12" thickBot="1" x14ac:dyDescent="0.3">
      <c r="AQ72" s="1285" t="s">
        <v>1713</v>
      </c>
      <c r="AR72" s="1283" t="str">
        <f>IF('C5'!B70&lt;&gt;0,'C5'!B70,"")</f>
        <v/>
      </c>
      <c r="AT72" s="1288" t="s">
        <v>1540</v>
      </c>
      <c r="AU72" s="1284" t="str">
        <f>IF('C6'!B70&lt;&gt;0,'C6'!B70,"")</f>
        <v/>
      </c>
      <c r="AW72" s="1052" t="s">
        <v>1751</v>
      </c>
      <c r="AX72" s="1284" t="str">
        <f>IF('C6'!B164&lt;&gt;0,'C6'!B164,"")</f>
        <v/>
      </c>
      <c r="BC72" s="1285" t="s">
        <v>1745</v>
      </c>
      <c r="BD72" s="1284" t="str">
        <f>IF('C8C9C10'!B71&lt;&gt;0,'C8C9C10'!B71,"")</f>
        <v/>
      </c>
    </row>
    <row r="73" spans="37:56" ht="12" thickBot="1" x14ac:dyDescent="0.3">
      <c r="AQ73" s="1285" t="s">
        <v>1717</v>
      </c>
      <c r="AR73" s="1283" t="str">
        <f>IF('C5'!B71&lt;&gt;0,'C5'!B71,"")</f>
        <v/>
      </c>
      <c r="AT73" s="1288" t="s">
        <v>1548</v>
      </c>
      <c r="AU73" s="1284" t="str">
        <f>IF('C6'!B71&lt;&gt;0,'C6'!B71,"")</f>
        <v/>
      </c>
      <c r="AW73" s="1052" t="s">
        <v>1559</v>
      </c>
      <c r="AX73" s="1284" t="str">
        <f>IF('C6'!B165&lt;&gt;0,'C6'!B165,"")</f>
        <v/>
      </c>
      <c r="BC73" s="1285" t="s">
        <v>1762</v>
      </c>
      <c r="BD73" s="1284" t="str">
        <f>IF('C8C9C10'!B72&lt;&gt;0,'C8C9C10'!B72,"")</f>
        <v/>
      </c>
    </row>
    <row r="74" spans="37:56" ht="12" thickBot="1" x14ac:dyDescent="0.3">
      <c r="AQ74" s="695" t="s">
        <v>1722</v>
      </c>
      <c r="AR74" s="1283" t="str">
        <f>IF('C5'!B72&lt;&gt;0,'C5'!B72,"")</f>
        <v/>
      </c>
      <c r="AT74" s="1288" t="s">
        <v>1763</v>
      </c>
      <c r="AU74" s="1284" t="str">
        <f>IF('C6'!B72&lt;&gt;0,'C6'!B72,"")</f>
        <v/>
      </c>
      <c r="AW74" s="1052" t="s">
        <v>1700</v>
      </c>
      <c r="AX74" s="1284" t="str">
        <f>IF('C6'!B166&lt;&gt;0,'C6'!B166,"")</f>
        <v/>
      </c>
      <c r="BC74" s="1285" t="s">
        <v>1527</v>
      </c>
      <c r="BD74" s="1284" t="str">
        <f>IF('C8C9C10'!B73&lt;&gt;0,'C8C9C10'!B73,"")</f>
        <v/>
      </c>
    </row>
    <row r="75" spans="37:56" ht="12" thickBot="1" x14ac:dyDescent="0.3">
      <c r="AQ75" s="695" t="s">
        <v>1727</v>
      </c>
      <c r="AR75" s="1283" t="str">
        <f>IF('C5'!B73&lt;&gt;0,'C5'!B73,"")</f>
        <v/>
      </c>
      <c r="AT75" s="1288" t="s">
        <v>1559</v>
      </c>
      <c r="AU75" s="1284" t="str">
        <f>IF('C6'!B73&lt;&gt;0,'C6'!B73,"")</f>
        <v/>
      </c>
      <c r="AW75" s="1052">
        <v>47</v>
      </c>
      <c r="AX75" s="1284" t="str">
        <f>IF('C6'!B167&lt;&gt;0,'C6'!B167,"")</f>
        <v/>
      </c>
      <c r="BC75" s="1285" t="s">
        <v>1528</v>
      </c>
      <c r="BD75" s="1284" t="str">
        <f>IF('C8C9C10'!B74&lt;&gt;0,'C8C9C10'!B74,"")</f>
        <v/>
      </c>
    </row>
    <row r="76" spans="37:56" ht="12" thickBot="1" x14ac:dyDescent="0.3">
      <c r="AQ76" s="695" t="s">
        <v>1731</v>
      </c>
      <c r="AR76" s="1299" t="str">
        <f>IF('C5'!B74&lt;&gt;0,'C5'!B74,"")</f>
        <v/>
      </c>
      <c r="AT76" s="1288" t="s">
        <v>1764</v>
      </c>
      <c r="AU76" s="1284" t="str">
        <f>IF('C6'!B74&lt;&gt;0,'C6'!B74,"")</f>
        <v/>
      </c>
      <c r="AW76" s="1052">
        <v>48</v>
      </c>
      <c r="AX76" s="1284" t="str">
        <f>IF('C6'!B168&lt;&gt;0,'C6'!B168,"")</f>
        <v/>
      </c>
      <c r="BC76" s="1285" t="s">
        <v>1754</v>
      </c>
      <c r="BD76" s="1284" t="str">
        <f>IF('C8C9C10'!B75&lt;&gt;0,'C8C9C10'!B75,"")</f>
        <v/>
      </c>
    </row>
    <row r="77" spans="37:56" ht="12" thickBot="1" x14ac:dyDescent="0.3">
      <c r="AT77" s="1288">
        <v>8</v>
      </c>
      <c r="AU77" s="1284" t="str">
        <f>IF('C6'!B75&lt;&gt;0,'C6'!B75,"")</f>
        <v/>
      </c>
      <c r="AW77" s="1052">
        <v>48.1</v>
      </c>
      <c r="AX77" s="1284" t="str">
        <f>IF('C6'!B169&lt;&gt;0,'C6'!B169,"")</f>
        <v/>
      </c>
      <c r="BC77" s="1285" t="s">
        <v>1765</v>
      </c>
      <c r="BD77" s="1284" t="str">
        <f>IF('C8C9C10'!B76&lt;&gt;0,'C8C9C10'!B76,"")</f>
        <v/>
      </c>
    </row>
    <row r="78" spans="37:56" ht="12" thickBot="1" x14ac:dyDescent="0.3">
      <c r="AT78" s="1288">
        <v>9</v>
      </c>
      <c r="AU78" s="1284" t="str">
        <f>IF('C6'!B76&lt;&gt;0,'C6'!B76,"")</f>
        <v/>
      </c>
      <c r="AW78" s="1052">
        <v>49</v>
      </c>
      <c r="AX78" s="1284" t="str">
        <f>IF('C6'!B170&lt;&gt;0,'C6'!B170,"")</f>
        <v/>
      </c>
      <c r="BC78" s="1285" t="s">
        <v>1766</v>
      </c>
      <c r="BD78" s="1284" t="str">
        <f>IF('C8C9C10'!B77&lt;&gt;0,'C8C9C10'!B77,"")</f>
        <v/>
      </c>
    </row>
    <row r="79" spans="37:56" ht="12" thickBot="1" x14ac:dyDescent="0.3">
      <c r="AT79" s="1305">
        <v>9.1</v>
      </c>
      <c r="AU79" s="1284" t="str">
        <f>IF('C6'!B77&lt;&gt;0,'C6'!B77,"")</f>
        <v/>
      </c>
      <c r="AW79" s="1052">
        <v>49.1</v>
      </c>
      <c r="AX79" s="1284" t="str">
        <f>IF('C6'!B171&lt;&gt;0,'C6'!B171,"")</f>
        <v/>
      </c>
      <c r="BC79" s="1285" t="s">
        <v>1767</v>
      </c>
      <c r="BD79" s="1284" t="str">
        <f>IF('C8C9C10'!B78&lt;&gt;0,'C8C9C10'!B78,"")</f>
        <v/>
      </c>
    </row>
    <row r="80" spans="37:56" ht="12" thickBot="1" x14ac:dyDescent="0.3">
      <c r="AT80" s="1288" t="s">
        <v>1537</v>
      </c>
      <c r="AU80" s="1284" t="str">
        <f>IF('C6'!B78&lt;&gt;0,'C6'!B78,"")</f>
        <v/>
      </c>
      <c r="AW80" s="1052" t="s">
        <v>1537</v>
      </c>
      <c r="AX80" s="1284" t="str">
        <f>IF('C6'!B172&lt;&gt;0,'C6'!B172,"")</f>
        <v/>
      </c>
      <c r="BC80" s="1285" t="s">
        <v>1768</v>
      </c>
      <c r="BD80" s="1284" t="str">
        <f>IF('C8C9C10'!B79&lt;&gt;0,'C8C9C10'!B79,"")</f>
        <v/>
      </c>
    </row>
    <row r="81" spans="46:56" ht="12" thickBot="1" x14ac:dyDescent="0.3">
      <c r="AT81" s="1288" t="s">
        <v>1540</v>
      </c>
      <c r="AU81" s="1284" t="str">
        <f>IF('C6'!B79&lt;&gt;0,'C6'!B79,"")</f>
        <v/>
      </c>
      <c r="AW81" s="1052" t="s">
        <v>1540</v>
      </c>
      <c r="AX81" s="1284" t="str">
        <f>IF('C6'!B173&lt;&gt;0,'C6'!B173,"")</f>
        <v/>
      </c>
      <c r="BC81" s="1285" t="s">
        <v>1769</v>
      </c>
      <c r="BD81" s="1284" t="str">
        <f>IF('C8C9C10'!B80&lt;&gt;0,'C8C9C10'!B80,"")</f>
        <v/>
      </c>
    </row>
    <row r="82" spans="46:56" ht="12" thickBot="1" x14ac:dyDescent="0.3">
      <c r="AT82" s="1288" t="s">
        <v>1548</v>
      </c>
      <c r="AU82" s="1284" t="str">
        <f>IF('C6'!B80&lt;&gt;0,'C6'!B80,"")</f>
        <v/>
      </c>
      <c r="AW82" s="1052" t="s">
        <v>1548</v>
      </c>
      <c r="AX82" s="1284" t="str">
        <f>IF('C6'!B174&lt;&gt;0,'C6'!B174,"")</f>
        <v/>
      </c>
      <c r="BC82" s="1293" t="s">
        <v>1770</v>
      </c>
      <c r="BD82" s="1284" t="str">
        <f>IF('C8C9C10'!B81&lt;&gt;0,'C8C9C10'!B81,"")</f>
        <v/>
      </c>
    </row>
    <row r="83" spans="46:56" ht="12" thickBot="1" x14ac:dyDescent="0.3">
      <c r="AT83" s="1288" t="s">
        <v>1771</v>
      </c>
      <c r="AU83" s="1284" t="str">
        <f>IF('C6'!B81&lt;&gt;0,'C6'!B81,"")</f>
        <v/>
      </c>
      <c r="AW83" s="1052" t="s">
        <v>1751</v>
      </c>
      <c r="AX83" s="1284" t="str">
        <f>IF('C6'!B175&lt;&gt;0,'C6'!B175,"")</f>
        <v/>
      </c>
      <c r="BC83" s="1285" t="s">
        <v>1772</v>
      </c>
      <c r="BD83" s="1284" t="str">
        <f>IF('C8C9C10'!B82&lt;&gt;0,'C8C9C10'!B82,"")</f>
        <v/>
      </c>
    </row>
    <row r="84" spans="46:56" ht="12" thickBot="1" x14ac:dyDescent="0.3">
      <c r="AT84" s="1288" t="s">
        <v>1559</v>
      </c>
      <c r="AU84" s="1284" t="str">
        <f>IF('C6'!B82&lt;&gt;0,'C6'!B82,"")</f>
        <v/>
      </c>
      <c r="AW84" s="1052" t="s">
        <v>1559</v>
      </c>
      <c r="AX84" s="1284" t="str">
        <f>IF('C6'!B176&lt;&gt;0,'C6'!B176,"")</f>
        <v/>
      </c>
      <c r="BC84" s="1293" t="s">
        <v>1773</v>
      </c>
      <c r="BD84" s="1284" t="str">
        <f>IF('C8C9C10'!B83&lt;&gt;0,'C8C9C10'!B83,"")</f>
        <v/>
      </c>
    </row>
    <row r="85" spans="46:56" ht="12" thickBot="1" x14ac:dyDescent="0.3">
      <c r="AT85" s="1288" t="s">
        <v>1774</v>
      </c>
      <c r="AU85" s="1284" t="str">
        <f>IF('C6'!B83&lt;&gt;0,'C6'!B83,"")</f>
        <v/>
      </c>
      <c r="AW85" s="1052" t="s">
        <v>1700</v>
      </c>
      <c r="AX85" s="1284" t="str">
        <f>IF('C6'!B177&lt;&gt;0,'C6'!B177,"")</f>
        <v/>
      </c>
      <c r="BC85" s="1285" t="s">
        <v>1775</v>
      </c>
      <c r="BD85" s="1284" t="str">
        <f>IF('C8C9C10'!B84&lt;&gt;0,'C8C9C10'!B84,"")</f>
        <v/>
      </c>
    </row>
    <row r="86" spans="46:56" ht="12" thickBot="1" x14ac:dyDescent="0.3">
      <c r="AT86" s="1288">
        <v>10</v>
      </c>
      <c r="AU86" s="1284" t="str">
        <f>IF('C6'!B84&lt;&gt;0,'C6'!B84,"")</f>
        <v/>
      </c>
      <c r="AW86" s="1052">
        <v>50</v>
      </c>
      <c r="AX86" s="1284" t="str">
        <f>IF('C6'!B178&lt;&gt;0,'C6'!B178,"")</f>
        <v/>
      </c>
      <c r="BC86" s="1285" t="s">
        <v>1526</v>
      </c>
      <c r="BD86" s="1284" t="str">
        <f>IF('C8C9C10'!B85&lt;&gt;0,'C8C9C10'!B85,"")</f>
        <v/>
      </c>
    </row>
    <row r="87" spans="46:56" ht="12" thickBot="1" x14ac:dyDescent="0.3">
      <c r="AT87" s="1288">
        <v>11</v>
      </c>
      <c r="AU87" s="1284" t="str">
        <f>IF('C6'!B85&lt;&gt;0,'C6'!B85,"")</f>
        <v/>
      </c>
      <c r="AW87" s="1052">
        <v>51</v>
      </c>
      <c r="AX87" s="1284" t="str">
        <f>IF('C6'!B179&lt;&gt;0,'C6'!B179,"")</f>
        <v/>
      </c>
      <c r="BC87" s="695" t="s">
        <v>1535</v>
      </c>
      <c r="BD87" s="1284" t="str">
        <f>IF('C8C9C10'!B86&lt;&gt;0,'C8C9C10'!B86,"")</f>
        <v>computation</v>
      </c>
    </row>
    <row r="88" spans="46:56" ht="12" thickBot="1" x14ac:dyDescent="0.3">
      <c r="AT88" s="1305">
        <v>11.1</v>
      </c>
      <c r="AU88" s="1284" t="str">
        <f>IF('C6'!B86&lt;&gt;0,'C6'!B86,"")</f>
        <v/>
      </c>
      <c r="AW88" s="1052">
        <v>51.1</v>
      </c>
      <c r="AX88" s="1284" t="str">
        <f>IF('C6'!B180&lt;&gt;0,'C6'!B180,"")</f>
        <v/>
      </c>
    </row>
    <row r="89" spans="46:56" ht="12" thickBot="1" x14ac:dyDescent="0.3">
      <c r="AT89" s="1288" t="s">
        <v>1596</v>
      </c>
      <c r="AU89" s="1284" t="str">
        <f>IF('C6'!B87&lt;&gt;0,'C6'!B87,"")</f>
        <v/>
      </c>
      <c r="AW89" s="1052" t="s">
        <v>1537</v>
      </c>
      <c r="AX89" s="1284" t="str">
        <f>IF('C6'!B181&lt;&gt;0,'C6'!B181,"")</f>
        <v/>
      </c>
    </row>
    <row r="90" spans="46:56" ht="12" thickBot="1" x14ac:dyDescent="0.3">
      <c r="AT90" s="1288" t="s">
        <v>1601</v>
      </c>
      <c r="AU90" s="1284" t="str">
        <f>IF('C6'!B88&lt;&gt;0,'C6'!B88,"")</f>
        <v/>
      </c>
      <c r="AW90" s="1052" t="s">
        <v>1540</v>
      </c>
      <c r="AX90" s="1284" t="str">
        <f>IF('C6'!B182&lt;&gt;0,'C6'!B182,"")</f>
        <v/>
      </c>
    </row>
    <row r="91" spans="46:56" ht="12" thickBot="1" x14ac:dyDescent="0.3">
      <c r="AT91" s="1288" t="s">
        <v>1605</v>
      </c>
      <c r="AU91" s="1284" t="str">
        <f>IF('C6'!B89&lt;&gt;0,'C6'!B89,"")</f>
        <v/>
      </c>
      <c r="AW91" s="1052" t="s">
        <v>1548</v>
      </c>
      <c r="AX91" s="1284" t="str">
        <f>IF('C6'!B183&lt;&gt;0,'C6'!B183,"")</f>
        <v/>
      </c>
    </row>
    <row r="92" spans="46:56" ht="12" thickBot="1" x14ac:dyDescent="0.3">
      <c r="AT92" s="1288" t="s">
        <v>1776</v>
      </c>
      <c r="AU92" s="1284" t="str">
        <f>IF('C6'!B90&lt;&gt;0,'C6'!B90,"")</f>
        <v/>
      </c>
      <c r="AW92" s="1052" t="s">
        <v>1751</v>
      </c>
      <c r="AX92" s="1284" t="str">
        <f>IF('C6'!B184&lt;&gt;0,'C6'!B184,"")</f>
        <v/>
      </c>
    </row>
    <row r="93" spans="46:56" ht="12" thickBot="1" x14ac:dyDescent="0.3">
      <c r="AT93" s="1288" t="s">
        <v>1777</v>
      </c>
      <c r="AU93" s="1284" t="str">
        <f>IF('C6'!B91&lt;&gt;0,'C6'!B91,"")</f>
        <v/>
      </c>
      <c r="AW93" s="1052" t="s">
        <v>1559</v>
      </c>
      <c r="AX93" s="1284" t="str">
        <f>IF('C6'!B185&lt;&gt;0,'C6'!B185,"")</f>
        <v/>
      </c>
    </row>
    <row r="94" spans="46:56" ht="12" thickBot="1" x14ac:dyDescent="0.3">
      <c r="AT94" s="1288" t="s">
        <v>1778</v>
      </c>
      <c r="AU94" s="1284" t="str">
        <f>IF('C6'!B92&lt;&gt;0,'C6'!B92,"")</f>
        <v/>
      </c>
      <c r="AW94" s="1052" t="s">
        <v>1700</v>
      </c>
      <c r="AX94" s="1284" t="str">
        <f>IF('C6'!B186&lt;&gt;0,'C6'!B186,"")</f>
        <v/>
      </c>
    </row>
    <row r="95" spans="46:56" ht="12" thickBot="1" x14ac:dyDescent="0.3">
      <c r="AT95" s="1288">
        <v>12</v>
      </c>
      <c r="AU95" s="1284" t="str">
        <f>IF('C6'!B93&lt;&gt;0,'C6'!B93,"")</f>
        <v/>
      </c>
      <c r="AW95" s="1052">
        <v>52</v>
      </c>
      <c r="AX95" s="1284" t="str">
        <f>IF('C6'!B187&lt;&gt;0,'C6'!B187,"")</f>
        <v/>
      </c>
    </row>
    <row r="96" spans="46:56" ht="12" thickBot="1" x14ac:dyDescent="0.3">
      <c r="AT96" s="694">
        <v>13</v>
      </c>
      <c r="AU96" s="1284" t="str">
        <f>IF('C6'!B94&lt;&gt;0,'C6'!B94,"")</f>
        <v/>
      </c>
      <c r="AW96" s="1052">
        <v>53</v>
      </c>
      <c r="AX96" s="1284" t="str">
        <f>IF('C6'!B188&lt;&gt;0,'C6'!B188,"")</f>
        <v/>
      </c>
    </row>
    <row r="97" spans="46:50" ht="12" thickBot="1" x14ac:dyDescent="0.3">
      <c r="AT97" s="2386">
        <v>13</v>
      </c>
      <c r="AU97" s="1284" t="str">
        <f>IF('C6'!B95&lt;&gt;0,'C6'!B95,"")</f>
        <v/>
      </c>
      <c r="AW97" s="1052">
        <v>53.1</v>
      </c>
      <c r="AX97" s="1284" t="str">
        <f>IF('C6'!B189&lt;&gt;0,'C6'!B189,"")</f>
        <v/>
      </c>
    </row>
    <row r="98" spans="46:50" ht="12" thickBot="1" x14ac:dyDescent="0.3">
      <c r="AW98" s="1052">
        <v>54</v>
      </c>
      <c r="AX98" s="1284" t="str">
        <f>IF('C6'!B190&lt;&gt;0,'C6'!B190,"")</f>
        <v/>
      </c>
    </row>
    <row r="99" spans="46:50" ht="12" thickBot="1" x14ac:dyDescent="0.3">
      <c r="AW99" s="1052">
        <v>54.1</v>
      </c>
      <c r="AX99" s="1284" t="str">
        <f>IF('C6'!B191&lt;&gt;0,'C6'!B191,"")</f>
        <v/>
      </c>
    </row>
    <row r="100" spans="46:50" ht="12" thickBot="1" x14ac:dyDescent="0.3">
      <c r="AW100" s="1052">
        <v>55</v>
      </c>
      <c r="AX100" s="1284" t="str">
        <f>IF('C6'!B192&lt;&gt;0,'C6'!B192,"")</f>
        <v/>
      </c>
    </row>
    <row r="101" spans="46:50" ht="12" thickBot="1" x14ac:dyDescent="0.3">
      <c r="AW101" s="1052">
        <v>55.1</v>
      </c>
      <c r="AX101" s="1284" t="str">
        <f>IF('C6'!B193&lt;&gt;0,'C6'!B193,"")</f>
        <v/>
      </c>
    </row>
    <row r="102" spans="46:50" ht="12" thickBot="1" x14ac:dyDescent="0.3">
      <c r="AW102" s="1052">
        <v>56</v>
      </c>
      <c r="AX102" s="1284" t="str">
        <f>IF('C6'!B194&lt;&gt;0,'C6'!B194,"")</f>
        <v/>
      </c>
    </row>
    <row r="103" spans="46:50" ht="12" thickBot="1" x14ac:dyDescent="0.3">
      <c r="AW103" s="1052">
        <v>56.1</v>
      </c>
      <c r="AX103" s="1284" t="str">
        <f>IF('C6'!B195&lt;&gt;0,'C6'!B195,"")</f>
        <v/>
      </c>
    </row>
    <row r="104" spans="46:50" ht="12" thickBot="1" x14ac:dyDescent="0.3">
      <c r="AW104" s="1052">
        <v>57</v>
      </c>
      <c r="AX104" s="1284" t="str">
        <f>IF('C6'!B196&lt;&gt;0,'C6'!B196,"")</f>
        <v/>
      </c>
    </row>
    <row r="105" spans="46:50" ht="12" thickBot="1" x14ac:dyDescent="0.3">
      <c r="AW105" s="1052">
        <v>57.1</v>
      </c>
      <c r="AX105" s="1284" t="str">
        <f>IF('C6'!B197&lt;&gt;0,'C6'!B197,"")</f>
        <v/>
      </c>
    </row>
    <row r="106" spans="46:50" ht="12" thickBot="1" x14ac:dyDescent="0.3">
      <c r="AW106" s="1052">
        <v>58</v>
      </c>
      <c r="AX106" s="1284" t="str">
        <f>IF('C6'!B198&lt;&gt;0,'C6'!B198,"")</f>
        <v/>
      </c>
    </row>
    <row r="107" spans="46:50" ht="12" thickBot="1" x14ac:dyDescent="0.3">
      <c r="AW107" s="1052">
        <v>58.1</v>
      </c>
      <c r="AX107" s="1284" t="str">
        <f>IF('C6'!B199&lt;&gt;0,'C6'!B199,"")</f>
        <v/>
      </c>
    </row>
    <row r="108" spans="46:50" ht="12" thickBot="1" x14ac:dyDescent="0.3">
      <c r="AW108" s="1052">
        <v>59</v>
      </c>
      <c r="AX108" s="1284" t="str">
        <f>IF('C6'!B200&lt;&gt;0,'C6'!B200,"")</f>
        <v/>
      </c>
    </row>
    <row r="109" spans="46:50" ht="12" thickBot="1" x14ac:dyDescent="0.3">
      <c r="AW109" s="1052">
        <v>59.1</v>
      </c>
      <c r="AX109" s="1284" t="str">
        <f>IF('C6'!B201&lt;&gt;0,'C6'!B201,"")</f>
        <v/>
      </c>
    </row>
    <row r="110" spans="46:50" ht="12" thickBot="1" x14ac:dyDescent="0.3">
      <c r="AW110" s="1052">
        <v>60</v>
      </c>
      <c r="AX110" s="1284" t="str">
        <f>IF('C6'!B202&lt;&gt;0,'C6'!B202,"")</f>
        <v/>
      </c>
    </row>
    <row r="111" spans="46:50" ht="12" thickBot="1" x14ac:dyDescent="0.3">
      <c r="AW111" s="1052">
        <v>60.1</v>
      </c>
      <c r="AX111" s="1284" t="str">
        <f>IF('C6'!B203&lt;&gt;0,'C6'!B203,"")</f>
        <v/>
      </c>
    </row>
    <row r="112" spans="46:50" ht="12" thickBot="1" x14ac:dyDescent="0.3">
      <c r="AW112" s="1052">
        <v>61</v>
      </c>
      <c r="AX112" s="1284" t="str">
        <f>IF('C6'!B204&lt;&gt;0,'C6'!B204,"")</f>
        <v/>
      </c>
    </row>
    <row r="113" spans="1:61" ht="12" thickBot="1" x14ac:dyDescent="0.3">
      <c r="AW113" s="1052">
        <v>61.1</v>
      </c>
      <c r="AX113" s="1284" t="str">
        <f>IF('C6'!B205&lt;&gt;0,'C6'!B205,"")</f>
        <v/>
      </c>
    </row>
    <row r="114" spans="1:61" ht="12" thickBot="1" x14ac:dyDescent="0.3">
      <c r="AW114" s="1052">
        <v>62</v>
      </c>
      <c r="AX114" s="1284" t="str">
        <f>IF('C6'!B206&lt;&gt;0,'C6'!B206,"")</f>
        <v/>
      </c>
    </row>
    <row r="115" spans="1:61" ht="12" thickBot="1" x14ac:dyDescent="0.3">
      <c r="AW115" s="1052">
        <v>62.1</v>
      </c>
      <c r="AX115" s="1284" t="str">
        <f>IF('C6'!B207&lt;&gt;0,'C6'!B207,"")</f>
        <v/>
      </c>
    </row>
    <row r="116" spans="1:61" ht="12" thickBot="1" x14ac:dyDescent="0.3">
      <c r="AW116" s="1052">
        <v>63</v>
      </c>
      <c r="AX116" s="1284" t="str">
        <f>IF('C6'!B208&lt;&gt;0,'C6'!B208,"")</f>
        <v/>
      </c>
    </row>
    <row r="117" spans="1:61" ht="12" thickBot="1" x14ac:dyDescent="0.3">
      <c r="AW117" s="1052">
        <v>63.1</v>
      </c>
      <c r="AX117" s="1284" t="str">
        <f>IF('C6'!B209&lt;&gt;0,'C6'!B209,"")</f>
        <v/>
      </c>
    </row>
    <row r="118" spans="1:61" ht="12" thickBot="1" x14ac:dyDescent="0.3">
      <c r="AW118" s="1052">
        <v>64</v>
      </c>
      <c r="AX118" s="1284" t="str">
        <f>IF('C6'!B210&lt;&gt;0,'C6'!B210,"")</f>
        <v/>
      </c>
    </row>
    <row r="119" spans="1:61" ht="12" thickBot="1" x14ac:dyDescent="0.3">
      <c r="A119" s="8"/>
      <c r="B119" s="8"/>
      <c r="C119" s="8"/>
      <c r="D119" s="8"/>
      <c r="E119" s="8"/>
      <c r="F119" s="8"/>
      <c r="G119" s="8"/>
      <c r="H119" s="8"/>
      <c r="I119" s="8"/>
      <c r="J119" s="8"/>
      <c r="K119" s="8"/>
      <c r="L119" s="8"/>
      <c r="M119" s="8"/>
      <c r="N119" s="8"/>
      <c r="AW119" s="1052">
        <v>64.099999999999994</v>
      </c>
      <c r="AX119" s="1284" t="str">
        <f>IF('C6'!B211&lt;&gt;0,'C6'!B211,"")</f>
        <v/>
      </c>
    </row>
    <row r="120" spans="1:61" x14ac:dyDescent="0.25">
      <c r="A120" s="8"/>
      <c r="B120" s="8"/>
      <c r="C120" s="8"/>
      <c r="D120" s="8"/>
      <c r="E120" s="8"/>
      <c r="F120" s="8"/>
      <c r="G120" s="8"/>
      <c r="H120" s="8"/>
      <c r="I120" s="8"/>
      <c r="J120" s="8"/>
      <c r="K120" s="8"/>
      <c r="L120" s="8"/>
      <c r="M120" s="8"/>
      <c r="N120" s="8"/>
    </row>
    <row r="121" spans="1:61" s="1055" customFormat="1" x14ac:dyDescent="0.25">
      <c r="A121" s="1054" t="s">
        <v>1779</v>
      </c>
      <c r="B121" s="1053"/>
      <c r="C121" s="1053"/>
      <c r="D121" s="1053"/>
      <c r="E121" s="1053"/>
      <c r="F121" s="1053"/>
      <c r="G121" s="1053"/>
      <c r="H121" s="1053"/>
      <c r="I121" s="1053"/>
      <c r="J121" s="1053"/>
      <c r="K121" s="1053"/>
      <c r="L121" s="1053"/>
      <c r="M121" s="1054"/>
      <c r="N121" s="1053"/>
      <c r="O121" s="1053"/>
      <c r="P121" s="1053"/>
      <c r="Q121" s="1053"/>
      <c r="R121" s="1053"/>
      <c r="S121" s="1053"/>
      <c r="T121" s="1053"/>
      <c r="U121" s="1053"/>
      <c r="V121" s="1053"/>
      <c r="W121" s="1053"/>
      <c r="X121" s="1053"/>
      <c r="Y121" s="1053"/>
      <c r="Z121" s="1053"/>
      <c r="AA121" s="1053"/>
      <c r="BI121" s="1054"/>
    </row>
    <row r="122" spans="1:61" x14ac:dyDescent="0.25">
      <c r="A122" s="107" t="s">
        <v>1780</v>
      </c>
    </row>
    <row r="123" spans="1:61" x14ac:dyDescent="0.25">
      <c r="A123" s="107" t="s">
        <v>1781</v>
      </c>
    </row>
    <row r="124" spans="1:61" x14ac:dyDescent="0.25">
      <c r="A124" s="107" t="s">
        <v>1782</v>
      </c>
    </row>
    <row r="125" spans="1:61" x14ac:dyDescent="0.25">
      <c r="A125" s="107" t="s">
        <v>1783</v>
      </c>
    </row>
    <row r="126" spans="1:61" x14ac:dyDescent="0.25">
      <c r="A126" s="107" t="s">
        <v>1784</v>
      </c>
    </row>
    <row r="127" spans="1:61" x14ac:dyDescent="0.25">
      <c r="A127" s="107" t="s">
        <v>1785</v>
      </c>
    </row>
    <row r="128" spans="1:61" x14ac:dyDescent="0.25">
      <c r="A128" s="107" t="s">
        <v>1786</v>
      </c>
    </row>
    <row r="129" spans="1:1" x14ac:dyDescent="0.25">
      <c r="A129" s="107" t="s">
        <v>1787</v>
      </c>
    </row>
    <row r="130" spans="1:1" x14ac:dyDescent="0.25">
      <c r="A130" s="107" t="s">
        <v>1786</v>
      </c>
    </row>
    <row r="131" spans="1:1" x14ac:dyDescent="0.25">
      <c r="A131" s="107" t="s">
        <v>1788</v>
      </c>
    </row>
    <row r="132" spans="1:1" x14ac:dyDescent="0.25">
      <c r="A132" s="107" t="s">
        <v>1789</v>
      </c>
    </row>
    <row r="133" spans="1:1" x14ac:dyDescent="0.25">
      <c r="A133" s="107" t="s">
        <v>1790</v>
      </c>
    </row>
  </sheetData>
  <phoneticPr fontId="58" type="noConversion"/>
  <pageMargins left="0.75" right="0.75" top="1" bottom="1" header="0.5" footer="0.5"/>
  <pageSetup paperSize="9" orientation="portrait" r:id="rId1"/>
  <headerFooter alignWithMargins="0">
    <oddFooter>&amp;C&amp;1#&amp;"Calibri"&amp;10&amp;K000000OFFICIAL-SENSITIVE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dimension ref="A1:BW176"/>
  <sheetViews>
    <sheetView showGridLines="0" zoomScaleNormal="100" workbookViewId="0">
      <pane xSplit="1" ySplit="1" topLeftCell="B82" activePane="bottomRight" state="frozen"/>
      <selection pane="topRight" activeCell="C253" sqref="C253:C254"/>
      <selection pane="bottomLeft" activeCell="C253" sqref="C253:C254"/>
      <selection pane="bottomRight" activeCell="L102" sqref="L102"/>
    </sheetView>
  </sheetViews>
  <sheetFormatPr defaultColWidth="9.1796875" defaultRowHeight="10" x14ac:dyDescent="0.2"/>
  <cols>
    <col min="1" max="1" width="11.81640625" style="1" customWidth="1"/>
    <col min="2" max="3" width="9.1796875" style="1" customWidth="1"/>
    <col min="4" max="4" width="8.81640625" style="1" customWidth="1"/>
    <col min="5" max="5" width="9.1796875" style="1"/>
    <col min="6" max="6" width="9.1796875" style="1" customWidth="1"/>
    <col min="7" max="7" width="9.54296875" style="1" customWidth="1"/>
    <col min="8" max="8" width="9.1796875" style="1" customWidth="1"/>
    <col min="9" max="9" width="8.1796875" style="1" customWidth="1"/>
    <col min="10" max="10" width="7.54296875" style="1" customWidth="1"/>
    <col min="11" max="14" width="8.1796875" style="1" customWidth="1"/>
    <col min="15" max="15" width="8.81640625" style="1" customWidth="1"/>
    <col min="16" max="16" width="7.54296875" style="1" customWidth="1"/>
    <col min="17" max="17" width="8.54296875" style="1" customWidth="1"/>
    <col min="18" max="18" width="9.54296875" style="1" customWidth="1"/>
    <col min="19" max="19" width="9.1796875" style="1" customWidth="1"/>
    <col min="20" max="20" width="10.1796875" style="1" customWidth="1"/>
    <col min="21" max="21" width="8.54296875" style="1" customWidth="1"/>
    <col min="22" max="22" width="8.81640625" style="1" customWidth="1"/>
    <col min="23" max="23" width="8.453125" style="1" customWidth="1"/>
    <col min="24" max="16384" width="9.1796875" style="1"/>
  </cols>
  <sheetData>
    <row r="1" spans="1:75" ht="10.5" x14ac:dyDescent="0.25">
      <c r="A1" s="1318">
        <v>1</v>
      </c>
      <c r="B1" s="1318">
        <v>2</v>
      </c>
      <c r="C1" s="1318">
        <v>3</v>
      </c>
      <c r="D1" s="1318">
        <v>4</v>
      </c>
      <c r="E1" s="1318">
        <v>5</v>
      </c>
      <c r="F1" s="1318">
        <v>6</v>
      </c>
      <c r="G1" s="1318">
        <v>7</v>
      </c>
      <c r="H1" s="1318">
        <v>8</v>
      </c>
      <c r="I1" s="1318">
        <v>9</v>
      </c>
      <c r="J1" s="1318">
        <v>10</v>
      </c>
      <c r="K1" s="1318">
        <v>11</v>
      </c>
      <c r="L1" s="1319">
        <v>12</v>
      </c>
      <c r="M1" s="1319">
        <v>13</v>
      </c>
      <c r="N1" s="1319">
        <v>14</v>
      </c>
      <c r="O1" s="1319">
        <v>15</v>
      </c>
      <c r="P1" s="1319">
        <v>16</v>
      </c>
      <c r="Q1" s="1319">
        <v>17</v>
      </c>
      <c r="R1" s="1319">
        <v>18</v>
      </c>
      <c r="S1" s="1319">
        <v>19</v>
      </c>
      <c r="T1" s="1319">
        <v>20</v>
      </c>
      <c r="U1" s="1319">
        <v>21</v>
      </c>
      <c r="V1" s="1319">
        <v>22</v>
      </c>
      <c r="W1" s="1319">
        <v>23</v>
      </c>
      <c r="X1" s="1319">
        <v>24</v>
      </c>
      <c r="Y1" s="1319">
        <v>25</v>
      </c>
      <c r="Z1" s="1319">
        <v>26</v>
      </c>
      <c r="AA1" s="1319">
        <v>27</v>
      </c>
      <c r="AB1" s="1319">
        <v>28</v>
      </c>
      <c r="AC1" s="1319">
        <v>29</v>
      </c>
      <c r="AD1" s="1319">
        <v>30</v>
      </c>
      <c r="AE1" s="1319">
        <v>31</v>
      </c>
      <c r="AF1" s="1319">
        <v>32</v>
      </c>
      <c r="AG1" s="1319">
        <v>33</v>
      </c>
      <c r="AH1" s="1319">
        <v>34</v>
      </c>
      <c r="AI1" s="1319">
        <v>35</v>
      </c>
      <c r="AJ1" s="1319">
        <v>36</v>
      </c>
      <c r="AK1" s="1319">
        <v>37</v>
      </c>
      <c r="AL1" s="1319">
        <v>38</v>
      </c>
      <c r="AM1" s="1319">
        <v>39</v>
      </c>
      <c r="AN1" s="1319">
        <v>40</v>
      </c>
      <c r="AO1" s="1319">
        <v>41</v>
      </c>
      <c r="AP1" s="1319">
        <v>42</v>
      </c>
      <c r="AQ1" s="1319">
        <v>43</v>
      </c>
      <c r="AR1" s="1319">
        <v>44</v>
      </c>
      <c r="AS1" s="1319">
        <v>45</v>
      </c>
      <c r="AT1" s="1319">
        <v>46</v>
      </c>
      <c r="AU1" s="1319">
        <v>47</v>
      </c>
      <c r="AV1" s="1319">
        <v>48</v>
      </c>
      <c r="AW1" s="1319">
        <v>49</v>
      </c>
      <c r="AX1" s="1319">
        <v>50</v>
      </c>
      <c r="AY1" s="1319">
        <v>51</v>
      </c>
      <c r="AZ1" s="1319">
        <v>52</v>
      </c>
      <c r="BA1" s="1319">
        <v>53</v>
      </c>
      <c r="BB1" s="1319">
        <v>54</v>
      </c>
      <c r="BC1" s="1319">
        <v>55</v>
      </c>
      <c r="BD1" s="1319">
        <v>56</v>
      </c>
      <c r="BE1" s="1319">
        <v>57</v>
      </c>
      <c r="BF1" s="1319">
        <v>58</v>
      </c>
      <c r="BG1" s="1319">
        <v>59</v>
      </c>
      <c r="BH1" s="1319">
        <v>60</v>
      </c>
      <c r="BI1" s="1319">
        <v>61</v>
      </c>
      <c r="BJ1" s="1319">
        <v>62</v>
      </c>
      <c r="BK1" s="1319">
        <v>63</v>
      </c>
      <c r="BL1" s="1319">
        <v>64</v>
      </c>
      <c r="BM1" s="1319">
        <v>65</v>
      </c>
      <c r="BN1" s="1319">
        <v>66</v>
      </c>
      <c r="BO1" s="1319">
        <v>67</v>
      </c>
      <c r="BP1" s="1319">
        <v>68</v>
      </c>
      <c r="BQ1" s="1319">
        <v>69</v>
      </c>
      <c r="BR1" s="1319">
        <v>70</v>
      </c>
      <c r="BS1" s="1319">
        <v>71</v>
      </c>
      <c r="BT1" s="1319">
        <v>72</v>
      </c>
      <c r="BU1" s="1319">
        <v>73</v>
      </c>
      <c r="BV1" s="1319">
        <v>74</v>
      </c>
      <c r="BW1" s="1319">
        <v>75</v>
      </c>
    </row>
    <row r="2" spans="1:75" ht="10.5" x14ac:dyDescent="0.25">
      <c r="A2" s="1320" t="s">
        <v>1791</v>
      </c>
      <c r="B2" s="1321" t="b">
        <f>OR(A101&gt;1,A105&gt;1,A109&gt;1,A113&gt;1,A117&gt;1)</f>
        <v>1</v>
      </c>
      <c r="V2" s="90"/>
      <c r="W2" s="90"/>
    </row>
    <row r="3" spans="1:75" ht="10.5" x14ac:dyDescent="0.25">
      <c r="A3" s="1320" t="s">
        <v>1792</v>
      </c>
      <c r="B3" s="1321" t="b">
        <f>OR(A89&gt;1,A93&gt;1,A97&gt;1,B16&lt;&gt;"",E16&lt;&gt;"" )</f>
        <v>1</v>
      </c>
      <c r="V3" s="90"/>
      <c r="W3" s="90"/>
    </row>
    <row r="4" spans="1:75" ht="10.5" x14ac:dyDescent="0.25">
      <c r="A4" s="1322" t="s">
        <v>1793</v>
      </c>
      <c r="B4" s="1322" t="b">
        <v>0</v>
      </c>
      <c r="P4" s="90"/>
      <c r="Q4" s="90"/>
      <c r="R4" s="90"/>
      <c r="S4" s="90"/>
      <c r="T4" s="90"/>
      <c r="U4" s="90"/>
      <c r="V4" s="90"/>
      <c r="W4" s="90"/>
    </row>
    <row r="5" spans="1:75" ht="10.5" x14ac:dyDescent="0.25">
      <c r="A5" s="1323">
        <v>169</v>
      </c>
      <c r="B5" s="1324" t="str">
        <f>YPD&amp;'INC(1)'!C4</f>
        <v>YPD1</v>
      </c>
      <c r="C5" s="1324" t="str">
        <f>YPD&amp;'INC(1)'!C7</f>
        <v>YPDTR</v>
      </c>
      <c r="D5" s="90"/>
      <c r="E5" s="90"/>
      <c r="F5" s="90"/>
      <c r="G5" s="90"/>
      <c r="H5" s="90"/>
      <c r="I5" s="90"/>
      <c r="J5" s="90"/>
      <c r="K5" s="90"/>
      <c r="L5" s="90"/>
      <c r="M5" s="90"/>
      <c r="N5" s="90"/>
      <c r="O5" s="90"/>
      <c r="P5" s="90"/>
      <c r="Q5" s="90"/>
      <c r="R5" s="90"/>
      <c r="S5" s="90"/>
      <c r="T5" s="90"/>
      <c r="U5" s="90"/>
      <c r="V5" s="90"/>
    </row>
    <row r="6" spans="1:75" ht="10.5" x14ac:dyDescent="0.25">
      <c r="A6" s="643" t="s">
        <v>1794</v>
      </c>
      <c r="B6" s="644" t="s">
        <v>1795</v>
      </c>
      <c r="C6" s="644" t="s">
        <v>1796</v>
      </c>
      <c r="D6" s="90"/>
      <c r="E6" s="90"/>
      <c r="F6" s="90"/>
      <c r="G6" s="90"/>
      <c r="H6" s="90"/>
      <c r="I6" s="90"/>
      <c r="J6" s="90"/>
      <c r="K6" s="90"/>
      <c r="L6" s="90"/>
      <c r="M6" s="90"/>
      <c r="N6" s="90"/>
      <c r="O6" s="90"/>
      <c r="P6" s="90"/>
      <c r="Q6" s="90"/>
      <c r="R6" s="90"/>
      <c r="S6" s="90"/>
      <c r="T6" s="90"/>
      <c r="U6" s="90"/>
      <c r="V6" s="90"/>
    </row>
    <row r="7" spans="1:75" ht="10.5" x14ac:dyDescent="0.25">
      <c r="A7" s="645">
        <v>3</v>
      </c>
      <c r="B7" s="644">
        <v>2</v>
      </c>
      <c r="C7" s="644">
        <v>1</v>
      </c>
      <c r="D7" s="90"/>
      <c r="E7" s="90"/>
      <c r="U7" s="90"/>
      <c r="V7" s="90"/>
    </row>
    <row r="8" spans="1:75" ht="10.5" x14ac:dyDescent="0.25">
      <c r="A8" s="1325"/>
      <c r="B8" s="1326" t="str">
        <f>C0!B5</f>
        <v/>
      </c>
      <c r="C8" s="1326">
        <f>C0!B9</f>
        <v>2</v>
      </c>
      <c r="D8" s="90"/>
      <c r="E8" s="90"/>
      <c r="U8" s="90"/>
      <c r="V8" s="90"/>
    </row>
    <row r="9" spans="1:75" ht="10.5" x14ac:dyDescent="0.25">
      <c r="A9" s="1323">
        <v>169</v>
      </c>
      <c r="B9" s="1324" t="str">
        <f>INC&amp;'INC(1)'!C15</f>
        <v>INC1</v>
      </c>
      <c r="C9" s="1324" t="str">
        <f>INC&amp;'INC(1)'!C18</f>
        <v>INC2</v>
      </c>
      <c r="D9" s="1324" t="str">
        <f>INC&amp;'INC(1)'!C21</f>
        <v>INC3</v>
      </c>
      <c r="E9" s="1324" t="str">
        <f>INC&amp;'INC(1)'!I15</f>
        <v>INC4</v>
      </c>
      <c r="F9" s="1324" t="str">
        <f>INC&amp;'INC(1)'!I18</f>
        <v>INC5</v>
      </c>
      <c r="G9" s="1324" t="str">
        <f>INC&amp;'INC(1)'!I21</f>
        <v>INC6</v>
      </c>
      <c r="U9" s="90"/>
      <c r="V9" s="90"/>
    </row>
    <row r="10" spans="1:75" ht="10.5" x14ac:dyDescent="0.25">
      <c r="A10" s="643" t="s">
        <v>1794</v>
      </c>
      <c r="B10" s="646" t="s">
        <v>1797</v>
      </c>
      <c r="C10" s="646" t="s">
        <v>1798</v>
      </c>
      <c r="D10" s="646" t="s">
        <v>1799</v>
      </c>
      <c r="E10" s="646" t="s">
        <v>1800</v>
      </c>
      <c r="F10" s="646" t="s">
        <v>1801</v>
      </c>
      <c r="G10" s="646" t="s">
        <v>1802</v>
      </c>
      <c r="U10" s="90"/>
      <c r="V10" s="90"/>
    </row>
    <row r="11" spans="1:75" ht="10.5" x14ac:dyDescent="0.25">
      <c r="A11" s="645">
        <v>7</v>
      </c>
      <c r="B11" s="644" t="s">
        <v>1803</v>
      </c>
      <c r="C11" s="644" t="s">
        <v>1803</v>
      </c>
      <c r="D11" s="644" t="s">
        <v>1803</v>
      </c>
      <c r="E11" s="644" t="s">
        <v>1803</v>
      </c>
      <c r="F11" s="644" t="s">
        <v>1803</v>
      </c>
      <c r="G11" s="644" t="s">
        <v>1803</v>
      </c>
      <c r="U11" s="90"/>
      <c r="V11" s="90"/>
    </row>
    <row r="12" spans="1:75" ht="10.5" x14ac:dyDescent="0.25">
      <c r="A12" s="1325"/>
      <c r="B12" s="1326" t="str">
        <f>C0!B12</f>
        <v/>
      </c>
      <c r="C12" s="1326" t="str">
        <f>C0!B13</f>
        <v/>
      </c>
      <c r="D12" s="1326" t="str">
        <f>C0!B14</f>
        <v/>
      </c>
      <c r="E12" s="1326">
        <f>C0!B15</f>
        <v>40000</v>
      </c>
      <c r="F12" s="1326" t="str">
        <f>C0!B16</f>
        <v/>
      </c>
      <c r="G12" s="1326" t="str">
        <f>C0!B17</f>
        <v/>
      </c>
      <c r="U12" s="90"/>
      <c r="V12" s="90"/>
    </row>
    <row r="13" spans="1:75" ht="10.5" x14ac:dyDescent="0.25">
      <c r="A13" s="1327">
        <v>1</v>
      </c>
      <c r="B13" s="647" t="str">
        <f>INC&amp;'INC(2)'!C4</f>
        <v>INC8</v>
      </c>
      <c r="C13" s="647" t="str">
        <f>INC&amp;'INC(2)'!C7</f>
        <v>INC9</v>
      </c>
      <c r="D13" s="1324" t="str">
        <f>INC&amp;'INC(2)'!C10</f>
        <v>INC10</v>
      </c>
      <c r="E13" s="1324" t="str">
        <f>INC&amp;'INC(2)'!C13</f>
        <v>INC11</v>
      </c>
      <c r="F13" s="1324" t="str">
        <f>INC&amp;'INC(2)'!G4</f>
        <v>INC12</v>
      </c>
      <c r="G13" s="1324" t="str">
        <f>INC&amp;'INC(2)'!G7</f>
        <v>INC13</v>
      </c>
      <c r="H13" s="1324" t="str">
        <f>INC&amp;'INC(2)'!G10</f>
        <v>INC14</v>
      </c>
      <c r="I13" s="1324" t="str">
        <f>INC&amp;'INC(2)'!G13</f>
        <v>INC15</v>
      </c>
      <c r="J13" s="1324" t="str">
        <f>INC&amp;'INC(2)'!G16</f>
        <v>INC16</v>
      </c>
      <c r="U13" s="90"/>
      <c r="V13" s="90"/>
    </row>
    <row r="14" spans="1:75" ht="10.5" x14ac:dyDescent="0.25">
      <c r="A14" s="643" t="s">
        <v>1804</v>
      </c>
      <c r="B14" s="646" t="s">
        <v>1805</v>
      </c>
      <c r="C14" s="646" t="s">
        <v>1806</v>
      </c>
      <c r="D14" s="646" t="s">
        <v>1807</v>
      </c>
      <c r="E14" s="646" t="s">
        <v>1808</v>
      </c>
      <c r="F14" s="648" t="s">
        <v>1809</v>
      </c>
      <c r="G14" s="646" t="s">
        <v>1810</v>
      </c>
      <c r="H14" s="646" t="s">
        <v>1811</v>
      </c>
      <c r="I14" s="646" t="s">
        <v>1812</v>
      </c>
      <c r="J14" s="646" t="s">
        <v>1813</v>
      </c>
      <c r="O14" s="90"/>
      <c r="P14" s="90"/>
      <c r="Q14" s="90"/>
      <c r="R14" s="90"/>
      <c r="S14" s="90"/>
      <c r="T14" s="90"/>
      <c r="U14" s="90"/>
      <c r="V14" s="90"/>
    </row>
    <row r="15" spans="1:75" ht="10.5" x14ac:dyDescent="0.25">
      <c r="A15" s="645">
        <v>10</v>
      </c>
      <c r="B15" s="644" t="s">
        <v>1803</v>
      </c>
      <c r="C15" s="644" t="s">
        <v>1803</v>
      </c>
      <c r="D15" s="644" t="s">
        <v>1803</v>
      </c>
      <c r="E15" s="644" t="s">
        <v>1803</v>
      </c>
      <c r="F15" s="644" t="s">
        <v>1803</v>
      </c>
      <c r="G15" s="644" t="s">
        <v>1803</v>
      </c>
      <c r="H15" s="644" t="s">
        <v>1803</v>
      </c>
      <c r="I15" s="644" t="s">
        <v>1803</v>
      </c>
      <c r="J15" s="644" t="s">
        <v>1803</v>
      </c>
      <c r="O15" s="90"/>
      <c r="P15" s="90"/>
      <c r="Q15" s="90"/>
      <c r="R15" s="90"/>
      <c r="S15" s="90"/>
      <c r="T15" s="90"/>
      <c r="U15" s="90"/>
      <c r="V15" s="90"/>
    </row>
    <row r="16" spans="1:75" ht="10.5" x14ac:dyDescent="0.25">
      <c r="A16" s="1325"/>
      <c r="B16" s="649" t="str">
        <f>C0!B21</f>
        <v/>
      </c>
      <c r="C16" s="649" t="str">
        <f>C0!B22</f>
        <v/>
      </c>
      <c r="D16" s="1328" t="str">
        <f>C0!B23</f>
        <v/>
      </c>
      <c r="E16" s="1328" t="str">
        <f>C0!B24</f>
        <v/>
      </c>
      <c r="F16" s="1328" t="str">
        <f>C0!B25</f>
        <v/>
      </c>
      <c r="G16" s="1328" t="str">
        <f>C0!B26</f>
        <v/>
      </c>
      <c r="H16" s="1328" t="str">
        <f>C0!B27</f>
        <v/>
      </c>
      <c r="I16" s="1328" t="str">
        <f>C0!B28</f>
        <v/>
      </c>
      <c r="J16" s="1328" t="str">
        <f>C0!B29</f>
        <v/>
      </c>
      <c r="O16" s="90"/>
      <c r="P16" s="90"/>
      <c r="Q16" s="90"/>
      <c r="R16" s="90"/>
      <c r="S16" s="90"/>
      <c r="T16" s="90"/>
      <c r="U16" s="90"/>
      <c r="V16" s="90"/>
    </row>
    <row r="17" spans="1:22" ht="10.5" x14ac:dyDescent="0.25">
      <c r="A17" s="1327">
        <v>1</v>
      </c>
      <c r="B17" s="1324" t="str">
        <f>INC&amp;'INC(2)'!C22</f>
        <v>INC17</v>
      </c>
      <c r="C17" s="1324" t="str">
        <f>INC&amp;'INC(2)'!C25</f>
        <v>INC18</v>
      </c>
      <c r="D17" s="1324" t="str">
        <f>INC&amp;'INC(2)'!C28</f>
        <v>INC19</v>
      </c>
      <c r="E17" s="1324" t="str">
        <f>INC&amp;'INC(2)'!G22</f>
        <v>INC20</v>
      </c>
      <c r="G17" s="90"/>
    </row>
    <row r="18" spans="1:22" ht="10.5" x14ac:dyDescent="0.25">
      <c r="A18" s="643" t="s">
        <v>1804</v>
      </c>
      <c r="B18" s="644" t="s">
        <v>1814</v>
      </c>
      <c r="C18" s="646" t="s">
        <v>1815</v>
      </c>
      <c r="D18" s="648" t="s">
        <v>1816</v>
      </c>
      <c r="E18" s="646" t="s">
        <v>1817</v>
      </c>
      <c r="G18" s="90"/>
    </row>
    <row r="19" spans="1:22" ht="10.5" x14ac:dyDescent="0.25">
      <c r="A19" s="645">
        <v>5</v>
      </c>
      <c r="B19" s="644" t="s">
        <v>1803</v>
      </c>
      <c r="C19" s="644" t="s">
        <v>1803</v>
      </c>
      <c r="D19" s="644" t="s">
        <v>1803</v>
      </c>
      <c r="E19" s="644" t="s">
        <v>1803</v>
      </c>
      <c r="G19" s="90"/>
    </row>
    <row r="20" spans="1:22" ht="10.5" x14ac:dyDescent="0.25">
      <c r="A20" s="1325"/>
      <c r="B20" s="1328" t="str">
        <f>C0!B32</f>
        <v/>
      </c>
      <c r="C20" s="649" t="str">
        <f>C0!B33</f>
        <v/>
      </c>
      <c r="D20" s="1328" t="str">
        <f>C0!B34</f>
        <v/>
      </c>
      <c r="E20" s="1328" t="str">
        <f>C0!B35</f>
        <v/>
      </c>
      <c r="G20" s="90"/>
    </row>
    <row r="21" spans="1:22" x14ac:dyDescent="0.2">
      <c r="A21" s="1327">
        <v>1</v>
      </c>
      <c r="B21" s="647" t="str">
        <f>REL&amp;'REL(1)'!C6</f>
        <v>REL1</v>
      </c>
      <c r="C21" s="1324" t="str">
        <f>REL&amp;'REL(1)'!C9</f>
        <v>REL2</v>
      </c>
      <c r="D21" s="1324" t="str">
        <f>REL&amp;'REL(1)'!H6</f>
        <v>REL3</v>
      </c>
      <c r="E21" s="1324" t="str">
        <f>REL&amp;'REL(1)'!H9</f>
        <v>REL4</v>
      </c>
      <c r="U21" s="10"/>
      <c r="V21" s="10"/>
    </row>
    <row r="22" spans="1:22" ht="10.5" x14ac:dyDescent="0.25">
      <c r="A22" s="643" t="s">
        <v>1818</v>
      </c>
      <c r="B22" s="646" t="s">
        <v>1819</v>
      </c>
      <c r="C22" s="646" t="s">
        <v>1820</v>
      </c>
      <c r="D22" s="646" t="s">
        <v>1821</v>
      </c>
      <c r="E22" s="646" t="s">
        <v>1822</v>
      </c>
      <c r="U22" s="10"/>
      <c r="V22" s="10"/>
    </row>
    <row r="23" spans="1:22" ht="10.5" x14ac:dyDescent="0.25">
      <c r="A23" s="645">
        <v>5</v>
      </c>
      <c r="B23" s="644" t="s">
        <v>1803</v>
      </c>
      <c r="C23" s="644" t="s">
        <v>1803</v>
      </c>
      <c r="D23" s="644" t="s">
        <v>1803</v>
      </c>
      <c r="E23" s="644" t="s">
        <v>1803</v>
      </c>
      <c r="U23" s="10"/>
      <c r="V23" s="10"/>
    </row>
    <row r="24" spans="1:22" ht="10.5" x14ac:dyDescent="0.25">
      <c r="A24" s="1325"/>
      <c r="B24" s="1326" t="str">
        <f>IF(C0!B39=0,"",C0!B39)</f>
        <v/>
      </c>
      <c r="C24" s="1326" t="str">
        <f>IF(C0!B41=0,"",C0!B41)</f>
        <v/>
      </c>
      <c r="D24" s="1326" t="str">
        <f>IF(C0!B42=0,"",C0!B42)</f>
        <v/>
      </c>
      <c r="E24" s="1326" t="str">
        <f>IF(C0!B43=0,"",C0!B43)</f>
        <v/>
      </c>
      <c r="U24" s="10"/>
      <c r="V24" s="10"/>
    </row>
    <row r="25" spans="1:22" x14ac:dyDescent="0.2">
      <c r="A25" s="1327">
        <v>1</v>
      </c>
      <c r="B25" s="1324" t="str">
        <f>REL&amp;'REL(1)'!C16</f>
        <v>REL5</v>
      </c>
      <c r="C25" s="1324" t="str">
        <f>REL&amp;'REL(1)'!C22</f>
        <v>REL7</v>
      </c>
      <c r="D25" s="1324" t="str">
        <f>REL&amp;'REL(1)'!H16</f>
        <v>REL8</v>
      </c>
      <c r="E25" s="1324" t="str">
        <f>REL&amp;'REL(1)'!H19</f>
        <v>REL9</v>
      </c>
      <c r="F25" s="1324" t="str">
        <f>REL&amp;'REL(1)'!H22</f>
        <v>REL10</v>
      </c>
      <c r="U25" s="10"/>
      <c r="V25" s="10"/>
    </row>
    <row r="26" spans="1:22" ht="10.5" x14ac:dyDescent="0.25">
      <c r="A26" s="643" t="s">
        <v>1818</v>
      </c>
      <c r="B26" s="646" t="s">
        <v>1823</v>
      </c>
      <c r="C26" s="646" t="s">
        <v>1814</v>
      </c>
      <c r="D26" s="646" t="s">
        <v>1824</v>
      </c>
      <c r="E26" s="646" t="s">
        <v>1825</v>
      </c>
      <c r="F26" s="646" t="s">
        <v>1826</v>
      </c>
      <c r="U26" s="10"/>
      <c r="V26" s="10"/>
    </row>
    <row r="27" spans="1:22" ht="10.5" x14ac:dyDescent="0.25">
      <c r="A27" s="645">
        <v>6</v>
      </c>
      <c r="B27" s="644" t="s">
        <v>1803</v>
      </c>
      <c r="C27" s="644" t="s">
        <v>1803</v>
      </c>
      <c r="D27" s="644" t="s">
        <v>1803</v>
      </c>
      <c r="E27" s="644" t="s">
        <v>1803</v>
      </c>
      <c r="F27" s="644" t="s">
        <v>1803</v>
      </c>
      <c r="U27" s="10"/>
      <c r="V27" s="10"/>
    </row>
    <row r="28" spans="1:22" ht="10.5" x14ac:dyDescent="0.25">
      <c r="A28" s="1325"/>
      <c r="B28" s="1329" t="str">
        <f>IF(C0!B46=0,"",C0!B46)</f>
        <v/>
      </c>
      <c r="C28" s="1329" t="str">
        <f>IF(C0!B48=0,"",C0!B48)</f>
        <v/>
      </c>
      <c r="D28" s="1329" t="str">
        <f>IF(C0!B49=0,"",C0!B49)</f>
        <v/>
      </c>
      <c r="E28" s="1329" t="str">
        <f>IF(C0!B50=0,"",C0!B50)</f>
        <v/>
      </c>
      <c r="F28" s="1329" t="str">
        <f>IF(C0!B51=0,"",C0!B51)</f>
        <v/>
      </c>
      <c r="U28" s="10"/>
      <c r="V28" s="10"/>
    </row>
    <row r="29" spans="1:22" x14ac:dyDescent="0.2">
      <c r="A29" s="1327">
        <v>1</v>
      </c>
      <c r="B29" s="1324" t="str">
        <f>REL&amp;'REL(2)'!C4</f>
        <v>REL13</v>
      </c>
    </row>
    <row r="30" spans="1:22" ht="10.5" x14ac:dyDescent="0.25">
      <c r="A30" s="643" t="s">
        <v>1827</v>
      </c>
      <c r="B30" s="644" t="s">
        <v>1828</v>
      </c>
    </row>
    <row r="31" spans="1:22" ht="10.5" x14ac:dyDescent="0.25">
      <c r="A31" s="645">
        <v>2</v>
      </c>
      <c r="B31" s="644" t="b">
        <v>0</v>
      </c>
    </row>
    <row r="32" spans="1:22" ht="10.5" x14ac:dyDescent="0.25">
      <c r="A32" s="1325"/>
      <c r="B32" s="1326" t="b">
        <f>C0!B54="Y"</f>
        <v>0</v>
      </c>
    </row>
    <row r="33" spans="1:6" x14ac:dyDescent="0.2">
      <c r="A33" s="1327">
        <v>1</v>
      </c>
      <c r="B33" s="1324" t="str">
        <f>SLR&amp;'REL(2)'!C11</f>
        <v>SLR1</v>
      </c>
      <c r="C33" s="1324" t="str">
        <f>SLR&amp;'REL(2)'!C13</f>
        <v>SLRPT</v>
      </c>
      <c r="D33" s="1324" t="str">
        <f>SLR&amp;'REL(2)'!G11</f>
        <v>SLR2</v>
      </c>
      <c r="E33" s="1324" t="str">
        <f>SLR&amp;'REL(2)'!G15</f>
        <v>SLR3</v>
      </c>
      <c r="F33" s="1324" t="str">
        <f>PGLR&amp;'REL(2)'!C17</f>
        <v>PGLRPT</v>
      </c>
    </row>
    <row r="34" spans="1:6" ht="10.5" x14ac:dyDescent="0.25">
      <c r="A34" s="643" t="s">
        <v>1827</v>
      </c>
      <c r="B34" s="644" t="s">
        <v>1829</v>
      </c>
      <c r="C34" s="644" t="s">
        <v>1830</v>
      </c>
      <c r="D34" s="648" t="s">
        <v>1831</v>
      </c>
      <c r="E34" s="648" t="s">
        <v>1832</v>
      </c>
      <c r="F34" s="648" t="s">
        <v>1833</v>
      </c>
    </row>
    <row r="35" spans="1:6" ht="10.5" x14ac:dyDescent="0.25">
      <c r="A35" s="645">
        <v>6</v>
      </c>
      <c r="B35" s="644" t="b">
        <v>0</v>
      </c>
      <c r="C35" s="644">
        <v>3</v>
      </c>
      <c r="D35" s="644" t="s">
        <v>1803</v>
      </c>
      <c r="E35" s="644" t="s">
        <v>1803</v>
      </c>
      <c r="F35" s="644">
        <v>2</v>
      </c>
    </row>
    <row r="36" spans="1:6" ht="10.5" x14ac:dyDescent="0.25">
      <c r="A36" s="1325"/>
      <c r="B36" s="1330" t="b">
        <f>C0!B60="Y"</f>
        <v>0</v>
      </c>
      <c r="C36" s="1330" t="str">
        <f>C0!B61</f>
        <v/>
      </c>
      <c r="D36" s="1329" t="str">
        <f>C0!B63</f>
        <v/>
      </c>
      <c r="E36" s="1329" t="str">
        <f>C0!B64</f>
        <v/>
      </c>
      <c r="F36" s="1329" t="str">
        <f>C0!B62</f>
        <v/>
      </c>
    </row>
    <row r="37" spans="1:6" x14ac:dyDescent="0.2">
      <c r="A37" s="1327">
        <v>1</v>
      </c>
      <c r="B37" s="1324" t="str">
        <f>'REL(2)'!K23&amp;'REL(2)'!C25</f>
        <v>CBC1</v>
      </c>
    </row>
    <row r="38" spans="1:6" ht="10.5" x14ac:dyDescent="0.25">
      <c r="A38" s="643" t="s">
        <v>1827</v>
      </c>
      <c r="B38" s="644" t="s">
        <v>1815</v>
      </c>
    </row>
    <row r="39" spans="1:6" ht="10.5" x14ac:dyDescent="0.25">
      <c r="A39" s="645">
        <v>2</v>
      </c>
      <c r="B39" s="644" t="s">
        <v>1803</v>
      </c>
    </row>
    <row r="40" spans="1:6" ht="10.5" x14ac:dyDescent="0.25">
      <c r="A40" s="1325"/>
      <c r="B40" s="1331" t="str">
        <f>C0!B67</f>
        <v/>
      </c>
    </row>
    <row r="41" spans="1:6" x14ac:dyDescent="0.2">
      <c r="A41" s="1327">
        <v>1</v>
      </c>
      <c r="B41" s="1324" t="s">
        <v>9625</v>
      </c>
    </row>
    <row r="42" spans="1:6" ht="10.5" x14ac:dyDescent="0.25">
      <c r="A42" s="643" t="s">
        <v>1827</v>
      </c>
      <c r="B42" s="644" t="s">
        <v>1834</v>
      </c>
    </row>
    <row r="43" spans="1:6" ht="10.5" x14ac:dyDescent="0.25">
      <c r="A43" s="645">
        <v>2</v>
      </c>
      <c r="B43" s="644" t="s">
        <v>1803</v>
      </c>
    </row>
    <row r="44" spans="1:6" ht="10.5" x14ac:dyDescent="0.25">
      <c r="A44" s="1325"/>
      <c r="B44" s="1331" t="str">
        <f>C0!B72</f>
        <v/>
      </c>
    </row>
    <row r="45" spans="1:6" x14ac:dyDescent="0.2">
      <c r="A45" s="1327">
        <v>1</v>
      </c>
      <c r="B45" s="1324" t="str">
        <f>'REL(2)'!K37&amp;'REL(2)'!C39</f>
        <v>MAT1-5</v>
      </c>
      <c r="C45" s="1324" t="str">
        <f>'REL(2)'!K37&amp;'REL(2)'!C45</f>
        <v>MATM_O</v>
      </c>
      <c r="D45" s="1324" t="str">
        <f>'REL(2)'!K37&amp;'REL(2)'!G45</f>
        <v>MATM_I</v>
      </c>
    </row>
    <row r="46" spans="1:6" ht="10.5" x14ac:dyDescent="0.25">
      <c r="A46" s="643" t="s">
        <v>1827</v>
      </c>
      <c r="B46" s="644" t="s">
        <v>9537</v>
      </c>
      <c r="C46" s="644" t="s">
        <v>9538</v>
      </c>
      <c r="D46" s="644" t="s">
        <v>9539</v>
      </c>
    </row>
    <row r="47" spans="1:6" ht="10.5" x14ac:dyDescent="0.25">
      <c r="A47" s="645">
        <v>4</v>
      </c>
      <c r="B47" s="644" t="b">
        <v>0</v>
      </c>
      <c r="C47" s="644" t="b">
        <v>0</v>
      </c>
      <c r="D47" s="644" t="b">
        <v>0</v>
      </c>
    </row>
    <row r="48" spans="1:6" ht="10.5" x14ac:dyDescent="0.25">
      <c r="A48" s="1325"/>
      <c r="B48" s="1326" t="b">
        <f>C0!B75="Y"</f>
        <v>0</v>
      </c>
      <c r="C48" s="1326" t="b">
        <f>C0!B81="Y"</f>
        <v>0</v>
      </c>
      <c r="D48" s="1326" t="b">
        <f>C0!B82="Y"</f>
        <v>0</v>
      </c>
    </row>
    <row r="49" spans="1:22" ht="10.5" x14ac:dyDescent="0.25">
      <c r="A49" s="1327">
        <v>1</v>
      </c>
      <c r="B49" s="1324" t="str">
        <f>FIN&amp;'REL(2)'!C52</f>
        <v>FIN1</v>
      </c>
      <c r="D49" s="90"/>
      <c r="E49" s="90"/>
      <c r="U49" s="90"/>
      <c r="V49" s="90"/>
    </row>
    <row r="50" spans="1:22" ht="10.5" x14ac:dyDescent="0.25">
      <c r="A50" s="643" t="s">
        <v>1827</v>
      </c>
      <c r="B50" s="648" t="s">
        <v>1835</v>
      </c>
      <c r="D50" s="90"/>
      <c r="E50" s="90"/>
      <c r="U50" s="90"/>
      <c r="V50" s="90"/>
    </row>
    <row r="51" spans="1:22" ht="10.5" x14ac:dyDescent="0.25">
      <c r="A51" s="645">
        <v>2</v>
      </c>
      <c r="B51" s="644" t="s">
        <v>1803</v>
      </c>
      <c r="D51" s="90"/>
      <c r="E51" s="90"/>
      <c r="U51" s="90"/>
      <c r="V51" s="90"/>
    </row>
    <row r="52" spans="1:22" ht="10.5" x14ac:dyDescent="0.25">
      <c r="A52" s="1325"/>
      <c r="B52" s="1329" t="str">
        <f>C0!B85</f>
        <v/>
      </c>
      <c r="D52" s="90"/>
      <c r="E52" s="90"/>
      <c r="U52" s="90"/>
      <c r="V52" s="90"/>
    </row>
    <row r="53" spans="1:22" x14ac:dyDescent="0.2">
      <c r="A53" s="1327">
        <v>1</v>
      </c>
      <c r="B53" s="1324" t="str">
        <f>AOI&amp;AOI!C5</f>
        <v>AOI2</v>
      </c>
      <c r="C53" s="1324" t="str">
        <f>AOI&amp;AOI!G7</f>
        <v>AOI3</v>
      </c>
    </row>
    <row r="54" spans="1:22" ht="10.5" x14ac:dyDescent="0.25">
      <c r="A54" s="643" t="s">
        <v>86</v>
      </c>
      <c r="B54" s="646" t="s">
        <v>1836</v>
      </c>
      <c r="C54" s="644" t="s">
        <v>1810</v>
      </c>
    </row>
    <row r="55" spans="1:22" ht="10.5" x14ac:dyDescent="0.25">
      <c r="A55" s="645">
        <v>3</v>
      </c>
      <c r="B55" s="644" t="s">
        <v>1803</v>
      </c>
      <c r="C55" s="644" t="s">
        <v>1803</v>
      </c>
    </row>
    <row r="56" spans="1:22" ht="10.5" x14ac:dyDescent="0.25">
      <c r="A56" s="1325"/>
      <c r="B56" s="1326" t="str">
        <f>'C1'!B5</f>
        <v/>
      </c>
      <c r="C56" s="1326" t="str">
        <f>'C1'!B6</f>
        <v/>
      </c>
    </row>
    <row r="57" spans="1:22" x14ac:dyDescent="0.2">
      <c r="A57" s="1327">
        <v>1</v>
      </c>
      <c r="B57" s="1324" t="str">
        <f>AOI&amp;AOI!C13</f>
        <v>AOI4</v>
      </c>
      <c r="C57" s="1324" t="str">
        <f>AOI&amp;AOI!C16</f>
        <v>AOI5</v>
      </c>
      <c r="D57" s="1324" t="str">
        <f>AOI&amp;AOI!C19</f>
        <v>AOI6</v>
      </c>
      <c r="E57" s="1324" t="str">
        <f>AOI&amp;AOI!C22</f>
        <v>AOI7</v>
      </c>
      <c r="F57" s="1324" t="str">
        <f>AOI&amp;AOI!G13</f>
        <v>AOI8</v>
      </c>
      <c r="G57" s="1324" t="str">
        <f>AOI&amp;AOI!G16</f>
        <v>AOI9</v>
      </c>
      <c r="H57" s="1324" t="str">
        <f>AOI&amp;AOI!G19</f>
        <v>AOI10</v>
      </c>
      <c r="I57" s="1324" t="str">
        <f>AOI&amp;AOI!G22</f>
        <v>AOI11</v>
      </c>
    </row>
    <row r="58" spans="1:22" ht="10.5" x14ac:dyDescent="0.25">
      <c r="A58" s="643" t="s">
        <v>86</v>
      </c>
      <c r="B58" s="646" t="s">
        <v>1808</v>
      </c>
      <c r="C58" s="644" t="s">
        <v>1823</v>
      </c>
      <c r="D58" s="646" t="s">
        <v>1837</v>
      </c>
      <c r="E58" s="644" t="s">
        <v>1814</v>
      </c>
      <c r="F58" s="644" t="s">
        <v>1812</v>
      </c>
      <c r="G58" s="644" t="s">
        <v>1813</v>
      </c>
      <c r="H58" s="648" t="s">
        <v>1838</v>
      </c>
      <c r="I58" s="644" t="s">
        <v>1817</v>
      </c>
    </row>
    <row r="59" spans="1:22" ht="10.5" x14ac:dyDescent="0.25">
      <c r="A59" s="645">
        <v>9</v>
      </c>
      <c r="B59" s="644" t="s">
        <v>1803</v>
      </c>
      <c r="C59" s="644" t="s">
        <v>1803</v>
      </c>
      <c r="D59" s="644" t="s">
        <v>1803</v>
      </c>
      <c r="E59" s="644" t="s">
        <v>1803</v>
      </c>
      <c r="F59" s="644" t="s">
        <v>1803</v>
      </c>
      <c r="G59" s="644" t="s">
        <v>1803</v>
      </c>
      <c r="H59" s="644" t="s">
        <v>1803</v>
      </c>
      <c r="I59" s="644" t="s">
        <v>1803</v>
      </c>
    </row>
    <row r="60" spans="1:22" ht="10.5" x14ac:dyDescent="0.25">
      <c r="A60" s="1325"/>
      <c r="B60" s="1326" t="str">
        <f>'C1'!B10</f>
        <v/>
      </c>
      <c r="C60" s="1326" t="str">
        <f>'C1'!B11</f>
        <v/>
      </c>
      <c r="D60" s="1326" t="str">
        <f>'C1'!B12</f>
        <v/>
      </c>
      <c r="E60" s="1326" t="str">
        <f>'C1'!B13</f>
        <v/>
      </c>
      <c r="F60" s="1326" t="str">
        <f>'C1'!B14</f>
        <v/>
      </c>
      <c r="G60" s="1326" t="str">
        <f>'C1'!B15</f>
        <v/>
      </c>
      <c r="H60" s="1326" t="str">
        <f>'C1'!B16</f>
        <v/>
      </c>
      <c r="I60" s="1326" t="str">
        <f>'C1'!B17</f>
        <v/>
      </c>
    </row>
    <row r="61" spans="1:22" x14ac:dyDescent="0.2">
      <c r="A61" s="1327">
        <v>1</v>
      </c>
      <c r="B61" s="647" t="str">
        <f>AOI&amp;AOI!C28</f>
        <v>AOI12</v>
      </c>
      <c r="C61" s="647" t="str">
        <f>AOI&amp;AOI!G28</f>
        <v>AOI13</v>
      </c>
      <c r="D61" s="647" t="str">
        <f>AOI&amp;AOI!G31</f>
        <v>AOI13.1</v>
      </c>
    </row>
    <row r="62" spans="1:22" ht="10.5" x14ac:dyDescent="0.25">
      <c r="A62" s="643" t="s">
        <v>86</v>
      </c>
      <c r="B62" s="646" t="s">
        <v>1816</v>
      </c>
      <c r="C62" s="646" t="s">
        <v>1839</v>
      </c>
      <c r="D62" s="646" t="s">
        <v>1840</v>
      </c>
    </row>
    <row r="63" spans="1:22" ht="10.5" x14ac:dyDescent="0.25">
      <c r="A63" s="645">
        <v>4</v>
      </c>
      <c r="B63" s="644" t="s">
        <v>1803</v>
      </c>
      <c r="C63" s="644" t="s">
        <v>1803</v>
      </c>
      <c r="D63" s="644" t="s">
        <v>1803</v>
      </c>
    </row>
    <row r="64" spans="1:22" ht="10.5" x14ac:dyDescent="0.25">
      <c r="A64" s="1325"/>
      <c r="B64" s="1329" t="str">
        <f>'C1'!B21</f>
        <v/>
      </c>
      <c r="C64" s="1326" t="str">
        <f>'C1'!B22</f>
        <v/>
      </c>
      <c r="D64" s="1329" t="str">
        <f>'C1'!B23</f>
        <v/>
      </c>
    </row>
    <row r="65" spans="1:13" x14ac:dyDescent="0.2">
      <c r="A65" s="1327">
        <v>1</v>
      </c>
      <c r="B65" s="1324" t="str">
        <f>ASE&amp;ASE!C5</f>
        <v>ASE1</v>
      </c>
    </row>
    <row r="66" spans="1:13" ht="10.5" x14ac:dyDescent="0.25">
      <c r="A66" s="643" t="s">
        <v>88</v>
      </c>
      <c r="B66" s="646" t="s">
        <v>1836</v>
      </c>
    </row>
    <row r="67" spans="1:13" ht="10.5" x14ac:dyDescent="0.25">
      <c r="A67" s="645">
        <v>2</v>
      </c>
      <c r="B67" s="644" t="s">
        <v>1803</v>
      </c>
    </row>
    <row r="68" spans="1:13" ht="10.5" x14ac:dyDescent="0.25">
      <c r="A68" s="1325"/>
      <c r="B68" s="1326" t="str">
        <f>'C1'!B29</f>
        <v/>
      </c>
    </row>
    <row r="69" spans="1:13" x14ac:dyDescent="0.2">
      <c r="A69" s="1327">
        <v>1</v>
      </c>
      <c r="B69" s="1324" t="str">
        <f>ASE&amp;ASE!C8</f>
        <v>ASE3</v>
      </c>
      <c r="C69" s="1324" t="str">
        <f>ASE&amp;ASE!C11</f>
        <v>ASE4</v>
      </c>
      <c r="D69" s="1324" t="str">
        <f>ASE&amp;ASE!C14</f>
        <v>ASE5</v>
      </c>
      <c r="E69" s="1324" t="str">
        <f>ASE&amp;ASE!C17</f>
        <v>ASE6</v>
      </c>
    </row>
    <row r="70" spans="1:13" ht="10.5" x14ac:dyDescent="0.25">
      <c r="A70" s="643" t="s">
        <v>88</v>
      </c>
      <c r="B70" s="644" t="s">
        <v>1841</v>
      </c>
      <c r="C70" s="644" t="s">
        <v>1842</v>
      </c>
      <c r="D70" s="644" t="s">
        <v>1843</v>
      </c>
      <c r="E70" s="644" t="s">
        <v>1844</v>
      </c>
    </row>
    <row r="71" spans="1:13" ht="10.5" x14ac:dyDescent="0.25">
      <c r="A71" s="645">
        <v>5</v>
      </c>
      <c r="B71" s="644" t="s">
        <v>1803</v>
      </c>
      <c r="C71" s="644" t="s">
        <v>1803</v>
      </c>
      <c r="D71" s="644" t="s">
        <v>1803</v>
      </c>
      <c r="E71" s="644" t="s">
        <v>1803</v>
      </c>
    </row>
    <row r="72" spans="1:13" x14ac:dyDescent="0.2">
      <c r="B72" s="1326" t="str">
        <f>'C1'!B33</f>
        <v/>
      </c>
      <c r="C72" s="1326" t="str">
        <f>'C1'!B34</f>
        <v/>
      </c>
      <c r="D72" s="1326" t="str">
        <f>'C1'!B35</f>
        <v/>
      </c>
      <c r="E72" s="1326" t="str">
        <f>'C1'!B36</f>
        <v/>
      </c>
    </row>
    <row r="73" spans="1:13" x14ac:dyDescent="0.2">
      <c r="A73" s="1327">
        <v>1</v>
      </c>
      <c r="B73" s="1324" t="str">
        <f>ASE&amp;ASE!G11</f>
        <v>ASE11</v>
      </c>
      <c r="C73" s="1324" t="str">
        <f>ASE&amp;ASE!G14</f>
        <v>ASE12</v>
      </c>
      <c r="D73" s="1324" t="str">
        <f>ASE&amp;ASE!G17</f>
        <v>ASE13</v>
      </c>
      <c r="E73" s="1324" t="str">
        <f>ASE&amp;ASE!G20</f>
        <v>ASE15</v>
      </c>
    </row>
    <row r="74" spans="1:13" ht="10.5" x14ac:dyDescent="0.25">
      <c r="A74" s="643" t="s">
        <v>88</v>
      </c>
      <c r="B74" s="644" t="s">
        <v>1831</v>
      </c>
      <c r="C74" s="644" t="s">
        <v>1845</v>
      </c>
      <c r="D74" s="644" t="s">
        <v>1846</v>
      </c>
      <c r="E74" s="644" t="s">
        <v>1847</v>
      </c>
    </row>
    <row r="75" spans="1:13" ht="10.5" x14ac:dyDescent="0.25">
      <c r="A75" s="645">
        <v>5</v>
      </c>
      <c r="B75" s="644" t="s">
        <v>1803</v>
      </c>
      <c r="C75" s="644" t="s">
        <v>1803</v>
      </c>
      <c r="D75" s="644" t="s">
        <v>1803</v>
      </c>
      <c r="E75" s="644" t="s">
        <v>1803</v>
      </c>
    </row>
    <row r="76" spans="1:13" ht="10.5" x14ac:dyDescent="0.25">
      <c r="A76" s="1325"/>
      <c r="B76" s="1326" t="str">
        <f>'C1'!B44</f>
        <v/>
      </c>
      <c r="C76" s="1326" t="str">
        <f>'C1'!B45</f>
        <v/>
      </c>
      <c r="D76" s="1326" t="str">
        <f>'C1'!B46</f>
        <v/>
      </c>
      <c r="E76" s="1326" t="str">
        <f>'C1'!B48</f>
        <v/>
      </c>
    </row>
    <row r="77" spans="1:13" x14ac:dyDescent="0.2">
      <c r="A77" s="1327">
        <v>1</v>
      </c>
      <c r="B77" s="1324" t="str">
        <f>AOR&amp;AOR!C5</f>
        <v>AOR1</v>
      </c>
      <c r="C77" s="1324" t="str">
        <f>AOR&amp;AOR!C8</f>
        <v>AOR2</v>
      </c>
      <c r="D77" s="1324" t="str">
        <f>AOR&amp;AOR!C11</f>
        <v>AOR3</v>
      </c>
      <c r="E77" s="1324" t="str">
        <f>AOR&amp;AOR!C14</f>
        <v>AOR4</v>
      </c>
      <c r="F77" s="1324" t="str">
        <f>AOR&amp;AOR!C17</f>
        <v>AOR5</v>
      </c>
      <c r="G77" s="1324" t="str">
        <f>AOR&amp;AOR!C20</f>
        <v>AOR6</v>
      </c>
      <c r="H77" s="1324" t="str">
        <f>AOR&amp;AOR!C23</f>
        <v>AOR6.1</v>
      </c>
      <c r="I77" s="1324" t="str">
        <f>AOR&amp;AOR!G5</f>
        <v>AOR7</v>
      </c>
      <c r="J77" s="1324" t="str">
        <f>AOR&amp;AOR!G8</f>
        <v>AOR8</v>
      </c>
      <c r="K77" s="1324" t="str">
        <f>AOR&amp;AOR!G11</f>
        <v>AOR9</v>
      </c>
      <c r="L77" s="1324" t="str">
        <f>AOR&amp;AOR!G14</f>
        <v>AOR10</v>
      </c>
      <c r="M77" s="1324" t="str">
        <f>AOR&amp;AOR!G17</f>
        <v>AOR12</v>
      </c>
    </row>
    <row r="78" spans="1:13" ht="10.5" x14ac:dyDescent="0.25">
      <c r="A78" s="643" t="s">
        <v>18</v>
      </c>
      <c r="B78" s="646" t="s">
        <v>1836</v>
      </c>
      <c r="C78" s="646" t="s">
        <v>1841</v>
      </c>
      <c r="D78" s="646" t="s">
        <v>1842</v>
      </c>
      <c r="E78" s="646" t="s">
        <v>1843</v>
      </c>
      <c r="F78" s="646" t="s">
        <v>1844</v>
      </c>
      <c r="G78" s="646" t="s">
        <v>1848</v>
      </c>
      <c r="H78" s="646" t="s">
        <v>1849</v>
      </c>
      <c r="I78" s="646" t="s">
        <v>1850</v>
      </c>
      <c r="J78" s="646" t="s">
        <v>1851</v>
      </c>
      <c r="K78" s="646" t="s">
        <v>1831</v>
      </c>
      <c r="L78" s="646" t="s">
        <v>1845</v>
      </c>
      <c r="M78" s="646" t="s">
        <v>1846</v>
      </c>
    </row>
    <row r="79" spans="1:13" ht="10.5" x14ac:dyDescent="0.25">
      <c r="A79" s="645">
        <v>13</v>
      </c>
      <c r="B79" s="644" t="s">
        <v>1803</v>
      </c>
      <c r="C79" s="644" t="s">
        <v>1803</v>
      </c>
      <c r="D79" s="644" t="s">
        <v>1803</v>
      </c>
      <c r="E79" s="644" t="s">
        <v>1803</v>
      </c>
      <c r="F79" s="644" t="s">
        <v>1803</v>
      </c>
      <c r="G79" s="644" t="s">
        <v>1803</v>
      </c>
      <c r="H79" s="644" t="s">
        <v>1803</v>
      </c>
      <c r="I79" s="644" t="s">
        <v>1803</v>
      </c>
      <c r="J79" s="644" t="s">
        <v>1803</v>
      </c>
      <c r="K79" s="644" t="s">
        <v>1803</v>
      </c>
      <c r="L79" s="644" t="s">
        <v>1803</v>
      </c>
      <c r="M79" s="644" t="s">
        <v>1803</v>
      </c>
    </row>
    <row r="80" spans="1:13" ht="10.5" x14ac:dyDescent="0.25">
      <c r="A80" s="1325"/>
      <c r="B80" s="1326" t="str">
        <f>'C1'!B51</f>
        <v/>
      </c>
      <c r="C80" s="1326" t="str">
        <f>'C1'!B52</f>
        <v/>
      </c>
      <c r="D80" s="1326" t="str">
        <f>'C1'!B53</f>
        <v/>
      </c>
      <c r="E80" s="1326" t="str">
        <f>'C1'!B54</f>
        <v/>
      </c>
      <c r="F80" s="1326" t="str">
        <f>'C1'!B55</f>
        <v/>
      </c>
      <c r="G80" s="1326" t="str">
        <f>'C1'!B56</f>
        <v/>
      </c>
      <c r="H80" s="1326" t="str">
        <f>'C1'!B57</f>
        <v/>
      </c>
      <c r="I80" s="1326" t="str">
        <f>'C1'!B58</f>
        <v/>
      </c>
      <c r="J80" s="1326" t="str">
        <f>'C1'!B59</f>
        <v/>
      </c>
      <c r="K80" s="1326" t="str">
        <f>'C1'!B60</f>
        <v/>
      </c>
      <c r="L80" s="1326" t="str">
        <f>'C1'!B61</f>
        <v/>
      </c>
      <c r="M80" s="1326" t="str">
        <f>'C1'!B62</f>
        <v/>
      </c>
    </row>
    <row r="81" spans="1:17" x14ac:dyDescent="0.2">
      <c r="A81" s="1327">
        <v>1</v>
      </c>
      <c r="B81" s="647" t="str">
        <f>"MCA"&amp;MCA!$C$4</f>
        <v>MCA1</v>
      </c>
      <c r="C81" s="647" t="str">
        <f>"MCA"&amp;MCA!$C$8</f>
        <v>MCA2</v>
      </c>
      <c r="D81" s="647" t="str">
        <f>"MCA"&amp;MCA!$C$12</f>
        <v>MCA3</v>
      </c>
      <c r="E81" s="647" t="str">
        <f>"MCA"&amp;MCA!$C$16</f>
        <v>MCA9</v>
      </c>
    </row>
    <row r="82" spans="1:17" ht="10.5" x14ac:dyDescent="0.25">
      <c r="A82" s="643" t="s">
        <v>19</v>
      </c>
      <c r="B82" s="644" t="s">
        <v>1852</v>
      </c>
      <c r="C82" s="644" t="s">
        <v>1853</v>
      </c>
      <c r="D82" s="644" t="s">
        <v>1854</v>
      </c>
      <c r="E82" s="644" t="s">
        <v>1855</v>
      </c>
    </row>
    <row r="83" spans="1:17" ht="10.5" x14ac:dyDescent="0.25">
      <c r="A83" s="645">
        <v>5</v>
      </c>
      <c r="B83" s="644">
        <v>1</v>
      </c>
      <c r="C83" s="644">
        <v>2</v>
      </c>
      <c r="D83" s="644">
        <v>1</v>
      </c>
      <c r="E83" s="644">
        <v>1</v>
      </c>
    </row>
    <row r="84" spans="1:17" ht="10.5" x14ac:dyDescent="0.25">
      <c r="A84" s="650"/>
      <c r="B84" s="644" t="str">
        <f>IF(MCA_IND&gt;1,HLOOKUP(MCA_IND-1,MCA_CONTROL_RANGE,2),"")</f>
        <v/>
      </c>
      <c r="C84" s="644" t="str">
        <f>IF(MCA_IND&gt;1,HLOOKUP(MCA_IND-1,MCA_CONTROL_RANGE,4),"")</f>
        <v/>
      </c>
      <c r="D84" s="644" t="str">
        <f>IF(MCA_IND&gt;1,HLOOKUP(MCA_IND-1,MCA_CONTROL_RANGE,6),"")</f>
        <v/>
      </c>
      <c r="E84" s="644" t="str">
        <f>IF(MCA_IND&gt;1,HLOOKUP(MCA_IND-1,MCA_CONTROL_RANGE,8),"")</f>
        <v/>
      </c>
    </row>
    <row r="85" spans="1:17" x14ac:dyDescent="0.2">
      <c r="A85" s="1327">
        <v>1</v>
      </c>
      <c r="B85" s="1332" t="str">
        <f>AIL&amp;AIL!C5</f>
        <v>AIL1</v>
      </c>
      <c r="C85" s="1332" t="str">
        <f>AIL&amp;AIL!G5</f>
        <v>AIL6</v>
      </c>
      <c r="D85" s="1324" t="str">
        <f>AIL&amp;AIL!C11</f>
        <v>AIL10</v>
      </c>
      <c r="E85" s="1324" t="str">
        <f>AIL&amp;AIL!C14</f>
        <v>AIL11</v>
      </c>
      <c r="F85" s="1324" t="str">
        <f>AIL&amp;AIL!C17</f>
        <v>AIL11.1</v>
      </c>
      <c r="G85" s="1324" t="str">
        <f>AIL&amp;AIL!C20</f>
        <v>AIL11.2</v>
      </c>
      <c r="H85" s="1324" t="str">
        <f>AIL&amp;AIL!G11</f>
        <v>AIL13</v>
      </c>
      <c r="I85" s="1324" t="str">
        <f>AIL&amp;AIL!G14</f>
        <v>AIL14</v>
      </c>
      <c r="J85" s="1324" t="str">
        <f>AIL&amp;AIL!G17</f>
        <v>AIL15</v>
      </c>
      <c r="K85" s="1324" t="str">
        <f>AIL&amp;AIL!G20</f>
        <v>AIL16</v>
      </c>
      <c r="L85" s="1324" t="str">
        <f>AIL&amp;AIL!G23</f>
        <v>AIL18</v>
      </c>
    </row>
    <row r="86" spans="1:17" ht="10.5" x14ac:dyDescent="0.25">
      <c r="A86" s="643" t="s">
        <v>20</v>
      </c>
      <c r="B86" s="651" t="s">
        <v>1836</v>
      </c>
      <c r="C86" s="651" t="s">
        <v>1850</v>
      </c>
      <c r="D86" s="644" t="s">
        <v>1842</v>
      </c>
      <c r="E86" s="644" t="s">
        <v>1843</v>
      </c>
      <c r="F86" s="644" t="s">
        <v>1844</v>
      </c>
      <c r="G86" s="644" t="s">
        <v>1848</v>
      </c>
      <c r="H86" s="117" t="s">
        <v>1831</v>
      </c>
      <c r="I86" s="644" t="s">
        <v>1845</v>
      </c>
      <c r="J86" s="644" t="s">
        <v>1846</v>
      </c>
      <c r="K86" s="644" t="s">
        <v>1847</v>
      </c>
      <c r="L86" s="644" t="s">
        <v>1856</v>
      </c>
    </row>
    <row r="87" spans="1:17" ht="10.5" x14ac:dyDescent="0.25">
      <c r="A87" s="645">
        <v>12</v>
      </c>
      <c r="B87" s="651" t="s">
        <v>1803</v>
      </c>
      <c r="C87" s="651" t="s">
        <v>1803</v>
      </c>
      <c r="D87" s="644" t="s">
        <v>1803</v>
      </c>
      <c r="E87" s="644" t="s">
        <v>1803</v>
      </c>
      <c r="F87" s="644" t="s">
        <v>1803</v>
      </c>
      <c r="G87" s="644" t="s">
        <v>1803</v>
      </c>
      <c r="H87" s="644" t="s">
        <v>1803</v>
      </c>
      <c r="I87" s="644" t="s">
        <v>1803</v>
      </c>
      <c r="J87" s="644" t="s">
        <v>1803</v>
      </c>
      <c r="K87" s="644" t="s">
        <v>1803</v>
      </c>
      <c r="L87" s="644" t="s">
        <v>1803</v>
      </c>
    </row>
    <row r="88" spans="1:17" ht="10.5" x14ac:dyDescent="0.25">
      <c r="A88" s="650"/>
      <c r="B88" s="651" t="str">
        <f>'C1'!B88</f>
        <v/>
      </c>
      <c r="C88" s="1333" t="str">
        <f>'C1'!B93</f>
        <v/>
      </c>
      <c r="D88" s="1326" t="str">
        <f>'C1'!B94</f>
        <v/>
      </c>
      <c r="E88" s="1326" t="str">
        <f>'C1'!B95</f>
        <v/>
      </c>
      <c r="F88" s="1326" t="str">
        <f>'C1'!B96</f>
        <v/>
      </c>
      <c r="G88" s="1326" t="str">
        <f>'C1'!B97</f>
        <v/>
      </c>
      <c r="H88" s="1326" t="str">
        <f>'C1'!B99</f>
        <v/>
      </c>
      <c r="I88" s="1326" t="str">
        <f>'C1'!B100</f>
        <v/>
      </c>
      <c r="J88" s="1326" t="str">
        <f>'C1'!B101</f>
        <v/>
      </c>
      <c r="K88" s="1326" t="str">
        <f>'C1'!B102</f>
        <v/>
      </c>
      <c r="L88" s="1326" t="str">
        <f>'C1'!B103</f>
        <v/>
      </c>
    </row>
    <row r="89" spans="1:17" x14ac:dyDescent="0.2">
      <c r="A89" s="1327">
        <v>169</v>
      </c>
      <c r="B89" s="1324" t="str">
        <f>EMP&amp;EMP!C4</f>
        <v>EMP1</v>
      </c>
      <c r="C89" s="647" t="str">
        <f>EMP&amp;EMP!G4</f>
        <v>EMP1.1</v>
      </c>
      <c r="D89" s="647" t="str">
        <f>EMP&amp;EMP!C7</f>
        <v>EMP2</v>
      </c>
      <c r="E89" s="1324" t="str">
        <f>EMP&amp;EMP!C10</f>
        <v>EMP3</v>
      </c>
      <c r="F89" s="1324" t="str">
        <f>EMP&amp;EMP!C16</f>
        <v>EMP9</v>
      </c>
      <c r="G89" s="1324" t="str">
        <f>EMP&amp;EMP!C19</f>
        <v>EMP10</v>
      </c>
      <c r="H89" s="1324" t="str">
        <f>EMP&amp;EMP!C22</f>
        <v>EMP11</v>
      </c>
      <c r="I89" s="1324" t="str">
        <f>EMP&amp;EMP!C25</f>
        <v>EMP12</v>
      </c>
      <c r="J89" s="1324" t="str">
        <f>EMP&amp;EMP!G16</f>
        <v>EMP13</v>
      </c>
      <c r="K89" s="1324" t="str">
        <f>EMP&amp;EMP!G19</f>
        <v>EMP14</v>
      </c>
      <c r="L89" s="1324" t="str">
        <f>EMP&amp;EMP!G22</f>
        <v>EMP15</v>
      </c>
      <c r="M89" s="1324" t="str">
        <f>EMP&amp;EMP!G25</f>
        <v>EMP16</v>
      </c>
      <c r="N89" s="1324" t="str">
        <f>EMP&amp;EMP!C30</f>
        <v>EMP17</v>
      </c>
      <c r="O89" s="1324" t="str">
        <f>EMP&amp;EMP!C33</f>
        <v>EMP18</v>
      </c>
      <c r="P89" s="1324" t="str">
        <f>EMP&amp;EMP!G30</f>
        <v>EMP19</v>
      </c>
      <c r="Q89" s="1324" t="str">
        <f>EMP&amp;EMP!G33</f>
        <v>EMP20</v>
      </c>
    </row>
    <row r="90" spans="1:17" ht="10.5" x14ac:dyDescent="0.25">
      <c r="A90" s="643" t="s">
        <v>78</v>
      </c>
      <c r="B90" s="646" t="s">
        <v>1805</v>
      </c>
      <c r="C90" s="648" t="s">
        <v>1809</v>
      </c>
      <c r="D90" s="648" t="s">
        <v>1806</v>
      </c>
      <c r="E90" s="646" t="s">
        <v>1807</v>
      </c>
      <c r="F90" s="646" t="s">
        <v>1823</v>
      </c>
      <c r="G90" s="646" t="s">
        <v>1837</v>
      </c>
      <c r="H90" s="646" t="s">
        <v>1814</v>
      </c>
      <c r="I90" s="646" t="s">
        <v>1815</v>
      </c>
      <c r="J90" s="646" t="s">
        <v>1813</v>
      </c>
      <c r="K90" s="646" t="s">
        <v>1838</v>
      </c>
      <c r="L90" s="646" t="s">
        <v>1817</v>
      </c>
      <c r="M90" s="646" t="s">
        <v>1857</v>
      </c>
      <c r="N90" s="646" t="s">
        <v>1858</v>
      </c>
      <c r="O90" s="646" t="s">
        <v>1859</v>
      </c>
      <c r="P90" s="646" t="s">
        <v>1860</v>
      </c>
      <c r="Q90" s="646" t="s">
        <v>1861</v>
      </c>
    </row>
    <row r="91" spans="1:17" ht="10.5" x14ac:dyDescent="0.25">
      <c r="A91" s="645">
        <v>17</v>
      </c>
      <c r="B91" s="644" t="s">
        <v>1803</v>
      </c>
      <c r="C91" s="644" t="s">
        <v>1803</v>
      </c>
      <c r="D91" s="644" t="s">
        <v>1803</v>
      </c>
      <c r="E91" s="644" t="s">
        <v>1803</v>
      </c>
      <c r="F91" s="644" t="s">
        <v>1803</v>
      </c>
      <c r="G91" s="644" t="s">
        <v>1803</v>
      </c>
      <c r="H91" s="644" t="s">
        <v>1803</v>
      </c>
      <c r="I91" s="644" t="s">
        <v>1803</v>
      </c>
      <c r="J91" s="644" t="s">
        <v>1803</v>
      </c>
      <c r="K91" s="644" t="s">
        <v>1803</v>
      </c>
      <c r="L91" s="644" t="s">
        <v>1803</v>
      </c>
      <c r="M91" s="644" t="s">
        <v>1803</v>
      </c>
      <c r="N91" s="644" t="s">
        <v>1803</v>
      </c>
      <c r="O91" s="644" t="s">
        <v>1803</v>
      </c>
      <c r="P91" s="644" t="s">
        <v>1803</v>
      </c>
      <c r="Q91" s="644" t="s">
        <v>1803</v>
      </c>
    </row>
    <row r="92" spans="1:17" ht="10.5" x14ac:dyDescent="0.25">
      <c r="A92" s="1325"/>
      <c r="B92" s="1328">
        <f>'C2'!B3</f>
        <v>89201</v>
      </c>
      <c r="C92" s="1328" t="str">
        <f>'C2'!B4</f>
        <v/>
      </c>
      <c r="D92" s="1328">
        <f>'C2'!B5</f>
        <v>14056</v>
      </c>
      <c r="E92" s="1328" t="str">
        <f>'C2'!B6</f>
        <v/>
      </c>
      <c r="F92" s="1328" t="str">
        <f>'C2'!B18</f>
        <v/>
      </c>
      <c r="G92" s="1328" t="str">
        <f>'C2'!B19</f>
        <v/>
      </c>
      <c r="H92" s="1328">
        <f>'C2'!B20</f>
        <v>8303</v>
      </c>
      <c r="I92" s="1328" t="str">
        <f>'C2'!B21</f>
        <v/>
      </c>
      <c r="J92" s="1328" t="str">
        <f>'C2'!B22</f>
        <v/>
      </c>
      <c r="K92" s="1328" t="str">
        <f>'C2'!B23</f>
        <v/>
      </c>
      <c r="L92" s="1328" t="str">
        <f>'C2'!B24</f>
        <v/>
      </c>
      <c r="M92" s="1328" t="str">
        <f>'C2'!B25</f>
        <v/>
      </c>
      <c r="N92" s="1328" t="str">
        <f>'C2'!B26</f>
        <v/>
      </c>
      <c r="O92" s="1328" t="str">
        <f>'C2'!B27</f>
        <v/>
      </c>
      <c r="P92" s="1328" t="str">
        <f>'C2'!B28</f>
        <v/>
      </c>
      <c r="Q92" s="1328" t="str">
        <f>'C2'!B29</f>
        <v/>
      </c>
    </row>
    <row r="93" spans="1:17" x14ac:dyDescent="0.2">
      <c r="A93" s="1327">
        <v>1</v>
      </c>
      <c r="B93" s="1324" t="str">
        <f>EMP&amp;EMP!K4</f>
        <v>EMP1</v>
      </c>
      <c r="C93" s="1324" t="str">
        <f>EMP&amp;EMP!O4</f>
        <v>EMP1.1</v>
      </c>
      <c r="D93" s="1324" t="str">
        <f>EMP&amp;EMP!K7</f>
        <v>EMP2</v>
      </c>
      <c r="E93" s="1324" t="str">
        <f>EMP&amp;EMP!K10</f>
        <v>EMP3</v>
      </c>
      <c r="F93" s="1324" t="str">
        <f>EMP&amp;EMP!K16</f>
        <v>EMP9</v>
      </c>
      <c r="G93" s="1324" t="str">
        <f>EMP&amp;EMP!K19</f>
        <v>EMP10</v>
      </c>
      <c r="H93" s="1324" t="str">
        <f>EMP&amp;EMP!K22</f>
        <v>EMP11</v>
      </c>
      <c r="I93" s="1324" t="str">
        <f>EMP&amp;EMP!K25</f>
        <v>EMP12</v>
      </c>
      <c r="J93" s="1324" t="str">
        <f>EMP&amp;EMP!O16</f>
        <v>EMP13</v>
      </c>
      <c r="K93" s="1324" t="str">
        <f>EMP&amp;EMP!O19</f>
        <v>EMP14</v>
      </c>
      <c r="L93" s="1324" t="str">
        <f>EMP&amp;EMP!O22</f>
        <v>EMP15</v>
      </c>
      <c r="M93" s="1324" t="str">
        <f>EMP&amp;EMP!O25</f>
        <v>EMP16</v>
      </c>
      <c r="N93" s="1324" t="str">
        <f>EMP&amp;EMP!K30</f>
        <v>EMP17</v>
      </c>
      <c r="O93" s="1324" t="str">
        <f>EMP&amp;EMP!K33</f>
        <v>EMP18</v>
      </c>
      <c r="P93" s="1324" t="str">
        <f>EMP&amp;EMP!O30</f>
        <v>EMP19</v>
      </c>
      <c r="Q93" s="1324" t="str">
        <f>EMP&amp;EMP!O33</f>
        <v>EMP20</v>
      </c>
    </row>
    <row r="94" spans="1:17" ht="10.5" x14ac:dyDescent="0.25">
      <c r="A94" s="643" t="s">
        <v>78</v>
      </c>
      <c r="B94" s="644" t="s">
        <v>1862</v>
      </c>
      <c r="C94" s="644" t="s">
        <v>1863</v>
      </c>
      <c r="D94" s="644" t="s">
        <v>1864</v>
      </c>
      <c r="E94" s="644" t="s">
        <v>1865</v>
      </c>
      <c r="F94" s="644" t="s">
        <v>1867</v>
      </c>
      <c r="G94" s="644" t="s">
        <v>1868</v>
      </c>
      <c r="H94" s="644" t="s">
        <v>1869</v>
      </c>
      <c r="I94" s="644" t="s">
        <v>1870</v>
      </c>
      <c r="J94" s="644" t="s">
        <v>1871</v>
      </c>
      <c r="K94" s="644" t="s">
        <v>1872</v>
      </c>
      <c r="L94" s="644" t="s">
        <v>1873</v>
      </c>
      <c r="M94" s="644" t="s">
        <v>1874</v>
      </c>
      <c r="N94" s="644" t="s">
        <v>1875</v>
      </c>
      <c r="O94" s="644" t="s">
        <v>1876</v>
      </c>
      <c r="P94" s="644" t="s">
        <v>1877</v>
      </c>
      <c r="Q94" s="644" t="s">
        <v>1878</v>
      </c>
    </row>
    <row r="95" spans="1:17" ht="10.5" x14ac:dyDescent="0.25">
      <c r="A95" s="645">
        <v>17</v>
      </c>
      <c r="B95" s="644" t="s">
        <v>1803</v>
      </c>
      <c r="C95" s="644" t="s">
        <v>1803</v>
      </c>
      <c r="D95" s="644" t="s">
        <v>1803</v>
      </c>
      <c r="E95" s="644" t="s">
        <v>1803</v>
      </c>
      <c r="F95" s="644" t="s">
        <v>1803</v>
      </c>
      <c r="G95" s="644" t="s">
        <v>1803</v>
      </c>
      <c r="H95" s="644" t="s">
        <v>1803</v>
      </c>
      <c r="I95" s="644" t="s">
        <v>1803</v>
      </c>
      <c r="J95" s="644" t="s">
        <v>1803</v>
      </c>
      <c r="K95" s="644" t="s">
        <v>1803</v>
      </c>
      <c r="L95" s="644" t="s">
        <v>1803</v>
      </c>
      <c r="M95" s="644" t="s">
        <v>1803</v>
      </c>
      <c r="N95" s="644" t="s">
        <v>1803</v>
      </c>
      <c r="O95" s="644" t="s">
        <v>1803</v>
      </c>
      <c r="P95" s="644" t="s">
        <v>1803</v>
      </c>
      <c r="Q95" s="644" t="s">
        <v>1803</v>
      </c>
    </row>
    <row r="96" spans="1:17" ht="10.5" x14ac:dyDescent="0.25">
      <c r="A96" s="1325"/>
      <c r="B96" s="1328" t="str">
        <f>'C2'!B32</f>
        <v/>
      </c>
      <c r="C96" s="1328" t="str">
        <f>'C2'!B33</f>
        <v/>
      </c>
      <c r="D96" s="1328" t="str">
        <f>'C2'!B34</f>
        <v/>
      </c>
      <c r="E96" s="1328" t="str">
        <f>'C2'!B35</f>
        <v/>
      </c>
      <c r="F96" s="1328" t="str">
        <f>'C2'!B47</f>
        <v/>
      </c>
      <c r="G96" s="1328" t="str">
        <f>'C2'!B48</f>
        <v/>
      </c>
      <c r="H96" s="1328" t="str">
        <f>'C2'!B49</f>
        <v/>
      </c>
      <c r="I96" s="1328" t="str">
        <f>'C2'!B50</f>
        <v/>
      </c>
      <c r="J96" s="1328" t="str">
        <f>'C2'!B51</f>
        <v/>
      </c>
      <c r="K96" s="1328" t="str">
        <f>'C2'!B52</f>
        <v/>
      </c>
      <c r="L96" s="1328" t="str">
        <f>'C2'!B53</f>
        <v/>
      </c>
      <c r="M96" s="1328" t="str">
        <f>'C2'!B54</f>
        <v/>
      </c>
      <c r="N96" s="1328" t="str">
        <f>'C2'!B55</f>
        <v/>
      </c>
      <c r="O96" s="1328" t="str">
        <f>'C2'!B56</f>
        <v/>
      </c>
      <c r="P96" s="1328" t="str">
        <f>'C2'!B57</f>
        <v/>
      </c>
      <c r="Q96" s="1328" t="str">
        <f>'C2'!B58</f>
        <v/>
      </c>
    </row>
    <row r="97" spans="1:15" x14ac:dyDescent="0.2">
      <c r="A97" s="1327">
        <v>1</v>
      </c>
      <c r="B97" s="1324" t="str">
        <f>MOR&amp;MOR!C8</f>
        <v>MOR2.1</v>
      </c>
      <c r="C97" s="1324" t="str">
        <f>MOR&amp;MOR!C15</f>
        <v>MOR6</v>
      </c>
      <c r="D97" s="1324" t="str">
        <f>MOR&amp;MOR!C19</f>
        <v>MOR38</v>
      </c>
      <c r="E97" s="1324" t="str">
        <f>MOR&amp;MOR!G11</f>
        <v>MOR17</v>
      </c>
      <c r="F97" s="1324" t="str">
        <f>MOR&amp;MOR!G15</f>
        <v>MOR19</v>
      </c>
      <c r="G97" s="1324" t="str">
        <f>MOR&amp;MOR!G19</f>
        <v>MOR39</v>
      </c>
    </row>
    <row r="98" spans="1:15" ht="10.5" x14ac:dyDescent="0.25">
      <c r="A98" s="643" t="s">
        <v>23</v>
      </c>
      <c r="B98" s="646" t="s">
        <v>1841</v>
      </c>
      <c r="C98" s="646" t="s">
        <v>1797</v>
      </c>
      <c r="D98" s="644" t="s">
        <v>1837</v>
      </c>
      <c r="E98" s="644" t="s">
        <v>1831</v>
      </c>
      <c r="F98" s="644" t="s">
        <v>1832</v>
      </c>
      <c r="G98" s="644" t="s">
        <v>1838</v>
      </c>
    </row>
    <row r="99" spans="1:15" ht="10.5" x14ac:dyDescent="0.25">
      <c r="A99" s="645">
        <v>7</v>
      </c>
      <c r="B99" s="644" t="s">
        <v>1803</v>
      </c>
      <c r="C99" s="644" t="s">
        <v>1803</v>
      </c>
      <c r="D99" s="644" t="s">
        <v>1803</v>
      </c>
      <c r="E99" s="644" t="s">
        <v>1803</v>
      </c>
      <c r="F99" s="644" t="s">
        <v>1803</v>
      </c>
      <c r="G99" s="644" t="s">
        <v>1803</v>
      </c>
    </row>
    <row r="100" spans="1:15" ht="10.5" x14ac:dyDescent="0.25">
      <c r="A100" s="650"/>
      <c r="B100" s="648" t="str">
        <f>'C2'!B63</f>
        <v/>
      </c>
      <c r="C100" s="648" t="str">
        <f>'C2'!B68</f>
        <v/>
      </c>
      <c r="D100" s="648" t="str">
        <f>'C2'!B100</f>
        <v/>
      </c>
      <c r="E100" s="648" t="str">
        <f>'C2'!B79</f>
        <v/>
      </c>
      <c r="F100" s="1329" t="str">
        <f>'C2'!B81</f>
        <v/>
      </c>
      <c r="G100" s="1329" t="str">
        <f>'C2'!B101</f>
        <v/>
      </c>
    </row>
    <row r="101" spans="1:15" x14ac:dyDescent="0.2">
      <c r="A101" s="1327">
        <v>169</v>
      </c>
      <c r="B101" s="1334" t="str">
        <f>SSE&amp;SE!C5</f>
        <v>SSE29</v>
      </c>
      <c r="C101" s="1334" t="str">
        <f>SSE&amp;SE!C8</f>
        <v>SSE31</v>
      </c>
      <c r="D101" s="1334" t="str">
        <f>SSE&amp;SE!C11</f>
        <v>SSE33</v>
      </c>
      <c r="E101" s="1335" t="str">
        <f>SSE&amp;SE!C14</f>
        <v>SSE36</v>
      </c>
      <c r="F101" s="1334" t="str">
        <f>SSE&amp;SE!C17</f>
        <v>SSE37</v>
      </c>
      <c r="G101" s="1334" t="str">
        <f>SSE&amp;SE!C20</f>
        <v>SSE38</v>
      </c>
    </row>
    <row r="102" spans="1:15" ht="10.5" x14ac:dyDescent="0.25">
      <c r="A102" s="643" t="s">
        <v>80</v>
      </c>
      <c r="B102" s="646" t="s">
        <v>1836</v>
      </c>
      <c r="C102" s="646" t="s">
        <v>1841</v>
      </c>
      <c r="D102" s="644" t="s">
        <v>1842</v>
      </c>
      <c r="E102" s="644" t="s">
        <v>1868</v>
      </c>
      <c r="F102" s="644" t="s">
        <v>1879</v>
      </c>
      <c r="G102" s="644" t="s">
        <v>1848</v>
      </c>
    </row>
    <row r="103" spans="1:15" ht="10.5" x14ac:dyDescent="0.25">
      <c r="A103" s="645">
        <v>7</v>
      </c>
      <c r="B103" s="644" t="s">
        <v>1803</v>
      </c>
      <c r="C103" s="644" t="s">
        <v>1803</v>
      </c>
      <c r="D103" s="644" t="s">
        <v>1803</v>
      </c>
      <c r="E103" s="644" t="b">
        <v>0</v>
      </c>
      <c r="F103" s="644" t="b">
        <v>0</v>
      </c>
      <c r="G103" s="644" t="s">
        <v>1803</v>
      </c>
    </row>
    <row r="104" spans="1:15" ht="10.5" x14ac:dyDescent="0.25">
      <c r="A104" s="650"/>
      <c r="B104" s="644" t="str">
        <f>'C3'!B37</f>
        <v/>
      </c>
      <c r="C104" s="644">
        <f>'C3'!B39</f>
        <v>0</v>
      </c>
      <c r="D104" s="644">
        <f>'C3'!B41</f>
        <v>53827</v>
      </c>
      <c r="E104" s="644" t="b">
        <f>'C3'!B44="Y"</f>
        <v>0</v>
      </c>
      <c r="F104" s="644" t="b">
        <f>'C3'!B45="Y"</f>
        <v>0</v>
      </c>
      <c r="G104" s="644" t="str">
        <f>'C3'!B46</f>
        <v/>
      </c>
    </row>
    <row r="105" spans="1:15" x14ac:dyDescent="0.2">
      <c r="A105" s="1327">
        <v>1</v>
      </c>
      <c r="B105" s="1324" t="str">
        <f>FSE&amp;SE!G5</f>
        <v>FSE73.3</v>
      </c>
      <c r="C105" s="1324" t="str">
        <f>FSE&amp;SE!G8</f>
        <v>FSE73.4</v>
      </c>
      <c r="D105" s="1324" t="str">
        <f>FSE&amp;SE!G11</f>
        <v>FSE74</v>
      </c>
      <c r="E105" s="1324" t="str">
        <f>FSE&amp;SE!G14</f>
        <v>FSE76</v>
      </c>
      <c r="F105" s="1336" t="str">
        <f>FSE&amp;SE!G17</f>
        <v>FSE76.1</v>
      </c>
      <c r="G105" s="1324" t="str">
        <f>FSE&amp;SE!G20</f>
        <v>FSE78</v>
      </c>
      <c r="H105" s="1324" t="str">
        <f>FSE&amp;SE!G23</f>
        <v>FSE81</v>
      </c>
      <c r="I105" s="1324" t="str">
        <f>FSE&amp;SE!G26</f>
        <v>FSE82</v>
      </c>
      <c r="J105" s="1324" t="str">
        <f>FSE&amp;SE!G29</f>
        <v>FSE100</v>
      </c>
      <c r="K105" s="1324" t="str">
        <f>FSE&amp;SE!G32</f>
        <v>FSE101</v>
      </c>
      <c r="L105" s="1324" t="str">
        <f>FSE&amp;SE!G35</f>
        <v>FSE102</v>
      </c>
    </row>
    <row r="106" spans="1:15" ht="10.5" x14ac:dyDescent="0.25">
      <c r="A106" s="643" t="s">
        <v>80</v>
      </c>
      <c r="B106" s="644" t="s">
        <v>1850</v>
      </c>
      <c r="C106" s="644" t="s">
        <v>1851</v>
      </c>
      <c r="D106" s="644" t="s">
        <v>1831</v>
      </c>
      <c r="E106" s="644" t="s">
        <v>1845</v>
      </c>
      <c r="F106" s="1050" t="s">
        <v>1846</v>
      </c>
      <c r="G106" s="644" t="s">
        <v>1847</v>
      </c>
      <c r="H106" s="644" t="s">
        <v>1856</v>
      </c>
      <c r="I106" s="644" t="s">
        <v>1880</v>
      </c>
      <c r="J106" s="644" t="s">
        <v>1881</v>
      </c>
      <c r="K106" s="644" t="s">
        <v>1882</v>
      </c>
      <c r="L106" s="644" t="s">
        <v>1883</v>
      </c>
    </row>
    <row r="107" spans="1:15" ht="10.5" x14ac:dyDescent="0.25">
      <c r="A107" s="645">
        <v>12</v>
      </c>
      <c r="B107" s="644" t="s">
        <v>1803</v>
      </c>
      <c r="C107" s="644" t="s">
        <v>1803</v>
      </c>
      <c r="D107" s="644" t="s">
        <v>1803</v>
      </c>
      <c r="E107" s="644" t="s">
        <v>1803</v>
      </c>
      <c r="F107" s="1050" t="s">
        <v>1803</v>
      </c>
      <c r="G107" s="644" t="s">
        <v>1803</v>
      </c>
      <c r="H107" s="644" t="s">
        <v>1803</v>
      </c>
      <c r="I107" s="644" t="s">
        <v>1803</v>
      </c>
      <c r="J107" s="644" t="b">
        <v>0</v>
      </c>
      <c r="K107" s="644" t="b">
        <v>0</v>
      </c>
      <c r="L107" s="644" t="s">
        <v>1803</v>
      </c>
    </row>
    <row r="108" spans="1:15" ht="10.5" x14ac:dyDescent="0.25">
      <c r="A108" s="1325"/>
      <c r="B108" s="1326" t="str">
        <f>'C3'!B122</f>
        <v/>
      </c>
      <c r="C108" s="1326" t="str">
        <f>'C3'!B123</f>
        <v/>
      </c>
      <c r="D108" s="1326" t="str">
        <f>'C3'!B124</f>
        <v/>
      </c>
      <c r="E108" s="1326" t="str">
        <f>'C3'!B126</f>
        <v/>
      </c>
      <c r="F108" s="1337" t="str">
        <f>'C3'!B127</f>
        <v/>
      </c>
      <c r="G108" s="1326" t="str">
        <f>'C3'!B130</f>
        <v/>
      </c>
      <c r="H108" s="1326" t="str">
        <f>'C3'!B133</f>
        <v/>
      </c>
      <c r="I108" s="1326" t="str">
        <f>'C3'!B134</f>
        <v/>
      </c>
      <c r="J108" s="1326" t="b">
        <f>'C3'!B152="Y"</f>
        <v>0</v>
      </c>
      <c r="K108" s="644" t="b">
        <f>'C3'!B153="Y"</f>
        <v>0</v>
      </c>
      <c r="L108" s="644" t="str">
        <f>'C3'!B154</f>
        <v/>
      </c>
    </row>
    <row r="109" spans="1:15" x14ac:dyDescent="0.2">
      <c r="A109" s="1327">
        <v>1</v>
      </c>
      <c r="B109" s="1324" t="str">
        <f>LUN&amp;LUN!C4</f>
        <v>LUN4</v>
      </c>
      <c r="C109" s="1324" t="str">
        <f>LUN&amp;LUN!C7</f>
        <v>LUN6</v>
      </c>
      <c r="D109" s="1324" t="str">
        <f>LUN&amp;LUN!C13</f>
        <v>LUN8</v>
      </c>
      <c r="E109" s="1324" t="str">
        <f>LUN&amp;LUN!C16</f>
        <v>LUN9</v>
      </c>
      <c r="F109" s="1324" t="str">
        <f>LUN&amp;LUN!G4</f>
        <v>LUN14</v>
      </c>
      <c r="G109" s="1324" t="str">
        <f>LUN&amp;LUN!G7</f>
        <v>LUN15</v>
      </c>
      <c r="H109" s="1324" t="str">
        <f>LUN&amp;LUN!G10</f>
        <v>LUN16</v>
      </c>
      <c r="I109" s="1324" t="str">
        <f>LUN&amp;LUN!G13</f>
        <v>LUN17</v>
      </c>
      <c r="J109" s="1338" t="str">
        <f>LUN&amp;LUN!K4</f>
        <v>LUN51</v>
      </c>
      <c r="K109" s="1324" t="str">
        <f>LUN&amp;LUN!K7</f>
        <v>LUN52</v>
      </c>
      <c r="L109" s="1324" t="str">
        <f>LUN&amp;LUN!K10</f>
        <v>LUN56</v>
      </c>
      <c r="M109" s="1338" t="str">
        <f>LUN&amp;LUN!K13</f>
        <v>LUN63</v>
      </c>
      <c r="N109" s="1324" t="str">
        <f>LUN&amp;LUN!K16</f>
        <v>LUN64</v>
      </c>
      <c r="O109" s="1324" t="str">
        <f>LUN&amp;LUN!K19</f>
        <v>LUN65</v>
      </c>
    </row>
    <row r="110" spans="1:15" ht="10.5" x14ac:dyDescent="0.25">
      <c r="A110" s="643" t="s">
        <v>26</v>
      </c>
      <c r="B110" s="648" t="s">
        <v>1805</v>
      </c>
      <c r="C110" s="646" t="s">
        <v>1806</v>
      </c>
      <c r="D110" s="646" t="s">
        <v>1808</v>
      </c>
      <c r="E110" s="646" t="s">
        <v>1823</v>
      </c>
      <c r="F110" s="648" t="s">
        <v>1809</v>
      </c>
      <c r="G110" s="648" t="s">
        <v>1810</v>
      </c>
      <c r="H110" s="648" t="s">
        <v>1811</v>
      </c>
      <c r="I110" s="648" t="s">
        <v>1812</v>
      </c>
      <c r="J110" s="644" t="s">
        <v>1862</v>
      </c>
      <c r="K110" s="646" t="s">
        <v>1864</v>
      </c>
      <c r="L110" s="644" t="s">
        <v>1865</v>
      </c>
      <c r="M110" s="644" t="s">
        <v>1884</v>
      </c>
      <c r="N110" s="644" t="s">
        <v>1872</v>
      </c>
      <c r="O110" s="644" t="s">
        <v>1868</v>
      </c>
    </row>
    <row r="111" spans="1:15" ht="10.5" x14ac:dyDescent="0.25">
      <c r="A111" s="645">
        <v>15</v>
      </c>
      <c r="B111" s="644" t="s">
        <v>1803</v>
      </c>
      <c r="C111" s="644" t="s">
        <v>1803</v>
      </c>
      <c r="D111" s="644" t="s">
        <v>1803</v>
      </c>
      <c r="E111" s="644" t="s">
        <v>1803</v>
      </c>
      <c r="F111" s="644" t="s">
        <v>1803</v>
      </c>
      <c r="G111" s="644" t="s">
        <v>1803</v>
      </c>
      <c r="H111" s="644" t="s">
        <v>1803</v>
      </c>
      <c r="I111" s="644" t="s">
        <v>1803</v>
      </c>
      <c r="J111" s="644" t="s">
        <v>1803</v>
      </c>
      <c r="K111" s="644" t="s">
        <v>1803</v>
      </c>
      <c r="L111" s="644" t="s">
        <v>1803</v>
      </c>
      <c r="M111" s="644" t="b">
        <v>0</v>
      </c>
      <c r="N111" s="644" t="b">
        <v>0</v>
      </c>
      <c r="O111" s="644" t="s">
        <v>1803</v>
      </c>
    </row>
    <row r="112" spans="1:15" ht="10.5" x14ac:dyDescent="0.25">
      <c r="A112" s="650"/>
      <c r="B112" s="644" t="str">
        <f>'C3'!B161</f>
        <v/>
      </c>
      <c r="C112" s="644" t="str">
        <f>'C3'!B163</f>
        <v/>
      </c>
      <c r="D112" s="644" t="str">
        <f>'C3'!B164</f>
        <v/>
      </c>
      <c r="E112" s="644" t="str">
        <f>'C3'!B165</f>
        <v/>
      </c>
      <c r="F112" s="644" t="str">
        <f>'C3'!B169</f>
        <v/>
      </c>
      <c r="G112" s="1326" t="str">
        <f>'C3'!B170</f>
        <v/>
      </c>
      <c r="H112" s="1326" t="str">
        <f>'C3'!B171</f>
        <v/>
      </c>
      <c r="I112" s="1326" t="str">
        <f>'C3'!B172</f>
        <v/>
      </c>
      <c r="J112" s="1326" t="str">
        <f>'C3'!B205</f>
        <v/>
      </c>
      <c r="K112" s="1326" t="str">
        <f>'C3'!B206</f>
        <v/>
      </c>
      <c r="L112" s="1326" t="str">
        <f>'C3'!B210</f>
        <v/>
      </c>
      <c r="M112" s="1326" t="b">
        <f>'C3'!B217="Y"</f>
        <v>0</v>
      </c>
      <c r="N112" s="1326" t="b">
        <f>'C3'!B218="Y"</f>
        <v>0</v>
      </c>
      <c r="O112" s="1328" t="str">
        <f>'C3'!B219</f>
        <v/>
      </c>
    </row>
    <row r="113" spans="1:31" x14ac:dyDescent="0.2">
      <c r="A113" s="1327">
        <v>169</v>
      </c>
      <c r="B113" s="1324" t="str">
        <f>SPS&amp;PS!C4</f>
        <v>SPS17</v>
      </c>
      <c r="C113" s="1324" t="str">
        <f>SPS&amp;PS!C7</f>
        <v>SPS20</v>
      </c>
      <c r="D113" s="1324" t="str">
        <f>SPS&amp;PS!C10</f>
        <v>SPS22</v>
      </c>
      <c r="E113" s="1324" t="str">
        <f>SPS&amp;PS!C13</f>
        <v>SPS25</v>
      </c>
      <c r="F113" s="1334" t="str">
        <f>SPS&amp;PS!C16</f>
        <v>SPS26</v>
      </c>
      <c r="G113" s="1324" t="str">
        <f>SPS&amp;PS!C19</f>
        <v>SPS27</v>
      </c>
      <c r="H113" s="1324" t="str">
        <f>SPS&amp;PS!C22</f>
        <v>SPS28</v>
      </c>
      <c r="I113" s="647" t="str">
        <f>SPS&amp;PS!C25</f>
        <v>SPS30</v>
      </c>
      <c r="J113" s="647" t="str">
        <f>SPS&amp;PS!C28</f>
        <v>SPS31</v>
      </c>
    </row>
    <row r="114" spans="1:31" ht="10.5" x14ac:dyDescent="0.25">
      <c r="A114" s="643" t="s">
        <v>82</v>
      </c>
      <c r="B114" s="644" t="s">
        <v>1805</v>
      </c>
      <c r="C114" s="644" t="s">
        <v>1806</v>
      </c>
      <c r="D114" s="644" t="s">
        <v>1807</v>
      </c>
      <c r="E114" s="644" t="s">
        <v>1885</v>
      </c>
      <c r="F114" s="644" t="s">
        <v>1886</v>
      </c>
      <c r="G114" s="644" t="s">
        <v>1837</v>
      </c>
      <c r="H114" s="644" t="s">
        <v>1814</v>
      </c>
      <c r="I114" s="644" t="s">
        <v>1815</v>
      </c>
      <c r="J114" s="644" t="s">
        <v>1816</v>
      </c>
    </row>
    <row r="115" spans="1:31" ht="10.5" x14ac:dyDescent="0.25">
      <c r="A115" s="645">
        <v>10</v>
      </c>
      <c r="B115" s="644" t="s">
        <v>1803</v>
      </c>
      <c r="C115" s="644" t="s">
        <v>1803</v>
      </c>
      <c r="D115" s="644" t="s">
        <v>1803</v>
      </c>
      <c r="E115" s="644" t="b">
        <v>0</v>
      </c>
      <c r="F115" s="644" t="b">
        <v>0</v>
      </c>
      <c r="G115" s="644" t="s">
        <v>1803</v>
      </c>
      <c r="H115" s="644" t="s">
        <v>1803</v>
      </c>
      <c r="I115" s="644" t="s">
        <v>1803</v>
      </c>
      <c r="J115" s="644" t="s">
        <v>1803</v>
      </c>
    </row>
    <row r="116" spans="1:31" ht="10.5" x14ac:dyDescent="0.25">
      <c r="A116" s="650"/>
      <c r="B116" s="1326" t="str">
        <f>'C4'!B15</f>
        <v/>
      </c>
      <c r="C116" s="1326" t="str">
        <f>'C4'!B18</f>
        <v/>
      </c>
      <c r="D116" s="1326">
        <f>'C4'!B20</f>
        <v>1844</v>
      </c>
      <c r="E116" s="1326" t="b">
        <f>'C4'!B23="Y"</f>
        <v>0</v>
      </c>
      <c r="F116" s="644" t="b">
        <f>'C4'!B24="Y"</f>
        <v>0</v>
      </c>
      <c r="G116" s="1326" t="str">
        <f>'C4'!B25</f>
        <v/>
      </c>
      <c r="H116" s="1326" t="str">
        <f>'C4'!B26</f>
        <v/>
      </c>
      <c r="I116" s="1326" t="str">
        <f>'C4'!B27</f>
        <v/>
      </c>
      <c r="J116" s="1326" t="str">
        <f>'C4'!B28</f>
        <v/>
      </c>
    </row>
    <row r="117" spans="1:31" x14ac:dyDescent="0.2">
      <c r="A117" s="1327">
        <v>1</v>
      </c>
      <c r="B117" s="1324" t="str">
        <f>FPS&amp;PS!G4</f>
        <v>FPS16.3</v>
      </c>
      <c r="C117" s="1324" t="str">
        <f>FPS&amp;PS!G7</f>
        <v>FPS16.4</v>
      </c>
      <c r="D117" s="1324" t="str">
        <f>FPS&amp;PS!J4</f>
        <v>FPS17</v>
      </c>
      <c r="E117" s="1324" t="str">
        <f>FPS&amp;PS!J7</f>
        <v>FPS20</v>
      </c>
      <c r="F117" s="1324" t="str">
        <f>FPS&amp;PS!G11</f>
        <v>FPS22</v>
      </c>
      <c r="G117" s="1334" t="str">
        <f>FPS&amp;PS!G14</f>
        <v>FPS25</v>
      </c>
      <c r="H117" s="1334" t="str">
        <f>FPS&amp;PS!J14</f>
        <v>FPS26</v>
      </c>
      <c r="I117" s="1324" t="str">
        <f>FPS&amp;PS!M14</f>
        <v>FPS27</v>
      </c>
      <c r="J117" s="1324" t="str">
        <f>FPS&amp;PS!G17</f>
        <v>FPS35</v>
      </c>
      <c r="K117" s="1336" t="str">
        <f>FPS&amp;PS!J17</f>
        <v>FPS35.1</v>
      </c>
      <c r="L117" s="1324" t="str">
        <f>FPS&amp;PS!G20</f>
        <v>FPS38</v>
      </c>
      <c r="M117" s="1324" t="str">
        <f>FPS&amp;PS!J20</f>
        <v>FPS39</v>
      </c>
      <c r="N117" s="1324" t="s">
        <v>1887</v>
      </c>
      <c r="O117" s="1324" t="s">
        <v>1888</v>
      </c>
      <c r="P117" s="1324" t="s">
        <v>1889</v>
      </c>
      <c r="Q117" s="1334" t="str">
        <f>FPS&amp;PS!G29</f>
        <v>FPS47</v>
      </c>
      <c r="R117" s="1334" t="str">
        <f>FPS&amp;PS!G32</f>
        <v>FPS58</v>
      </c>
      <c r="S117" s="1324" t="s">
        <v>1890</v>
      </c>
      <c r="T117" s="1324" t="s">
        <v>1891</v>
      </c>
      <c r="U117" s="1324" t="s">
        <v>1892</v>
      </c>
      <c r="V117" s="1324" t="str">
        <f>FPS&amp;PS!G42</f>
        <v>FPS70</v>
      </c>
      <c r="W117" s="1336" t="str">
        <f>FPS&amp;PS!J42</f>
        <v>FPS70.1</v>
      </c>
      <c r="X117" s="1324" t="str">
        <f>FPS&amp;PS!J52</f>
        <v>FPS73</v>
      </c>
      <c r="Y117" s="1324" t="str">
        <f>FPS&amp;PS!G45</f>
        <v>FPS76</v>
      </c>
      <c r="Z117" s="1336" t="str">
        <f>FPS&amp;PS!G48</f>
        <v>FPS76.1</v>
      </c>
      <c r="AA117" s="1324" t="str">
        <f>FPS&amp;PS!G52</f>
        <v>FPS77</v>
      </c>
      <c r="AB117" s="1324" t="str">
        <f>FPS&amp;PS!G55</f>
        <v>FPS78</v>
      </c>
      <c r="AC117" s="1324" t="str">
        <f>FPS&amp;PS!J55</f>
        <v>FPS79</v>
      </c>
      <c r="AD117" s="1324" t="str">
        <f>FPS&amp;PS!M26</f>
        <v>FPSAF1</v>
      </c>
      <c r="AE117" s="1324" t="str">
        <f>FPS&amp;PS!M38</f>
        <v>FPSAF2</v>
      </c>
    </row>
    <row r="118" spans="1:31" ht="10.5" x14ac:dyDescent="0.25">
      <c r="A118" s="643" t="s">
        <v>82</v>
      </c>
      <c r="B118" s="644" t="s">
        <v>1809</v>
      </c>
      <c r="C118" s="644" t="s">
        <v>1810</v>
      </c>
      <c r="D118" s="644" t="s">
        <v>1893</v>
      </c>
      <c r="E118" s="644" t="s">
        <v>1894</v>
      </c>
      <c r="F118" s="644" t="s">
        <v>1831</v>
      </c>
      <c r="G118" s="644" t="s">
        <v>1895</v>
      </c>
      <c r="H118" s="644" t="s">
        <v>1896</v>
      </c>
      <c r="I118" s="644" t="s">
        <v>1897</v>
      </c>
      <c r="J118" s="646" t="s">
        <v>1846</v>
      </c>
      <c r="K118" s="1051" t="s">
        <v>1898</v>
      </c>
      <c r="L118" s="644" t="s">
        <v>1847</v>
      </c>
      <c r="M118" s="646" t="s">
        <v>1899</v>
      </c>
      <c r="N118" s="646" t="s">
        <v>1856</v>
      </c>
      <c r="O118" s="646" t="s">
        <v>1900</v>
      </c>
      <c r="P118" s="646" t="s">
        <v>1901</v>
      </c>
      <c r="Q118" s="644" t="s">
        <v>1902</v>
      </c>
      <c r="R118" s="644" t="s">
        <v>1903</v>
      </c>
      <c r="S118" s="646" t="s">
        <v>1883</v>
      </c>
      <c r="T118" s="646" t="s">
        <v>1904</v>
      </c>
      <c r="U118" s="646" t="s">
        <v>1905</v>
      </c>
      <c r="V118" s="646" t="s">
        <v>1906</v>
      </c>
      <c r="W118" s="1051" t="s">
        <v>1907</v>
      </c>
      <c r="X118" s="646" t="s">
        <v>1908</v>
      </c>
      <c r="Y118" s="648" t="s">
        <v>1909</v>
      </c>
      <c r="Z118" s="1051" t="s">
        <v>1910</v>
      </c>
      <c r="AA118" s="648" t="s">
        <v>1911</v>
      </c>
      <c r="AB118" s="648" t="s">
        <v>1912</v>
      </c>
      <c r="AC118" s="646" t="s">
        <v>1913</v>
      </c>
      <c r="AD118" s="646" t="s">
        <v>1914</v>
      </c>
      <c r="AE118" s="646" t="s">
        <v>1915</v>
      </c>
    </row>
    <row r="119" spans="1:31" ht="10.5" x14ac:dyDescent="0.25">
      <c r="A119" s="645">
        <v>31</v>
      </c>
      <c r="B119" s="644" t="s">
        <v>1803</v>
      </c>
      <c r="C119" s="644" t="s">
        <v>1803</v>
      </c>
      <c r="D119" s="644" t="s">
        <v>1803</v>
      </c>
      <c r="E119" s="644" t="s">
        <v>1803</v>
      </c>
      <c r="F119" s="644" t="s">
        <v>1803</v>
      </c>
      <c r="G119" s="644" t="b">
        <v>0</v>
      </c>
      <c r="H119" s="644" t="b">
        <v>0</v>
      </c>
      <c r="I119" s="644" t="s">
        <v>1803</v>
      </c>
      <c r="J119" s="644" t="s">
        <v>1803</v>
      </c>
      <c r="K119" s="1050" t="s">
        <v>1803</v>
      </c>
      <c r="L119" s="644" t="s">
        <v>1803</v>
      </c>
      <c r="M119" s="644" t="s">
        <v>1803</v>
      </c>
      <c r="N119" s="644" t="s">
        <v>1803</v>
      </c>
      <c r="O119" s="644" t="s">
        <v>1803</v>
      </c>
      <c r="P119" s="644" t="s">
        <v>1803</v>
      </c>
      <c r="Q119" s="644" t="s">
        <v>1803</v>
      </c>
      <c r="R119" s="644" t="s">
        <v>1803</v>
      </c>
      <c r="S119" s="644" t="s">
        <v>1803</v>
      </c>
      <c r="T119" s="644" t="s">
        <v>1803</v>
      </c>
      <c r="U119" s="644" t="s">
        <v>1803</v>
      </c>
      <c r="V119" s="644" t="s">
        <v>1803</v>
      </c>
      <c r="W119" s="1050" t="s">
        <v>1803</v>
      </c>
      <c r="X119" s="644" t="s">
        <v>1803</v>
      </c>
      <c r="Y119" s="644" t="s">
        <v>1803</v>
      </c>
      <c r="Z119" s="1050" t="s">
        <v>1803</v>
      </c>
      <c r="AA119" s="644" t="s">
        <v>1803</v>
      </c>
      <c r="AB119" s="644" t="s">
        <v>1803</v>
      </c>
      <c r="AC119" s="644" t="s">
        <v>1803</v>
      </c>
      <c r="AD119" s="644" t="s">
        <v>1803</v>
      </c>
      <c r="AE119" s="644" t="s">
        <v>1803</v>
      </c>
    </row>
    <row r="120" spans="1:31" ht="10.5" x14ac:dyDescent="0.25">
      <c r="A120" s="650"/>
      <c r="B120" s="1326" t="str">
        <f>'C4'!B44</f>
        <v/>
      </c>
      <c r="C120" s="1326" t="str">
        <f>'C4'!B45</f>
        <v/>
      </c>
      <c r="D120" s="1339" t="str">
        <f>'C4'!B46</f>
        <v/>
      </c>
      <c r="E120" s="1326" t="str">
        <f>'C4'!B49</f>
        <v/>
      </c>
      <c r="F120" s="1326" t="str">
        <f>'C4'!B53</f>
        <v/>
      </c>
      <c r="G120" s="1326" t="b">
        <f>'C4'!B56="Y"</f>
        <v>0</v>
      </c>
      <c r="H120" s="1326" t="b">
        <f>'C4'!B57="Y"</f>
        <v>0</v>
      </c>
      <c r="I120" s="1326" t="str">
        <f>'C4'!B58</f>
        <v/>
      </c>
      <c r="J120" s="1326" t="str">
        <f>'C4'!B66</f>
        <v/>
      </c>
      <c r="K120" s="1340" t="str">
        <f>'C4'!B67</f>
        <v/>
      </c>
      <c r="L120" s="1326" t="str">
        <f>'C4'!B70</f>
        <v/>
      </c>
      <c r="M120" s="1326" t="str">
        <f>'C4'!B71</f>
        <v/>
      </c>
      <c r="N120" s="644" t="str">
        <f>'C4'!B73</f>
        <v/>
      </c>
      <c r="O120" s="1326" t="str">
        <f>'C4'!B74</f>
        <v/>
      </c>
      <c r="P120" s="1326" t="str">
        <f>'C4'!B75</f>
        <v/>
      </c>
      <c r="Q120" s="1326" t="str">
        <f>'C4'!B82</f>
        <v/>
      </c>
      <c r="R120" s="1326" t="str">
        <f>'C4'!B94</f>
        <v/>
      </c>
      <c r="S120" s="1326" t="str">
        <f>'C4'!B96</f>
        <v/>
      </c>
      <c r="T120" s="1326" t="str">
        <f>'C4'!B101</f>
        <v/>
      </c>
      <c r="U120" s="1326" t="str">
        <f>'C4'!B102</f>
        <v/>
      </c>
      <c r="V120" s="1326" t="str">
        <f>'C4'!B107</f>
        <v/>
      </c>
      <c r="W120" s="1340" t="str">
        <f>'C4'!B108</f>
        <v/>
      </c>
      <c r="X120" s="1326" t="str">
        <f>'C4'!B111</f>
        <v/>
      </c>
      <c r="Y120" s="1328" t="str">
        <f>'C4'!B115</f>
        <v/>
      </c>
      <c r="Z120" s="1340" t="str">
        <f>'C4'!B116</f>
        <v/>
      </c>
      <c r="AA120" s="1328" t="str">
        <f>'C4'!B117</f>
        <v/>
      </c>
      <c r="AB120" s="1328" t="str">
        <f>'C4'!B118</f>
        <v/>
      </c>
      <c r="AC120" s="1328" t="str">
        <f>'C4'!B119</f>
        <v/>
      </c>
      <c r="AD120" s="1341" t="str">
        <f>'C4'!B76</f>
        <v/>
      </c>
      <c r="AE120" s="1341" t="str">
        <f>'C4'!B103</f>
        <v/>
      </c>
    </row>
    <row r="121" spans="1:31" x14ac:dyDescent="0.2">
      <c r="A121" s="1327">
        <v>1</v>
      </c>
      <c r="B121" s="1324" t="s">
        <v>1916</v>
      </c>
      <c r="C121" s="1324" t="s">
        <v>1917</v>
      </c>
      <c r="D121" s="1324" t="s">
        <v>1918</v>
      </c>
      <c r="F121" s="1342"/>
      <c r="G121" s="1342"/>
      <c r="H121" s="1342"/>
      <c r="I121" s="1342"/>
      <c r="J121" s="1342"/>
      <c r="K121" s="1342"/>
      <c r="L121" s="1342"/>
      <c r="M121" s="1342"/>
      <c r="N121" s="1342"/>
      <c r="O121" s="10"/>
      <c r="P121" s="10"/>
      <c r="Q121" s="256"/>
      <c r="R121" s="256"/>
      <c r="S121" s="256"/>
      <c r="T121" s="256"/>
      <c r="U121" s="256"/>
      <c r="V121" s="256"/>
    </row>
    <row r="122" spans="1:31" ht="10.5" x14ac:dyDescent="0.25">
      <c r="A122" s="643" t="s">
        <v>83</v>
      </c>
      <c r="B122" s="646" t="s">
        <v>1806</v>
      </c>
      <c r="C122" s="646" t="s">
        <v>1842</v>
      </c>
      <c r="D122" s="646" t="s">
        <v>1919</v>
      </c>
      <c r="F122" s="10"/>
      <c r="G122" s="10"/>
      <c r="H122" s="10"/>
      <c r="I122" s="10"/>
      <c r="J122" s="10"/>
      <c r="K122" s="10"/>
      <c r="L122" s="10"/>
      <c r="M122" s="10"/>
      <c r="N122" s="10"/>
      <c r="O122" s="10"/>
      <c r="P122" s="10"/>
      <c r="Q122" s="256"/>
      <c r="R122" s="256"/>
      <c r="S122" s="256"/>
      <c r="T122" s="256"/>
      <c r="U122" s="256"/>
      <c r="V122" s="256"/>
    </row>
    <row r="123" spans="1:31" ht="10.5" x14ac:dyDescent="0.25">
      <c r="A123" s="645">
        <v>4</v>
      </c>
      <c r="B123" s="644" t="s">
        <v>1803</v>
      </c>
      <c r="C123" s="644" t="s">
        <v>1803</v>
      </c>
      <c r="D123" s="644">
        <v>2</v>
      </c>
      <c r="F123" s="10"/>
      <c r="G123" s="10"/>
      <c r="H123" s="10"/>
      <c r="I123" s="10"/>
      <c r="J123" s="10"/>
      <c r="K123" s="10"/>
      <c r="L123" s="10"/>
      <c r="M123" s="10"/>
      <c r="N123" s="10"/>
      <c r="O123" s="10"/>
      <c r="P123" s="10"/>
      <c r="Q123" s="256"/>
      <c r="R123" s="256"/>
      <c r="S123" s="256"/>
      <c r="T123" s="256"/>
      <c r="U123" s="256"/>
      <c r="V123" s="256"/>
    </row>
    <row r="124" spans="1:31" ht="10.5" x14ac:dyDescent="0.25">
      <c r="A124" s="1325"/>
      <c r="B124" s="1329" t="str">
        <f>'C8C9C10'!B170</f>
        <v/>
      </c>
      <c r="C124" s="1329" t="str">
        <f>'C8C9C10'!B170</f>
        <v/>
      </c>
      <c r="D124" s="1329" t="str">
        <f>'C8C9C10'!B171</f>
        <v/>
      </c>
      <c r="F124" s="10"/>
      <c r="G124" s="10"/>
      <c r="H124" s="10"/>
      <c r="I124" s="10"/>
      <c r="J124" s="10"/>
      <c r="K124" s="10"/>
      <c r="L124" s="10"/>
      <c r="M124" s="10"/>
      <c r="N124" s="10"/>
      <c r="O124" s="10"/>
      <c r="P124" s="10"/>
      <c r="Q124" s="256"/>
      <c r="R124" s="256"/>
      <c r="S124" s="256"/>
      <c r="T124" s="256"/>
      <c r="U124" s="256"/>
      <c r="V124" s="256"/>
    </row>
    <row r="125" spans="1:31" x14ac:dyDescent="0.2">
      <c r="A125" s="1327">
        <v>169</v>
      </c>
      <c r="B125" s="1324" t="s">
        <v>1920</v>
      </c>
      <c r="C125" s="1324" t="s">
        <v>1921</v>
      </c>
      <c r="F125" s="10"/>
      <c r="G125" s="10"/>
      <c r="H125" s="10"/>
      <c r="I125" s="10"/>
      <c r="J125" s="10"/>
      <c r="K125" s="10"/>
      <c r="L125" s="10"/>
      <c r="M125" s="10"/>
      <c r="N125" s="10"/>
      <c r="O125" s="10"/>
      <c r="P125" s="10"/>
      <c r="Q125" s="256"/>
      <c r="R125" s="256"/>
      <c r="S125" s="256"/>
      <c r="T125" s="256"/>
      <c r="U125" s="256"/>
      <c r="V125" s="256"/>
    </row>
    <row r="126" spans="1:31" ht="10.5" x14ac:dyDescent="0.25">
      <c r="A126" s="643" t="s">
        <v>83</v>
      </c>
      <c r="B126" s="644" t="s">
        <v>1837</v>
      </c>
      <c r="C126" s="644" t="s">
        <v>1922</v>
      </c>
      <c r="F126" s="10"/>
      <c r="G126" s="10"/>
      <c r="H126" s="10"/>
      <c r="I126" s="10"/>
      <c r="J126" s="10"/>
      <c r="K126" s="10"/>
      <c r="L126" s="10"/>
      <c r="M126" s="10"/>
      <c r="N126" s="10"/>
      <c r="O126" s="10"/>
      <c r="P126" s="10"/>
      <c r="Q126" s="256"/>
      <c r="R126" s="256"/>
      <c r="S126" s="256"/>
      <c r="T126" s="256"/>
      <c r="U126" s="256"/>
      <c r="V126" s="256"/>
    </row>
    <row r="127" spans="1:31" ht="10.5" x14ac:dyDescent="0.25">
      <c r="A127" s="645">
        <v>3</v>
      </c>
      <c r="B127" s="644" t="s">
        <v>1803</v>
      </c>
      <c r="C127" s="644" t="s">
        <v>1803</v>
      </c>
      <c r="F127" s="10"/>
      <c r="G127" s="10"/>
      <c r="H127" s="10"/>
      <c r="I127" s="10"/>
      <c r="J127" s="10"/>
      <c r="K127" s="10"/>
      <c r="L127" s="10"/>
      <c r="M127" s="10"/>
      <c r="N127" s="10"/>
      <c r="O127" s="10"/>
      <c r="P127" s="10"/>
      <c r="Q127" s="256"/>
      <c r="R127" s="256"/>
      <c r="S127" s="256"/>
      <c r="T127" s="256"/>
      <c r="U127" s="256"/>
      <c r="V127" s="256"/>
    </row>
    <row r="128" spans="1:31" ht="10.5" x14ac:dyDescent="0.25">
      <c r="A128" s="1325"/>
      <c r="B128" s="648">
        <f>'C2'!B106</f>
        <v>37700</v>
      </c>
      <c r="C128" s="1329">
        <f>'C2'!B109</f>
        <v>0</v>
      </c>
      <c r="F128" s="10"/>
      <c r="G128" s="10"/>
      <c r="H128" s="10"/>
      <c r="I128" s="10"/>
      <c r="J128" s="10"/>
      <c r="K128" s="10"/>
      <c r="L128" s="10"/>
      <c r="M128" s="10"/>
      <c r="N128" s="10"/>
      <c r="O128" s="10"/>
      <c r="P128" s="10"/>
      <c r="Q128" s="256"/>
      <c r="R128" s="256"/>
      <c r="S128" s="256"/>
      <c r="T128" s="256"/>
      <c r="U128" s="256"/>
      <c r="V128" s="256"/>
    </row>
    <row r="129" spans="1:75" x14ac:dyDescent="0.2">
      <c r="A129" s="1327">
        <v>1</v>
      </c>
      <c r="B129" s="1324" t="s">
        <v>1923</v>
      </c>
      <c r="F129" s="10"/>
      <c r="G129" s="10"/>
      <c r="H129" s="10"/>
      <c r="I129" s="10"/>
      <c r="J129" s="10"/>
      <c r="K129" s="10"/>
      <c r="L129" s="10"/>
      <c r="M129" s="10"/>
      <c r="N129" s="10"/>
      <c r="O129" s="10"/>
      <c r="P129" s="10"/>
      <c r="Q129" s="256"/>
      <c r="R129" s="256"/>
      <c r="S129" s="256"/>
      <c r="T129" s="256"/>
      <c r="U129" s="256"/>
      <c r="V129" s="256"/>
    </row>
    <row r="130" spans="1:75" ht="10.5" x14ac:dyDescent="0.25">
      <c r="A130" s="643" t="s">
        <v>83</v>
      </c>
      <c r="B130" s="644" t="s">
        <v>1924</v>
      </c>
      <c r="F130" s="10"/>
      <c r="G130" s="10"/>
      <c r="H130" s="10"/>
      <c r="I130" s="10"/>
      <c r="J130" s="10"/>
      <c r="K130" s="10"/>
      <c r="L130" s="10"/>
      <c r="M130" s="10"/>
      <c r="N130" s="10"/>
      <c r="O130" s="10"/>
      <c r="P130" s="10"/>
      <c r="Q130" s="256"/>
      <c r="R130" s="256"/>
      <c r="S130" s="256"/>
      <c r="T130" s="256"/>
      <c r="U130" s="256"/>
      <c r="V130" s="256"/>
    </row>
    <row r="131" spans="1:75" ht="10.5" x14ac:dyDescent="0.25">
      <c r="A131" s="645">
        <v>2</v>
      </c>
      <c r="B131" s="644" t="b">
        <v>0</v>
      </c>
      <c r="F131" s="10"/>
      <c r="G131" s="10"/>
      <c r="H131" s="10"/>
      <c r="I131" s="10"/>
      <c r="J131" s="10"/>
      <c r="K131" s="10"/>
      <c r="L131" s="10"/>
      <c r="M131" s="10"/>
      <c r="N131" s="10"/>
      <c r="O131" s="10"/>
      <c r="P131" s="10"/>
      <c r="Q131" s="256"/>
      <c r="R131" s="256"/>
      <c r="S131" s="256"/>
      <c r="T131" s="256"/>
      <c r="U131" s="256"/>
      <c r="V131" s="256"/>
    </row>
    <row r="132" spans="1:75" ht="10.5" x14ac:dyDescent="0.25">
      <c r="A132" s="1325"/>
      <c r="B132" s="648" t="b">
        <f>'C8C9C10'!B174="Y"</f>
        <v>0</v>
      </c>
      <c r="F132" s="10"/>
      <c r="G132" s="10"/>
      <c r="H132" s="10"/>
      <c r="I132" s="10"/>
      <c r="J132" s="10"/>
      <c r="K132" s="10"/>
      <c r="L132" s="10"/>
      <c r="M132" s="10"/>
      <c r="N132" s="10"/>
      <c r="O132" s="10"/>
      <c r="P132" s="10"/>
      <c r="Q132" s="256"/>
      <c r="R132" s="256"/>
      <c r="S132" s="256"/>
      <c r="T132" s="256"/>
      <c r="U132" s="256"/>
      <c r="V132" s="256"/>
    </row>
    <row r="133" spans="1:75" x14ac:dyDescent="0.2">
      <c r="A133" s="1327">
        <v>1</v>
      </c>
      <c r="B133" s="1324" t="s">
        <v>1925</v>
      </c>
      <c r="F133" s="10"/>
      <c r="G133" s="10"/>
      <c r="H133" s="10"/>
      <c r="I133" s="10"/>
      <c r="J133" s="10"/>
      <c r="K133" s="10"/>
      <c r="L133" s="10"/>
      <c r="M133" s="10"/>
      <c r="N133" s="10"/>
      <c r="O133" s="10"/>
      <c r="P133" s="10"/>
      <c r="Q133" s="256"/>
      <c r="R133" s="256"/>
      <c r="S133" s="256"/>
      <c r="T133" s="256"/>
      <c r="U133" s="256"/>
      <c r="V133" s="256"/>
    </row>
    <row r="134" spans="1:75" ht="10.5" x14ac:dyDescent="0.25">
      <c r="A134" s="643" t="s">
        <v>83</v>
      </c>
      <c r="B134" s="644" t="s">
        <v>1926</v>
      </c>
      <c r="F134" s="10"/>
      <c r="G134" s="10"/>
      <c r="H134" s="10"/>
      <c r="I134" s="10"/>
      <c r="J134" s="10"/>
      <c r="K134" s="10"/>
      <c r="L134" s="10"/>
      <c r="M134" s="10"/>
      <c r="N134" s="10"/>
      <c r="O134" s="10"/>
      <c r="P134" s="10"/>
      <c r="Q134" s="256"/>
      <c r="R134" s="256"/>
      <c r="S134" s="256"/>
      <c r="T134" s="256"/>
      <c r="U134" s="256"/>
      <c r="V134" s="256"/>
    </row>
    <row r="135" spans="1:75" ht="10.5" x14ac:dyDescent="0.25">
      <c r="A135" s="645">
        <v>2</v>
      </c>
      <c r="B135" s="644" t="b">
        <v>0</v>
      </c>
      <c r="F135" s="10"/>
      <c r="G135" s="10"/>
      <c r="H135" s="10"/>
      <c r="I135" s="10"/>
      <c r="J135" s="10"/>
      <c r="K135" s="10"/>
      <c r="L135" s="10"/>
      <c r="M135" s="10"/>
      <c r="N135" s="10"/>
      <c r="O135" s="10"/>
      <c r="P135" s="10"/>
      <c r="Q135" s="256"/>
      <c r="R135" s="256"/>
      <c r="S135" s="256"/>
      <c r="T135" s="256"/>
      <c r="U135" s="256"/>
      <c r="V135" s="256"/>
    </row>
    <row r="136" spans="1:75" ht="10.5" x14ac:dyDescent="0.25">
      <c r="A136" s="1325"/>
      <c r="B136" s="648" t="b">
        <f>'C8C9C10'!B177="Y"</f>
        <v>0</v>
      </c>
      <c r="F136" s="1343"/>
      <c r="G136" s="10"/>
      <c r="H136" s="10"/>
      <c r="I136" s="10"/>
      <c r="J136" s="10"/>
      <c r="K136" s="10"/>
      <c r="L136" s="10"/>
      <c r="M136" s="10"/>
      <c r="N136" s="10"/>
      <c r="O136" s="10"/>
      <c r="P136" s="10"/>
      <c r="Q136" s="256"/>
      <c r="R136" s="256"/>
      <c r="S136" s="256"/>
      <c r="T136" s="256"/>
      <c r="U136" s="256"/>
      <c r="V136" s="256"/>
    </row>
    <row r="137" spans="1:75" x14ac:dyDescent="0.2">
      <c r="A137" s="1327">
        <v>1</v>
      </c>
      <c r="B137" s="1324" t="str">
        <f>PRO&amp;PRO!C7</f>
        <v>PRO21</v>
      </c>
      <c r="C137" s="1324" t="str">
        <f>PRO&amp;PRO!G7</f>
        <v>PRO22</v>
      </c>
      <c r="D137" s="1324" t="str">
        <f>PRO&amp;PRO!G10</f>
        <v>PRO33</v>
      </c>
      <c r="E137" s="1324" t="str">
        <f>PRO&amp;PRO!G13</f>
        <v>PRO38</v>
      </c>
      <c r="F137" s="1324" t="str">
        <f>PRO&amp;PRO!G16</f>
        <v>PRO39</v>
      </c>
      <c r="G137" s="1324" t="str">
        <f>PRO&amp;PRO!G19</f>
        <v>PRO40</v>
      </c>
      <c r="H137" s="1324" t="str">
        <f>PRO&amp;PRO!G22</f>
        <v>PRO42</v>
      </c>
      <c r="I137" s="1324" t="str">
        <f>PRO&amp;PRO!G25</f>
        <v>PRO44</v>
      </c>
      <c r="J137" s="1324" t="str">
        <f>PRO&amp;PRO!G28</f>
        <v>PRO45</v>
      </c>
    </row>
    <row r="138" spans="1:75" ht="10.5" x14ac:dyDescent="0.25">
      <c r="A138" s="643" t="s">
        <v>33</v>
      </c>
      <c r="B138" s="646" t="s">
        <v>1806</v>
      </c>
      <c r="C138" s="646" t="s">
        <v>1810</v>
      </c>
      <c r="D138" s="646" t="s">
        <v>1811</v>
      </c>
      <c r="E138" s="644" t="s">
        <v>1812</v>
      </c>
      <c r="F138" s="644" t="s">
        <v>1813</v>
      </c>
      <c r="G138" s="646" t="s">
        <v>1838</v>
      </c>
      <c r="H138" s="646" t="s">
        <v>1817</v>
      </c>
      <c r="I138" s="646" t="s">
        <v>1857</v>
      </c>
      <c r="J138" s="646" t="s">
        <v>1839</v>
      </c>
    </row>
    <row r="139" spans="1:75" ht="10.5" x14ac:dyDescent="0.25">
      <c r="A139" s="645">
        <v>10</v>
      </c>
      <c r="B139" s="644" t="s">
        <v>1803</v>
      </c>
      <c r="C139" s="644" t="s">
        <v>1803</v>
      </c>
      <c r="D139" s="644" t="s">
        <v>1803</v>
      </c>
      <c r="E139" s="644" t="s">
        <v>1803</v>
      </c>
      <c r="F139" s="644" t="s">
        <v>1803</v>
      </c>
      <c r="G139" s="644" t="s">
        <v>1803</v>
      </c>
      <c r="H139" s="644" t="s">
        <v>1803</v>
      </c>
      <c r="I139" s="644" t="s">
        <v>1803</v>
      </c>
      <c r="J139" s="644" t="s">
        <v>1803</v>
      </c>
    </row>
    <row r="140" spans="1:75" ht="10.5" x14ac:dyDescent="0.25">
      <c r="A140" s="650"/>
      <c r="B140" s="644" t="str">
        <f>'C5'!B47</f>
        <v/>
      </c>
      <c r="C140" s="1341" t="str">
        <f>'C5'!B48</f>
        <v/>
      </c>
      <c r="D140" s="1341" t="str">
        <f>'C5'!B59</f>
        <v/>
      </c>
      <c r="E140" s="1326" t="str">
        <f>'C5'!B67</f>
        <v/>
      </c>
      <c r="F140" s="1341" t="str">
        <f>'C5'!B68</f>
        <v/>
      </c>
      <c r="G140" s="644" t="str">
        <f>'C5'!B69</f>
        <v/>
      </c>
      <c r="H140" s="644" t="str">
        <f>'C5'!B71</f>
        <v/>
      </c>
      <c r="I140" s="644" t="str">
        <f>'C5'!B73</f>
        <v/>
      </c>
      <c r="J140" s="1326" t="str">
        <f>'C5'!B74</f>
        <v/>
      </c>
    </row>
    <row r="141" spans="1:75" x14ac:dyDescent="0.2">
      <c r="A141" s="1327">
        <v>169</v>
      </c>
      <c r="B141" s="1324" t="str">
        <f>FOR&amp;FOR!C10</f>
        <v>FOR2</v>
      </c>
      <c r="C141" s="1324" t="str">
        <f>FOR&amp;FOR!C18</f>
        <v>FOR3</v>
      </c>
      <c r="D141" s="1324" t="str">
        <f>FOR&amp;FOR!G18</f>
        <v>FOR4</v>
      </c>
      <c r="E141" s="1336" t="str">
        <f>FOR&amp;FOR!G21</f>
        <v>FOR4.1</v>
      </c>
      <c r="F141" s="1324" t="str">
        <f>FOR&amp;FOR!C24</f>
        <v>FOR5</v>
      </c>
      <c r="G141" s="1324" t="str">
        <f>FOR&amp;FOR!G24</f>
        <v>FOR6</v>
      </c>
      <c r="H141" s="1336" t="str">
        <f>FOR&amp;FOR!G27</f>
        <v>FOR6.1</v>
      </c>
      <c r="I141" s="1324" t="str">
        <f>FOR&amp;FOR!C30</f>
        <v>FOR7.1</v>
      </c>
      <c r="J141" s="1324" t="str">
        <f>FOR&amp;FOR!G30</f>
        <v>FOR7.2</v>
      </c>
      <c r="K141" s="1324" t="str">
        <f>FOR&amp;FOR!C33</f>
        <v>FOR7.3</v>
      </c>
      <c r="L141" s="1324" t="str">
        <f>FOR&amp;FOR!G33</f>
        <v>FOR7.4</v>
      </c>
      <c r="M141" s="1324" t="str">
        <f>FOR&amp;FOR!G37</f>
        <v>FOR7.5</v>
      </c>
      <c r="N141" s="1324" t="str">
        <f>FOR&amp;FOR!C40</f>
        <v>FOR8</v>
      </c>
      <c r="O141" s="1324" t="str">
        <f>FOR&amp;FOR!G40</f>
        <v>FOR9</v>
      </c>
      <c r="P141" s="1336" t="str">
        <f>FOR&amp;FOR!G43</f>
        <v>FOR9.1</v>
      </c>
      <c r="Q141" s="1324" t="str">
        <f>FOR&amp;FOR!C46</f>
        <v>FOR10</v>
      </c>
      <c r="R141" s="1324" t="str">
        <f>FOR&amp;FOR!G46</f>
        <v>FOR11</v>
      </c>
      <c r="S141" s="1336" t="str">
        <f>FOR&amp;FOR!G49</f>
        <v>FOR11.1</v>
      </c>
      <c r="T141" s="1324" t="str">
        <f>FOR&amp;FOR!C52</f>
        <v>FOR12</v>
      </c>
      <c r="U141" s="1324" t="str">
        <f>FOR&amp;FOR!G52</f>
        <v>FOR13</v>
      </c>
      <c r="V141" s="1336" t="str">
        <f>FOR&amp;FOR!G55&amp;".0"</f>
        <v>FOR13.0</v>
      </c>
      <c r="W141" s="1324" t="str">
        <f>FOR&amp;FOR!C58</f>
        <v>FOR13.1</v>
      </c>
      <c r="X141" s="1324" t="str">
        <f>FOR&amp;FOR!G58</f>
        <v>FOR13.2</v>
      </c>
      <c r="Y141" s="1324" t="str">
        <f>FOR&amp;FOR!K5</f>
        <v>FOR24</v>
      </c>
      <c r="Z141" s="1324" t="str">
        <f>FOR&amp;FOR!O5</f>
        <v>FOR24.1</v>
      </c>
      <c r="AA141" s="1324" t="str">
        <f>FOR&amp;FOR!O8</f>
        <v>FOR24.2</v>
      </c>
      <c r="AB141" s="1334" t="str">
        <f>FOR&amp;FOR!K10</f>
        <v>FOR26</v>
      </c>
      <c r="AC141" s="1334" t="str">
        <f>FOR&amp;FOR!O11</f>
        <v>FOR27</v>
      </c>
      <c r="AD141" s="1324" t="str">
        <f>FOR&amp;FOR!K15</f>
        <v>FOR29</v>
      </c>
      <c r="AE141" s="1324" t="str">
        <f>FOR&amp;FOR!O15</f>
        <v>FOR30</v>
      </c>
      <c r="AF141" s="1336" t="str">
        <f>FOR&amp;FOR!O18</f>
        <v>FOR30.1</v>
      </c>
      <c r="AG141" s="1324" t="str">
        <f>FOR&amp;FOR!K21</f>
        <v>FOR31</v>
      </c>
      <c r="AH141" s="1324" t="str">
        <f>FOR&amp;FOR!O21</f>
        <v>FOR32</v>
      </c>
      <c r="AI141" s="1324" t="str">
        <f>FOR&amp;FOR!K27</f>
        <v>FOR39</v>
      </c>
      <c r="AJ141" s="1324" t="str">
        <f>FOR&amp;FOR!O27</f>
        <v>FOR40</v>
      </c>
      <c r="AK141" s="1344" t="str">
        <f>FOR&amp;FOR!K35</f>
        <v>FOR41</v>
      </c>
      <c r="AL141" s="1344" t="str">
        <f>FOR&amp;FOR!K39</f>
        <v>FOR42</v>
      </c>
      <c r="AM141" s="1324" t="str">
        <f>FOR&amp;FOR!K42</f>
        <v>FOR43</v>
      </c>
      <c r="AN141" s="1324" t="str">
        <f>FOR&amp;FOR!O35</f>
        <v>FOR44</v>
      </c>
      <c r="AO141" s="1324" t="str">
        <f>FOR&amp;FOR!O39</f>
        <v>FOR45</v>
      </c>
      <c r="AP141" s="1336" t="str">
        <f>FOR&amp;FOR!K47</f>
        <v>FOR47</v>
      </c>
      <c r="AQ141" s="1336" t="str">
        <f>FOR&amp;FOR!O47</f>
        <v>FOR48</v>
      </c>
      <c r="AR141" s="1336" t="str">
        <f>FOR&amp;FOR!O50</f>
        <v>FOR48.1</v>
      </c>
      <c r="AS141" s="1336" t="str">
        <f>FOR&amp;FOR!K53</f>
        <v>FOR49</v>
      </c>
      <c r="AT141" s="1336" t="str">
        <f>FOR&amp;FOR!O53</f>
        <v>FOR49.1</v>
      </c>
      <c r="AU141" s="1336" t="str">
        <f>FOR&amp;FOR!K58</f>
        <v>FOR50</v>
      </c>
      <c r="AV141" s="1336" t="str">
        <f>FOR&amp;FOR!O58</f>
        <v>FOR51</v>
      </c>
      <c r="AW141" s="1336" t="str">
        <f>FOR&amp;FOR!O61</f>
        <v>FOR51.1</v>
      </c>
      <c r="AX141" s="1336" t="str">
        <f>FOR&amp;FOR!R7</f>
        <v>FOR52</v>
      </c>
      <c r="AY141" s="1336" t="str">
        <f>FOR&amp;FOR!V7</f>
        <v>FOR53</v>
      </c>
      <c r="AZ141" s="1336" t="str">
        <f>FOR&amp;FOR!V10</f>
        <v>FOR53.1</v>
      </c>
      <c r="BA141" s="1336" t="str">
        <f>FOR&amp;FOR!R13</f>
        <v>FOR54</v>
      </c>
      <c r="BB141" s="1336" t="str">
        <f>FOR&amp;FOR!V13</f>
        <v>FOR54.1</v>
      </c>
      <c r="BC141" s="1336" t="str">
        <f>FOR&amp;FOR!R16</f>
        <v>FOR55</v>
      </c>
      <c r="BD141" s="1336" t="str">
        <f>FOR&amp;FOR!V16</f>
        <v>FOR55.1</v>
      </c>
      <c r="BE141" s="1336" t="str">
        <f>FOR&amp;FOR!R19</f>
        <v>FOR56</v>
      </c>
      <c r="BF141" s="1336" t="str">
        <f>FOR&amp;FOR!V19</f>
        <v>FOR56.1</v>
      </c>
      <c r="BG141" s="1336" t="str">
        <f>FOR&amp;FOR!R22</f>
        <v>FOR57</v>
      </c>
      <c r="BH141" s="1336" t="str">
        <f>FOR&amp;FOR!V22</f>
        <v>FOR57.1</v>
      </c>
      <c r="BI141" s="1336" t="str">
        <f>FOR&amp;FOR!R25</f>
        <v>FOR58</v>
      </c>
      <c r="BJ141" s="1336" t="str">
        <f>FOR&amp;FOR!V25</f>
        <v>FOR58.1</v>
      </c>
      <c r="BK141" s="1336" t="str">
        <f>FOR&amp;FOR!R28</f>
        <v>FOR59</v>
      </c>
      <c r="BL141" s="1336" t="str">
        <f>FOR&amp;FOR!V28</f>
        <v>FOR59.1</v>
      </c>
      <c r="BM141" s="1336" t="str">
        <f>FOR&amp;FOR!R31</f>
        <v>FOR60</v>
      </c>
      <c r="BN141" s="1336" t="str">
        <f>FOR&amp;FOR!V31</f>
        <v>FOR60.1</v>
      </c>
      <c r="BO141" s="1336" t="str">
        <f>FOR&amp;FOR!R34</f>
        <v>FOR61</v>
      </c>
      <c r="BP141" s="1336" t="str">
        <f>FOR&amp;FOR!V34</f>
        <v>FOR61.1</v>
      </c>
      <c r="BQ141" s="1336" t="str">
        <f>FOR&amp;FOR!R37</f>
        <v>FOR62</v>
      </c>
      <c r="BR141" s="1336" t="str">
        <f>FOR&amp;FOR!V37</f>
        <v>FOR62.1</v>
      </c>
      <c r="BS141" s="1336" t="str">
        <f>FOR&amp;FOR!R40</f>
        <v>FOR63</v>
      </c>
      <c r="BT141" s="1336" t="str">
        <f>FOR&amp;FOR!V40</f>
        <v>FOR63.1</v>
      </c>
      <c r="BU141" s="1336" t="str">
        <f>FOR&amp;FOR!R43</f>
        <v>FOR64</v>
      </c>
      <c r="BV141" s="1336" t="str">
        <f>FOR&amp;FOR!V43</f>
        <v>FOR64.1</v>
      </c>
      <c r="BW141" s="1324" t="s">
        <v>1927</v>
      </c>
    </row>
    <row r="142" spans="1:75" ht="10.5" x14ac:dyDescent="0.25">
      <c r="A142" s="643" t="s">
        <v>34</v>
      </c>
      <c r="B142" s="648" t="s">
        <v>1807</v>
      </c>
      <c r="C142" s="648" t="s">
        <v>1798</v>
      </c>
      <c r="D142" s="649" t="s">
        <v>1928</v>
      </c>
      <c r="E142" s="1049" t="s">
        <v>1929</v>
      </c>
      <c r="F142" s="648" t="s">
        <v>1930</v>
      </c>
      <c r="G142" s="649" t="s">
        <v>1931</v>
      </c>
      <c r="H142" s="1049" t="s">
        <v>1932</v>
      </c>
      <c r="I142" s="649" t="s">
        <v>1858</v>
      </c>
      <c r="J142" s="649" t="s">
        <v>1860</v>
      </c>
      <c r="K142" s="649" t="s">
        <v>1859</v>
      </c>
      <c r="L142" s="649" t="s">
        <v>1861</v>
      </c>
      <c r="M142" s="649" t="s">
        <v>1933</v>
      </c>
      <c r="N142" s="648" t="s">
        <v>1934</v>
      </c>
      <c r="O142" s="648" t="s">
        <v>1935</v>
      </c>
      <c r="P142" s="1051" t="s">
        <v>1936</v>
      </c>
      <c r="Q142" s="648" t="s">
        <v>1937</v>
      </c>
      <c r="R142" s="648" t="s">
        <v>1938</v>
      </c>
      <c r="S142" s="1051" t="s">
        <v>1939</v>
      </c>
      <c r="T142" s="648" t="s">
        <v>1835</v>
      </c>
      <c r="U142" s="648" t="s">
        <v>1911</v>
      </c>
      <c r="V142" s="1051" t="s">
        <v>1912</v>
      </c>
      <c r="W142" s="648" t="s">
        <v>1940</v>
      </c>
      <c r="X142" s="648" t="s">
        <v>1941</v>
      </c>
      <c r="Y142" s="646" t="s">
        <v>1942</v>
      </c>
      <c r="Z142" s="646" t="s">
        <v>1943</v>
      </c>
      <c r="AA142" s="646" t="s">
        <v>1944</v>
      </c>
      <c r="AB142" s="644" t="s">
        <v>1865</v>
      </c>
      <c r="AC142" s="644" t="s">
        <v>1945</v>
      </c>
      <c r="AD142" s="648" t="s">
        <v>1946</v>
      </c>
      <c r="AE142" s="648" t="s">
        <v>1947</v>
      </c>
      <c r="AF142" s="1051" t="s">
        <v>1884</v>
      </c>
      <c r="AG142" s="648" t="s">
        <v>1948</v>
      </c>
      <c r="AH142" s="648" t="s">
        <v>1949</v>
      </c>
      <c r="AI142" s="648" t="s">
        <v>1950</v>
      </c>
      <c r="AJ142" s="648" t="s">
        <v>1951</v>
      </c>
      <c r="AK142" s="1096" t="s">
        <v>1952</v>
      </c>
      <c r="AL142" s="1096" t="s">
        <v>1953</v>
      </c>
      <c r="AM142" s="649" t="s">
        <v>1954</v>
      </c>
      <c r="AN142" s="644" t="s">
        <v>1955</v>
      </c>
      <c r="AO142" s="648" t="s">
        <v>1956</v>
      </c>
      <c r="AP142" s="1051" t="s">
        <v>1957</v>
      </c>
      <c r="AQ142" s="1051" t="s">
        <v>1958</v>
      </c>
      <c r="AR142" s="1051" t="s">
        <v>1959</v>
      </c>
      <c r="AS142" s="1051" t="s">
        <v>1960</v>
      </c>
      <c r="AT142" s="1051" t="s">
        <v>1961</v>
      </c>
      <c r="AU142" s="1051" t="s">
        <v>1962</v>
      </c>
      <c r="AV142" s="1051" t="s">
        <v>1963</v>
      </c>
      <c r="AW142" s="1051" t="s">
        <v>1964</v>
      </c>
      <c r="AX142" s="1051" t="s">
        <v>1965</v>
      </c>
      <c r="AY142" s="1051" t="s">
        <v>1966</v>
      </c>
      <c r="AZ142" s="1051" t="s">
        <v>1967</v>
      </c>
      <c r="BA142" s="1051" t="s">
        <v>1968</v>
      </c>
      <c r="BB142" s="1051" t="s">
        <v>1969</v>
      </c>
      <c r="BC142" s="1051" t="s">
        <v>1970</v>
      </c>
      <c r="BD142" s="1051" t="s">
        <v>1971</v>
      </c>
      <c r="BE142" s="1051" t="s">
        <v>1896</v>
      </c>
      <c r="BF142" s="1051" t="s">
        <v>1972</v>
      </c>
      <c r="BG142" s="1051" t="s">
        <v>1973</v>
      </c>
      <c r="BH142" s="1051" t="s">
        <v>1974</v>
      </c>
      <c r="BI142" s="1051" t="s">
        <v>1975</v>
      </c>
      <c r="BJ142" s="1051" t="s">
        <v>1976</v>
      </c>
      <c r="BK142" s="1051" t="s">
        <v>1977</v>
      </c>
      <c r="BL142" s="1051" t="s">
        <v>1978</v>
      </c>
      <c r="BM142" s="1051" t="s">
        <v>1979</v>
      </c>
      <c r="BN142" s="1051" t="s">
        <v>1980</v>
      </c>
      <c r="BO142" s="1051" t="s">
        <v>1981</v>
      </c>
      <c r="BP142" s="1051" t="s">
        <v>1982</v>
      </c>
      <c r="BQ142" s="1051" t="s">
        <v>1983</v>
      </c>
      <c r="BR142" s="1051" t="s">
        <v>1984</v>
      </c>
      <c r="BS142" s="1051" t="s">
        <v>1985</v>
      </c>
      <c r="BT142" s="1051" t="s">
        <v>1986</v>
      </c>
      <c r="BU142" s="1051" t="s">
        <v>1987</v>
      </c>
      <c r="BV142" s="1051" t="s">
        <v>1988</v>
      </c>
      <c r="BW142" s="644" t="s">
        <v>1989</v>
      </c>
    </row>
    <row r="143" spans="1:75" ht="10.5" x14ac:dyDescent="0.25">
      <c r="A143" s="645">
        <v>75</v>
      </c>
      <c r="B143" s="644" t="s">
        <v>1803</v>
      </c>
      <c r="C143" s="644" t="s">
        <v>1803</v>
      </c>
      <c r="D143" s="644" t="s">
        <v>1803</v>
      </c>
      <c r="E143" s="1050" t="s">
        <v>1803</v>
      </c>
      <c r="F143" s="644" t="s">
        <v>1803</v>
      </c>
      <c r="G143" s="644" t="s">
        <v>1803</v>
      </c>
      <c r="H143" s="1050" t="s">
        <v>1803</v>
      </c>
      <c r="I143" s="644" t="s">
        <v>1803</v>
      </c>
      <c r="J143" s="644" t="s">
        <v>1803</v>
      </c>
      <c r="K143" s="644" t="s">
        <v>1803</v>
      </c>
      <c r="L143" s="644" t="s">
        <v>1803</v>
      </c>
      <c r="M143" s="644" t="s">
        <v>1803</v>
      </c>
      <c r="N143" s="644" t="s">
        <v>1803</v>
      </c>
      <c r="O143" s="644" t="s">
        <v>1803</v>
      </c>
      <c r="P143" s="1050" t="s">
        <v>1803</v>
      </c>
      <c r="Q143" s="644" t="s">
        <v>1803</v>
      </c>
      <c r="R143" s="644" t="s">
        <v>1803</v>
      </c>
      <c r="S143" s="1050" t="s">
        <v>1803</v>
      </c>
      <c r="T143" s="644" t="s">
        <v>1803</v>
      </c>
      <c r="U143" s="644" t="s">
        <v>1803</v>
      </c>
      <c r="V143" s="1050" t="s">
        <v>1803</v>
      </c>
      <c r="W143" s="644" t="s">
        <v>1803</v>
      </c>
      <c r="X143" s="644" t="s">
        <v>1803</v>
      </c>
      <c r="Y143" s="644" t="s">
        <v>1803</v>
      </c>
      <c r="Z143" s="644" t="s">
        <v>1803</v>
      </c>
      <c r="AA143" s="644" t="s">
        <v>1803</v>
      </c>
      <c r="AB143" s="644" t="s">
        <v>1803</v>
      </c>
      <c r="AC143" s="644" t="s">
        <v>1803</v>
      </c>
      <c r="AD143" s="644" t="s">
        <v>1803</v>
      </c>
      <c r="AE143" s="644" t="s">
        <v>1803</v>
      </c>
      <c r="AF143" s="1050" t="s">
        <v>1803</v>
      </c>
      <c r="AG143" s="644" t="s">
        <v>1803</v>
      </c>
      <c r="AH143" s="644" t="s">
        <v>1803</v>
      </c>
      <c r="AI143" s="644" t="s">
        <v>1803</v>
      </c>
      <c r="AJ143" s="644" t="s">
        <v>1803</v>
      </c>
      <c r="AK143" s="1097" t="s">
        <v>1803</v>
      </c>
      <c r="AL143" s="1097" t="s">
        <v>1803</v>
      </c>
      <c r="AM143" s="644" t="s">
        <v>1803</v>
      </c>
      <c r="AN143" s="644" t="s">
        <v>1803</v>
      </c>
      <c r="AO143" s="644" t="s">
        <v>1803</v>
      </c>
      <c r="AP143" s="1050" t="s">
        <v>1803</v>
      </c>
      <c r="AQ143" s="1050" t="s">
        <v>1803</v>
      </c>
      <c r="AR143" s="1050" t="s">
        <v>1803</v>
      </c>
      <c r="AS143" s="1050" t="s">
        <v>1803</v>
      </c>
      <c r="AT143" s="1050" t="s">
        <v>1803</v>
      </c>
      <c r="AU143" s="1050" t="s">
        <v>1803</v>
      </c>
      <c r="AV143" s="1050" t="s">
        <v>1803</v>
      </c>
      <c r="AW143" s="1050" t="s">
        <v>1803</v>
      </c>
      <c r="AX143" s="1050" t="s">
        <v>1803</v>
      </c>
      <c r="AY143" s="1050" t="s">
        <v>1803</v>
      </c>
      <c r="AZ143" s="1050" t="s">
        <v>1803</v>
      </c>
      <c r="BA143" s="1050" t="s">
        <v>1803</v>
      </c>
      <c r="BB143" s="1050" t="s">
        <v>1803</v>
      </c>
      <c r="BC143" s="1050" t="s">
        <v>1803</v>
      </c>
      <c r="BD143" s="1050" t="s">
        <v>1803</v>
      </c>
      <c r="BE143" s="1050" t="s">
        <v>1803</v>
      </c>
      <c r="BF143" s="1050" t="s">
        <v>1803</v>
      </c>
      <c r="BG143" s="1050" t="s">
        <v>1803</v>
      </c>
      <c r="BH143" s="1050" t="s">
        <v>1803</v>
      </c>
      <c r="BI143" s="1050" t="s">
        <v>1803</v>
      </c>
      <c r="BJ143" s="1050" t="s">
        <v>1803</v>
      </c>
      <c r="BK143" s="1050" t="s">
        <v>1803</v>
      </c>
      <c r="BL143" s="1050" t="s">
        <v>1803</v>
      </c>
      <c r="BM143" s="1050" t="s">
        <v>1803</v>
      </c>
      <c r="BN143" s="1050" t="s">
        <v>1803</v>
      </c>
      <c r="BO143" s="1050" t="s">
        <v>1803</v>
      </c>
      <c r="BP143" s="1050" t="s">
        <v>1803</v>
      </c>
      <c r="BQ143" s="1050" t="s">
        <v>1803</v>
      </c>
      <c r="BR143" s="1050" t="s">
        <v>1803</v>
      </c>
      <c r="BS143" s="1050" t="s">
        <v>1803</v>
      </c>
      <c r="BT143" s="1050" t="s">
        <v>1803</v>
      </c>
      <c r="BU143" s="1050" t="s">
        <v>1803</v>
      </c>
      <c r="BV143" s="1050" t="s">
        <v>1803</v>
      </c>
      <c r="BW143" s="652" t="b">
        <v>0</v>
      </c>
    </row>
    <row r="144" spans="1:75" ht="11" thickBot="1" x14ac:dyDescent="0.3">
      <c r="A144" s="650"/>
      <c r="B144" s="1326" t="str">
        <f>'C6'!B3</f>
        <v/>
      </c>
      <c r="C144" s="1326" t="str">
        <f>'C6'!B16</f>
        <v/>
      </c>
      <c r="D144" s="1326">
        <f>'C6'!B17</f>
        <v>14963</v>
      </c>
      <c r="E144" s="1337" t="str">
        <f>'C6'!B18</f>
        <v/>
      </c>
      <c r="F144" s="1326" t="str">
        <f>'C6'!B49</f>
        <v/>
      </c>
      <c r="G144" s="1326" t="str">
        <f>'C6'!B50</f>
        <v/>
      </c>
      <c r="H144" s="1337" t="str">
        <f>'C6'!B51</f>
        <v/>
      </c>
      <c r="I144" s="1326" t="str">
        <f>'C6'!B58</f>
        <v/>
      </c>
      <c r="J144" s="1326" t="str">
        <f>'C6'!B59</f>
        <v/>
      </c>
      <c r="K144" s="1326" t="str">
        <f>'C6'!B66</f>
        <v/>
      </c>
      <c r="L144" s="1326" t="str">
        <f>'C6'!B67</f>
        <v/>
      </c>
      <c r="M144" s="1326" t="str">
        <f>'C6'!B68</f>
        <v/>
      </c>
      <c r="N144" s="1326" t="str">
        <f>'C6'!B75</f>
        <v/>
      </c>
      <c r="O144" s="1326" t="str">
        <f>'C6'!B76</f>
        <v/>
      </c>
      <c r="P144" s="1337" t="str">
        <f>'C6'!B77</f>
        <v/>
      </c>
      <c r="Q144" s="1326" t="str">
        <f>'C6'!B84</f>
        <v/>
      </c>
      <c r="R144" s="1326" t="str">
        <f>'C6'!B85</f>
        <v/>
      </c>
      <c r="S144" s="1337" t="str">
        <f>'C6'!B86</f>
        <v/>
      </c>
      <c r="T144" s="1326" t="str">
        <f>'C6'!B93</f>
        <v/>
      </c>
      <c r="U144" s="1326" t="str">
        <f>'C6'!B94</f>
        <v/>
      </c>
      <c r="V144" s="1337" t="str">
        <f>'C6'!B95</f>
        <v/>
      </c>
      <c r="W144" s="1326" t="str">
        <f>'C6'!B96</f>
        <v/>
      </c>
      <c r="X144" s="1326" t="str">
        <f>'C6'!B97</f>
        <v/>
      </c>
      <c r="Y144" s="644" t="str">
        <f>'C6'!B113</f>
        <v/>
      </c>
      <c r="Z144" s="644" t="str">
        <f>'C6'!B114</f>
        <v/>
      </c>
      <c r="AA144" s="644" t="str">
        <f>'C6'!B115</f>
        <v/>
      </c>
      <c r="AB144" s="1326" t="str">
        <f>'C6'!B123</f>
        <v/>
      </c>
      <c r="AC144" s="1326" t="str">
        <f>'C6'!B124</f>
        <v/>
      </c>
      <c r="AD144" s="1326" t="str">
        <f>'C6'!B126</f>
        <v/>
      </c>
      <c r="AE144" s="1326" t="str">
        <f>'C6'!B127</f>
        <v/>
      </c>
      <c r="AF144" s="1337" t="str">
        <f>'C6'!B128</f>
        <v/>
      </c>
      <c r="AG144" s="1326" t="str">
        <f>'C6'!B129</f>
        <v/>
      </c>
      <c r="AH144" s="1326" t="str">
        <f>'C6'!B130</f>
        <v/>
      </c>
      <c r="AI144" s="1326" t="str">
        <f>'C6'!B153</f>
        <v/>
      </c>
      <c r="AJ144" s="1326" t="str">
        <f>'C6'!B154</f>
        <v/>
      </c>
      <c r="AK144" s="1345" t="str">
        <f>'C6'!B155</f>
        <v/>
      </c>
      <c r="AL144" s="1345" t="str">
        <f>'C6'!B156</f>
        <v/>
      </c>
      <c r="AM144" s="1326" t="str">
        <f>'C6'!B157</f>
        <v/>
      </c>
      <c r="AN144" s="1326" t="str">
        <f>'C6'!B158</f>
        <v/>
      </c>
      <c r="AO144" s="1326" t="str">
        <f>'C6'!B159</f>
        <v/>
      </c>
      <c r="AP144" s="1337" t="str">
        <f>'C6'!B167</f>
        <v/>
      </c>
      <c r="AQ144" s="1337" t="str">
        <f>'C6'!B168</f>
        <v/>
      </c>
      <c r="AR144" s="1337" t="str">
        <f>'C6'!B169</f>
        <v/>
      </c>
      <c r="AS144" s="1337" t="str">
        <f>'C6'!B170</f>
        <v/>
      </c>
      <c r="AT144" s="1337" t="str">
        <f>'C6'!B171</f>
        <v/>
      </c>
      <c r="AU144" s="1337" t="str">
        <f>'C6'!B178</f>
        <v/>
      </c>
      <c r="AV144" s="1337" t="str">
        <f>'C6'!B179</f>
        <v/>
      </c>
      <c r="AW144" s="1337" t="str">
        <f>'C6'!B180</f>
        <v/>
      </c>
      <c r="AX144" s="1337" t="str">
        <f>'C6'!B187</f>
        <v/>
      </c>
      <c r="AY144" s="1337" t="str">
        <f>'C6'!B188</f>
        <v/>
      </c>
      <c r="AZ144" s="1337" t="str">
        <f>'C6'!B189</f>
        <v/>
      </c>
      <c r="BA144" s="1337" t="str">
        <f>'C6'!B190</f>
        <v/>
      </c>
      <c r="BB144" s="1337" t="str">
        <f>'C6'!B191</f>
        <v/>
      </c>
      <c r="BC144" s="1337" t="str">
        <f>'C6'!B192</f>
        <v/>
      </c>
      <c r="BD144" s="1337" t="str">
        <f>'C6'!B193</f>
        <v/>
      </c>
      <c r="BE144" s="1337" t="str">
        <f>'C6'!B194</f>
        <v/>
      </c>
      <c r="BF144" s="1337" t="str">
        <f>'C6'!B195</f>
        <v/>
      </c>
      <c r="BG144" s="1337" t="str">
        <f>'C6'!B196</f>
        <v/>
      </c>
      <c r="BH144" s="1337" t="str">
        <f>'C6'!B197</f>
        <v/>
      </c>
      <c r="BI144" s="1337" t="str">
        <f>'C6'!B198</f>
        <v/>
      </c>
      <c r="BJ144" s="1337" t="str">
        <f>'C6'!B199</f>
        <v/>
      </c>
      <c r="BK144" s="1337" t="str">
        <f>'C6'!B200</f>
        <v/>
      </c>
      <c r="BL144" s="1337" t="str">
        <f>'C6'!B201</f>
        <v/>
      </c>
      <c r="BM144" s="1337" t="str">
        <f>'C6'!B202</f>
        <v/>
      </c>
      <c r="BN144" s="1337" t="str">
        <f>'C6'!B203</f>
        <v/>
      </c>
      <c r="BO144" s="1337" t="str">
        <f>'C6'!B204</f>
        <v/>
      </c>
      <c r="BP144" s="1337" t="str">
        <f>'C6'!B205</f>
        <v/>
      </c>
      <c r="BQ144" s="1337" t="str">
        <f>'C6'!B206</f>
        <v/>
      </c>
      <c r="BR144" s="1337" t="str">
        <f>'C6'!B207</f>
        <v/>
      </c>
      <c r="BS144" s="1337" t="str">
        <f>'C6'!B208</f>
        <v/>
      </c>
      <c r="BT144" s="1337" t="str">
        <f>'C6'!B209</f>
        <v/>
      </c>
      <c r="BU144" s="1337" t="str">
        <f>'C6'!B210</f>
        <v/>
      </c>
      <c r="BV144" s="1337" t="str">
        <f>'C6'!B211</f>
        <v/>
      </c>
      <c r="BW144" s="1341"/>
    </row>
    <row r="145" spans="1:71" x14ac:dyDescent="0.2">
      <c r="A145" s="1327">
        <v>169</v>
      </c>
      <c r="B145" s="118" t="s">
        <v>1990</v>
      </c>
      <c r="C145" s="119" t="s">
        <v>1991</v>
      </c>
      <c r="D145" s="119" t="s">
        <v>1992</v>
      </c>
      <c r="E145" s="119" t="s">
        <v>1993</v>
      </c>
      <c r="F145" s="119" t="s">
        <v>1994</v>
      </c>
      <c r="G145" s="546" t="s">
        <v>1995</v>
      </c>
      <c r="H145" s="120" t="s">
        <v>1996</v>
      </c>
      <c r="I145" s="118" t="s">
        <v>1997</v>
      </c>
      <c r="J145" s="119" t="s">
        <v>1998</v>
      </c>
      <c r="K145" s="119" t="s">
        <v>1999</v>
      </c>
      <c r="L145" s="123" t="s">
        <v>2000</v>
      </c>
      <c r="M145" s="119" t="s">
        <v>2001</v>
      </c>
      <c r="N145" s="546" t="s">
        <v>2002</v>
      </c>
      <c r="O145" s="120" t="s">
        <v>2003</v>
      </c>
      <c r="P145" s="118" t="s">
        <v>2004</v>
      </c>
      <c r="Q145" s="119" t="s">
        <v>2005</v>
      </c>
      <c r="R145" s="119" t="s">
        <v>2006</v>
      </c>
      <c r="S145" s="123" t="s">
        <v>2007</v>
      </c>
      <c r="T145" s="119" t="s">
        <v>2008</v>
      </c>
      <c r="U145" s="546" t="s">
        <v>2009</v>
      </c>
      <c r="V145" s="120" t="s">
        <v>2010</v>
      </c>
      <c r="W145" s="118" t="s">
        <v>2011</v>
      </c>
      <c r="X145" s="119" t="s">
        <v>2012</v>
      </c>
      <c r="Y145" s="119" t="s">
        <v>2013</v>
      </c>
      <c r="Z145" s="123" t="s">
        <v>2014</v>
      </c>
      <c r="AA145" s="119" t="s">
        <v>2015</v>
      </c>
      <c r="AB145" s="546" t="s">
        <v>2016</v>
      </c>
      <c r="AC145" s="120" t="s">
        <v>2017</v>
      </c>
      <c r="AD145" s="118" t="s">
        <v>2018</v>
      </c>
      <c r="AE145" s="119" t="s">
        <v>2019</v>
      </c>
      <c r="AF145" s="119" t="s">
        <v>2020</v>
      </c>
      <c r="AG145" s="119" t="s">
        <v>2021</v>
      </c>
      <c r="AH145" s="119" t="s">
        <v>2022</v>
      </c>
      <c r="AI145" s="546" t="s">
        <v>2023</v>
      </c>
      <c r="AJ145" s="120" t="s">
        <v>2024</v>
      </c>
      <c r="AK145" s="118" t="s">
        <v>2025</v>
      </c>
      <c r="AL145" s="119" t="s">
        <v>2026</v>
      </c>
      <c r="AM145" s="119" t="s">
        <v>2027</v>
      </c>
      <c r="AN145" s="123" t="s">
        <v>2028</v>
      </c>
      <c r="AO145" s="119" t="s">
        <v>2029</v>
      </c>
      <c r="AP145" s="546" t="s">
        <v>2030</v>
      </c>
      <c r="AQ145" s="120" t="s">
        <v>2031</v>
      </c>
      <c r="AR145" s="118" t="s">
        <v>2032</v>
      </c>
      <c r="AS145" s="119" t="s">
        <v>2033</v>
      </c>
      <c r="AT145" s="119" t="s">
        <v>2034</v>
      </c>
      <c r="AU145" s="123" t="s">
        <v>2035</v>
      </c>
      <c r="AV145" s="119" t="s">
        <v>2036</v>
      </c>
      <c r="AW145" s="546" t="s">
        <v>2037</v>
      </c>
      <c r="AX145" s="120" t="s">
        <v>2038</v>
      </c>
      <c r="AY145" s="118" t="s">
        <v>2039</v>
      </c>
      <c r="AZ145" s="119" t="s">
        <v>2040</v>
      </c>
      <c r="BA145" s="119" t="s">
        <v>2041</v>
      </c>
      <c r="BB145" s="123" t="s">
        <v>2042</v>
      </c>
      <c r="BC145" s="119" t="s">
        <v>2043</v>
      </c>
      <c r="BD145" s="546" t="s">
        <v>2044</v>
      </c>
      <c r="BE145" s="120" t="s">
        <v>2045</v>
      </c>
      <c r="BF145" s="118" t="s">
        <v>2046</v>
      </c>
      <c r="BG145" s="119" t="s">
        <v>2047</v>
      </c>
      <c r="BH145" s="119" t="s">
        <v>2048</v>
      </c>
      <c r="BI145" s="123" t="s">
        <v>2049</v>
      </c>
      <c r="BJ145" s="119" t="s">
        <v>2050</v>
      </c>
      <c r="BK145" s="546" t="s">
        <v>2051</v>
      </c>
      <c r="BL145" s="120" t="s">
        <v>2052</v>
      </c>
      <c r="BM145" s="118" t="s">
        <v>2053</v>
      </c>
      <c r="BN145" s="119" t="s">
        <v>2054</v>
      </c>
      <c r="BO145" s="119" t="s">
        <v>2055</v>
      </c>
      <c r="BP145" s="123" t="s">
        <v>2056</v>
      </c>
      <c r="BQ145" s="119" t="s">
        <v>2057</v>
      </c>
      <c r="BR145" s="546" t="s">
        <v>2058</v>
      </c>
      <c r="BS145" s="120" t="s">
        <v>2059</v>
      </c>
    </row>
    <row r="146" spans="1:71" ht="10.5" x14ac:dyDescent="0.25">
      <c r="A146" s="653" t="s">
        <v>2060</v>
      </c>
      <c r="B146" s="121" t="s">
        <v>2061</v>
      </c>
      <c r="C146" s="644" t="s">
        <v>2062</v>
      </c>
      <c r="D146" s="644" t="s">
        <v>2063</v>
      </c>
      <c r="E146" s="644" t="s">
        <v>2064</v>
      </c>
      <c r="F146" s="644" t="s">
        <v>1822</v>
      </c>
      <c r="G146" s="644" t="s">
        <v>2065</v>
      </c>
      <c r="H146" s="122" t="s">
        <v>2066</v>
      </c>
      <c r="I146" s="121" t="s">
        <v>2067</v>
      </c>
      <c r="J146" s="644" t="s">
        <v>2068</v>
      </c>
      <c r="K146" s="644" t="s">
        <v>2069</v>
      </c>
      <c r="L146" s="117" t="s">
        <v>2070</v>
      </c>
      <c r="M146" s="644" t="s">
        <v>2071</v>
      </c>
      <c r="N146" s="644" t="s">
        <v>2072</v>
      </c>
      <c r="O146" s="122" t="s">
        <v>2073</v>
      </c>
      <c r="P146" s="121" t="s">
        <v>2074</v>
      </c>
      <c r="Q146" s="644" t="s">
        <v>2075</v>
      </c>
      <c r="R146" s="644" t="s">
        <v>2076</v>
      </c>
      <c r="S146" s="117" t="s">
        <v>2077</v>
      </c>
      <c r="T146" s="644" t="s">
        <v>2078</v>
      </c>
      <c r="U146" s="644" t="s">
        <v>2079</v>
      </c>
      <c r="V146" s="122" t="s">
        <v>1825</v>
      </c>
      <c r="W146" s="121" t="s">
        <v>2080</v>
      </c>
      <c r="X146" s="644" t="s">
        <v>2081</v>
      </c>
      <c r="Y146" s="644" t="s">
        <v>2082</v>
      </c>
      <c r="Z146" s="117" t="s">
        <v>2083</v>
      </c>
      <c r="AA146" s="644" t="s">
        <v>2084</v>
      </c>
      <c r="AB146" s="644" t="s">
        <v>2085</v>
      </c>
      <c r="AC146" s="122" t="s">
        <v>2086</v>
      </c>
      <c r="AD146" s="121" t="s">
        <v>2087</v>
      </c>
      <c r="AE146" s="644" t="s">
        <v>2088</v>
      </c>
      <c r="AF146" s="644" t="s">
        <v>2089</v>
      </c>
      <c r="AG146" s="644" t="s">
        <v>2090</v>
      </c>
      <c r="AH146" s="644" t="s">
        <v>2091</v>
      </c>
      <c r="AI146" s="644" t="s">
        <v>2092</v>
      </c>
      <c r="AJ146" s="122" t="s">
        <v>2093</v>
      </c>
      <c r="AK146" s="121" t="s">
        <v>2094</v>
      </c>
      <c r="AL146" s="644" t="s">
        <v>2095</v>
      </c>
      <c r="AM146" s="644" t="s">
        <v>2096</v>
      </c>
      <c r="AN146" s="117" t="s">
        <v>2097</v>
      </c>
      <c r="AO146" s="644" t="s">
        <v>2098</v>
      </c>
      <c r="AP146" s="644" t="s">
        <v>2099</v>
      </c>
      <c r="AQ146" s="122" t="s">
        <v>2100</v>
      </c>
      <c r="AR146" s="121" t="s">
        <v>2101</v>
      </c>
      <c r="AS146" s="644" t="s">
        <v>2102</v>
      </c>
      <c r="AT146" s="644" t="s">
        <v>2103</v>
      </c>
      <c r="AU146" s="117" t="s">
        <v>2104</v>
      </c>
      <c r="AV146" s="644" t="s">
        <v>2105</v>
      </c>
      <c r="AW146" s="644" t="s">
        <v>2106</v>
      </c>
      <c r="AX146" s="122" t="s">
        <v>2107</v>
      </c>
      <c r="AY146" s="121" t="s">
        <v>2108</v>
      </c>
      <c r="AZ146" s="644" t="s">
        <v>2109</v>
      </c>
      <c r="BA146" s="644" t="s">
        <v>2110</v>
      </c>
      <c r="BB146" s="117" t="s">
        <v>2111</v>
      </c>
      <c r="BC146" s="644" t="s">
        <v>2112</v>
      </c>
      <c r="BD146" s="644" t="s">
        <v>2113</v>
      </c>
      <c r="BE146" s="122" t="s">
        <v>2114</v>
      </c>
      <c r="BF146" s="121" t="s">
        <v>2115</v>
      </c>
      <c r="BG146" s="644" t="s">
        <v>1885</v>
      </c>
      <c r="BH146" s="644" t="s">
        <v>2116</v>
      </c>
      <c r="BI146" s="117" t="s">
        <v>2117</v>
      </c>
      <c r="BJ146" s="644" t="s">
        <v>2118</v>
      </c>
      <c r="BK146" s="644" t="s">
        <v>2119</v>
      </c>
      <c r="BL146" s="122" t="s">
        <v>2120</v>
      </c>
      <c r="BM146" s="121" t="s">
        <v>2121</v>
      </c>
      <c r="BN146" s="644" t="s">
        <v>1886</v>
      </c>
      <c r="BO146" s="644" t="s">
        <v>2122</v>
      </c>
      <c r="BP146" s="117" t="s">
        <v>2123</v>
      </c>
      <c r="BQ146" s="644" t="s">
        <v>2124</v>
      </c>
      <c r="BR146" s="644" t="s">
        <v>2125</v>
      </c>
      <c r="BS146" s="122" t="s">
        <v>2126</v>
      </c>
    </row>
    <row r="147" spans="1:71" ht="10.5" x14ac:dyDescent="0.25">
      <c r="A147" s="654">
        <v>71</v>
      </c>
      <c r="B147" s="121" t="s">
        <v>1803</v>
      </c>
      <c r="C147" s="644">
        <v>1</v>
      </c>
      <c r="D147" s="644">
        <v>1</v>
      </c>
      <c r="E147" s="644" t="s">
        <v>1803</v>
      </c>
      <c r="F147" s="644" t="s">
        <v>1803</v>
      </c>
      <c r="G147" s="644" t="s">
        <v>1803</v>
      </c>
      <c r="H147" s="122" t="s">
        <v>1803</v>
      </c>
      <c r="I147" s="121" t="s">
        <v>1803</v>
      </c>
      <c r="J147" s="644">
        <v>1</v>
      </c>
      <c r="K147" s="644">
        <v>1</v>
      </c>
      <c r="L147" s="117" t="s">
        <v>1803</v>
      </c>
      <c r="M147" s="644" t="s">
        <v>1803</v>
      </c>
      <c r="N147" s="644" t="s">
        <v>1803</v>
      </c>
      <c r="O147" s="122" t="s">
        <v>1803</v>
      </c>
      <c r="P147" s="121" t="s">
        <v>1803</v>
      </c>
      <c r="Q147" s="644">
        <v>1</v>
      </c>
      <c r="R147" s="644">
        <v>1</v>
      </c>
      <c r="S147" s="117" t="s">
        <v>1803</v>
      </c>
      <c r="T147" s="644" t="s">
        <v>1803</v>
      </c>
      <c r="U147" s="644" t="s">
        <v>1803</v>
      </c>
      <c r="V147" s="122" t="s">
        <v>1803</v>
      </c>
      <c r="W147" s="121" t="s">
        <v>1803</v>
      </c>
      <c r="X147" s="644">
        <v>1</v>
      </c>
      <c r="Y147" s="644">
        <v>1</v>
      </c>
      <c r="Z147" s="117" t="s">
        <v>1803</v>
      </c>
      <c r="AA147" s="644" t="s">
        <v>1803</v>
      </c>
      <c r="AB147" s="644" t="s">
        <v>1803</v>
      </c>
      <c r="AC147" s="122" t="s">
        <v>1803</v>
      </c>
      <c r="AD147" s="121" t="s">
        <v>1803</v>
      </c>
      <c r="AE147" s="644">
        <v>1</v>
      </c>
      <c r="AF147" s="644">
        <v>1</v>
      </c>
      <c r="AG147" s="644" t="s">
        <v>1803</v>
      </c>
      <c r="AH147" s="644" t="s">
        <v>1803</v>
      </c>
      <c r="AI147" s="644" t="s">
        <v>1803</v>
      </c>
      <c r="AJ147" s="122" t="s">
        <v>1803</v>
      </c>
      <c r="AK147" s="121" t="s">
        <v>1803</v>
      </c>
      <c r="AL147" s="644">
        <v>1</v>
      </c>
      <c r="AM147" s="644">
        <v>1</v>
      </c>
      <c r="AN147" s="117" t="s">
        <v>1803</v>
      </c>
      <c r="AO147" s="644" t="s">
        <v>1803</v>
      </c>
      <c r="AP147" s="644" t="s">
        <v>1803</v>
      </c>
      <c r="AQ147" s="122" t="s">
        <v>1803</v>
      </c>
      <c r="AR147" s="121" t="s">
        <v>1803</v>
      </c>
      <c r="AS147" s="644">
        <v>1</v>
      </c>
      <c r="AT147" s="644">
        <v>1</v>
      </c>
      <c r="AU147" s="117" t="s">
        <v>1803</v>
      </c>
      <c r="AV147" s="644" t="s">
        <v>1803</v>
      </c>
      <c r="AW147" s="644" t="s">
        <v>1803</v>
      </c>
      <c r="AX147" s="122" t="s">
        <v>1803</v>
      </c>
      <c r="AY147" s="121" t="s">
        <v>1803</v>
      </c>
      <c r="AZ147" s="644">
        <v>1</v>
      </c>
      <c r="BA147" s="644">
        <v>1</v>
      </c>
      <c r="BB147" s="117" t="s">
        <v>1803</v>
      </c>
      <c r="BC147" s="644" t="s">
        <v>1803</v>
      </c>
      <c r="BD147" s="644" t="s">
        <v>1803</v>
      </c>
      <c r="BE147" s="122" t="s">
        <v>1803</v>
      </c>
      <c r="BF147" s="121" t="s">
        <v>1803</v>
      </c>
      <c r="BG147" s="644">
        <v>1</v>
      </c>
      <c r="BH147" s="644">
        <v>1</v>
      </c>
      <c r="BI147" s="117" t="s">
        <v>1803</v>
      </c>
      <c r="BJ147" s="644" t="s">
        <v>1803</v>
      </c>
      <c r="BK147" s="644" t="s">
        <v>1803</v>
      </c>
      <c r="BL147" s="122" t="s">
        <v>1803</v>
      </c>
      <c r="BM147" s="121" t="s">
        <v>1803</v>
      </c>
      <c r="BN147" s="644">
        <v>1</v>
      </c>
      <c r="BO147" s="644">
        <v>1</v>
      </c>
      <c r="BP147" s="117" t="s">
        <v>1803</v>
      </c>
      <c r="BQ147" s="644" t="s">
        <v>1803</v>
      </c>
      <c r="BR147" s="644" t="s">
        <v>1803</v>
      </c>
      <c r="BS147" s="122" t="s">
        <v>1803</v>
      </c>
    </row>
    <row r="148" spans="1:71" ht="10.5" thickBot="1" x14ac:dyDescent="0.25">
      <c r="A148" s="1333"/>
      <c r="B148" s="545" t="str">
        <f>'C6'!B220</f>
        <v/>
      </c>
      <c r="C148" s="302">
        <f>'C6'!B218</f>
        <v>1</v>
      </c>
      <c r="D148" s="302">
        <f>'C6'!B219</f>
        <v>1</v>
      </c>
      <c r="E148" s="302">
        <f>'C6'!B221</f>
        <v>0</v>
      </c>
      <c r="F148" s="302">
        <f>'C6'!B222</f>
        <v>0</v>
      </c>
      <c r="G148" s="124"/>
      <c r="H148" s="125"/>
      <c r="I148" s="545" t="str">
        <f>'C6'!B225</f>
        <v/>
      </c>
      <c r="J148" s="302">
        <f>'C6'!B223</f>
        <v>1</v>
      </c>
      <c r="K148" s="302">
        <f>'C6'!B224</f>
        <v>1</v>
      </c>
      <c r="L148" s="302">
        <f>'C6'!B226</f>
        <v>0</v>
      </c>
      <c r="M148" s="302">
        <f>'C6'!B227</f>
        <v>0</v>
      </c>
      <c r="N148" s="124"/>
      <c r="O148" s="125"/>
      <c r="P148" s="545" t="str">
        <f>'C6'!B230</f>
        <v/>
      </c>
      <c r="Q148" s="302">
        <f>'C6'!B228</f>
        <v>1</v>
      </c>
      <c r="R148" s="302">
        <f>'C6'!B229</f>
        <v>1</v>
      </c>
      <c r="S148" s="302">
        <f>'C6'!B231</f>
        <v>0</v>
      </c>
      <c r="T148" s="302">
        <f>'C6'!B232</f>
        <v>0</v>
      </c>
      <c r="U148" s="124"/>
      <c r="V148" s="125"/>
      <c r="W148" s="545" t="str">
        <f>'C6'!B235</f>
        <v/>
      </c>
      <c r="X148" s="302">
        <f>'C6'!B233</f>
        <v>1</v>
      </c>
      <c r="Y148" s="302">
        <f>'C6'!B234</f>
        <v>1</v>
      </c>
      <c r="Z148" s="302">
        <f>'C6'!B236</f>
        <v>0</v>
      </c>
      <c r="AA148" s="302">
        <f>'C6'!B237</f>
        <v>0</v>
      </c>
      <c r="AB148" s="124"/>
      <c r="AC148" s="125"/>
      <c r="AD148" s="545" t="str">
        <f>'C6'!B240</f>
        <v/>
      </c>
      <c r="AE148" s="302">
        <f>'C6'!B238</f>
        <v>1</v>
      </c>
      <c r="AF148" s="302">
        <f>'C6'!B239</f>
        <v>1</v>
      </c>
      <c r="AG148" s="302">
        <f>'C6'!B241</f>
        <v>0</v>
      </c>
      <c r="AH148" s="302">
        <f>'C6'!B242</f>
        <v>0</v>
      </c>
      <c r="AI148" s="124"/>
      <c r="AJ148" s="125"/>
      <c r="AK148" s="545" t="str">
        <f>'C6'!B245</f>
        <v/>
      </c>
      <c r="AL148" s="302">
        <f>'C6'!B243</f>
        <v>1</v>
      </c>
      <c r="AM148" s="302">
        <f>'C6'!B244</f>
        <v>1</v>
      </c>
      <c r="AN148" s="302">
        <f>'C6'!B246</f>
        <v>0</v>
      </c>
      <c r="AO148" s="302">
        <f>'C6'!B247</f>
        <v>0</v>
      </c>
      <c r="AP148" s="124"/>
      <c r="AQ148" s="125"/>
      <c r="AR148" s="545" t="str">
        <f>'C6'!B250</f>
        <v/>
      </c>
      <c r="AS148" s="302">
        <f>'C6'!B248</f>
        <v>1</v>
      </c>
      <c r="AT148" s="302">
        <f>'C6'!B249</f>
        <v>1</v>
      </c>
      <c r="AU148" s="302">
        <f>'C6'!B251</f>
        <v>0</v>
      </c>
      <c r="AV148" s="302">
        <f>'C6'!B252</f>
        <v>0</v>
      </c>
      <c r="AW148" s="124"/>
      <c r="AX148" s="125"/>
      <c r="AY148" s="545" t="str">
        <f>'C6'!B255</f>
        <v/>
      </c>
      <c r="AZ148" s="302">
        <f>'C6'!B253</f>
        <v>1</v>
      </c>
      <c r="BA148" s="302">
        <f>'C6'!B254</f>
        <v>1</v>
      </c>
      <c r="BB148" s="302">
        <f>'C6'!B256</f>
        <v>0</v>
      </c>
      <c r="BC148" s="302">
        <f>'C6'!B257</f>
        <v>0</v>
      </c>
      <c r="BD148" s="124"/>
      <c r="BE148" s="125"/>
      <c r="BF148" s="545" t="str">
        <f>'C6'!B260</f>
        <v/>
      </c>
      <c r="BG148" s="302">
        <f>'C6'!B258</f>
        <v>1</v>
      </c>
      <c r="BH148" s="302">
        <f>'C6'!B259</f>
        <v>1</v>
      </c>
      <c r="BI148" s="302">
        <f>'C6'!B261</f>
        <v>0</v>
      </c>
      <c r="BJ148" s="302">
        <f>'C6'!B262</f>
        <v>0</v>
      </c>
      <c r="BK148" s="124"/>
      <c r="BL148" s="125"/>
      <c r="BM148" s="545" t="str">
        <f>'C6'!B265</f>
        <v/>
      </c>
      <c r="BN148" s="302">
        <f>'C6'!B263</f>
        <v>1</v>
      </c>
      <c r="BO148" s="302">
        <f>'C6'!B264</f>
        <v>1</v>
      </c>
      <c r="BP148" s="302">
        <f>'C6'!B266</f>
        <v>0</v>
      </c>
      <c r="BQ148" s="302">
        <f>'C6'!B267</f>
        <v>0</v>
      </c>
      <c r="BR148" s="124"/>
      <c r="BS148" s="125"/>
    </row>
    <row r="149" spans="1:71" x14ac:dyDescent="0.2">
      <c r="A149" s="1327">
        <v>1</v>
      </c>
      <c r="B149" s="1324" t="str">
        <f>TRU&amp;TRU!C6</f>
        <v>TRU1</v>
      </c>
      <c r="C149" s="1324" t="str">
        <f>TRU&amp;TRU!G6</f>
        <v>TRU2</v>
      </c>
      <c r="D149" s="1324" t="str">
        <f>TRU&amp;TRU!C11</f>
        <v>TRU3</v>
      </c>
      <c r="E149" s="1324" t="str">
        <f>TRU&amp;TRU!C15</f>
        <v>TRU4</v>
      </c>
      <c r="F149" s="1324" t="str">
        <f>TRU&amp;TRU!G11</f>
        <v>TRU5</v>
      </c>
      <c r="G149" s="1324" t="str">
        <f>TRU&amp;TRU!C20</f>
        <v>TRU7</v>
      </c>
      <c r="H149" s="1324" t="str">
        <f>TRU&amp;TRU!C24</f>
        <v>TRU8</v>
      </c>
      <c r="I149" s="1324" t="str">
        <f>TRU&amp;TRU!C28</f>
        <v>TRU9</v>
      </c>
      <c r="J149" s="1324" t="str">
        <f>TRU&amp;TRU!C32</f>
        <v>TRU10</v>
      </c>
      <c r="K149" s="1324" t="str">
        <f>TRU&amp;TRU!G20</f>
        <v>TRU11</v>
      </c>
      <c r="L149" s="1324" t="str">
        <f>TRU&amp;TRU!G24</f>
        <v>TRU12</v>
      </c>
      <c r="M149" s="1324" t="str">
        <f>TRU&amp;TRU!G28</f>
        <v>TRU13</v>
      </c>
      <c r="N149" s="1324" t="str">
        <f>TRU&amp;TRU!G32</f>
        <v>TRU14</v>
      </c>
      <c r="O149" s="1324" t="str">
        <f>TRU&amp;TRU!G36</f>
        <v>TRU15</v>
      </c>
      <c r="P149" s="1324" t="str">
        <f>TRU&amp;TRU!K6</f>
        <v>TRU16</v>
      </c>
      <c r="Q149" s="1324" t="str">
        <f>TRU&amp;TRU!K11</f>
        <v>TRU17</v>
      </c>
      <c r="R149" s="1324" t="str">
        <f>TRU&amp;TRU!K15</f>
        <v>TRU18</v>
      </c>
      <c r="S149" s="1324" t="str">
        <f>TRU&amp;TRU!K20</f>
        <v>TRU18.1</v>
      </c>
      <c r="T149" s="1324" t="str">
        <f>TRU&amp;TRU!O6</f>
        <v>TRU19</v>
      </c>
      <c r="U149" s="1324" t="str">
        <f>TRU&amp;TRU!K24</f>
        <v>TRU22</v>
      </c>
      <c r="V149" s="1336" t="str">
        <f>TRU&amp;TRU!K28</f>
        <v>TRU22.1</v>
      </c>
      <c r="W149" s="1324" t="str">
        <f>TRU&amp;TRU!O24</f>
        <v>TRU23</v>
      </c>
      <c r="X149" s="1324" t="str">
        <f>TRU&amp;TRU!K35</f>
        <v>TRU24</v>
      </c>
      <c r="Y149" s="1324" t="s">
        <v>2127</v>
      </c>
      <c r="Z149" s="1324" t="s">
        <v>2128</v>
      </c>
    </row>
    <row r="150" spans="1:71" ht="10.5" x14ac:dyDescent="0.25">
      <c r="A150" s="643" t="s">
        <v>36</v>
      </c>
      <c r="B150" s="646" t="s">
        <v>1819</v>
      </c>
      <c r="C150" s="646" t="s">
        <v>2129</v>
      </c>
      <c r="D150" s="646" t="s">
        <v>1842</v>
      </c>
      <c r="E150" s="646" t="s">
        <v>1797</v>
      </c>
      <c r="F150" s="646" t="s">
        <v>1831</v>
      </c>
      <c r="G150" s="646" t="s">
        <v>1848</v>
      </c>
      <c r="H150" s="646" t="s">
        <v>1930</v>
      </c>
      <c r="I150" s="646" t="s">
        <v>1816</v>
      </c>
      <c r="J150" s="646" t="s">
        <v>1834</v>
      </c>
      <c r="K150" s="646" t="s">
        <v>1847</v>
      </c>
      <c r="L150" s="646" t="s">
        <v>1931</v>
      </c>
      <c r="M150" s="646" t="s">
        <v>1839</v>
      </c>
      <c r="N150" s="646" t="s">
        <v>1903</v>
      </c>
      <c r="O150" s="646" t="s">
        <v>2130</v>
      </c>
      <c r="P150" s="646" t="s">
        <v>2131</v>
      </c>
      <c r="Q150" s="646" t="s">
        <v>2132</v>
      </c>
      <c r="R150" s="646" t="s">
        <v>1946</v>
      </c>
      <c r="S150" s="10" t="s">
        <v>1879</v>
      </c>
      <c r="T150" s="646" t="s">
        <v>2133</v>
      </c>
      <c r="U150" s="646" t="s">
        <v>2134</v>
      </c>
      <c r="V150" s="1051" t="s">
        <v>2135</v>
      </c>
      <c r="W150" s="646" t="s">
        <v>2136</v>
      </c>
      <c r="X150" s="646" t="s">
        <v>1952</v>
      </c>
      <c r="Y150" s="646" t="s">
        <v>2137</v>
      </c>
      <c r="Z150" s="646" t="s">
        <v>2138</v>
      </c>
    </row>
    <row r="151" spans="1:71" ht="10.5" x14ac:dyDescent="0.25">
      <c r="A151" s="645">
        <v>26</v>
      </c>
      <c r="B151" s="644" t="s">
        <v>1803</v>
      </c>
      <c r="C151" s="644" t="s">
        <v>1803</v>
      </c>
      <c r="D151" s="644" t="s">
        <v>1803</v>
      </c>
      <c r="E151" s="644" t="s">
        <v>1803</v>
      </c>
      <c r="F151" s="644" t="s">
        <v>1803</v>
      </c>
      <c r="G151" s="644" t="s">
        <v>1803</v>
      </c>
      <c r="H151" s="644" t="s">
        <v>1803</v>
      </c>
      <c r="I151" s="644" t="s">
        <v>1803</v>
      </c>
      <c r="J151" s="644" t="s">
        <v>1803</v>
      </c>
      <c r="K151" s="644" t="s">
        <v>1803</v>
      </c>
      <c r="L151" s="644" t="s">
        <v>1803</v>
      </c>
      <c r="M151" s="644" t="s">
        <v>1803</v>
      </c>
      <c r="N151" s="644" t="s">
        <v>1803</v>
      </c>
      <c r="O151" s="644" t="s">
        <v>1803</v>
      </c>
      <c r="P151" s="644" t="s">
        <v>1803</v>
      </c>
      <c r="Q151" s="644" t="s">
        <v>1803</v>
      </c>
      <c r="R151" s="644" t="s">
        <v>1803</v>
      </c>
      <c r="S151" s="10" t="s">
        <v>1803</v>
      </c>
      <c r="T151" s="644" t="s">
        <v>1803</v>
      </c>
      <c r="U151" s="644" t="s">
        <v>1803</v>
      </c>
      <c r="V151" s="1050" t="s">
        <v>1803</v>
      </c>
      <c r="W151" s="644" t="s">
        <v>1803</v>
      </c>
      <c r="X151" s="644" t="s">
        <v>1803</v>
      </c>
      <c r="Y151" s="644" t="s">
        <v>1803</v>
      </c>
      <c r="Z151" s="644" t="s">
        <v>1803</v>
      </c>
    </row>
    <row r="152" spans="1:71" ht="10.5" x14ac:dyDescent="0.25">
      <c r="A152" s="650"/>
      <c r="B152" s="1341" t="str">
        <f>'C7'!B2</f>
        <v/>
      </c>
      <c r="C152" s="1341" t="str">
        <f>'C7'!B3</f>
        <v/>
      </c>
      <c r="D152" s="1341" t="str">
        <f>'C7'!B4</f>
        <v/>
      </c>
      <c r="E152" s="1341" t="str">
        <f>'C7'!B5</f>
        <v/>
      </c>
      <c r="F152" s="1341" t="str">
        <f>'C7'!B6</f>
        <v/>
      </c>
      <c r="G152" s="1341" t="str">
        <f>'C7'!B8</f>
        <v/>
      </c>
      <c r="H152" s="1341" t="str">
        <f>'C7'!B9</f>
        <v/>
      </c>
      <c r="I152" s="1341" t="str">
        <f>'C7'!B10</f>
        <v/>
      </c>
      <c r="J152" s="1341" t="str">
        <f>'C7'!B11</f>
        <v/>
      </c>
      <c r="K152" s="1341" t="str">
        <f>'C7'!B12</f>
        <v/>
      </c>
      <c r="L152" s="1341" t="str">
        <f>'C7'!B13</f>
        <v/>
      </c>
      <c r="M152" s="1341" t="str">
        <f>'C7'!B14</f>
        <v/>
      </c>
      <c r="N152" s="1341" t="str">
        <f>'C7'!B15</f>
        <v/>
      </c>
      <c r="O152" s="1341" t="str">
        <f>'C7'!B16</f>
        <v/>
      </c>
      <c r="P152" s="1341" t="str">
        <f>'C7'!B17</f>
        <v/>
      </c>
      <c r="Q152" s="1341" t="str">
        <f>'C7'!B18</f>
        <v/>
      </c>
      <c r="R152" s="1341" t="str">
        <f>'C7'!B19</f>
        <v/>
      </c>
      <c r="S152" s="1341" t="str">
        <f>'C7'!B20</f>
        <v/>
      </c>
      <c r="T152" s="1341" t="str">
        <f>'C7'!B21</f>
        <v/>
      </c>
      <c r="U152" s="1341" t="str">
        <f>'C7'!B22</f>
        <v/>
      </c>
      <c r="V152" s="1337" t="str">
        <f>'C7'!B23</f>
        <v/>
      </c>
      <c r="W152" s="1341" t="str">
        <f>'C7'!B24</f>
        <v/>
      </c>
      <c r="X152" s="1341" t="str">
        <f>'C7'!B25</f>
        <v/>
      </c>
      <c r="Y152" s="644" t="str">
        <f>'C7'!B26</f>
        <v/>
      </c>
      <c r="Z152" s="644" t="str">
        <f>'C7'!B27</f>
        <v/>
      </c>
    </row>
    <row r="153" spans="1:71" x14ac:dyDescent="0.2">
      <c r="A153" s="1327">
        <v>169</v>
      </c>
      <c r="B153" s="1324" t="str">
        <f>CGT&amp;CGT!C4</f>
        <v>CGT6</v>
      </c>
      <c r="C153" s="1336" t="str">
        <f>CGT&amp;CGT!C7</f>
        <v>CGT6.1</v>
      </c>
      <c r="D153" s="1324" t="str">
        <f>CGT&amp;CGT!C10</f>
        <v>CGT7</v>
      </c>
      <c r="E153" s="1324" t="str">
        <f>CGT&amp;CGT!G4</f>
        <v>CGT10</v>
      </c>
      <c r="F153" s="1324" t="str">
        <f>CGT&amp;CGT!G10</f>
        <v>CGT12</v>
      </c>
      <c r="G153" s="1324" t="str">
        <f>CGT&amp;CGT!C13</f>
        <v>CGT13B</v>
      </c>
      <c r="H153" s="1336" t="str">
        <f>CGT&amp;CGT!G13</f>
        <v>CGT13C</v>
      </c>
      <c r="I153" s="1324" t="str">
        <f>CGT&amp;CGT!C18</f>
        <v>CGT13.4</v>
      </c>
      <c r="J153" s="1324" t="str">
        <f>CGT&amp;CGT!C21</f>
        <v>CGT13.5</v>
      </c>
      <c r="K153" s="1324" t="str">
        <f>CGT&amp;CGT!G18</f>
        <v>CGT13.8</v>
      </c>
      <c r="L153" s="1324" t="str">
        <f>CGT&amp;CGT!C26</f>
        <v>CGT17</v>
      </c>
      <c r="M153" s="1336" t="str">
        <f>CGT&amp;CGT!C29&amp;".0"</f>
        <v>CGT17.0</v>
      </c>
      <c r="N153" s="1324" t="str">
        <f>CGT&amp;CGT!G26</f>
        <v>CGT19</v>
      </c>
      <c r="O153" s="1324" t="str">
        <f>CGT&amp;CGT!G32</f>
        <v>CGT22</v>
      </c>
      <c r="P153" s="1324" t="str">
        <f>CGT&amp;CGT!C36</f>
        <v>CGT26</v>
      </c>
      <c r="Q153" s="1336" t="str">
        <f>CGT&amp;CGT!C39</f>
        <v>CGT26.1</v>
      </c>
      <c r="R153" s="1324" t="str">
        <f>CGT&amp;CGT!G36</f>
        <v>CGT27</v>
      </c>
      <c r="S153" s="1324" t="str">
        <f>CGT&amp;CGT!G39</f>
        <v>CGT30</v>
      </c>
      <c r="T153" s="1324" t="str">
        <f>CGT&amp;CGT!C43</f>
        <v>CGT34</v>
      </c>
      <c r="U153" s="1336" t="str">
        <f>CGT&amp;CGT!G43</f>
        <v>CGT34.1</v>
      </c>
      <c r="V153" s="1324" t="str">
        <f>CGT&amp;CGT!C46</f>
        <v>CGT35</v>
      </c>
      <c r="W153" s="1324" t="str">
        <f>CGT&amp;CGT!G46</f>
        <v>CGT38</v>
      </c>
      <c r="X153" s="1324" t="str">
        <f>CGT&amp;CGT!C49</f>
        <v>CGT41</v>
      </c>
      <c r="Y153" s="1324" t="str">
        <f>CGT&amp;CGT!C52</f>
        <v>CGT42</v>
      </c>
      <c r="Z153" s="1324" t="str">
        <f>CGT&amp;CGT!G52</f>
        <v>CGT43</v>
      </c>
      <c r="AA153" s="1324" t="str">
        <f>CGT&amp;CGT!L4</f>
        <v>CGT45</v>
      </c>
      <c r="AB153" s="1324" t="str">
        <f>CGT&amp;CGT!P4</f>
        <v>CGT46</v>
      </c>
      <c r="AC153" s="1324" t="str">
        <f>CGT&amp;CGT!P8</f>
        <v>CGT48</v>
      </c>
      <c r="AD153" s="1324" t="str">
        <f>CGT&amp;CGT!P11</f>
        <v>CGT49</v>
      </c>
      <c r="AE153" s="1324" t="str">
        <f>CGT&amp;CGT!P15</f>
        <v>CGT50</v>
      </c>
      <c r="AF153" s="1324" t="str">
        <f>CGT&amp;CGT!L18</f>
        <v>CGT51</v>
      </c>
      <c r="AG153" s="1324" t="str">
        <f>CGT&amp;CGT!P18</f>
        <v>CGT52</v>
      </c>
      <c r="AH153" s="1324" t="str">
        <f>CGT&amp;CGT!L26</f>
        <v>CGT52.1</v>
      </c>
      <c r="AI153" s="1324" t="str">
        <f>CGT&amp;CGT!L34</f>
        <v>CGT52.2</v>
      </c>
      <c r="AJ153" s="1324" t="str">
        <f>CGT&amp;CGT!P26</f>
        <v>CGT52.3</v>
      </c>
      <c r="AK153" s="1324" t="str">
        <f>CGT&amp;CGT!P30</f>
        <v>CGT52.4</v>
      </c>
      <c r="AL153" s="1324" t="str">
        <f>CGT&amp;CGT!P34</f>
        <v>CGT52.5</v>
      </c>
    </row>
    <row r="154" spans="1:71" ht="10.5" x14ac:dyDescent="0.25">
      <c r="A154" s="643" t="s">
        <v>37</v>
      </c>
      <c r="B154" s="646" t="s">
        <v>1805</v>
      </c>
      <c r="C154" s="1091" t="s">
        <v>1806</v>
      </c>
      <c r="D154" s="646" t="s">
        <v>1807</v>
      </c>
      <c r="E154" s="646" t="s">
        <v>1809</v>
      </c>
      <c r="F154" s="646" t="s">
        <v>1811</v>
      </c>
      <c r="G154" s="646" t="s">
        <v>1808</v>
      </c>
      <c r="H154" s="1091" t="s">
        <v>1812</v>
      </c>
      <c r="I154" s="646" t="s">
        <v>1798</v>
      </c>
      <c r="J154" s="646" t="s">
        <v>1799</v>
      </c>
      <c r="K154" s="646" t="s">
        <v>1928</v>
      </c>
      <c r="L154" s="646" t="s">
        <v>1922</v>
      </c>
      <c r="M154" s="1091" t="s">
        <v>2139</v>
      </c>
      <c r="N154" s="646" t="s">
        <v>1880</v>
      </c>
      <c r="O154" s="646" t="s">
        <v>1903</v>
      </c>
      <c r="P154" s="646" t="s">
        <v>2140</v>
      </c>
      <c r="Q154" s="1091" t="s">
        <v>2141</v>
      </c>
      <c r="R154" s="646" t="s">
        <v>2130</v>
      </c>
      <c r="S154" s="646" t="s">
        <v>2142</v>
      </c>
      <c r="T154" s="646" t="s">
        <v>2143</v>
      </c>
      <c r="U154" s="1091" t="s">
        <v>1936</v>
      </c>
      <c r="V154" s="646" t="s">
        <v>1937</v>
      </c>
      <c r="W154" s="646" t="s">
        <v>1938</v>
      </c>
      <c r="X154" s="646" t="s">
        <v>2144</v>
      </c>
      <c r="Y154" s="646" t="s">
        <v>1835</v>
      </c>
      <c r="Z154" s="646" t="s">
        <v>1911</v>
      </c>
      <c r="AA154" s="646" t="s">
        <v>2145</v>
      </c>
      <c r="AB154" s="646" t="s">
        <v>2146</v>
      </c>
      <c r="AC154" s="646" t="s">
        <v>2147</v>
      </c>
      <c r="AD154" s="646" t="s">
        <v>2148</v>
      </c>
      <c r="AE154" s="646" t="s">
        <v>2149</v>
      </c>
      <c r="AF154" s="646" t="s">
        <v>2150</v>
      </c>
      <c r="AG154" s="646" t="s">
        <v>2151</v>
      </c>
      <c r="AH154" s="646" t="s">
        <v>2152</v>
      </c>
      <c r="AI154" s="646" t="s">
        <v>2153</v>
      </c>
      <c r="AJ154" s="646" t="s">
        <v>2154</v>
      </c>
      <c r="AK154" s="646" t="s">
        <v>2155</v>
      </c>
      <c r="AL154" s="646" t="s">
        <v>2156</v>
      </c>
    </row>
    <row r="155" spans="1:71" ht="10.5" x14ac:dyDescent="0.25">
      <c r="A155" s="645">
        <v>38</v>
      </c>
      <c r="B155" s="644" t="s">
        <v>1803</v>
      </c>
      <c r="C155" s="1050" t="s">
        <v>1803</v>
      </c>
      <c r="D155" s="644" t="s">
        <v>1803</v>
      </c>
      <c r="E155" s="644" t="s">
        <v>1803</v>
      </c>
      <c r="F155" s="644" t="s">
        <v>1803</v>
      </c>
      <c r="G155" s="644" t="s">
        <v>1803</v>
      </c>
      <c r="H155" s="1050" t="s">
        <v>1803</v>
      </c>
      <c r="I155" s="644" t="s">
        <v>1803</v>
      </c>
      <c r="J155" s="644" t="s">
        <v>1803</v>
      </c>
      <c r="K155" s="644" t="s">
        <v>1803</v>
      </c>
      <c r="L155" s="644" t="s">
        <v>1803</v>
      </c>
      <c r="M155" s="1050" t="s">
        <v>1803</v>
      </c>
      <c r="N155" s="644" t="s">
        <v>1803</v>
      </c>
      <c r="O155" s="644" t="s">
        <v>1803</v>
      </c>
      <c r="P155" s="644" t="s">
        <v>1803</v>
      </c>
      <c r="Q155" s="1050" t="s">
        <v>1803</v>
      </c>
      <c r="R155" s="644" t="s">
        <v>1803</v>
      </c>
      <c r="S155" s="644" t="s">
        <v>1803</v>
      </c>
      <c r="T155" s="644" t="s">
        <v>1803</v>
      </c>
      <c r="U155" s="1050" t="s">
        <v>1803</v>
      </c>
      <c r="V155" s="644" t="s">
        <v>1803</v>
      </c>
      <c r="W155" s="644" t="s">
        <v>1803</v>
      </c>
      <c r="X155" s="644" t="s">
        <v>1803</v>
      </c>
      <c r="Y155" s="644" t="s">
        <v>1803</v>
      </c>
      <c r="Z155" s="644" t="s">
        <v>1803</v>
      </c>
      <c r="AA155" s="644" t="s">
        <v>1803</v>
      </c>
      <c r="AB155" s="644" t="s">
        <v>1803</v>
      </c>
      <c r="AC155" s="644" t="s">
        <v>1803</v>
      </c>
      <c r="AD155" s="644" t="s">
        <v>1803</v>
      </c>
      <c r="AE155" s="644" t="s">
        <v>1803</v>
      </c>
      <c r="AF155" s="644" t="s">
        <v>1803</v>
      </c>
      <c r="AG155" s="644" t="s">
        <v>1803</v>
      </c>
      <c r="AH155" s="644" t="s">
        <v>1803</v>
      </c>
      <c r="AI155" s="644" t="s">
        <v>1803</v>
      </c>
      <c r="AJ155" s="644" t="b">
        <v>0</v>
      </c>
      <c r="AK155" s="644" t="s">
        <v>1803</v>
      </c>
      <c r="AL155" s="644" t="s">
        <v>1803</v>
      </c>
    </row>
    <row r="156" spans="1:71" ht="10.5" x14ac:dyDescent="0.25">
      <c r="A156" s="650"/>
      <c r="B156" s="1346">
        <f>'C8C9C10'!B8</f>
        <v>29077</v>
      </c>
      <c r="C156" s="1347" t="str">
        <f>'C8C9C10'!B9</f>
        <v/>
      </c>
      <c r="D156" s="1341" t="str">
        <f>'C8C9C10'!B10</f>
        <v/>
      </c>
      <c r="E156" s="1341" t="str">
        <f>'C8C9C10'!B13</f>
        <v/>
      </c>
      <c r="F156" s="1346" t="str">
        <f>'C8C9C10'!B15</f>
        <v/>
      </c>
      <c r="G156" s="1346" t="str">
        <f>'C8C9C10'!B18</f>
        <v/>
      </c>
      <c r="H156" s="1347" t="str">
        <f>'C8C9C10'!B19</f>
        <v/>
      </c>
      <c r="I156" s="1346" t="str">
        <f>'C8C9C10'!B23</f>
        <v/>
      </c>
      <c r="J156" s="1346" t="str">
        <f>'C8C9C10'!B24</f>
        <v/>
      </c>
      <c r="K156" s="1346" t="str">
        <f>'C8C9C10'!B27</f>
        <v/>
      </c>
      <c r="L156" s="1346" t="str">
        <f>'C8C9C10'!B31</f>
        <v/>
      </c>
      <c r="M156" s="1347" t="str">
        <f>'C8C9C10'!B32</f>
        <v/>
      </c>
      <c r="N156" s="1341" t="str">
        <f>'C8C9C10'!B38</f>
        <v/>
      </c>
      <c r="O156" s="1341" t="str">
        <f>'C8C9C10'!B41</f>
        <v/>
      </c>
      <c r="P156" s="1346">
        <f>'C8C9C10'!B45</f>
        <v>7409</v>
      </c>
      <c r="Q156" s="1347" t="str">
        <f>'C8C9C10'!B46</f>
        <v/>
      </c>
      <c r="R156" s="1341" t="str">
        <f>'C8C9C10'!B47</f>
        <v/>
      </c>
      <c r="S156" s="1341" t="str">
        <f>'C8C9C10'!B50</f>
        <v/>
      </c>
      <c r="T156" s="1346" t="str">
        <f>'C8C9C10'!B54</f>
        <v/>
      </c>
      <c r="U156" s="1347" t="str">
        <f>'C8C9C10'!B55</f>
        <v/>
      </c>
      <c r="V156" s="1341" t="str">
        <f>'C8C9C10'!B56</f>
        <v/>
      </c>
      <c r="W156" s="1341" t="str">
        <f>'C8C9C10'!B59</f>
        <v/>
      </c>
      <c r="X156" s="1326" t="str">
        <f>'C8C9C10'!B62</f>
        <v/>
      </c>
      <c r="Y156" s="1326" t="str">
        <f>'C8C9C10'!B63</f>
        <v/>
      </c>
      <c r="Z156" s="1326" t="str">
        <f>'C8C9C10'!B64</f>
        <v/>
      </c>
      <c r="AA156" s="1326" t="str">
        <f>'C8C9C10'!B66</f>
        <v/>
      </c>
      <c r="AB156" s="1326" t="str">
        <f>'C8C9C10'!B67</f>
        <v/>
      </c>
      <c r="AC156" s="1326" t="str">
        <f>'C8C9C10'!B69</f>
        <v/>
      </c>
      <c r="AD156" s="1348" t="str">
        <f>'C8C9C10'!B70</f>
        <v/>
      </c>
      <c r="AE156" s="1326" t="str">
        <f>'C8C9C10'!B71</f>
        <v/>
      </c>
      <c r="AF156" s="1326" t="str">
        <f>'C8C9C10'!B73</f>
        <v/>
      </c>
      <c r="AG156" s="1326" t="str">
        <f>'C8C9C10'!B74</f>
        <v/>
      </c>
      <c r="AH156" s="1348" t="str">
        <f>'C8C9C10'!B75</f>
        <v/>
      </c>
      <c r="AI156" s="1348" t="str">
        <f>'C8C9C10'!B76</f>
        <v/>
      </c>
      <c r="AJ156" s="1348" t="b">
        <f>'C8C9C10'!B77="Y"</f>
        <v>0</v>
      </c>
      <c r="AK156" s="1348" t="str">
        <f>'C8C9C10'!B78</f>
        <v/>
      </c>
      <c r="AL156" s="1348" t="str">
        <f>'C8C9C10'!B79</f>
        <v/>
      </c>
    </row>
    <row r="157" spans="1:71" x14ac:dyDescent="0.2">
      <c r="A157" s="1327">
        <v>1</v>
      </c>
      <c r="B157" s="1324" t="str">
        <f>NRD&amp;NRD!C5</f>
        <v>NRD1</v>
      </c>
      <c r="C157" s="1324" t="str">
        <f>NRD&amp;NRD!C9</f>
        <v>NRD15</v>
      </c>
      <c r="D157" s="1324" t="str">
        <f>NRD&amp;NRD!C12</f>
        <v>NRD16</v>
      </c>
      <c r="E157" s="1324" t="str">
        <f>NRD&amp;NRD!D16</f>
        <v>NRD20</v>
      </c>
      <c r="F157" s="1324" t="str">
        <f>NRD&amp;NRD!D19</f>
        <v>NRD21</v>
      </c>
      <c r="G157" s="1324" t="str">
        <f>NRD&amp;NRD!D22</f>
        <v>NRD22</v>
      </c>
      <c r="H157" s="1324" t="s">
        <v>2157</v>
      </c>
      <c r="I157" s="1324" t="str">
        <f>NRD&amp;NRD!H5</f>
        <v>NRD28</v>
      </c>
      <c r="J157" s="1324" t="str">
        <f>NRD&amp;NRD!H8</f>
        <v>NRD29</v>
      </c>
      <c r="K157" s="1324" t="str">
        <f>NRD&amp;NRD!H12</f>
        <v>NRD40</v>
      </c>
      <c r="L157" s="1336" t="str">
        <f>NRD&amp;NRD!H15</f>
        <v>NRD49</v>
      </c>
      <c r="M157" s="1336" t="str">
        <f>NRD&amp;NRD!H19</f>
        <v>NRD51</v>
      </c>
      <c r="N157" s="1349" t="str">
        <f>NRD&amp;NRD!K19</f>
        <v>NRD52</v>
      </c>
      <c r="O157" s="1350"/>
      <c r="P157" s="1351"/>
      <c r="Q157" s="1351"/>
    </row>
    <row r="158" spans="1:71" ht="10.5" x14ac:dyDescent="0.25">
      <c r="A158" s="643" t="s">
        <v>38</v>
      </c>
      <c r="B158" s="644" t="s">
        <v>2158</v>
      </c>
      <c r="C158" s="644" t="s">
        <v>2159</v>
      </c>
      <c r="D158" s="644" t="s">
        <v>2147</v>
      </c>
      <c r="E158" s="648" t="s">
        <v>2160</v>
      </c>
      <c r="F158" s="648" t="s">
        <v>2161</v>
      </c>
      <c r="G158" s="648" t="s">
        <v>2162</v>
      </c>
      <c r="H158" s="644" t="s">
        <v>2163</v>
      </c>
      <c r="I158" s="644" t="s">
        <v>2164</v>
      </c>
      <c r="J158" s="644" t="s">
        <v>2165</v>
      </c>
      <c r="K158" s="644" t="s">
        <v>2166</v>
      </c>
      <c r="L158" s="1050" t="s">
        <v>2073</v>
      </c>
      <c r="M158" s="1050" t="s">
        <v>1825</v>
      </c>
      <c r="N158" s="1050" t="s">
        <v>1868</v>
      </c>
      <c r="O158" s="651"/>
      <c r="P158" s="10"/>
      <c r="Q158" s="10"/>
    </row>
    <row r="159" spans="1:71" ht="10.5" x14ac:dyDescent="0.25">
      <c r="A159" s="645">
        <v>14</v>
      </c>
      <c r="B159" s="644" t="b">
        <v>0</v>
      </c>
      <c r="C159" s="644" t="b">
        <v>0</v>
      </c>
      <c r="D159" s="644" t="b">
        <v>0</v>
      </c>
      <c r="E159" s="644" t="s">
        <v>1803</v>
      </c>
      <c r="F159" s="644" t="s">
        <v>1803</v>
      </c>
      <c r="G159" s="644" t="s">
        <v>1803</v>
      </c>
      <c r="H159" s="644" t="b">
        <v>0</v>
      </c>
      <c r="I159" s="644" t="b">
        <v>0</v>
      </c>
      <c r="J159" s="644" t="b">
        <v>0</v>
      </c>
      <c r="K159" s="644" t="b">
        <v>0</v>
      </c>
      <c r="L159" s="1050" t="s">
        <v>1803</v>
      </c>
      <c r="M159" s="1050" t="s">
        <v>1803</v>
      </c>
      <c r="N159" s="1050" t="s">
        <v>1803</v>
      </c>
      <c r="O159" s="651"/>
      <c r="P159" s="10"/>
      <c r="Q159" s="10"/>
    </row>
    <row r="160" spans="1:71" ht="10.5" x14ac:dyDescent="0.25">
      <c r="A160" s="650"/>
      <c r="B160" s="1326" t="b">
        <f>'C8C9C10'!B89="Y"</f>
        <v>0</v>
      </c>
      <c r="C160" s="1326" t="b">
        <f>'C8C9C10'!B105="Y"</f>
        <v>0</v>
      </c>
      <c r="D160" s="1326" t="b">
        <f>'C8C9C10'!B106="Y"</f>
        <v>0</v>
      </c>
      <c r="E160" s="1" t="str">
        <f>'C8C9C10'!B110</f>
        <v/>
      </c>
      <c r="F160" s="1326" t="str">
        <f>'C8C9C10'!B111</f>
        <v/>
      </c>
      <c r="G160" s="1326" t="str">
        <f>'C8C9C10'!B112</f>
        <v/>
      </c>
      <c r="H160" s="1326" t="b">
        <v>0</v>
      </c>
      <c r="I160" s="1326" t="b">
        <f>'C8C9C10'!B121="Y"</f>
        <v>0</v>
      </c>
      <c r="J160" s="1326" t="b">
        <f>'C8C9C10'!B122="Y"</f>
        <v>0</v>
      </c>
      <c r="K160" s="1326" t="b">
        <f>'C8C9C10'!B133="Y"</f>
        <v>0</v>
      </c>
      <c r="L160" s="2448" t="str">
        <f>'C8C9C10'!B140</f>
        <v/>
      </c>
      <c r="M160" s="2448" t="str">
        <f>'C8C9C10'!B142</f>
        <v/>
      </c>
      <c r="N160" s="2448" t="str">
        <f>'C8C9C10'!B143</f>
        <v/>
      </c>
      <c r="O160" s="651"/>
      <c r="P160" s="10"/>
      <c r="Q160" s="10"/>
    </row>
    <row r="161" spans="1:28" x14ac:dyDescent="0.2">
      <c r="A161" s="1327">
        <v>1</v>
      </c>
      <c r="B161" s="1334" t="str">
        <f>CAL&amp;CAL!C6</f>
        <v>CAL7</v>
      </c>
      <c r="C161" s="1334" t="str">
        <f>CAL&amp;CAL!C9</f>
        <v>CAL8</v>
      </c>
      <c r="D161" s="1334" t="str">
        <f>CAL&amp;CAL!G9</f>
        <v>CAL9</v>
      </c>
      <c r="E161" s="1334" t="str">
        <f>CAL&amp;CAL!C14</f>
        <v>CAL10</v>
      </c>
      <c r="F161" s="1334" t="str">
        <f>CAL&amp;CAL!G14</f>
        <v>CAL11</v>
      </c>
      <c r="G161" s="1334" t="str">
        <f>CAL&amp;CAL!C19</f>
        <v>CAL12</v>
      </c>
      <c r="H161" s="1334" t="str">
        <f>CAL&amp;CAL!G19</f>
        <v>CAL13</v>
      </c>
      <c r="I161" s="1334" t="str">
        <f>CAL&amp;CAL!C22</f>
        <v>CAL14</v>
      </c>
      <c r="J161" s="1334" t="str">
        <f>CAL&amp;CAL!G22</f>
        <v>CAL15</v>
      </c>
      <c r="K161" s="1334" t="str">
        <f>CAL&amp;CAL!G25</f>
        <v>CAL16</v>
      </c>
    </row>
    <row r="162" spans="1:28" ht="10.5" x14ac:dyDescent="0.25">
      <c r="A162" s="643" t="s">
        <v>39</v>
      </c>
      <c r="B162" s="648" t="s">
        <v>1819</v>
      </c>
      <c r="C162" s="648" t="s">
        <v>1820</v>
      </c>
      <c r="D162" s="648" t="s">
        <v>2167</v>
      </c>
      <c r="E162" s="644" t="s">
        <v>2168</v>
      </c>
      <c r="F162" s="648" t="s">
        <v>1845</v>
      </c>
      <c r="G162" s="646" t="s">
        <v>1837</v>
      </c>
      <c r="H162" s="646" t="s">
        <v>1838</v>
      </c>
      <c r="I162" s="648" t="s">
        <v>1814</v>
      </c>
      <c r="J162" s="648" t="s">
        <v>1817</v>
      </c>
      <c r="K162" s="648" t="s">
        <v>1857</v>
      </c>
    </row>
    <row r="163" spans="1:28" ht="10.5" x14ac:dyDescent="0.25">
      <c r="A163" s="645">
        <v>11</v>
      </c>
      <c r="B163" s="644" t="s">
        <v>1803</v>
      </c>
      <c r="C163" s="644" t="s">
        <v>1803</v>
      </c>
      <c r="D163" s="644" t="s">
        <v>1803</v>
      </c>
      <c r="E163" s="644" t="b">
        <v>0</v>
      </c>
      <c r="F163" s="644" t="s">
        <v>1803</v>
      </c>
      <c r="G163" s="644" t="s">
        <v>1803</v>
      </c>
      <c r="H163" s="644" t="s">
        <v>1803</v>
      </c>
      <c r="I163" s="644" t="s">
        <v>1803</v>
      </c>
      <c r="J163" s="644" t="s">
        <v>1803</v>
      </c>
      <c r="K163" s="644" t="s">
        <v>1803</v>
      </c>
    </row>
    <row r="164" spans="1:28" ht="11" thickBot="1" x14ac:dyDescent="0.3">
      <c r="A164" s="301"/>
      <c r="B164" s="302" t="str">
        <f>'C8C9C10'!B156</f>
        <v/>
      </c>
      <c r="C164" s="302" t="str">
        <f>'C8C9C10'!B157</f>
        <v/>
      </c>
      <c r="D164" s="302" t="str">
        <f>'C8C9C10'!B158</f>
        <v/>
      </c>
      <c r="E164" s="302" t="str">
        <f>'C8C9C10'!B159</f>
        <v/>
      </c>
      <c r="F164" s="302" t="str">
        <f>'C8C9C10'!B160</f>
        <v/>
      </c>
      <c r="G164" s="302" t="str">
        <f>'C8C9C10'!B161</f>
        <v/>
      </c>
      <c r="H164" s="302" t="str">
        <f>'C8C9C10'!B162</f>
        <v/>
      </c>
      <c r="I164" s="302" t="str">
        <f>'C8C9C10'!B163</f>
        <v/>
      </c>
      <c r="J164" s="302" t="str">
        <f>'C8C9C10'!B164</f>
        <v/>
      </c>
      <c r="K164" s="302" t="str">
        <f>'C8C9C10'!B165</f>
        <v/>
      </c>
      <c r="L164" s="303"/>
      <c r="M164" s="303"/>
      <c r="N164" s="303"/>
      <c r="O164" s="303"/>
      <c r="P164" s="303"/>
      <c r="Q164" s="303"/>
      <c r="R164" s="303"/>
      <c r="S164" s="303"/>
      <c r="T164" s="303"/>
      <c r="U164" s="303"/>
      <c r="V164" s="303"/>
      <c r="W164" s="303"/>
      <c r="X164" s="303"/>
      <c r="Y164" s="303"/>
    </row>
    <row r="165" spans="1:28" ht="10.5" x14ac:dyDescent="0.25">
      <c r="A165" s="300"/>
      <c r="B165" s="304"/>
      <c r="C165" s="304"/>
      <c r="D165" s="304"/>
      <c r="E165" s="304"/>
      <c r="F165" s="304"/>
      <c r="G165" s="304"/>
      <c r="H165" s="304"/>
      <c r="I165" s="119" t="s">
        <v>2169</v>
      </c>
      <c r="J165" s="119" t="s">
        <v>2170</v>
      </c>
      <c r="K165" s="119" t="s">
        <v>78</v>
      </c>
      <c r="L165" s="119" t="s">
        <v>23</v>
      </c>
      <c r="M165" s="119" t="s">
        <v>80</v>
      </c>
      <c r="N165" s="119" t="s">
        <v>26</v>
      </c>
      <c r="O165" s="119" t="s">
        <v>82</v>
      </c>
      <c r="P165" s="119" t="s">
        <v>83</v>
      </c>
      <c r="Q165" s="119" t="s">
        <v>33</v>
      </c>
      <c r="R165" s="119" t="s">
        <v>34</v>
      </c>
      <c r="S165" s="119" t="s">
        <v>2060</v>
      </c>
      <c r="T165" s="119" t="s">
        <v>36</v>
      </c>
      <c r="U165" s="119" t="s">
        <v>37</v>
      </c>
      <c r="V165" s="119" t="s">
        <v>38</v>
      </c>
      <c r="W165" s="119" t="s">
        <v>39</v>
      </c>
      <c r="X165" s="119" t="s">
        <v>86</v>
      </c>
      <c r="Y165" s="119" t="s">
        <v>88</v>
      </c>
      <c r="Z165" s="119" t="s">
        <v>18</v>
      </c>
      <c r="AA165" s="119" t="s">
        <v>19</v>
      </c>
      <c r="AB165" s="119" t="s">
        <v>20</v>
      </c>
    </row>
    <row r="166" spans="1:28" ht="10.5" x14ac:dyDescent="0.25">
      <c r="A166" s="643" t="s">
        <v>2171</v>
      </c>
      <c r="B166" s="644" t="s">
        <v>124</v>
      </c>
      <c r="C166" s="644" t="s">
        <v>129</v>
      </c>
      <c r="D166" s="644" t="s">
        <v>136</v>
      </c>
      <c r="E166" s="644" t="s">
        <v>142</v>
      </c>
      <c r="F166" s="644" t="s">
        <v>2172</v>
      </c>
      <c r="G166" s="644" t="s">
        <v>1795</v>
      </c>
      <c r="H166" s="644" t="s">
        <v>2107</v>
      </c>
      <c r="I166" s="644" t="s">
        <v>2173</v>
      </c>
      <c r="J166" s="644" t="s">
        <v>2153</v>
      </c>
      <c r="K166" s="644" t="s">
        <v>2174</v>
      </c>
      <c r="L166" s="644" t="s">
        <v>2175</v>
      </c>
      <c r="M166" s="644" t="s">
        <v>2176</v>
      </c>
      <c r="N166" s="644" t="s">
        <v>2177</v>
      </c>
      <c r="O166" s="644" t="s">
        <v>2178</v>
      </c>
      <c r="P166" s="644" t="s">
        <v>1829</v>
      </c>
      <c r="Q166" s="644" t="s">
        <v>2133</v>
      </c>
      <c r="R166" s="644" t="s">
        <v>2179</v>
      </c>
      <c r="S166" s="644" t="s">
        <v>2179</v>
      </c>
      <c r="T166" s="644" t="s">
        <v>1944</v>
      </c>
      <c r="U166" s="644" t="s">
        <v>2180</v>
      </c>
      <c r="V166" s="644" t="s">
        <v>1866</v>
      </c>
      <c r="W166" s="644" t="s">
        <v>1945</v>
      </c>
      <c r="X166" s="644" t="s">
        <v>2181</v>
      </c>
      <c r="Y166" s="644" t="s">
        <v>2182</v>
      </c>
      <c r="Z166" s="644" t="s">
        <v>2183</v>
      </c>
      <c r="AA166" s="644" t="s">
        <v>2184</v>
      </c>
      <c r="AB166" s="644" t="s">
        <v>2062</v>
      </c>
    </row>
    <row r="167" spans="1:28" ht="10.5" x14ac:dyDescent="0.25">
      <c r="A167" s="645">
        <v>28</v>
      </c>
      <c r="B167" s="644" t="s">
        <v>1803</v>
      </c>
      <c r="C167" s="644" t="s">
        <v>1803</v>
      </c>
      <c r="D167" s="644" t="s">
        <v>1803</v>
      </c>
      <c r="E167" s="644" t="s">
        <v>1803</v>
      </c>
      <c r="F167" s="644" t="s">
        <v>1803</v>
      </c>
      <c r="G167" s="644" t="s">
        <v>1803</v>
      </c>
      <c r="H167" s="644" t="s">
        <v>1803</v>
      </c>
      <c r="I167" s="644" t="b">
        <v>0</v>
      </c>
      <c r="J167" s="644" t="b">
        <v>0</v>
      </c>
      <c r="K167" s="644" t="b">
        <v>0</v>
      </c>
      <c r="L167" s="644" t="b">
        <v>0</v>
      </c>
      <c r="M167" s="644" t="b">
        <v>0</v>
      </c>
      <c r="N167" s="644" t="b">
        <v>0</v>
      </c>
      <c r="O167" s="644" t="b">
        <v>0</v>
      </c>
      <c r="P167" s="644" t="b">
        <v>0</v>
      </c>
      <c r="Q167" s="644" t="b">
        <v>0</v>
      </c>
      <c r="R167" s="644" t="b">
        <v>0</v>
      </c>
      <c r="S167" s="644" t="b">
        <v>0</v>
      </c>
      <c r="T167" s="644" t="b">
        <v>0</v>
      </c>
      <c r="U167" s="644" t="b">
        <v>0</v>
      </c>
      <c r="V167" s="644" t="b">
        <v>0</v>
      </c>
      <c r="W167" s="644" t="b">
        <v>0</v>
      </c>
      <c r="X167" s="644" t="b">
        <v>0</v>
      </c>
      <c r="Y167" s="644" t="b">
        <v>0</v>
      </c>
      <c r="Z167" s="644" t="b">
        <v>0</v>
      </c>
      <c r="AA167" s="644" t="b">
        <v>0</v>
      </c>
      <c r="AB167" s="644" t="b">
        <v>0</v>
      </c>
    </row>
    <row r="168" spans="1:28" ht="10.5" x14ac:dyDescent="0.25">
      <c r="A168" s="1352"/>
      <c r="B168" s="1341"/>
      <c r="C168" s="1341"/>
      <c r="D168" s="1341"/>
      <c r="E168" s="1341"/>
      <c r="F168" s="1341"/>
      <c r="G168" s="1341"/>
      <c r="H168" s="1341"/>
      <c r="I168" s="1341"/>
      <c r="J168" s="1341"/>
      <c r="K168" s="1353" t="b">
        <f>OR(EMP_A_IND&gt;1, EMP_B_IND&gt;1)</f>
        <v>1</v>
      </c>
      <c r="L168" s="1353" t="b">
        <f>MOR_IND&gt;1</f>
        <v>0</v>
      </c>
      <c r="M168" s="1353" t="b">
        <f>OR(SE_A_IND&gt;1,SE_B_IND&gt;1)</f>
        <v>1</v>
      </c>
      <c r="N168" s="1353" t="b">
        <f>LUN_IND&gt;1</f>
        <v>0</v>
      </c>
      <c r="O168" s="1353" t="b">
        <f>OR(PS_A_IND&gt;1,PS_B_IND&gt;1)</f>
        <v>1</v>
      </c>
      <c r="P168" s="1353" t="b">
        <f>OR(NI2_IND&gt;1,NI1_IND&gt;1,NI2Vol_IND&gt;1,NI4Ex_IND&gt;1)</f>
        <v>1</v>
      </c>
      <c r="Q168" s="1353" t="b">
        <f>PRO_IND&gt;1</f>
        <v>0</v>
      </c>
      <c r="R168" s="1353" t="b">
        <f>FOR_IND&gt;1</f>
        <v>1</v>
      </c>
      <c r="S168" s="1353" t="b">
        <f>TCR_IND&gt;1</f>
        <v>1</v>
      </c>
      <c r="T168" s="1353" t="b">
        <f>TRU_IND&gt;1</f>
        <v>0</v>
      </c>
      <c r="U168" s="1353" t="b">
        <f>CGT_IND&gt;1</f>
        <v>1</v>
      </c>
      <c r="V168" s="1353" t="b">
        <f>NRD_IND&gt;1</f>
        <v>0</v>
      </c>
      <c r="W168" s="1353" t="b">
        <f>CAL_IND&gt;1</f>
        <v>0</v>
      </c>
      <c r="X168" s="1353" t="b">
        <f>OR(AOI_A_IND&gt;1,AOI_B_IND&gt; 1,AOI_C_IND&gt; 1)</f>
        <v>0</v>
      </c>
      <c r="Y168" s="1353" t="b">
        <f>OR(ASE_A_IND&gt;1,ASE_B_IND&gt; 1,ASE_C_IND&gt; 1)</f>
        <v>0</v>
      </c>
      <c r="Z168" s="1353" t="b">
        <f>AOR_IND&gt;1</f>
        <v>0</v>
      </c>
      <c r="AA168" s="1353" t="b">
        <f>MCA_IND&gt;1</f>
        <v>0</v>
      </c>
      <c r="AB168" s="1353" t="b">
        <f>AIL_IND&gt;1</f>
        <v>0</v>
      </c>
    </row>
    <row r="169" spans="1:28" x14ac:dyDescent="0.2">
      <c r="A169" s="652"/>
      <c r="B169" s="647" t="s">
        <v>1486</v>
      </c>
      <c r="C169" s="647" t="s">
        <v>2185</v>
      </c>
      <c r="D169" s="647" t="s">
        <v>2186</v>
      </c>
      <c r="E169" s="647" t="s">
        <v>2187</v>
      </c>
    </row>
    <row r="170" spans="1:28" ht="10.5" x14ac:dyDescent="0.25">
      <c r="A170" s="643" t="s">
        <v>2188</v>
      </c>
      <c r="B170" s="644" t="s">
        <v>2189</v>
      </c>
      <c r="C170" s="644" t="s">
        <v>2190</v>
      </c>
      <c r="D170" s="644" t="s">
        <v>2191</v>
      </c>
      <c r="E170" s="644" t="s">
        <v>2192</v>
      </c>
    </row>
    <row r="171" spans="1:28" ht="10.5" x14ac:dyDescent="0.25">
      <c r="A171" s="645">
        <v>5</v>
      </c>
      <c r="B171" s="644">
        <v>7</v>
      </c>
      <c r="C171" s="644" t="b">
        <v>0</v>
      </c>
      <c r="D171" s="644" t="s">
        <v>1803</v>
      </c>
      <c r="E171" s="644" t="s">
        <v>1803</v>
      </c>
    </row>
    <row r="172" spans="1:28" x14ac:dyDescent="0.2">
      <c r="A172" s="1341"/>
      <c r="B172" s="1341"/>
      <c r="C172" s="1341"/>
      <c r="D172" s="1341"/>
      <c r="E172" s="1341"/>
    </row>
    <row r="173" spans="1:28" x14ac:dyDescent="0.2">
      <c r="A173" s="1354"/>
      <c r="B173" s="1324" t="s">
        <v>2193</v>
      </c>
      <c r="C173" s="1324" t="s">
        <v>2194</v>
      </c>
    </row>
    <row r="174" spans="1:28" ht="10.5" x14ac:dyDescent="0.25">
      <c r="A174" s="643" t="s">
        <v>2195</v>
      </c>
      <c r="B174" s="644" t="s">
        <v>2196</v>
      </c>
      <c r="C174" s="644" t="s">
        <v>2197</v>
      </c>
    </row>
    <row r="175" spans="1:28" ht="10.5" x14ac:dyDescent="0.25">
      <c r="A175" s="645">
        <v>3</v>
      </c>
      <c r="B175" s="644" t="b">
        <v>0</v>
      </c>
      <c r="C175" s="644" t="b">
        <v>0</v>
      </c>
    </row>
    <row r="176" spans="1:28" x14ac:dyDescent="0.2">
      <c r="A176" s="1341"/>
      <c r="B176" s="1341"/>
      <c r="C176" s="1341"/>
    </row>
  </sheetData>
  <phoneticPr fontId="58" type="noConversion"/>
  <pageMargins left="0.19685039370078741" right="0.19685039370078741" top="0.19685039370078741" bottom="0.19685039370078741" header="0" footer="0"/>
  <pageSetup paperSize="9" scale="90" orientation="landscape" horizontalDpi="4294967292" r:id="rId1"/>
  <headerFooter alignWithMargins="0">
    <oddFooter>&amp;C&amp;1#&amp;"Calibri"&amp;10&amp;K000000OFFICIAL-SENSITIVE</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JT110"/>
  <sheetViews>
    <sheetView showGridLines="0" zoomScale="106" zoomScaleNormal="106" workbookViewId="0">
      <pane xSplit="4" ySplit="1" topLeftCell="CS2" activePane="bottomRight" state="frozen"/>
      <selection pane="topRight" activeCell="I74" sqref="I74"/>
      <selection pane="bottomLeft" activeCell="I74" sqref="I74"/>
      <selection pane="bottomRight" activeCell="DA15" sqref="DA15"/>
    </sheetView>
  </sheetViews>
  <sheetFormatPr defaultColWidth="9.1796875" defaultRowHeight="11.5" x14ac:dyDescent="0.25"/>
  <cols>
    <col min="1" max="1" width="3.81640625" style="259" bestFit="1" customWidth="1"/>
    <col min="2" max="2" width="11.1796875" style="8" bestFit="1" customWidth="1"/>
    <col min="3" max="3" width="8.453125" style="12" customWidth="1"/>
    <col min="4" max="4" width="38.54296875" style="8" customWidth="1"/>
    <col min="5" max="6" width="10.1796875" style="8" bestFit="1" customWidth="1"/>
    <col min="7" max="7" width="9.54296875" style="8" customWidth="1"/>
    <col min="8" max="10" width="10" style="8" bestFit="1" customWidth="1"/>
    <col min="11" max="11" width="10.1796875" style="8" bestFit="1" customWidth="1"/>
    <col min="12" max="13" width="11" style="8" bestFit="1" customWidth="1"/>
    <col min="14" max="18" width="10" style="8" bestFit="1" customWidth="1"/>
    <col min="19" max="43" width="10" style="8" customWidth="1"/>
    <col min="44" max="44" width="11" style="8" bestFit="1" customWidth="1"/>
    <col min="45" max="45" width="10" style="8" bestFit="1" customWidth="1"/>
    <col min="46" max="171" width="10" style="8" customWidth="1"/>
    <col min="172" max="172" width="13.26953125" style="8" customWidth="1"/>
    <col min="173" max="216" width="10" style="8" customWidth="1"/>
    <col min="217" max="217" width="11" style="8" bestFit="1" customWidth="1"/>
    <col min="218" max="229" width="10" style="8" customWidth="1"/>
    <col min="230" max="230" width="11.54296875" style="8" customWidth="1"/>
    <col min="231" max="233" width="10" style="8" customWidth="1"/>
    <col min="234" max="234" width="11" style="8" bestFit="1" customWidth="1"/>
    <col min="235" max="239" width="10" style="8" customWidth="1"/>
    <col min="240" max="240" width="11" style="8" bestFit="1" customWidth="1"/>
    <col min="241" max="248" width="10" style="8" customWidth="1"/>
    <col min="249" max="249" width="10" style="8" bestFit="1" customWidth="1"/>
    <col min="250" max="277" width="10" style="8" customWidth="1"/>
    <col min="278" max="278" width="2.1796875" style="8" customWidth="1"/>
    <col min="279" max="279" width="77.1796875" style="8" customWidth="1"/>
    <col min="280" max="280" width="28.81640625" style="8" bestFit="1" customWidth="1"/>
    <col min="281" max="16384" width="9.1796875" style="8"/>
  </cols>
  <sheetData>
    <row r="1" spans="1:280" ht="12.5" x14ac:dyDescent="0.25">
      <c r="E1" s="1355">
        <v>1</v>
      </c>
      <c r="F1" s="1355">
        <v>2</v>
      </c>
      <c r="G1" s="1355">
        <v>3</v>
      </c>
      <c r="H1" s="1355">
        <v>4</v>
      </c>
      <c r="I1" s="1355">
        <v>5</v>
      </c>
      <c r="J1" s="1355">
        <v>6</v>
      </c>
      <c r="K1" s="1355">
        <v>7</v>
      </c>
      <c r="L1" s="1355">
        <v>8</v>
      </c>
      <c r="M1" s="1355">
        <v>9</v>
      </c>
      <c r="N1" s="1355">
        <v>10</v>
      </c>
      <c r="O1" s="1355">
        <v>11</v>
      </c>
      <c r="P1" s="1355">
        <v>12</v>
      </c>
      <c r="Q1" s="1355">
        <v>13</v>
      </c>
      <c r="R1" s="1355">
        <v>14</v>
      </c>
      <c r="S1" s="1355">
        <v>15</v>
      </c>
      <c r="T1" s="1355">
        <v>16</v>
      </c>
      <c r="U1" s="1355">
        <v>17</v>
      </c>
      <c r="V1" s="1355">
        <v>18</v>
      </c>
      <c r="W1" s="1355">
        <v>19</v>
      </c>
      <c r="X1" s="1355">
        <v>20</v>
      </c>
      <c r="Y1" s="1355">
        <v>21</v>
      </c>
      <c r="Z1" s="1355">
        <v>22</v>
      </c>
      <c r="AA1" s="1355">
        <v>23</v>
      </c>
      <c r="AB1" s="1355">
        <v>24</v>
      </c>
      <c r="AC1" s="1355">
        <v>25</v>
      </c>
      <c r="AD1" s="1355">
        <v>26</v>
      </c>
      <c r="AE1" s="1355">
        <v>27</v>
      </c>
      <c r="AF1" s="1355">
        <v>28</v>
      </c>
      <c r="AG1" s="1355">
        <v>29</v>
      </c>
      <c r="AH1" s="1355">
        <v>30</v>
      </c>
      <c r="AI1" s="1355">
        <v>31</v>
      </c>
      <c r="AJ1" s="1355">
        <v>32</v>
      </c>
      <c r="AK1" s="1355">
        <v>33</v>
      </c>
      <c r="AL1" s="1355">
        <v>34</v>
      </c>
      <c r="AM1" s="1355">
        <v>35</v>
      </c>
      <c r="AN1" s="1355">
        <v>36</v>
      </c>
      <c r="AO1" s="1355">
        <v>37</v>
      </c>
      <c r="AP1" s="1355">
        <v>38</v>
      </c>
      <c r="AQ1" s="1355">
        <v>39</v>
      </c>
      <c r="AR1" s="1355">
        <v>40</v>
      </c>
      <c r="AS1" s="1355">
        <v>41</v>
      </c>
      <c r="AT1" s="1355">
        <v>42</v>
      </c>
      <c r="AU1" s="1355">
        <v>43</v>
      </c>
      <c r="AV1" s="1355">
        <v>44</v>
      </c>
      <c r="AW1" s="1355">
        <v>45</v>
      </c>
      <c r="AX1" s="1355">
        <v>46</v>
      </c>
      <c r="AY1" s="1355">
        <v>47</v>
      </c>
      <c r="AZ1" s="1355">
        <v>48</v>
      </c>
      <c r="BA1" s="1355">
        <v>49</v>
      </c>
      <c r="BB1" s="1355">
        <v>50</v>
      </c>
      <c r="BC1" s="1355">
        <v>51</v>
      </c>
      <c r="BD1" s="1355">
        <v>52</v>
      </c>
      <c r="BE1" s="1355">
        <v>53</v>
      </c>
      <c r="BF1" s="1355">
        <v>54</v>
      </c>
      <c r="BG1" s="1355">
        <v>55</v>
      </c>
      <c r="BH1" s="1355">
        <v>56</v>
      </c>
      <c r="BI1" s="1355">
        <v>57</v>
      </c>
      <c r="BJ1" s="1355">
        <v>58</v>
      </c>
      <c r="BK1" s="1355">
        <v>59</v>
      </c>
      <c r="BL1" s="1355">
        <v>60</v>
      </c>
      <c r="BM1" s="1355">
        <v>61</v>
      </c>
      <c r="BN1" s="1355">
        <v>62</v>
      </c>
      <c r="BO1" s="1355">
        <v>63</v>
      </c>
      <c r="BP1" s="1355">
        <v>64</v>
      </c>
      <c r="BQ1" s="1355">
        <v>65</v>
      </c>
      <c r="BR1" s="1355">
        <v>66</v>
      </c>
      <c r="BS1" s="1355">
        <v>67</v>
      </c>
      <c r="BT1" s="1355">
        <v>68</v>
      </c>
      <c r="BU1" s="1355">
        <v>69</v>
      </c>
      <c r="BV1" s="1355">
        <v>70</v>
      </c>
      <c r="BW1" s="1355">
        <v>71</v>
      </c>
      <c r="BX1" s="1355">
        <v>72</v>
      </c>
      <c r="BY1" s="1355">
        <v>73</v>
      </c>
      <c r="BZ1" s="1355">
        <v>74</v>
      </c>
      <c r="CA1" s="1355">
        <v>75</v>
      </c>
      <c r="CB1" s="1355">
        <v>76</v>
      </c>
      <c r="CC1" s="1355">
        <v>77</v>
      </c>
      <c r="CD1" s="1355">
        <v>78</v>
      </c>
      <c r="CE1" s="1355">
        <v>79</v>
      </c>
      <c r="CF1" s="1355">
        <v>80</v>
      </c>
      <c r="CG1" s="1355">
        <v>81</v>
      </c>
      <c r="CH1" s="1355">
        <v>82</v>
      </c>
      <c r="CI1" s="1355">
        <v>83</v>
      </c>
      <c r="CJ1" s="1355">
        <v>84</v>
      </c>
      <c r="CK1" s="1355">
        <v>85</v>
      </c>
      <c r="CL1" s="1355">
        <v>86</v>
      </c>
      <c r="CM1" s="1355">
        <v>87</v>
      </c>
      <c r="CN1" s="1355">
        <v>88</v>
      </c>
      <c r="CO1" s="1355">
        <v>89</v>
      </c>
      <c r="CP1" s="1355">
        <v>90</v>
      </c>
      <c r="CQ1" s="1355">
        <v>91</v>
      </c>
      <c r="CR1" s="1355">
        <v>92</v>
      </c>
      <c r="CS1" s="1355">
        <v>93</v>
      </c>
      <c r="CT1" s="1355">
        <v>94</v>
      </c>
      <c r="CU1" s="1355">
        <v>95</v>
      </c>
      <c r="CV1" s="1355">
        <v>96</v>
      </c>
      <c r="CW1" s="1355">
        <v>97</v>
      </c>
      <c r="CX1" s="1355">
        <v>98</v>
      </c>
      <c r="CY1" s="1355">
        <v>99</v>
      </c>
      <c r="CZ1" s="1355">
        <v>100</v>
      </c>
      <c r="DA1" s="1355">
        <v>101</v>
      </c>
      <c r="DB1" s="1355">
        <v>102</v>
      </c>
      <c r="DC1" s="1355">
        <v>103</v>
      </c>
      <c r="DD1" s="1355">
        <v>104</v>
      </c>
      <c r="DE1" s="1355">
        <v>105</v>
      </c>
      <c r="DF1" s="1355">
        <v>106</v>
      </c>
      <c r="DG1" s="1355">
        <v>107</v>
      </c>
      <c r="DH1" s="1355">
        <v>108</v>
      </c>
      <c r="DI1" s="1355">
        <v>109</v>
      </c>
      <c r="DJ1" s="1355">
        <v>110</v>
      </c>
      <c r="DK1" s="1355">
        <v>111</v>
      </c>
      <c r="DL1" s="1355">
        <v>112</v>
      </c>
      <c r="DM1" s="1355">
        <v>113</v>
      </c>
      <c r="DN1" s="1355">
        <v>114</v>
      </c>
      <c r="DO1" s="1355">
        <v>115</v>
      </c>
      <c r="DP1" s="1355">
        <v>116</v>
      </c>
      <c r="DQ1" s="1355">
        <v>117</v>
      </c>
      <c r="DR1" s="1355">
        <v>118</v>
      </c>
      <c r="DS1" s="1355">
        <v>119</v>
      </c>
      <c r="DT1" s="1355">
        <v>120</v>
      </c>
      <c r="DU1" s="1355">
        <v>121</v>
      </c>
      <c r="DV1" s="1355">
        <v>122</v>
      </c>
      <c r="DW1" s="1355">
        <v>123</v>
      </c>
      <c r="DX1" s="1355">
        <v>124</v>
      </c>
      <c r="DY1" s="1355">
        <v>125</v>
      </c>
      <c r="DZ1" s="1355">
        <v>126</v>
      </c>
      <c r="EA1" s="1355">
        <v>127</v>
      </c>
      <c r="EB1" s="1355">
        <v>128</v>
      </c>
      <c r="EC1" s="1355">
        <v>129</v>
      </c>
      <c r="ED1" s="1355">
        <v>130</v>
      </c>
      <c r="EE1" s="1355">
        <v>131</v>
      </c>
      <c r="EF1" s="1355">
        <v>132</v>
      </c>
      <c r="EG1" s="1355">
        <v>133</v>
      </c>
      <c r="EH1" s="1355">
        <v>134</v>
      </c>
      <c r="EI1" s="1355">
        <v>135</v>
      </c>
      <c r="EJ1" s="1355">
        <v>136</v>
      </c>
      <c r="EK1" s="1355">
        <v>137</v>
      </c>
      <c r="EL1" s="1355">
        <v>138</v>
      </c>
      <c r="EM1" s="1355">
        <v>139</v>
      </c>
      <c r="EN1" s="1355">
        <v>140</v>
      </c>
      <c r="EO1" s="1355">
        <v>141</v>
      </c>
      <c r="EP1" s="1355">
        <v>142</v>
      </c>
      <c r="EQ1" s="1355">
        <v>143</v>
      </c>
      <c r="ER1" s="1355">
        <v>144</v>
      </c>
      <c r="ES1" s="1355">
        <v>145</v>
      </c>
      <c r="ET1" s="1355">
        <v>146</v>
      </c>
      <c r="EU1" s="1355">
        <v>147</v>
      </c>
      <c r="EV1" s="1355">
        <v>148</v>
      </c>
      <c r="EW1" s="1355">
        <v>149</v>
      </c>
      <c r="EX1" s="1355">
        <v>150</v>
      </c>
      <c r="EY1" s="1355">
        <v>151</v>
      </c>
      <c r="EZ1" s="1355">
        <v>152</v>
      </c>
      <c r="FA1" s="1355">
        <v>153</v>
      </c>
      <c r="FB1" s="1355">
        <v>154</v>
      </c>
      <c r="FC1" s="1355">
        <v>155</v>
      </c>
      <c r="FD1" s="1355">
        <v>156</v>
      </c>
      <c r="FE1" s="1355">
        <v>157</v>
      </c>
      <c r="FF1" s="1355">
        <v>158</v>
      </c>
      <c r="FG1" s="1355">
        <v>159</v>
      </c>
      <c r="FH1" s="1355">
        <v>160</v>
      </c>
      <c r="FI1" s="1355">
        <v>161</v>
      </c>
      <c r="FJ1" s="1355">
        <v>162</v>
      </c>
      <c r="FK1" s="1355">
        <v>163</v>
      </c>
      <c r="FL1" s="1355">
        <v>164</v>
      </c>
      <c r="FM1" s="1355">
        <v>165</v>
      </c>
      <c r="FN1" s="1355">
        <v>166</v>
      </c>
      <c r="FO1" s="1355">
        <v>167</v>
      </c>
      <c r="FP1" s="1355">
        <v>168</v>
      </c>
      <c r="FQ1" s="1355">
        <v>169</v>
      </c>
      <c r="FR1" s="1355">
        <v>170</v>
      </c>
      <c r="FS1" s="1355">
        <v>171</v>
      </c>
      <c r="FT1" s="1355">
        <v>172</v>
      </c>
      <c r="FU1" s="1355">
        <v>173</v>
      </c>
      <c r="FV1" s="1355">
        <v>174</v>
      </c>
      <c r="FW1" s="1355">
        <v>175</v>
      </c>
      <c r="FX1" s="1355">
        <v>176</v>
      </c>
      <c r="FY1" s="1355">
        <v>177</v>
      </c>
      <c r="FZ1" s="1355">
        <v>178</v>
      </c>
      <c r="GA1" s="1355">
        <v>179</v>
      </c>
      <c r="GB1" s="1355">
        <v>180</v>
      </c>
      <c r="GC1" s="1355">
        <v>181</v>
      </c>
      <c r="GD1" s="1355">
        <v>182</v>
      </c>
      <c r="GE1" s="1355">
        <v>183</v>
      </c>
      <c r="GF1" s="1355">
        <v>184</v>
      </c>
      <c r="GG1" s="1355">
        <v>185</v>
      </c>
      <c r="GH1" s="1355">
        <v>186</v>
      </c>
      <c r="GI1" s="1355">
        <v>187</v>
      </c>
      <c r="GJ1" s="1355">
        <v>188</v>
      </c>
      <c r="GK1" s="1355">
        <v>189</v>
      </c>
      <c r="GL1" s="1355">
        <v>190</v>
      </c>
      <c r="GM1" s="1355">
        <v>191</v>
      </c>
      <c r="GN1" s="1355">
        <v>192</v>
      </c>
      <c r="GO1" s="1355">
        <v>193</v>
      </c>
      <c r="GP1" s="1355">
        <v>194</v>
      </c>
      <c r="GQ1" s="1355">
        <v>195</v>
      </c>
      <c r="GR1" s="1355">
        <v>196</v>
      </c>
      <c r="GS1" s="1355">
        <v>197</v>
      </c>
      <c r="GT1" s="1355">
        <v>198</v>
      </c>
      <c r="GU1" s="1355">
        <v>199</v>
      </c>
      <c r="GV1" s="1355">
        <v>200</v>
      </c>
      <c r="GW1" s="1355">
        <v>201</v>
      </c>
      <c r="GX1" s="1355">
        <v>202</v>
      </c>
      <c r="GY1" s="1355">
        <v>203</v>
      </c>
      <c r="GZ1" s="1355">
        <v>204</v>
      </c>
      <c r="HA1" s="1355">
        <v>205</v>
      </c>
      <c r="HB1" s="1355">
        <v>206</v>
      </c>
      <c r="HC1" s="1355">
        <v>207</v>
      </c>
      <c r="HD1" s="1355">
        <v>208</v>
      </c>
      <c r="HE1" s="1355">
        <v>209</v>
      </c>
      <c r="HF1" s="1355">
        <v>210</v>
      </c>
      <c r="HG1" s="1355">
        <v>211</v>
      </c>
      <c r="HH1" s="1355">
        <v>212</v>
      </c>
      <c r="HI1" s="1355">
        <v>213</v>
      </c>
      <c r="HJ1" s="1355">
        <v>214</v>
      </c>
      <c r="HK1" s="1355">
        <v>215</v>
      </c>
      <c r="HL1" s="1355">
        <v>216</v>
      </c>
      <c r="HM1" s="1355">
        <v>217</v>
      </c>
      <c r="HN1" s="1355">
        <v>218</v>
      </c>
      <c r="HO1" s="1355">
        <v>219</v>
      </c>
      <c r="HP1" s="1355">
        <v>220</v>
      </c>
      <c r="HQ1" s="1355">
        <v>221</v>
      </c>
      <c r="HR1" s="1355">
        <v>222</v>
      </c>
      <c r="HS1" s="1355">
        <v>223</v>
      </c>
      <c r="HT1" s="1355">
        <v>224</v>
      </c>
      <c r="HU1" s="1355">
        <v>225</v>
      </c>
      <c r="HV1" s="1355">
        <v>226</v>
      </c>
      <c r="HW1" s="1355">
        <v>227</v>
      </c>
      <c r="HX1" s="1355">
        <v>228</v>
      </c>
      <c r="HY1" s="1355">
        <v>229</v>
      </c>
      <c r="HZ1" s="1355">
        <v>230</v>
      </c>
      <c r="IA1" s="1355">
        <v>231</v>
      </c>
      <c r="IB1" s="1355">
        <v>232</v>
      </c>
      <c r="IC1" s="1355">
        <v>233</v>
      </c>
      <c r="ID1" s="1355">
        <v>234</v>
      </c>
      <c r="IE1" s="1355">
        <v>235</v>
      </c>
      <c r="IF1" s="1355">
        <v>236</v>
      </c>
      <c r="IG1" s="1355">
        <v>237</v>
      </c>
      <c r="IH1" s="1355">
        <v>238</v>
      </c>
      <c r="II1" s="1355">
        <v>239</v>
      </c>
      <c r="IJ1" s="1355">
        <v>240</v>
      </c>
      <c r="IK1" s="1355">
        <v>241</v>
      </c>
      <c r="IL1" s="1355">
        <v>242</v>
      </c>
      <c r="IM1" s="1355">
        <v>243</v>
      </c>
      <c r="IN1" s="1355">
        <v>244</v>
      </c>
      <c r="IO1" s="1355">
        <v>245</v>
      </c>
      <c r="IP1" s="1355">
        <v>246</v>
      </c>
      <c r="IQ1" s="1355">
        <v>247</v>
      </c>
      <c r="IR1" s="1355">
        <v>248</v>
      </c>
      <c r="IS1" s="1355">
        <v>249</v>
      </c>
      <c r="IT1" s="1355">
        <v>250</v>
      </c>
      <c r="IU1" s="1355">
        <v>251</v>
      </c>
      <c r="IV1" s="1355">
        <v>252</v>
      </c>
      <c r="IW1" s="1355">
        <v>253</v>
      </c>
      <c r="IX1" s="1355">
        <v>254</v>
      </c>
      <c r="IY1" s="1355">
        <v>255</v>
      </c>
      <c r="IZ1" s="1355">
        <v>256</v>
      </c>
      <c r="JA1" s="1355">
        <v>257</v>
      </c>
      <c r="JB1" s="1355">
        <v>258</v>
      </c>
      <c r="JC1" s="1355">
        <v>259</v>
      </c>
      <c r="JD1" s="1355">
        <v>260</v>
      </c>
      <c r="JE1" s="1355">
        <v>261</v>
      </c>
      <c r="JF1" s="1355">
        <v>262</v>
      </c>
      <c r="JG1" s="1355">
        <v>263</v>
      </c>
      <c r="JH1" s="1355">
        <v>264</v>
      </c>
      <c r="JI1" s="1355">
        <v>265</v>
      </c>
      <c r="JJ1" s="1355">
        <v>266</v>
      </c>
      <c r="JK1" s="1355">
        <v>267</v>
      </c>
      <c r="JL1" s="1355">
        <v>268</v>
      </c>
      <c r="JM1" s="1355">
        <v>269</v>
      </c>
      <c r="JN1" s="1355">
        <v>270</v>
      </c>
      <c r="JO1" s="1355">
        <v>271</v>
      </c>
      <c r="JP1" s="1355">
        <v>272</v>
      </c>
      <c r="JQ1" s="1355">
        <v>273</v>
      </c>
      <c r="JR1" s="351"/>
      <c r="JS1" s="1470" t="s">
        <v>2198</v>
      </c>
      <c r="JT1" s="450" t="s">
        <v>2199</v>
      </c>
    </row>
    <row r="2" spans="1:280" ht="13" thickBot="1" x14ac:dyDescent="0.3">
      <c r="C2" s="261" t="s">
        <v>2200</v>
      </c>
      <c r="D2" s="137"/>
      <c r="E2" s="1356"/>
      <c r="F2" s="1356"/>
      <c r="G2" s="1356"/>
      <c r="H2" s="1356"/>
      <c r="I2" s="1356"/>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351"/>
      <c r="JS2" s="1470" t="s">
        <v>2198</v>
      </c>
      <c r="JT2" s="450"/>
    </row>
    <row r="3" spans="1:280" ht="12.5" x14ac:dyDescent="0.25">
      <c r="A3" s="1357" t="s">
        <v>2201</v>
      </c>
      <c r="B3" s="406" t="str">
        <f>"selected "&amp;YPD_IND-1</f>
        <v>selected 168</v>
      </c>
      <c r="C3" s="287" t="s">
        <v>0</v>
      </c>
      <c r="D3" s="262"/>
      <c r="E3" s="418">
        <v>1</v>
      </c>
      <c r="F3" s="418">
        <v>2</v>
      </c>
      <c r="G3" s="418">
        <v>3</v>
      </c>
      <c r="H3" s="418">
        <v>4</v>
      </c>
      <c r="I3" s="418">
        <v>5</v>
      </c>
      <c r="J3" s="418">
        <v>6</v>
      </c>
      <c r="K3" s="418">
        <v>7</v>
      </c>
      <c r="L3" s="418">
        <v>8</v>
      </c>
      <c r="M3" s="418">
        <v>9</v>
      </c>
      <c r="N3" s="418">
        <v>10</v>
      </c>
      <c r="O3" s="418">
        <v>11</v>
      </c>
      <c r="P3" s="418">
        <v>12</v>
      </c>
      <c r="Q3" s="418">
        <v>13</v>
      </c>
      <c r="R3" s="418">
        <v>14</v>
      </c>
      <c r="S3" s="418">
        <v>15</v>
      </c>
      <c r="T3" s="418">
        <v>16</v>
      </c>
      <c r="U3" s="418">
        <v>17</v>
      </c>
      <c r="V3" s="418">
        <v>18</v>
      </c>
      <c r="W3" s="418">
        <v>19</v>
      </c>
      <c r="X3" s="418">
        <v>20</v>
      </c>
      <c r="Y3" s="418">
        <v>21</v>
      </c>
      <c r="Z3" s="418">
        <v>22</v>
      </c>
      <c r="AA3" s="418">
        <v>23</v>
      </c>
      <c r="AB3" s="418">
        <v>24</v>
      </c>
      <c r="AC3" s="418">
        <v>25</v>
      </c>
      <c r="AD3" s="418">
        <v>26</v>
      </c>
      <c r="AE3" s="418">
        <v>27</v>
      </c>
      <c r="AF3" s="418">
        <v>28</v>
      </c>
      <c r="AG3" s="418">
        <v>29</v>
      </c>
      <c r="AH3" s="418">
        <v>30</v>
      </c>
      <c r="AI3" s="418">
        <v>31</v>
      </c>
      <c r="AJ3" s="418">
        <v>32</v>
      </c>
      <c r="AK3" s="418">
        <v>33</v>
      </c>
      <c r="AL3" s="418">
        <v>34</v>
      </c>
      <c r="AM3" s="418">
        <v>35</v>
      </c>
      <c r="AN3" s="418">
        <v>36</v>
      </c>
      <c r="AO3" s="418">
        <v>37</v>
      </c>
      <c r="AP3" s="418">
        <v>38</v>
      </c>
      <c r="AQ3" s="418">
        <v>39</v>
      </c>
      <c r="AR3" s="418">
        <v>40</v>
      </c>
      <c r="AS3" s="418">
        <v>41</v>
      </c>
      <c r="AT3" s="418">
        <v>42</v>
      </c>
      <c r="AU3" s="418">
        <v>43</v>
      </c>
      <c r="AV3" s="418">
        <v>44</v>
      </c>
      <c r="AW3" s="418">
        <v>45</v>
      </c>
      <c r="AX3" s="418">
        <v>46</v>
      </c>
      <c r="AY3" s="418">
        <v>47</v>
      </c>
      <c r="AZ3" s="418">
        <v>48</v>
      </c>
      <c r="BA3" s="418">
        <v>49</v>
      </c>
      <c r="BB3" s="418">
        <v>50</v>
      </c>
      <c r="BC3" s="418">
        <v>51</v>
      </c>
      <c r="BD3" s="418">
        <v>52</v>
      </c>
      <c r="BE3" s="418">
        <v>53</v>
      </c>
      <c r="BF3" s="418">
        <v>54</v>
      </c>
      <c r="BG3" s="418">
        <v>55</v>
      </c>
      <c r="BH3" s="418">
        <v>56</v>
      </c>
      <c r="BI3" s="418">
        <v>57</v>
      </c>
      <c r="BJ3" s="418">
        <v>58</v>
      </c>
      <c r="BK3" s="418">
        <v>59</v>
      </c>
      <c r="BL3" s="418">
        <v>60</v>
      </c>
      <c r="BM3" s="418">
        <v>61</v>
      </c>
      <c r="BN3" s="418">
        <v>62</v>
      </c>
      <c r="BO3" s="418">
        <v>63</v>
      </c>
      <c r="BP3" s="418">
        <v>64</v>
      </c>
      <c r="BQ3" s="418">
        <v>65</v>
      </c>
      <c r="BR3" s="418">
        <v>66</v>
      </c>
      <c r="BS3" s="418">
        <v>67</v>
      </c>
      <c r="BT3" s="418">
        <v>68</v>
      </c>
      <c r="BU3" s="418">
        <v>69</v>
      </c>
      <c r="BV3" s="418">
        <v>70</v>
      </c>
      <c r="BW3" s="418">
        <v>71</v>
      </c>
      <c r="BX3" s="418">
        <v>72</v>
      </c>
      <c r="BY3" s="418">
        <v>73</v>
      </c>
      <c r="BZ3" s="418">
        <v>74</v>
      </c>
      <c r="CA3" s="418">
        <v>75</v>
      </c>
      <c r="CB3" s="418">
        <v>76</v>
      </c>
      <c r="CC3" s="418">
        <v>77</v>
      </c>
      <c r="CD3" s="418">
        <v>78</v>
      </c>
      <c r="CE3" s="418">
        <v>79</v>
      </c>
      <c r="CF3" s="418">
        <v>80</v>
      </c>
      <c r="CG3" s="418">
        <v>81</v>
      </c>
      <c r="CH3" s="418">
        <v>82</v>
      </c>
      <c r="CI3" s="418">
        <v>83</v>
      </c>
      <c r="CJ3" s="418">
        <v>84</v>
      </c>
      <c r="CK3" s="418">
        <v>85</v>
      </c>
      <c r="CL3" s="418">
        <v>86</v>
      </c>
      <c r="CM3" s="418">
        <v>87</v>
      </c>
      <c r="CN3" s="418">
        <v>88</v>
      </c>
      <c r="CO3" s="418">
        <v>89</v>
      </c>
      <c r="CP3" s="418">
        <v>90</v>
      </c>
      <c r="CQ3" s="418">
        <v>91</v>
      </c>
      <c r="CR3" s="418">
        <v>92</v>
      </c>
      <c r="CS3" s="418">
        <v>93</v>
      </c>
      <c r="CT3" s="418">
        <v>94</v>
      </c>
      <c r="CU3" s="418">
        <v>95</v>
      </c>
      <c r="CV3" s="418">
        <v>96</v>
      </c>
      <c r="CW3" s="418">
        <v>97</v>
      </c>
      <c r="CX3" s="418">
        <v>98</v>
      </c>
      <c r="CY3" s="418">
        <v>99</v>
      </c>
      <c r="CZ3" s="418">
        <v>100</v>
      </c>
      <c r="DA3" s="418">
        <v>101</v>
      </c>
      <c r="DB3" s="418">
        <v>102</v>
      </c>
      <c r="DC3" s="418">
        <v>103</v>
      </c>
      <c r="DD3" s="418">
        <v>104</v>
      </c>
      <c r="DE3" s="418">
        <v>105</v>
      </c>
      <c r="DF3" s="418">
        <v>106</v>
      </c>
      <c r="DG3" s="418">
        <v>107</v>
      </c>
      <c r="DH3" s="418">
        <v>108</v>
      </c>
      <c r="DI3" s="418">
        <v>109</v>
      </c>
      <c r="DJ3" s="418">
        <v>110</v>
      </c>
      <c r="DK3" s="418">
        <v>111</v>
      </c>
      <c r="DL3" s="418">
        <v>112</v>
      </c>
      <c r="DM3" s="418">
        <v>113</v>
      </c>
      <c r="DN3" s="418">
        <v>114</v>
      </c>
      <c r="DO3" s="418">
        <v>115</v>
      </c>
      <c r="DP3" s="418">
        <v>116</v>
      </c>
      <c r="DQ3" s="418">
        <v>117</v>
      </c>
      <c r="DR3" s="418">
        <v>118</v>
      </c>
      <c r="DS3" s="418">
        <v>119</v>
      </c>
      <c r="DT3" s="418">
        <v>120</v>
      </c>
      <c r="DU3" s="418">
        <v>121</v>
      </c>
      <c r="DV3" s="418">
        <v>122</v>
      </c>
      <c r="DW3" s="418">
        <v>123</v>
      </c>
      <c r="DX3" s="418">
        <v>124</v>
      </c>
      <c r="DY3" s="418">
        <v>125</v>
      </c>
      <c r="DZ3" s="418">
        <v>126</v>
      </c>
      <c r="EA3" s="418">
        <v>127</v>
      </c>
      <c r="EB3" s="418">
        <v>128</v>
      </c>
      <c r="EC3" s="418">
        <v>129</v>
      </c>
      <c r="ED3" s="418">
        <v>130</v>
      </c>
      <c r="EE3" s="418">
        <v>131</v>
      </c>
      <c r="EF3" s="418">
        <v>132</v>
      </c>
      <c r="EG3" s="418">
        <v>133</v>
      </c>
      <c r="EH3" s="418">
        <v>134</v>
      </c>
      <c r="EI3" s="418">
        <v>135</v>
      </c>
      <c r="EJ3" s="418">
        <v>136</v>
      </c>
      <c r="EK3" s="418">
        <v>137</v>
      </c>
      <c r="EL3" s="418">
        <v>138</v>
      </c>
      <c r="EM3" s="418">
        <v>139</v>
      </c>
      <c r="EN3" s="418">
        <v>140</v>
      </c>
      <c r="EO3" s="418">
        <v>141</v>
      </c>
      <c r="EP3" s="418">
        <v>142</v>
      </c>
      <c r="EQ3" s="418">
        <v>143</v>
      </c>
      <c r="ER3" s="418">
        <v>144</v>
      </c>
      <c r="ES3" s="418">
        <v>145</v>
      </c>
      <c r="ET3" s="418">
        <v>146</v>
      </c>
      <c r="EU3" s="418">
        <v>147</v>
      </c>
      <c r="EV3" s="418">
        <v>148</v>
      </c>
      <c r="EW3" s="418">
        <v>149</v>
      </c>
      <c r="EX3" s="418">
        <v>150</v>
      </c>
      <c r="EY3" s="418">
        <v>151</v>
      </c>
      <c r="EZ3" s="418">
        <v>152</v>
      </c>
      <c r="FA3" s="418">
        <v>153</v>
      </c>
      <c r="FB3" s="418">
        <v>154</v>
      </c>
      <c r="FC3" s="418">
        <v>155</v>
      </c>
      <c r="FD3" s="418">
        <v>156</v>
      </c>
      <c r="FE3" s="418">
        <v>157</v>
      </c>
      <c r="FF3" s="418">
        <v>158</v>
      </c>
      <c r="FG3" s="418">
        <v>159</v>
      </c>
      <c r="FH3" s="418">
        <v>160</v>
      </c>
      <c r="FI3" s="418">
        <v>161</v>
      </c>
      <c r="FJ3" s="418">
        <v>162</v>
      </c>
      <c r="FK3" s="418">
        <v>163</v>
      </c>
      <c r="FL3" s="418">
        <v>164</v>
      </c>
      <c r="FM3" s="418">
        <v>165</v>
      </c>
      <c r="FN3" s="418">
        <v>166</v>
      </c>
      <c r="FO3" s="418">
        <v>167</v>
      </c>
      <c r="FP3" s="418">
        <v>168</v>
      </c>
      <c r="FQ3" s="418">
        <v>169</v>
      </c>
      <c r="FR3" s="418">
        <v>170</v>
      </c>
      <c r="FS3" s="418">
        <v>171</v>
      </c>
      <c r="FT3" s="418">
        <v>172</v>
      </c>
      <c r="FU3" s="418">
        <v>173</v>
      </c>
      <c r="FV3" s="418">
        <v>174</v>
      </c>
      <c r="FW3" s="418">
        <v>175</v>
      </c>
      <c r="FX3" s="418">
        <v>176</v>
      </c>
      <c r="FY3" s="418">
        <v>177</v>
      </c>
      <c r="FZ3" s="418">
        <v>178</v>
      </c>
      <c r="GA3" s="418">
        <v>179</v>
      </c>
      <c r="GB3" s="418">
        <v>180</v>
      </c>
      <c r="GC3" s="418">
        <v>181</v>
      </c>
      <c r="GD3" s="418">
        <v>182</v>
      </c>
      <c r="GE3" s="418">
        <v>183</v>
      </c>
      <c r="GF3" s="418">
        <v>184</v>
      </c>
      <c r="GG3" s="418">
        <v>185</v>
      </c>
      <c r="GH3" s="418">
        <v>186</v>
      </c>
      <c r="GI3" s="418">
        <v>187</v>
      </c>
      <c r="GJ3" s="418">
        <v>188</v>
      </c>
      <c r="GK3" s="418">
        <v>189</v>
      </c>
      <c r="GL3" s="418">
        <v>190</v>
      </c>
      <c r="GM3" s="418">
        <v>191</v>
      </c>
      <c r="GN3" s="418">
        <v>192</v>
      </c>
      <c r="GO3" s="418">
        <v>193</v>
      </c>
      <c r="GP3" s="418">
        <v>194</v>
      </c>
      <c r="GQ3" s="418">
        <v>195</v>
      </c>
      <c r="GR3" s="418">
        <v>196</v>
      </c>
      <c r="GS3" s="418">
        <v>197</v>
      </c>
      <c r="GT3" s="418">
        <v>198</v>
      </c>
      <c r="GU3" s="418">
        <v>199</v>
      </c>
      <c r="GV3" s="418">
        <v>200</v>
      </c>
      <c r="GW3" s="418">
        <v>201</v>
      </c>
      <c r="GX3" s="418">
        <v>202</v>
      </c>
      <c r="GY3" s="418">
        <v>203</v>
      </c>
      <c r="GZ3" s="418">
        <v>204</v>
      </c>
      <c r="HA3" s="418">
        <v>205</v>
      </c>
      <c r="HB3" s="418">
        <v>206</v>
      </c>
      <c r="HC3" s="418">
        <v>207</v>
      </c>
      <c r="HD3" s="418">
        <v>208</v>
      </c>
      <c r="HE3" s="418">
        <v>209</v>
      </c>
      <c r="HF3" s="418">
        <v>210</v>
      </c>
      <c r="HG3" s="418">
        <v>211</v>
      </c>
      <c r="HH3" s="418">
        <v>212</v>
      </c>
      <c r="HI3" s="418">
        <v>213</v>
      </c>
      <c r="HJ3" s="418">
        <v>214</v>
      </c>
      <c r="HK3" s="418">
        <v>215</v>
      </c>
      <c r="HL3" s="418">
        <v>216</v>
      </c>
      <c r="HM3" s="418">
        <v>217</v>
      </c>
      <c r="HN3" s="418">
        <v>218</v>
      </c>
      <c r="HO3" s="418">
        <v>219</v>
      </c>
      <c r="HP3" s="418">
        <v>220</v>
      </c>
      <c r="HQ3" s="418">
        <v>221</v>
      </c>
      <c r="HR3" s="418">
        <v>222</v>
      </c>
      <c r="HS3" s="418">
        <v>223</v>
      </c>
      <c r="HT3" s="418">
        <v>224</v>
      </c>
      <c r="HU3" s="418">
        <v>225</v>
      </c>
      <c r="HV3" s="418">
        <v>226</v>
      </c>
      <c r="HW3" s="418">
        <v>227</v>
      </c>
      <c r="HX3" s="418">
        <v>228</v>
      </c>
      <c r="HY3" s="418">
        <v>229</v>
      </c>
      <c r="HZ3" s="418">
        <v>230</v>
      </c>
      <c r="IA3" s="418">
        <v>231</v>
      </c>
      <c r="IB3" s="418">
        <v>232</v>
      </c>
      <c r="IC3" s="418">
        <v>233</v>
      </c>
      <c r="ID3" s="418">
        <v>234</v>
      </c>
      <c r="IE3" s="418">
        <v>235</v>
      </c>
      <c r="IF3" s="418">
        <v>236</v>
      </c>
      <c r="IG3" s="418">
        <v>237</v>
      </c>
      <c r="IH3" s="418">
        <v>238</v>
      </c>
      <c r="II3" s="418">
        <v>239</v>
      </c>
      <c r="IJ3" s="418">
        <v>240</v>
      </c>
      <c r="IK3" s="418">
        <v>241</v>
      </c>
      <c r="IL3" s="418">
        <v>242</v>
      </c>
      <c r="IM3" s="418">
        <v>243</v>
      </c>
      <c r="IN3" s="418">
        <v>244</v>
      </c>
      <c r="IO3" s="418">
        <v>245</v>
      </c>
      <c r="IP3" s="418">
        <v>246</v>
      </c>
      <c r="IQ3" s="418">
        <v>247</v>
      </c>
      <c r="IR3" s="418">
        <v>248</v>
      </c>
      <c r="IS3" s="418">
        <v>249</v>
      </c>
      <c r="IT3" s="418">
        <v>250</v>
      </c>
      <c r="IU3" s="418">
        <v>251</v>
      </c>
      <c r="IV3" s="418">
        <v>252</v>
      </c>
      <c r="IW3" s="418">
        <v>253</v>
      </c>
      <c r="IX3" s="418">
        <v>254</v>
      </c>
      <c r="IY3" s="418">
        <v>255</v>
      </c>
      <c r="IZ3" s="418">
        <v>256</v>
      </c>
      <c r="JA3" s="418">
        <v>257</v>
      </c>
      <c r="JB3" s="418">
        <v>258</v>
      </c>
      <c r="JC3" s="418">
        <v>259</v>
      </c>
      <c r="JD3" s="418">
        <v>260</v>
      </c>
      <c r="JE3" s="418">
        <v>261</v>
      </c>
      <c r="JF3" s="418">
        <v>262</v>
      </c>
      <c r="JG3" s="418">
        <v>263</v>
      </c>
      <c r="JH3" s="418">
        <v>264</v>
      </c>
      <c r="JI3" s="418">
        <v>265</v>
      </c>
      <c r="JJ3" s="418">
        <v>266</v>
      </c>
      <c r="JK3" s="418">
        <v>267</v>
      </c>
      <c r="JL3" s="418">
        <v>268</v>
      </c>
      <c r="JM3" s="418">
        <v>269</v>
      </c>
      <c r="JN3" s="418">
        <v>270</v>
      </c>
      <c r="JO3" s="418">
        <v>271</v>
      </c>
      <c r="JP3" s="418">
        <v>272</v>
      </c>
      <c r="JQ3" s="418">
        <v>273</v>
      </c>
      <c r="JR3" s="11"/>
      <c r="JS3" s="279"/>
      <c r="JT3" s="1385" t="s">
        <v>2199</v>
      </c>
    </row>
    <row r="4" spans="1:280" ht="12.5" x14ac:dyDescent="0.25">
      <c r="A4" s="1357">
        <v>2</v>
      </c>
      <c r="B4" s="1358" t="str">
        <f t="shared" ref="B4:B9" si="0">IF(YPD_IND&gt;1,IF(HLOOKUP(YPD_IND-1,YPD_RANGE,A4)="","",HLOOKUP(YPD_IND-1,YPD_RANGE,A4)),"")</f>
        <v>23/04/1987</v>
      </c>
      <c r="C4" s="1359" t="s">
        <v>2202</v>
      </c>
      <c r="D4" s="1360" t="s">
        <v>2203</v>
      </c>
      <c r="E4" s="1361" t="s">
        <v>1487</v>
      </c>
      <c r="F4" s="2385">
        <v>17854</v>
      </c>
      <c r="G4" s="1361" t="s">
        <v>2204</v>
      </c>
      <c r="H4" s="1361" t="s">
        <v>2204</v>
      </c>
      <c r="I4" s="1361" t="s">
        <v>2204</v>
      </c>
      <c r="J4" s="1361" t="s">
        <v>2205</v>
      </c>
      <c r="K4" s="1361" t="str">
        <f>"05/03/"&amp;Tax_year_end-72</f>
        <v>05/03/1954</v>
      </c>
      <c r="L4" s="1361" t="str">
        <f>"03/06/"&amp;MCA_year-1</f>
        <v>03/06/1934</v>
      </c>
      <c r="M4" s="1361" t="s">
        <v>2204</v>
      </c>
      <c r="N4" s="1361" t="s">
        <v>2204</v>
      </c>
      <c r="O4" s="1361" t="str">
        <f>"03/06/"&amp;MCA_year-1</f>
        <v>03/06/1934</v>
      </c>
      <c r="P4" s="1361" t="str">
        <f>"03/06/"&amp;MCA_year-1</f>
        <v>03/06/1934</v>
      </c>
      <c r="Q4" s="1361" t="str">
        <f>"03/06/"&amp;MCA_year-1</f>
        <v>03/06/1934</v>
      </c>
      <c r="R4" s="1361" t="s">
        <v>1487</v>
      </c>
      <c r="S4" s="1361" t="s">
        <v>1487</v>
      </c>
      <c r="T4" s="1361" t="s">
        <v>2204</v>
      </c>
      <c r="U4" s="1361" t="s">
        <v>1487</v>
      </c>
      <c r="V4" s="1361" t="s">
        <v>1487</v>
      </c>
      <c r="W4" s="1361" t="s">
        <v>2204</v>
      </c>
      <c r="X4" s="1361" t="s">
        <v>2204</v>
      </c>
      <c r="Y4" s="1361" t="s">
        <v>2204</v>
      </c>
      <c r="Z4" s="1361" t="s">
        <v>2204</v>
      </c>
      <c r="AA4" s="1361" t="s">
        <v>1487</v>
      </c>
      <c r="AB4" s="1361" t="s">
        <v>1487</v>
      </c>
      <c r="AC4" s="1361" t="s">
        <v>1487</v>
      </c>
      <c r="AD4" s="1361" t="str">
        <f>"02/05/"&amp;Tax_year_end-15</f>
        <v>02/05/2011</v>
      </c>
      <c r="AE4" s="1361" t="s">
        <v>2204</v>
      </c>
      <c r="AF4" s="1361" t="s">
        <v>2204</v>
      </c>
      <c r="AG4" s="1361" t="str">
        <f>"02/05/"&amp;Tax_year_end-15</f>
        <v>02/05/2011</v>
      </c>
      <c r="AH4" s="1361" t="s">
        <v>2204</v>
      </c>
      <c r="AI4" s="1361" t="s">
        <v>2204</v>
      </c>
      <c r="AJ4" s="1361" t="s">
        <v>2204</v>
      </c>
      <c r="AK4" s="1361" t="str">
        <f>"17/11/"&amp;Tax_year_end-31</f>
        <v>17/11/1995</v>
      </c>
      <c r="AL4" s="1361" t="s">
        <v>2204</v>
      </c>
      <c r="AM4" s="1361" t="str">
        <f>"17/11/"&amp;Tax_year_end-67</f>
        <v>17/11/1959</v>
      </c>
      <c r="AN4" s="1361" t="str">
        <f>"05/03/"&amp;Tax_year_end-76</f>
        <v>05/03/1950</v>
      </c>
      <c r="AO4" s="1361" t="str">
        <f>"03/01/"&amp;Tax_year_end-67</f>
        <v>03/01/1959</v>
      </c>
      <c r="AP4" s="1361" t="str">
        <f>"03/01/"&amp;Tax_year_end-50</f>
        <v>03/01/1976</v>
      </c>
      <c r="AQ4" s="1361" t="s">
        <v>2205</v>
      </c>
      <c r="AR4" s="1361" t="str">
        <f>"03/01/"&amp;Tax_year_end-50</f>
        <v>03/01/1976</v>
      </c>
      <c r="AS4" s="1361" t="s">
        <v>1487</v>
      </c>
      <c r="AT4" s="1361" t="s">
        <v>1487</v>
      </c>
      <c r="AU4" s="1361" t="s">
        <v>2205</v>
      </c>
      <c r="AV4" s="1361" t="s">
        <v>1487</v>
      </c>
      <c r="AW4" s="1361" t="str">
        <f>"03/06/"&amp;MCA_year-1</f>
        <v>03/06/1934</v>
      </c>
      <c r="AX4" s="1361" t="str">
        <f>"03/06/"&amp;MCA_year-1</f>
        <v>03/06/1934</v>
      </c>
      <c r="AY4" s="1361" t="s">
        <v>2204</v>
      </c>
      <c r="AZ4" s="1361" t="s">
        <v>2204</v>
      </c>
      <c r="BA4" s="1361" t="s">
        <v>1487</v>
      </c>
      <c r="BB4" s="1362" t="str">
        <f>"17/09/"&amp;Tax_year_end-79</f>
        <v>17/09/1947</v>
      </c>
      <c r="BC4" s="1361" t="s">
        <v>1487</v>
      </c>
      <c r="BD4" s="1361" t="str">
        <f>"03/01/"&amp;Tax_year_end-58</f>
        <v>03/01/1968</v>
      </c>
      <c r="BE4" s="1361" t="str">
        <f>"17/11/"&amp;Tax_year_end-46</f>
        <v>17/11/1980</v>
      </c>
      <c r="BF4" s="1361" t="str">
        <f>"17/11/"&amp;Tax_year_end-78</f>
        <v>17/11/1948</v>
      </c>
      <c r="BG4" s="1362" t="str">
        <f>"10/09/"&amp;Tax_year_end-43</f>
        <v>10/09/1983</v>
      </c>
      <c r="BH4" s="1361" t="str">
        <f>"22/02/"&amp;MCA_year+1</f>
        <v>22/02/1936</v>
      </c>
      <c r="BI4" s="1361" t="str">
        <f>"22/02/"&amp;MCA_year+1</f>
        <v>22/02/1936</v>
      </c>
      <c r="BJ4" s="1362" t="str">
        <f>"08/06/"&amp;Tax_year_end-39</f>
        <v>08/06/1987</v>
      </c>
      <c r="BK4" s="1361" t="s">
        <v>2206</v>
      </c>
      <c r="BL4" s="1361" t="s">
        <v>2204</v>
      </c>
      <c r="BM4" s="1361" t="str">
        <f>"22/02/"&amp;Tax_year_end-80</f>
        <v>22/02/1946</v>
      </c>
      <c r="BN4" s="1361" t="s">
        <v>2206</v>
      </c>
      <c r="BO4" s="1361" t="s">
        <v>2206</v>
      </c>
      <c r="BP4" s="1362" t="str">
        <f>"18/01/"&amp;Tax_year_end-73</f>
        <v>18/01/1953</v>
      </c>
      <c r="BQ4" s="1361" t="str">
        <f>"03/06/"&amp;Tax_year_end-77</f>
        <v>03/06/1949</v>
      </c>
      <c r="BR4" s="1361" t="str">
        <f>"03/06/"&amp;Tax_year_end-76</f>
        <v>03/06/1950</v>
      </c>
      <c r="BS4" s="1361" t="str">
        <f>"07/07/"&amp;Tax_year_end-76</f>
        <v>07/07/1950</v>
      </c>
      <c r="BT4" s="1362" t="str">
        <f>"28/05/"&amp;Tax_year_end-61</f>
        <v>28/05/1965</v>
      </c>
      <c r="BU4" s="1361" t="s">
        <v>2206</v>
      </c>
      <c r="BV4" s="1361" t="str">
        <f>"03/06/"&amp;MCA_year-1</f>
        <v>03/06/1934</v>
      </c>
      <c r="BW4" s="1361" t="str">
        <f>"03/06/"&amp;MCA_year-1</f>
        <v>03/06/1934</v>
      </c>
      <c r="BX4" s="1361" t="str">
        <f>"03/06/"&amp;MCA_year-1</f>
        <v>03/06/1934</v>
      </c>
      <c r="BY4" s="1361" t="str">
        <f>"03/06/"&amp;MCA_year-1</f>
        <v>03/06/1934</v>
      </c>
      <c r="BZ4" s="1361" t="s">
        <v>2206</v>
      </c>
      <c r="CA4" s="1361" t="s">
        <v>2206</v>
      </c>
      <c r="CB4" s="1361" t="s">
        <v>2204</v>
      </c>
      <c r="CC4" s="1361" t="s">
        <v>2204</v>
      </c>
      <c r="CD4" s="1362" t="str">
        <f>"29/06/"&amp;Tax_year_end-71</f>
        <v>29/06/1955</v>
      </c>
      <c r="CE4" s="1361" t="s">
        <v>2205</v>
      </c>
      <c r="CF4" s="1361" t="str">
        <f>"03/06/"&amp;MCA_year-1</f>
        <v>03/06/1934</v>
      </c>
      <c r="CG4" s="1361" t="s">
        <v>2204</v>
      </c>
      <c r="CH4" s="1361" t="str">
        <f>"03/06/"&amp;MCA_year-1</f>
        <v>03/06/1934</v>
      </c>
      <c r="CI4" s="1361" t="s">
        <v>2206</v>
      </c>
      <c r="CJ4" s="1363" t="str">
        <f>"07/06/"&amp;Tax_year_end-76</f>
        <v>07/06/1950</v>
      </c>
      <c r="CK4" s="1362" t="str">
        <f>"07/06/"&amp;Tax_year_end-65</f>
        <v>07/06/1961</v>
      </c>
      <c r="CL4" s="1361" t="s">
        <v>1487</v>
      </c>
      <c r="CM4" s="1361" t="str">
        <f>"12/03/"&amp;Tax_year_end-79</f>
        <v>12/03/1947</v>
      </c>
      <c r="CN4" s="1361" t="str">
        <f>"20/09/"&amp;Tax_year_end-79</f>
        <v>20/09/1947</v>
      </c>
      <c r="CO4" s="1361" t="s">
        <v>2204</v>
      </c>
      <c r="CP4" s="1362" t="str">
        <f>"12/03/"&amp;Tax_year_end-77</f>
        <v>12/03/1949</v>
      </c>
      <c r="CQ4" s="1361" t="s">
        <v>2204</v>
      </c>
      <c r="CR4" s="1361" t="s">
        <v>2204</v>
      </c>
      <c r="CS4" s="1361" t="s">
        <v>2204</v>
      </c>
      <c r="CT4" s="1361" t="s">
        <v>2204</v>
      </c>
      <c r="CU4" s="1361" t="s">
        <v>2204</v>
      </c>
      <c r="CV4" s="1361" t="str">
        <f>"03/03/"&amp;Tax_year_end-58</f>
        <v>03/03/1968</v>
      </c>
      <c r="CW4" s="1361" t="s">
        <v>2204</v>
      </c>
      <c r="CX4" s="1362" t="str">
        <f>"08/02/"&amp;Tax_year_end-77</f>
        <v>08/02/1949</v>
      </c>
      <c r="CY4" s="1361" t="s">
        <v>2204</v>
      </c>
      <c r="CZ4" s="1361" t="s">
        <v>2204</v>
      </c>
      <c r="DA4" s="1361" t="s">
        <v>2204</v>
      </c>
      <c r="DB4" s="1361" t="s">
        <v>2204</v>
      </c>
      <c r="DC4" s="1361" t="s">
        <v>1487</v>
      </c>
      <c r="DD4" s="1361" t="str">
        <f>"03/01/"&amp;Tax_year_end-59</f>
        <v>03/01/1967</v>
      </c>
      <c r="DE4" s="1361" t="s">
        <v>2205</v>
      </c>
      <c r="DF4" s="1362" t="str">
        <f>"31/08/"&amp;Tax_year_end-57</f>
        <v>31/08/1969</v>
      </c>
      <c r="DG4" s="1361" t="s">
        <v>2204</v>
      </c>
      <c r="DH4" s="1361" t="s">
        <v>2206</v>
      </c>
      <c r="DI4" s="1361" t="s">
        <v>2206</v>
      </c>
      <c r="DJ4" s="1362" t="str">
        <f>"14/04/"&amp;Tax_year_end-68</f>
        <v>14/04/1958</v>
      </c>
      <c r="DK4" s="1361" t="s">
        <v>2205</v>
      </c>
      <c r="DL4" s="1361" t="s">
        <v>1487</v>
      </c>
      <c r="DM4" s="1361" t="s">
        <v>2204</v>
      </c>
      <c r="DN4" s="1361" t="s">
        <v>2204</v>
      </c>
      <c r="DO4" s="1362" t="str">
        <f>"19/08/"&amp;Tax_year_end-45</f>
        <v>19/08/1981</v>
      </c>
      <c r="DP4" s="1361" t="s">
        <v>1487</v>
      </c>
      <c r="DQ4" s="1361" t="s">
        <v>2205</v>
      </c>
      <c r="DR4" s="1362" t="str">
        <f>"09/06/"&amp;Tax_year_end-56</f>
        <v>09/06/1970</v>
      </c>
      <c r="DS4" s="1362" t="str">
        <f>"19/08/"&amp;Tax_year_end-45</f>
        <v>19/08/1981</v>
      </c>
      <c r="DT4" s="1361" t="s">
        <v>1487</v>
      </c>
      <c r="DU4" s="1361" t="s">
        <v>2204</v>
      </c>
      <c r="DV4" s="1361" t="s">
        <v>1487</v>
      </c>
      <c r="DW4" s="1362" t="str">
        <f>"15/02/"&amp;Tax_year_end-61</f>
        <v>15/02/1965</v>
      </c>
      <c r="DX4" s="1362" t="str">
        <f>"18/05/"&amp;Tax_year_end-48</f>
        <v>18/05/1978</v>
      </c>
      <c r="DY4" s="1362" t="str">
        <f>"20/03/"&amp;Tax_year_end-15</f>
        <v>20/03/2011</v>
      </c>
      <c r="DZ4" s="1362" t="str">
        <f>"14/05/"&amp;Tax_year_end-43</f>
        <v>14/05/1983</v>
      </c>
      <c r="EA4" s="1361" t="s">
        <v>1487</v>
      </c>
      <c r="EB4" s="1361" t="s">
        <v>2205</v>
      </c>
      <c r="EC4" s="1361" t="s">
        <v>1487</v>
      </c>
      <c r="ED4" s="1362" t="str">
        <f>"05/11/"&amp;Tax_year_end-51</f>
        <v>05/11/1975</v>
      </c>
      <c r="EE4" s="1362" t="str">
        <f>"20/02/"&amp;Tax_year_end-59</f>
        <v>20/02/1967</v>
      </c>
      <c r="EF4" s="1361" t="s">
        <v>1487</v>
      </c>
      <c r="EG4" s="1362" t="str">
        <f>"31/03/"&amp;Tax_year_end-43</f>
        <v>31/03/1983</v>
      </c>
      <c r="EH4" s="1362" t="str">
        <f>"16/10/"&amp;Tax_year_end-61</f>
        <v>16/10/1965</v>
      </c>
      <c r="EI4" s="1361" t="s">
        <v>2206</v>
      </c>
      <c r="EJ4" s="1362" t="str">
        <f>"03/01/"&amp;Tax_year_end-57</f>
        <v>03/01/1969</v>
      </c>
      <c r="EK4" s="1361" t="s">
        <v>2204</v>
      </c>
      <c r="EL4" s="1362" t="str">
        <f>"21/03/"&amp;Tax_year_end-39</f>
        <v>21/03/1987</v>
      </c>
      <c r="EM4" s="1362" t="str">
        <f>"02/10/"&amp;Tax_year_end-76</f>
        <v>02/10/1950</v>
      </c>
      <c r="EN4" s="1362" t="str">
        <f>"20/02/"&amp;Tax_year_end-61</f>
        <v>20/02/1965</v>
      </c>
      <c r="EO4" s="1362" t="str">
        <f>"13/04/"&amp;Tax_year_end-37</f>
        <v>13/04/1989</v>
      </c>
      <c r="EP4" s="1362" t="str">
        <f>"25/05/"&amp;Tax_year_end-60</f>
        <v>25/05/1966</v>
      </c>
      <c r="EQ4" s="1362" t="str">
        <f>"20/08/"&amp;Tax_year_end-67</f>
        <v>20/08/1959</v>
      </c>
      <c r="ER4" s="1362" t="str">
        <f>"30/03/"&amp;Tax_year_end-66</f>
        <v>30/03/1960</v>
      </c>
      <c r="ES4" s="1362" t="str">
        <f>"01/03/"&amp;Tax_year_end-72</f>
        <v>01/03/1954</v>
      </c>
      <c r="ET4" s="1362" t="str">
        <f>"30/07/"&amp;Tax_year_end-60</f>
        <v>30/07/1966</v>
      </c>
      <c r="EU4" s="406" t="str">
        <f>"25/09/"&amp;Tax_year_end-80</f>
        <v>25/09/1946</v>
      </c>
      <c r="EV4" s="1362" t="str">
        <f>"12/07/"&amp;Tax_year_end-67</f>
        <v>12/07/1959</v>
      </c>
      <c r="EW4" s="1361" t="s">
        <v>1487</v>
      </c>
      <c r="EX4" s="1361" t="s">
        <v>1487</v>
      </c>
      <c r="EY4" s="1362" t="str">
        <f>"26/05/"&amp;Tax_year_end-35</f>
        <v>26/05/1991</v>
      </c>
      <c r="EZ4" s="1362" t="str">
        <f>"16/06/"&amp;Tax_year_end-89</f>
        <v>16/06/1937</v>
      </c>
      <c r="FA4" s="1361" t="s">
        <v>2204</v>
      </c>
      <c r="FB4" s="1362" t="str">
        <f>"25/09/"&amp;Tax_year_end-59</f>
        <v>25/09/1967</v>
      </c>
      <c r="FC4" s="1362" t="str">
        <f>"30/03/"&amp;Tax_year_end-66</f>
        <v>30/03/1960</v>
      </c>
      <c r="FD4" s="1362" t="str">
        <f>"29/11/"&amp;Tax_year_end-62</f>
        <v>29/11/1964</v>
      </c>
      <c r="FE4" s="1362" t="str">
        <f>"26/01/"&amp;Tax_year_end-40</f>
        <v>26/01/1986</v>
      </c>
      <c r="FF4" s="1362" t="str">
        <f>"10/05/"&amp;Tax_year_end-77</f>
        <v>10/05/1949</v>
      </c>
      <c r="FG4" s="1361" t="s">
        <v>1487</v>
      </c>
      <c r="FH4" s="1362" t="str">
        <f>"29/11/"&amp;Tax_year_end-62</f>
        <v>29/11/1964</v>
      </c>
      <c r="FI4" s="1362" t="str">
        <f>"06/01/"&amp;Tax_year_end-38</f>
        <v>06/01/1988</v>
      </c>
      <c r="FJ4" s="1362" t="str">
        <f>"14/11/"&amp;Tax_year_end-65</f>
        <v>14/11/1961</v>
      </c>
      <c r="FK4" s="1362" t="str">
        <f>"11/01/"&amp;Tax_year_end-56</f>
        <v>11/01/1970</v>
      </c>
      <c r="FL4" s="1361" t="s">
        <v>1487</v>
      </c>
      <c r="FM4" s="1362" t="str">
        <f>"10/04/"&amp;Tax_year_end-51</f>
        <v>10/04/1975</v>
      </c>
      <c r="FN4" s="1361" t="s">
        <v>1487</v>
      </c>
      <c r="FO4" s="1362" t="str">
        <f>"17/03/"&amp;Tax_year_end-63</f>
        <v>17/03/1963</v>
      </c>
      <c r="FP4" s="1362" t="str">
        <f>"23/04/"&amp;Tax_year_end-39</f>
        <v>23/04/1987</v>
      </c>
      <c r="FQ4" s="1361" t="s">
        <v>1487</v>
      </c>
      <c r="FR4" s="1362" t="str">
        <f>"17/08/"&amp;Tax_year_end-45</f>
        <v>17/08/1981</v>
      </c>
      <c r="FS4" s="1361" t="s">
        <v>1487</v>
      </c>
      <c r="FT4" s="1361" t="s">
        <v>1487</v>
      </c>
      <c r="FU4" s="1361" t="s">
        <v>1487</v>
      </c>
      <c r="FV4" s="1361" t="s">
        <v>2206</v>
      </c>
      <c r="FW4" s="1361" t="s">
        <v>1487</v>
      </c>
      <c r="FX4" s="1361" t="s">
        <v>2204</v>
      </c>
      <c r="FY4" s="1361" t="s">
        <v>1487</v>
      </c>
      <c r="FZ4" s="1362" t="str">
        <f>"03/05/"&amp;Tax_year_end-69</f>
        <v>03/05/1957</v>
      </c>
      <c r="GA4" s="1362" t="s">
        <v>2204</v>
      </c>
      <c r="GB4" s="1361" t="s">
        <v>1487</v>
      </c>
      <c r="GC4" s="1361" t="s">
        <v>2204</v>
      </c>
      <c r="GD4" s="1361" t="s">
        <v>2204</v>
      </c>
      <c r="GE4" s="1361" t="s">
        <v>2206</v>
      </c>
      <c r="GF4" s="1361" t="str">
        <f>"19/11/"&amp;Tax_year_end-77</f>
        <v>19/11/1949</v>
      </c>
      <c r="GG4" s="1361" t="s">
        <v>2204</v>
      </c>
      <c r="GH4" s="1361" t="s">
        <v>2205</v>
      </c>
      <c r="GI4" s="1361" t="s">
        <v>2206</v>
      </c>
      <c r="GJ4" s="1361" t="s">
        <v>2206</v>
      </c>
      <c r="GK4" s="1361" t="s">
        <v>2204</v>
      </c>
      <c r="GL4" s="1361" t="s">
        <v>2204</v>
      </c>
      <c r="GM4" s="1361" t="s">
        <v>2204</v>
      </c>
      <c r="GN4" s="1361" t="s">
        <v>2204</v>
      </c>
      <c r="GO4" s="1361" t="s">
        <v>2204</v>
      </c>
      <c r="GP4" s="1361" t="s">
        <v>2204</v>
      </c>
      <c r="GQ4" s="1361" t="s">
        <v>2204</v>
      </c>
      <c r="GR4" s="1361" t="s">
        <v>2204</v>
      </c>
      <c r="GS4" s="1361" t="s">
        <v>2205</v>
      </c>
      <c r="GT4" s="1361" t="str">
        <f>"03/01/"&amp;Tax_year_end-79</f>
        <v>03/01/1947</v>
      </c>
      <c r="GU4" s="1361" t="s">
        <v>2205</v>
      </c>
      <c r="GV4" s="1361" t="s">
        <v>2206</v>
      </c>
      <c r="GW4" s="1361" t="s">
        <v>1487</v>
      </c>
      <c r="GX4" s="1361" t="s">
        <v>1487</v>
      </c>
      <c r="GY4" s="1361" t="s">
        <v>1487</v>
      </c>
      <c r="GZ4" s="1361" t="s">
        <v>1487</v>
      </c>
      <c r="HA4" s="1361" t="s">
        <v>1487</v>
      </c>
      <c r="HB4" s="1361" t="s">
        <v>1487</v>
      </c>
      <c r="HC4" s="1361" t="s">
        <v>1487</v>
      </c>
      <c r="HD4" s="1361" t="s">
        <v>1487</v>
      </c>
      <c r="HE4" s="1361" t="s">
        <v>1487</v>
      </c>
      <c r="HF4" s="1361" t="s">
        <v>1487</v>
      </c>
      <c r="HG4" s="1361" t="s">
        <v>1487</v>
      </c>
      <c r="HH4" s="1361" t="s">
        <v>1487</v>
      </c>
      <c r="HI4" s="1362" t="str">
        <f>"23/07/"&amp;Tax_year_end-43</f>
        <v>23/07/1983</v>
      </c>
      <c r="HJ4" s="1362" t="str">
        <f>"23/03/"&amp;Tax_year_end-65</f>
        <v>23/03/1961</v>
      </c>
      <c r="HK4" s="1361" t="s">
        <v>2205</v>
      </c>
      <c r="HL4" s="1361" t="str">
        <f>"12/01/"&amp;Tax_year_end-36</f>
        <v>12/01/1990</v>
      </c>
      <c r="HM4" s="1361" t="str">
        <f>"01/12/"&amp;Tax_year_end-58</f>
        <v>01/12/1968</v>
      </c>
      <c r="HN4" s="1361" t="str">
        <f>"02/05/"&amp;Tax_year_end-15</f>
        <v>02/05/2011</v>
      </c>
      <c r="HO4" s="1361" t="s">
        <v>1487</v>
      </c>
      <c r="HP4" s="1361" t="s">
        <v>1487</v>
      </c>
      <c r="HQ4" s="1362" t="str">
        <f>"14/08/"&amp;Tax_year_end-54</f>
        <v>14/08/1972</v>
      </c>
      <c r="HR4" s="1362" t="str">
        <f>"06/11/"&amp;Tax_year_end-55</f>
        <v>06/11/1971</v>
      </c>
      <c r="HS4" s="1361" t="s">
        <v>1487</v>
      </c>
      <c r="HT4" s="1361" t="s">
        <v>1487</v>
      </c>
      <c r="HU4" s="1361" t="s">
        <v>1487</v>
      </c>
      <c r="HV4" s="1361" t="s">
        <v>1487</v>
      </c>
      <c r="HW4" s="1361" t="s">
        <v>1487</v>
      </c>
      <c r="HX4" s="1362" t="str">
        <f>"03/07/"&amp;Tax_year_end-53</f>
        <v>03/07/1973</v>
      </c>
      <c r="HY4" s="1361" t="s">
        <v>1487</v>
      </c>
      <c r="HZ4" s="1361" t="s">
        <v>1487</v>
      </c>
      <c r="IA4" s="1361" t="s">
        <v>1487</v>
      </c>
      <c r="IB4" s="1361" t="s">
        <v>1487</v>
      </c>
      <c r="IC4" s="1362" t="str">
        <f>"19/11/"&amp;Tax_year_end-30</f>
        <v>19/11/1996</v>
      </c>
      <c r="ID4" s="1362" t="str">
        <f>"31/12/"&amp;Tax_year_end-52</f>
        <v>31/12/1974</v>
      </c>
      <c r="IE4" s="1362" t="str">
        <f>"23/07/"&amp;Tax_year_end-61</f>
        <v>23/07/1965</v>
      </c>
      <c r="IF4" s="1361" t="s">
        <v>1487</v>
      </c>
      <c r="IG4" s="1361" t="s">
        <v>1487</v>
      </c>
      <c r="IH4" s="1361" t="s">
        <v>1487</v>
      </c>
      <c r="II4" s="1361" t="s">
        <v>1487</v>
      </c>
      <c r="IJ4" s="1361" t="s">
        <v>1487</v>
      </c>
      <c r="IK4" s="1361" t="s">
        <v>1487</v>
      </c>
      <c r="IL4" s="1361" t="s">
        <v>1487</v>
      </c>
      <c r="IM4" s="1361" t="s">
        <v>1487</v>
      </c>
      <c r="IN4" s="1361" t="s">
        <v>1487</v>
      </c>
      <c r="IO4" s="1361" t="s">
        <v>1487</v>
      </c>
      <c r="IP4" s="1361" t="s">
        <v>1487</v>
      </c>
      <c r="IQ4" s="1361" t="s">
        <v>2206</v>
      </c>
      <c r="IR4" s="1361" t="s">
        <v>2206</v>
      </c>
      <c r="IS4" s="1361" t="s">
        <v>1487</v>
      </c>
      <c r="IT4" s="1361" t="s">
        <v>1487</v>
      </c>
      <c r="IU4" s="1361" t="s">
        <v>1487</v>
      </c>
      <c r="IV4" s="1361" t="s">
        <v>1487</v>
      </c>
      <c r="IW4" s="1361" t="s">
        <v>1487</v>
      </c>
      <c r="IX4" s="1361" t="str">
        <f>"07/02/"&amp;Tax_year_end-79</f>
        <v>07/02/1947</v>
      </c>
      <c r="IY4" s="1361" t="s">
        <v>2204</v>
      </c>
      <c r="IZ4" s="1361" t="str">
        <f>"17/11/"&amp;Tax_year_end-78</f>
        <v>17/11/1948</v>
      </c>
      <c r="JA4" s="1361" t="s">
        <v>2204</v>
      </c>
      <c r="JB4" s="1361" t="str">
        <f>"03/01/"&amp;Tax_year_end-56</f>
        <v>03/01/1970</v>
      </c>
      <c r="JC4" s="1361" t="s">
        <v>2205</v>
      </c>
      <c r="JD4" s="1361" t="s">
        <v>2204</v>
      </c>
      <c r="JE4" s="1361" t="s">
        <v>2204</v>
      </c>
      <c r="JF4" s="1361" t="s">
        <v>2205</v>
      </c>
      <c r="JG4" s="1361" t="s">
        <v>1487</v>
      </c>
      <c r="JH4" s="1361" t="s">
        <v>1487</v>
      </c>
      <c r="JI4" s="1361" t="s">
        <v>1487</v>
      </c>
      <c r="JJ4" s="1361" t="s">
        <v>1487</v>
      </c>
      <c r="JK4" s="1361" t="s">
        <v>1487</v>
      </c>
      <c r="JL4" s="1361" t="s">
        <v>1487</v>
      </c>
      <c r="JM4" s="1362" t="s">
        <v>1487</v>
      </c>
      <c r="JN4" s="1361" t="s">
        <v>2206</v>
      </c>
      <c r="JO4" s="1361" t="s">
        <v>2206</v>
      </c>
      <c r="JP4" s="1361" t="s">
        <v>2206</v>
      </c>
      <c r="JQ4" s="2440">
        <v>24981</v>
      </c>
      <c r="JR4" s="351"/>
      <c r="JS4" s="1365" t="s">
        <v>2207</v>
      </c>
      <c r="JT4" s="1385" t="s">
        <v>2208</v>
      </c>
    </row>
    <row r="5" spans="1:280" ht="12.5" x14ac:dyDescent="0.25">
      <c r="A5" s="1357">
        <v>3</v>
      </c>
      <c r="B5" s="1358" t="str">
        <f t="shared" si="0"/>
        <v/>
      </c>
      <c r="C5" s="1359" t="s">
        <v>19</v>
      </c>
      <c r="D5" s="1360" t="str">
        <f>"Before 6/4/"&amp;MCA_year&amp;" (age over "&amp;Tax_year_start-MCA_year&amp;")"</f>
        <v>Before 6/4/1935 (age over 90)</v>
      </c>
      <c r="E5" s="1272"/>
      <c r="F5" s="1272"/>
      <c r="G5" s="1272"/>
      <c r="H5" s="1272"/>
      <c r="I5" s="1272"/>
      <c r="J5" s="1272"/>
      <c r="K5" s="1272"/>
      <c r="L5" s="1272">
        <v>1</v>
      </c>
      <c r="M5" s="1272"/>
      <c r="N5" s="1272"/>
      <c r="O5" s="1272">
        <v>1</v>
      </c>
      <c r="P5" s="1272">
        <v>1</v>
      </c>
      <c r="Q5" s="1272">
        <v>1</v>
      </c>
      <c r="R5" s="1272"/>
      <c r="S5" s="1272"/>
      <c r="T5" s="1272"/>
      <c r="U5" s="1272"/>
      <c r="V5" s="1272"/>
      <c r="W5" s="1272"/>
      <c r="X5" s="1272"/>
      <c r="Y5" s="1272"/>
      <c r="Z5" s="1272"/>
      <c r="AA5" s="1272"/>
      <c r="AB5" s="1272"/>
      <c r="AC5" s="1272"/>
      <c r="AD5" s="1272"/>
      <c r="AE5" s="1272"/>
      <c r="AF5" s="1272"/>
      <c r="AG5" s="1272"/>
      <c r="AH5" s="1272"/>
      <c r="AI5" s="1272"/>
      <c r="AJ5" s="1272"/>
      <c r="AK5" s="1272"/>
      <c r="AL5" s="1272"/>
      <c r="AM5" s="1272"/>
      <c r="AN5" s="1272">
        <v>1</v>
      </c>
      <c r="AO5" s="1272"/>
      <c r="AP5" s="1272"/>
      <c r="AQ5" s="1272"/>
      <c r="AR5" s="1272"/>
      <c r="AS5" s="1272"/>
      <c r="AT5" s="1272"/>
      <c r="AU5" s="1272"/>
      <c r="AV5" s="1272"/>
      <c r="AW5" s="1272">
        <v>1</v>
      </c>
      <c r="AX5" s="1272"/>
      <c r="AY5" s="1272"/>
      <c r="AZ5" s="1272"/>
      <c r="BA5" s="1272"/>
      <c r="BB5" s="1272"/>
      <c r="BC5" s="1272"/>
      <c r="BD5" s="1272"/>
      <c r="BE5" s="1272"/>
      <c r="BF5" s="1272"/>
      <c r="BG5" s="1272"/>
      <c r="BH5" s="1272"/>
      <c r="BI5" s="1272"/>
      <c r="BJ5" s="1272"/>
      <c r="BK5" s="1272"/>
      <c r="BL5" s="1272"/>
      <c r="BM5" s="1272"/>
      <c r="BN5" s="1272"/>
      <c r="BO5" s="1272"/>
      <c r="BP5" s="1272"/>
      <c r="BQ5" s="1272"/>
      <c r="BR5" s="1272"/>
      <c r="BS5" s="1272"/>
      <c r="BT5" s="1272"/>
      <c r="BU5" s="1272"/>
      <c r="BV5" s="1272">
        <v>1</v>
      </c>
      <c r="BW5" s="1272">
        <v>1</v>
      </c>
      <c r="BX5" s="1272">
        <v>1</v>
      </c>
      <c r="BY5" s="1272">
        <v>1</v>
      </c>
      <c r="BZ5" s="1272"/>
      <c r="CA5" s="1272"/>
      <c r="CB5" s="1272"/>
      <c r="CC5" s="1272"/>
      <c r="CD5" s="1272"/>
      <c r="CE5" s="1272"/>
      <c r="CF5" s="1272">
        <v>1</v>
      </c>
      <c r="CG5" s="1272"/>
      <c r="CH5" s="1272">
        <v>1</v>
      </c>
      <c r="CI5" s="1272"/>
      <c r="CJ5" s="1272"/>
      <c r="CK5" s="1272"/>
      <c r="CL5" s="1272"/>
      <c r="CM5" s="1272"/>
      <c r="CN5" s="1272"/>
      <c r="CO5" s="1272"/>
      <c r="CP5" s="1272"/>
      <c r="CQ5" s="1272"/>
      <c r="CR5" s="1272"/>
      <c r="CS5" s="1272"/>
      <c r="CT5" s="1272"/>
      <c r="CU5" s="1272"/>
      <c r="CV5" s="1272"/>
      <c r="CW5" s="1272"/>
      <c r="CX5" s="1272"/>
      <c r="CY5" s="1272"/>
      <c r="CZ5" s="1272"/>
      <c r="DA5" s="1272"/>
      <c r="DB5" s="1272"/>
      <c r="DC5" s="1272"/>
      <c r="DD5" s="1272"/>
      <c r="DE5" s="1272"/>
      <c r="DF5" s="1272"/>
      <c r="DG5" s="1272"/>
      <c r="DH5" s="1272"/>
      <c r="DI5" s="1272"/>
      <c r="DJ5" s="1272"/>
      <c r="DK5" s="1272"/>
      <c r="DL5" s="1272"/>
      <c r="DM5" s="1272"/>
      <c r="DN5" s="1272"/>
      <c r="DO5" s="1366"/>
      <c r="DP5" s="1272"/>
      <c r="DQ5" s="1272"/>
      <c r="DR5" s="1272"/>
      <c r="DS5" s="1366"/>
      <c r="DT5" s="1272"/>
      <c r="DU5" s="1272"/>
      <c r="DV5" s="1272"/>
      <c r="DW5" s="1272"/>
      <c r="DX5" s="1366"/>
      <c r="DY5" s="1272">
        <v>1</v>
      </c>
      <c r="DZ5" s="1366"/>
      <c r="EA5" s="1272"/>
      <c r="EB5" s="1272"/>
      <c r="EC5" s="1272"/>
      <c r="ED5" s="1272"/>
      <c r="EE5" s="1272"/>
      <c r="EF5" s="1272"/>
      <c r="EG5" s="1272"/>
      <c r="EH5" s="1272"/>
      <c r="EI5" s="1272"/>
      <c r="EJ5" s="1272"/>
      <c r="EK5" s="1272"/>
      <c r="EL5" s="1272"/>
      <c r="EM5" s="1272"/>
      <c r="EN5" s="1272"/>
      <c r="EO5" s="1272"/>
      <c r="EP5" s="1272"/>
      <c r="EQ5" s="1272"/>
      <c r="ER5" s="1272"/>
      <c r="ES5" s="1272"/>
      <c r="ET5" s="1272"/>
      <c r="EU5" s="1272"/>
      <c r="EV5" s="1272"/>
      <c r="EW5" s="1272"/>
      <c r="EX5" s="1272"/>
      <c r="EY5" s="1272"/>
      <c r="EZ5" s="1272"/>
      <c r="FA5" s="1272"/>
      <c r="FB5" s="1272"/>
      <c r="FC5" s="1272"/>
      <c r="FD5" s="1272"/>
      <c r="FE5" s="1272"/>
      <c r="FF5" s="1272"/>
      <c r="FG5" s="1272"/>
      <c r="FH5" s="1272"/>
      <c r="FI5" s="1272"/>
      <c r="FJ5" s="1272"/>
      <c r="FK5" s="1272"/>
      <c r="FL5" s="1272"/>
      <c r="FM5" s="1272"/>
      <c r="FN5" s="1272"/>
      <c r="FO5" s="1272"/>
      <c r="FP5" s="1272"/>
      <c r="FQ5" s="1272"/>
      <c r="FR5" s="1272"/>
      <c r="FS5" s="1272"/>
      <c r="FT5" s="1272"/>
      <c r="FU5" s="1272"/>
      <c r="FV5" s="1272"/>
      <c r="FW5" s="1272"/>
      <c r="FX5" s="1272"/>
      <c r="FY5" s="1366"/>
      <c r="FZ5" s="1366"/>
      <c r="GA5" s="1366"/>
      <c r="GB5" s="1366"/>
      <c r="GC5" s="1272"/>
      <c r="GD5" s="1272"/>
      <c r="GE5" s="1272"/>
      <c r="GF5" s="1272"/>
      <c r="GG5" s="1272"/>
      <c r="GH5" s="1272"/>
      <c r="GI5" s="1272"/>
      <c r="GJ5" s="1272"/>
      <c r="GK5" s="1272"/>
      <c r="GL5" s="1272"/>
      <c r="GM5" s="1272"/>
      <c r="GN5" s="1272"/>
      <c r="GO5" s="1272"/>
      <c r="GP5" s="1272"/>
      <c r="GQ5" s="1272"/>
      <c r="GR5" s="1272"/>
      <c r="GS5" s="1272"/>
      <c r="GT5" s="1272"/>
      <c r="GU5" s="1272"/>
      <c r="GV5" s="1272"/>
      <c r="GW5" s="1272"/>
      <c r="GX5" s="1272"/>
      <c r="GY5" s="1272"/>
      <c r="GZ5" s="1272"/>
      <c r="HA5" s="1272"/>
      <c r="HB5" s="1272"/>
      <c r="HC5" s="1272"/>
      <c r="HD5" s="1272"/>
      <c r="HE5" s="1272"/>
      <c r="HF5" s="1272"/>
      <c r="HG5" s="1272"/>
      <c r="HH5" s="1272"/>
      <c r="HI5" s="1272"/>
      <c r="HJ5" s="1272"/>
      <c r="HK5" s="1272"/>
      <c r="HL5" s="1272"/>
      <c r="HM5" s="1272"/>
      <c r="HN5" s="1272"/>
      <c r="HO5" s="1272"/>
      <c r="HP5" s="1272">
        <v>1</v>
      </c>
      <c r="HQ5" s="1272"/>
      <c r="HR5" s="1272"/>
      <c r="HS5" s="1272"/>
      <c r="HT5" s="1272"/>
      <c r="HU5" s="1272"/>
      <c r="HV5" s="1272"/>
      <c r="HW5" s="1272"/>
      <c r="HX5" s="1272"/>
      <c r="HY5" s="1272"/>
      <c r="HZ5" s="1272"/>
      <c r="IA5" s="1272"/>
      <c r="IB5" s="1272"/>
      <c r="IC5" s="1272"/>
      <c r="ID5" s="1272"/>
      <c r="IE5" s="1272"/>
      <c r="IF5" s="1272"/>
      <c r="IG5" s="1272"/>
      <c r="IH5" s="1272"/>
      <c r="II5" s="1272"/>
      <c r="IJ5" s="1272"/>
      <c r="IK5" s="1272"/>
      <c r="IL5" s="1272"/>
      <c r="IM5" s="1272"/>
      <c r="IN5" s="1272"/>
      <c r="IO5" s="1272"/>
      <c r="IP5" s="1272"/>
      <c r="IQ5" s="1272"/>
      <c r="IR5" s="1272"/>
      <c r="IS5" s="1272"/>
      <c r="IT5" s="1272"/>
      <c r="IU5" s="1272"/>
      <c r="IV5" s="1272"/>
      <c r="IW5" s="1272"/>
      <c r="IX5" s="1272"/>
      <c r="IY5" s="1272"/>
      <c r="IZ5" s="1272"/>
      <c r="JA5" s="1272"/>
      <c r="JB5" s="1272"/>
      <c r="JC5" s="1272"/>
      <c r="JD5" s="1272"/>
      <c r="JE5" s="1272"/>
      <c r="JF5" s="1272"/>
      <c r="JG5" s="1272"/>
      <c r="JH5" s="1272"/>
      <c r="JI5" s="1272"/>
      <c r="JJ5" s="1272"/>
      <c r="JK5" s="1272"/>
      <c r="JL5" s="1272"/>
      <c r="JM5" s="1272"/>
      <c r="JN5" s="1272"/>
      <c r="JO5" s="1272"/>
      <c r="JP5" s="1272"/>
      <c r="JQ5" s="1364"/>
      <c r="JR5" s="351"/>
      <c r="JS5" s="1365"/>
      <c r="JT5" s="1385"/>
    </row>
    <row r="6" spans="1:280" ht="12.5" x14ac:dyDescent="0.25">
      <c r="A6" s="1357">
        <v>4</v>
      </c>
      <c r="B6" s="1358" t="str">
        <f t="shared" si="0"/>
        <v/>
      </c>
      <c r="C6" s="1359" t="s">
        <v>2209</v>
      </c>
      <c r="D6" s="1360" t="s">
        <v>2210</v>
      </c>
      <c r="E6" s="1290"/>
      <c r="F6" s="1290"/>
      <c r="G6" s="1290"/>
      <c r="H6" s="1290"/>
      <c r="I6" s="1290"/>
      <c r="J6" s="1290"/>
      <c r="K6" s="1290"/>
      <c r="L6" s="1290"/>
      <c r="M6" s="1290"/>
      <c r="N6" s="1290"/>
      <c r="O6" s="1290"/>
      <c r="P6" s="1290"/>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c r="CL6" s="1290"/>
      <c r="CM6" s="1290"/>
      <c r="CN6" s="1290"/>
      <c r="CO6" s="1290"/>
      <c r="CP6" s="1290"/>
      <c r="CQ6" s="1290"/>
      <c r="CR6" s="1290"/>
      <c r="CS6" s="1290"/>
      <c r="CT6" s="1290"/>
      <c r="CU6" s="1290"/>
      <c r="CV6" s="1290"/>
      <c r="CW6" s="1290"/>
      <c r="CX6" s="1290"/>
      <c r="CY6" s="1290"/>
      <c r="CZ6" s="1290"/>
      <c r="DA6" s="1290"/>
      <c r="DB6" s="1290"/>
      <c r="DC6" s="1290"/>
      <c r="DD6" s="1290"/>
      <c r="DE6" s="1290"/>
      <c r="DF6" s="1290"/>
      <c r="DG6" s="1290"/>
      <c r="DH6" s="1290"/>
      <c r="DI6" s="1290"/>
      <c r="DJ6" s="1290"/>
      <c r="DK6" s="1290"/>
      <c r="DL6" s="1290"/>
      <c r="DM6" s="1290"/>
      <c r="DN6" s="1290"/>
      <c r="DO6" s="1290"/>
      <c r="DP6" s="1290"/>
      <c r="DQ6" s="1290"/>
      <c r="DR6" s="1290"/>
      <c r="DS6" s="1290"/>
      <c r="DT6" s="1290"/>
      <c r="DU6" s="1290"/>
      <c r="DV6" s="1290"/>
      <c r="DW6" s="1290"/>
      <c r="DX6" s="1290"/>
      <c r="DY6" s="1290"/>
      <c r="DZ6" s="1290"/>
      <c r="EA6" s="1290"/>
      <c r="EB6" s="1290"/>
      <c r="EC6" s="1290"/>
      <c r="ED6" s="1290"/>
      <c r="EE6" s="1290"/>
      <c r="EF6" s="1290"/>
      <c r="EG6" s="1290"/>
      <c r="EH6" s="1290"/>
      <c r="EI6" s="1290"/>
      <c r="EJ6" s="1290"/>
      <c r="EK6" s="1290"/>
      <c r="EL6" s="1290"/>
      <c r="EM6" s="1290"/>
      <c r="EN6" s="1290"/>
      <c r="EO6" s="1290"/>
      <c r="EP6" s="1290"/>
      <c r="EQ6" s="1290"/>
      <c r="ER6" s="1290"/>
      <c r="ES6" s="1290"/>
      <c r="ET6" s="1290"/>
      <c r="EU6" s="1290"/>
      <c r="EV6" s="1290"/>
      <c r="EW6" s="1290"/>
      <c r="EX6" s="1290"/>
      <c r="EY6" s="1290"/>
      <c r="EZ6" s="1290"/>
      <c r="FA6" s="1290"/>
      <c r="FB6" s="1290"/>
      <c r="FC6" s="1290"/>
      <c r="FD6" s="1290"/>
      <c r="FE6" s="1290"/>
      <c r="FF6" s="1290"/>
      <c r="FG6" s="1290"/>
      <c r="FH6" s="1290"/>
      <c r="FI6" s="1290"/>
      <c r="FJ6" s="1290"/>
      <c r="FK6" s="1290"/>
      <c r="FL6" s="1290"/>
      <c r="FM6" s="1290"/>
      <c r="FN6" s="1290"/>
      <c r="FO6" s="1290"/>
      <c r="FP6" s="1290"/>
      <c r="FQ6" s="1290"/>
      <c r="FR6" s="1290"/>
      <c r="FS6" s="1290"/>
      <c r="FT6" s="1290"/>
      <c r="FU6" s="1290"/>
      <c r="FV6" s="1290"/>
      <c r="FW6" s="1290"/>
      <c r="FX6" s="1290"/>
      <c r="FY6" s="1290"/>
      <c r="FZ6" s="1290"/>
      <c r="GA6" s="1290"/>
      <c r="GB6" s="1290"/>
      <c r="GC6" s="1290"/>
      <c r="GD6" s="1290"/>
      <c r="GE6" s="1290"/>
      <c r="GF6" s="1290"/>
      <c r="GG6" s="1290"/>
      <c r="GH6" s="1290"/>
      <c r="GI6" s="1290"/>
      <c r="GJ6" s="1290"/>
      <c r="GK6" s="1290"/>
      <c r="GL6" s="1290"/>
      <c r="GM6" s="1290"/>
      <c r="GN6" s="1290"/>
      <c r="GO6" s="1290"/>
      <c r="GP6" s="1290"/>
      <c r="GQ6" s="1290"/>
      <c r="GR6" s="1290"/>
      <c r="GS6" s="1290"/>
      <c r="GT6" s="1290"/>
      <c r="GU6" s="1290"/>
      <c r="GV6" s="1290"/>
      <c r="GW6" s="1290"/>
      <c r="GX6" s="1290"/>
      <c r="GY6" s="1290"/>
      <c r="GZ6" s="1290"/>
      <c r="HA6" s="1290"/>
      <c r="HB6" s="1290"/>
      <c r="HC6" s="1290"/>
      <c r="HD6" s="1290"/>
      <c r="HE6" s="1290"/>
      <c r="HF6" s="1290"/>
      <c r="HG6" s="1290"/>
      <c r="HH6" s="1290"/>
      <c r="HI6" s="1290"/>
      <c r="HJ6" s="1290"/>
      <c r="HK6" s="1290"/>
      <c r="HL6" s="1290"/>
      <c r="HM6" s="1290"/>
      <c r="HN6" s="1290"/>
      <c r="HO6" s="1290"/>
      <c r="HP6" s="1290"/>
      <c r="HQ6" s="1290"/>
      <c r="HR6" s="1290"/>
      <c r="HS6" s="1290"/>
      <c r="HT6" s="1290"/>
      <c r="HU6" s="1290"/>
      <c r="HV6" s="1290"/>
      <c r="HW6" s="1290"/>
      <c r="HX6" s="1290"/>
      <c r="HY6" s="1290"/>
      <c r="HZ6" s="1290"/>
      <c r="IA6" s="1290"/>
      <c r="IB6" s="1290"/>
      <c r="IC6" s="1290"/>
      <c r="ID6" s="1290"/>
      <c r="IE6" s="1290"/>
      <c r="IF6" s="1290"/>
      <c r="IG6" s="1290"/>
      <c r="IH6" s="1290"/>
      <c r="II6" s="1290"/>
      <c r="IJ6" s="1290"/>
      <c r="IK6" s="1290"/>
      <c r="IL6" s="1290"/>
      <c r="IM6" s="1290"/>
      <c r="IN6" s="1290"/>
      <c r="IO6" s="1290"/>
      <c r="IP6" s="1290"/>
      <c r="IQ6" s="1290"/>
      <c r="IR6" s="1290"/>
      <c r="IS6" s="1290"/>
      <c r="IT6" s="1290"/>
      <c r="IU6" s="1290"/>
      <c r="IV6" s="1290"/>
      <c r="IW6" s="1290"/>
      <c r="IX6" s="1290"/>
      <c r="IY6" s="1290"/>
      <c r="IZ6" s="1290"/>
      <c r="JA6" s="1290"/>
      <c r="JB6" s="1290"/>
      <c r="JC6" s="1290"/>
      <c r="JD6" s="1290"/>
      <c r="JE6" s="1290"/>
      <c r="JF6" s="1290"/>
      <c r="JG6" s="1290"/>
      <c r="JH6" s="1290"/>
      <c r="JI6" s="1290"/>
      <c r="JJ6" s="1290"/>
      <c r="JK6" s="1290"/>
      <c r="JL6" s="1290"/>
      <c r="JM6" s="1290"/>
      <c r="JN6" s="1290"/>
      <c r="JO6" s="1290"/>
      <c r="JP6" s="1290"/>
      <c r="JQ6" s="1364"/>
      <c r="JR6" s="351"/>
      <c r="JS6" s="1365" t="s">
        <v>2211</v>
      </c>
      <c r="JT6" s="1385" t="s">
        <v>2208</v>
      </c>
    </row>
    <row r="7" spans="1:280" ht="12.5" x14ac:dyDescent="0.25">
      <c r="A7" s="1357">
        <v>5</v>
      </c>
      <c r="B7" s="1358" t="str">
        <f t="shared" si="0"/>
        <v/>
      </c>
      <c r="C7" s="1359" t="s">
        <v>2212</v>
      </c>
      <c r="D7" s="1360" t="s">
        <v>2213</v>
      </c>
      <c r="E7" s="1290"/>
      <c r="F7" s="1290"/>
      <c r="G7" s="1290"/>
      <c r="H7" s="1290"/>
      <c r="I7" s="1290"/>
      <c r="J7" s="1290"/>
      <c r="K7" s="1290"/>
      <c r="L7" s="1290"/>
      <c r="M7" s="1290"/>
      <c r="N7" s="1290"/>
      <c r="O7" s="1290"/>
      <c r="P7" s="1290"/>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358"/>
      <c r="CB7" s="1358"/>
      <c r="CC7" s="1358"/>
      <c r="CD7" s="1290"/>
      <c r="CE7" s="1358"/>
      <c r="CF7" s="1290"/>
      <c r="CG7" s="1358"/>
      <c r="CH7" s="1290"/>
      <c r="CI7" s="1358"/>
      <c r="CJ7" s="1290"/>
      <c r="CK7" s="1358"/>
      <c r="CL7" s="1290"/>
      <c r="CM7" s="1358"/>
      <c r="CN7" s="1290"/>
      <c r="CO7" s="1358"/>
      <c r="CP7" s="1290"/>
      <c r="CQ7" s="1358"/>
      <c r="CR7" s="1290"/>
      <c r="CS7" s="1358"/>
      <c r="CT7" s="1290"/>
      <c r="CU7" s="1358"/>
      <c r="CV7" s="1290"/>
      <c r="CW7" s="1358"/>
      <c r="CX7" s="1290"/>
      <c r="CY7" s="1358"/>
      <c r="CZ7" s="1290"/>
      <c r="DA7" s="1358"/>
      <c r="DB7" s="1358"/>
      <c r="DC7" s="1358"/>
      <c r="DD7" s="1290"/>
      <c r="DE7" s="1358"/>
      <c r="DF7" s="1290"/>
      <c r="DG7" s="1358"/>
      <c r="DH7" s="1290"/>
      <c r="DI7" s="1358"/>
      <c r="DJ7" s="1290"/>
      <c r="DK7" s="1358"/>
      <c r="DL7" s="1290"/>
      <c r="DM7" s="1358"/>
      <c r="DN7" s="1290"/>
      <c r="DO7" s="1358"/>
      <c r="DP7" s="1290"/>
      <c r="DQ7" s="1358"/>
      <c r="DR7" s="1290"/>
      <c r="DS7" s="1358"/>
      <c r="DT7" s="1290"/>
      <c r="DU7" s="1358"/>
      <c r="DV7" s="1290"/>
      <c r="DW7" s="1358"/>
      <c r="DX7" s="1290"/>
      <c r="DY7" s="1358"/>
      <c r="DZ7" s="1290"/>
      <c r="EA7" s="1290"/>
      <c r="EB7" s="1290"/>
      <c r="EC7" s="1358"/>
      <c r="ED7" s="1290"/>
      <c r="EE7" s="1358"/>
      <c r="EF7" s="1290"/>
      <c r="EG7" s="1358"/>
      <c r="EH7" s="1290"/>
      <c r="EI7" s="1358"/>
      <c r="EJ7" s="1290"/>
      <c r="EK7" s="1358"/>
      <c r="EL7" s="1358"/>
      <c r="EM7" s="1358"/>
      <c r="EN7" s="1290"/>
      <c r="EO7" s="1358"/>
      <c r="EP7" s="1290"/>
      <c r="EQ7" s="1358"/>
      <c r="ER7" s="1290"/>
      <c r="ES7" s="1358"/>
      <c r="ET7" s="1290"/>
      <c r="EU7" s="1358"/>
      <c r="EV7" s="1290"/>
      <c r="EW7" s="1358"/>
      <c r="EX7" s="1290"/>
      <c r="EY7" s="1358"/>
      <c r="EZ7" s="1290"/>
      <c r="FA7" s="1358"/>
      <c r="FB7" s="1290"/>
      <c r="FC7" s="1358"/>
      <c r="FD7" s="1290"/>
      <c r="FE7" s="1358"/>
      <c r="FF7" s="1290"/>
      <c r="FG7" s="1358"/>
      <c r="FH7" s="1290"/>
      <c r="FI7" s="1358"/>
      <c r="FJ7" s="1358"/>
      <c r="FK7" s="1358"/>
      <c r="FL7" s="1290"/>
      <c r="FM7" s="1358"/>
      <c r="FN7" s="1290"/>
      <c r="FO7" s="1358"/>
      <c r="FP7" s="1358"/>
      <c r="FQ7" s="1358"/>
      <c r="FR7" s="1290"/>
      <c r="FS7" s="1358"/>
      <c r="FT7" s="1290"/>
      <c r="FU7" s="1358"/>
      <c r="FV7" s="1290"/>
      <c r="FW7" s="1358"/>
      <c r="FX7" s="1290"/>
      <c r="FY7" s="1358"/>
      <c r="FZ7" s="1290"/>
      <c r="GA7" s="1358"/>
      <c r="GB7" s="1290"/>
      <c r="GC7" s="1358"/>
      <c r="GD7" s="1290"/>
      <c r="GE7" s="1358"/>
      <c r="GF7" s="1290"/>
      <c r="GG7" s="1358"/>
      <c r="GH7" s="1290"/>
      <c r="GI7" s="1358"/>
      <c r="GJ7" s="1290"/>
      <c r="GK7" s="1358"/>
      <c r="GL7" s="1290"/>
      <c r="GM7" s="1358"/>
      <c r="GN7" s="1290"/>
      <c r="GO7" s="1358"/>
      <c r="GP7" s="1290"/>
      <c r="GQ7" s="1358"/>
      <c r="GR7" s="1290"/>
      <c r="GS7" s="1358"/>
      <c r="GT7" s="1290"/>
      <c r="GU7" s="1358"/>
      <c r="GV7" s="1290"/>
      <c r="GW7" s="1358"/>
      <c r="GX7" s="1290"/>
      <c r="GY7" s="1358"/>
      <c r="GZ7" s="1290"/>
      <c r="HA7" s="1358"/>
      <c r="HB7" s="1290"/>
      <c r="HC7" s="1358"/>
      <c r="HD7" s="1290"/>
      <c r="HE7" s="1358"/>
      <c r="HF7" s="1290"/>
      <c r="HG7" s="1358"/>
      <c r="HH7" s="1290"/>
      <c r="HI7" s="1358"/>
      <c r="HJ7" s="1290"/>
      <c r="HK7" s="1358"/>
      <c r="HL7" s="1290"/>
      <c r="HM7" s="1358"/>
      <c r="HN7" s="1290"/>
      <c r="HO7" s="1358"/>
      <c r="HP7" s="1290"/>
      <c r="HQ7" s="1358"/>
      <c r="HR7" s="1290"/>
      <c r="HS7" s="1358"/>
      <c r="HT7" s="1290"/>
      <c r="HU7" s="1358"/>
      <c r="HV7" s="1358"/>
      <c r="HW7" s="1358"/>
      <c r="HX7" s="1290"/>
      <c r="HY7" s="1358"/>
      <c r="HZ7" s="1290"/>
      <c r="IA7" s="1358"/>
      <c r="IB7" s="1290"/>
      <c r="IC7" s="1358"/>
      <c r="ID7" s="1290"/>
      <c r="IE7" s="1358"/>
      <c r="IF7" s="1290"/>
      <c r="IG7" s="1358"/>
      <c r="IH7" s="1290"/>
      <c r="II7" s="1358"/>
      <c r="IJ7" s="1290"/>
      <c r="IK7" s="1358"/>
      <c r="IL7" s="1290"/>
      <c r="IM7" s="1358"/>
      <c r="IN7" s="1290"/>
      <c r="IO7" s="1358"/>
      <c r="IP7" s="1290"/>
      <c r="IQ7" s="1290"/>
      <c r="IR7" s="1290"/>
      <c r="IS7" s="1290"/>
      <c r="IT7" s="1290"/>
      <c r="IU7" s="1290"/>
      <c r="IV7" s="1290"/>
      <c r="IW7" s="1290"/>
      <c r="IX7" s="1290"/>
      <c r="IY7" s="1290"/>
      <c r="IZ7" s="1290"/>
      <c r="JA7" s="1290"/>
      <c r="JB7" s="1290"/>
      <c r="JC7" s="1290"/>
      <c r="JD7" s="1290"/>
      <c r="JE7" s="1290"/>
      <c r="JF7" s="1290"/>
      <c r="JG7" s="1290"/>
      <c r="JH7" s="1290"/>
      <c r="JI7" s="1290"/>
      <c r="JJ7" s="1290"/>
      <c r="JK7" s="1290"/>
      <c r="JL7" s="1290"/>
      <c r="JM7" s="1290"/>
      <c r="JN7" s="1290"/>
      <c r="JO7" s="1290"/>
      <c r="JP7" s="1290"/>
      <c r="JQ7" s="1364"/>
      <c r="JR7" s="351"/>
      <c r="JS7" s="1365" t="s">
        <v>2214</v>
      </c>
      <c r="JT7" s="1385" t="s">
        <v>2215</v>
      </c>
    </row>
    <row r="8" spans="1:280" ht="12.5" x14ac:dyDescent="0.25">
      <c r="A8" s="1357">
        <v>6</v>
      </c>
      <c r="B8" s="1358" t="str">
        <f t="shared" si="0"/>
        <v/>
      </c>
      <c r="C8" s="1359" t="s">
        <v>2216</v>
      </c>
      <c r="D8" s="1360" t="s">
        <v>2217</v>
      </c>
      <c r="E8" s="1290"/>
      <c r="F8" s="1290"/>
      <c r="G8" s="1290"/>
      <c r="H8" s="1290"/>
      <c r="I8" s="1290"/>
      <c r="J8" s="1290"/>
      <c r="K8" s="1290"/>
      <c r="L8" s="1290"/>
      <c r="M8" s="1290"/>
      <c r="N8" s="1290"/>
      <c r="O8" s="1290"/>
      <c r="P8" s="1290"/>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358"/>
      <c r="CB8" s="1358"/>
      <c r="CC8" s="1358"/>
      <c r="CD8" s="1290"/>
      <c r="CE8" s="1358"/>
      <c r="CF8" s="1290"/>
      <c r="CG8" s="1358"/>
      <c r="CH8" s="1290"/>
      <c r="CI8" s="1358"/>
      <c r="CJ8" s="1290"/>
      <c r="CK8" s="1358"/>
      <c r="CL8" s="1290"/>
      <c r="CM8" s="1358"/>
      <c r="CN8" s="1290"/>
      <c r="CO8" s="1358"/>
      <c r="CP8" s="1290"/>
      <c r="CQ8" s="1358"/>
      <c r="CR8" s="1290"/>
      <c r="CS8" s="1358"/>
      <c r="CT8" s="1290"/>
      <c r="CU8" s="1358"/>
      <c r="CV8" s="1290"/>
      <c r="CW8" s="1358"/>
      <c r="CX8" s="1290"/>
      <c r="CY8" s="1358"/>
      <c r="CZ8" s="1290"/>
      <c r="DA8" s="1358"/>
      <c r="DB8" s="1358"/>
      <c r="DC8" s="1358"/>
      <c r="DD8" s="1290"/>
      <c r="DE8" s="1358"/>
      <c r="DF8" s="1290"/>
      <c r="DG8" s="1358"/>
      <c r="DH8" s="1290"/>
      <c r="DI8" s="1358"/>
      <c r="DJ8" s="1290"/>
      <c r="DK8" s="1358"/>
      <c r="DL8" s="1290"/>
      <c r="DM8" s="1358"/>
      <c r="DN8" s="1290"/>
      <c r="DO8" s="1358"/>
      <c r="DP8" s="1290"/>
      <c r="DQ8" s="1358"/>
      <c r="DR8" s="1290"/>
      <c r="DS8" s="1358"/>
      <c r="DT8" s="1290"/>
      <c r="DU8" s="1358"/>
      <c r="DV8" s="1290"/>
      <c r="DW8" s="1358"/>
      <c r="DX8" s="1290"/>
      <c r="DY8" s="1358"/>
      <c r="DZ8" s="1290"/>
      <c r="EA8" s="1290"/>
      <c r="EB8" s="1290"/>
      <c r="EC8" s="1358"/>
      <c r="ED8" s="1290"/>
      <c r="EE8" s="1358"/>
      <c r="EF8" s="1290"/>
      <c r="EG8" s="1358"/>
      <c r="EH8" s="1290"/>
      <c r="EI8" s="1358"/>
      <c r="EJ8" s="1290"/>
      <c r="EK8" s="1358"/>
      <c r="EL8" s="1358"/>
      <c r="EM8" s="1358"/>
      <c r="EN8" s="1290"/>
      <c r="EO8" s="1358"/>
      <c r="EP8" s="1290"/>
      <c r="EQ8" s="1358"/>
      <c r="ER8" s="1290"/>
      <c r="ES8" s="1358"/>
      <c r="ET8" s="1290"/>
      <c r="EU8" s="1358"/>
      <c r="EV8" s="1290"/>
      <c r="EW8" s="1358"/>
      <c r="EX8" s="1290"/>
      <c r="EY8" s="1358"/>
      <c r="EZ8" s="1290"/>
      <c r="FA8" s="1358"/>
      <c r="FB8" s="1290"/>
      <c r="FC8" s="1358"/>
      <c r="FD8" s="1290"/>
      <c r="FE8" s="1358"/>
      <c r="FF8" s="1290"/>
      <c r="FG8" s="1358"/>
      <c r="FH8" s="1290"/>
      <c r="FI8" s="1358"/>
      <c r="FJ8" s="1358"/>
      <c r="FK8" s="1358"/>
      <c r="FL8" s="1290"/>
      <c r="FM8" s="1358"/>
      <c r="FN8" s="1290"/>
      <c r="FO8" s="1358"/>
      <c r="FP8" s="1358"/>
      <c r="FQ8" s="1358"/>
      <c r="FR8" s="1290"/>
      <c r="FS8" s="1358"/>
      <c r="FT8" s="1290"/>
      <c r="FU8" s="1358"/>
      <c r="FV8" s="1290"/>
      <c r="FW8" s="1358"/>
      <c r="FX8" s="1290"/>
      <c r="FY8" s="1358"/>
      <c r="FZ8" s="1290"/>
      <c r="GA8" s="1358"/>
      <c r="GB8" s="1290"/>
      <c r="GC8" s="1358"/>
      <c r="GD8" s="1290"/>
      <c r="GE8" s="1358"/>
      <c r="GF8" s="1290"/>
      <c r="GG8" s="1358"/>
      <c r="GH8" s="1290"/>
      <c r="GI8" s="1358"/>
      <c r="GJ8" s="1290"/>
      <c r="GK8" s="1358"/>
      <c r="GL8" s="1290"/>
      <c r="GM8" s="1358"/>
      <c r="GN8" s="1290"/>
      <c r="GO8" s="1358"/>
      <c r="GP8" s="1290"/>
      <c r="GQ8" s="1358"/>
      <c r="GR8" s="1290"/>
      <c r="GS8" s="1358"/>
      <c r="GT8" s="1290"/>
      <c r="GU8" s="1358"/>
      <c r="GV8" s="1290"/>
      <c r="GW8" s="1358"/>
      <c r="GX8" s="1290"/>
      <c r="GY8" s="1358"/>
      <c r="GZ8" s="1290"/>
      <c r="HA8" s="1358"/>
      <c r="HB8" s="1290"/>
      <c r="HC8" s="1358"/>
      <c r="HD8" s="1290"/>
      <c r="HE8" s="1358"/>
      <c r="HF8" s="1290"/>
      <c r="HG8" s="1358"/>
      <c r="HH8" s="1290"/>
      <c r="HI8" s="1358"/>
      <c r="HJ8" s="1290"/>
      <c r="HK8" s="1358"/>
      <c r="HL8" s="1290"/>
      <c r="HM8" s="1358"/>
      <c r="HN8" s="1290"/>
      <c r="HO8" s="1358"/>
      <c r="HP8" s="1290"/>
      <c r="HQ8" s="1358"/>
      <c r="HR8" s="1290"/>
      <c r="HS8" s="1358"/>
      <c r="HT8" s="1290"/>
      <c r="HU8" s="1358"/>
      <c r="HV8" s="1358"/>
      <c r="HW8" s="1358"/>
      <c r="HX8" s="1290"/>
      <c r="HY8" s="1358"/>
      <c r="HZ8" s="1290"/>
      <c r="IA8" s="1358"/>
      <c r="IB8" s="1290"/>
      <c r="IC8" s="1358"/>
      <c r="ID8" s="1290"/>
      <c r="IE8" s="1358"/>
      <c r="IF8" s="1290"/>
      <c r="IG8" s="1358"/>
      <c r="IH8" s="1290"/>
      <c r="II8" s="1358"/>
      <c r="IJ8" s="1290"/>
      <c r="IK8" s="1358"/>
      <c r="IL8" s="1290"/>
      <c r="IM8" s="1358"/>
      <c r="IN8" s="1290"/>
      <c r="IO8" s="1358"/>
      <c r="IP8" s="1290"/>
      <c r="IQ8" s="1290"/>
      <c r="IR8" s="1290"/>
      <c r="IS8" s="1290"/>
      <c r="IT8" s="1290"/>
      <c r="IU8" s="1290"/>
      <c r="IV8" s="1290"/>
      <c r="IW8" s="1290"/>
      <c r="IX8" s="1290"/>
      <c r="IY8" s="1290"/>
      <c r="IZ8" s="1290"/>
      <c r="JA8" s="1290"/>
      <c r="JB8" s="1290"/>
      <c r="JC8" s="1290"/>
      <c r="JD8" s="1290"/>
      <c r="JE8" s="1290"/>
      <c r="JF8" s="1290"/>
      <c r="JG8" s="1290"/>
      <c r="JH8" s="1290"/>
      <c r="JI8" s="1290"/>
      <c r="JJ8" s="1290"/>
      <c r="JK8" s="1290"/>
      <c r="JL8" s="1290"/>
      <c r="JM8" s="1290"/>
      <c r="JN8" s="1290"/>
      <c r="JO8" s="1290"/>
      <c r="JP8" s="1290"/>
      <c r="JQ8" s="1364"/>
      <c r="JR8" s="351"/>
      <c r="JS8" s="1365" t="s">
        <v>2218</v>
      </c>
      <c r="JT8" s="1385" t="s">
        <v>2215</v>
      </c>
    </row>
    <row r="9" spans="1:280" ht="13" thickBot="1" x14ac:dyDescent="0.3">
      <c r="A9" s="1357">
        <v>7</v>
      </c>
      <c r="B9" s="1358">
        <f t="shared" si="0"/>
        <v>2</v>
      </c>
      <c r="C9" s="705" t="s">
        <v>2219</v>
      </c>
      <c r="D9" s="698" t="s">
        <v>2220</v>
      </c>
      <c r="E9" s="699">
        <v>2</v>
      </c>
      <c r="F9" s="699">
        <v>1</v>
      </c>
      <c r="G9" s="699">
        <v>2</v>
      </c>
      <c r="H9" s="699">
        <v>3</v>
      </c>
      <c r="I9" s="699">
        <v>2</v>
      </c>
      <c r="J9" s="699">
        <v>3</v>
      </c>
      <c r="K9" s="699">
        <v>1</v>
      </c>
      <c r="L9" s="699">
        <v>1</v>
      </c>
      <c r="M9" s="699">
        <v>2</v>
      </c>
      <c r="N9" s="699">
        <v>1</v>
      </c>
      <c r="O9" s="699">
        <v>2</v>
      </c>
      <c r="P9" s="699">
        <v>1</v>
      </c>
      <c r="Q9" s="699">
        <v>1</v>
      </c>
      <c r="R9" s="699">
        <v>1</v>
      </c>
      <c r="S9" s="699">
        <v>1</v>
      </c>
      <c r="T9" s="699">
        <v>2</v>
      </c>
      <c r="U9" s="699">
        <v>3</v>
      </c>
      <c r="V9" s="699">
        <v>3</v>
      </c>
      <c r="W9" s="699">
        <v>1</v>
      </c>
      <c r="X9" s="699">
        <v>1</v>
      </c>
      <c r="Y9" s="699">
        <v>1</v>
      </c>
      <c r="Z9" s="699">
        <v>1</v>
      </c>
      <c r="AA9" s="699">
        <v>1</v>
      </c>
      <c r="AB9" s="699">
        <v>2</v>
      </c>
      <c r="AC9" s="699">
        <v>3</v>
      </c>
      <c r="AD9" s="699">
        <v>3</v>
      </c>
      <c r="AE9" s="699">
        <v>2</v>
      </c>
      <c r="AF9" s="699">
        <v>1</v>
      </c>
      <c r="AG9" s="699">
        <v>2</v>
      </c>
      <c r="AH9" s="699">
        <v>3</v>
      </c>
      <c r="AI9" s="699">
        <v>2</v>
      </c>
      <c r="AJ9" s="699">
        <v>1</v>
      </c>
      <c r="AK9" s="699">
        <v>3</v>
      </c>
      <c r="AL9" s="699">
        <v>2</v>
      </c>
      <c r="AM9" s="699">
        <v>1</v>
      </c>
      <c r="AN9" s="699">
        <v>1</v>
      </c>
      <c r="AO9" s="699">
        <v>2</v>
      </c>
      <c r="AP9" s="699">
        <v>2</v>
      </c>
      <c r="AQ9" s="699">
        <v>2</v>
      </c>
      <c r="AR9" s="699">
        <v>3</v>
      </c>
      <c r="AS9" s="699">
        <v>1</v>
      </c>
      <c r="AT9" s="699">
        <v>1</v>
      </c>
      <c r="AU9" s="699">
        <v>1</v>
      </c>
      <c r="AV9" s="699">
        <v>1</v>
      </c>
      <c r="AW9" s="699">
        <v>1</v>
      </c>
      <c r="AX9" s="699">
        <v>1</v>
      </c>
      <c r="AY9" s="699">
        <v>1</v>
      </c>
      <c r="AZ9" s="699">
        <v>1</v>
      </c>
      <c r="BA9" s="699">
        <v>1</v>
      </c>
      <c r="BB9" s="699">
        <v>1</v>
      </c>
      <c r="BC9" s="817">
        <v>2</v>
      </c>
      <c r="BD9" s="699">
        <v>1</v>
      </c>
      <c r="BE9" s="699">
        <v>1</v>
      </c>
      <c r="BF9" s="699">
        <v>2</v>
      </c>
      <c r="BG9" s="699">
        <v>1</v>
      </c>
      <c r="BH9" s="699">
        <v>1</v>
      </c>
      <c r="BI9" s="699">
        <v>1</v>
      </c>
      <c r="BJ9" s="817">
        <v>2</v>
      </c>
      <c r="BK9" s="699">
        <v>1</v>
      </c>
      <c r="BL9" s="699">
        <v>1</v>
      </c>
      <c r="BM9" s="817">
        <v>3</v>
      </c>
      <c r="BN9" s="699">
        <v>1</v>
      </c>
      <c r="BO9" s="699">
        <v>1</v>
      </c>
      <c r="BP9" s="699">
        <v>1</v>
      </c>
      <c r="BQ9" s="699">
        <v>1</v>
      </c>
      <c r="BR9" s="699">
        <v>1</v>
      </c>
      <c r="BS9" s="699">
        <v>1</v>
      </c>
      <c r="BT9" s="699">
        <v>1</v>
      </c>
      <c r="BU9" s="699">
        <v>1</v>
      </c>
      <c r="BV9" s="817">
        <v>3</v>
      </c>
      <c r="BW9" s="699">
        <v>1</v>
      </c>
      <c r="BX9" s="699">
        <v>1</v>
      </c>
      <c r="BY9" s="699">
        <v>1</v>
      </c>
      <c r="BZ9" s="699">
        <v>1</v>
      </c>
      <c r="CA9" s="699">
        <v>1</v>
      </c>
      <c r="CB9" s="699">
        <v>1</v>
      </c>
      <c r="CC9" s="699">
        <v>1</v>
      </c>
      <c r="CD9" s="699">
        <v>1</v>
      </c>
      <c r="CE9" s="699">
        <v>1</v>
      </c>
      <c r="CF9" s="699">
        <v>1</v>
      </c>
      <c r="CG9" s="699">
        <v>1</v>
      </c>
      <c r="CH9" s="699">
        <v>1</v>
      </c>
      <c r="CI9" s="699">
        <v>2</v>
      </c>
      <c r="CJ9" s="699">
        <v>1</v>
      </c>
      <c r="CK9" s="699">
        <v>1</v>
      </c>
      <c r="CL9" s="699">
        <v>1</v>
      </c>
      <c r="CM9" s="699">
        <v>2</v>
      </c>
      <c r="CN9" s="699">
        <v>1</v>
      </c>
      <c r="CO9" s="699">
        <v>1</v>
      </c>
      <c r="CP9" s="699">
        <v>2</v>
      </c>
      <c r="CQ9" s="699">
        <v>2</v>
      </c>
      <c r="CR9" s="699">
        <v>2</v>
      </c>
      <c r="CS9" s="699">
        <v>1</v>
      </c>
      <c r="CT9" s="699">
        <v>1</v>
      </c>
      <c r="CU9" s="699">
        <v>1</v>
      </c>
      <c r="CV9" s="699">
        <v>1</v>
      </c>
      <c r="CW9" s="699">
        <v>1</v>
      </c>
      <c r="CX9" s="699">
        <v>1</v>
      </c>
      <c r="CY9" s="699">
        <v>1</v>
      </c>
      <c r="CZ9" s="699">
        <v>1</v>
      </c>
      <c r="DA9" s="699">
        <v>1</v>
      </c>
      <c r="DB9" s="699">
        <v>1</v>
      </c>
      <c r="DC9" s="699">
        <v>1</v>
      </c>
      <c r="DD9" s="699">
        <v>1</v>
      </c>
      <c r="DE9" s="699">
        <v>1</v>
      </c>
      <c r="DF9" s="699">
        <v>1</v>
      </c>
      <c r="DG9" s="699">
        <v>1</v>
      </c>
      <c r="DH9" s="699">
        <v>1</v>
      </c>
      <c r="DI9" s="699">
        <v>1</v>
      </c>
      <c r="DJ9" s="699">
        <v>1</v>
      </c>
      <c r="DK9" s="699">
        <v>1</v>
      </c>
      <c r="DL9" s="699">
        <v>1</v>
      </c>
      <c r="DM9" s="699">
        <v>1</v>
      </c>
      <c r="DN9" s="699">
        <v>1</v>
      </c>
      <c r="DO9" s="699">
        <v>1</v>
      </c>
      <c r="DP9" s="699">
        <v>1</v>
      </c>
      <c r="DQ9" s="699">
        <v>1</v>
      </c>
      <c r="DR9" s="699">
        <v>1</v>
      </c>
      <c r="DS9" s="699">
        <v>1</v>
      </c>
      <c r="DT9" s="699">
        <v>1</v>
      </c>
      <c r="DU9" s="699">
        <v>1</v>
      </c>
      <c r="DV9" s="817">
        <v>3</v>
      </c>
      <c r="DW9" s="699">
        <v>1</v>
      </c>
      <c r="DX9" s="699">
        <v>1</v>
      </c>
      <c r="DY9" s="699">
        <v>1</v>
      </c>
      <c r="DZ9" s="699">
        <v>1</v>
      </c>
      <c r="EA9" s="699">
        <v>1</v>
      </c>
      <c r="EB9" s="699">
        <v>1</v>
      </c>
      <c r="EC9" s="699">
        <v>1</v>
      </c>
      <c r="ED9" s="699">
        <v>1</v>
      </c>
      <c r="EE9" s="699">
        <v>1</v>
      </c>
      <c r="EF9" s="699">
        <v>1</v>
      </c>
      <c r="EG9" s="699">
        <v>1</v>
      </c>
      <c r="EH9" s="699">
        <v>1</v>
      </c>
      <c r="EI9" s="699">
        <v>1</v>
      </c>
      <c r="EJ9" s="817">
        <v>2</v>
      </c>
      <c r="EK9" s="699">
        <v>1</v>
      </c>
      <c r="EL9" s="699">
        <v>2</v>
      </c>
      <c r="EM9" s="699">
        <v>2</v>
      </c>
      <c r="EN9" s="699">
        <v>2</v>
      </c>
      <c r="EO9" s="699">
        <v>2</v>
      </c>
      <c r="EP9" s="699">
        <v>2</v>
      </c>
      <c r="EQ9" s="699">
        <v>1</v>
      </c>
      <c r="ER9" s="699">
        <v>2</v>
      </c>
      <c r="ES9" s="699">
        <v>2</v>
      </c>
      <c r="ET9" s="699">
        <v>2</v>
      </c>
      <c r="EU9" s="699">
        <v>2</v>
      </c>
      <c r="EV9" s="699">
        <v>1</v>
      </c>
      <c r="EW9" s="699">
        <v>1</v>
      </c>
      <c r="EX9" s="699">
        <v>1</v>
      </c>
      <c r="EY9" s="699">
        <v>1</v>
      </c>
      <c r="EZ9" s="699">
        <v>1</v>
      </c>
      <c r="FA9" s="699">
        <v>2</v>
      </c>
      <c r="FB9" s="699">
        <v>2</v>
      </c>
      <c r="FC9" s="699">
        <v>1</v>
      </c>
      <c r="FD9" s="699">
        <v>2</v>
      </c>
      <c r="FE9" s="699">
        <v>1</v>
      </c>
      <c r="FF9" s="699">
        <v>2</v>
      </c>
      <c r="FG9" s="699">
        <v>1</v>
      </c>
      <c r="FH9" s="699">
        <v>2</v>
      </c>
      <c r="FI9" s="699">
        <v>1</v>
      </c>
      <c r="FJ9" s="699">
        <v>2</v>
      </c>
      <c r="FK9" s="699">
        <v>2</v>
      </c>
      <c r="FL9" s="699">
        <v>1</v>
      </c>
      <c r="FM9" s="699">
        <v>1</v>
      </c>
      <c r="FN9" s="699">
        <v>1</v>
      </c>
      <c r="FO9" s="699">
        <v>2</v>
      </c>
      <c r="FP9" s="699">
        <v>2</v>
      </c>
      <c r="FQ9" s="699">
        <v>1</v>
      </c>
      <c r="FR9" s="699">
        <v>1</v>
      </c>
      <c r="FS9" s="699">
        <v>1</v>
      </c>
      <c r="FT9" s="699">
        <v>1</v>
      </c>
      <c r="FU9" s="699">
        <v>1</v>
      </c>
      <c r="FV9" s="699">
        <v>1</v>
      </c>
      <c r="FW9" s="699">
        <v>1</v>
      </c>
      <c r="FX9" s="699">
        <v>1</v>
      </c>
      <c r="FY9" s="699">
        <v>1</v>
      </c>
      <c r="FZ9" s="699">
        <v>1</v>
      </c>
      <c r="GA9" s="699">
        <v>1</v>
      </c>
      <c r="GB9" s="699">
        <v>1</v>
      </c>
      <c r="GC9" s="817">
        <v>2</v>
      </c>
      <c r="GD9" s="699">
        <v>2</v>
      </c>
      <c r="GE9" s="699">
        <v>1</v>
      </c>
      <c r="GF9" s="699">
        <v>1</v>
      </c>
      <c r="GG9" s="699">
        <v>1</v>
      </c>
      <c r="GH9" s="699">
        <v>1</v>
      </c>
      <c r="GI9" s="817">
        <v>2</v>
      </c>
      <c r="GJ9" s="699">
        <v>1</v>
      </c>
      <c r="GK9" s="817">
        <v>2</v>
      </c>
      <c r="GL9" s="699">
        <v>2</v>
      </c>
      <c r="GM9" s="699">
        <v>3</v>
      </c>
      <c r="GN9" s="699">
        <v>2</v>
      </c>
      <c r="GO9" s="699">
        <v>1</v>
      </c>
      <c r="GP9" s="699">
        <v>1</v>
      </c>
      <c r="GQ9" s="699">
        <v>1</v>
      </c>
      <c r="GR9" s="699">
        <v>2</v>
      </c>
      <c r="GS9" s="699">
        <v>1</v>
      </c>
      <c r="GT9" s="699">
        <v>2</v>
      </c>
      <c r="GU9" s="699">
        <v>1</v>
      </c>
      <c r="GV9" s="817">
        <v>3</v>
      </c>
      <c r="GW9" s="699">
        <v>2</v>
      </c>
      <c r="GX9" s="699">
        <v>1</v>
      </c>
      <c r="GY9" s="699">
        <v>1</v>
      </c>
      <c r="GZ9" s="699">
        <v>1</v>
      </c>
      <c r="HA9" s="699">
        <v>1</v>
      </c>
      <c r="HB9" s="699">
        <v>2</v>
      </c>
      <c r="HC9" s="699">
        <v>1</v>
      </c>
      <c r="HD9" s="699">
        <v>1</v>
      </c>
      <c r="HE9" s="699">
        <v>1</v>
      </c>
      <c r="HF9" s="699">
        <v>1</v>
      </c>
      <c r="HG9" s="699">
        <v>1</v>
      </c>
      <c r="HH9" s="699">
        <v>1</v>
      </c>
      <c r="HI9" s="699">
        <v>1</v>
      </c>
      <c r="HJ9" s="699">
        <v>2</v>
      </c>
      <c r="HK9" s="699">
        <v>1</v>
      </c>
      <c r="HL9" s="699">
        <v>1</v>
      </c>
      <c r="HM9" s="699">
        <v>1</v>
      </c>
      <c r="HN9" s="699">
        <v>1</v>
      </c>
      <c r="HO9" s="699">
        <v>1</v>
      </c>
      <c r="HP9" s="699">
        <v>2</v>
      </c>
      <c r="HQ9" s="699">
        <v>2</v>
      </c>
      <c r="HR9" s="699">
        <v>3</v>
      </c>
      <c r="HS9" s="699">
        <v>2</v>
      </c>
      <c r="HT9" s="699">
        <v>2</v>
      </c>
      <c r="HU9" s="699">
        <v>2</v>
      </c>
      <c r="HV9" s="699">
        <v>2</v>
      </c>
      <c r="HW9" s="699">
        <v>3</v>
      </c>
      <c r="HX9" s="699">
        <v>2</v>
      </c>
      <c r="HY9" s="699">
        <v>2</v>
      </c>
      <c r="HZ9" s="699">
        <v>2</v>
      </c>
      <c r="IA9" s="699">
        <v>2</v>
      </c>
      <c r="IB9" s="699">
        <v>3</v>
      </c>
      <c r="IC9" s="699">
        <v>2</v>
      </c>
      <c r="ID9" s="699">
        <v>2</v>
      </c>
      <c r="IE9" s="699">
        <v>2</v>
      </c>
      <c r="IF9" s="699">
        <v>2</v>
      </c>
      <c r="IG9" s="699">
        <v>2</v>
      </c>
      <c r="IH9" s="699">
        <v>2</v>
      </c>
      <c r="II9" s="699">
        <v>2</v>
      </c>
      <c r="IJ9" s="699">
        <v>3</v>
      </c>
      <c r="IK9" s="699">
        <v>3</v>
      </c>
      <c r="IL9" s="699">
        <v>3</v>
      </c>
      <c r="IM9" s="817">
        <v>3</v>
      </c>
      <c r="IN9" s="699">
        <v>1</v>
      </c>
      <c r="IO9" s="699">
        <v>2</v>
      </c>
      <c r="IP9" s="699">
        <v>1</v>
      </c>
      <c r="IQ9" s="699">
        <v>1</v>
      </c>
      <c r="IR9" s="699">
        <v>1</v>
      </c>
      <c r="IS9" s="699">
        <v>1</v>
      </c>
      <c r="IT9" s="699">
        <v>1</v>
      </c>
      <c r="IU9" s="699">
        <v>1</v>
      </c>
      <c r="IV9" s="699">
        <v>1</v>
      </c>
      <c r="IW9" s="699">
        <v>2</v>
      </c>
      <c r="IX9" s="699">
        <v>2</v>
      </c>
      <c r="IY9" s="699">
        <v>1</v>
      </c>
      <c r="IZ9" s="699">
        <v>2</v>
      </c>
      <c r="JA9" s="699">
        <v>2</v>
      </c>
      <c r="JB9" s="699">
        <v>1</v>
      </c>
      <c r="JC9" s="699">
        <v>1</v>
      </c>
      <c r="JD9" s="699">
        <v>2</v>
      </c>
      <c r="JE9" s="699">
        <v>1</v>
      </c>
      <c r="JF9" s="699">
        <v>1</v>
      </c>
      <c r="JG9" s="699">
        <v>1</v>
      </c>
      <c r="JH9" s="699">
        <v>1</v>
      </c>
      <c r="JI9" s="699">
        <v>1</v>
      </c>
      <c r="JJ9" s="699">
        <v>1</v>
      </c>
      <c r="JK9" s="699">
        <v>1</v>
      </c>
      <c r="JL9" s="699">
        <v>1</v>
      </c>
      <c r="JM9" s="699">
        <v>1</v>
      </c>
      <c r="JN9" s="699">
        <v>1</v>
      </c>
      <c r="JO9" s="699">
        <v>3</v>
      </c>
      <c r="JP9" s="699">
        <v>1</v>
      </c>
      <c r="JQ9" s="700">
        <v>1</v>
      </c>
      <c r="JR9" s="11"/>
      <c r="JS9" s="279"/>
      <c r="JT9" s="1385" t="s">
        <v>2215</v>
      </c>
    </row>
    <row r="10" spans="1:280" ht="12" thickBot="1" x14ac:dyDescent="0.3">
      <c r="C10" s="261" t="s">
        <v>2221</v>
      </c>
      <c r="D10" s="137"/>
    </row>
    <row r="11" spans="1:280" ht="12.5" x14ac:dyDescent="0.25">
      <c r="A11" s="1367" t="s">
        <v>2201</v>
      </c>
      <c r="B11" s="406" t="str">
        <f>"selected "&amp;INC_A_IND-1</f>
        <v>selected 168</v>
      </c>
      <c r="C11" s="287" t="s">
        <v>1</v>
      </c>
      <c r="D11" s="262"/>
      <c r="E11" s="418">
        <v>1</v>
      </c>
      <c r="F11" s="418">
        <v>2</v>
      </c>
      <c r="G11" s="418">
        <v>3</v>
      </c>
      <c r="H11" s="418">
        <v>4</v>
      </c>
      <c r="I11" s="418">
        <v>5</v>
      </c>
      <c r="J11" s="418">
        <v>6</v>
      </c>
      <c r="K11" s="418">
        <v>7</v>
      </c>
      <c r="L11" s="418">
        <v>8</v>
      </c>
      <c r="M11" s="418">
        <v>9</v>
      </c>
      <c r="N11" s="418">
        <v>10</v>
      </c>
      <c r="O11" s="418">
        <v>11</v>
      </c>
      <c r="P11" s="418">
        <v>12</v>
      </c>
      <c r="Q11" s="418">
        <v>13</v>
      </c>
      <c r="R11" s="418">
        <v>14</v>
      </c>
      <c r="S11" s="418">
        <v>15</v>
      </c>
      <c r="T11" s="418">
        <v>16</v>
      </c>
      <c r="U11" s="418">
        <v>17</v>
      </c>
      <c r="V11" s="418">
        <v>18</v>
      </c>
      <c r="W11" s="418">
        <v>19</v>
      </c>
      <c r="X11" s="418">
        <v>20</v>
      </c>
      <c r="Y11" s="418">
        <v>21</v>
      </c>
      <c r="Z11" s="418">
        <v>22</v>
      </c>
      <c r="AA11" s="418">
        <v>23</v>
      </c>
      <c r="AB11" s="418">
        <v>24</v>
      </c>
      <c r="AC11" s="418">
        <v>25</v>
      </c>
      <c r="AD11" s="418">
        <v>26</v>
      </c>
      <c r="AE11" s="418">
        <v>27</v>
      </c>
      <c r="AF11" s="418">
        <v>28</v>
      </c>
      <c r="AG11" s="418">
        <v>29</v>
      </c>
      <c r="AH11" s="418">
        <v>30</v>
      </c>
      <c r="AI11" s="418">
        <v>31</v>
      </c>
      <c r="AJ11" s="418">
        <v>32</v>
      </c>
      <c r="AK11" s="418">
        <v>33</v>
      </c>
      <c r="AL11" s="418">
        <v>34</v>
      </c>
      <c r="AM11" s="418">
        <v>35</v>
      </c>
      <c r="AN11" s="418">
        <v>36</v>
      </c>
      <c r="AO11" s="418">
        <v>37</v>
      </c>
      <c r="AP11" s="418">
        <v>38</v>
      </c>
      <c r="AQ11" s="418">
        <v>39</v>
      </c>
      <c r="AR11" s="418">
        <v>40</v>
      </c>
      <c r="AS11" s="418">
        <v>41</v>
      </c>
      <c r="AT11" s="418">
        <v>42</v>
      </c>
      <c r="AU11" s="418">
        <v>43</v>
      </c>
      <c r="AV11" s="418">
        <v>44</v>
      </c>
      <c r="AW11" s="418">
        <v>45</v>
      </c>
      <c r="AX11" s="418">
        <v>46</v>
      </c>
      <c r="AY11" s="418">
        <v>47</v>
      </c>
      <c r="AZ11" s="418">
        <v>48</v>
      </c>
      <c r="BA11" s="418">
        <v>49</v>
      </c>
      <c r="BB11" s="418">
        <v>50</v>
      </c>
      <c r="BC11" s="418">
        <v>51</v>
      </c>
      <c r="BD11" s="418">
        <v>52</v>
      </c>
      <c r="BE11" s="418">
        <v>53</v>
      </c>
      <c r="BF11" s="418">
        <v>54</v>
      </c>
      <c r="BG11" s="418">
        <v>55</v>
      </c>
      <c r="BH11" s="418">
        <v>56</v>
      </c>
      <c r="BI11" s="418">
        <v>57</v>
      </c>
      <c r="BJ11" s="418">
        <v>58</v>
      </c>
      <c r="BK11" s="418">
        <v>59</v>
      </c>
      <c r="BL11" s="418">
        <v>60</v>
      </c>
      <c r="BM11" s="418">
        <v>61</v>
      </c>
      <c r="BN11" s="418">
        <v>62</v>
      </c>
      <c r="BO11" s="418">
        <v>63</v>
      </c>
      <c r="BP11" s="418">
        <v>64</v>
      </c>
      <c r="BQ11" s="418">
        <v>65</v>
      </c>
      <c r="BR11" s="418">
        <v>66</v>
      </c>
      <c r="BS11" s="418">
        <v>67</v>
      </c>
      <c r="BT11" s="418">
        <v>68</v>
      </c>
      <c r="BU11" s="418">
        <v>69</v>
      </c>
      <c r="BV11" s="418">
        <v>70</v>
      </c>
      <c r="BW11" s="418">
        <v>71</v>
      </c>
      <c r="BX11" s="418">
        <v>72</v>
      </c>
      <c r="BY11" s="418">
        <v>73</v>
      </c>
      <c r="BZ11" s="418">
        <v>74</v>
      </c>
      <c r="CA11" s="418">
        <v>75</v>
      </c>
      <c r="CB11" s="418">
        <v>76</v>
      </c>
      <c r="CC11" s="418">
        <v>77</v>
      </c>
      <c r="CD11" s="418">
        <v>78</v>
      </c>
      <c r="CE11" s="418">
        <v>79</v>
      </c>
      <c r="CF11" s="418">
        <v>80</v>
      </c>
      <c r="CG11" s="418">
        <v>81</v>
      </c>
      <c r="CH11" s="418">
        <v>82</v>
      </c>
      <c r="CI11" s="418">
        <v>83</v>
      </c>
      <c r="CJ11" s="418">
        <v>84</v>
      </c>
      <c r="CK11" s="418">
        <v>85</v>
      </c>
      <c r="CL11" s="418">
        <v>86</v>
      </c>
      <c r="CM11" s="418">
        <v>87</v>
      </c>
      <c r="CN11" s="418">
        <v>88</v>
      </c>
      <c r="CO11" s="418">
        <v>89</v>
      </c>
      <c r="CP11" s="418">
        <v>90</v>
      </c>
      <c r="CQ11" s="418">
        <v>91</v>
      </c>
      <c r="CR11" s="418">
        <v>92</v>
      </c>
      <c r="CS11" s="418">
        <v>93</v>
      </c>
      <c r="CT11" s="418">
        <v>94</v>
      </c>
      <c r="CU11" s="418">
        <v>95</v>
      </c>
      <c r="CV11" s="418">
        <v>96</v>
      </c>
      <c r="CW11" s="418">
        <v>97</v>
      </c>
      <c r="CX11" s="418">
        <v>98</v>
      </c>
      <c r="CY11" s="418">
        <v>99</v>
      </c>
      <c r="CZ11" s="418">
        <v>100</v>
      </c>
      <c r="DA11" s="418">
        <v>101</v>
      </c>
      <c r="DB11" s="418">
        <v>102</v>
      </c>
      <c r="DC11" s="418">
        <v>103</v>
      </c>
      <c r="DD11" s="418">
        <v>104</v>
      </c>
      <c r="DE11" s="418">
        <v>105</v>
      </c>
      <c r="DF11" s="418">
        <v>106</v>
      </c>
      <c r="DG11" s="418">
        <v>107</v>
      </c>
      <c r="DH11" s="418">
        <v>108</v>
      </c>
      <c r="DI11" s="418">
        <v>109</v>
      </c>
      <c r="DJ11" s="418">
        <v>110</v>
      </c>
      <c r="DK11" s="418">
        <v>111</v>
      </c>
      <c r="DL11" s="418">
        <v>112</v>
      </c>
      <c r="DM11" s="418">
        <v>113</v>
      </c>
      <c r="DN11" s="418">
        <v>114</v>
      </c>
      <c r="DO11" s="418">
        <v>115</v>
      </c>
      <c r="DP11" s="418">
        <v>116</v>
      </c>
      <c r="DQ11" s="418">
        <v>117</v>
      </c>
      <c r="DR11" s="418">
        <v>118</v>
      </c>
      <c r="DS11" s="418">
        <v>119</v>
      </c>
      <c r="DT11" s="418">
        <v>120</v>
      </c>
      <c r="DU11" s="418">
        <v>121</v>
      </c>
      <c r="DV11" s="418">
        <v>122</v>
      </c>
      <c r="DW11" s="418">
        <v>123</v>
      </c>
      <c r="DX11" s="418">
        <v>124</v>
      </c>
      <c r="DY11" s="418">
        <v>125</v>
      </c>
      <c r="DZ11" s="418">
        <v>126</v>
      </c>
      <c r="EA11" s="418">
        <v>127</v>
      </c>
      <c r="EB11" s="418">
        <v>128</v>
      </c>
      <c r="EC11" s="418">
        <v>129</v>
      </c>
      <c r="ED11" s="418">
        <v>130</v>
      </c>
      <c r="EE11" s="418">
        <v>131</v>
      </c>
      <c r="EF11" s="418">
        <v>132</v>
      </c>
      <c r="EG11" s="418">
        <v>133</v>
      </c>
      <c r="EH11" s="418">
        <v>134</v>
      </c>
      <c r="EI11" s="418">
        <v>135</v>
      </c>
      <c r="EJ11" s="418">
        <v>136</v>
      </c>
      <c r="EK11" s="418">
        <v>137</v>
      </c>
      <c r="EL11" s="418">
        <v>138</v>
      </c>
      <c r="EM11" s="418">
        <v>139</v>
      </c>
      <c r="EN11" s="418">
        <v>140</v>
      </c>
      <c r="EO11" s="418">
        <v>141</v>
      </c>
      <c r="EP11" s="418">
        <v>142</v>
      </c>
      <c r="EQ11" s="418">
        <v>143</v>
      </c>
      <c r="ER11" s="418">
        <v>144</v>
      </c>
      <c r="ES11" s="418">
        <v>145</v>
      </c>
      <c r="ET11" s="418">
        <v>146</v>
      </c>
      <c r="EU11" s="418">
        <v>147</v>
      </c>
      <c r="EV11" s="418">
        <v>148</v>
      </c>
      <c r="EW11" s="418">
        <v>149</v>
      </c>
      <c r="EX11" s="418">
        <v>150</v>
      </c>
      <c r="EY11" s="418">
        <v>151</v>
      </c>
      <c r="EZ11" s="418">
        <v>152</v>
      </c>
      <c r="FA11" s="418">
        <v>153</v>
      </c>
      <c r="FB11" s="418">
        <v>154</v>
      </c>
      <c r="FC11" s="418">
        <v>155</v>
      </c>
      <c r="FD11" s="418">
        <v>156</v>
      </c>
      <c r="FE11" s="418">
        <v>157</v>
      </c>
      <c r="FF11" s="418">
        <v>158</v>
      </c>
      <c r="FG11" s="418">
        <v>159</v>
      </c>
      <c r="FH11" s="418">
        <v>160</v>
      </c>
      <c r="FI11" s="418">
        <v>161</v>
      </c>
      <c r="FJ11" s="418">
        <v>162</v>
      </c>
      <c r="FK11" s="418">
        <v>163</v>
      </c>
      <c r="FL11" s="418">
        <v>164</v>
      </c>
      <c r="FM11" s="418">
        <v>165</v>
      </c>
      <c r="FN11" s="418">
        <v>166</v>
      </c>
      <c r="FO11" s="418">
        <v>167</v>
      </c>
      <c r="FP11" s="418">
        <v>168</v>
      </c>
      <c r="FQ11" s="418">
        <v>169</v>
      </c>
      <c r="FR11" s="418">
        <v>170</v>
      </c>
      <c r="FS11" s="418">
        <v>171</v>
      </c>
      <c r="FT11" s="418">
        <v>172</v>
      </c>
      <c r="FU11" s="418">
        <v>173</v>
      </c>
      <c r="FV11" s="418">
        <v>174</v>
      </c>
      <c r="FW11" s="418">
        <v>175</v>
      </c>
      <c r="FX11" s="418">
        <v>176</v>
      </c>
      <c r="FY11" s="418">
        <v>177</v>
      </c>
      <c r="FZ11" s="418">
        <v>178</v>
      </c>
      <c r="GA11" s="418">
        <v>179</v>
      </c>
      <c r="GB11" s="418">
        <v>180</v>
      </c>
      <c r="GC11" s="418">
        <v>181</v>
      </c>
      <c r="GD11" s="418">
        <v>182</v>
      </c>
      <c r="GE11" s="418">
        <v>183</v>
      </c>
      <c r="GF11" s="418">
        <v>184</v>
      </c>
      <c r="GG11" s="418">
        <v>185</v>
      </c>
      <c r="GH11" s="418">
        <v>186</v>
      </c>
      <c r="GI11" s="418">
        <v>187</v>
      </c>
      <c r="GJ11" s="418">
        <v>188</v>
      </c>
      <c r="GK11" s="418">
        <v>189</v>
      </c>
      <c r="GL11" s="418">
        <v>190</v>
      </c>
      <c r="GM11" s="418">
        <v>191</v>
      </c>
      <c r="GN11" s="418">
        <v>192</v>
      </c>
      <c r="GO11" s="418">
        <v>193</v>
      </c>
      <c r="GP11" s="418">
        <v>194</v>
      </c>
      <c r="GQ11" s="418">
        <v>195</v>
      </c>
      <c r="GR11" s="418">
        <v>196</v>
      </c>
      <c r="GS11" s="418">
        <v>197</v>
      </c>
      <c r="GT11" s="418">
        <v>198</v>
      </c>
      <c r="GU11" s="418">
        <v>199</v>
      </c>
      <c r="GV11" s="418">
        <v>200</v>
      </c>
      <c r="GW11" s="418">
        <v>201</v>
      </c>
      <c r="GX11" s="418">
        <v>202</v>
      </c>
      <c r="GY11" s="418">
        <v>203</v>
      </c>
      <c r="GZ11" s="418">
        <v>204</v>
      </c>
      <c r="HA11" s="418">
        <v>205</v>
      </c>
      <c r="HB11" s="418">
        <v>206</v>
      </c>
      <c r="HC11" s="418">
        <v>207</v>
      </c>
      <c r="HD11" s="418">
        <v>208</v>
      </c>
      <c r="HE11" s="418">
        <v>209</v>
      </c>
      <c r="HF11" s="418">
        <v>210</v>
      </c>
      <c r="HG11" s="418">
        <v>211</v>
      </c>
      <c r="HH11" s="418">
        <v>212</v>
      </c>
      <c r="HI11" s="418">
        <v>213</v>
      </c>
      <c r="HJ11" s="418">
        <v>214</v>
      </c>
      <c r="HK11" s="418">
        <v>215</v>
      </c>
      <c r="HL11" s="418">
        <v>216</v>
      </c>
      <c r="HM11" s="418">
        <v>217</v>
      </c>
      <c r="HN11" s="418">
        <v>218</v>
      </c>
      <c r="HO11" s="418">
        <v>219</v>
      </c>
      <c r="HP11" s="418">
        <v>220</v>
      </c>
      <c r="HQ11" s="418">
        <v>221</v>
      </c>
      <c r="HR11" s="418">
        <v>222</v>
      </c>
      <c r="HS11" s="418">
        <v>223</v>
      </c>
      <c r="HT11" s="418">
        <v>224</v>
      </c>
      <c r="HU11" s="418">
        <v>225</v>
      </c>
      <c r="HV11" s="418">
        <v>226</v>
      </c>
      <c r="HW11" s="418">
        <v>227</v>
      </c>
      <c r="HX11" s="418">
        <v>228</v>
      </c>
      <c r="HY11" s="418">
        <v>229</v>
      </c>
      <c r="HZ11" s="418">
        <v>230</v>
      </c>
      <c r="IA11" s="418">
        <v>231</v>
      </c>
      <c r="IB11" s="418">
        <v>232</v>
      </c>
      <c r="IC11" s="418">
        <v>233</v>
      </c>
      <c r="ID11" s="418">
        <v>234</v>
      </c>
      <c r="IE11" s="418">
        <v>235</v>
      </c>
      <c r="IF11" s="418">
        <v>236</v>
      </c>
      <c r="IG11" s="418">
        <v>237</v>
      </c>
      <c r="IH11" s="418">
        <v>238</v>
      </c>
      <c r="II11" s="418">
        <v>239</v>
      </c>
      <c r="IJ11" s="418">
        <v>240</v>
      </c>
      <c r="IK11" s="418">
        <v>241</v>
      </c>
      <c r="IL11" s="418">
        <v>242</v>
      </c>
      <c r="IM11" s="418">
        <v>243</v>
      </c>
      <c r="IN11" s="418">
        <v>244</v>
      </c>
      <c r="IO11" s="418">
        <v>245</v>
      </c>
      <c r="IP11" s="418">
        <v>246</v>
      </c>
      <c r="IQ11" s="418">
        <v>247</v>
      </c>
      <c r="IR11" s="418">
        <v>248</v>
      </c>
      <c r="IS11" s="418">
        <v>249</v>
      </c>
      <c r="IT11" s="418">
        <v>250</v>
      </c>
      <c r="IU11" s="418">
        <v>251</v>
      </c>
      <c r="IV11" s="418">
        <v>252</v>
      </c>
      <c r="IW11" s="418">
        <v>253</v>
      </c>
      <c r="IX11" s="418">
        <v>254</v>
      </c>
      <c r="IY11" s="418">
        <v>255</v>
      </c>
      <c r="IZ11" s="418">
        <v>256</v>
      </c>
      <c r="JA11" s="418">
        <v>257</v>
      </c>
      <c r="JB11" s="418">
        <v>258</v>
      </c>
      <c r="JC11" s="418">
        <v>259</v>
      </c>
      <c r="JD11" s="418">
        <v>260</v>
      </c>
      <c r="JE11" s="418">
        <v>261</v>
      </c>
      <c r="JF11" s="418">
        <v>262</v>
      </c>
      <c r="JG11" s="418">
        <v>263</v>
      </c>
      <c r="JH11" s="418">
        <v>264</v>
      </c>
      <c r="JI11" s="418">
        <v>265</v>
      </c>
      <c r="JJ11" s="418">
        <v>266</v>
      </c>
      <c r="JK11" s="418">
        <v>267</v>
      </c>
      <c r="JL11" s="418">
        <v>268</v>
      </c>
      <c r="JM11" s="418">
        <v>269</v>
      </c>
      <c r="JN11" s="418">
        <v>270</v>
      </c>
      <c r="JO11" s="418">
        <v>271</v>
      </c>
      <c r="JP11" s="418">
        <v>272</v>
      </c>
      <c r="JQ11" s="418">
        <v>273</v>
      </c>
      <c r="JR11" s="351"/>
      <c r="JT11" s="1385" t="s">
        <v>2199</v>
      </c>
    </row>
    <row r="12" spans="1:280" ht="12.5" x14ac:dyDescent="0.25">
      <c r="A12" s="1367">
        <v>2</v>
      </c>
      <c r="B12" s="1368" t="str">
        <f t="shared" ref="B12:B18" si="1">IF(INC_A_IND&gt;1,IF(HLOOKUP(INC_A_IND-1,INC_A_RANGE,A12)="","",HLOOKUP(INC_A_IND-1,INC_A_RANGE,A12)),"")</f>
        <v/>
      </c>
      <c r="C12" s="1359" t="s">
        <v>2222</v>
      </c>
      <c r="D12" s="1360" t="s">
        <v>2223</v>
      </c>
      <c r="E12" s="1379"/>
      <c r="F12" s="1379"/>
      <c r="G12" s="1379"/>
      <c r="H12" s="1379"/>
      <c r="I12" s="1379"/>
      <c r="J12" s="1379"/>
      <c r="K12" s="1379"/>
      <c r="L12" s="1379"/>
      <c r="M12" s="1379">
        <v>365</v>
      </c>
      <c r="N12" s="1424"/>
      <c r="O12" s="1379"/>
      <c r="P12" s="1424"/>
      <c r="Q12" s="1379">
        <v>13</v>
      </c>
      <c r="R12" s="1379"/>
      <c r="S12" s="1379"/>
      <c r="T12" s="1379"/>
      <c r="U12" s="1424"/>
      <c r="V12" s="1424"/>
      <c r="W12" s="1424"/>
      <c r="X12" s="1424">
        <v>747</v>
      </c>
      <c r="Y12" s="1424"/>
      <c r="Z12" s="1379">
        <v>65</v>
      </c>
      <c r="AA12" s="1379"/>
      <c r="AB12" s="1424">
        <v>21</v>
      </c>
      <c r="AC12" s="1379"/>
      <c r="AD12" s="1424"/>
      <c r="AE12" s="1379"/>
      <c r="AF12" s="1379">
        <v>540</v>
      </c>
      <c r="AG12" s="1424"/>
      <c r="AH12" s="1379">
        <v>12</v>
      </c>
      <c r="AI12" s="1424"/>
      <c r="AJ12" s="1424"/>
      <c r="AK12" s="1379"/>
      <c r="AL12" s="1379"/>
      <c r="AM12" s="1379"/>
      <c r="AN12" s="1379"/>
      <c r="AO12" s="1379"/>
      <c r="AP12" s="1424"/>
      <c r="AQ12" s="1379"/>
      <c r="AR12" s="1379"/>
      <c r="AS12" s="1379">
        <v>22</v>
      </c>
      <c r="AT12" s="1379"/>
      <c r="AU12" s="1379"/>
      <c r="AV12" s="1379"/>
      <c r="AW12" s="1379"/>
      <c r="AX12" s="1379">
        <v>365</v>
      </c>
      <c r="AY12" s="1379"/>
      <c r="AZ12" s="1379"/>
      <c r="BA12" s="1379"/>
      <c r="BB12" s="1379"/>
      <c r="BC12" s="1379"/>
      <c r="BD12" s="1379">
        <v>365</v>
      </c>
      <c r="BE12" s="1379">
        <v>707</v>
      </c>
      <c r="BF12" s="1379"/>
      <c r="BG12" s="1379"/>
      <c r="BH12" s="1379"/>
      <c r="BI12" s="1379"/>
      <c r="BJ12" s="1379"/>
      <c r="BK12" s="1379">
        <v>100800</v>
      </c>
      <c r="BL12" s="1379"/>
      <c r="BM12" s="1379">
        <v>22</v>
      </c>
      <c r="BN12" s="1379"/>
      <c r="BO12" s="1379"/>
      <c r="BP12" s="1424"/>
      <c r="BQ12" s="1379"/>
      <c r="BR12" s="1379"/>
      <c r="BS12" s="1379"/>
      <c r="BT12" s="1376">
        <v>130</v>
      </c>
      <c r="BU12" s="1379"/>
      <c r="BV12" s="1379"/>
      <c r="BW12" s="1379">
        <v>365</v>
      </c>
      <c r="BX12" s="1379"/>
      <c r="BY12" s="1379"/>
      <c r="BZ12" s="1379"/>
      <c r="CA12" s="1379"/>
      <c r="CB12" s="1379"/>
      <c r="CC12" s="2426"/>
      <c r="CD12" s="2426"/>
      <c r="CE12" s="2426"/>
      <c r="CF12" s="1379"/>
      <c r="CG12" s="1376">
        <v>80</v>
      </c>
      <c r="CH12" s="1379"/>
      <c r="CI12" s="1379"/>
      <c r="CJ12" s="1379">
        <v>365</v>
      </c>
      <c r="CK12" s="1376"/>
      <c r="CL12" s="1379"/>
      <c r="CM12" s="2426"/>
      <c r="CN12" s="2426"/>
      <c r="CO12" s="2426"/>
      <c r="CP12" s="2426"/>
      <c r="CQ12" s="2426"/>
      <c r="CR12" s="1379"/>
      <c r="CS12" s="1379"/>
      <c r="CT12" s="1379">
        <v>365</v>
      </c>
      <c r="CU12" s="2426"/>
      <c r="CV12" s="2426"/>
      <c r="CW12" s="2426"/>
      <c r="CX12" s="2426"/>
      <c r="CY12" s="1379"/>
      <c r="CZ12" s="1379"/>
      <c r="DA12" s="1379"/>
      <c r="DB12" s="1379"/>
      <c r="DC12" s="2426"/>
      <c r="DD12" s="2426"/>
      <c r="DE12" s="1379">
        <v>22</v>
      </c>
      <c r="DF12" s="1376">
        <v>930</v>
      </c>
      <c r="DG12" s="1379"/>
      <c r="DH12" s="2426"/>
      <c r="DI12" s="2426"/>
      <c r="DJ12" s="2426"/>
      <c r="DK12" s="2426"/>
      <c r="DL12" s="1379">
        <v>22</v>
      </c>
      <c r="DM12" s="1376">
        <v>213</v>
      </c>
      <c r="DN12" s="2426"/>
      <c r="DO12" s="1376"/>
      <c r="DP12" s="1379"/>
      <c r="DQ12" s="1379"/>
      <c r="DR12" s="1379"/>
      <c r="DS12" s="1376"/>
      <c r="DT12" s="1379"/>
      <c r="DU12" s="1379">
        <v>22</v>
      </c>
      <c r="DV12" s="2426"/>
      <c r="DW12" s="1379"/>
      <c r="DX12" s="1379"/>
      <c r="DY12" s="1376">
        <v>23.38</v>
      </c>
      <c r="DZ12" s="2426"/>
      <c r="EA12" s="2426"/>
      <c r="EB12" s="1376">
        <v>470</v>
      </c>
      <c r="EC12" s="1379"/>
      <c r="ED12" s="2426"/>
      <c r="EE12" s="2426"/>
      <c r="EF12" s="1379"/>
      <c r="EG12" s="2426"/>
      <c r="EH12" s="1376">
        <v>290.22000000000003</v>
      </c>
      <c r="EI12" s="2426"/>
      <c r="EJ12" s="2426"/>
      <c r="EK12" s="1379"/>
      <c r="EL12" s="1376">
        <v>107</v>
      </c>
      <c r="EM12" s="2426"/>
      <c r="EN12" s="2426"/>
      <c r="EO12" s="2426"/>
      <c r="EP12" s="2426"/>
      <c r="EQ12" s="1376"/>
      <c r="ER12" s="2426"/>
      <c r="ES12" s="2426"/>
      <c r="ET12" s="2426"/>
      <c r="EU12" s="2426"/>
      <c r="EV12" s="2427">
        <v>64036.45</v>
      </c>
      <c r="EW12" s="2427">
        <v>134</v>
      </c>
      <c r="EX12" s="2426"/>
      <c r="EY12" s="2426"/>
      <c r="EZ12" s="2426"/>
      <c r="FA12" s="1379"/>
      <c r="FB12" s="2426"/>
      <c r="FC12" s="1379"/>
      <c r="FD12" s="1379"/>
      <c r="FE12" s="1376">
        <v>45083</v>
      </c>
      <c r="FF12" s="1376">
        <v>49201</v>
      </c>
      <c r="FG12" s="1379">
        <v>321</v>
      </c>
      <c r="FH12" s="1376">
        <v>49829</v>
      </c>
      <c r="FI12" s="2426"/>
      <c r="FJ12" s="2426"/>
      <c r="FK12" s="2426"/>
      <c r="FL12" s="2426"/>
      <c r="FM12" s="2426"/>
      <c r="FN12" s="2426"/>
      <c r="FO12" s="2426"/>
      <c r="FP12" s="2427"/>
      <c r="FQ12" s="1376">
        <v>1039</v>
      </c>
      <c r="FR12" s="2426"/>
      <c r="FS12" s="2426"/>
      <c r="FT12" s="1376">
        <v>607</v>
      </c>
      <c r="FU12" s="1376">
        <v>6932</v>
      </c>
      <c r="FV12" s="1376">
        <v>509</v>
      </c>
      <c r="FW12" s="1376">
        <v>90</v>
      </c>
      <c r="FX12" s="1379"/>
      <c r="FY12" s="1379"/>
      <c r="FZ12" s="1376"/>
      <c r="GA12" s="1379"/>
      <c r="GB12" s="1379"/>
      <c r="GC12" s="1379"/>
      <c r="GD12" s="2426"/>
      <c r="GE12" s="1379"/>
      <c r="GF12" s="2426"/>
      <c r="GG12" s="1379"/>
      <c r="GH12" s="1379"/>
      <c r="GI12" s="1379"/>
      <c r="GJ12" s="1376">
        <v>540</v>
      </c>
      <c r="GK12" s="2426"/>
      <c r="GL12" s="2426"/>
      <c r="GM12" s="2426"/>
      <c r="GN12" s="1379"/>
      <c r="GO12" s="1379">
        <v>22</v>
      </c>
      <c r="GP12" s="1379"/>
      <c r="GQ12" s="2426"/>
      <c r="GR12" s="1379"/>
      <c r="GS12" s="1379"/>
      <c r="GT12" s="1379"/>
      <c r="GU12" s="1379"/>
      <c r="GV12" s="2426"/>
      <c r="GW12" s="1379"/>
      <c r="GX12" s="2426"/>
      <c r="GY12" s="1379"/>
      <c r="GZ12" s="1379">
        <v>365</v>
      </c>
      <c r="HA12" s="2426"/>
      <c r="HB12" s="2426"/>
      <c r="HC12" s="2426"/>
      <c r="HD12" s="1376"/>
      <c r="HE12" s="2426"/>
      <c r="HF12" s="1379"/>
      <c r="HG12" s="1379"/>
      <c r="HH12" s="1376">
        <v>1010</v>
      </c>
      <c r="HI12" s="2426"/>
      <c r="HJ12" s="2426">
        <v>517</v>
      </c>
      <c r="HK12" s="2426"/>
      <c r="HL12" s="2426"/>
      <c r="HM12" s="2426"/>
      <c r="HN12" s="1424"/>
      <c r="HO12" s="1379"/>
      <c r="HP12" s="1379"/>
      <c r="HQ12" s="1379"/>
      <c r="HR12" s="2426"/>
      <c r="HS12" s="1379">
        <v>365</v>
      </c>
      <c r="HT12" s="1424"/>
      <c r="HU12" s="1379"/>
      <c r="HV12" s="1379"/>
      <c r="HW12" s="1424"/>
      <c r="HX12" s="1380"/>
      <c r="HY12" s="1424"/>
      <c r="HZ12" s="1424">
        <v>747</v>
      </c>
      <c r="IA12" s="1424"/>
      <c r="IB12" s="1424"/>
      <c r="IC12" s="1424"/>
      <c r="ID12" s="1380">
        <v>2014</v>
      </c>
      <c r="IE12" s="1424"/>
      <c r="IF12" s="1424">
        <v>1898</v>
      </c>
      <c r="IG12" s="1424">
        <v>17111</v>
      </c>
      <c r="IH12" s="1424">
        <v>15624</v>
      </c>
      <c r="II12" s="1784"/>
      <c r="IJ12" s="1784"/>
      <c r="IK12" s="1784"/>
      <c r="IL12" s="1784"/>
      <c r="IM12" s="2426"/>
      <c r="IN12" s="2426"/>
      <c r="IO12" s="1424"/>
      <c r="IP12" s="1784"/>
      <c r="IQ12" s="1784"/>
      <c r="IR12" s="1784"/>
      <c r="IS12" s="1784"/>
      <c r="IT12" s="1784"/>
      <c r="IU12" s="1784"/>
      <c r="IV12" s="1784"/>
      <c r="IW12" s="1784"/>
      <c r="IX12" s="1424"/>
      <c r="IY12" s="1424"/>
      <c r="IZ12" s="1379"/>
      <c r="JA12" s="1379"/>
      <c r="JB12" s="1379"/>
      <c r="JC12" s="1379"/>
      <c r="JD12" s="1379"/>
      <c r="JE12" s="1424"/>
      <c r="JF12" s="1379"/>
      <c r="JG12" s="1379"/>
      <c r="JH12" s="1784"/>
      <c r="JI12" s="1784"/>
      <c r="JJ12" s="1784"/>
      <c r="JK12" s="1784"/>
      <c r="JL12" s="1784"/>
      <c r="JM12" s="1784"/>
      <c r="JN12" s="1784">
        <v>236</v>
      </c>
      <c r="JO12" s="1784">
        <v>101</v>
      </c>
      <c r="JP12" s="1784"/>
      <c r="JQ12" s="2426"/>
      <c r="JR12" s="351"/>
      <c r="JS12" s="1365"/>
      <c r="JT12" s="1385" t="s">
        <v>2224</v>
      </c>
    </row>
    <row r="13" spans="1:280" ht="12.5" x14ac:dyDescent="0.25">
      <c r="A13" s="1367">
        <v>3</v>
      </c>
      <c r="B13" s="1368" t="str">
        <f t="shared" si="1"/>
        <v/>
      </c>
      <c r="C13" s="1359" t="s">
        <v>2225</v>
      </c>
      <c r="D13" s="1360" t="s">
        <v>2226</v>
      </c>
      <c r="E13" s="1379">
        <v>477</v>
      </c>
      <c r="F13" s="1379">
        <v>3077</v>
      </c>
      <c r="G13" s="1379">
        <v>678</v>
      </c>
      <c r="H13" s="1379">
        <v>1579</v>
      </c>
      <c r="I13" s="1379">
        <v>2688</v>
      </c>
      <c r="J13" s="1379">
        <v>30150</v>
      </c>
      <c r="K13" s="1379"/>
      <c r="L13" s="1379">
        <v>6</v>
      </c>
      <c r="M13" s="1379">
        <v>7283</v>
      </c>
      <c r="N13" s="1424">
        <v>24342</v>
      </c>
      <c r="O13" s="1379">
        <v>3678</v>
      </c>
      <c r="P13" s="1379">
        <v>39593</v>
      </c>
      <c r="Q13" s="1379">
        <v>22</v>
      </c>
      <c r="R13" s="1379">
        <v>5750</v>
      </c>
      <c r="S13" s="1379">
        <v>31920</v>
      </c>
      <c r="T13" s="1379">
        <v>5783</v>
      </c>
      <c r="U13" s="1424">
        <v>2349</v>
      </c>
      <c r="V13" s="1424">
        <v>1946</v>
      </c>
      <c r="W13" s="1424">
        <v>3245</v>
      </c>
      <c r="X13" s="1379">
        <v>6065</v>
      </c>
      <c r="Y13" s="1424">
        <f>BR_band+2655</f>
        <v>40355</v>
      </c>
      <c r="Z13" s="1379">
        <v>55</v>
      </c>
      <c r="AA13" s="1379">
        <v>78</v>
      </c>
      <c r="AB13" s="1424">
        <v>8790</v>
      </c>
      <c r="AC13" s="1379">
        <v>678</v>
      </c>
      <c r="AD13" s="1424">
        <v>45</v>
      </c>
      <c r="AE13" s="1379">
        <v>125</v>
      </c>
      <c r="AF13" s="1379"/>
      <c r="AG13" s="1424">
        <v>525</v>
      </c>
      <c r="AH13" s="1379">
        <v>34</v>
      </c>
      <c r="AI13" s="1424"/>
      <c r="AJ13" s="1424">
        <v>22175</v>
      </c>
      <c r="AK13" s="1379">
        <v>150</v>
      </c>
      <c r="AL13" s="1379">
        <v>48950</v>
      </c>
      <c r="AM13" s="1379">
        <v>25</v>
      </c>
      <c r="AN13" s="1379">
        <v>14679</v>
      </c>
      <c r="AO13" s="1379">
        <v>6739</v>
      </c>
      <c r="AP13" s="1424">
        <v>40146</v>
      </c>
      <c r="AQ13" s="1379">
        <v>89</v>
      </c>
      <c r="AR13" s="1379">
        <v>6710.4</v>
      </c>
      <c r="AS13" s="1379">
        <v>2099.88</v>
      </c>
      <c r="AT13" s="1376">
        <v>10370</v>
      </c>
      <c r="AU13" s="1376">
        <v>10000</v>
      </c>
      <c r="AV13" s="1379"/>
      <c r="AW13" s="1379"/>
      <c r="AX13" s="1379">
        <v>7283</v>
      </c>
      <c r="AY13" s="1376">
        <v>508</v>
      </c>
      <c r="AZ13" s="1379"/>
      <c r="BA13" s="1379"/>
      <c r="BB13" s="1376">
        <v>2087</v>
      </c>
      <c r="BC13" s="1379"/>
      <c r="BD13" s="1379">
        <v>7283</v>
      </c>
      <c r="BE13" s="1379">
        <v>5706</v>
      </c>
      <c r="BF13" s="1379">
        <v>11998</v>
      </c>
      <c r="BG13" s="1376">
        <v>32227</v>
      </c>
      <c r="BH13" s="1379"/>
      <c r="BI13" s="1379">
        <v>39150</v>
      </c>
      <c r="BJ13" s="1379"/>
      <c r="BK13" s="1379"/>
      <c r="BL13" s="1379">
        <v>6710.4</v>
      </c>
      <c r="BM13" s="1379">
        <v>2099.88</v>
      </c>
      <c r="BN13" s="1379">
        <v>2225</v>
      </c>
      <c r="BO13" s="1379">
        <v>10120</v>
      </c>
      <c r="BP13" s="1380">
        <v>56</v>
      </c>
      <c r="BQ13" s="1378">
        <v>45500</v>
      </c>
      <c r="BR13" s="1379">
        <v>3678</v>
      </c>
      <c r="BS13" s="1379">
        <v>4598</v>
      </c>
      <c r="BT13" s="1376">
        <v>1085</v>
      </c>
      <c r="BU13" s="1379">
        <v>3678</v>
      </c>
      <c r="BV13" s="1376">
        <v>21005</v>
      </c>
      <c r="BW13" s="1379">
        <v>7283</v>
      </c>
      <c r="BX13" s="1379">
        <v>3678</v>
      </c>
      <c r="BY13" s="1379">
        <v>3678</v>
      </c>
      <c r="BZ13" s="1379">
        <v>40783</v>
      </c>
      <c r="CA13" s="1376">
        <v>501</v>
      </c>
      <c r="CB13" s="1379">
        <v>24000</v>
      </c>
      <c r="CC13" s="1424"/>
      <c r="CD13" s="1424"/>
      <c r="CE13" s="1424"/>
      <c r="CF13" s="1379">
        <v>10120</v>
      </c>
      <c r="CG13" s="1376">
        <v>12471</v>
      </c>
      <c r="CH13" s="1379"/>
      <c r="CI13" s="1379">
        <v>6710.4</v>
      </c>
      <c r="CJ13" s="1376">
        <v>3158.53</v>
      </c>
      <c r="CK13" s="1376">
        <v>3815</v>
      </c>
      <c r="CL13" s="1379">
        <v>6710.4</v>
      </c>
      <c r="CM13" s="1424"/>
      <c r="CN13" s="1424">
        <v>2503</v>
      </c>
      <c r="CO13" s="1424"/>
      <c r="CP13" s="1424"/>
      <c r="CQ13" s="1424"/>
      <c r="CR13" s="1379">
        <v>10120</v>
      </c>
      <c r="CS13" s="1379">
        <v>10120</v>
      </c>
      <c r="CT13" s="1379">
        <v>7283</v>
      </c>
      <c r="CU13" s="1424"/>
      <c r="CV13" s="1424"/>
      <c r="CW13" s="1424"/>
      <c r="CX13" s="1380">
        <v>2243</v>
      </c>
      <c r="CY13" s="1379">
        <v>2225</v>
      </c>
      <c r="CZ13" s="1379"/>
      <c r="DA13" s="1376">
        <v>1466</v>
      </c>
      <c r="DB13" s="1379">
        <v>56447</v>
      </c>
      <c r="DC13" s="1424"/>
      <c r="DD13" s="1424"/>
      <c r="DE13" s="1379">
        <v>2099.88</v>
      </c>
      <c r="DF13" s="1376">
        <v>4059</v>
      </c>
      <c r="DG13" s="1376">
        <v>13070</v>
      </c>
      <c r="DH13" s="1424"/>
      <c r="DI13" s="1380">
        <v>569</v>
      </c>
      <c r="DJ13" s="1424"/>
      <c r="DK13" s="1424"/>
      <c r="DL13" s="1379">
        <v>2099.88</v>
      </c>
      <c r="DM13" s="1376">
        <v>8109</v>
      </c>
      <c r="DN13" s="1380">
        <v>1</v>
      </c>
      <c r="DO13" s="1376"/>
      <c r="DP13" s="1379"/>
      <c r="DQ13" s="1379">
        <f>P_A-3850</f>
        <v>8720</v>
      </c>
      <c r="DR13" s="1376">
        <v>822</v>
      </c>
      <c r="DS13" s="1376"/>
      <c r="DT13" s="1379"/>
      <c r="DU13" s="1379">
        <v>2099.88</v>
      </c>
      <c r="DV13" s="1424"/>
      <c r="DW13" s="1379">
        <f>P_A-5851</f>
        <v>6719</v>
      </c>
      <c r="DX13" s="1376">
        <v>266.73</v>
      </c>
      <c r="DY13" s="1376">
        <v>359.52</v>
      </c>
      <c r="DZ13" s="1424"/>
      <c r="EA13" s="1424">
        <v>7118</v>
      </c>
      <c r="EB13" s="1376">
        <v>69</v>
      </c>
      <c r="EC13" s="1379">
        <v>10120</v>
      </c>
      <c r="ED13" s="1424"/>
      <c r="EE13" s="1424"/>
      <c r="EF13" s="1379">
        <v>4598</v>
      </c>
      <c r="EG13" s="1424"/>
      <c r="EH13" s="1376">
        <v>808.02</v>
      </c>
      <c r="EI13" s="1424"/>
      <c r="EJ13" s="1424"/>
      <c r="EK13" s="1379">
        <v>6710.4</v>
      </c>
      <c r="EL13" s="1376"/>
      <c r="EM13" s="1380">
        <v>296102</v>
      </c>
      <c r="EN13" s="1380">
        <v>10977</v>
      </c>
      <c r="EO13" s="1424"/>
      <c r="EP13" s="1380">
        <v>86</v>
      </c>
      <c r="EQ13" s="1376">
        <v>1958</v>
      </c>
      <c r="ER13" s="1380">
        <v>9682</v>
      </c>
      <c r="ES13" s="1380">
        <v>232.99</v>
      </c>
      <c r="ET13" s="1380">
        <v>8687.23</v>
      </c>
      <c r="EU13" s="406">
        <v>46</v>
      </c>
      <c r="EV13" s="1380">
        <v>3365</v>
      </c>
      <c r="EW13" s="1380">
        <v>644</v>
      </c>
      <c r="EX13" s="1380">
        <v>1088</v>
      </c>
      <c r="EY13" s="1380">
        <v>7530</v>
      </c>
      <c r="EZ13" s="1380">
        <v>2235</v>
      </c>
      <c r="FA13" s="1376">
        <v>14446</v>
      </c>
      <c r="FB13" s="1380">
        <v>35572</v>
      </c>
      <c r="FC13" s="1376">
        <v>9682</v>
      </c>
      <c r="FD13" s="1376"/>
      <c r="FE13" s="1376">
        <v>7282</v>
      </c>
      <c r="FF13" s="1376">
        <v>34407</v>
      </c>
      <c r="FG13" s="1379">
        <v>1625</v>
      </c>
      <c r="FH13" s="1376"/>
      <c r="FI13" s="1380">
        <v>126</v>
      </c>
      <c r="FJ13" s="1380">
        <v>180336</v>
      </c>
      <c r="FK13" s="1380">
        <v>9255.11</v>
      </c>
      <c r="FL13" s="1424"/>
      <c r="FM13" s="1380"/>
      <c r="FN13" s="1424"/>
      <c r="FO13" s="1380">
        <v>4753</v>
      </c>
      <c r="FP13" s="1380"/>
      <c r="FQ13" s="1376">
        <v>6003</v>
      </c>
      <c r="FR13" s="1424"/>
      <c r="FS13" s="1424"/>
      <c r="FT13" s="1376">
        <v>3207</v>
      </c>
      <c r="FU13" s="1376">
        <v>1760</v>
      </c>
      <c r="FV13" s="1376">
        <v>2405</v>
      </c>
      <c r="FW13" s="1376">
        <v>150</v>
      </c>
      <c r="FX13" s="1379">
        <v>87000</v>
      </c>
      <c r="FY13" s="1376">
        <v>500</v>
      </c>
      <c r="FZ13" s="1376">
        <v>12670</v>
      </c>
      <c r="GA13" s="1376">
        <v>12670</v>
      </c>
      <c r="GB13" s="1376">
        <v>600</v>
      </c>
      <c r="GC13" s="1376"/>
      <c r="GD13" s="1380">
        <v>3340</v>
      </c>
      <c r="GE13" s="1379">
        <v>3678</v>
      </c>
      <c r="GF13" s="1380">
        <v>16</v>
      </c>
      <c r="GG13" s="1379">
        <v>6710.4</v>
      </c>
      <c r="GH13" s="1379">
        <v>4598</v>
      </c>
      <c r="GI13" s="1376">
        <v>3340</v>
      </c>
      <c r="GJ13" s="1376">
        <v>1029</v>
      </c>
      <c r="GK13" s="1380">
        <v>3340</v>
      </c>
      <c r="GL13" s="1380">
        <v>10000</v>
      </c>
      <c r="GM13" s="1380">
        <v>600</v>
      </c>
      <c r="GN13" s="1376">
        <v>9890</v>
      </c>
      <c r="GO13" s="1379">
        <v>2099.88</v>
      </c>
      <c r="GP13" s="1379">
        <v>3678</v>
      </c>
      <c r="GQ13" s="1424"/>
      <c r="GR13" s="1376">
        <v>990</v>
      </c>
      <c r="GS13" s="1379">
        <v>10120</v>
      </c>
      <c r="GT13" s="1376"/>
      <c r="GU13" s="1379">
        <v>3678</v>
      </c>
      <c r="GV13" s="1424"/>
      <c r="GW13" s="1376">
        <v>4103</v>
      </c>
      <c r="GX13" s="1424"/>
      <c r="GY13" s="1379">
        <v>87000</v>
      </c>
      <c r="GZ13" s="1379">
        <v>7283</v>
      </c>
      <c r="HA13" s="1424"/>
      <c r="HB13" s="1424"/>
      <c r="HC13" s="1424"/>
      <c r="HD13" s="1376"/>
      <c r="HE13" s="1424"/>
      <c r="HF13" s="1379">
        <v>87000</v>
      </c>
      <c r="HG13" s="1376">
        <v>40000</v>
      </c>
      <c r="HH13" s="1376">
        <v>2737</v>
      </c>
      <c r="HI13" s="1380">
        <v>5986</v>
      </c>
      <c r="HJ13" s="1424"/>
      <c r="HK13" s="1424"/>
      <c r="HL13" s="1424"/>
      <c r="HM13" s="1380">
        <v>65655</v>
      </c>
      <c r="HN13" s="1424">
        <v>18</v>
      </c>
      <c r="HO13" s="1379">
        <v>53726</v>
      </c>
      <c r="HP13" s="1379"/>
      <c r="HQ13" s="1379">
        <v>600</v>
      </c>
      <c r="HR13" s="1380">
        <v>115</v>
      </c>
      <c r="HS13" s="1379">
        <v>2883</v>
      </c>
      <c r="HT13" s="1424">
        <v>33529</v>
      </c>
      <c r="HU13" s="1379"/>
      <c r="HV13" s="1379">
        <v>10120</v>
      </c>
      <c r="HW13" s="1424">
        <v>14324</v>
      </c>
      <c r="HX13" s="1380"/>
      <c r="HY13" s="1379">
        <v>5888</v>
      </c>
      <c r="HZ13" s="1379">
        <v>30700</v>
      </c>
      <c r="IA13" s="1380">
        <v>349</v>
      </c>
      <c r="IB13" s="1424">
        <v>837</v>
      </c>
      <c r="IC13" s="1424">
        <f>BR_band-5655</f>
        <v>32045</v>
      </c>
      <c r="ID13" s="1376">
        <v>3588</v>
      </c>
      <c r="IE13" s="1376">
        <v>183</v>
      </c>
      <c r="IF13" s="1424">
        <v>2733</v>
      </c>
      <c r="IG13" s="1424">
        <v>490</v>
      </c>
      <c r="IH13" s="1424">
        <v>2545</v>
      </c>
      <c r="II13" s="1424">
        <v>20000</v>
      </c>
      <c r="IJ13" s="1380">
        <v>1602.39</v>
      </c>
      <c r="IK13" s="1424">
        <v>21005</v>
      </c>
      <c r="IL13" s="1424">
        <v>20000</v>
      </c>
      <c r="IM13" s="1380">
        <v>50037</v>
      </c>
      <c r="IN13" s="1424">
        <v>453</v>
      </c>
      <c r="IO13" s="1380">
        <v>100</v>
      </c>
      <c r="IP13" s="1424">
        <v>67</v>
      </c>
      <c r="IQ13" s="1424"/>
      <c r="IR13" s="1424">
        <v>29</v>
      </c>
      <c r="IS13" s="1424">
        <v>4151</v>
      </c>
      <c r="IT13" s="1424">
        <v>54</v>
      </c>
      <c r="IU13" s="1424"/>
      <c r="IV13" s="1424">
        <v>511</v>
      </c>
      <c r="IW13" s="1380">
        <v>640851</v>
      </c>
      <c r="IX13" s="1380">
        <v>8881</v>
      </c>
      <c r="IY13" s="1424">
        <v>2001</v>
      </c>
      <c r="IZ13" s="1379">
        <v>10120</v>
      </c>
      <c r="JA13" s="1379">
        <v>10120</v>
      </c>
      <c r="JB13" s="1376">
        <v>706</v>
      </c>
      <c r="JC13" s="1379">
        <v>10120</v>
      </c>
      <c r="JD13" s="1379">
        <v>6710.4</v>
      </c>
      <c r="JE13" s="1424"/>
      <c r="JF13" s="1379">
        <v>6710.4</v>
      </c>
      <c r="JG13" s="1379">
        <v>6710.4</v>
      </c>
      <c r="JH13" s="1424">
        <v>6719</v>
      </c>
      <c r="JI13" s="1424">
        <v>160</v>
      </c>
      <c r="JJ13" s="1380">
        <v>11929</v>
      </c>
      <c r="JK13" s="1380">
        <v>10693</v>
      </c>
      <c r="JL13" s="1380">
        <v>27444.13</v>
      </c>
      <c r="JM13" s="1424"/>
      <c r="JN13" s="1424"/>
      <c r="JO13" s="1424"/>
      <c r="JP13" s="1424">
        <v>430</v>
      </c>
      <c r="JQ13" s="1380">
        <v>3238.86</v>
      </c>
      <c r="JR13" s="351"/>
      <c r="JS13" s="1365"/>
      <c r="JT13" s="1385" t="s">
        <v>2224</v>
      </c>
    </row>
    <row r="14" spans="1:280" ht="12.5" x14ac:dyDescent="0.25">
      <c r="A14" s="1367">
        <v>4</v>
      </c>
      <c r="B14" s="1368" t="str">
        <f t="shared" si="1"/>
        <v/>
      </c>
      <c r="C14" s="1359" t="s">
        <v>2227</v>
      </c>
      <c r="D14" s="1360" t="s">
        <v>2228</v>
      </c>
      <c r="E14" s="1379"/>
      <c r="F14" s="1379"/>
      <c r="G14" s="1379"/>
      <c r="H14" s="1379"/>
      <c r="I14" s="1379"/>
      <c r="J14" s="1379"/>
      <c r="K14" s="1379"/>
      <c r="L14" s="1379"/>
      <c r="M14" s="1379"/>
      <c r="N14" s="1424"/>
      <c r="O14" s="1379"/>
      <c r="P14" s="1379"/>
      <c r="Q14" s="1379"/>
      <c r="R14" s="1379"/>
      <c r="S14" s="1379"/>
      <c r="T14" s="1379"/>
      <c r="U14" s="1424"/>
      <c r="V14" s="1424"/>
      <c r="W14" s="1424"/>
      <c r="X14" s="1379"/>
      <c r="Y14" s="1424"/>
      <c r="Z14" s="1379"/>
      <c r="AA14" s="1379"/>
      <c r="AB14" s="1424"/>
      <c r="AC14" s="1379"/>
      <c r="AD14" s="1424"/>
      <c r="AE14" s="1379"/>
      <c r="AF14" s="1379"/>
      <c r="AG14" s="1424"/>
      <c r="AH14" s="1379"/>
      <c r="AI14" s="1424"/>
      <c r="AJ14" s="1424"/>
      <c r="AK14" s="1379"/>
      <c r="AL14" s="1379"/>
      <c r="AM14" s="1379"/>
      <c r="AN14" s="1379"/>
      <c r="AO14" s="1379"/>
      <c r="AP14" s="1424"/>
      <c r="AQ14" s="1379"/>
      <c r="AR14" s="1379"/>
      <c r="AS14" s="1379"/>
      <c r="AT14" s="1379"/>
      <c r="AU14" s="1379"/>
      <c r="AV14" s="1379"/>
      <c r="AW14" s="1379"/>
      <c r="AX14" s="1379"/>
      <c r="AY14" s="1379"/>
      <c r="AZ14" s="1379"/>
      <c r="BA14" s="1379"/>
      <c r="BB14" s="1379"/>
      <c r="BC14" s="1379"/>
      <c r="BD14" s="1379"/>
      <c r="BE14" s="1379"/>
      <c r="BF14" s="1379"/>
      <c r="BG14" s="1379"/>
      <c r="BH14" s="1379"/>
      <c r="BI14" s="1379"/>
      <c r="BJ14" s="1379"/>
      <c r="BK14" s="1379"/>
      <c r="BL14" s="1379"/>
      <c r="BM14" s="1379"/>
      <c r="BN14" s="1379"/>
      <c r="BO14" s="1379"/>
      <c r="BP14" s="1424"/>
      <c r="BQ14" s="1379"/>
      <c r="BR14" s="1379"/>
      <c r="BS14" s="1379"/>
      <c r="BT14" s="1379"/>
      <c r="BU14" s="1379"/>
      <c r="BV14" s="1379"/>
      <c r="BW14" s="1379"/>
      <c r="BX14" s="1379"/>
      <c r="BY14" s="1379"/>
      <c r="BZ14" s="1379"/>
      <c r="CA14" s="1379"/>
      <c r="CB14" s="1379"/>
      <c r="CC14" s="1424"/>
      <c r="CD14" s="1424"/>
      <c r="CE14" s="1424"/>
      <c r="CF14" s="1379"/>
      <c r="CG14" s="1379"/>
      <c r="CH14" s="1379"/>
      <c r="CI14" s="1379"/>
      <c r="CJ14" s="1379"/>
      <c r="CK14" s="1379"/>
      <c r="CL14" s="1379"/>
      <c r="CM14" s="1424"/>
      <c r="CN14" s="1424"/>
      <c r="CO14" s="1424"/>
      <c r="CP14" s="1424"/>
      <c r="CQ14" s="1424"/>
      <c r="CR14" s="1379"/>
      <c r="CS14" s="1379"/>
      <c r="CT14" s="1379"/>
      <c r="CU14" s="1424"/>
      <c r="CV14" s="1424"/>
      <c r="CW14" s="1424"/>
      <c r="CX14" s="1424"/>
      <c r="CY14" s="1379"/>
      <c r="CZ14" s="1379"/>
      <c r="DA14" s="1379"/>
      <c r="DB14" s="1379"/>
      <c r="DC14" s="1424"/>
      <c r="DD14" s="1424"/>
      <c r="DE14" s="1379"/>
      <c r="DF14" s="1379"/>
      <c r="DG14" s="1379"/>
      <c r="DH14" s="1424"/>
      <c r="DI14" s="1424"/>
      <c r="DJ14" s="1424"/>
      <c r="DK14" s="1424"/>
      <c r="DL14" s="1379"/>
      <c r="DM14" s="1379"/>
      <c r="DN14" s="1424"/>
      <c r="DO14" s="1379"/>
      <c r="DP14" s="1379"/>
      <c r="DQ14" s="1379"/>
      <c r="DR14" s="1379"/>
      <c r="DS14" s="1379"/>
      <c r="DT14" s="1379"/>
      <c r="DU14" s="1379"/>
      <c r="DV14" s="1424"/>
      <c r="DW14" s="1379"/>
      <c r="DX14" s="1379"/>
      <c r="DY14" s="1376">
        <v>26</v>
      </c>
      <c r="DZ14" s="1424"/>
      <c r="EA14" s="1424"/>
      <c r="EB14" s="1379"/>
      <c r="EC14" s="1379"/>
      <c r="ED14" s="1424"/>
      <c r="EE14" s="1424"/>
      <c r="EF14" s="1379"/>
      <c r="EG14" s="1424"/>
      <c r="EH14" s="1379"/>
      <c r="EI14" s="1424"/>
      <c r="EJ14" s="1424"/>
      <c r="EK14" s="1379"/>
      <c r="EL14" s="1379"/>
      <c r="EM14" s="1424"/>
      <c r="EN14" s="1424"/>
      <c r="EO14" s="1424"/>
      <c r="EP14" s="1424"/>
      <c r="EQ14" s="1379"/>
      <c r="ER14" s="1424"/>
      <c r="ES14" s="1424"/>
      <c r="ET14" s="1424"/>
      <c r="EU14" s="1424"/>
      <c r="EV14" s="1424"/>
      <c r="EW14" s="1424"/>
      <c r="EX14" s="1424"/>
      <c r="EY14" s="1424"/>
      <c r="EZ14" s="1424"/>
      <c r="FA14" s="1379"/>
      <c r="FB14" s="1424"/>
      <c r="FC14" s="1376"/>
      <c r="FD14" s="1376"/>
      <c r="FE14" s="1379"/>
      <c r="FF14" s="1379"/>
      <c r="FG14" s="1379"/>
      <c r="FH14" s="1379"/>
      <c r="FI14" s="1424"/>
      <c r="FJ14" s="1424"/>
      <c r="FK14" s="1424"/>
      <c r="FL14" s="1424"/>
      <c r="FM14" s="1424"/>
      <c r="FN14" s="1424"/>
      <c r="FO14" s="1424"/>
      <c r="FP14" s="1380"/>
      <c r="FQ14" s="1379"/>
      <c r="FR14" s="1424"/>
      <c r="FS14" s="1424"/>
      <c r="FT14" s="1379"/>
      <c r="FU14" s="1379"/>
      <c r="FV14" s="1379"/>
      <c r="FW14" s="1379"/>
      <c r="FX14" s="1379"/>
      <c r="FY14" s="1379"/>
      <c r="FZ14" s="1379"/>
      <c r="GA14" s="1379"/>
      <c r="GB14" s="1379"/>
      <c r="GC14" s="1376"/>
      <c r="GD14" s="1424"/>
      <c r="GE14" s="1379"/>
      <c r="GF14" s="1424"/>
      <c r="GG14" s="1379"/>
      <c r="GH14" s="1379"/>
      <c r="GI14" s="1379"/>
      <c r="GJ14" s="1379"/>
      <c r="GK14" s="1424"/>
      <c r="GL14" s="1424"/>
      <c r="GM14" s="1424"/>
      <c r="GN14" s="1379"/>
      <c r="GO14" s="1379"/>
      <c r="GP14" s="1379"/>
      <c r="GQ14" s="1424"/>
      <c r="GR14" s="1379"/>
      <c r="GS14" s="1379"/>
      <c r="GT14" s="1376"/>
      <c r="GU14" s="1379"/>
      <c r="GV14" s="1424"/>
      <c r="GW14" s="1379"/>
      <c r="GX14" s="1424"/>
      <c r="GY14" s="1379"/>
      <c r="GZ14" s="1379"/>
      <c r="HA14" s="1424"/>
      <c r="HB14" s="1424"/>
      <c r="HC14" s="1424"/>
      <c r="HD14" s="1379"/>
      <c r="HE14" s="1424"/>
      <c r="HF14" s="1379"/>
      <c r="HG14" s="1379"/>
      <c r="HH14" s="1379"/>
      <c r="HI14" s="1424"/>
      <c r="HJ14" s="1424"/>
      <c r="HK14" s="1424"/>
      <c r="HL14" s="1424"/>
      <c r="HM14" s="1424"/>
      <c r="HN14" s="1424"/>
      <c r="HO14" s="1379">
        <v>200</v>
      </c>
      <c r="HP14" s="1379"/>
      <c r="HQ14" s="1379"/>
      <c r="HR14" s="1424"/>
      <c r="HS14" s="1379"/>
      <c r="HT14" s="1424"/>
      <c r="HU14" s="1379"/>
      <c r="HV14" s="1379"/>
      <c r="HW14" s="1424"/>
      <c r="HX14" s="1424"/>
      <c r="HY14" s="1379"/>
      <c r="HZ14" s="1379"/>
      <c r="IA14" s="1424"/>
      <c r="IB14" s="1424"/>
      <c r="IC14" s="1424"/>
      <c r="ID14" s="1379"/>
      <c r="IE14" s="1379"/>
      <c r="IF14" s="1424"/>
      <c r="IG14" s="1424">
        <v>15</v>
      </c>
      <c r="IH14" s="1424"/>
      <c r="II14" s="1424"/>
      <c r="IJ14" s="1424"/>
      <c r="IK14" s="1424"/>
      <c r="IL14" s="1424"/>
      <c r="IM14" s="1424"/>
      <c r="IN14" s="1424"/>
      <c r="IO14" s="1424"/>
      <c r="IP14" s="1424"/>
      <c r="IQ14" s="1424"/>
      <c r="IR14" s="1424">
        <v>19</v>
      </c>
      <c r="IS14" s="1424"/>
      <c r="IT14" s="1424"/>
      <c r="IU14" s="1424"/>
      <c r="IV14" s="1424"/>
      <c r="IW14" s="1424"/>
      <c r="IX14" s="1424"/>
      <c r="IY14" s="1424"/>
      <c r="IZ14" s="1379"/>
      <c r="JA14" s="1379"/>
      <c r="JB14" s="1379"/>
      <c r="JC14" s="1379"/>
      <c r="JD14" s="1379"/>
      <c r="JE14" s="1424"/>
      <c r="JF14" s="1379"/>
      <c r="JG14" s="1379"/>
      <c r="JH14" s="1424"/>
      <c r="JI14" s="1424"/>
      <c r="JJ14" s="1424"/>
      <c r="JK14" s="1424"/>
      <c r="JL14" s="1424"/>
      <c r="JM14" s="1424"/>
      <c r="JN14" s="1424"/>
      <c r="JO14" s="1424"/>
      <c r="JP14" s="1424"/>
      <c r="JQ14" s="1424"/>
      <c r="JR14" s="351"/>
      <c r="JS14" s="1365" t="s">
        <v>2229</v>
      </c>
      <c r="JT14" s="1385" t="s">
        <v>2224</v>
      </c>
    </row>
    <row r="15" spans="1:280" ht="12.5" x14ac:dyDescent="0.25">
      <c r="A15" s="1367">
        <v>5</v>
      </c>
      <c r="B15" s="1368">
        <f>IF(INC_A_IND&gt;1,IF(HLOOKUP(INC_A_IND-1,INC_A_RANGE,A15)="","",HLOOKUP(INC_A_IND-1,INC_A_RANGE,A15)),"")</f>
        <v>40000</v>
      </c>
      <c r="C15" s="1359" t="s">
        <v>2230</v>
      </c>
      <c r="D15" s="1360" t="s">
        <v>2231</v>
      </c>
      <c r="E15" s="1379">
        <v>5911</v>
      </c>
      <c r="F15" s="1379">
        <v>9709</v>
      </c>
      <c r="G15" s="1379"/>
      <c r="H15" s="1379">
        <v>13463</v>
      </c>
      <c r="I15" s="1379"/>
      <c r="J15" s="1379">
        <v>6355</v>
      </c>
      <c r="K15" s="1379"/>
      <c r="L15" s="1379">
        <v>1237</v>
      </c>
      <c r="M15" s="1379">
        <v>1510</v>
      </c>
      <c r="N15" s="1424">
        <v>16000</v>
      </c>
      <c r="O15" s="1379"/>
      <c r="P15" s="1379">
        <f>DTA+2555</f>
        <v>3055</v>
      </c>
      <c r="Q15" s="1379">
        <v>2403</v>
      </c>
      <c r="R15" s="1379">
        <v>12750</v>
      </c>
      <c r="S15" s="1379"/>
      <c r="T15" s="1379"/>
      <c r="U15" s="1424"/>
      <c r="V15" s="1424">
        <v>11789</v>
      </c>
      <c r="W15" s="1424">
        <v>10001</v>
      </c>
      <c r="X15" s="1379">
        <v>34100</v>
      </c>
      <c r="Y15" s="1424">
        <f>DTA+9238</f>
        <v>9738</v>
      </c>
      <c r="Z15" s="1379">
        <v>3513</v>
      </c>
      <c r="AA15" s="1379"/>
      <c r="AB15" s="1424">
        <v>11166</v>
      </c>
      <c r="AC15" s="1379"/>
      <c r="AD15" s="1424">
        <v>997</v>
      </c>
      <c r="AE15" s="1379"/>
      <c r="AF15" s="1379">
        <v>16000</v>
      </c>
      <c r="AG15" s="1424">
        <v>21000</v>
      </c>
      <c r="AH15" s="1379">
        <v>55000</v>
      </c>
      <c r="AI15" s="1424"/>
      <c r="AJ15" s="1424">
        <v>7560</v>
      </c>
      <c r="AK15" s="1379">
        <v>30</v>
      </c>
      <c r="AL15" s="1379">
        <v>97900</v>
      </c>
      <c r="AM15" s="1379"/>
      <c r="AN15" s="1379"/>
      <c r="AO15" s="1379">
        <v>10798</v>
      </c>
      <c r="AP15" s="1424"/>
      <c r="AQ15" s="1379">
        <v>10120</v>
      </c>
      <c r="AR15" s="1379">
        <v>2954</v>
      </c>
      <c r="AS15" s="1379"/>
      <c r="AT15" s="1379"/>
      <c r="AU15" s="1379"/>
      <c r="AV15" s="1379"/>
      <c r="AW15" s="1379"/>
      <c r="AX15" s="1379">
        <v>1510</v>
      </c>
      <c r="AY15" s="1376"/>
      <c r="AZ15" s="1379">
        <v>32000</v>
      </c>
      <c r="BA15" s="1379"/>
      <c r="BB15" s="1376">
        <v>3468</v>
      </c>
      <c r="BC15" s="1379"/>
      <c r="BD15" s="1379">
        <v>1510</v>
      </c>
      <c r="BE15" s="1379">
        <v>32139</v>
      </c>
      <c r="BF15" s="1379"/>
      <c r="BG15" s="1376"/>
      <c r="BH15" s="1379">
        <v>2000</v>
      </c>
      <c r="BI15" s="1379">
        <v>6328</v>
      </c>
      <c r="BJ15" s="1379"/>
      <c r="BK15" s="1379"/>
      <c r="BL15" s="1379">
        <v>5009.93</v>
      </c>
      <c r="BM15" s="1379"/>
      <c r="BN15" s="1379"/>
      <c r="BO15" s="1379">
        <v>828319.1</v>
      </c>
      <c r="BP15" s="1424"/>
      <c r="BQ15" s="1379">
        <v>3678</v>
      </c>
      <c r="BR15" s="1379"/>
      <c r="BS15" s="1379">
        <v>2450</v>
      </c>
      <c r="BT15" s="1376">
        <v>35475</v>
      </c>
      <c r="BU15" s="1379"/>
      <c r="BV15" s="1376">
        <v>16000</v>
      </c>
      <c r="BW15" s="1379">
        <v>1510</v>
      </c>
      <c r="BX15" s="1379"/>
      <c r="BY15" s="1379"/>
      <c r="BZ15" s="1379"/>
      <c r="CA15" s="1376">
        <v>10000</v>
      </c>
      <c r="CB15" s="1379">
        <v>20000</v>
      </c>
      <c r="CC15" s="1424"/>
      <c r="CD15" s="1424"/>
      <c r="CE15" s="1424"/>
      <c r="CF15" s="1379">
        <v>828319.1</v>
      </c>
      <c r="CG15" s="1376">
        <v>500</v>
      </c>
      <c r="CH15" s="1379"/>
      <c r="CI15" s="1379">
        <v>5009.93</v>
      </c>
      <c r="CJ15" s="1376">
        <v>61861</v>
      </c>
      <c r="CK15" s="1376">
        <v>3564</v>
      </c>
      <c r="CL15" s="1379">
        <v>5009.93</v>
      </c>
      <c r="CM15" s="1424"/>
      <c r="CN15" s="1424"/>
      <c r="CO15" s="1424"/>
      <c r="CP15" s="1424">
        <v>42769</v>
      </c>
      <c r="CQ15" s="1424"/>
      <c r="CR15" s="1379">
        <v>828319.1</v>
      </c>
      <c r="CS15" s="1379">
        <v>828319.1</v>
      </c>
      <c r="CT15" s="1379">
        <v>1510</v>
      </c>
      <c r="CU15" s="1424"/>
      <c r="CV15" s="1424"/>
      <c r="CW15" s="1424"/>
      <c r="CX15" s="1424">
        <v>17899</v>
      </c>
      <c r="CY15" s="1379"/>
      <c r="CZ15" s="1379"/>
      <c r="DA15" s="1376">
        <v>12750</v>
      </c>
      <c r="DB15" s="1379">
        <v>77283</v>
      </c>
      <c r="DC15" s="1424"/>
      <c r="DD15" s="1424"/>
      <c r="DE15" s="1379"/>
      <c r="DF15" s="1376">
        <v>600</v>
      </c>
      <c r="DG15" s="1379"/>
      <c r="DH15" s="1424"/>
      <c r="DI15" s="1380">
        <v>9510</v>
      </c>
      <c r="DJ15" s="1424"/>
      <c r="DK15" s="1424"/>
      <c r="DL15" s="1379"/>
      <c r="DM15" s="1376">
        <v>990</v>
      </c>
      <c r="DN15" s="1424"/>
      <c r="DO15" s="1376"/>
      <c r="DP15" s="1379"/>
      <c r="DQ15" s="1379"/>
      <c r="DR15" s="1376">
        <v>1355</v>
      </c>
      <c r="DS15" s="1376"/>
      <c r="DT15" s="1379"/>
      <c r="DU15" s="1379"/>
      <c r="DV15" s="1424"/>
      <c r="DW15" s="1376">
        <v>7101.95</v>
      </c>
      <c r="DX15" s="1376">
        <v>1000</v>
      </c>
      <c r="DY15" s="1376">
        <v>65</v>
      </c>
      <c r="DZ15" s="1424"/>
      <c r="EA15" s="1424">
        <v>6719</v>
      </c>
      <c r="EB15" s="1376">
        <v>205</v>
      </c>
      <c r="EC15" s="1379">
        <v>828319.1</v>
      </c>
      <c r="ED15" s="1424"/>
      <c r="EE15" s="1380">
        <v>5151</v>
      </c>
      <c r="EF15" s="1379">
        <v>2450</v>
      </c>
      <c r="EG15" s="1424"/>
      <c r="EH15" s="1376">
        <v>4912</v>
      </c>
      <c r="EI15" s="1424"/>
      <c r="EJ15" s="1424"/>
      <c r="EK15" s="1379">
        <v>5009.93</v>
      </c>
      <c r="EL15" s="1376"/>
      <c r="EM15" s="1380">
        <v>15728</v>
      </c>
      <c r="EN15" s="1380">
        <v>93669</v>
      </c>
      <c r="EO15" s="1424"/>
      <c r="EP15" s="1380">
        <v>2243</v>
      </c>
      <c r="EQ15" s="1376">
        <v>295</v>
      </c>
      <c r="ER15" s="1424"/>
      <c r="ES15" s="1380">
        <v>1381.87</v>
      </c>
      <c r="ET15" s="1380">
        <v>25318.17</v>
      </c>
      <c r="EV15" s="1380">
        <v>58866</v>
      </c>
      <c r="EW15" s="1380">
        <v>9790</v>
      </c>
      <c r="EX15" s="1380">
        <v>14555</v>
      </c>
      <c r="EY15" s="1424"/>
      <c r="EZ15" s="1380">
        <v>70755</v>
      </c>
      <c r="FA15" s="1379">
        <v>5009.93</v>
      </c>
      <c r="FB15" s="1380">
        <v>20600</v>
      </c>
      <c r="FC15" s="1379"/>
      <c r="FD15" s="1376">
        <v>2519</v>
      </c>
      <c r="FE15" s="1376">
        <v>315000</v>
      </c>
      <c r="FF15" s="1376">
        <v>60074</v>
      </c>
      <c r="FG15" s="1379">
        <v>128</v>
      </c>
      <c r="FH15" s="1376">
        <v>2519</v>
      </c>
      <c r="FI15" s="1424"/>
      <c r="FJ15" s="1380">
        <v>24408</v>
      </c>
      <c r="FK15" s="1380">
        <v>11212</v>
      </c>
      <c r="FL15" s="1424"/>
      <c r="FM15" s="1424"/>
      <c r="FN15" s="1424"/>
      <c r="FO15" s="1424"/>
      <c r="FP15" s="1380">
        <v>40000</v>
      </c>
      <c r="FQ15" s="1376">
        <v>800</v>
      </c>
      <c r="FR15" s="1424"/>
      <c r="FS15" s="1424"/>
      <c r="FT15" s="1376">
        <v>200</v>
      </c>
      <c r="FU15" s="1376">
        <v>420</v>
      </c>
      <c r="FV15" s="1376">
        <v>300</v>
      </c>
      <c r="FW15" s="1376">
        <v>20</v>
      </c>
      <c r="FX15" s="1379">
        <v>92000</v>
      </c>
      <c r="FY15" s="1376">
        <v>6355</v>
      </c>
      <c r="FZ15" s="1376">
        <v>3000</v>
      </c>
      <c r="GA15" s="1376">
        <v>3000</v>
      </c>
      <c r="GB15" s="1379"/>
      <c r="GC15" s="1376">
        <v>5000</v>
      </c>
      <c r="GD15" s="1424"/>
      <c r="GE15" s="1379"/>
      <c r="GF15" s="1380">
        <v>2000</v>
      </c>
      <c r="GG15" s="1379">
        <v>5009.93</v>
      </c>
      <c r="GH15" s="1379">
        <v>2450</v>
      </c>
      <c r="GI15" s="1379"/>
      <c r="GJ15" s="1376">
        <v>196</v>
      </c>
      <c r="GK15" s="1424"/>
      <c r="GL15" s="1380">
        <v>5000</v>
      </c>
      <c r="GM15" s="1424"/>
      <c r="GN15" s="1376">
        <v>7099</v>
      </c>
      <c r="GO15" s="1379"/>
      <c r="GP15" s="1379"/>
      <c r="GQ15" s="1424"/>
      <c r="GR15" s="1376">
        <v>12098</v>
      </c>
      <c r="GS15" s="1379">
        <v>828319.1</v>
      </c>
      <c r="GT15" s="1376"/>
      <c r="GU15" s="1379"/>
      <c r="GV15" s="1424"/>
      <c r="GW15" s="1379"/>
      <c r="GX15" s="1424"/>
      <c r="GY15" s="1379"/>
      <c r="GZ15" s="1379">
        <v>1510</v>
      </c>
      <c r="HA15" s="1424"/>
      <c r="HB15" s="1424"/>
      <c r="HC15" s="1424"/>
      <c r="HD15" s="1376">
        <v>6000</v>
      </c>
      <c r="HE15" s="1424"/>
      <c r="HF15" s="1379"/>
      <c r="HG15" s="1376">
        <v>30</v>
      </c>
      <c r="HH15" s="1376">
        <v>40</v>
      </c>
      <c r="HI15" s="1380">
        <v>40</v>
      </c>
      <c r="HJ15" s="1424"/>
      <c r="HK15" s="1424"/>
      <c r="HL15" s="1424"/>
      <c r="HM15" s="1424"/>
      <c r="HN15" s="1424"/>
      <c r="HO15" s="1379">
        <v>77850</v>
      </c>
      <c r="HP15" s="1379">
        <v>556</v>
      </c>
      <c r="HQ15" s="1379"/>
      <c r="HR15" s="1380"/>
      <c r="HS15" s="1379"/>
      <c r="HT15" s="1424">
        <v>57011</v>
      </c>
      <c r="HU15" s="1379">
        <v>3341</v>
      </c>
      <c r="HV15" s="1379">
        <v>238999</v>
      </c>
      <c r="HW15" s="1424">
        <v>5999</v>
      </c>
      <c r="HX15" s="1380">
        <v>6106</v>
      </c>
      <c r="HY15" s="1379">
        <v>62307</v>
      </c>
      <c r="HZ15" s="1379">
        <f>BR_band-12000</f>
        <v>25700</v>
      </c>
      <c r="IA15" s="1380">
        <v>15</v>
      </c>
      <c r="IB15" s="1424">
        <v>11166</v>
      </c>
      <c r="IC15" s="1424">
        <f>DTA+4000</f>
        <v>4500</v>
      </c>
      <c r="ID15" s="1376"/>
      <c r="IE15" s="1376">
        <v>65</v>
      </c>
      <c r="IF15" s="1424">
        <v>69088</v>
      </c>
      <c r="IG15" s="1424">
        <v>66572</v>
      </c>
      <c r="IH15" s="1424">
        <v>42924</v>
      </c>
      <c r="II15" s="1424"/>
      <c r="IJ15" s="1380">
        <v>2.93</v>
      </c>
      <c r="IK15" s="1424">
        <v>16000</v>
      </c>
      <c r="IL15" s="1424">
        <v>10000</v>
      </c>
      <c r="IM15" s="1424"/>
      <c r="IN15" s="1424">
        <v>151</v>
      </c>
      <c r="IO15" s="1380">
        <v>31922</v>
      </c>
      <c r="IP15" s="1424">
        <v>2199</v>
      </c>
      <c r="IQ15" s="1424"/>
      <c r="IR15" s="1424"/>
      <c r="IS15" s="1424"/>
      <c r="IT15" s="1424">
        <v>534873</v>
      </c>
      <c r="IU15" s="1424"/>
      <c r="IV15" s="1424"/>
      <c r="IW15" s="1380">
        <v>834357.29</v>
      </c>
      <c r="IX15" s="1380">
        <v>4698</v>
      </c>
      <c r="IY15" s="1424">
        <v>27868</v>
      </c>
      <c r="IZ15" s="1379">
        <v>828319.1</v>
      </c>
      <c r="JA15" s="1379">
        <v>828319.1</v>
      </c>
      <c r="JB15" s="1379"/>
      <c r="JC15" s="1379">
        <v>828319.1</v>
      </c>
      <c r="JD15" s="1379">
        <v>5009.93</v>
      </c>
      <c r="JE15" s="1424"/>
      <c r="JF15" s="1379">
        <v>5009.93</v>
      </c>
      <c r="JG15" s="1379">
        <v>2954</v>
      </c>
      <c r="JH15" s="1424">
        <v>5078</v>
      </c>
      <c r="JI15" s="1424">
        <v>68</v>
      </c>
      <c r="JJ15" s="1380">
        <v>54993</v>
      </c>
      <c r="JK15" s="1380">
        <v>55706</v>
      </c>
      <c r="JL15" s="1424">
        <v>9436</v>
      </c>
      <c r="JM15" s="1380">
        <v>47222</v>
      </c>
      <c r="JN15" s="1424">
        <v>175000</v>
      </c>
      <c r="JO15" s="1424">
        <v>160000</v>
      </c>
      <c r="JP15" s="1424">
        <v>8050</v>
      </c>
      <c r="JQ15" s="1424">
        <v>689813</v>
      </c>
      <c r="JR15" s="351"/>
      <c r="JS15" s="1365"/>
      <c r="JT15" s="1385" t="s">
        <v>2224</v>
      </c>
    </row>
    <row r="16" spans="1:280" ht="12.5" x14ac:dyDescent="0.25">
      <c r="A16" s="1367">
        <v>6</v>
      </c>
      <c r="B16" s="1368" t="str">
        <f t="shared" si="1"/>
        <v/>
      </c>
      <c r="C16" s="1359" t="s">
        <v>2232</v>
      </c>
      <c r="D16" s="1360" t="s">
        <v>2233</v>
      </c>
      <c r="E16" s="1379"/>
      <c r="F16" s="1379"/>
      <c r="G16" s="1379">
        <v>5500</v>
      </c>
      <c r="H16" s="1379"/>
      <c r="I16" s="1379"/>
      <c r="J16" s="1379"/>
      <c r="K16" s="1379"/>
      <c r="L16" s="1379"/>
      <c r="M16" s="1379"/>
      <c r="N16" s="1424"/>
      <c r="O16" s="1379">
        <v>12750</v>
      </c>
      <c r="P16" s="1424"/>
      <c r="Q16" s="1379"/>
      <c r="R16" s="1379"/>
      <c r="S16" s="1379">
        <v>2670</v>
      </c>
      <c r="T16" s="1379">
        <v>23458</v>
      </c>
      <c r="U16" s="1424">
        <v>12623</v>
      </c>
      <c r="V16" s="1424"/>
      <c r="W16" s="1424"/>
      <c r="X16" s="1424"/>
      <c r="Y16" s="1424"/>
      <c r="Z16" s="1379"/>
      <c r="AA16" s="1379">
        <v>11654</v>
      </c>
      <c r="AB16" s="1424"/>
      <c r="AC16" s="1379">
        <v>14251</v>
      </c>
      <c r="AD16" s="1424"/>
      <c r="AE16" s="1379"/>
      <c r="AF16" s="1379"/>
      <c r="AG16" s="1424"/>
      <c r="AH16" s="1379"/>
      <c r="AI16" s="1424"/>
      <c r="AJ16" s="1424"/>
      <c r="AK16" s="1379"/>
      <c r="AL16" s="1379"/>
      <c r="AM16" s="1379"/>
      <c r="AN16" s="1379"/>
      <c r="AO16" s="1379"/>
      <c r="AP16" s="1424">
        <v>10066</v>
      </c>
      <c r="AQ16" s="1379"/>
      <c r="AR16" s="1379"/>
      <c r="AS16" s="1379"/>
      <c r="AT16" s="1379">
        <v>12750</v>
      </c>
      <c r="AU16" s="1379">
        <v>12750</v>
      </c>
      <c r="AV16" s="1379"/>
      <c r="AW16" s="1378"/>
      <c r="AX16" s="1379"/>
      <c r="AY16" s="1378"/>
      <c r="AZ16" s="1378"/>
      <c r="BA16" s="1378"/>
      <c r="BB16" s="1378"/>
      <c r="BC16" s="1378"/>
      <c r="BD16" s="1379"/>
      <c r="BE16" s="1379"/>
      <c r="BF16" s="1379"/>
      <c r="BG16" s="1379"/>
      <c r="BH16" s="1379"/>
      <c r="BI16" s="1379"/>
      <c r="BJ16" s="1378"/>
      <c r="BK16" s="1379"/>
      <c r="BL16" s="1379">
        <v>224.47</v>
      </c>
      <c r="BM16" s="1379"/>
      <c r="BN16" s="1378"/>
      <c r="BO16" s="1378"/>
      <c r="BP16" s="2477"/>
      <c r="BQ16" s="1379"/>
      <c r="BR16" s="1379">
        <v>12750</v>
      </c>
      <c r="BS16" s="1378"/>
      <c r="BT16" s="1376">
        <v>1825</v>
      </c>
      <c r="BU16" s="1379">
        <v>12750</v>
      </c>
      <c r="BV16" s="1378"/>
      <c r="BW16" s="1379"/>
      <c r="BX16" s="1379">
        <v>12750</v>
      </c>
      <c r="BY16" s="1379">
        <v>12750</v>
      </c>
      <c r="BZ16" s="1379">
        <v>4999</v>
      </c>
      <c r="CA16" s="1376"/>
      <c r="CB16" s="1378"/>
      <c r="CC16" s="2477"/>
      <c r="CD16" s="2477"/>
      <c r="CE16" s="2477"/>
      <c r="CF16" s="1378"/>
      <c r="CG16" s="1379"/>
      <c r="CH16" s="1378">
        <v>12750</v>
      </c>
      <c r="CI16" s="1378">
        <v>224.47</v>
      </c>
      <c r="CJ16" s="1376">
        <v>2031</v>
      </c>
      <c r="CK16" s="1379"/>
      <c r="CL16" s="1378">
        <v>224.47</v>
      </c>
      <c r="CM16" s="2477"/>
      <c r="CN16" s="2477"/>
      <c r="CO16" s="2477"/>
      <c r="CP16" s="1424">
        <v>7965</v>
      </c>
      <c r="CQ16" s="2477"/>
      <c r="CR16" s="1378"/>
      <c r="CS16" s="1378"/>
      <c r="CT16" s="1379"/>
      <c r="CU16" s="2477"/>
      <c r="CV16" s="2477"/>
      <c r="CW16" s="2477"/>
      <c r="CX16" s="2477"/>
      <c r="CY16" s="1378"/>
      <c r="CZ16" s="1378">
        <v>12750</v>
      </c>
      <c r="DA16" s="1376"/>
      <c r="DB16" s="1378"/>
      <c r="DC16" s="2477"/>
      <c r="DD16" s="2477"/>
      <c r="DE16" s="1379"/>
      <c r="DF16" s="1379"/>
      <c r="DG16" s="1376"/>
      <c r="DH16" s="2477"/>
      <c r="DI16" s="2477"/>
      <c r="DJ16" s="2477"/>
      <c r="DK16" s="2477"/>
      <c r="DL16" s="1379"/>
      <c r="DM16" s="1379"/>
      <c r="DN16" s="2477"/>
      <c r="DO16" s="1379"/>
      <c r="DP16" s="1376">
        <v>12750</v>
      </c>
      <c r="DQ16" s="1379"/>
      <c r="DR16" s="1379"/>
      <c r="DS16" s="1379"/>
      <c r="DT16" s="1378">
        <v>12750</v>
      </c>
      <c r="DU16" s="1379"/>
      <c r="DV16" s="2477"/>
      <c r="DW16" s="1379"/>
      <c r="DX16" s="1378"/>
      <c r="DY16" s="1376">
        <v>85</v>
      </c>
      <c r="DZ16" s="2477"/>
      <c r="EA16" s="1424"/>
      <c r="EB16" s="1379"/>
      <c r="EC16" s="1378"/>
      <c r="ED16" s="2477"/>
      <c r="EE16" s="2477"/>
      <c r="EF16" s="1378"/>
      <c r="EG16" s="2477"/>
      <c r="EH16" s="1376"/>
      <c r="EI16" s="2477"/>
      <c r="EJ16" s="2477"/>
      <c r="EK16" s="1378">
        <v>224.47</v>
      </c>
      <c r="EL16" s="1376">
        <v>2831</v>
      </c>
      <c r="EM16" s="1424"/>
      <c r="EN16" s="1424"/>
      <c r="EO16" s="1424"/>
      <c r="EP16" s="1380">
        <v>2465</v>
      </c>
      <c r="EQ16" s="1376">
        <v>725</v>
      </c>
      <c r="ER16" s="1380">
        <v>18465</v>
      </c>
      <c r="ES16" s="1380">
        <v>483.2</v>
      </c>
      <c r="ET16" s="2477"/>
      <c r="EU16" s="2477"/>
      <c r="EV16" s="2477"/>
      <c r="EW16" s="2477"/>
      <c r="EX16" s="2477"/>
      <c r="EY16" s="2477"/>
      <c r="EZ16" s="1380">
        <v>1901</v>
      </c>
      <c r="FA16" s="1378">
        <v>224.47</v>
      </c>
      <c r="FB16" s="1380">
        <v>17395</v>
      </c>
      <c r="FC16" s="1376">
        <v>18465</v>
      </c>
      <c r="FD16" s="1378"/>
      <c r="FE16" s="1379"/>
      <c r="FF16" s="1379"/>
      <c r="FG16" s="1379"/>
      <c r="FH16" s="1379"/>
      <c r="FI16" s="2477"/>
      <c r="FJ16" s="1380">
        <v>8762</v>
      </c>
      <c r="FK16" s="2477"/>
      <c r="FL16" s="2477"/>
      <c r="FM16" s="2477"/>
      <c r="FN16" s="2477"/>
      <c r="FO16" s="2477"/>
      <c r="FP16" s="2477"/>
      <c r="FQ16" s="1379"/>
      <c r="FR16" s="2477"/>
      <c r="FS16" s="2477"/>
      <c r="FT16" s="1379"/>
      <c r="FU16" s="1379"/>
      <c r="FV16" s="1379"/>
      <c r="FW16" s="1379"/>
      <c r="FX16" s="1378"/>
      <c r="FY16" s="1378"/>
      <c r="FZ16" s="1378"/>
      <c r="GA16" s="1378"/>
      <c r="GB16" s="1378"/>
      <c r="GC16" s="1378"/>
      <c r="GD16" s="2477"/>
      <c r="GE16" s="1379">
        <v>12750</v>
      </c>
      <c r="GF16" s="2477"/>
      <c r="GG16" s="1378">
        <v>224.47</v>
      </c>
      <c r="GH16" s="1378"/>
      <c r="GI16" s="1379"/>
      <c r="GJ16" s="1379"/>
      <c r="GK16" s="2477"/>
      <c r="GL16" s="2477"/>
      <c r="GM16" s="2477"/>
      <c r="GN16" s="1379"/>
      <c r="GO16" s="1379"/>
      <c r="GP16" s="1379">
        <v>12750</v>
      </c>
      <c r="GQ16" s="2477"/>
      <c r="GR16" s="1376"/>
      <c r="GS16" s="1378"/>
      <c r="GT16" s="1376"/>
      <c r="GU16" s="1379">
        <v>12750</v>
      </c>
      <c r="GV16" s="2477"/>
      <c r="GW16" s="1376">
        <v>12042</v>
      </c>
      <c r="GX16" s="2477"/>
      <c r="GY16" s="1378"/>
      <c r="GZ16" s="1379"/>
      <c r="HA16" s="2477"/>
      <c r="HB16" s="2477"/>
      <c r="HC16" s="2477"/>
      <c r="HD16" s="1379"/>
      <c r="HE16" s="2477"/>
      <c r="HF16" s="1378"/>
      <c r="HG16" s="1378"/>
      <c r="HH16" s="1379"/>
      <c r="HI16" s="2477"/>
      <c r="HJ16" s="2477">
        <v>2038</v>
      </c>
      <c r="HK16" s="2477"/>
      <c r="HL16" s="2477"/>
      <c r="HM16" s="1380">
        <v>265</v>
      </c>
      <c r="HN16" s="2477"/>
      <c r="HO16" s="1379"/>
      <c r="HP16" s="1379"/>
      <c r="HQ16" s="1379"/>
      <c r="HR16" s="1424"/>
      <c r="HS16" s="1379"/>
      <c r="HT16" s="1424"/>
      <c r="HU16" s="1379"/>
      <c r="HV16" s="1379"/>
      <c r="HW16" s="1424"/>
      <c r="HX16" s="1424"/>
      <c r="HY16" s="1424">
        <v>3459</v>
      </c>
      <c r="HZ16" s="1424"/>
      <c r="IA16" s="1424"/>
      <c r="IB16" s="1424"/>
      <c r="IC16" s="1424"/>
      <c r="ID16" s="1424"/>
      <c r="IE16" s="1424"/>
      <c r="IF16" s="1424">
        <v>21614</v>
      </c>
      <c r="IG16" s="1424"/>
      <c r="IH16" s="2477">
        <v>16393</v>
      </c>
      <c r="II16" s="2477"/>
      <c r="IJ16" s="2477"/>
      <c r="IK16" s="2477"/>
      <c r="IL16" s="2477"/>
      <c r="IM16" s="2477"/>
      <c r="IN16" s="2477"/>
      <c r="IO16" s="2477"/>
      <c r="IP16" s="2477">
        <v>998</v>
      </c>
      <c r="IQ16" s="2477"/>
      <c r="IR16" s="2477"/>
      <c r="IS16" s="2477"/>
      <c r="IT16" s="2477">
        <v>13003</v>
      </c>
      <c r="IU16" s="2477"/>
      <c r="IV16" s="2477"/>
      <c r="IW16" s="1380">
        <v>5226.5</v>
      </c>
      <c r="IX16" s="1380">
        <v>604</v>
      </c>
      <c r="IY16" s="1424"/>
      <c r="IZ16" s="1378"/>
      <c r="JA16" s="1378"/>
      <c r="JB16" s="1376">
        <v>118</v>
      </c>
      <c r="JC16" s="1378"/>
      <c r="JD16" s="1378">
        <v>224.47</v>
      </c>
      <c r="JE16" s="1424"/>
      <c r="JF16" s="1378">
        <v>224.47</v>
      </c>
      <c r="JG16" s="1378">
        <v>224.47</v>
      </c>
      <c r="JH16" s="2477">
        <v>817</v>
      </c>
      <c r="JI16" s="2477"/>
      <c r="JJ16" s="1380">
        <v>580</v>
      </c>
      <c r="JK16" s="1380">
        <v>15478</v>
      </c>
      <c r="JL16" s="2477"/>
      <c r="JM16" s="2477"/>
      <c r="JN16" s="2477"/>
      <c r="JO16" s="2477"/>
      <c r="JP16" s="2477"/>
      <c r="JQ16" s="1424">
        <v>26000</v>
      </c>
      <c r="JR16" s="351"/>
      <c r="JS16" s="1365"/>
      <c r="JT16" s="1385" t="s">
        <v>2224</v>
      </c>
    </row>
    <row r="17" spans="1:280" ht="12.5" x14ac:dyDescent="0.25">
      <c r="A17" s="1367">
        <v>7</v>
      </c>
      <c r="B17" s="1368" t="str">
        <f t="shared" si="1"/>
        <v/>
      </c>
      <c r="C17" s="1359" t="s">
        <v>2234</v>
      </c>
      <c r="D17" s="1369" t="s">
        <v>9716</v>
      </c>
      <c r="E17" s="1378"/>
      <c r="F17" s="1378"/>
      <c r="G17" s="1379"/>
      <c r="H17" s="1378"/>
      <c r="I17" s="1378"/>
      <c r="J17" s="1378"/>
      <c r="K17" s="1378"/>
      <c r="L17" s="1379"/>
      <c r="M17" s="1379"/>
      <c r="N17" s="1424"/>
      <c r="O17" s="1379"/>
      <c r="P17" s="1424"/>
      <c r="Q17" s="1379"/>
      <c r="R17" s="1379"/>
      <c r="S17" s="1379"/>
      <c r="T17" s="1379"/>
      <c r="U17" s="1424"/>
      <c r="V17" s="1424"/>
      <c r="W17" s="1424"/>
      <c r="X17" s="1424"/>
      <c r="Y17" s="1424"/>
      <c r="Z17" s="1379"/>
      <c r="AA17" s="1379"/>
      <c r="AB17" s="1424"/>
      <c r="AC17" s="1379"/>
      <c r="AD17" s="1424"/>
      <c r="AE17" s="1379"/>
      <c r="AF17" s="1379"/>
      <c r="AG17" s="1424"/>
      <c r="AH17" s="1379"/>
      <c r="AI17" s="1424"/>
      <c r="AJ17" s="1424"/>
      <c r="AK17" s="1379"/>
      <c r="AL17" s="1379"/>
      <c r="AM17" s="1379"/>
      <c r="AN17" s="1379"/>
      <c r="AO17" s="1379"/>
      <c r="AP17" s="1424"/>
      <c r="AQ17" s="1379"/>
      <c r="AR17" s="1378"/>
      <c r="AS17" s="1379"/>
      <c r="AT17" s="1379"/>
      <c r="AU17" s="1379"/>
      <c r="AV17" s="1379"/>
      <c r="AW17" s="1378"/>
      <c r="AX17" s="1379"/>
      <c r="AY17" s="1378"/>
      <c r="AZ17" s="1378"/>
      <c r="BA17" s="1378"/>
      <c r="BB17" s="1378"/>
      <c r="BC17" s="1378"/>
      <c r="BD17" s="1379"/>
      <c r="BE17" s="1379"/>
      <c r="BF17" s="1379"/>
      <c r="BG17" s="1379"/>
      <c r="BH17" s="1379"/>
      <c r="BI17" s="1379"/>
      <c r="BJ17" s="1378"/>
      <c r="BK17" s="1379"/>
      <c r="BL17" s="1379"/>
      <c r="BM17" s="1379"/>
      <c r="BN17" s="1378">
        <v>267</v>
      </c>
      <c r="BO17" s="1378"/>
      <c r="BP17" s="2477"/>
      <c r="BQ17" s="1378"/>
      <c r="BR17" s="1379"/>
      <c r="BS17" s="1378">
        <v>165</v>
      </c>
      <c r="BT17" s="1378"/>
      <c r="BU17" s="1379"/>
      <c r="BV17" s="1378"/>
      <c r="BW17" s="1379"/>
      <c r="BX17" s="1379"/>
      <c r="BY17" s="1379"/>
      <c r="BZ17" s="1379"/>
      <c r="CA17" s="1378"/>
      <c r="CB17" s="1378"/>
      <c r="CC17" s="2477"/>
      <c r="CD17" s="2477"/>
      <c r="CE17" s="2477"/>
      <c r="CF17" s="1378"/>
      <c r="CG17" s="1379"/>
      <c r="CH17" s="1378"/>
      <c r="CI17" s="1378"/>
      <c r="CJ17" s="1379"/>
      <c r="CK17" s="1379"/>
      <c r="CL17" s="1378"/>
      <c r="CM17" s="2477"/>
      <c r="CN17" s="2477"/>
      <c r="CO17" s="2477"/>
      <c r="CP17" s="2477"/>
      <c r="CQ17" s="2477"/>
      <c r="CR17" s="1378"/>
      <c r="CS17" s="1378"/>
      <c r="CT17" s="1379"/>
      <c r="CU17" s="2477"/>
      <c r="CV17" s="2477"/>
      <c r="CW17" s="2477"/>
      <c r="CX17" s="2477"/>
      <c r="CY17" s="1378">
        <v>267</v>
      </c>
      <c r="CZ17" s="1378"/>
      <c r="DA17" s="1378"/>
      <c r="DB17" s="1378">
        <v>165</v>
      </c>
      <c r="DC17" s="2477"/>
      <c r="DD17" s="2477"/>
      <c r="DE17" s="1379"/>
      <c r="DF17" s="1379"/>
      <c r="DG17" s="1379"/>
      <c r="DH17" s="2477"/>
      <c r="DI17" s="2477"/>
      <c r="DJ17" s="2477"/>
      <c r="DK17" s="2477"/>
      <c r="DL17" s="1379"/>
      <c r="DM17" s="1379"/>
      <c r="DN17" s="2477"/>
      <c r="DO17" s="1379"/>
      <c r="DP17" s="1378"/>
      <c r="DQ17" s="1379"/>
      <c r="DR17" s="1379"/>
      <c r="DS17" s="1379"/>
      <c r="DT17" s="1378"/>
      <c r="DU17" s="1379"/>
      <c r="DV17" s="2477"/>
      <c r="DW17" s="1379"/>
      <c r="DX17" s="1376"/>
      <c r="DY17" s="1376">
        <v>21</v>
      </c>
      <c r="DZ17" s="2477"/>
      <c r="EA17" s="1379"/>
      <c r="EB17" s="1379"/>
      <c r="EC17" s="1378"/>
      <c r="ED17" s="2477"/>
      <c r="EE17" s="2477"/>
      <c r="EF17" s="1378">
        <v>165</v>
      </c>
      <c r="EG17" s="2477"/>
      <c r="EH17" s="1379"/>
      <c r="EI17" s="2477"/>
      <c r="EJ17" s="2477"/>
      <c r="EK17" s="1378"/>
      <c r="EL17" s="1376">
        <v>407</v>
      </c>
      <c r="EM17" s="1424"/>
      <c r="EN17" s="1424"/>
      <c r="EO17" s="1424"/>
      <c r="EP17" s="1424"/>
      <c r="EQ17" s="1379"/>
      <c r="ER17" s="2477"/>
      <c r="ES17" s="2477"/>
      <c r="ET17" s="2477"/>
      <c r="EU17" s="2477"/>
      <c r="EV17" s="2477"/>
      <c r="EW17" s="2477"/>
      <c r="EX17" s="2477"/>
      <c r="EY17" s="2477"/>
      <c r="EZ17" s="2477"/>
      <c r="FA17" s="1378"/>
      <c r="FB17" s="2477"/>
      <c r="FC17" s="1378"/>
      <c r="FD17" s="1378"/>
      <c r="FE17" s="1379"/>
      <c r="FF17" s="1379"/>
      <c r="FG17" s="1379"/>
      <c r="FH17" s="1379"/>
      <c r="FI17" s="2477"/>
      <c r="FJ17" s="2477"/>
      <c r="FK17" s="2477"/>
      <c r="FL17" s="2477"/>
      <c r="FM17" s="2477"/>
      <c r="FN17" s="2477"/>
      <c r="FO17" s="2477"/>
      <c r="FP17" s="2477"/>
      <c r="FQ17" s="1379"/>
      <c r="FR17" s="2477"/>
      <c r="FS17" s="2477"/>
      <c r="FT17" s="1379"/>
      <c r="FU17" s="1379"/>
      <c r="FV17" s="1379"/>
      <c r="FW17" s="1379"/>
      <c r="FX17" s="1378"/>
      <c r="FY17" s="1378"/>
      <c r="FZ17" s="1378"/>
      <c r="GA17" s="1378"/>
      <c r="GB17" s="1378"/>
      <c r="GC17" s="1378"/>
      <c r="GD17" s="2477"/>
      <c r="GE17" s="1379"/>
      <c r="GF17" s="2477"/>
      <c r="GG17" s="1378"/>
      <c r="GH17" s="1378">
        <v>165</v>
      </c>
      <c r="GI17" s="1379"/>
      <c r="GJ17" s="1379"/>
      <c r="GK17" s="2477"/>
      <c r="GL17" s="2477"/>
      <c r="GM17" s="2477"/>
      <c r="GN17" s="1379"/>
      <c r="GO17" s="1379"/>
      <c r="GP17" s="1379"/>
      <c r="GQ17" s="2477"/>
      <c r="GR17" s="1379"/>
      <c r="GS17" s="1378"/>
      <c r="GT17" s="1376"/>
      <c r="GU17" s="1379"/>
      <c r="GV17" s="2477"/>
      <c r="GW17" s="1379"/>
      <c r="GX17" s="2477"/>
      <c r="GY17" s="1378"/>
      <c r="GZ17" s="1379"/>
      <c r="HA17" s="2477"/>
      <c r="HB17" s="2477"/>
      <c r="HC17" s="2477"/>
      <c r="HD17" s="1379"/>
      <c r="HE17" s="2477"/>
      <c r="HF17" s="1378"/>
      <c r="HG17" s="1378"/>
      <c r="HH17" s="1379"/>
      <c r="HI17" s="2477"/>
      <c r="HJ17" s="2477"/>
      <c r="HK17" s="2477"/>
      <c r="HL17" s="2477"/>
      <c r="HM17" s="2477"/>
      <c r="HN17" s="2477"/>
      <c r="HO17" s="1379"/>
      <c r="HP17" s="1379">
        <v>165</v>
      </c>
      <c r="HQ17" s="1379">
        <v>220</v>
      </c>
      <c r="HR17" s="1424"/>
      <c r="HS17" s="1379"/>
      <c r="HT17" s="1424"/>
      <c r="HU17" s="1379"/>
      <c r="HV17" s="1379"/>
      <c r="HW17" s="1424"/>
      <c r="HX17" s="1424"/>
      <c r="HY17" s="1424">
        <v>900</v>
      </c>
      <c r="HZ17" s="1424"/>
      <c r="IA17" s="1424"/>
      <c r="IB17" s="1424"/>
      <c r="IC17" s="1424"/>
      <c r="ID17" s="1424"/>
      <c r="IE17" s="1424"/>
      <c r="IF17" s="1424"/>
      <c r="IG17" s="1424">
        <v>89</v>
      </c>
      <c r="IH17" s="2477"/>
      <c r="II17" s="2477"/>
      <c r="IJ17" s="2477"/>
      <c r="IK17" s="2477"/>
      <c r="IL17" s="2477"/>
      <c r="IM17" s="2477"/>
      <c r="IN17" s="2477"/>
      <c r="IO17" s="2477"/>
      <c r="IP17" s="2477"/>
      <c r="IQ17" s="2477"/>
      <c r="IR17" s="2477"/>
      <c r="IS17" s="2477"/>
      <c r="IT17" s="2477"/>
      <c r="IU17" s="2477"/>
      <c r="IV17" s="2477"/>
      <c r="IW17" s="2477"/>
      <c r="IX17" s="1424"/>
      <c r="IY17" s="1424"/>
      <c r="IZ17" s="1378"/>
      <c r="JA17" s="1378"/>
      <c r="JB17" s="1379"/>
      <c r="JC17" s="1378"/>
      <c r="JD17" s="1378"/>
      <c r="JE17" s="1424"/>
      <c r="JF17" s="1378"/>
      <c r="JG17" s="1378"/>
      <c r="JH17" s="2477"/>
      <c r="JI17" s="2477"/>
      <c r="JJ17" s="2477"/>
      <c r="JK17" s="2477"/>
      <c r="JL17" s="2477"/>
      <c r="JM17" s="2477"/>
      <c r="JN17" s="2477"/>
      <c r="JO17" s="2477"/>
      <c r="JP17" s="2477"/>
      <c r="JQ17" s="2477"/>
      <c r="JR17" s="351"/>
      <c r="JS17" s="1365"/>
      <c r="JT17" s="1385" t="s">
        <v>2224</v>
      </c>
    </row>
    <row r="18" spans="1:280" ht="13" thickBot="1" x14ac:dyDescent="0.3">
      <c r="A18" s="1367">
        <v>8</v>
      </c>
      <c r="B18" s="1368" t="str">
        <f t="shared" si="1"/>
        <v/>
      </c>
      <c r="C18" s="705" t="s">
        <v>2235</v>
      </c>
      <c r="D18" s="698" t="s">
        <v>2236</v>
      </c>
      <c r="E18" s="701"/>
      <c r="F18" s="701"/>
      <c r="G18" s="702"/>
      <c r="H18" s="701"/>
      <c r="I18" s="701"/>
      <c r="J18" s="701"/>
      <c r="K18" s="701"/>
      <c r="L18" s="702"/>
      <c r="M18" s="702"/>
      <c r="N18" s="703"/>
      <c r="O18" s="702"/>
      <c r="P18" s="703"/>
      <c r="Q18" s="702"/>
      <c r="R18" s="702"/>
      <c r="S18" s="702"/>
      <c r="T18" s="702"/>
      <c r="U18" s="703"/>
      <c r="V18" s="703"/>
      <c r="W18" s="703"/>
      <c r="X18" s="703"/>
      <c r="Y18" s="703"/>
      <c r="Z18" s="702"/>
      <c r="AA18" s="702"/>
      <c r="AB18" s="703"/>
      <c r="AC18" s="702"/>
      <c r="AD18" s="703"/>
      <c r="AE18" s="702"/>
      <c r="AF18" s="702"/>
      <c r="AG18" s="703"/>
      <c r="AH18" s="702"/>
      <c r="AI18" s="703"/>
      <c r="AJ18" s="703"/>
      <c r="AK18" s="702"/>
      <c r="AL18" s="702"/>
      <c r="AM18" s="702"/>
      <c r="AN18" s="702"/>
      <c r="AO18" s="702"/>
      <c r="AP18" s="703"/>
      <c r="AQ18" s="702"/>
      <c r="AR18" s="701"/>
      <c r="AS18" s="702"/>
      <c r="AT18" s="702"/>
      <c r="AU18" s="702"/>
      <c r="AV18" s="702"/>
      <c r="AW18" s="701"/>
      <c r="AX18" s="702"/>
      <c r="AY18" s="701"/>
      <c r="AZ18" s="701"/>
      <c r="BA18" s="701"/>
      <c r="BB18" s="701"/>
      <c r="BC18" s="701"/>
      <c r="BD18" s="702"/>
      <c r="BE18" s="702"/>
      <c r="BF18" s="702"/>
      <c r="BG18" s="702"/>
      <c r="BH18" s="702"/>
      <c r="BI18" s="702"/>
      <c r="BJ18" s="701"/>
      <c r="BK18" s="702"/>
      <c r="BL18" s="702"/>
      <c r="BM18" s="702"/>
      <c r="BN18" s="701">
        <v>80.099999999999994</v>
      </c>
      <c r="BO18" s="701"/>
      <c r="BP18" s="703"/>
      <c r="BQ18" s="701"/>
      <c r="BR18" s="702"/>
      <c r="BS18" s="701">
        <v>14.9</v>
      </c>
      <c r="BT18" s="701"/>
      <c r="BU18" s="702"/>
      <c r="BV18" s="701"/>
      <c r="BW18" s="702"/>
      <c r="BX18" s="702"/>
      <c r="BY18" s="702"/>
      <c r="BZ18" s="702"/>
      <c r="CA18" s="701"/>
      <c r="CB18" s="701"/>
      <c r="CC18" s="2478"/>
      <c r="CD18" s="2478"/>
      <c r="CE18" s="2478"/>
      <c r="CF18" s="701"/>
      <c r="CG18" s="702"/>
      <c r="CH18" s="701"/>
      <c r="CI18" s="701"/>
      <c r="CJ18" s="702"/>
      <c r="CK18" s="702"/>
      <c r="CL18" s="701"/>
      <c r="CM18" s="2478"/>
      <c r="CN18" s="2478"/>
      <c r="CO18" s="2478"/>
      <c r="CP18" s="2478"/>
      <c r="CQ18" s="2478"/>
      <c r="CR18" s="701"/>
      <c r="CS18" s="701"/>
      <c r="CT18" s="702"/>
      <c r="CU18" s="2478"/>
      <c r="CV18" s="2478"/>
      <c r="CW18" s="2478"/>
      <c r="CX18" s="2478"/>
      <c r="CY18" s="701">
        <v>80.099999999999994</v>
      </c>
      <c r="CZ18" s="701"/>
      <c r="DA18" s="701"/>
      <c r="DB18" s="701">
        <v>14.9</v>
      </c>
      <c r="DC18" s="2478"/>
      <c r="DD18" s="2478"/>
      <c r="DE18" s="702"/>
      <c r="DF18" s="702"/>
      <c r="DG18" s="702"/>
      <c r="DH18" s="2478"/>
      <c r="DI18" s="2478"/>
      <c r="DJ18" s="2478"/>
      <c r="DK18" s="2478"/>
      <c r="DL18" s="702"/>
      <c r="DM18" s="702"/>
      <c r="DN18" s="2478"/>
      <c r="DO18" s="702"/>
      <c r="DP18" s="701"/>
      <c r="DQ18" s="702"/>
      <c r="DR18" s="702"/>
      <c r="DS18" s="702"/>
      <c r="DT18" s="701"/>
      <c r="DU18" s="702"/>
      <c r="DV18" s="2478"/>
      <c r="DW18" s="702"/>
      <c r="DX18" s="1003"/>
      <c r="DY18" s="702"/>
      <c r="DZ18" s="2478"/>
      <c r="EA18" s="2478"/>
      <c r="EB18" s="702"/>
      <c r="EC18" s="701"/>
      <c r="ED18" s="2478"/>
      <c r="EE18" s="2478"/>
      <c r="EF18" s="701">
        <v>14.9</v>
      </c>
      <c r="EG18" s="2478"/>
      <c r="EH18" s="702"/>
      <c r="EI18" s="2478"/>
      <c r="EJ18" s="2478"/>
      <c r="EK18" s="701"/>
      <c r="EL18" s="1003">
        <v>163</v>
      </c>
      <c r="EM18" s="2478"/>
      <c r="EN18" s="2478"/>
      <c r="EO18" s="2478"/>
      <c r="EP18" s="2478"/>
      <c r="EQ18" s="702"/>
      <c r="ER18" s="2478"/>
      <c r="ES18" s="2478"/>
      <c r="ET18" s="2478"/>
      <c r="EU18" s="2478"/>
      <c r="EV18" s="2478"/>
      <c r="EW18" s="2478"/>
      <c r="EX18" s="2478"/>
      <c r="EY18" s="2478"/>
      <c r="EZ18" s="2478"/>
      <c r="FA18" s="701"/>
      <c r="FB18" s="2478"/>
      <c r="FC18" s="701"/>
      <c r="FD18" s="701"/>
      <c r="FE18" s="702"/>
      <c r="FF18" s="702"/>
      <c r="FG18" s="702"/>
      <c r="FH18" s="702"/>
      <c r="FI18" s="2478"/>
      <c r="FJ18" s="2478"/>
      <c r="FK18" s="2478"/>
      <c r="FL18" s="2478"/>
      <c r="FM18" s="2478"/>
      <c r="FN18" s="2478"/>
      <c r="FO18" s="2478"/>
      <c r="FP18" s="2478"/>
      <c r="FQ18" s="702"/>
      <c r="FR18" s="2478"/>
      <c r="FS18" s="2478"/>
      <c r="FT18" s="702"/>
      <c r="FU18" s="702"/>
      <c r="FV18" s="702"/>
      <c r="FW18" s="702"/>
      <c r="FX18" s="701"/>
      <c r="FY18" s="701"/>
      <c r="FZ18" s="701"/>
      <c r="GA18" s="701"/>
      <c r="GB18" s="701"/>
      <c r="GC18" s="701"/>
      <c r="GD18" s="2478"/>
      <c r="GE18" s="702"/>
      <c r="GF18" s="2478"/>
      <c r="GG18" s="701"/>
      <c r="GH18" s="701">
        <v>14.9</v>
      </c>
      <c r="GI18" s="702"/>
      <c r="GJ18" s="702"/>
      <c r="GK18" s="2478"/>
      <c r="GL18" s="2478"/>
      <c r="GM18" s="2478"/>
      <c r="GN18" s="702"/>
      <c r="GO18" s="702"/>
      <c r="GP18" s="702"/>
      <c r="GQ18" s="2478"/>
      <c r="GR18" s="702"/>
      <c r="GS18" s="701"/>
      <c r="GT18" s="1003"/>
      <c r="GU18" s="702"/>
      <c r="GV18" s="2478"/>
      <c r="GW18" s="702"/>
      <c r="GX18" s="2478"/>
      <c r="GY18" s="701"/>
      <c r="GZ18" s="702"/>
      <c r="HA18" s="2478"/>
      <c r="HB18" s="2478"/>
      <c r="HC18" s="2478"/>
      <c r="HD18" s="702"/>
      <c r="HE18" s="2478"/>
      <c r="HF18" s="701"/>
      <c r="HG18" s="701"/>
      <c r="HH18" s="702"/>
      <c r="HI18" s="2478"/>
      <c r="HJ18" s="2478"/>
      <c r="HK18" s="2478"/>
      <c r="HL18" s="2478"/>
      <c r="HM18" s="2478"/>
      <c r="HN18" s="704"/>
      <c r="HO18" s="702"/>
      <c r="HP18" s="702">
        <v>14.9</v>
      </c>
      <c r="HQ18" s="702">
        <v>33</v>
      </c>
      <c r="HR18" s="2478"/>
      <c r="HS18" s="702"/>
      <c r="HT18" s="703"/>
      <c r="HU18" s="702"/>
      <c r="HV18" s="702"/>
      <c r="HW18" s="703"/>
      <c r="HX18" s="703"/>
      <c r="HY18" s="703">
        <v>45</v>
      </c>
      <c r="HZ18" s="703"/>
      <c r="IA18" s="703"/>
      <c r="IB18" s="703"/>
      <c r="IC18" s="703"/>
      <c r="ID18" s="703"/>
      <c r="IE18" s="703"/>
      <c r="IF18" s="703"/>
      <c r="IG18" s="703"/>
      <c r="IH18" s="703"/>
      <c r="II18" s="731"/>
      <c r="IJ18" s="731"/>
      <c r="IK18" s="731"/>
      <c r="IL18" s="731"/>
      <c r="IM18" s="2478"/>
      <c r="IN18" s="2478"/>
      <c r="IO18" s="704"/>
      <c r="IP18" s="731"/>
      <c r="IQ18" s="731"/>
      <c r="IR18" s="731"/>
      <c r="IS18" s="731"/>
      <c r="IT18" s="731"/>
      <c r="IU18" s="731"/>
      <c r="IV18" s="731"/>
      <c r="IW18" s="731"/>
      <c r="IX18" s="703"/>
      <c r="IY18" s="703"/>
      <c r="IZ18" s="701"/>
      <c r="JA18" s="701"/>
      <c r="JB18" s="702"/>
      <c r="JC18" s="701"/>
      <c r="JD18" s="701"/>
      <c r="JE18" s="703"/>
      <c r="JF18" s="701"/>
      <c r="JG18" s="701"/>
      <c r="JH18" s="731"/>
      <c r="JI18" s="731"/>
      <c r="JJ18" s="731"/>
      <c r="JK18" s="731"/>
      <c r="JL18" s="731"/>
      <c r="JM18" s="731"/>
      <c r="JN18" s="731"/>
      <c r="JO18" s="731"/>
      <c r="JP18" s="731"/>
      <c r="JQ18" s="2478"/>
      <c r="JR18" s="351"/>
      <c r="JS18" s="1365" t="s">
        <v>2237</v>
      </c>
      <c r="JT18" s="1385" t="s">
        <v>2224</v>
      </c>
    </row>
    <row r="19" spans="1:280" ht="12" thickBot="1" x14ac:dyDescent="0.3">
      <c r="C19" s="261" t="s">
        <v>2238</v>
      </c>
      <c r="D19" s="137"/>
    </row>
    <row r="20" spans="1:280" ht="12.5" x14ac:dyDescent="0.25">
      <c r="A20" s="1367" t="s">
        <v>2201</v>
      </c>
      <c r="B20" s="406" t="str">
        <f>"selected "&amp;INC_B_IND-1</f>
        <v>selected 0</v>
      </c>
      <c r="C20" s="288" t="s">
        <v>2</v>
      </c>
      <c r="D20" s="2479"/>
      <c r="E20" s="418">
        <v>1</v>
      </c>
      <c r="F20" s="418">
        <v>2</v>
      </c>
      <c r="G20" s="418">
        <v>3</v>
      </c>
      <c r="H20" s="418">
        <v>4</v>
      </c>
      <c r="I20" s="418">
        <v>5</v>
      </c>
      <c r="J20" s="418">
        <v>6</v>
      </c>
      <c r="K20" s="418">
        <v>7</v>
      </c>
      <c r="L20" s="418">
        <v>8</v>
      </c>
      <c r="M20" s="418">
        <v>9</v>
      </c>
      <c r="N20" s="418">
        <v>10</v>
      </c>
      <c r="O20" s="418">
        <v>11</v>
      </c>
      <c r="P20" s="418">
        <v>12</v>
      </c>
      <c r="Q20" s="418">
        <v>13</v>
      </c>
      <c r="R20" s="418">
        <v>14</v>
      </c>
      <c r="S20" s="418">
        <v>15</v>
      </c>
      <c r="T20" s="418">
        <v>16</v>
      </c>
      <c r="U20" s="418">
        <v>17</v>
      </c>
      <c r="V20" s="418">
        <v>18</v>
      </c>
      <c r="W20" s="418">
        <v>19</v>
      </c>
      <c r="X20" s="418">
        <v>20</v>
      </c>
      <c r="Y20" s="418">
        <v>21</v>
      </c>
      <c r="Z20" s="418">
        <v>22</v>
      </c>
      <c r="AA20" s="418">
        <v>23</v>
      </c>
      <c r="AB20" s="418">
        <v>24</v>
      </c>
      <c r="AC20" s="418">
        <v>25</v>
      </c>
      <c r="AD20" s="418">
        <v>26</v>
      </c>
      <c r="AE20" s="418">
        <v>27</v>
      </c>
      <c r="AF20" s="418">
        <v>28</v>
      </c>
      <c r="AG20" s="418">
        <v>29</v>
      </c>
      <c r="AH20" s="418">
        <v>30</v>
      </c>
      <c r="AI20" s="418">
        <v>31</v>
      </c>
      <c r="AJ20" s="418">
        <v>32</v>
      </c>
      <c r="AK20" s="418">
        <v>33</v>
      </c>
      <c r="AL20" s="418">
        <v>34</v>
      </c>
      <c r="AM20" s="418">
        <v>35</v>
      </c>
      <c r="AN20" s="418">
        <v>36</v>
      </c>
      <c r="AO20" s="418">
        <v>37</v>
      </c>
      <c r="AP20" s="418">
        <v>38</v>
      </c>
      <c r="AQ20" s="418">
        <v>39</v>
      </c>
      <c r="AR20" s="418">
        <v>40</v>
      </c>
      <c r="AS20" s="418">
        <v>41</v>
      </c>
      <c r="AT20" s="418">
        <v>42</v>
      </c>
      <c r="AU20" s="418">
        <v>43</v>
      </c>
      <c r="AV20" s="418">
        <v>44</v>
      </c>
      <c r="AW20" s="418">
        <v>45</v>
      </c>
      <c r="AX20" s="418">
        <v>46</v>
      </c>
      <c r="AY20" s="418">
        <v>47</v>
      </c>
      <c r="AZ20" s="418">
        <v>48</v>
      </c>
      <c r="BA20" s="418">
        <v>49</v>
      </c>
      <c r="BB20" s="418">
        <v>50</v>
      </c>
      <c r="BC20" s="418">
        <v>51</v>
      </c>
      <c r="BD20" s="418">
        <v>52</v>
      </c>
      <c r="BE20" s="418">
        <v>53</v>
      </c>
      <c r="BF20" s="418">
        <v>54</v>
      </c>
      <c r="BG20" s="418">
        <v>55</v>
      </c>
      <c r="BH20" s="418">
        <v>56</v>
      </c>
      <c r="BI20" s="418">
        <v>57</v>
      </c>
      <c r="BJ20" s="418">
        <v>58</v>
      </c>
      <c r="BK20" s="418">
        <v>59</v>
      </c>
      <c r="BL20" s="418">
        <v>60</v>
      </c>
      <c r="BM20" s="418">
        <v>61</v>
      </c>
      <c r="BN20" s="418">
        <v>62</v>
      </c>
      <c r="BO20" s="418">
        <v>63</v>
      </c>
      <c r="BP20" s="418">
        <v>64</v>
      </c>
      <c r="BQ20" s="418">
        <v>65</v>
      </c>
      <c r="BR20" s="418">
        <v>66</v>
      </c>
      <c r="BS20" s="418">
        <v>67</v>
      </c>
      <c r="BT20" s="418">
        <v>68</v>
      </c>
      <c r="BU20" s="418">
        <v>69</v>
      </c>
      <c r="BV20" s="418">
        <v>70</v>
      </c>
      <c r="BW20" s="418">
        <v>71</v>
      </c>
      <c r="BX20" s="418">
        <v>72</v>
      </c>
      <c r="BY20" s="418">
        <v>73</v>
      </c>
      <c r="BZ20" s="418">
        <v>74</v>
      </c>
      <c r="CA20" s="418">
        <v>75</v>
      </c>
      <c r="CB20" s="418">
        <v>76</v>
      </c>
      <c r="CC20" s="418">
        <v>77</v>
      </c>
      <c r="CD20" s="418">
        <v>78</v>
      </c>
      <c r="CE20" s="418">
        <v>79</v>
      </c>
      <c r="CF20" s="418">
        <v>80</v>
      </c>
      <c r="CG20" s="418">
        <v>81</v>
      </c>
      <c r="CH20" s="418">
        <v>82</v>
      </c>
      <c r="CI20" s="418">
        <v>83</v>
      </c>
      <c r="CJ20" s="418">
        <v>84</v>
      </c>
      <c r="CK20" s="418">
        <v>85</v>
      </c>
      <c r="CL20" s="418">
        <v>86</v>
      </c>
      <c r="CM20" s="418">
        <v>87</v>
      </c>
      <c r="CN20" s="418">
        <v>88</v>
      </c>
      <c r="CO20" s="418">
        <v>89</v>
      </c>
      <c r="CP20" s="418">
        <v>90</v>
      </c>
      <c r="CQ20" s="418">
        <v>91</v>
      </c>
      <c r="CR20" s="418">
        <v>92</v>
      </c>
      <c r="CS20" s="418">
        <v>93</v>
      </c>
      <c r="CT20" s="418">
        <v>94</v>
      </c>
      <c r="CU20" s="418">
        <v>95</v>
      </c>
      <c r="CV20" s="418">
        <v>96</v>
      </c>
      <c r="CW20" s="418">
        <v>97</v>
      </c>
      <c r="CX20" s="418">
        <v>98</v>
      </c>
      <c r="CY20" s="418">
        <v>99</v>
      </c>
      <c r="CZ20" s="418">
        <v>100</v>
      </c>
      <c r="DA20" s="418">
        <v>101</v>
      </c>
      <c r="DB20" s="418">
        <v>102</v>
      </c>
      <c r="DC20" s="418">
        <v>103</v>
      </c>
      <c r="DD20" s="418">
        <v>104</v>
      </c>
      <c r="DE20" s="418">
        <v>105</v>
      </c>
      <c r="DF20" s="418">
        <v>106</v>
      </c>
      <c r="DG20" s="418">
        <v>107</v>
      </c>
      <c r="DH20" s="418">
        <v>108</v>
      </c>
      <c r="DI20" s="418">
        <v>109</v>
      </c>
      <c r="DJ20" s="418">
        <v>110</v>
      </c>
      <c r="DK20" s="418">
        <v>111</v>
      </c>
      <c r="DL20" s="418">
        <v>112</v>
      </c>
      <c r="DM20" s="418">
        <v>113</v>
      </c>
      <c r="DN20" s="418">
        <v>114</v>
      </c>
      <c r="DO20" s="418">
        <v>115</v>
      </c>
      <c r="DP20" s="418">
        <v>116</v>
      </c>
      <c r="DQ20" s="418">
        <v>117</v>
      </c>
      <c r="DR20" s="418">
        <v>118</v>
      </c>
      <c r="DS20" s="418">
        <v>119</v>
      </c>
      <c r="DT20" s="418">
        <v>120</v>
      </c>
      <c r="DU20" s="418">
        <v>121</v>
      </c>
      <c r="DV20" s="418">
        <v>122</v>
      </c>
      <c r="DW20" s="418">
        <v>123</v>
      </c>
      <c r="DX20" s="418">
        <v>124</v>
      </c>
      <c r="DY20" s="418">
        <v>125</v>
      </c>
      <c r="DZ20" s="418">
        <v>126</v>
      </c>
      <c r="EA20" s="418">
        <v>127</v>
      </c>
      <c r="EB20" s="418">
        <v>128</v>
      </c>
      <c r="EC20" s="418">
        <v>129</v>
      </c>
      <c r="ED20" s="418">
        <v>130</v>
      </c>
      <c r="EE20" s="418">
        <v>131</v>
      </c>
      <c r="EF20" s="418">
        <v>132</v>
      </c>
      <c r="EG20" s="418">
        <v>133</v>
      </c>
      <c r="EH20" s="418">
        <v>134</v>
      </c>
      <c r="EI20" s="418">
        <v>135</v>
      </c>
      <c r="EJ20" s="418">
        <v>136</v>
      </c>
      <c r="EK20" s="418">
        <v>137</v>
      </c>
      <c r="EL20" s="418">
        <v>138</v>
      </c>
      <c r="EM20" s="418">
        <v>139</v>
      </c>
      <c r="EN20" s="418">
        <v>140</v>
      </c>
      <c r="EO20" s="418">
        <v>141</v>
      </c>
      <c r="EP20" s="418">
        <v>142</v>
      </c>
      <c r="EQ20" s="418">
        <v>143</v>
      </c>
      <c r="ER20" s="418">
        <v>144</v>
      </c>
      <c r="ES20" s="418">
        <v>145</v>
      </c>
      <c r="ET20" s="418">
        <v>146</v>
      </c>
      <c r="EU20" s="418">
        <v>147</v>
      </c>
      <c r="EV20" s="418">
        <v>148</v>
      </c>
      <c r="EW20" s="418">
        <v>149</v>
      </c>
      <c r="EX20" s="418">
        <v>150</v>
      </c>
      <c r="EY20" s="418">
        <v>151</v>
      </c>
      <c r="EZ20" s="418">
        <v>152</v>
      </c>
      <c r="FA20" s="418">
        <v>153</v>
      </c>
      <c r="FB20" s="418">
        <v>154</v>
      </c>
      <c r="FC20" s="418">
        <v>155</v>
      </c>
      <c r="FD20" s="418">
        <v>156</v>
      </c>
      <c r="FE20" s="418">
        <v>157</v>
      </c>
      <c r="FF20" s="418">
        <v>158</v>
      </c>
      <c r="FG20" s="418">
        <v>159</v>
      </c>
      <c r="FH20" s="418">
        <v>160</v>
      </c>
      <c r="FI20" s="418">
        <v>161</v>
      </c>
      <c r="FJ20" s="418">
        <v>162</v>
      </c>
      <c r="FK20" s="418">
        <v>163</v>
      </c>
      <c r="FL20" s="418">
        <v>164</v>
      </c>
      <c r="FM20" s="418">
        <v>165</v>
      </c>
      <c r="FN20" s="418">
        <v>166</v>
      </c>
      <c r="FO20" s="418">
        <v>167</v>
      </c>
      <c r="FP20" s="418">
        <v>168</v>
      </c>
      <c r="FQ20" s="418">
        <v>169</v>
      </c>
      <c r="FR20" s="418">
        <v>170</v>
      </c>
      <c r="FS20" s="418">
        <v>171</v>
      </c>
      <c r="FT20" s="418">
        <v>172</v>
      </c>
      <c r="FU20" s="418">
        <v>173</v>
      </c>
      <c r="FV20" s="418">
        <v>174</v>
      </c>
      <c r="FW20" s="418">
        <v>175</v>
      </c>
      <c r="FX20" s="418">
        <v>176</v>
      </c>
      <c r="FY20" s="418">
        <v>177</v>
      </c>
      <c r="FZ20" s="418">
        <v>178</v>
      </c>
      <c r="GA20" s="418">
        <v>179</v>
      </c>
      <c r="GB20" s="418">
        <v>180</v>
      </c>
      <c r="GC20" s="418">
        <v>181</v>
      </c>
      <c r="GD20" s="418">
        <v>182</v>
      </c>
      <c r="GE20" s="418">
        <v>183</v>
      </c>
      <c r="GF20" s="418">
        <v>184</v>
      </c>
      <c r="GG20" s="418">
        <v>185</v>
      </c>
      <c r="GH20" s="418">
        <v>186</v>
      </c>
      <c r="GI20" s="418">
        <v>187</v>
      </c>
      <c r="GJ20" s="418">
        <v>188</v>
      </c>
      <c r="GK20" s="418">
        <v>189</v>
      </c>
      <c r="GL20" s="418">
        <v>190</v>
      </c>
      <c r="GM20" s="418">
        <v>191</v>
      </c>
      <c r="GN20" s="418">
        <v>192</v>
      </c>
      <c r="GO20" s="418">
        <v>193</v>
      </c>
      <c r="GP20" s="418">
        <v>194</v>
      </c>
      <c r="GQ20" s="418">
        <v>195</v>
      </c>
      <c r="GR20" s="418">
        <v>196</v>
      </c>
      <c r="GS20" s="418">
        <v>197</v>
      </c>
      <c r="GT20" s="418">
        <v>198</v>
      </c>
      <c r="GU20" s="418">
        <v>199</v>
      </c>
      <c r="GV20" s="418">
        <v>200</v>
      </c>
      <c r="GW20" s="418">
        <v>201</v>
      </c>
      <c r="GX20" s="418">
        <v>202</v>
      </c>
      <c r="GY20" s="418">
        <v>203</v>
      </c>
      <c r="GZ20" s="418">
        <v>204</v>
      </c>
      <c r="HA20" s="418">
        <v>205</v>
      </c>
      <c r="HB20" s="418">
        <v>206</v>
      </c>
      <c r="HC20" s="418">
        <v>207</v>
      </c>
      <c r="HD20" s="418">
        <v>208</v>
      </c>
      <c r="HE20" s="418">
        <v>209</v>
      </c>
      <c r="HF20" s="418">
        <v>210</v>
      </c>
      <c r="HG20" s="418">
        <v>211</v>
      </c>
      <c r="HH20" s="418">
        <v>212</v>
      </c>
      <c r="HI20" s="418">
        <v>213</v>
      </c>
      <c r="HJ20" s="418">
        <v>214</v>
      </c>
      <c r="HK20" s="418">
        <v>215</v>
      </c>
      <c r="HL20" s="418">
        <v>216</v>
      </c>
      <c r="HM20" s="418">
        <v>217</v>
      </c>
      <c r="HN20" s="418">
        <v>218</v>
      </c>
      <c r="HO20" s="418">
        <v>219</v>
      </c>
      <c r="HP20" s="418">
        <v>220</v>
      </c>
      <c r="HQ20" s="418">
        <v>221</v>
      </c>
      <c r="HR20" s="418">
        <v>222</v>
      </c>
      <c r="HS20" s="418">
        <v>223</v>
      </c>
      <c r="HT20" s="418">
        <v>224</v>
      </c>
      <c r="HU20" s="418">
        <v>225</v>
      </c>
      <c r="HV20" s="418">
        <v>226</v>
      </c>
      <c r="HW20" s="1002">
        <v>227</v>
      </c>
      <c r="HX20" s="1002">
        <v>228</v>
      </c>
      <c r="HY20" s="1002">
        <v>229</v>
      </c>
      <c r="HZ20" s="1002">
        <v>230</v>
      </c>
      <c r="IA20" s="1002">
        <v>231</v>
      </c>
      <c r="IB20" s="1002">
        <v>232</v>
      </c>
      <c r="IC20" s="1002">
        <v>233</v>
      </c>
      <c r="ID20" s="1002">
        <v>234</v>
      </c>
      <c r="IE20" s="1002">
        <v>235</v>
      </c>
      <c r="IF20" s="1002">
        <v>236</v>
      </c>
      <c r="IG20" s="418">
        <v>237</v>
      </c>
      <c r="IH20" s="418">
        <v>238</v>
      </c>
      <c r="II20" s="418">
        <v>239</v>
      </c>
      <c r="IJ20" s="418">
        <v>240</v>
      </c>
      <c r="IK20" s="418">
        <v>241</v>
      </c>
      <c r="IL20" s="418">
        <v>242</v>
      </c>
      <c r="IM20" s="418">
        <v>243</v>
      </c>
      <c r="IN20" s="418">
        <v>244</v>
      </c>
      <c r="IO20" s="418">
        <v>245</v>
      </c>
      <c r="IP20" s="418">
        <v>246</v>
      </c>
      <c r="IQ20" s="418">
        <v>247</v>
      </c>
      <c r="IR20" s="418">
        <v>248</v>
      </c>
      <c r="IS20" s="418">
        <v>249</v>
      </c>
      <c r="IT20" s="418">
        <v>250</v>
      </c>
      <c r="IU20" s="418">
        <v>251</v>
      </c>
      <c r="IV20" s="418">
        <v>252</v>
      </c>
      <c r="IW20" s="418">
        <v>253</v>
      </c>
      <c r="IX20" s="418">
        <v>254</v>
      </c>
      <c r="IY20" s="418">
        <v>255</v>
      </c>
      <c r="IZ20" s="418">
        <v>256</v>
      </c>
      <c r="JA20" s="418">
        <v>257</v>
      </c>
      <c r="JB20" s="418">
        <v>258</v>
      </c>
      <c r="JC20" s="418">
        <v>259</v>
      </c>
      <c r="JD20" s="418">
        <v>260</v>
      </c>
      <c r="JE20" s="418">
        <v>261</v>
      </c>
      <c r="JF20" s="418">
        <v>262</v>
      </c>
      <c r="JG20" s="418">
        <v>263</v>
      </c>
      <c r="JH20" s="418">
        <v>264</v>
      </c>
      <c r="JI20" s="418">
        <v>265</v>
      </c>
      <c r="JJ20" s="418">
        <v>266</v>
      </c>
      <c r="JK20" s="418">
        <v>267</v>
      </c>
      <c r="JL20" s="418">
        <v>268</v>
      </c>
      <c r="JM20" s="418">
        <v>269</v>
      </c>
      <c r="JN20" s="418">
        <v>270</v>
      </c>
      <c r="JO20" s="418">
        <v>271</v>
      </c>
      <c r="JP20" s="418">
        <v>272</v>
      </c>
      <c r="JQ20" s="418">
        <v>273</v>
      </c>
      <c r="JR20" s="351"/>
      <c r="JT20" s="1385" t="s">
        <v>2199</v>
      </c>
    </row>
    <row r="21" spans="1:280" ht="12.5" x14ac:dyDescent="0.25">
      <c r="A21" s="1367">
        <v>2</v>
      </c>
      <c r="B21" s="1370" t="str">
        <f t="shared" ref="B21:B29" si="2">IF(INC_B_IND&gt;1,IF(HLOOKUP(INC_B_IND-1,INC_B_RANGE,A21)="","",HLOOKUP(INC_B_IND-1,INC_B_RANGE,A21)),"")</f>
        <v/>
      </c>
      <c r="C21" s="1359" t="s">
        <v>2239</v>
      </c>
      <c r="D21" s="1360" t="s">
        <v>2240</v>
      </c>
      <c r="E21" s="1379"/>
      <c r="F21" s="1379"/>
      <c r="G21" s="1379"/>
      <c r="H21" s="1379"/>
      <c r="I21" s="1379"/>
      <c r="J21" s="1379">
        <v>6998</v>
      </c>
      <c r="K21" s="1379">
        <v>4289</v>
      </c>
      <c r="L21" s="1379">
        <v>8278</v>
      </c>
      <c r="M21" s="1379"/>
      <c r="N21" s="1379">
        <v>8239</v>
      </c>
      <c r="O21" s="1379">
        <v>9783</v>
      </c>
      <c r="P21" s="1379">
        <v>9628</v>
      </c>
      <c r="Q21" s="1379">
        <v>8609</v>
      </c>
      <c r="R21" s="1379"/>
      <c r="S21" s="1379"/>
      <c r="T21" s="1379"/>
      <c r="U21" s="1379"/>
      <c r="V21" s="1379"/>
      <c r="W21" s="1379"/>
      <c r="X21" s="1379"/>
      <c r="Y21" s="1379"/>
      <c r="Z21" s="1379"/>
      <c r="AA21" s="1379"/>
      <c r="AB21" s="1379"/>
      <c r="AC21" s="1379"/>
      <c r="AD21" s="1379"/>
      <c r="AE21" s="1379"/>
      <c r="AF21" s="1379"/>
      <c r="AG21" s="1379"/>
      <c r="AH21" s="1379"/>
      <c r="AI21" s="1379"/>
      <c r="AJ21" s="1379"/>
      <c r="AK21" s="1379"/>
      <c r="AL21" s="1379"/>
      <c r="AM21" s="1379"/>
      <c r="AN21" s="1379">
        <v>1568</v>
      </c>
      <c r="AO21" s="1379">
        <v>6891</v>
      </c>
      <c r="AP21" s="1379"/>
      <c r="AQ21" s="1379"/>
      <c r="AR21" s="1379"/>
      <c r="AS21" s="1379"/>
      <c r="AT21" s="1379"/>
      <c r="AU21" s="1379"/>
      <c r="AV21" s="1379"/>
      <c r="AW21" s="1379"/>
      <c r="AX21" s="1379">
        <v>6200</v>
      </c>
      <c r="AY21" s="1376">
        <v>9339</v>
      </c>
      <c r="AZ21" s="1379">
        <v>6200</v>
      </c>
      <c r="BA21" s="1379"/>
      <c r="BB21" s="1376">
        <v>11794</v>
      </c>
      <c r="BC21" s="1379"/>
      <c r="BD21" s="1379">
        <v>3770</v>
      </c>
      <c r="BE21" s="1379"/>
      <c r="BF21" s="1379"/>
      <c r="BG21" s="1379"/>
      <c r="BH21" s="1379"/>
      <c r="BI21" s="1379"/>
      <c r="BJ21" s="1379"/>
      <c r="BK21" s="1379"/>
      <c r="BL21" s="1379"/>
      <c r="BM21" s="1379">
        <v>1600</v>
      </c>
      <c r="BN21" s="1379"/>
      <c r="BO21" s="1379"/>
      <c r="BP21" s="1376">
        <v>10581</v>
      </c>
      <c r="BQ21" s="2480">
        <f>P_A-1500</f>
        <v>11070</v>
      </c>
      <c r="BR21" s="1379">
        <v>6200</v>
      </c>
      <c r="BS21" s="1379">
        <v>6200</v>
      </c>
      <c r="BT21" s="1379"/>
      <c r="BU21" s="1376">
        <v>8814</v>
      </c>
      <c r="BV21" s="1376">
        <v>9821</v>
      </c>
      <c r="BW21" s="1379"/>
      <c r="BX21" s="1379">
        <v>6200</v>
      </c>
      <c r="BY21" s="1379">
        <v>8052</v>
      </c>
      <c r="BZ21" s="1379"/>
      <c r="CA21" s="1376">
        <v>11502</v>
      </c>
      <c r="CB21" s="1379"/>
      <c r="CC21" s="1379"/>
      <c r="CD21" s="1376">
        <v>10102</v>
      </c>
      <c r="CE21" s="1379"/>
      <c r="CF21" s="1379">
        <v>6200</v>
      </c>
      <c r="CG21" s="1379"/>
      <c r="CH21" s="1379">
        <v>6200</v>
      </c>
      <c r="CI21" s="1379">
        <v>9620</v>
      </c>
      <c r="CJ21" s="1376">
        <v>10090</v>
      </c>
      <c r="CK21" s="1376"/>
      <c r="CL21" s="1379"/>
      <c r="CM21" s="1379">
        <v>9620</v>
      </c>
      <c r="CN21" s="1379">
        <v>9627</v>
      </c>
      <c r="CO21" s="1379"/>
      <c r="CP21" s="1379">
        <v>13513</v>
      </c>
      <c r="CQ21" s="1379"/>
      <c r="CR21" s="1379"/>
      <c r="CS21" s="1379"/>
      <c r="CT21" s="1379"/>
      <c r="CU21" s="1379"/>
      <c r="CV21" s="1376">
        <v>6221</v>
      </c>
      <c r="CW21" s="1379"/>
      <c r="CX21" s="1376">
        <v>7426</v>
      </c>
      <c r="CY21" s="1379"/>
      <c r="CZ21" s="1379"/>
      <c r="DA21" s="1379"/>
      <c r="DB21" s="1379"/>
      <c r="DC21" s="1379"/>
      <c r="DD21" s="1379"/>
      <c r="DE21" s="1379"/>
      <c r="DF21" s="1379"/>
      <c r="DG21" s="1379"/>
      <c r="DH21" s="1379">
        <v>3770</v>
      </c>
      <c r="DI21" s="1376"/>
      <c r="DJ21" s="1379"/>
      <c r="DK21" s="1379"/>
      <c r="DL21" s="1379"/>
      <c r="DM21" s="1379"/>
      <c r="DN21" s="1379"/>
      <c r="DO21" s="1379"/>
      <c r="DP21" s="1379"/>
      <c r="DQ21" s="1379"/>
      <c r="DR21" s="1379"/>
      <c r="DS21" s="1379"/>
      <c r="DT21" s="1379"/>
      <c r="DU21" s="1379"/>
      <c r="DV21" s="1379">
        <v>8206</v>
      </c>
      <c r="DW21" s="1379">
        <v>1600</v>
      </c>
      <c r="DX21" s="1376">
        <v>2869.36</v>
      </c>
      <c r="DY21" s="1376">
        <v>4689</v>
      </c>
      <c r="DZ21" s="1376"/>
      <c r="EA21" s="1379"/>
      <c r="EB21" s="1379"/>
      <c r="EC21" s="1379"/>
      <c r="ED21" s="1379"/>
      <c r="EE21" s="1379"/>
      <c r="EF21" s="1379"/>
      <c r="EG21" s="1379"/>
      <c r="EH21" s="1379"/>
      <c r="EI21" s="1379"/>
      <c r="EJ21" s="1379"/>
      <c r="EK21" s="1379"/>
      <c r="EL21" s="1379"/>
      <c r="EM21" s="1376">
        <v>16091</v>
      </c>
      <c r="EN21" s="1379"/>
      <c r="EO21" s="1379"/>
      <c r="EP21" s="1379"/>
      <c r="EQ21" s="1379"/>
      <c r="ER21" s="1379"/>
      <c r="ES21" s="1376">
        <v>10430</v>
      </c>
      <c r="ET21" s="1379">
        <v>8052</v>
      </c>
      <c r="EU21" s="1376">
        <v>11940</v>
      </c>
      <c r="EV21" s="1379"/>
      <c r="EW21" s="1379"/>
      <c r="EX21" s="1379"/>
      <c r="EY21" s="1379"/>
      <c r="EZ21" s="1376">
        <v>10596</v>
      </c>
      <c r="FA21" s="1379"/>
      <c r="FB21" s="1376"/>
      <c r="FC21" s="1379"/>
      <c r="FD21" s="1379"/>
      <c r="FE21" s="1379"/>
      <c r="FF21" s="1376">
        <v>9455</v>
      </c>
      <c r="FG21" s="1379"/>
      <c r="FH21" s="1379"/>
      <c r="FI21" s="1379"/>
      <c r="FJ21" s="1379"/>
      <c r="FK21" s="1379"/>
      <c r="FL21" s="1379"/>
      <c r="FM21" s="1379"/>
      <c r="FN21" s="1379"/>
      <c r="FO21" s="1379"/>
      <c r="FP21" s="1379"/>
      <c r="FQ21" s="1379"/>
      <c r="FR21" s="1379"/>
      <c r="FS21" s="1379">
        <v>3770</v>
      </c>
      <c r="FT21" s="1379">
        <v>6200</v>
      </c>
      <c r="FU21" s="1379">
        <v>6200</v>
      </c>
      <c r="FV21" s="1376">
        <v>4500</v>
      </c>
      <c r="FW21" s="1379"/>
      <c r="FX21" s="1379"/>
      <c r="FY21" s="1379">
        <v>8052</v>
      </c>
      <c r="FZ21" s="1379">
        <v>8052</v>
      </c>
      <c r="GA21" s="1376"/>
      <c r="GB21" s="1376"/>
      <c r="GC21" s="1379"/>
      <c r="GD21" s="1379"/>
      <c r="GE21" s="1379">
        <v>6200</v>
      </c>
      <c r="GF21" s="1376">
        <v>12153</v>
      </c>
      <c r="GG21" s="1379"/>
      <c r="GH21" s="1379"/>
      <c r="GI21" s="1379">
        <v>8206</v>
      </c>
      <c r="GJ21" s="1379"/>
      <c r="GK21" s="1379"/>
      <c r="GL21" s="1379"/>
      <c r="GM21" s="1379"/>
      <c r="GN21" s="1379"/>
      <c r="GO21" s="1379"/>
      <c r="GP21" s="1379"/>
      <c r="GQ21" s="1379"/>
      <c r="GR21" s="1379"/>
      <c r="GS21" s="1379"/>
      <c r="GT21" s="1376">
        <v>13399</v>
      </c>
      <c r="GU21" s="1379">
        <v>6200</v>
      </c>
      <c r="GV21" s="1376">
        <v>2389</v>
      </c>
      <c r="GW21" s="1379"/>
      <c r="GX21" s="1379"/>
      <c r="GY21" s="1379"/>
      <c r="GZ21" s="1379"/>
      <c r="HA21" s="1379"/>
      <c r="HB21" s="1379"/>
      <c r="HC21" s="1379"/>
      <c r="HD21" s="1376"/>
      <c r="HE21" s="1379"/>
      <c r="HF21" s="1379"/>
      <c r="HG21" s="1379"/>
      <c r="HH21" s="1379"/>
      <c r="HI21" s="1379"/>
      <c r="HJ21" s="1379">
        <v>6175</v>
      </c>
      <c r="HK21" s="1379">
        <v>18404</v>
      </c>
      <c r="HL21" s="1376"/>
      <c r="HM21" s="1379">
        <v>8206</v>
      </c>
      <c r="HN21" s="1379"/>
      <c r="HO21" s="1379"/>
      <c r="HP21" s="1376"/>
      <c r="HQ21" s="1379">
        <v>11502</v>
      </c>
      <c r="HR21" s="1379"/>
      <c r="HS21" s="1379"/>
      <c r="HT21" s="1379">
        <v>6200</v>
      </c>
      <c r="HU21" s="1379"/>
      <c r="HV21" s="1379"/>
      <c r="HW21" s="1379">
        <v>8239</v>
      </c>
      <c r="HX21" s="1376"/>
      <c r="HY21" s="1379"/>
      <c r="HZ21" s="1379"/>
      <c r="IA21" s="1379"/>
      <c r="IB21" s="1379"/>
      <c r="IC21" s="1379"/>
      <c r="ID21" s="1379"/>
      <c r="IE21" s="1379"/>
      <c r="IF21" s="1379">
        <v>15308</v>
      </c>
      <c r="IG21" s="1379"/>
      <c r="IH21" s="1379"/>
      <c r="II21" s="1379"/>
      <c r="IJ21" s="1379"/>
      <c r="IK21" s="1379"/>
      <c r="IL21" s="1379"/>
      <c r="IM21" s="1379"/>
      <c r="IN21" s="1379"/>
      <c r="IO21" s="1379"/>
      <c r="IP21" s="1379"/>
      <c r="IQ21" s="1379"/>
      <c r="IR21" s="1379">
        <v>7360</v>
      </c>
      <c r="IS21" s="1379"/>
      <c r="IT21" s="1379"/>
      <c r="IU21" s="1379">
        <v>6867</v>
      </c>
      <c r="IV21" s="1379">
        <v>6394</v>
      </c>
      <c r="IW21" s="1379"/>
      <c r="IX21" s="1376"/>
      <c r="IY21" s="1379">
        <v>10980</v>
      </c>
      <c r="IZ21" s="1379"/>
      <c r="JA21" s="1379"/>
      <c r="JB21" s="1379"/>
      <c r="JC21" s="1379"/>
      <c r="JD21" s="1379">
        <v>3770</v>
      </c>
      <c r="JE21" s="1379"/>
      <c r="JF21" s="1379"/>
      <c r="JG21" s="1379"/>
      <c r="JH21" s="1379">
        <v>9414</v>
      </c>
      <c r="JI21" s="1379">
        <v>12180</v>
      </c>
      <c r="JJ21" s="1379"/>
      <c r="JK21" s="1376"/>
      <c r="JL21" s="1379">
        <v>5111</v>
      </c>
      <c r="JM21" s="1379"/>
      <c r="JN21" s="1379"/>
      <c r="JO21" s="1379"/>
      <c r="JP21" s="1379"/>
      <c r="JQ21" s="1405"/>
      <c r="JR21" s="351"/>
      <c r="JS21" s="1365" t="s">
        <v>2241</v>
      </c>
      <c r="JT21" s="1385" t="s">
        <v>2242</v>
      </c>
    </row>
    <row r="22" spans="1:280" ht="12.5" x14ac:dyDescent="0.25">
      <c r="A22" s="1367">
        <v>3</v>
      </c>
      <c r="B22" s="1370" t="str">
        <f t="shared" si="2"/>
        <v/>
      </c>
      <c r="C22" s="1359" t="s">
        <v>2243</v>
      </c>
      <c r="D22" s="1360" t="s">
        <v>2244</v>
      </c>
      <c r="E22" s="1379"/>
      <c r="F22" s="1379"/>
      <c r="G22" s="1379"/>
      <c r="H22" s="1379"/>
      <c r="I22" s="1379"/>
      <c r="J22" s="1379"/>
      <c r="K22" s="1379"/>
      <c r="L22" s="1379"/>
      <c r="M22" s="1379"/>
      <c r="N22" s="1379"/>
      <c r="O22" s="1379"/>
      <c r="P22" s="1379"/>
      <c r="Q22" s="1379"/>
      <c r="R22" s="1379"/>
      <c r="S22" s="1379"/>
      <c r="T22" s="1379"/>
      <c r="U22" s="1379"/>
      <c r="V22" s="1379"/>
      <c r="W22" s="1379"/>
      <c r="X22" s="1379"/>
      <c r="Y22" s="1379"/>
      <c r="Z22" s="1379"/>
      <c r="AA22" s="1379"/>
      <c r="AB22" s="1379"/>
      <c r="AC22" s="1379"/>
      <c r="AD22" s="1379"/>
      <c r="AE22" s="1379"/>
      <c r="AF22" s="1379"/>
      <c r="AG22" s="1379"/>
      <c r="AH22" s="1379"/>
      <c r="AI22" s="1379"/>
      <c r="AJ22" s="1379"/>
      <c r="AK22" s="1379"/>
      <c r="AL22" s="1379"/>
      <c r="AM22" s="1379"/>
      <c r="AN22" s="1379"/>
      <c r="AO22" s="1379"/>
      <c r="AP22" s="1379"/>
      <c r="AQ22" s="1379"/>
      <c r="AR22" s="1379"/>
      <c r="AS22" s="1379"/>
      <c r="AT22" s="1379"/>
      <c r="AU22" s="1379"/>
      <c r="AV22" s="1379"/>
      <c r="AW22" s="1379"/>
      <c r="AX22" s="1379"/>
      <c r="AY22" s="1379"/>
      <c r="AZ22" s="1379"/>
      <c r="BA22" s="1379"/>
      <c r="BB22" s="1379"/>
      <c r="BC22" s="1379"/>
      <c r="BD22" s="1379"/>
      <c r="BE22" s="1379"/>
      <c r="BF22" s="1379"/>
      <c r="BG22" s="1379"/>
      <c r="BH22" s="1379"/>
      <c r="BI22" s="1379"/>
      <c r="BJ22" s="1379"/>
      <c r="BK22" s="1379"/>
      <c r="BL22" s="1379"/>
      <c r="BM22" s="1379">
        <v>16534</v>
      </c>
      <c r="BN22" s="1379"/>
      <c r="BO22" s="1379"/>
      <c r="BP22" s="1379"/>
      <c r="BQ22" s="1379"/>
      <c r="BR22" s="1379"/>
      <c r="BS22" s="1379"/>
      <c r="BT22" s="1379"/>
      <c r="BU22" s="1379"/>
      <c r="BV22" s="1379"/>
      <c r="BW22" s="1379"/>
      <c r="BX22" s="1379"/>
      <c r="BY22" s="1379"/>
      <c r="BZ22" s="1379"/>
      <c r="CA22" s="1379"/>
      <c r="CB22" s="1379"/>
      <c r="CC22" s="1379"/>
      <c r="CD22" s="1379"/>
      <c r="CE22" s="1379"/>
      <c r="CF22" s="1379"/>
      <c r="CG22" s="1379"/>
      <c r="CH22" s="1379"/>
      <c r="CI22" s="1379">
        <v>30275</v>
      </c>
      <c r="CJ22" s="1379"/>
      <c r="CK22" s="1379"/>
      <c r="CL22" s="1379"/>
      <c r="CM22" s="1379">
        <v>27876</v>
      </c>
      <c r="CN22" s="1379"/>
      <c r="CO22" s="1379"/>
      <c r="CP22" s="1379">
        <v>11263</v>
      </c>
      <c r="CQ22" s="1379"/>
      <c r="CR22" s="1379"/>
      <c r="CS22" s="1379"/>
      <c r="CT22" s="1379"/>
      <c r="CU22" s="1379"/>
      <c r="CV22" s="1379"/>
      <c r="CW22" s="1379"/>
      <c r="CX22" s="1376">
        <v>90234</v>
      </c>
      <c r="CY22" s="1379"/>
      <c r="CZ22" s="1379"/>
      <c r="DA22" s="1379"/>
      <c r="DB22" s="1379"/>
      <c r="DC22" s="1379"/>
      <c r="DD22" s="1379"/>
      <c r="DE22" s="1379"/>
      <c r="DF22" s="1379"/>
      <c r="DG22" s="1379"/>
      <c r="DH22" s="1379"/>
      <c r="DI22" s="1379"/>
      <c r="DJ22" s="1379"/>
      <c r="DK22" s="1379"/>
      <c r="DL22" s="1379"/>
      <c r="DM22" s="1379"/>
      <c r="DN22" s="1379"/>
      <c r="DO22" s="1379"/>
      <c r="DP22" s="1379"/>
      <c r="DQ22" s="1379"/>
      <c r="DR22" s="1379"/>
      <c r="DS22" s="1379"/>
      <c r="DT22" s="1379"/>
      <c r="DU22" s="1379"/>
      <c r="DV22" s="1379"/>
      <c r="DW22" s="1379">
        <v>16534</v>
      </c>
      <c r="DX22" s="1379"/>
      <c r="DY22" s="1379"/>
      <c r="DZ22" s="1379"/>
      <c r="EA22" s="1379"/>
      <c r="EB22" s="1379"/>
      <c r="EC22" s="1379"/>
      <c r="ED22" s="1379"/>
      <c r="EE22" s="1379"/>
      <c r="EF22" s="1379"/>
      <c r="EG22" s="1379"/>
      <c r="EH22" s="1379"/>
      <c r="EI22" s="1379"/>
      <c r="EJ22" s="1379"/>
      <c r="EK22" s="1379"/>
      <c r="EL22" s="1379"/>
      <c r="EM22" s="1379"/>
      <c r="EN22" s="1379"/>
      <c r="EO22" s="1379"/>
      <c r="EP22" s="1379"/>
      <c r="EQ22" s="1379"/>
      <c r="ER22" s="1379"/>
      <c r="ES22" s="1379"/>
      <c r="ET22" s="1379"/>
      <c r="EU22" s="1379"/>
      <c r="EV22" s="1379"/>
      <c r="EW22" s="1379"/>
      <c r="EX22" s="1379"/>
      <c r="EY22" s="1379"/>
      <c r="EZ22" s="1379"/>
      <c r="FA22" s="1379"/>
      <c r="FB22" s="1379"/>
      <c r="FC22" s="1379"/>
      <c r="FD22" s="1379"/>
      <c r="FE22" s="1379"/>
      <c r="FF22" s="1379"/>
      <c r="FG22" s="1379"/>
      <c r="FH22" s="1379"/>
      <c r="FI22" s="1379"/>
      <c r="FJ22" s="1379"/>
      <c r="FK22" s="1379"/>
      <c r="FL22" s="1379"/>
      <c r="FM22" s="1379"/>
      <c r="FN22" s="1379"/>
      <c r="FO22" s="1379"/>
      <c r="FP22" s="1379"/>
      <c r="FQ22" s="1379"/>
      <c r="FR22" s="1379"/>
      <c r="FS22" s="1379"/>
      <c r="FT22" s="1379"/>
      <c r="FU22" s="1379"/>
      <c r="FV22" s="1379"/>
      <c r="FW22" s="1379"/>
      <c r="FX22" s="1379"/>
      <c r="FY22" s="1379"/>
      <c r="FZ22" s="1379"/>
      <c r="GA22" s="1379"/>
      <c r="GB22" s="1379"/>
      <c r="GC22" s="1379"/>
      <c r="GD22" s="1379"/>
      <c r="GE22" s="1379"/>
      <c r="GF22" s="1379"/>
      <c r="GG22" s="1379"/>
      <c r="GH22" s="1379"/>
      <c r="GI22" s="1379"/>
      <c r="GJ22" s="1379"/>
      <c r="GK22" s="1379"/>
      <c r="GL22" s="1379"/>
      <c r="GM22" s="1379"/>
      <c r="GN22" s="1379"/>
      <c r="GO22" s="1379"/>
      <c r="GP22" s="1379"/>
      <c r="GQ22" s="1379"/>
      <c r="GR22" s="1379"/>
      <c r="GS22" s="1379"/>
      <c r="GT22" s="1376">
        <v>10000</v>
      </c>
      <c r="GU22" s="1379"/>
      <c r="GV22" s="1376">
        <v>16534</v>
      </c>
      <c r="GW22" s="1379"/>
      <c r="GX22" s="1379"/>
      <c r="GY22" s="1379"/>
      <c r="GZ22" s="1379"/>
      <c r="HA22" s="1379"/>
      <c r="HB22" s="1379"/>
      <c r="HC22" s="1379"/>
      <c r="HD22" s="1379"/>
      <c r="HE22" s="1379"/>
      <c r="HF22" s="1379"/>
      <c r="HG22" s="1379"/>
      <c r="HH22" s="1379"/>
      <c r="HI22" s="1379"/>
      <c r="HJ22" s="1379"/>
      <c r="HK22" s="1379"/>
      <c r="HL22" s="1379"/>
      <c r="HM22" s="1379"/>
      <c r="HN22" s="1379"/>
      <c r="HO22" s="1379"/>
      <c r="HP22" s="1379"/>
      <c r="HQ22" s="1379"/>
      <c r="HR22" s="1379"/>
      <c r="HS22" s="1379"/>
      <c r="HT22" s="1379"/>
      <c r="HU22" s="1379"/>
      <c r="HV22" s="1379"/>
      <c r="HW22" s="1379"/>
      <c r="HX22" s="1379"/>
      <c r="HY22" s="1379"/>
      <c r="HZ22" s="1379"/>
      <c r="IA22" s="1379"/>
      <c r="IB22" s="1379"/>
      <c r="IC22" s="1379"/>
      <c r="ID22" s="1379"/>
      <c r="IE22" s="1379"/>
      <c r="IF22" s="1379"/>
      <c r="IG22" s="1379"/>
      <c r="IH22" s="1379"/>
      <c r="II22" s="1379"/>
      <c r="IJ22" s="1379"/>
      <c r="IK22" s="1379"/>
      <c r="IL22" s="1379"/>
      <c r="IM22" s="1379"/>
      <c r="IN22" s="1379"/>
      <c r="IO22" s="1379"/>
      <c r="IP22" s="1379"/>
      <c r="IQ22" s="1379"/>
      <c r="IR22" s="1379"/>
      <c r="IS22" s="1379"/>
      <c r="IT22" s="1379"/>
      <c r="IU22" s="1379"/>
      <c r="IV22" s="1379"/>
      <c r="IW22" s="1379"/>
      <c r="IX22" s="1376"/>
      <c r="IY22" s="1379">
        <v>60275</v>
      </c>
      <c r="IZ22" s="1379"/>
      <c r="JA22" s="1379"/>
      <c r="JB22" s="1379"/>
      <c r="JC22" s="1379"/>
      <c r="JD22" s="1379"/>
      <c r="JE22" s="1379"/>
      <c r="JF22" s="1379"/>
      <c r="JG22" s="1379"/>
      <c r="JH22" s="1379"/>
      <c r="JI22" s="1379"/>
      <c r="JJ22" s="1379"/>
      <c r="JK22" s="1379"/>
      <c r="JL22" s="1379"/>
      <c r="JM22" s="1379"/>
      <c r="JN22" s="1379"/>
      <c r="JO22" s="1379"/>
      <c r="JP22" s="1379"/>
      <c r="JQ22" s="1405"/>
      <c r="JR22" s="351"/>
      <c r="JS22" s="1365"/>
      <c r="JT22" s="1385" t="s">
        <v>2242</v>
      </c>
    </row>
    <row r="23" spans="1:280" ht="12.5" x14ac:dyDescent="0.25">
      <c r="A23" s="1367">
        <v>4</v>
      </c>
      <c r="B23" s="1370" t="str">
        <f t="shared" si="2"/>
        <v/>
      </c>
      <c r="C23" s="1359" t="s">
        <v>2245</v>
      </c>
      <c r="D23" s="1360" t="s">
        <v>2246</v>
      </c>
      <c r="E23" s="1379"/>
      <c r="F23" s="1379"/>
      <c r="G23" s="1379"/>
      <c r="H23" s="1379"/>
      <c r="I23" s="1379"/>
      <c r="J23" s="1379"/>
      <c r="K23" s="1379"/>
      <c r="L23" s="1379"/>
      <c r="M23" s="1379"/>
      <c r="N23" s="1379"/>
      <c r="O23" s="1379"/>
      <c r="P23" s="1379"/>
      <c r="Q23" s="1379"/>
      <c r="R23" s="1379"/>
      <c r="S23" s="1379"/>
      <c r="T23" s="1379"/>
      <c r="U23" s="1379"/>
      <c r="V23" s="1379"/>
      <c r="W23" s="1379"/>
      <c r="X23" s="1379"/>
      <c r="Y23" s="1379"/>
      <c r="Z23" s="1379"/>
      <c r="AA23" s="1379"/>
      <c r="AB23" s="1379"/>
      <c r="AC23" s="1379"/>
      <c r="AD23" s="1379"/>
      <c r="AE23" s="1379"/>
      <c r="AF23" s="1379"/>
      <c r="AG23" s="1379"/>
      <c r="AH23" s="1379"/>
      <c r="AI23" s="1379"/>
      <c r="AJ23" s="1674"/>
      <c r="AK23" s="1379"/>
      <c r="AL23" s="1379"/>
      <c r="AM23" s="1379"/>
      <c r="AN23" s="1379"/>
      <c r="AO23" s="1379"/>
      <c r="AP23" s="1379"/>
      <c r="AQ23" s="1379"/>
      <c r="AR23" s="1379"/>
      <c r="AS23" s="1379"/>
      <c r="AT23" s="1379"/>
      <c r="AU23" s="1379"/>
      <c r="AV23" s="1379"/>
      <c r="AW23" s="1379"/>
      <c r="AX23" s="1379"/>
      <c r="AY23" s="1379"/>
      <c r="AZ23" s="1379"/>
      <c r="BA23" s="1379"/>
      <c r="BB23" s="1379"/>
      <c r="BC23" s="1379"/>
      <c r="BD23" s="1379"/>
      <c r="BE23" s="1379"/>
      <c r="BF23" s="1379"/>
      <c r="BG23" s="1379"/>
      <c r="BH23" s="1379"/>
      <c r="BI23" s="1379"/>
      <c r="BJ23" s="1379"/>
      <c r="BK23" s="1379"/>
      <c r="BL23" s="1379"/>
      <c r="BM23" s="1379">
        <v>3520</v>
      </c>
      <c r="BN23" s="1379"/>
      <c r="BO23" s="1379"/>
      <c r="BP23" s="1379"/>
      <c r="BQ23" s="1379"/>
      <c r="BR23" s="1379"/>
      <c r="BS23" s="1379"/>
      <c r="BT23" s="1379"/>
      <c r="BU23" s="1379"/>
      <c r="BV23" s="1379"/>
      <c r="BW23" s="1379"/>
      <c r="BX23" s="1379"/>
      <c r="BY23" s="1379"/>
      <c r="BZ23" s="1379"/>
      <c r="CA23" s="1379"/>
      <c r="CB23" s="1379"/>
      <c r="CC23" s="1379"/>
      <c r="CD23" s="1379"/>
      <c r="CE23" s="1379"/>
      <c r="CF23" s="1379"/>
      <c r="CG23" s="1379"/>
      <c r="CH23" s="1379"/>
      <c r="CI23" s="1379">
        <v>12110</v>
      </c>
      <c r="CJ23" s="1379"/>
      <c r="CK23" s="1379"/>
      <c r="CL23" s="1379"/>
      <c r="CM23" s="1379">
        <f>CM22*0.2</f>
        <v>5575.2000000000007</v>
      </c>
      <c r="CN23" s="1379"/>
      <c r="CO23" s="1379"/>
      <c r="CP23" s="1379">
        <v>2435</v>
      </c>
      <c r="CQ23" s="1379"/>
      <c r="CR23" s="1379"/>
      <c r="CS23" s="1379"/>
      <c r="CT23" s="1379"/>
      <c r="CU23" s="1379"/>
      <c r="CV23" s="1379"/>
      <c r="CW23" s="1379"/>
      <c r="CX23" s="1376">
        <v>18047</v>
      </c>
      <c r="CY23" s="1379"/>
      <c r="CZ23" s="1379"/>
      <c r="DA23" s="1379"/>
      <c r="DB23" s="1379"/>
      <c r="DC23" s="1379"/>
      <c r="DD23" s="1379"/>
      <c r="DE23" s="1379"/>
      <c r="DF23" s="1379"/>
      <c r="DG23" s="1379"/>
      <c r="DH23" s="1379"/>
      <c r="DI23" s="1379"/>
      <c r="DJ23" s="1379"/>
      <c r="DK23" s="1379"/>
      <c r="DL23" s="1379"/>
      <c r="DM23" s="1379"/>
      <c r="DN23" s="1379"/>
      <c r="DO23" s="1379"/>
      <c r="DP23" s="1379"/>
      <c r="DQ23" s="1379"/>
      <c r="DR23" s="1379"/>
      <c r="DS23" s="1379"/>
      <c r="DT23" s="1379"/>
      <c r="DU23" s="1379"/>
      <c r="DV23" s="1379"/>
      <c r="DW23" s="1379">
        <v>3520</v>
      </c>
      <c r="DX23" s="1379"/>
      <c r="DY23" s="1379"/>
      <c r="DZ23" s="1379"/>
      <c r="EA23" s="1379"/>
      <c r="EB23" s="1379"/>
      <c r="EC23" s="1379"/>
      <c r="ED23" s="1379"/>
      <c r="EE23" s="1379"/>
      <c r="EF23" s="1379"/>
      <c r="EG23" s="1379"/>
      <c r="EH23" s="1379"/>
      <c r="EI23" s="1379"/>
      <c r="EJ23" s="1379"/>
      <c r="EK23" s="1379"/>
      <c r="EL23" s="1379"/>
      <c r="EM23" s="1379"/>
      <c r="EN23" s="1379"/>
      <c r="EO23" s="1379"/>
      <c r="EP23" s="1379"/>
      <c r="EQ23" s="1379"/>
      <c r="ER23" s="1379"/>
      <c r="ES23" s="1379"/>
      <c r="ET23" s="1379"/>
      <c r="EU23" s="1379"/>
      <c r="EV23" s="1379"/>
      <c r="EW23" s="1379"/>
      <c r="EX23" s="1379"/>
      <c r="EY23" s="1379"/>
      <c r="EZ23" s="1379"/>
      <c r="FA23" s="1379"/>
      <c r="FB23" s="1379"/>
      <c r="FC23" s="1379"/>
      <c r="FD23" s="1379"/>
      <c r="FE23" s="1379"/>
      <c r="FF23" s="1379"/>
      <c r="FG23" s="1379"/>
      <c r="FH23" s="1379"/>
      <c r="FI23" s="1379"/>
      <c r="FJ23" s="1379"/>
      <c r="FK23" s="1379"/>
      <c r="FL23" s="1379"/>
      <c r="FM23" s="1379"/>
      <c r="FN23" s="1379"/>
      <c r="FO23" s="1379"/>
      <c r="FP23" s="1379"/>
      <c r="FQ23" s="1379"/>
      <c r="FR23" s="1379"/>
      <c r="FS23" s="1379"/>
      <c r="FT23" s="1379"/>
      <c r="FU23" s="1379"/>
      <c r="FV23" s="1379"/>
      <c r="FW23" s="1379"/>
      <c r="FX23" s="1379"/>
      <c r="FY23" s="1379"/>
      <c r="FZ23" s="1379"/>
      <c r="GA23" s="1379"/>
      <c r="GB23" s="1379"/>
      <c r="GC23" s="1379"/>
      <c r="GD23" s="1379"/>
      <c r="GE23" s="1379"/>
      <c r="GF23" s="1379"/>
      <c r="GG23" s="1379"/>
      <c r="GH23" s="1379"/>
      <c r="GI23" s="1379"/>
      <c r="GJ23" s="1379"/>
      <c r="GK23" s="1379"/>
      <c r="GL23" s="1379"/>
      <c r="GM23" s="1379"/>
      <c r="GN23" s="1379"/>
      <c r="GO23" s="1379"/>
      <c r="GP23" s="1379"/>
      <c r="GQ23" s="1379"/>
      <c r="GR23" s="1379"/>
      <c r="GS23" s="1379"/>
      <c r="GT23" s="1376">
        <v>2000</v>
      </c>
      <c r="GU23" s="1379"/>
      <c r="GV23" s="1376"/>
      <c r="GW23" s="1379"/>
      <c r="GX23" s="1379"/>
      <c r="GY23" s="1379"/>
      <c r="GZ23" s="1379"/>
      <c r="HA23" s="1379"/>
      <c r="HB23" s="1379"/>
      <c r="HC23" s="1379"/>
      <c r="HD23" s="1379"/>
      <c r="HE23" s="1379"/>
      <c r="HF23" s="1379"/>
      <c r="HG23" s="1379"/>
      <c r="HH23" s="1379"/>
      <c r="HI23" s="1379"/>
      <c r="HJ23" s="1379"/>
      <c r="HK23" s="1379"/>
      <c r="HL23" s="1379"/>
      <c r="HM23" s="1379"/>
      <c r="HN23" s="1379"/>
      <c r="HO23" s="1379"/>
      <c r="HP23" s="1379"/>
      <c r="HQ23" s="1379"/>
      <c r="HR23" s="1379"/>
      <c r="HS23" s="1379"/>
      <c r="HT23" s="1379"/>
      <c r="HU23" s="1379"/>
      <c r="HV23" s="1379"/>
      <c r="HW23" s="1379"/>
      <c r="HX23" s="1379"/>
      <c r="HY23" s="1379"/>
      <c r="HZ23" s="1379"/>
      <c r="IA23" s="1379"/>
      <c r="IB23" s="1379"/>
      <c r="IC23" s="1379"/>
      <c r="ID23" s="1379"/>
      <c r="IE23" s="1379"/>
      <c r="IF23" s="1379"/>
      <c r="IG23" s="1379"/>
      <c r="IH23" s="1379"/>
      <c r="II23" s="1379"/>
      <c r="IJ23" s="1379"/>
      <c r="IK23" s="1379"/>
      <c r="IL23" s="1379"/>
      <c r="IM23" s="1379"/>
      <c r="IN23" s="1379"/>
      <c r="IO23" s="1379"/>
      <c r="IP23" s="1379"/>
      <c r="IQ23" s="1379"/>
      <c r="IR23" s="1379"/>
      <c r="IS23" s="1379"/>
      <c r="IT23" s="1379"/>
      <c r="IU23" s="1379"/>
      <c r="IV23" s="1379"/>
      <c r="IW23" s="1379"/>
      <c r="IX23" s="1376"/>
      <c r="IY23" s="1674">
        <f>IF(IY22="","",TRUNC(IY22*BR_rate,2))</f>
        <v>12055</v>
      </c>
      <c r="IZ23" s="1379"/>
      <c r="JA23" s="1379"/>
      <c r="JB23" s="1379"/>
      <c r="JC23" s="1379"/>
      <c r="JD23" s="1379"/>
      <c r="JE23" s="1379"/>
      <c r="JF23" s="1379"/>
      <c r="JG23" s="1379"/>
      <c r="JH23" s="1379"/>
      <c r="JI23" s="1379"/>
      <c r="JJ23" s="1379"/>
      <c r="JK23" s="1379"/>
      <c r="JL23" s="1379"/>
      <c r="JM23" s="1379"/>
      <c r="JN23" s="1379"/>
      <c r="JO23" s="1379"/>
      <c r="JP23" s="1379"/>
      <c r="JQ23" s="1405"/>
      <c r="JR23" s="351"/>
      <c r="JS23" s="1365" t="s">
        <v>2247</v>
      </c>
      <c r="JT23" s="1385" t="s">
        <v>2224</v>
      </c>
    </row>
    <row r="24" spans="1:280" ht="12.5" x14ac:dyDescent="0.25">
      <c r="A24" s="1367">
        <v>5</v>
      </c>
      <c r="B24" s="1370" t="str">
        <f t="shared" si="2"/>
        <v/>
      </c>
      <c r="C24" s="1359" t="s">
        <v>2248</v>
      </c>
      <c r="D24" s="1360" t="s">
        <v>2249</v>
      </c>
      <c r="E24" s="1379"/>
      <c r="F24" s="1379"/>
      <c r="G24" s="1379"/>
      <c r="H24" s="1379"/>
      <c r="I24" s="1379"/>
      <c r="J24" s="1379">
        <v>12302</v>
      </c>
      <c r="K24" s="1379"/>
      <c r="L24" s="1379"/>
      <c r="M24" s="1379"/>
      <c r="N24" s="1379">
        <v>4800</v>
      </c>
      <c r="O24" s="1379"/>
      <c r="P24" s="1379"/>
      <c r="Q24" s="1379">
        <v>79811</v>
      </c>
      <c r="R24" s="1379"/>
      <c r="S24" s="1379"/>
      <c r="T24" s="1379">
        <v>7943</v>
      </c>
      <c r="U24" s="1379"/>
      <c r="V24" s="1379"/>
      <c r="W24" s="1379"/>
      <c r="X24" s="1379"/>
      <c r="Y24" s="1379"/>
      <c r="Z24" s="1379"/>
      <c r="AA24" s="1379"/>
      <c r="AB24" s="1379">
        <v>42541</v>
      </c>
      <c r="AC24" s="1379">
        <v>7431</v>
      </c>
      <c r="AD24" s="1379"/>
      <c r="AE24" s="1379"/>
      <c r="AF24" s="1379">
        <f>BR_band+747</f>
        <v>38447</v>
      </c>
      <c r="AG24" s="1379"/>
      <c r="AH24" s="1379"/>
      <c r="AI24" s="1379"/>
      <c r="AJ24" s="1379"/>
      <c r="AK24" s="1379"/>
      <c r="AL24" s="1379"/>
      <c r="AM24" s="1379"/>
      <c r="AN24" s="1379">
        <v>1763</v>
      </c>
      <c r="AO24" s="1379"/>
      <c r="AP24" s="1379"/>
      <c r="AQ24" s="1379"/>
      <c r="AR24" s="1379">
        <v>14473.97</v>
      </c>
      <c r="AS24" s="1379"/>
      <c r="AT24" s="1379"/>
      <c r="AU24" s="1379"/>
      <c r="AV24" s="1379"/>
      <c r="AW24" s="1379"/>
      <c r="AX24" s="1379"/>
      <c r="AY24" s="1379"/>
      <c r="AZ24" s="1379"/>
      <c r="BA24" s="1379"/>
      <c r="BB24" s="1376">
        <v>9540</v>
      </c>
      <c r="BC24" s="1379"/>
      <c r="BD24" s="1379">
        <v>3121</v>
      </c>
      <c r="BE24" s="1379"/>
      <c r="BF24" s="1379"/>
      <c r="BG24" s="1376"/>
      <c r="BH24" s="1379"/>
      <c r="BI24" s="1379"/>
      <c r="BJ24" s="1379"/>
      <c r="BK24" s="1379"/>
      <c r="BL24" s="1379"/>
      <c r="BM24" s="1379"/>
      <c r="BN24" s="1379">
        <v>14473.97</v>
      </c>
      <c r="BO24" s="1379"/>
      <c r="BP24" s="1379"/>
      <c r="BQ24" s="1379"/>
      <c r="BR24" s="1379"/>
      <c r="BS24" s="1379"/>
      <c r="BT24" s="1376">
        <v>11048</v>
      </c>
      <c r="BU24" s="1379"/>
      <c r="BV24" s="1379"/>
      <c r="BW24" s="1379"/>
      <c r="BX24" s="1379"/>
      <c r="BY24" s="1379"/>
      <c r="BZ24" s="1379">
        <v>40000</v>
      </c>
      <c r="CA24" s="1376">
        <v>38502</v>
      </c>
      <c r="CB24" s="1379"/>
      <c r="CC24" s="1379"/>
      <c r="CD24" s="1376">
        <v>30914</v>
      </c>
      <c r="CE24" s="1379"/>
      <c r="CF24" s="1379"/>
      <c r="CG24" s="1379"/>
      <c r="CH24" s="1379"/>
      <c r="CI24" s="1379">
        <v>43651</v>
      </c>
      <c r="CJ24" s="1376">
        <v>34824</v>
      </c>
      <c r="CK24" s="1376">
        <v>6891</v>
      </c>
      <c r="CL24" s="1379"/>
      <c r="CM24" s="1379">
        <v>35475</v>
      </c>
      <c r="CN24" s="1379"/>
      <c r="CO24" s="1379"/>
      <c r="CP24" s="1379">
        <v>13804</v>
      </c>
      <c r="CQ24" s="1379"/>
      <c r="CR24" s="1379"/>
      <c r="CS24" s="1379"/>
      <c r="CT24" s="1379"/>
      <c r="CU24" s="1379"/>
      <c r="CV24" s="1376">
        <v>4982</v>
      </c>
      <c r="CW24" s="1379"/>
      <c r="CX24" s="1376">
        <v>25062</v>
      </c>
      <c r="CY24" s="1379"/>
      <c r="CZ24" s="1379"/>
      <c r="DA24" s="1379"/>
      <c r="DB24" s="1379"/>
      <c r="DC24" s="1379"/>
      <c r="DD24" s="1379"/>
      <c r="DE24" s="1379">
        <v>14473.97</v>
      </c>
      <c r="DF24" s="1379"/>
      <c r="DG24" s="1379"/>
      <c r="DH24" s="1379">
        <v>3121</v>
      </c>
      <c r="DI24" s="1376"/>
      <c r="DJ24" s="1379"/>
      <c r="DK24" s="1379"/>
      <c r="DL24" s="1379"/>
      <c r="DM24" s="1379"/>
      <c r="DN24" s="1376">
        <v>27914</v>
      </c>
      <c r="DO24" s="1376"/>
      <c r="DP24" s="1379"/>
      <c r="DQ24" s="1379"/>
      <c r="DR24" s="1379"/>
      <c r="DS24" s="1376"/>
      <c r="DT24" s="1379"/>
      <c r="DU24" s="1379"/>
      <c r="DV24" s="1379">
        <v>32650</v>
      </c>
      <c r="DW24" s="1379"/>
      <c r="DX24" s="1376">
        <v>4313.79</v>
      </c>
      <c r="DY24" s="1379"/>
      <c r="DZ24" s="1379"/>
      <c r="EA24" s="1379"/>
      <c r="EB24" s="1379"/>
      <c r="EC24" s="1379"/>
      <c r="ED24" s="1379"/>
      <c r="EE24" s="1379"/>
      <c r="EF24" s="1379"/>
      <c r="EG24" s="1379"/>
      <c r="EH24" s="1379"/>
      <c r="EI24" s="1379"/>
      <c r="EJ24" s="1379"/>
      <c r="EK24" s="1379"/>
      <c r="EL24" s="1379"/>
      <c r="EM24" s="1379"/>
      <c r="EN24" s="1379"/>
      <c r="EO24" s="1379"/>
      <c r="EP24" s="1379"/>
      <c r="EQ24" s="1379"/>
      <c r="ER24" s="1379"/>
      <c r="ES24" s="1376">
        <v>2576.83</v>
      </c>
      <c r="ET24" s="1379"/>
      <c r="EU24" s="1379"/>
      <c r="EV24" s="1379"/>
      <c r="EW24" s="1379"/>
      <c r="EX24" s="1379"/>
      <c r="EY24" s="1379"/>
      <c r="EZ24" s="1376">
        <v>87901</v>
      </c>
      <c r="FA24" s="1379"/>
      <c r="FB24" s="1379"/>
      <c r="FC24" s="1379"/>
      <c r="FD24" s="1379"/>
      <c r="FE24" s="1379"/>
      <c r="FF24" s="1379"/>
      <c r="FG24" s="1379"/>
      <c r="FH24" s="1379"/>
      <c r="FI24" s="1379"/>
      <c r="FJ24" s="1379"/>
      <c r="FK24" s="1379"/>
      <c r="FL24" s="1379"/>
      <c r="FM24" s="1379"/>
      <c r="FN24" s="1379"/>
      <c r="FO24" s="1379"/>
      <c r="FP24" s="1379"/>
      <c r="FQ24" s="1379"/>
      <c r="FR24" s="1379"/>
      <c r="FS24" s="1379">
        <v>3121</v>
      </c>
      <c r="FT24" s="1379"/>
      <c r="FU24" s="1379"/>
      <c r="FV24" s="1379"/>
      <c r="FW24" s="1379"/>
      <c r="FX24" s="1379"/>
      <c r="FY24" s="1379"/>
      <c r="FZ24" s="1379"/>
      <c r="GA24" s="1379"/>
      <c r="GB24" s="1379"/>
      <c r="GC24" s="1379"/>
      <c r="GD24" s="1379"/>
      <c r="GE24" s="1379"/>
      <c r="GF24" s="1376">
        <v>10944</v>
      </c>
      <c r="GG24" s="1379"/>
      <c r="GH24" s="1379">
        <v>14473.97</v>
      </c>
      <c r="GI24" s="1379">
        <v>32650</v>
      </c>
      <c r="GJ24" s="1379"/>
      <c r="GK24" s="1379"/>
      <c r="GL24" s="1379"/>
      <c r="GM24" s="1379"/>
      <c r="GN24" s="1379"/>
      <c r="GO24" s="1379"/>
      <c r="GP24" s="1379"/>
      <c r="GQ24" s="1379"/>
      <c r="GR24" s="1379"/>
      <c r="GS24" s="1379"/>
      <c r="GT24" s="1376">
        <v>417</v>
      </c>
      <c r="GU24" s="1379"/>
      <c r="GV24" s="1379"/>
      <c r="GW24" s="1379"/>
      <c r="GX24" s="1379"/>
      <c r="GY24" s="1379"/>
      <c r="GZ24" s="1379"/>
      <c r="HA24" s="1379"/>
      <c r="HB24" s="1379"/>
      <c r="HC24" s="1379"/>
      <c r="HD24" s="1376"/>
      <c r="HE24" s="1379"/>
      <c r="HF24" s="1379"/>
      <c r="HG24" s="1379"/>
      <c r="HH24" s="1379"/>
      <c r="HI24" s="1379"/>
      <c r="HJ24" s="1379">
        <v>51777</v>
      </c>
      <c r="HK24" s="1379">
        <v>31572</v>
      </c>
      <c r="HL24" s="1376"/>
      <c r="HM24" s="1379">
        <v>32650</v>
      </c>
      <c r="HN24" s="1379"/>
      <c r="HO24" s="1379"/>
      <c r="HP24" s="1376"/>
      <c r="HQ24" s="1379">
        <v>1500</v>
      </c>
      <c r="HR24" s="1379"/>
      <c r="HS24" s="1379"/>
      <c r="HT24" s="1379"/>
      <c r="HU24" s="1379"/>
      <c r="HV24" s="1379"/>
      <c r="HW24" s="1379">
        <v>4800</v>
      </c>
      <c r="HX24" s="1376"/>
      <c r="HY24" s="1379"/>
      <c r="HZ24" s="1379">
        <v>7348</v>
      </c>
      <c r="IA24" s="1379"/>
      <c r="IB24" s="1379">
        <f>BR_band+3041</f>
        <v>40741</v>
      </c>
      <c r="IC24" s="1379">
        <f>P_A-5507</f>
        <v>7063</v>
      </c>
      <c r="ID24" s="1376"/>
      <c r="IE24" s="1379">
        <v>5729</v>
      </c>
      <c r="IF24" s="1379">
        <v>110892</v>
      </c>
      <c r="IG24" s="1379"/>
      <c r="IH24" s="1379"/>
      <c r="II24" s="1379"/>
      <c r="IJ24" s="1376">
        <v>18232.93</v>
      </c>
      <c r="IK24" s="1379"/>
      <c r="IL24" s="1379"/>
      <c r="IM24" s="1379">
        <f>P_A+1000</f>
        <v>13570</v>
      </c>
      <c r="IN24" s="1379">
        <f>BR_band+P_A-151</f>
        <v>50119</v>
      </c>
      <c r="IO24" s="1379"/>
      <c r="IP24" s="1379"/>
      <c r="IQ24" s="1379"/>
      <c r="IR24" s="1379">
        <v>3720</v>
      </c>
      <c r="IS24" s="1379"/>
      <c r="IT24" s="1379"/>
      <c r="IU24" s="1379">
        <v>2957</v>
      </c>
      <c r="IV24" s="1379">
        <v>5200</v>
      </c>
      <c r="IW24" s="1379"/>
      <c r="IX24" s="1379"/>
      <c r="IY24" s="1379">
        <v>43651</v>
      </c>
      <c r="IZ24" s="1379"/>
      <c r="JA24" s="1379"/>
      <c r="JB24" s="1376">
        <v>53385</v>
      </c>
      <c r="JC24" s="1379">
        <v>14473.97</v>
      </c>
      <c r="JD24" s="1379">
        <v>3121</v>
      </c>
      <c r="JE24" s="1379"/>
      <c r="JF24" s="1379"/>
      <c r="JG24" s="1379">
        <v>14473.97</v>
      </c>
      <c r="JH24" s="1379"/>
      <c r="JI24" s="1379">
        <v>63257</v>
      </c>
      <c r="JJ24" s="1376">
        <v>62732</v>
      </c>
      <c r="JK24" s="1376"/>
      <c r="JL24" s="1379"/>
      <c r="JM24" s="1379"/>
      <c r="JN24" s="1379"/>
      <c r="JO24" s="1379"/>
      <c r="JP24" s="1379"/>
      <c r="JQ24" s="1405"/>
      <c r="JR24" s="351"/>
      <c r="JS24" s="1365"/>
      <c r="JT24" s="1385" t="s">
        <v>2242</v>
      </c>
    </row>
    <row r="25" spans="1:280" ht="12.5" x14ac:dyDescent="0.25">
      <c r="A25" s="1367">
        <v>6</v>
      </c>
      <c r="B25" s="1370" t="str">
        <f t="shared" si="2"/>
        <v/>
      </c>
      <c r="C25" s="1359" t="s">
        <v>2250</v>
      </c>
      <c r="D25" s="1360" t="s">
        <v>2251</v>
      </c>
      <c r="E25" s="1777"/>
      <c r="F25" s="1777"/>
      <c r="G25" s="1777"/>
      <c r="H25" s="1777"/>
      <c r="I25" s="1777"/>
      <c r="J25" s="1777">
        <f>IF(J24="","",TRUNC(J24*BR_rate,2))</f>
        <v>2460.4</v>
      </c>
      <c r="K25" s="1777"/>
      <c r="L25" s="1777"/>
      <c r="M25" s="1777"/>
      <c r="N25" s="1777">
        <f>IF(N24="","",TRUNC(N24*BR_rate,2))</f>
        <v>960</v>
      </c>
      <c r="O25" s="1777"/>
      <c r="P25" s="1777"/>
      <c r="Q25" s="1777">
        <v>31924.400000000001</v>
      </c>
      <c r="R25" s="1777"/>
      <c r="S25" s="1777"/>
      <c r="T25" s="1777"/>
      <c r="U25" s="1777"/>
      <c r="V25" s="1777"/>
      <c r="W25" s="1777"/>
      <c r="X25" s="1777"/>
      <c r="Y25" s="1777"/>
      <c r="Z25" s="1777"/>
      <c r="AA25" s="1777"/>
      <c r="AB25" s="1777">
        <f>IF(AB24="","",TRUNC(AB24*BR_rate,2))</f>
        <v>8508.2000000000007</v>
      </c>
      <c r="AC25" s="1777">
        <f>IF(AC24="","",TRUNC(AC24*BR_rate,2))</f>
        <v>1486.2</v>
      </c>
      <c r="AD25" s="1777"/>
      <c r="AE25" s="1777"/>
      <c r="AF25" s="1777"/>
      <c r="AG25" s="1777"/>
      <c r="AH25" s="1777"/>
      <c r="AI25" s="1777"/>
      <c r="AJ25" s="2481" t="str">
        <f>IF(AJ24="","",TRUNC(AJ24*BR_rate,2))</f>
        <v/>
      </c>
      <c r="AK25" s="1777"/>
      <c r="AL25" s="1777"/>
      <c r="AM25" s="1777" t="str">
        <f>IF(AM24="","",TRUNC(AM24*BR_rate,2))</f>
        <v/>
      </c>
      <c r="AN25" s="1777">
        <f>IF(AN24="","",TRUNC(AN24*BR_rate,2))</f>
        <v>352.6</v>
      </c>
      <c r="AO25" s="1777" t="str">
        <f>IF(AO24="","",TRUNC(AO24*BR_rate,2))</f>
        <v/>
      </c>
      <c r="AP25" s="1777"/>
      <c r="AQ25" s="1777"/>
      <c r="AR25" s="1777">
        <f>IF(AR24="","",TRUNC(AR24*BR_rate,2))</f>
        <v>2894.79</v>
      </c>
      <c r="AS25" s="1777"/>
      <c r="AT25" s="1777"/>
      <c r="AU25" s="1777"/>
      <c r="AV25" s="1777"/>
      <c r="AW25" s="1777"/>
      <c r="AX25" s="1777"/>
      <c r="AY25" s="1777"/>
      <c r="AZ25" s="1777"/>
      <c r="BA25" s="1777"/>
      <c r="BB25" s="1772">
        <v>1908</v>
      </c>
      <c r="BC25" s="1777"/>
      <c r="BD25" s="1777">
        <f>IF(BD24="","",TRUNC(BD24*BR_rate,2))</f>
        <v>624.20000000000005</v>
      </c>
      <c r="BE25" s="1777"/>
      <c r="BF25" s="1777"/>
      <c r="BG25" s="1777"/>
      <c r="BH25" s="1777"/>
      <c r="BI25" s="1777"/>
      <c r="BJ25" s="2481"/>
      <c r="BK25" s="1777"/>
      <c r="BL25" s="1777"/>
      <c r="BM25" s="1777"/>
      <c r="BN25" s="1777">
        <f>IF(BN24="","",TRUNC(BN24*BR_rate,2))</f>
        <v>2894.79</v>
      </c>
      <c r="BO25" s="1777"/>
      <c r="BP25" s="1777"/>
      <c r="BQ25" s="1777"/>
      <c r="BR25" s="1777"/>
      <c r="BS25" s="1777"/>
      <c r="BT25" s="1777"/>
      <c r="BU25" s="1777"/>
      <c r="BV25" s="1777"/>
      <c r="BW25" s="1777"/>
      <c r="BX25" s="1777"/>
      <c r="BY25" s="1777"/>
      <c r="BZ25" s="1777">
        <f>IF(BZ24="","",TRUNC(BZ24*BR_rate,2))</f>
        <v>8000</v>
      </c>
      <c r="CA25" s="1772">
        <f>IF(CA24="","",TRUNC(CA24*BR_rate,2))</f>
        <v>7700.4</v>
      </c>
      <c r="CB25" s="1777" t="str">
        <f>IF(CB24="","",TRUNC(CB24*BR_rate,2))</f>
        <v/>
      </c>
      <c r="CC25" s="2482" t="str">
        <f>IF(CC24="","",TRUNC(CC24*BR_rate,2))</f>
        <v/>
      </c>
      <c r="CD25" s="1772">
        <f>IF(CD24="","",TRUNC(CD24*BR_rate,2))</f>
        <v>6182.8</v>
      </c>
      <c r="CE25" s="2482"/>
      <c r="CF25" s="1777"/>
      <c r="CG25" s="1777"/>
      <c r="CH25" s="1777"/>
      <c r="CI25" s="1777">
        <f>IF(CI24="","",TRUNC(CI24*BR_rate,2))</f>
        <v>8730.2000000000007</v>
      </c>
      <c r="CJ25" s="1772">
        <v>12169</v>
      </c>
      <c r="CK25" s="1777">
        <f>IF(CK24="","",TRUNC(CK24*BR_rate,2))</f>
        <v>1378.2</v>
      </c>
      <c r="CL25" s="2482"/>
      <c r="CM25" s="2482">
        <f>IF(CM24="","",TRUNC(CM24*BR_rate,2))</f>
        <v>7095</v>
      </c>
      <c r="CN25" s="2482"/>
      <c r="CO25" s="2482"/>
      <c r="CP25" s="1777">
        <f>IF(CP24="","",TRUNC(CP24*BR_rate,2))</f>
        <v>2760.8</v>
      </c>
      <c r="CQ25" s="2482"/>
      <c r="CR25" s="2482"/>
      <c r="CS25" s="2482"/>
      <c r="CT25" s="2482"/>
      <c r="CU25" s="2482"/>
      <c r="CV25" s="1772">
        <f>IF(CV24="","",TRUNC(CV24*BR_rate,2))</f>
        <v>996.4</v>
      </c>
      <c r="CW25" s="2482"/>
      <c r="CX25" s="1777">
        <f>IF(CX24="","",TRUNC(CX24*BR_rate,2))</f>
        <v>5012.3999999999996</v>
      </c>
      <c r="CY25" s="2482"/>
      <c r="CZ25" s="2482"/>
      <c r="DA25" s="2482"/>
      <c r="DB25" s="2482"/>
      <c r="DC25" s="2482"/>
      <c r="DD25" s="2482"/>
      <c r="DE25" s="1777">
        <f>IF(DE24="","",TRUNC(DE24*BR_rate,2))</f>
        <v>2894.79</v>
      </c>
      <c r="DF25" s="2482"/>
      <c r="DG25" s="2482"/>
      <c r="DH25" s="1777">
        <f>IF(DH24="","",TRUNC(DH24*BR_rate,2))</f>
        <v>624.20000000000005</v>
      </c>
      <c r="DI25" s="1772"/>
      <c r="DJ25" s="2482"/>
      <c r="DK25" s="2482"/>
      <c r="DL25" s="2482"/>
      <c r="DM25" s="2482"/>
      <c r="DN25" s="1773">
        <v>10837</v>
      </c>
      <c r="DO25" s="1772"/>
      <c r="DP25" s="1777" t="str">
        <f>IF(DP24="","",TRUNC(DP24*BR_rate,2))</f>
        <v/>
      </c>
      <c r="DQ25" s="2482"/>
      <c r="DR25" s="2482"/>
      <c r="DS25" s="1772"/>
      <c r="DT25" s="1777" t="str">
        <f>IF(DT24="","",TRUNC(DT24*BR_rate,2))</f>
        <v/>
      </c>
      <c r="DU25" s="1777" t="str">
        <f>IF(DU24="","",TRUNC(DU24*BR_rate,2))</f>
        <v/>
      </c>
      <c r="DV25" s="1777">
        <f>IF(DV24="","",TRUNC(DV24*BR_rate,2))</f>
        <v>6530</v>
      </c>
      <c r="DW25" s="1777"/>
      <c r="DX25" s="2482">
        <v>862.61</v>
      </c>
      <c r="DY25" s="2482"/>
      <c r="DZ25" s="1777"/>
      <c r="EA25" s="1777"/>
      <c r="EB25" s="2482"/>
      <c r="EC25" s="2482"/>
      <c r="ED25" s="2482"/>
      <c r="EE25" s="2482"/>
      <c r="EF25" s="2482"/>
      <c r="EG25" s="2482"/>
      <c r="EH25" s="2482"/>
      <c r="EI25" s="2482"/>
      <c r="EJ25" s="2482"/>
      <c r="EK25" s="2482"/>
      <c r="EL25" s="2482"/>
      <c r="EM25" s="2482"/>
      <c r="EN25" s="2482"/>
      <c r="EO25" s="2482"/>
      <c r="EP25" s="2482"/>
      <c r="EQ25" s="2482"/>
      <c r="ER25" s="2482"/>
      <c r="ES25" s="1773">
        <v>645</v>
      </c>
      <c r="ET25" s="1777"/>
      <c r="EU25" s="2482"/>
      <c r="EV25" s="2482"/>
      <c r="EW25" s="2482"/>
      <c r="EX25" s="2482"/>
      <c r="EY25" s="2482"/>
      <c r="EZ25" s="1773">
        <v>31767</v>
      </c>
      <c r="FA25" s="2482"/>
      <c r="FB25" s="1777"/>
      <c r="FC25" s="2482"/>
      <c r="FD25" s="2482"/>
      <c r="FE25" s="2482"/>
      <c r="FF25" s="2482"/>
      <c r="FG25" s="2482"/>
      <c r="FH25" s="2482"/>
      <c r="FI25" s="2482"/>
      <c r="FJ25" s="2482"/>
      <c r="FK25" s="2482"/>
      <c r="FL25" s="2482"/>
      <c r="FM25" s="2482"/>
      <c r="FN25" s="2482"/>
      <c r="FO25" s="2482"/>
      <c r="FP25" s="2482"/>
      <c r="FQ25" s="2482"/>
      <c r="FR25" s="2482"/>
      <c r="FS25" s="1777">
        <f>IF(FS24="","",TRUNC(FS24*BR_rate,2))</f>
        <v>624.20000000000005</v>
      </c>
      <c r="FT25" s="1777"/>
      <c r="FU25" s="1777"/>
      <c r="FV25" s="1777"/>
      <c r="FW25" s="2482"/>
      <c r="FX25" s="2482"/>
      <c r="FY25" s="1777"/>
      <c r="FZ25" s="1777"/>
      <c r="GA25" s="1777"/>
      <c r="GB25" s="1777"/>
      <c r="GC25" s="2482"/>
      <c r="GD25" s="2482"/>
      <c r="GE25" s="1777"/>
      <c r="GF25" s="1773">
        <v>2080</v>
      </c>
      <c r="GG25" s="2482"/>
      <c r="GH25" s="1777">
        <f>IF(GH24="","",TRUNC(GH24*BR_rate,2))</f>
        <v>2894.79</v>
      </c>
      <c r="GI25" s="1777">
        <f>IF(GI24="","",TRUNC(GI24*BR_rate,2))</f>
        <v>6530</v>
      </c>
      <c r="GJ25" s="2482"/>
      <c r="GK25" s="2482"/>
      <c r="GL25" s="2482"/>
      <c r="GM25" s="2482"/>
      <c r="GN25" s="2482"/>
      <c r="GO25" s="2482"/>
      <c r="GP25" s="2482"/>
      <c r="GQ25" s="2482"/>
      <c r="GR25" s="2482"/>
      <c r="GS25" s="2482"/>
      <c r="GT25" s="1772">
        <f>IF(GT24="","",TRUNC(GT24*BR_rate,2))</f>
        <v>83.4</v>
      </c>
      <c r="GU25" s="1777" t="str">
        <f>IF(GU24="","",TRUNC(GU24*BR_rate,2))</f>
        <v/>
      </c>
      <c r="GV25" s="1777" t="str">
        <f>IF(GV24="","",TRUNC(GV24*BR_rate,2))</f>
        <v/>
      </c>
      <c r="GW25" s="2482"/>
      <c r="GX25" s="2482"/>
      <c r="GY25" s="2482"/>
      <c r="GZ25" s="2482"/>
      <c r="HA25" s="2482"/>
      <c r="HB25" s="2482"/>
      <c r="HC25" s="2482"/>
      <c r="HD25" s="1772"/>
      <c r="HE25" s="2482"/>
      <c r="HF25" s="2482"/>
      <c r="HG25" s="2482"/>
      <c r="HH25" s="2482"/>
      <c r="HI25" s="2482"/>
      <c r="HJ25" s="1777">
        <v>12803</v>
      </c>
      <c r="HK25" s="1777">
        <f>IF(HK24="","",TRUNC(HK24*BR_rate,2))</f>
        <v>6314.4</v>
      </c>
      <c r="HL25" s="1772"/>
      <c r="HM25" s="1777">
        <f>IF(HM24="","",TRUNC(HM24*BR_rate,2))</f>
        <v>6530</v>
      </c>
      <c r="HN25" s="2482"/>
      <c r="HO25" s="2482"/>
      <c r="HP25" s="1772"/>
      <c r="HQ25" s="1777"/>
      <c r="HR25" s="2482"/>
      <c r="HS25" s="1777" t="str">
        <f>IF(HS24="","",TRUNC(HS24*BR_rate,2))</f>
        <v/>
      </c>
      <c r="HT25" s="1777"/>
      <c r="HU25" s="2482"/>
      <c r="HV25" s="2482"/>
      <c r="HW25" s="1777">
        <f>IF(HW24="","",TRUNC(HW24*BR_rate,2))</f>
        <v>960</v>
      </c>
      <c r="HX25" s="1772"/>
      <c r="HY25" s="2482"/>
      <c r="HZ25" s="2481"/>
      <c r="IA25" s="2482"/>
      <c r="IB25" s="1777">
        <f>IF(IB24="","",TRUNC(IB24*BR_rate,2))</f>
        <v>8148.2</v>
      </c>
      <c r="IC25" s="2481">
        <f>IF(IC24="","",TRUNC((IC24-5000)*BR_rate,2))</f>
        <v>412.6</v>
      </c>
      <c r="ID25" s="1722"/>
      <c r="IE25" s="2481"/>
      <c r="IF25" s="2482">
        <v>1112</v>
      </c>
      <c r="IG25" s="2482"/>
      <c r="IH25" s="2481"/>
      <c r="II25" s="2482"/>
      <c r="IJ25" s="1722">
        <v>7292.8</v>
      </c>
      <c r="IK25" s="2481" t="str">
        <f>IF(IK24="","",TRUNC(IK24*BR_rate,2))</f>
        <v/>
      </c>
      <c r="IL25" s="2481" t="str">
        <f>IF(IL24="","",TRUNC(IL24*BR_rate,2))</f>
        <v/>
      </c>
      <c r="IM25" s="2481">
        <f>IF(IM24="","",TRUNC(IM24*BR_rate,2))</f>
        <v>2714</v>
      </c>
      <c r="IN25" s="2481">
        <f>IF(IN24="","",TRUNC((MAX(0,IN24-BR_band))*HR_rate,2)+TRUNC((MIN(IN24,BR_band))*BR_rate,2))</f>
        <v>12507.6</v>
      </c>
      <c r="IO25" s="2482"/>
      <c r="IP25" s="2481"/>
      <c r="IQ25" s="2481"/>
      <c r="IR25" s="2481"/>
      <c r="IS25" s="2481"/>
      <c r="IT25" s="2481"/>
      <c r="IU25" s="2481"/>
      <c r="IV25" s="2481"/>
      <c r="IW25" s="2481"/>
      <c r="IX25" s="2481"/>
      <c r="IY25" s="2481">
        <f>IF(IY24="","",TRUNC(IY24*BR_rate,2))</f>
        <v>8730.2000000000007</v>
      </c>
      <c r="IZ25" s="1777"/>
      <c r="JA25" s="1777"/>
      <c r="JB25" s="1772">
        <v>24023</v>
      </c>
      <c r="JC25" s="1777">
        <f>IF(JC24="","",TRUNC(JC24*BR_rate,2))</f>
        <v>2894.79</v>
      </c>
      <c r="JD25" s="1777">
        <f>IF(JD24="","",TRUNC(JD24*BR_rate,2))</f>
        <v>624.20000000000005</v>
      </c>
      <c r="JE25" s="1777"/>
      <c r="JF25" s="1777"/>
      <c r="JG25" s="1777">
        <f>IF(JG24="","",TRUNC(JG24*BR_rate,2))</f>
        <v>2894.79</v>
      </c>
      <c r="JH25" s="2481"/>
      <c r="JI25" s="2481">
        <v>20835</v>
      </c>
      <c r="JJ25" s="1722">
        <v>16091</v>
      </c>
      <c r="JK25" s="1722"/>
      <c r="JL25" s="2481"/>
      <c r="JM25" s="2481"/>
      <c r="JN25" s="2481"/>
      <c r="JO25" s="2481"/>
      <c r="JP25" s="2481"/>
      <c r="JQ25" s="2483" t="str">
        <f>IF(JQ24="","",TRUNC(JQ24*BR_rate,2))</f>
        <v/>
      </c>
      <c r="JR25" s="351"/>
      <c r="JS25" s="1365" t="s">
        <v>2252</v>
      </c>
      <c r="JT25" s="1385" t="s">
        <v>2253</v>
      </c>
    </row>
    <row r="26" spans="1:280" ht="12.5" x14ac:dyDescent="0.25">
      <c r="A26" s="1367">
        <v>7</v>
      </c>
      <c r="B26" s="1370" t="str">
        <f t="shared" si="2"/>
        <v/>
      </c>
      <c r="C26" s="1359" t="s">
        <v>2254</v>
      </c>
      <c r="D26" s="1360" t="s">
        <v>2255</v>
      </c>
      <c r="E26" s="1390"/>
      <c r="F26" s="1390"/>
      <c r="G26" s="1390"/>
      <c r="H26" s="1390"/>
      <c r="I26" s="1390"/>
      <c r="J26" s="1390"/>
      <c r="K26" s="1390"/>
      <c r="L26" s="1390"/>
      <c r="M26" s="1390"/>
      <c r="N26" s="1272"/>
      <c r="O26" s="1390"/>
      <c r="P26" s="1410"/>
      <c r="Q26" s="1390"/>
      <c r="R26" s="1390"/>
      <c r="S26" s="1390"/>
      <c r="T26" s="1390"/>
      <c r="U26" s="1390"/>
      <c r="V26" s="1390"/>
      <c r="W26" s="1390"/>
      <c r="X26" s="1390"/>
      <c r="Y26" s="1390"/>
      <c r="Z26" s="1390"/>
      <c r="AA26" s="1390"/>
      <c r="AB26" s="1272"/>
      <c r="AC26" s="1390"/>
      <c r="AD26" s="1390"/>
      <c r="AE26" s="1390"/>
      <c r="AF26" s="1390"/>
      <c r="AG26" s="1272"/>
      <c r="AH26" s="1390"/>
      <c r="AI26" s="1390">
        <v>500</v>
      </c>
      <c r="AJ26" s="1272"/>
      <c r="AK26" s="1390"/>
      <c r="AL26" s="1390"/>
      <c r="AM26" s="1390"/>
      <c r="AN26" s="1390"/>
      <c r="AO26" s="1390"/>
      <c r="AP26" s="1390"/>
      <c r="AQ26" s="1390"/>
      <c r="AR26" s="1390"/>
      <c r="AS26" s="1390"/>
      <c r="AT26" s="1390"/>
      <c r="AU26" s="1390"/>
      <c r="AV26" s="1390"/>
      <c r="AW26" s="1390"/>
      <c r="AX26" s="1390"/>
      <c r="AY26" s="1390"/>
      <c r="AZ26" s="1390"/>
      <c r="BA26" s="1410"/>
      <c r="BB26" s="1272"/>
      <c r="BC26" s="1272"/>
      <c r="BD26" s="1390"/>
      <c r="BE26" s="1390"/>
      <c r="BF26" s="1390"/>
      <c r="BG26" s="1390"/>
      <c r="BH26" s="1390"/>
      <c r="BI26" s="1390"/>
      <c r="BJ26" s="1379"/>
      <c r="BK26" s="1390"/>
      <c r="BL26" s="1379"/>
      <c r="BM26" s="1390"/>
      <c r="BN26" s="1390"/>
      <c r="BO26" s="1379"/>
      <c r="BP26" s="1390"/>
      <c r="BQ26" s="1390"/>
      <c r="BR26" s="1390"/>
      <c r="BS26" s="1390"/>
      <c r="BT26" s="1379"/>
      <c r="BU26" s="1390"/>
      <c r="BV26" s="1390"/>
      <c r="BW26" s="1379"/>
      <c r="BX26" s="1390"/>
      <c r="BY26" s="1410"/>
      <c r="BZ26" s="1390"/>
      <c r="CA26" s="1390"/>
      <c r="CB26" s="1390"/>
      <c r="CC26" s="1410"/>
      <c r="CD26" s="1390"/>
      <c r="CE26" s="1410"/>
      <c r="CF26" s="1390"/>
      <c r="CG26" s="1404"/>
      <c r="CH26" s="1390"/>
      <c r="CI26" s="1272"/>
      <c r="CJ26" s="1410"/>
      <c r="CK26" s="1390"/>
      <c r="CL26" s="1410"/>
      <c r="CM26" s="1272"/>
      <c r="CN26" s="1410"/>
      <c r="CO26" s="1410"/>
      <c r="CP26" s="1272"/>
      <c r="CQ26" s="1410"/>
      <c r="CR26" s="1410"/>
      <c r="CS26" s="1410"/>
      <c r="CT26" s="1410"/>
      <c r="CU26" s="1410"/>
      <c r="CV26" s="1390"/>
      <c r="CW26" s="1410"/>
      <c r="CX26" s="1272"/>
      <c r="CY26" s="1410"/>
      <c r="CZ26" s="1410"/>
      <c r="DA26" s="1410"/>
      <c r="DB26" s="1410"/>
      <c r="DC26" s="1410"/>
      <c r="DD26" s="1410"/>
      <c r="DE26" s="1390"/>
      <c r="DF26" s="1410"/>
      <c r="DG26" s="1410"/>
      <c r="DH26" s="1390"/>
      <c r="DI26" s="1390"/>
      <c r="DJ26" s="1410"/>
      <c r="DK26" s="1410"/>
      <c r="DL26" s="1410"/>
      <c r="DM26" s="1410"/>
      <c r="DN26" s="1410"/>
      <c r="DO26" s="1410"/>
      <c r="DP26" s="1410"/>
      <c r="DQ26" s="1410"/>
      <c r="DR26" s="1410"/>
      <c r="DS26" s="1410"/>
      <c r="DT26" s="1410"/>
      <c r="DU26" s="1410"/>
      <c r="DV26" s="1272"/>
      <c r="DW26" s="1390"/>
      <c r="DX26" s="1410"/>
      <c r="DY26" s="1410"/>
      <c r="DZ26" s="1390"/>
      <c r="EA26" s="1390"/>
      <c r="EB26" s="1410"/>
      <c r="EC26" s="1410"/>
      <c r="ED26" s="1410"/>
      <c r="EE26" s="1410"/>
      <c r="EF26" s="1410"/>
      <c r="EG26" s="1410"/>
      <c r="EH26" s="1410"/>
      <c r="EI26" s="1410"/>
      <c r="EJ26" s="1410"/>
      <c r="EK26" s="1410"/>
      <c r="EL26" s="1410"/>
      <c r="EM26" s="1410"/>
      <c r="EN26" s="1410"/>
      <c r="EO26" s="1410"/>
      <c r="EP26" s="1410"/>
      <c r="EQ26" s="1410"/>
      <c r="ER26" s="1410"/>
      <c r="ES26" s="1410"/>
      <c r="ET26" s="1410"/>
      <c r="EU26" s="1410"/>
      <c r="EV26" s="1410"/>
      <c r="EW26" s="1410"/>
      <c r="EX26" s="1410"/>
      <c r="EY26" s="1410"/>
      <c r="EZ26" s="1410"/>
      <c r="FA26" s="1410"/>
      <c r="FB26" s="1410"/>
      <c r="FC26" s="1410"/>
      <c r="FD26" s="1410"/>
      <c r="FE26" s="1410"/>
      <c r="FF26" s="1410"/>
      <c r="FG26" s="1410"/>
      <c r="FH26" s="1410"/>
      <c r="FI26" s="1410"/>
      <c r="FJ26" s="1410"/>
      <c r="FK26" s="1410"/>
      <c r="FL26" s="1410"/>
      <c r="FM26" s="1410"/>
      <c r="FN26" s="1410"/>
      <c r="FO26" s="1410"/>
      <c r="FP26" s="1410"/>
      <c r="FQ26" s="1410"/>
      <c r="FR26" s="1410"/>
      <c r="FS26" s="1390"/>
      <c r="FT26" s="1390"/>
      <c r="FU26" s="1390"/>
      <c r="FV26" s="1390"/>
      <c r="FW26" s="1410"/>
      <c r="FX26" s="1410"/>
      <c r="FY26" s="1410"/>
      <c r="FZ26" s="1410"/>
      <c r="GA26" s="1410"/>
      <c r="GB26" s="1410"/>
      <c r="GC26" s="1410"/>
      <c r="GD26" s="1410"/>
      <c r="GE26" s="1390"/>
      <c r="GF26" s="1410"/>
      <c r="GG26" s="1410"/>
      <c r="GH26" s="1390"/>
      <c r="GI26" s="1272"/>
      <c r="GJ26" s="1410"/>
      <c r="GK26" s="1410"/>
      <c r="GL26" s="1410"/>
      <c r="GM26" s="1410"/>
      <c r="GN26" s="1410"/>
      <c r="GO26" s="1410"/>
      <c r="GP26" s="1410"/>
      <c r="GQ26" s="1410"/>
      <c r="GR26" s="1410"/>
      <c r="GS26" s="1410"/>
      <c r="GT26" s="1390"/>
      <c r="GU26" s="1390"/>
      <c r="GV26" s="1404"/>
      <c r="GW26" s="1410"/>
      <c r="GX26" s="1410"/>
      <c r="GY26" s="1410"/>
      <c r="GZ26" s="1410"/>
      <c r="HA26" s="1410"/>
      <c r="HB26" s="1410"/>
      <c r="HC26" s="1410"/>
      <c r="HD26" s="1272"/>
      <c r="HE26" s="1410"/>
      <c r="HF26" s="1410"/>
      <c r="HG26" s="1410"/>
      <c r="HH26" s="1410"/>
      <c r="HI26" s="1410"/>
      <c r="HJ26" s="1272"/>
      <c r="HK26" s="1272"/>
      <c r="HL26" s="1272"/>
      <c r="HM26" s="1272"/>
      <c r="HN26" s="1410"/>
      <c r="HO26" s="1410"/>
      <c r="HP26" s="1390"/>
      <c r="HQ26" s="1410"/>
      <c r="HR26" s="1410"/>
      <c r="HS26" s="1272"/>
      <c r="HT26" s="1390"/>
      <c r="HU26" s="1410"/>
      <c r="HV26" s="1410"/>
      <c r="HW26" s="1272"/>
      <c r="HX26" s="1272"/>
      <c r="HY26" s="1410"/>
      <c r="HZ26" s="1379"/>
      <c r="IA26" s="1410"/>
      <c r="IB26" s="1272"/>
      <c r="IC26" s="1379"/>
      <c r="ID26" s="1379"/>
      <c r="IE26" s="1379"/>
      <c r="IF26" s="1379"/>
      <c r="IG26" s="1410"/>
      <c r="IH26" s="1378">
        <v>5780</v>
      </c>
      <c r="II26" s="1410"/>
      <c r="IJ26" s="1378"/>
      <c r="IK26" s="1410"/>
      <c r="IL26" s="1410"/>
      <c r="IM26" s="1272"/>
      <c r="IN26" s="1272"/>
      <c r="IO26" s="1410"/>
      <c r="IP26" s="1378"/>
      <c r="IQ26" s="1378"/>
      <c r="IR26" s="1378"/>
      <c r="IS26" s="1378"/>
      <c r="IT26" s="1378"/>
      <c r="IU26" s="1378"/>
      <c r="IV26" s="1378"/>
      <c r="IW26" s="1378"/>
      <c r="IX26" s="1378"/>
      <c r="IY26" s="1378"/>
      <c r="IZ26" s="1390"/>
      <c r="JA26" s="1390"/>
      <c r="JB26" s="1390"/>
      <c r="JC26" s="1390"/>
      <c r="JD26" s="1390"/>
      <c r="JE26" s="1390"/>
      <c r="JF26" s="1390"/>
      <c r="JG26" s="1390"/>
      <c r="JH26" s="1378"/>
      <c r="JI26" s="1378"/>
      <c r="JJ26" s="1378"/>
      <c r="JK26" s="1378"/>
      <c r="JL26" s="1378"/>
      <c r="JM26" s="1378"/>
      <c r="JN26" s="1378"/>
      <c r="JO26" s="1378"/>
      <c r="JP26" s="1378"/>
      <c r="JQ26" s="1405"/>
      <c r="JR26" s="351"/>
      <c r="JS26" s="1365"/>
      <c r="JT26" s="1385" t="s">
        <v>2242</v>
      </c>
    </row>
    <row r="27" spans="1:280" ht="12.5" x14ac:dyDescent="0.25">
      <c r="A27" s="1367">
        <v>8</v>
      </c>
      <c r="B27" s="1370" t="str">
        <f t="shared" si="2"/>
        <v/>
      </c>
      <c r="C27" s="1359" t="s">
        <v>2256</v>
      </c>
      <c r="D27" s="1360" t="s">
        <v>2257</v>
      </c>
      <c r="E27" s="1777"/>
      <c r="F27" s="1777"/>
      <c r="G27" s="1777"/>
      <c r="H27" s="1777"/>
      <c r="I27" s="1777"/>
      <c r="J27" s="1777"/>
      <c r="K27" s="1777"/>
      <c r="L27" s="1777"/>
      <c r="M27" s="1777"/>
      <c r="N27" s="1777"/>
      <c r="O27" s="1777"/>
      <c r="P27" s="1777"/>
      <c r="Q27" s="1777"/>
      <c r="R27" s="1777"/>
      <c r="S27" s="1777"/>
      <c r="T27" s="1777"/>
      <c r="U27" s="1777"/>
      <c r="V27" s="1777"/>
      <c r="W27" s="1777"/>
      <c r="X27" s="1777"/>
      <c r="Y27" s="1777"/>
      <c r="Z27" s="1777"/>
      <c r="AA27" s="1777"/>
      <c r="AB27" s="1777"/>
      <c r="AC27" s="1777"/>
      <c r="AD27" s="1777"/>
      <c r="AE27" s="1777"/>
      <c r="AF27" s="1777"/>
      <c r="AG27" s="1777"/>
      <c r="AH27" s="1777"/>
      <c r="AI27" s="1777"/>
      <c r="AJ27" s="1777"/>
      <c r="AK27" s="1777"/>
      <c r="AL27" s="1777"/>
      <c r="AM27" s="1777"/>
      <c r="AN27" s="1777"/>
      <c r="AO27" s="1777"/>
      <c r="AP27" s="1777"/>
      <c r="AQ27" s="1777"/>
      <c r="AR27" s="1777"/>
      <c r="AS27" s="1777"/>
      <c r="AT27" s="1777"/>
      <c r="AU27" s="1777"/>
      <c r="AV27" s="1777"/>
      <c r="AW27" s="1777"/>
      <c r="AX27" s="1777"/>
      <c r="AY27" s="1777"/>
      <c r="AZ27" s="1777"/>
      <c r="BA27" s="1777"/>
      <c r="BB27" s="1777"/>
      <c r="BC27" s="1777"/>
      <c r="BD27" s="1777"/>
      <c r="BE27" s="1777"/>
      <c r="BF27" s="1777"/>
      <c r="BG27" s="1777"/>
      <c r="BH27" s="1777"/>
      <c r="BI27" s="1777"/>
      <c r="BJ27" s="2481"/>
      <c r="BK27" s="1777"/>
      <c r="BL27" s="1777"/>
      <c r="BM27" s="1777"/>
      <c r="BN27" s="1777"/>
      <c r="BO27" s="1777"/>
      <c r="BP27" s="1777"/>
      <c r="BQ27" s="1777"/>
      <c r="BR27" s="1777"/>
      <c r="BS27" s="1777"/>
      <c r="BT27" s="1777"/>
      <c r="BU27" s="1777"/>
      <c r="BV27" s="1777"/>
      <c r="BW27" s="1777"/>
      <c r="BX27" s="1777"/>
      <c r="BY27" s="1777"/>
      <c r="BZ27" s="1777"/>
      <c r="CA27" s="1777"/>
      <c r="CB27" s="1777"/>
      <c r="CC27" s="2482"/>
      <c r="CD27" s="1777"/>
      <c r="CE27" s="2482"/>
      <c r="CF27" s="1777"/>
      <c r="CG27" s="1772"/>
      <c r="CH27" s="1777"/>
      <c r="CI27" s="1777"/>
      <c r="CJ27" s="2482"/>
      <c r="CK27" s="1777"/>
      <c r="CL27" s="2482"/>
      <c r="CM27" s="1777"/>
      <c r="CN27" s="2482"/>
      <c r="CO27" s="2482"/>
      <c r="CP27" s="1777"/>
      <c r="CQ27" s="2482"/>
      <c r="CR27" s="2482"/>
      <c r="CS27" s="2482"/>
      <c r="CT27" s="2482"/>
      <c r="CU27" s="2482"/>
      <c r="CV27" s="1777"/>
      <c r="CW27" s="2482"/>
      <c r="CX27" s="1777"/>
      <c r="CY27" s="2482"/>
      <c r="CZ27" s="2482"/>
      <c r="DA27" s="2482"/>
      <c r="DB27" s="2482"/>
      <c r="DC27" s="2482"/>
      <c r="DD27" s="2482"/>
      <c r="DE27" s="1777"/>
      <c r="DF27" s="2482"/>
      <c r="DG27" s="2482"/>
      <c r="DH27" s="1777"/>
      <c r="DI27" s="1777"/>
      <c r="DJ27" s="2482"/>
      <c r="DK27" s="2482"/>
      <c r="DL27" s="2482"/>
      <c r="DM27" s="2482"/>
      <c r="DN27" s="2482"/>
      <c r="DO27" s="2482"/>
      <c r="DP27" s="2482"/>
      <c r="DQ27" s="2482"/>
      <c r="DR27" s="2482"/>
      <c r="DS27" s="2482"/>
      <c r="DT27" s="2482"/>
      <c r="DU27" s="2482"/>
      <c r="DV27" s="1777"/>
      <c r="DW27" s="1777"/>
      <c r="DX27" s="2482"/>
      <c r="DY27" s="2482"/>
      <c r="DZ27" s="1777"/>
      <c r="EA27" s="1777"/>
      <c r="EB27" s="2482"/>
      <c r="EC27" s="2482"/>
      <c r="ED27" s="2482"/>
      <c r="EE27" s="2482"/>
      <c r="EF27" s="2482"/>
      <c r="EG27" s="2482"/>
      <c r="EH27" s="2482"/>
      <c r="EI27" s="2482"/>
      <c r="EJ27" s="2482"/>
      <c r="EK27" s="2482"/>
      <c r="EL27" s="2482"/>
      <c r="EM27" s="2482"/>
      <c r="EN27" s="2482"/>
      <c r="EO27" s="2482"/>
      <c r="EP27" s="2482"/>
      <c r="EQ27" s="2482"/>
      <c r="ER27" s="2482"/>
      <c r="ES27" s="2482"/>
      <c r="ET27" s="1777"/>
      <c r="EU27" s="2482"/>
      <c r="EV27" s="2482"/>
      <c r="EW27" s="2482"/>
      <c r="EX27" s="2482"/>
      <c r="EY27" s="2482"/>
      <c r="EZ27" s="2482"/>
      <c r="FA27" s="2482"/>
      <c r="FB27" s="1777"/>
      <c r="FC27" s="2482"/>
      <c r="FD27" s="2482"/>
      <c r="FE27" s="2482"/>
      <c r="FF27" s="2482"/>
      <c r="FG27" s="2482"/>
      <c r="FH27" s="2482"/>
      <c r="FI27" s="2482"/>
      <c r="FJ27" s="2482"/>
      <c r="FK27" s="2482"/>
      <c r="FL27" s="2482"/>
      <c r="FM27" s="2482"/>
      <c r="FN27" s="2482"/>
      <c r="FO27" s="2482"/>
      <c r="FP27" s="2482"/>
      <c r="FQ27" s="2482"/>
      <c r="FR27" s="2482"/>
      <c r="FS27" s="1777"/>
      <c r="FT27" s="1777"/>
      <c r="FU27" s="1777"/>
      <c r="FV27" s="1777"/>
      <c r="FW27" s="2482"/>
      <c r="FX27" s="2482"/>
      <c r="FY27" s="1777"/>
      <c r="FZ27" s="1777"/>
      <c r="GA27" s="1777"/>
      <c r="GB27" s="1777"/>
      <c r="GC27" s="2482"/>
      <c r="GD27" s="2482"/>
      <c r="GE27" s="1777"/>
      <c r="GF27" s="2482"/>
      <c r="GG27" s="2482"/>
      <c r="GH27" s="1777"/>
      <c r="GI27" s="1777"/>
      <c r="GJ27" s="2482"/>
      <c r="GK27" s="2482"/>
      <c r="GL27" s="2482"/>
      <c r="GM27" s="2482"/>
      <c r="GN27" s="2482"/>
      <c r="GO27" s="2482"/>
      <c r="GP27" s="2482"/>
      <c r="GQ27" s="2482"/>
      <c r="GR27" s="2482"/>
      <c r="GS27" s="2482"/>
      <c r="GT27" s="1777"/>
      <c r="GU27" s="1777"/>
      <c r="GV27" s="1772"/>
      <c r="GW27" s="2482"/>
      <c r="GX27" s="2482"/>
      <c r="GY27" s="2482"/>
      <c r="GZ27" s="2482"/>
      <c r="HA27" s="2482"/>
      <c r="HB27" s="2482"/>
      <c r="HC27" s="2482"/>
      <c r="HD27" s="1777"/>
      <c r="HE27" s="2482"/>
      <c r="HF27" s="2482"/>
      <c r="HG27" s="2482"/>
      <c r="HH27" s="2482"/>
      <c r="HI27" s="2482"/>
      <c r="HJ27" s="1777"/>
      <c r="HK27" s="1777"/>
      <c r="HL27" s="1777"/>
      <c r="HM27" s="1777"/>
      <c r="HN27" s="2482"/>
      <c r="HO27" s="2482"/>
      <c r="HP27" s="1777"/>
      <c r="HQ27" s="1777"/>
      <c r="HR27" s="2482"/>
      <c r="HS27" s="1777"/>
      <c r="HT27" s="1777"/>
      <c r="HU27" s="2482"/>
      <c r="HV27" s="2482"/>
      <c r="HW27" s="1777"/>
      <c r="HX27" s="1777"/>
      <c r="HY27" s="2482"/>
      <c r="HZ27" s="2481"/>
      <c r="IA27" s="2482"/>
      <c r="IB27" s="1777"/>
      <c r="IC27" s="2481"/>
      <c r="ID27" s="2481"/>
      <c r="IE27" s="2481"/>
      <c r="IF27" s="2481"/>
      <c r="IG27" s="2482"/>
      <c r="IH27" s="2481"/>
      <c r="II27" s="2482"/>
      <c r="IJ27" s="2481"/>
      <c r="IK27" s="2482"/>
      <c r="IL27" s="2482"/>
      <c r="IM27" s="1777"/>
      <c r="IN27" s="1777"/>
      <c r="IO27" s="2482"/>
      <c r="IP27" s="2481"/>
      <c r="IQ27" s="2481"/>
      <c r="IR27" s="2481"/>
      <c r="IS27" s="2481"/>
      <c r="IT27" s="2481"/>
      <c r="IU27" s="2481"/>
      <c r="IV27" s="2481"/>
      <c r="IW27" s="2481"/>
      <c r="IX27" s="2481"/>
      <c r="IY27" s="2481"/>
      <c r="IZ27" s="1777"/>
      <c r="JA27" s="1777"/>
      <c r="JB27" s="1777"/>
      <c r="JC27" s="1777"/>
      <c r="JD27" s="1777"/>
      <c r="JE27" s="1777"/>
      <c r="JF27" s="1777"/>
      <c r="JG27" s="1777"/>
      <c r="JH27" s="2481"/>
      <c r="JI27" s="2481"/>
      <c r="JJ27" s="2481"/>
      <c r="JK27" s="2481"/>
      <c r="JL27" s="2481"/>
      <c r="JM27" s="2481"/>
      <c r="JN27" s="2481"/>
      <c r="JO27" s="2481"/>
      <c r="JP27" s="2481"/>
      <c r="JQ27" s="2483"/>
      <c r="JR27" s="351"/>
      <c r="JS27" s="1365" t="s">
        <v>2258</v>
      </c>
      <c r="JT27" s="1385" t="s">
        <v>2224</v>
      </c>
    </row>
    <row r="28" spans="1:280" ht="12.5" x14ac:dyDescent="0.25">
      <c r="A28" s="1367">
        <v>9</v>
      </c>
      <c r="B28" s="1370" t="str">
        <f t="shared" si="2"/>
        <v/>
      </c>
      <c r="C28" s="1359" t="s">
        <v>2259</v>
      </c>
      <c r="D28" s="1360" t="s">
        <v>2260</v>
      </c>
      <c r="E28" s="1784"/>
      <c r="F28" s="1784"/>
      <c r="G28" s="1784"/>
      <c r="H28" s="1784"/>
      <c r="I28" s="1784"/>
      <c r="J28" s="1784"/>
      <c r="K28" s="1784"/>
      <c r="L28" s="1784"/>
      <c r="M28" s="1784"/>
      <c r="N28" s="1784"/>
      <c r="O28" s="1784"/>
      <c r="P28" s="2426"/>
      <c r="Q28" s="1784"/>
      <c r="R28" s="1784"/>
      <c r="S28" s="1784"/>
      <c r="T28" s="1784"/>
      <c r="U28" s="1784"/>
      <c r="V28" s="1784"/>
      <c r="W28" s="1784"/>
      <c r="X28" s="1784"/>
      <c r="Y28" s="1784"/>
      <c r="Z28" s="1784"/>
      <c r="AA28" s="1784"/>
      <c r="AB28" s="1784"/>
      <c r="AC28" s="1784"/>
      <c r="AD28" s="1784"/>
      <c r="AE28" s="1784"/>
      <c r="AF28" s="1784"/>
      <c r="AG28" s="1784"/>
      <c r="AH28" s="1784"/>
      <c r="AI28" s="1784"/>
      <c r="AJ28" s="1784"/>
      <c r="AK28" s="1784"/>
      <c r="AL28" s="1784"/>
      <c r="AM28" s="1784"/>
      <c r="AN28" s="1784"/>
      <c r="AO28" s="1784"/>
      <c r="AP28" s="1784"/>
      <c r="AQ28" s="1784"/>
      <c r="AR28" s="1784"/>
      <c r="AS28" s="1784"/>
      <c r="AT28" s="1784"/>
      <c r="AU28" s="1784"/>
      <c r="AV28" s="1784"/>
      <c r="AW28" s="1784"/>
      <c r="AX28" s="1784"/>
      <c r="AY28" s="1784"/>
      <c r="AZ28" s="1784"/>
      <c r="BA28" s="2426"/>
      <c r="BB28" s="1784"/>
      <c r="BC28" s="1784"/>
      <c r="BD28" s="1784"/>
      <c r="BE28" s="1784"/>
      <c r="BF28" s="1784"/>
      <c r="BG28" s="1784"/>
      <c r="BH28" s="1784"/>
      <c r="BI28" s="1784"/>
      <c r="BJ28" s="1784"/>
      <c r="BK28" s="1784"/>
      <c r="BL28" s="1784"/>
      <c r="BM28" s="1784"/>
      <c r="BN28" s="1784"/>
      <c r="BO28" s="1784"/>
      <c r="BP28" s="1784"/>
      <c r="BQ28" s="1784"/>
      <c r="BR28" s="1784"/>
      <c r="BS28" s="1784"/>
      <c r="BT28" s="1784"/>
      <c r="BU28" s="1784"/>
      <c r="BV28" s="1784"/>
      <c r="BW28" s="1784"/>
      <c r="BX28" s="1784"/>
      <c r="BY28" s="2426"/>
      <c r="BZ28" s="1784"/>
      <c r="CA28" s="1784"/>
      <c r="CB28" s="1784"/>
      <c r="CC28" s="2426"/>
      <c r="CD28" s="1784"/>
      <c r="CE28" s="2426"/>
      <c r="CF28" s="1784"/>
      <c r="CG28" s="1784"/>
      <c r="CH28" s="1784"/>
      <c r="CI28" s="1784"/>
      <c r="CJ28" s="2426"/>
      <c r="CK28" s="1784"/>
      <c r="CL28" s="2426"/>
      <c r="CM28" s="1784"/>
      <c r="CN28" s="2426"/>
      <c r="CO28" s="2426"/>
      <c r="CP28" s="1784"/>
      <c r="CQ28" s="2426"/>
      <c r="CR28" s="2426"/>
      <c r="CS28" s="2426"/>
      <c r="CT28" s="2426"/>
      <c r="CU28" s="2426"/>
      <c r="CV28" s="1784"/>
      <c r="CW28" s="2426"/>
      <c r="CX28" s="1784"/>
      <c r="CY28" s="2426"/>
      <c r="CZ28" s="2426"/>
      <c r="DA28" s="2426"/>
      <c r="DB28" s="2426"/>
      <c r="DC28" s="2426"/>
      <c r="DD28" s="2426"/>
      <c r="DE28" s="1784"/>
      <c r="DF28" s="2426"/>
      <c r="DG28" s="2426"/>
      <c r="DH28" s="1784"/>
      <c r="DI28" s="1784"/>
      <c r="DJ28" s="2426"/>
      <c r="DK28" s="2426"/>
      <c r="DL28" s="2426"/>
      <c r="DM28" s="2426"/>
      <c r="DN28" s="2426"/>
      <c r="DO28" s="2426"/>
      <c r="DP28" s="2426"/>
      <c r="DQ28" s="2426"/>
      <c r="DR28" s="2426"/>
      <c r="DS28" s="2426"/>
      <c r="DT28" s="2426"/>
      <c r="DU28" s="2426"/>
      <c r="DV28" s="1784"/>
      <c r="DW28" s="1784"/>
      <c r="DX28" s="2426"/>
      <c r="DY28" s="2426"/>
      <c r="DZ28" s="1784"/>
      <c r="EA28" s="1784"/>
      <c r="EB28" s="2426"/>
      <c r="EC28" s="2426"/>
      <c r="ED28" s="2426"/>
      <c r="EE28" s="2426"/>
      <c r="EF28" s="2426"/>
      <c r="EG28" s="2426"/>
      <c r="EH28" s="2426"/>
      <c r="EI28" s="2426"/>
      <c r="EJ28" s="2426"/>
      <c r="EK28" s="2426"/>
      <c r="EL28" s="2426"/>
      <c r="EM28" s="2426"/>
      <c r="EN28" s="2426"/>
      <c r="EO28" s="2426"/>
      <c r="EP28" s="2426"/>
      <c r="EQ28" s="2426"/>
      <c r="ER28" s="2426"/>
      <c r="ES28" s="2426"/>
      <c r="ET28" s="2426"/>
      <c r="EU28" s="2426"/>
      <c r="EV28" s="2426"/>
      <c r="EW28" s="2426"/>
      <c r="EX28" s="2426"/>
      <c r="EY28" s="2426"/>
      <c r="EZ28" s="2426"/>
      <c r="FA28" s="2426"/>
      <c r="FB28" s="2426"/>
      <c r="FC28" s="2426"/>
      <c r="FD28" s="2426"/>
      <c r="FE28" s="2426"/>
      <c r="FF28" s="2426"/>
      <c r="FG28" s="2426"/>
      <c r="FH28" s="2426"/>
      <c r="FI28" s="2426"/>
      <c r="FJ28" s="2426"/>
      <c r="FK28" s="2426"/>
      <c r="FL28" s="2426"/>
      <c r="FM28" s="2426"/>
      <c r="FN28" s="2426"/>
      <c r="FO28" s="2426"/>
      <c r="FP28" s="2426"/>
      <c r="FQ28" s="2426"/>
      <c r="FR28" s="2426"/>
      <c r="FS28" s="1784"/>
      <c r="FT28" s="1784"/>
      <c r="FU28" s="1784"/>
      <c r="FV28" s="1784"/>
      <c r="FW28" s="2426"/>
      <c r="FX28" s="2426"/>
      <c r="FY28" s="2426"/>
      <c r="FZ28" s="2426"/>
      <c r="GA28" s="2426"/>
      <c r="GB28" s="2426"/>
      <c r="GC28" s="2426"/>
      <c r="GD28" s="2426"/>
      <c r="GE28" s="1784"/>
      <c r="GF28" s="2426"/>
      <c r="GG28" s="2426"/>
      <c r="GH28" s="1784"/>
      <c r="GI28" s="1784"/>
      <c r="GJ28" s="2426"/>
      <c r="GK28" s="2426"/>
      <c r="GL28" s="2426"/>
      <c r="GM28" s="2426"/>
      <c r="GN28" s="2426"/>
      <c r="GO28" s="2426"/>
      <c r="GP28" s="2426"/>
      <c r="GQ28" s="2426"/>
      <c r="GR28" s="2426"/>
      <c r="GS28" s="2426"/>
      <c r="GT28" s="1784"/>
      <c r="GU28" s="1784"/>
      <c r="GV28" s="1784"/>
      <c r="GW28" s="2426"/>
      <c r="GX28" s="2426"/>
      <c r="GY28" s="2426"/>
      <c r="GZ28" s="2426"/>
      <c r="HA28" s="2426"/>
      <c r="HB28" s="2426"/>
      <c r="HC28" s="2426"/>
      <c r="HD28" s="1784"/>
      <c r="HE28" s="2426"/>
      <c r="HF28" s="2426"/>
      <c r="HG28" s="2426"/>
      <c r="HH28" s="2426"/>
      <c r="HI28" s="2426"/>
      <c r="HJ28" s="1784"/>
      <c r="HK28" s="1784"/>
      <c r="HL28" s="1784"/>
      <c r="HM28" s="1784"/>
      <c r="HN28" s="2426"/>
      <c r="HO28" s="2426"/>
      <c r="HP28" s="1784"/>
      <c r="HQ28" s="2426"/>
      <c r="HR28" s="2426"/>
      <c r="HS28" s="1784"/>
      <c r="HT28" s="1784"/>
      <c r="HU28" s="2426"/>
      <c r="HV28" s="2426"/>
      <c r="HW28" s="1784"/>
      <c r="HX28" s="1784"/>
      <c r="HY28" s="2426"/>
      <c r="HZ28" s="1784"/>
      <c r="IA28" s="2426"/>
      <c r="IB28" s="1784"/>
      <c r="IC28" s="1784"/>
      <c r="ID28" s="2425">
        <v>230</v>
      </c>
      <c r="IE28" s="1784"/>
      <c r="IF28" s="1784"/>
      <c r="IG28" s="2426"/>
      <c r="IH28" s="1784"/>
      <c r="II28" s="2426"/>
      <c r="IJ28" s="1784"/>
      <c r="IK28" s="2426"/>
      <c r="IL28" s="2426"/>
      <c r="IM28" s="1784"/>
      <c r="IN28" s="1784"/>
      <c r="IO28" s="2426"/>
      <c r="IP28" s="1784"/>
      <c r="IQ28" s="1784"/>
      <c r="IR28" s="1784"/>
      <c r="IS28" s="1784"/>
      <c r="IT28" s="1784"/>
      <c r="IU28" s="1784"/>
      <c r="IV28" s="1784"/>
      <c r="IW28" s="1784"/>
      <c r="IX28" s="1784"/>
      <c r="IY28" s="1784"/>
      <c r="IZ28" s="1784"/>
      <c r="JA28" s="1784"/>
      <c r="JB28" s="1784"/>
      <c r="JC28" s="1784"/>
      <c r="JD28" s="1784"/>
      <c r="JE28" s="1784"/>
      <c r="JF28" s="1784"/>
      <c r="JG28" s="1784"/>
      <c r="JH28" s="1784"/>
      <c r="JI28" s="1784"/>
      <c r="JJ28" s="1784"/>
      <c r="JK28" s="1784"/>
      <c r="JL28" s="1784"/>
      <c r="JM28" s="1784"/>
      <c r="JN28" s="1784"/>
      <c r="JO28" s="1784"/>
      <c r="JP28" s="1784"/>
      <c r="JQ28" s="1405"/>
      <c r="JR28" s="351"/>
      <c r="JS28" s="1365" t="s">
        <v>2241</v>
      </c>
      <c r="JT28" s="1385" t="s">
        <v>2242</v>
      </c>
    </row>
    <row r="29" spans="1:280" ht="13" thickBot="1" x14ac:dyDescent="0.3">
      <c r="A29" s="1367">
        <v>10</v>
      </c>
      <c r="B29" s="1370" t="str">
        <f t="shared" si="2"/>
        <v/>
      </c>
      <c r="C29" s="705" t="s">
        <v>2261</v>
      </c>
      <c r="D29" s="698" t="s">
        <v>2262</v>
      </c>
      <c r="E29" s="731"/>
      <c r="F29" s="731"/>
      <c r="G29" s="731"/>
      <c r="H29" s="731"/>
      <c r="I29" s="731"/>
      <c r="J29" s="731"/>
      <c r="K29" s="731"/>
      <c r="L29" s="731"/>
      <c r="M29" s="731"/>
      <c r="N29" s="731"/>
      <c r="O29" s="731"/>
      <c r="P29" s="2478"/>
      <c r="Q29" s="731"/>
      <c r="R29" s="731"/>
      <c r="S29" s="731"/>
      <c r="T29" s="731"/>
      <c r="U29" s="731"/>
      <c r="V29" s="731"/>
      <c r="W29" s="731"/>
      <c r="X29" s="731"/>
      <c r="Y29" s="731"/>
      <c r="Z29" s="731"/>
      <c r="AA29" s="731"/>
      <c r="AB29" s="731"/>
      <c r="AC29" s="731"/>
      <c r="AD29" s="731"/>
      <c r="AE29" s="731"/>
      <c r="AF29" s="731"/>
      <c r="AG29" s="731"/>
      <c r="AH29" s="731"/>
      <c r="AI29" s="731"/>
      <c r="AJ29" s="731"/>
      <c r="AK29" s="731"/>
      <c r="AL29" s="731"/>
      <c r="AM29" s="731"/>
      <c r="AN29" s="731">
        <v>758</v>
      </c>
      <c r="AO29" s="731"/>
      <c r="AP29" s="731"/>
      <c r="AQ29" s="731"/>
      <c r="AR29" s="731">
        <v>1757</v>
      </c>
      <c r="AS29" s="731"/>
      <c r="AT29" s="731"/>
      <c r="AU29" s="731"/>
      <c r="AV29" s="731"/>
      <c r="AW29" s="731"/>
      <c r="AX29" s="731"/>
      <c r="AY29" s="731"/>
      <c r="AZ29" s="731"/>
      <c r="BA29" s="2478"/>
      <c r="BB29" s="731"/>
      <c r="BC29" s="731"/>
      <c r="BD29" s="731"/>
      <c r="BE29" s="731"/>
      <c r="BF29" s="731"/>
      <c r="BG29" s="731"/>
      <c r="BH29" s="731"/>
      <c r="BI29" s="731"/>
      <c r="BJ29" s="731"/>
      <c r="BK29" s="731"/>
      <c r="BL29" s="731"/>
      <c r="BM29" s="731"/>
      <c r="BN29" s="731">
        <v>1757</v>
      </c>
      <c r="BO29" s="731"/>
      <c r="BP29" s="731"/>
      <c r="BQ29" s="731"/>
      <c r="BR29" s="731"/>
      <c r="BS29" s="731"/>
      <c r="BT29" s="731"/>
      <c r="BU29" s="731"/>
      <c r="BV29" s="731"/>
      <c r="BW29" s="731"/>
      <c r="BX29" s="731"/>
      <c r="BY29" s="2478"/>
      <c r="BZ29" s="731">
        <v>1757</v>
      </c>
      <c r="CA29" s="731"/>
      <c r="CB29" s="731"/>
      <c r="CC29" s="2478"/>
      <c r="CD29" s="731"/>
      <c r="CE29" s="2478"/>
      <c r="CF29" s="731"/>
      <c r="CG29" s="731"/>
      <c r="CH29" s="731"/>
      <c r="CI29" s="731"/>
      <c r="CJ29" s="2478"/>
      <c r="CK29" s="731"/>
      <c r="CL29" s="2478"/>
      <c r="CM29" s="731"/>
      <c r="CN29" s="2478"/>
      <c r="CO29" s="2478"/>
      <c r="CP29" s="731"/>
      <c r="CQ29" s="2478"/>
      <c r="CR29" s="2478"/>
      <c r="CS29" s="2478"/>
      <c r="CT29" s="2478"/>
      <c r="CU29" s="2478"/>
      <c r="CV29" s="731"/>
      <c r="CW29" s="2478"/>
      <c r="CX29" s="731"/>
      <c r="CY29" s="2478"/>
      <c r="CZ29" s="2478"/>
      <c r="DA29" s="2478"/>
      <c r="DB29" s="2478"/>
      <c r="DC29" s="2478"/>
      <c r="DD29" s="2478"/>
      <c r="DE29" s="731">
        <v>1757</v>
      </c>
      <c r="DF29" s="2478"/>
      <c r="DG29" s="2478"/>
      <c r="DH29" s="731"/>
      <c r="DI29" s="731"/>
      <c r="DJ29" s="2478"/>
      <c r="DK29" s="2478"/>
      <c r="DL29" s="2478"/>
      <c r="DM29" s="2478"/>
      <c r="DN29" s="2478"/>
      <c r="DO29" s="2478"/>
      <c r="DP29" s="2478"/>
      <c r="DQ29" s="2478"/>
      <c r="DR29" s="2478"/>
      <c r="DS29" s="2478"/>
      <c r="DT29" s="2478"/>
      <c r="DU29" s="2478"/>
      <c r="DV29" s="731"/>
      <c r="DW29" s="731"/>
      <c r="DX29" s="2478"/>
      <c r="DY29" s="2478"/>
      <c r="DZ29" s="731"/>
      <c r="EA29" s="731"/>
      <c r="EB29" s="2478"/>
      <c r="EC29" s="2478"/>
      <c r="ED29" s="2478"/>
      <c r="EE29" s="2478"/>
      <c r="EF29" s="2478"/>
      <c r="EG29" s="2478"/>
      <c r="EH29" s="2478"/>
      <c r="EI29" s="2478"/>
      <c r="EJ29" s="2478"/>
      <c r="EK29" s="2478"/>
      <c r="EL29" s="2478"/>
      <c r="EM29" s="2478"/>
      <c r="EN29" s="2478"/>
      <c r="EO29" s="2478"/>
      <c r="EP29" s="2478"/>
      <c r="EQ29" s="2478"/>
      <c r="ER29" s="2478"/>
      <c r="ES29" s="2478"/>
      <c r="ET29" s="2478"/>
      <c r="EU29" s="2478"/>
      <c r="EV29" s="2478"/>
      <c r="EW29" s="2478"/>
      <c r="EX29" s="2478"/>
      <c r="EY29" s="2478"/>
      <c r="EZ29" s="2478"/>
      <c r="FA29" s="2478"/>
      <c r="FB29" s="2478"/>
      <c r="FC29" s="2478"/>
      <c r="FD29" s="2478"/>
      <c r="FE29" s="2478"/>
      <c r="FF29" s="2478"/>
      <c r="FG29" s="2478"/>
      <c r="FH29" s="2478"/>
      <c r="FI29" s="2478"/>
      <c r="FJ29" s="2478"/>
      <c r="FK29" s="2478"/>
      <c r="FL29" s="2478"/>
      <c r="FM29" s="2478"/>
      <c r="FN29" s="2478"/>
      <c r="FO29" s="2478"/>
      <c r="FP29" s="2478"/>
      <c r="FQ29" s="2478"/>
      <c r="FR29" s="2478"/>
      <c r="FS29" s="731"/>
      <c r="FT29" s="731"/>
      <c r="FU29" s="731"/>
      <c r="FV29" s="731"/>
      <c r="FW29" s="2478"/>
      <c r="FX29" s="2478"/>
      <c r="FY29" s="2478"/>
      <c r="FZ29" s="2478"/>
      <c r="GA29" s="2478"/>
      <c r="GB29" s="2478"/>
      <c r="GC29" s="2478"/>
      <c r="GD29" s="2478"/>
      <c r="GE29" s="731"/>
      <c r="GF29" s="2478"/>
      <c r="GG29" s="2478"/>
      <c r="GH29" s="731">
        <v>1757</v>
      </c>
      <c r="GI29" s="731"/>
      <c r="GJ29" s="2478"/>
      <c r="GK29" s="2478"/>
      <c r="GL29" s="2478"/>
      <c r="GM29" s="2478"/>
      <c r="GN29" s="2478"/>
      <c r="GO29" s="2478"/>
      <c r="GP29" s="2478"/>
      <c r="GQ29" s="2478"/>
      <c r="GR29" s="2478"/>
      <c r="GS29" s="2478"/>
      <c r="GT29" s="731"/>
      <c r="GU29" s="731"/>
      <c r="GV29" s="731"/>
      <c r="GW29" s="2478"/>
      <c r="GX29" s="2478"/>
      <c r="GY29" s="2478"/>
      <c r="GZ29" s="2478"/>
      <c r="HA29" s="2478"/>
      <c r="HB29" s="2478"/>
      <c r="HC29" s="2478"/>
      <c r="HD29" s="731"/>
      <c r="HE29" s="2478"/>
      <c r="HF29" s="2478"/>
      <c r="HG29" s="2478"/>
      <c r="HH29" s="2478"/>
      <c r="HI29" s="2478"/>
      <c r="HJ29" s="731"/>
      <c r="HK29" s="731"/>
      <c r="HL29" s="731"/>
      <c r="HM29" s="731"/>
      <c r="HN29" s="2478"/>
      <c r="HO29" s="2478"/>
      <c r="HP29" s="731"/>
      <c r="HQ29" s="2478"/>
      <c r="HR29" s="2478"/>
      <c r="HS29" s="731"/>
      <c r="HT29" s="731"/>
      <c r="HU29" s="2478"/>
      <c r="HV29" s="2478"/>
      <c r="HW29" s="731"/>
      <c r="HX29" s="731"/>
      <c r="HY29" s="2478"/>
      <c r="HZ29" s="731"/>
      <c r="IA29" s="2478"/>
      <c r="IB29" s="731"/>
      <c r="IC29" s="731"/>
      <c r="ID29" s="731"/>
      <c r="IE29" s="731"/>
      <c r="IF29" s="731"/>
      <c r="IG29" s="2478"/>
      <c r="IH29" s="731"/>
      <c r="II29" s="2478"/>
      <c r="IJ29" s="731"/>
      <c r="IK29" s="2478"/>
      <c r="IL29" s="2478"/>
      <c r="IM29" s="731"/>
      <c r="IN29" s="731"/>
      <c r="IO29" s="2478"/>
      <c r="IP29" s="731"/>
      <c r="IQ29" s="731"/>
      <c r="IR29" s="731"/>
      <c r="IS29" s="731"/>
      <c r="IT29" s="731"/>
      <c r="IU29" s="731"/>
      <c r="IV29" s="731"/>
      <c r="IW29" s="731"/>
      <c r="IX29" s="731"/>
      <c r="IY29" s="731"/>
      <c r="IZ29" s="731"/>
      <c r="JA29" s="731"/>
      <c r="JB29" s="731">
        <v>1757</v>
      </c>
      <c r="JC29" s="731">
        <v>1757</v>
      </c>
      <c r="JD29" s="731"/>
      <c r="JE29" s="731"/>
      <c r="JF29" s="731"/>
      <c r="JG29" s="731">
        <v>1757</v>
      </c>
      <c r="JH29" s="731"/>
      <c r="JI29" s="731"/>
      <c r="JJ29" s="731"/>
      <c r="JK29" s="731"/>
      <c r="JL29" s="731"/>
      <c r="JM29" s="731"/>
      <c r="JN29" s="731"/>
      <c r="JO29" s="731"/>
      <c r="JP29" s="731"/>
      <c r="JQ29" s="739"/>
      <c r="JR29" s="351"/>
      <c r="JS29" s="1365"/>
      <c r="JT29" s="1385" t="s">
        <v>2242</v>
      </c>
    </row>
    <row r="30" spans="1:280" ht="12" thickBot="1" x14ac:dyDescent="0.3">
      <c r="C30" s="261" t="s">
        <v>2263</v>
      </c>
      <c r="D30" s="137"/>
    </row>
    <row r="31" spans="1:280" ht="12.5" x14ac:dyDescent="0.25">
      <c r="A31" s="1367" t="s">
        <v>2201</v>
      </c>
      <c r="B31" s="406" t="str">
        <f>"selected "&amp;INC_C_IND-1</f>
        <v>selected 0</v>
      </c>
      <c r="C31" s="1371" t="s">
        <v>3</v>
      </c>
      <c r="D31" s="1360"/>
      <c r="E31" s="418">
        <v>1</v>
      </c>
      <c r="F31" s="418">
        <v>2</v>
      </c>
      <c r="G31" s="418">
        <v>3</v>
      </c>
      <c r="H31" s="418">
        <v>4</v>
      </c>
      <c r="I31" s="418">
        <v>5</v>
      </c>
      <c r="J31" s="418">
        <v>6</v>
      </c>
      <c r="K31" s="418">
        <v>7</v>
      </c>
      <c r="L31" s="418">
        <v>8</v>
      </c>
      <c r="M31" s="418">
        <v>9</v>
      </c>
      <c r="N31" s="418">
        <v>10</v>
      </c>
      <c r="O31" s="418">
        <v>11</v>
      </c>
      <c r="P31" s="418">
        <v>12</v>
      </c>
      <c r="Q31" s="418">
        <v>13</v>
      </c>
      <c r="R31" s="418">
        <v>14</v>
      </c>
      <c r="S31" s="418">
        <v>15</v>
      </c>
      <c r="T31" s="418">
        <v>16</v>
      </c>
      <c r="U31" s="418">
        <v>17</v>
      </c>
      <c r="V31" s="418">
        <v>18</v>
      </c>
      <c r="W31" s="418">
        <v>19</v>
      </c>
      <c r="X31" s="418">
        <v>20</v>
      </c>
      <c r="Y31" s="418">
        <v>21</v>
      </c>
      <c r="Z31" s="418">
        <v>22</v>
      </c>
      <c r="AA31" s="418">
        <v>23</v>
      </c>
      <c r="AB31" s="418">
        <v>24</v>
      </c>
      <c r="AC31" s="418">
        <v>25</v>
      </c>
      <c r="AD31" s="418">
        <v>26</v>
      </c>
      <c r="AE31" s="418">
        <v>27</v>
      </c>
      <c r="AF31" s="418">
        <v>28</v>
      </c>
      <c r="AG31" s="418">
        <v>29</v>
      </c>
      <c r="AH31" s="418">
        <v>30</v>
      </c>
      <c r="AI31" s="418">
        <v>31</v>
      </c>
      <c r="AJ31" s="418">
        <v>32</v>
      </c>
      <c r="AK31" s="418">
        <v>33</v>
      </c>
      <c r="AL31" s="418">
        <v>34</v>
      </c>
      <c r="AM31" s="418">
        <v>35</v>
      </c>
      <c r="AN31" s="418">
        <v>36</v>
      </c>
      <c r="AO31" s="418">
        <v>37</v>
      </c>
      <c r="AP31" s="418">
        <v>38</v>
      </c>
      <c r="AQ31" s="418">
        <v>39</v>
      </c>
      <c r="AR31" s="418">
        <v>40</v>
      </c>
      <c r="AS31" s="418">
        <v>41</v>
      </c>
      <c r="AT31" s="418">
        <v>42</v>
      </c>
      <c r="AU31" s="418">
        <v>43</v>
      </c>
      <c r="AV31" s="418">
        <v>44</v>
      </c>
      <c r="AW31" s="418">
        <v>45</v>
      </c>
      <c r="AX31" s="418">
        <v>46</v>
      </c>
      <c r="AY31" s="418">
        <v>47</v>
      </c>
      <c r="AZ31" s="418">
        <v>48</v>
      </c>
      <c r="BA31" s="418">
        <v>49</v>
      </c>
      <c r="BB31" s="418">
        <v>50</v>
      </c>
      <c r="BC31" s="418">
        <v>51</v>
      </c>
      <c r="BD31" s="418">
        <v>52</v>
      </c>
      <c r="BE31" s="418">
        <v>53</v>
      </c>
      <c r="BF31" s="418">
        <v>54</v>
      </c>
      <c r="BG31" s="418">
        <v>55</v>
      </c>
      <c r="BH31" s="418">
        <v>56</v>
      </c>
      <c r="BI31" s="418">
        <v>57</v>
      </c>
      <c r="BJ31" s="418">
        <v>58</v>
      </c>
      <c r="BK31" s="418">
        <v>59</v>
      </c>
      <c r="BL31" s="418">
        <v>60</v>
      </c>
      <c r="BM31" s="418">
        <v>61</v>
      </c>
      <c r="BN31" s="418">
        <v>62</v>
      </c>
      <c r="BO31" s="418">
        <v>63</v>
      </c>
      <c r="BP31" s="418">
        <v>64</v>
      </c>
      <c r="BQ31" s="418">
        <v>65</v>
      </c>
      <c r="BR31" s="418">
        <v>66</v>
      </c>
      <c r="BS31" s="418">
        <v>67</v>
      </c>
      <c r="BT31" s="418">
        <v>68</v>
      </c>
      <c r="BU31" s="418">
        <v>69</v>
      </c>
      <c r="BV31" s="418">
        <v>70</v>
      </c>
      <c r="BW31" s="418">
        <v>71</v>
      </c>
      <c r="BX31" s="418">
        <v>72</v>
      </c>
      <c r="BY31" s="418">
        <v>73</v>
      </c>
      <c r="BZ31" s="418">
        <v>74</v>
      </c>
      <c r="CA31" s="418">
        <v>75</v>
      </c>
      <c r="CB31" s="418">
        <v>76</v>
      </c>
      <c r="CC31" s="418">
        <v>77</v>
      </c>
      <c r="CD31" s="418">
        <v>78</v>
      </c>
      <c r="CE31" s="418">
        <v>79</v>
      </c>
      <c r="CF31" s="418">
        <v>80</v>
      </c>
      <c r="CG31" s="418">
        <v>81</v>
      </c>
      <c r="CH31" s="418">
        <v>82</v>
      </c>
      <c r="CI31" s="418">
        <v>83</v>
      </c>
      <c r="CJ31" s="418">
        <v>84</v>
      </c>
      <c r="CK31" s="418">
        <v>85</v>
      </c>
      <c r="CL31" s="418">
        <v>86</v>
      </c>
      <c r="CM31" s="418">
        <v>87</v>
      </c>
      <c r="CN31" s="418">
        <v>88</v>
      </c>
      <c r="CO31" s="418">
        <v>89</v>
      </c>
      <c r="CP31" s="418">
        <v>90</v>
      </c>
      <c r="CQ31" s="418">
        <v>91</v>
      </c>
      <c r="CR31" s="418">
        <v>92</v>
      </c>
      <c r="CS31" s="418">
        <v>93</v>
      </c>
      <c r="CT31" s="418">
        <v>94</v>
      </c>
      <c r="CU31" s="418">
        <v>95</v>
      </c>
      <c r="CV31" s="418">
        <v>96</v>
      </c>
      <c r="CW31" s="418">
        <v>97</v>
      </c>
      <c r="CX31" s="418">
        <v>98</v>
      </c>
      <c r="CY31" s="418">
        <v>99</v>
      </c>
      <c r="CZ31" s="418">
        <v>100</v>
      </c>
      <c r="DA31" s="418">
        <v>101</v>
      </c>
      <c r="DB31" s="418">
        <v>102</v>
      </c>
      <c r="DC31" s="418">
        <v>103</v>
      </c>
      <c r="DD31" s="418">
        <v>104</v>
      </c>
      <c r="DE31" s="418">
        <v>105</v>
      </c>
      <c r="DF31" s="418">
        <v>106</v>
      </c>
      <c r="DG31" s="418">
        <v>107</v>
      </c>
      <c r="DH31" s="418">
        <v>108</v>
      </c>
      <c r="DI31" s="418">
        <v>109</v>
      </c>
      <c r="DJ31" s="418">
        <v>110</v>
      </c>
      <c r="DK31" s="418">
        <v>111</v>
      </c>
      <c r="DL31" s="418">
        <v>112</v>
      </c>
      <c r="DM31" s="418">
        <v>113</v>
      </c>
      <c r="DN31" s="418">
        <v>114</v>
      </c>
      <c r="DO31" s="418">
        <v>115</v>
      </c>
      <c r="DP31" s="418">
        <v>116</v>
      </c>
      <c r="DQ31" s="418">
        <v>117</v>
      </c>
      <c r="DR31" s="418">
        <v>118</v>
      </c>
      <c r="DS31" s="418">
        <v>119</v>
      </c>
      <c r="DT31" s="418">
        <v>120</v>
      </c>
      <c r="DU31" s="418">
        <v>121</v>
      </c>
      <c r="DV31" s="418">
        <v>122</v>
      </c>
      <c r="DW31" s="418">
        <v>123</v>
      </c>
      <c r="DX31" s="418">
        <v>124</v>
      </c>
      <c r="DY31" s="418">
        <v>125</v>
      </c>
      <c r="DZ31" s="418">
        <v>126</v>
      </c>
      <c r="EA31" s="418">
        <v>127</v>
      </c>
      <c r="EB31" s="418">
        <v>128</v>
      </c>
      <c r="EC31" s="418">
        <v>129</v>
      </c>
      <c r="ED31" s="418">
        <v>130</v>
      </c>
      <c r="EE31" s="418">
        <v>131</v>
      </c>
      <c r="EF31" s="418">
        <v>132</v>
      </c>
      <c r="EG31" s="418">
        <v>133</v>
      </c>
      <c r="EH31" s="418">
        <v>134</v>
      </c>
      <c r="EI31" s="418">
        <v>135</v>
      </c>
      <c r="EJ31" s="418">
        <v>136</v>
      </c>
      <c r="EK31" s="418">
        <v>137</v>
      </c>
      <c r="EL31" s="418">
        <v>138</v>
      </c>
      <c r="EM31" s="418">
        <v>139</v>
      </c>
      <c r="EN31" s="418">
        <v>140</v>
      </c>
      <c r="EO31" s="418">
        <v>141</v>
      </c>
      <c r="EP31" s="418">
        <v>142</v>
      </c>
      <c r="EQ31" s="418">
        <v>143</v>
      </c>
      <c r="ER31" s="418">
        <v>144</v>
      </c>
      <c r="ES31" s="418">
        <v>145</v>
      </c>
      <c r="ET31" s="418">
        <v>146</v>
      </c>
      <c r="EU31" s="418">
        <v>147</v>
      </c>
      <c r="EV31" s="418">
        <v>148</v>
      </c>
      <c r="EW31" s="418">
        <v>149</v>
      </c>
      <c r="EX31" s="418">
        <v>150</v>
      </c>
      <c r="EY31" s="418">
        <v>151</v>
      </c>
      <c r="EZ31" s="418">
        <v>152</v>
      </c>
      <c r="FA31" s="418">
        <v>153</v>
      </c>
      <c r="FB31" s="418">
        <v>154</v>
      </c>
      <c r="FC31" s="418">
        <v>155</v>
      </c>
      <c r="FD31" s="418">
        <v>156</v>
      </c>
      <c r="FE31" s="418">
        <v>157</v>
      </c>
      <c r="FF31" s="418">
        <v>158</v>
      </c>
      <c r="FG31" s="418">
        <v>159</v>
      </c>
      <c r="FH31" s="418">
        <v>160</v>
      </c>
      <c r="FI31" s="418">
        <v>161</v>
      </c>
      <c r="FJ31" s="418">
        <v>162</v>
      </c>
      <c r="FK31" s="418">
        <v>163</v>
      </c>
      <c r="FL31" s="418">
        <v>164</v>
      </c>
      <c r="FM31" s="418">
        <v>165</v>
      </c>
      <c r="FN31" s="418">
        <v>166</v>
      </c>
      <c r="FO31" s="418">
        <v>167</v>
      </c>
      <c r="FP31" s="418">
        <v>168</v>
      </c>
      <c r="FQ31" s="418">
        <v>169</v>
      </c>
      <c r="FR31" s="418">
        <v>170</v>
      </c>
      <c r="FS31" s="418">
        <v>171</v>
      </c>
      <c r="FT31" s="418">
        <v>172</v>
      </c>
      <c r="FU31" s="418">
        <v>173</v>
      </c>
      <c r="FV31" s="418">
        <v>174</v>
      </c>
      <c r="FW31" s="418">
        <v>175</v>
      </c>
      <c r="FX31" s="418">
        <v>176</v>
      </c>
      <c r="FY31" s="418">
        <v>177</v>
      </c>
      <c r="FZ31" s="418">
        <v>178</v>
      </c>
      <c r="GA31" s="418">
        <v>179</v>
      </c>
      <c r="GB31" s="418">
        <v>180</v>
      </c>
      <c r="GC31" s="418">
        <v>181</v>
      </c>
      <c r="GD31" s="418">
        <v>182</v>
      </c>
      <c r="GE31" s="418">
        <v>183</v>
      </c>
      <c r="GF31" s="418">
        <v>184</v>
      </c>
      <c r="GG31" s="418">
        <v>185</v>
      </c>
      <c r="GH31" s="418">
        <v>186</v>
      </c>
      <c r="GI31" s="418">
        <v>187</v>
      </c>
      <c r="GJ31" s="418">
        <v>188</v>
      </c>
      <c r="GK31" s="418">
        <v>189</v>
      </c>
      <c r="GL31" s="418">
        <v>190</v>
      </c>
      <c r="GM31" s="418">
        <v>191</v>
      </c>
      <c r="GN31" s="418">
        <v>192</v>
      </c>
      <c r="GO31" s="418">
        <v>193</v>
      </c>
      <c r="GP31" s="418">
        <v>194</v>
      </c>
      <c r="GQ31" s="418">
        <v>195</v>
      </c>
      <c r="GR31" s="418">
        <v>196</v>
      </c>
      <c r="GS31" s="418">
        <v>197</v>
      </c>
      <c r="GT31" s="418">
        <v>198</v>
      </c>
      <c r="GU31" s="418">
        <v>199</v>
      </c>
      <c r="GV31" s="418">
        <v>200</v>
      </c>
      <c r="GW31" s="418">
        <v>201</v>
      </c>
      <c r="GX31" s="418">
        <v>202</v>
      </c>
      <c r="GY31" s="418">
        <v>203</v>
      </c>
      <c r="GZ31" s="418">
        <v>204</v>
      </c>
      <c r="HA31" s="418">
        <v>205</v>
      </c>
      <c r="HB31" s="418">
        <v>206</v>
      </c>
      <c r="HC31" s="418">
        <v>207</v>
      </c>
      <c r="HD31" s="418">
        <v>208</v>
      </c>
      <c r="HE31" s="418">
        <v>209</v>
      </c>
      <c r="HF31" s="418">
        <v>210</v>
      </c>
      <c r="HG31" s="418">
        <v>211</v>
      </c>
      <c r="HH31" s="418">
        <v>212</v>
      </c>
      <c r="HI31" s="418">
        <v>213</v>
      </c>
      <c r="HJ31" s="418">
        <v>214</v>
      </c>
      <c r="HK31" s="418">
        <v>215</v>
      </c>
      <c r="HL31" s="418">
        <v>216</v>
      </c>
      <c r="HM31" s="418">
        <v>217</v>
      </c>
      <c r="HN31" s="418">
        <v>218</v>
      </c>
      <c r="HO31" s="418">
        <v>219</v>
      </c>
      <c r="HP31" s="418">
        <v>220</v>
      </c>
      <c r="HQ31" s="418">
        <v>221</v>
      </c>
      <c r="HR31" s="418">
        <v>222</v>
      </c>
      <c r="HS31" s="418">
        <v>223</v>
      </c>
      <c r="HT31" s="418">
        <v>224</v>
      </c>
      <c r="HU31" s="418">
        <v>225</v>
      </c>
      <c r="HV31" s="418">
        <v>226</v>
      </c>
      <c r="HW31" s="418">
        <v>227</v>
      </c>
      <c r="HX31" s="418">
        <v>228</v>
      </c>
      <c r="HY31" s="418">
        <v>229</v>
      </c>
      <c r="HZ31" s="418">
        <v>230</v>
      </c>
      <c r="IA31" s="418">
        <v>231</v>
      </c>
      <c r="IB31" s="418">
        <v>232</v>
      </c>
      <c r="IC31" s="418">
        <v>233</v>
      </c>
      <c r="ID31" s="418">
        <v>234</v>
      </c>
      <c r="IE31" s="418">
        <v>235</v>
      </c>
      <c r="IF31" s="418">
        <v>236</v>
      </c>
      <c r="IG31" s="418">
        <v>237</v>
      </c>
      <c r="IH31" s="418">
        <v>238</v>
      </c>
      <c r="II31" s="418">
        <v>239</v>
      </c>
      <c r="IJ31" s="418">
        <v>240</v>
      </c>
      <c r="IK31" s="418">
        <v>241</v>
      </c>
      <c r="IL31" s="418">
        <v>242</v>
      </c>
      <c r="IM31" s="418">
        <v>243</v>
      </c>
      <c r="IN31" s="418">
        <v>244</v>
      </c>
      <c r="IO31" s="418">
        <v>245</v>
      </c>
      <c r="IP31" s="418">
        <v>246</v>
      </c>
      <c r="IQ31" s="418">
        <v>247</v>
      </c>
      <c r="IR31" s="418">
        <v>248</v>
      </c>
      <c r="IS31" s="418">
        <v>249</v>
      </c>
      <c r="IT31" s="418">
        <v>250</v>
      </c>
      <c r="IU31" s="418">
        <v>251</v>
      </c>
      <c r="IV31" s="418">
        <v>252</v>
      </c>
      <c r="IW31" s="418">
        <v>253</v>
      </c>
      <c r="IX31" s="418">
        <v>254</v>
      </c>
      <c r="IY31" s="418">
        <v>255</v>
      </c>
      <c r="IZ31" s="418">
        <v>256</v>
      </c>
      <c r="JA31" s="418">
        <v>257</v>
      </c>
      <c r="JB31" s="418">
        <v>258</v>
      </c>
      <c r="JC31" s="418">
        <v>259</v>
      </c>
      <c r="JD31" s="418">
        <v>260</v>
      </c>
      <c r="JE31" s="418">
        <v>261</v>
      </c>
      <c r="JF31" s="418">
        <v>262</v>
      </c>
      <c r="JG31" s="418">
        <v>263</v>
      </c>
      <c r="JH31" s="418">
        <v>264</v>
      </c>
      <c r="JI31" s="418">
        <v>265</v>
      </c>
      <c r="JJ31" s="418">
        <v>266</v>
      </c>
      <c r="JK31" s="418">
        <v>267</v>
      </c>
      <c r="JL31" s="418">
        <v>268</v>
      </c>
      <c r="JM31" s="418">
        <v>269</v>
      </c>
      <c r="JN31" s="418">
        <v>270</v>
      </c>
      <c r="JO31" s="418">
        <v>271</v>
      </c>
      <c r="JP31" s="418">
        <v>272</v>
      </c>
      <c r="JQ31" s="418">
        <v>273</v>
      </c>
      <c r="JR31" s="351"/>
      <c r="JT31" s="1385" t="s">
        <v>2199</v>
      </c>
    </row>
    <row r="32" spans="1:280" ht="12.5" x14ac:dyDescent="0.25">
      <c r="A32" s="1367">
        <v>2</v>
      </c>
      <c r="B32" s="1372" t="str">
        <f>IF(INC_C_IND&gt;1,IF(HLOOKUP(INC_C_IND-1,INC_C_RANGE,A32)="","",HLOOKUP(INC_C_IND-1,INC_C_RANGE,A32)),"")</f>
        <v/>
      </c>
      <c r="C32" s="1371" t="s">
        <v>2264</v>
      </c>
      <c r="D32" s="1360" t="s">
        <v>2265</v>
      </c>
      <c r="E32" s="1379"/>
      <c r="F32" s="1379"/>
      <c r="G32" s="1379"/>
      <c r="H32" s="1379"/>
      <c r="I32" s="1379"/>
      <c r="J32" s="1379"/>
      <c r="K32" s="1379"/>
      <c r="L32" s="1379"/>
      <c r="M32" s="1379">
        <v>1500</v>
      </c>
      <c r="N32" s="1379"/>
      <c r="O32" s="1379"/>
      <c r="P32" s="1379">
        <v>376.18</v>
      </c>
      <c r="Q32" s="1379">
        <v>1200</v>
      </c>
      <c r="R32" s="1379"/>
      <c r="S32" s="1379"/>
      <c r="T32" s="1379"/>
      <c r="U32" s="1379"/>
      <c r="V32" s="1379"/>
      <c r="W32" s="1379"/>
      <c r="X32" s="1379"/>
      <c r="Y32" s="1379"/>
      <c r="Z32" s="1379">
        <v>350</v>
      </c>
      <c r="AA32" s="1379"/>
      <c r="AB32" s="1379">
        <v>1800</v>
      </c>
      <c r="AC32" s="1379">
        <v>938</v>
      </c>
      <c r="AD32" s="1379"/>
      <c r="AE32" s="1379"/>
      <c r="AF32" s="1379"/>
      <c r="AG32" s="1379">
        <v>26000</v>
      </c>
      <c r="AH32" s="1379"/>
      <c r="AI32" s="1379"/>
      <c r="AJ32" s="1379"/>
      <c r="AK32" s="1379"/>
      <c r="AL32" s="1379"/>
      <c r="AM32" s="1379">
        <v>1890</v>
      </c>
      <c r="AN32" s="1379"/>
      <c r="AO32" s="1379">
        <v>2589</v>
      </c>
      <c r="AP32" s="1379"/>
      <c r="AQ32" s="1379"/>
      <c r="AR32" s="1379"/>
      <c r="AS32" s="1379">
        <v>7000</v>
      </c>
      <c r="AT32" s="1379"/>
      <c r="AU32" s="1379"/>
      <c r="AV32" s="1379"/>
      <c r="AW32" s="1379"/>
      <c r="AX32" s="1379"/>
      <c r="AY32" s="1379"/>
      <c r="AZ32" s="1379"/>
      <c r="BA32" s="1379"/>
      <c r="BB32" s="1379"/>
      <c r="BC32" s="1379"/>
      <c r="BD32" s="1376">
        <v>8845</v>
      </c>
      <c r="BE32" s="1379"/>
      <c r="BF32" s="1379"/>
      <c r="BG32" s="1379"/>
      <c r="BH32" s="1379"/>
      <c r="BI32" s="1379"/>
      <c r="BJ32" s="1379"/>
      <c r="BK32" s="1379"/>
      <c r="BL32" s="1379"/>
      <c r="BM32" s="1379"/>
      <c r="BN32" s="1379"/>
      <c r="BO32" s="1379"/>
      <c r="BP32" s="1376"/>
      <c r="BQ32" s="1379">
        <v>1500</v>
      </c>
      <c r="BR32" s="1379">
        <v>7000</v>
      </c>
      <c r="BS32" s="1379">
        <v>1500</v>
      </c>
      <c r="BT32" s="1379"/>
      <c r="BU32" s="1379">
        <v>1500</v>
      </c>
      <c r="BV32" s="1379"/>
      <c r="BW32" s="1379"/>
      <c r="BX32" s="1379">
        <v>1500</v>
      </c>
      <c r="BY32" s="1379"/>
      <c r="BZ32" s="1379"/>
      <c r="CA32" s="1379"/>
      <c r="CB32" s="1379"/>
      <c r="CC32" s="1379"/>
      <c r="CD32" s="1379"/>
      <c r="CE32" s="1379"/>
      <c r="CF32" s="1379"/>
      <c r="CG32" s="1379"/>
      <c r="CH32" s="1379">
        <v>1500</v>
      </c>
      <c r="CI32" s="1379"/>
      <c r="CJ32" s="1379"/>
      <c r="CK32" s="1379"/>
      <c r="CL32" s="1379"/>
      <c r="CM32" s="1379">
        <v>376.18</v>
      </c>
      <c r="CN32" s="1379"/>
      <c r="CO32" s="1379"/>
      <c r="CP32" s="1379">
        <v>376.18</v>
      </c>
      <c r="CQ32" s="1379"/>
      <c r="CR32" s="1379"/>
      <c r="CS32" s="1379"/>
      <c r="CT32" s="1379">
        <v>6020</v>
      </c>
      <c r="CU32" s="1379"/>
      <c r="CV32" s="1379"/>
      <c r="CW32" s="1379"/>
      <c r="CX32" s="1379">
        <v>16020</v>
      </c>
      <c r="CY32" s="1379"/>
      <c r="CZ32" s="1379"/>
      <c r="DA32" s="1379"/>
      <c r="DB32" s="1379"/>
      <c r="DC32" s="1379"/>
      <c r="DD32" s="1379"/>
      <c r="DE32" s="1379"/>
      <c r="DF32" s="1379"/>
      <c r="DG32" s="1379"/>
      <c r="DH32" s="1379"/>
      <c r="DI32" s="1379"/>
      <c r="DJ32" s="1379"/>
      <c r="DK32" s="1379"/>
      <c r="DL32" s="1379"/>
      <c r="DM32" s="1376">
        <v>7460</v>
      </c>
      <c r="DN32" s="1379"/>
      <c r="DO32" s="1379"/>
      <c r="DP32" s="1379"/>
      <c r="DQ32" s="1379">
        <v>4000</v>
      </c>
      <c r="DR32" s="1379"/>
      <c r="DS32" s="1379"/>
      <c r="DT32" s="1379"/>
      <c r="DU32" s="1379"/>
      <c r="DV32" s="1379"/>
      <c r="DW32" s="1379"/>
      <c r="DX32" s="1379"/>
      <c r="DY32" s="1376">
        <v>1</v>
      </c>
      <c r="DZ32" s="1376"/>
      <c r="EA32" s="1379"/>
      <c r="EB32" s="1379"/>
      <c r="EC32" s="1376">
        <v>1595</v>
      </c>
      <c r="ED32" s="1379"/>
      <c r="EE32" s="1379">
        <v>6020</v>
      </c>
      <c r="EF32" s="1379"/>
      <c r="EG32" s="1379"/>
      <c r="EH32" s="1376">
        <v>133</v>
      </c>
      <c r="EI32" s="1379"/>
      <c r="EJ32" s="1379"/>
      <c r="EK32" s="1379"/>
      <c r="EL32" s="1376"/>
      <c r="EM32" s="1376">
        <v>124464</v>
      </c>
      <c r="EN32" s="1379"/>
      <c r="EO32" s="1379"/>
      <c r="EP32" s="1379"/>
      <c r="EQ32" s="1376">
        <v>10</v>
      </c>
      <c r="ER32" s="1379"/>
      <c r="ES32" s="1379"/>
      <c r="ET32" s="1379"/>
      <c r="EU32" s="1379"/>
      <c r="EV32" s="1379"/>
      <c r="EW32" s="1379"/>
      <c r="EX32" s="1379"/>
      <c r="EY32" s="1379"/>
      <c r="EZ32" s="1379"/>
      <c r="FA32" s="1379">
        <v>6020</v>
      </c>
      <c r="FB32" s="1376">
        <v>375432</v>
      </c>
      <c r="FC32" s="1379">
        <v>1500</v>
      </c>
      <c r="FD32" s="1376"/>
      <c r="FE32" s="1379"/>
      <c r="FF32" s="1376">
        <v>4019</v>
      </c>
      <c r="FG32" s="1379"/>
      <c r="FH32" s="1379"/>
      <c r="FI32" s="1379"/>
      <c r="FJ32" s="1379"/>
      <c r="FK32" s="1376">
        <v>17896</v>
      </c>
      <c r="FL32" s="1379">
        <v>6020</v>
      </c>
      <c r="FM32" s="1376">
        <v>3066</v>
      </c>
      <c r="FN32" s="1379"/>
      <c r="FO32" s="1379"/>
      <c r="FP32" s="1379"/>
      <c r="FQ32" s="1379"/>
      <c r="FR32" s="1379"/>
      <c r="FS32" s="1379"/>
      <c r="FT32" s="1379"/>
      <c r="FU32" s="1379"/>
      <c r="FV32" s="1379"/>
      <c r="FW32" s="1379"/>
      <c r="FX32" s="1379"/>
      <c r="FY32" s="1379">
        <v>7000</v>
      </c>
      <c r="FZ32" s="1379">
        <v>7000</v>
      </c>
      <c r="GA32" s="1379">
        <v>7000</v>
      </c>
      <c r="GB32" s="1379">
        <v>7000</v>
      </c>
      <c r="GC32" s="1379"/>
      <c r="GD32" s="1379"/>
      <c r="GE32" s="1379"/>
      <c r="GF32" s="1379"/>
      <c r="GG32" s="1379"/>
      <c r="GH32" s="1379"/>
      <c r="GI32" s="1379"/>
      <c r="GJ32" s="1376">
        <v>9200</v>
      </c>
      <c r="GK32" s="1379"/>
      <c r="GL32" s="1379"/>
      <c r="GM32" s="1379"/>
      <c r="GN32" s="1379"/>
      <c r="GO32" s="1379"/>
      <c r="GP32" s="1379"/>
      <c r="GQ32" s="1379"/>
      <c r="GR32" s="1379"/>
      <c r="GS32" s="1379"/>
      <c r="GT32" s="1379"/>
      <c r="GU32" s="1379"/>
      <c r="GV32" s="1379">
        <v>6020</v>
      </c>
      <c r="GW32" s="1376">
        <v>5520</v>
      </c>
      <c r="GX32" s="1379"/>
      <c r="GY32" s="1379"/>
      <c r="GZ32" s="1379"/>
      <c r="HA32" s="1379"/>
      <c r="HB32" s="1379"/>
      <c r="HC32" s="1379"/>
      <c r="HD32" s="1379"/>
      <c r="HE32" s="1379"/>
      <c r="HF32" s="1379"/>
      <c r="HG32" s="1379"/>
      <c r="HH32" s="1379"/>
      <c r="HI32" s="1379"/>
      <c r="HJ32" s="1379"/>
      <c r="HK32" s="1379"/>
      <c r="HL32" s="1379"/>
      <c r="HM32" s="1379"/>
      <c r="HN32" s="1379"/>
      <c r="HO32" s="1379"/>
      <c r="HP32" s="1379"/>
      <c r="HQ32" s="1379"/>
      <c r="HR32" s="1379"/>
      <c r="HS32" s="1379"/>
      <c r="HT32" s="1379"/>
      <c r="HU32" s="1379"/>
      <c r="HV32" s="1379"/>
      <c r="HW32" s="1379"/>
      <c r="HX32" s="1379"/>
      <c r="HY32" s="1379"/>
      <c r="HZ32" s="1379"/>
      <c r="IA32" s="1379"/>
      <c r="IB32" s="1379"/>
      <c r="IC32" s="1379">
        <v>1116</v>
      </c>
      <c r="ID32" s="1379"/>
      <c r="IE32" s="1379"/>
      <c r="IF32" s="1379">
        <v>972</v>
      </c>
      <c r="IG32" s="1379"/>
      <c r="IH32" s="1379"/>
      <c r="II32" s="1376">
        <v>654830</v>
      </c>
      <c r="IJ32" s="1379"/>
      <c r="IK32" s="1379"/>
      <c r="IL32" s="1379">
        <v>10000</v>
      </c>
      <c r="IM32" s="1379"/>
      <c r="IN32" s="1379"/>
      <c r="IO32" s="1379"/>
      <c r="IP32" s="1379"/>
      <c r="IQ32" s="1379"/>
      <c r="IR32" s="1379"/>
      <c r="IS32" s="1379"/>
      <c r="IT32" s="1379"/>
      <c r="IU32" s="1379"/>
      <c r="IV32" s="1379"/>
      <c r="IW32" s="1376">
        <v>17982.77</v>
      </c>
      <c r="IX32" s="1376">
        <v>134</v>
      </c>
      <c r="IY32" s="1379"/>
      <c r="IZ32" s="1379"/>
      <c r="JA32" s="1379"/>
      <c r="JB32" s="1379"/>
      <c r="JC32" s="1379"/>
      <c r="JD32" s="1379"/>
      <c r="JE32" s="1379"/>
      <c r="JF32" s="1379"/>
      <c r="JG32" s="1379"/>
      <c r="JH32" s="1379">
        <v>6571</v>
      </c>
      <c r="JI32" s="1379"/>
      <c r="JJ32" s="1376">
        <v>74</v>
      </c>
      <c r="JK32" s="1379"/>
      <c r="JL32" s="1379"/>
      <c r="JM32" s="1376">
        <v>778</v>
      </c>
      <c r="JN32" s="1379"/>
      <c r="JO32" s="1379"/>
      <c r="JP32" s="1379"/>
      <c r="JQ32" s="2484"/>
      <c r="JR32" s="351"/>
      <c r="JS32" s="1365"/>
      <c r="JT32" s="1385" t="s">
        <v>2242</v>
      </c>
    </row>
    <row r="33" spans="1:280" ht="12.5" x14ac:dyDescent="0.25">
      <c r="A33" s="1367">
        <v>3</v>
      </c>
      <c r="B33" s="1372" t="str">
        <f>IF(INC_C_IND&gt;1,IF(HLOOKUP(INC_C_IND-1,INC_C_RANGE,A33)="","",HLOOKUP(INC_C_IND-1,INC_C_RANGE,A33)),"")</f>
        <v/>
      </c>
      <c r="C33" s="1371" t="s">
        <v>2266</v>
      </c>
      <c r="D33" s="1360" t="s">
        <v>2267</v>
      </c>
      <c r="E33" s="1379"/>
      <c r="F33" s="1379"/>
      <c r="G33" s="1379"/>
      <c r="H33" s="1379"/>
      <c r="I33" s="1379"/>
      <c r="J33" s="1379"/>
      <c r="K33" s="1379"/>
      <c r="L33" s="1379"/>
      <c r="M33" s="1379"/>
      <c r="N33" s="1379"/>
      <c r="O33" s="1379"/>
      <c r="P33" s="1379"/>
      <c r="Q33" s="1379"/>
      <c r="R33" s="1379"/>
      <c r="S33" s="1379"/>
      <c r="T33" s="1379"/>
      <c r="U33" s="1379"/>
      <c r="V33" s="1379"/>
      <c r="W33" s="1379"/>
      <c r="X33" s="1379"/>
      <c r="Y33" s="1379"/>
      <c r="Z33" s="1379"/>
      <c r="AA33" s="1379"/>
      <c r="AB33" s="1379"/>
      <c r="AC33" s="1379"/>
      <c r="AD33" s="1379"/>
      <c r="AE33" s="1379"/>
      <c r="AF33" s="1379"/>
      <c r="AG33" s="1379"/>
      <c r="AH33" s="1379"/>
      <c r="AI33" s="1379"/>
      <c r="AJ33" s="1379"/>
      <c r="AK33" s="1379"/>
      <c r="AL33" s="1379"/>
      <c r="AM33" s="1379"/>
      <c r="AN33" s="1379"/>
      <c r="AO33" s="1379"/>
      <c r="AP33" s="1379"/>
      <c r="AQ33" s="1379"/>
      <c r="AR33" s="1379"/>
      <c r="AS33" s="1379"/>
      <c r="AT33" s="1379"/>
      <c r="AU33" s="1379"/>
      <c r="AV33" s="1379"/>
      <c r="AW33" s="1379"/>
      <c r="AX33" s="1379"/>
      <c r="AY33" s="1379"/>
      <c r="AZ33" s="1379"/>
      <c r="BA33" s="1379"/>
      <c r="BB33" s="1379"/>
      <c r="BC33" s="1379"/>
      <c r="BD33" s="1376">
        <v>1000</v>
      </c>
      <c r="BE33" s="1379"/>
      <c r="BF33" s="1379"/>
      <c r="BG33" s="1379"/>
      <c r="BH33" s="1379"/>
      <c r="BI33" s="1379"/>
      <c r="BJ33" s="1379"/>
      <c r="BK33" s="1379"/>
      <c r="BL33" s="1379"/>
      <c r="BM33" s="1379"/>
      <c r="BN33" s="1379"/>
      <c r="BO33" s="1379"/>
      <c r="BP33" s="1379"/>
      <c r="BQ33" s="1379"/>
      <c r="BR33" s="1379"/>
      <c r="BS33" s="1379"/>
      <c r="BT33" s="1379"/>
      <c r="BU33" s="1379"/>
      <c r="BV33" s="1379"/>
      <c r="BW33" s="1379"/>
      <c r="BX33" s="1379"/>
      <c r="BY33" s="1379"/>
      <c r="BZ33" s="1379"/>
      <c r="CA33" s="1379"/>
      <c r="CB33" s="1379"/>
      <c r="CC33" s="1379"/>
      <c r="CD33" s="1379"/>
      <c r="CE33" s="1379"/>
      <c r="CF33" s="1379"/>
      <c r="CG33" s="1379"/>
      <c r="CH33" s="1379"/>
      <c r="CI33" s="1379"/>
      <c r="CJ33" s="1379"/>
      <c r="CK33" s="1379"/>
      <c r="CL33" s="1379"/>
      <c r="CM33" s="1379"/>
      <c r="CN33" s="1379"/>
      <c r="CO33" s="1379"/>
      <c r="CP33" s="1379"/>
      <c r="CQ33" s="1379"/>
      <c r="CR33" s="1379"/>
      <c r="CS33" s="1379"/>
      <c r="CT33" s="1379">
        <v>1000</v>
      </c>
      <c r="CU33" s="1379"/>
      <c r="CV33" s="1379"/>
      <c r="CW33" s="1379"/>
      <c r="CX33" s="1379">
        <v>1000</v>
      </c>
      <c r="CY33" s="1379"/>
      <c r="CZ33" s="1379"/>
      <c r="DA33" s="1379"/>
      <c r="DB33" s="1379"/>
      <c r="DC33" s="1379"/>
      <c r="DD33" s="1379"/>
      <c r="DE33" s="1379"/>
      <c r="DF33" s="1379"/>
      <c r="DG33" s="1379"/>
      <c r="DH33" s="1379"/>
      <c r="DI33" s="1379"/>
      <c r="DJ33" s="1379"/>
      <c r="DK33" s="1379"/>
      <c r="DL33" s="1379"/>
      <c r="DM33" s="1376">
        <v>1700</v>
      </c>
      <c r="DN33" s="1379"/>
      <c r="DO33" s="1379"/>
      <c r="DP33" s="1379"/>
      <c r="DQ33" s="1379"/>
      <c r="DR33" s="1379"/>
      <c r="DS33" s="1379"/>
      <c r="DT33" s="1379"/>
      <c r="DU33" s="1379"/>
      <c r="DV33" s="1379"/>
      <c r="DW33" s="1379"/>
      <c r="DX33" s="1379"/>
      <c r="DY33" s="1379"/>
      <c r="DZ33" s="1379"/>
      <c r="EA33" s="1379"/>
      <c r="EB33" s="1379"/>
      <c r="EC33" s="1376">
        <v>405</v>
      </c>
      <c r="ED33" s="1379"/>
      <c r="EE33" s="1379">
        <v>1000</v>
      </c>
      <c r="EF33" s="1379"/>
      <c r="EG33" s="1379"/>
      <c r="EH33" s="1379"/>
      <c r="EI33" s="1379"/>
      <c r="EJ33" s="1379"/>
      <c r="EK33" s="1379"/>
      <c r="EL33" s="1379"/>
      <c r="EM33" s="1379"/>
      <c r="EN33" s="1379"/>
      <c r="EO33" s="1379"/>
      <c r="EP33" s="1379"/>
      <c r="EQ33" s="1379"/>
      <c r="ER33" s="1379"/>
      <c r="ES33" s="1379"/>
      <c r="ET33" s="1379"/>
      <c r="EU33" s="1379"/>
      <c r="EV33" s="1379"/>
      <c r="EW33" s="1379"/>
      <c r="EX33" s="1379"/>
      <c r="EY33" s="1379"/>
      <c r="EZ33" s="1379"/>
      <c r="FA33" s="1379">
        <v>1000</v>
      </c>
      <c r="FB33" s="1379"/>
      <c r="FC33" s="1379"/>
      <c r="FD33" s="1379"/>
      <c r="FE33" s="1379"/>
      <c r="FF33" s="1376">
        <v>290</v>
      </c>
      <c r="FG33" s="1379"/>
      <c r="FH33" s="1379"/>
      <c r="FI33" s="1379"/>
      <c r="FJ33" s="1379"/>
      <c r="FK33" s="1376">
        <v>5796</v>
      </c>
      <c r="FL33" s="1379">
        <v>1000</v>
      </c>
      <c r="FM33" s="1379"/>
      <c r="FN33" s="1379"/>
      <c r="FO33" s="1379"/>
      <c r="FP33" s="1379"/>
      <c r="FQ33" s="1379"/>
      <c r="FR33" s="1379"/>
      <c r="FS33" s="1379"/>
      <c r="FT33" s="1379"/>
      <c r="FU33" s="1379"/>
      <c r="FV33" s="1379"/>
      <c r="FW33" s="1379"/>
      <c r="FX33" s="1379"/>
      <c r="FY33" s="1379"/>
      <c r="FZ33" s="1379"/>
      <c r="GA33" s="1379"/>
      <c r="GB33" s="1379"/>
      <c r="GC33" s="1379"/>
      <c r="GD33" s="1379"/>
      <c r="GE33" s="1379"/>
      <c r="GF33" s="1379"/>
      <c r="GG33" s="1379"/>
      <c r="GH33" s="1379"/>
      <c r="GI33" s="1379"/>
      <c r="GJ33" s="1379"/>
      <c r="GK33" s="1379"/>
      <c r="GL33" s="1379"/>
      <c r="GM33" s="1379"/>
      <c r="GN33" s="1379"/>
      <c r="GO33" s="1379"/>
      <c r="GP33" s="1379"/>
      <c r="GQ33" s="1379"/>
      <c r="GR33" s="1379"/>
      <c r="GS33" s="1379"/>
      <c r="GT33" s="1379"/>
      <c r="GU33" s="1379"/>
      <c r="GV33" s="1379">
        <v>1000</v>
      </c>
      <c r="GW33" s="1379"/>
      <c r="GX33" s="1379"/>
      <c r="GY33" s="1379"/>
      <c r="GZ33" s="1379"/>
      <c r="HA33" s="1379"/>
      <c r="HB33" s="1379"/>
      <c r="HC33" s="1379"/>
      <c r="HD33" s="1379"/>
      <c r="HE33" s="1379"/>
      <c r="HF33" s="1379"/>
      <c r="HG33" s="1379"/>
      <c r="HH33" s="1379"/>
      <c r="HI33" s="1379"/>
      <c r="HJ33" s="1379"/>
      <c r="HK33" s="1379"/>
      <c r="HL33" s="1379"/>
      <c r="HM33" s="1379"/>
      <c r="HN33" s="1379"/>
      <c r="HO33" s="1379"/>
      <c r="HP33" s="1379"/>
      <c r="HQ33" s="1379"/>
      <c r="HR33" s="1379"/>
      <c r="HS33" s="1379"/>
      <c r="HT33" s="1379"/>
      <c r="HU33" s="1379"/>
      <c r="HV33" s="1379"/>
      <c r="HW33" s="1379"/>
      <c r="HX33" s="1379"/>
      <c r="HY33" s="1379"/>
      <c r="HZ33" s="1379"/>
      <c r="IA33" s="1379"/>
      <c r="IB33" s="1379"/>
      <c r="IC33" s="1379"/>
      <c r="ID33" s="1379"/>
      <c r="IE33" s="1379"/>
      <c r="IF33" s="1379"/>
      <c r="IG33" s="1379"/>
      <c r="IH33" s="1379"/>
      <c r="II33" s="1379"/>
      <c r="IJ33" s="1379"/>
      <c r="IK33" s="1379"/>
      <c r="IL33" s="1379"/>
      <c r="IM33" s="1379"/>
      <c r="IN33" s="1379"/>
      <c r="IO33" s="1379"/>
      <c r="IP33" s="1379"/>
      <c r="IQ33" s="1379"/>
      <c r="IR33" s="1379"/>
      <c r="IS33" s="1379"/>
      <c r="IT33" s="1379"/>
      <c r="IU33" s="1379"/>
      <c r="IV33" s="1379"/>
      <c r="IW33" s="1379"/>
      <c r="IX33" s="1379"/>
      <c r="IY33" s="1379"/>
      <c r="IZ33" s="1379"/>
      <c r="JA33" s="1379"/>
      <c r="JB33" s="1379"/>
      <c r="JC33" s="1379"/>
      <c r="JD33" s="1379"/>
      <c r="JE33" s="1379"/>
      <c r="JF33" s="1379"/>
      <c r="JG33" s="1379"/>
      <c r="JH33" s="1379"/>
      <c r="JI33" s="1379"/>
      <c r="JJ33" s="1379"/>
      <c r="JK33" s="1379"/>
      <c r="JL33" s="1379"/>
      <c r="JM33" s="1379"/>
      <c r="JN33" s="1379"/>
      <c r="JO33" s="1379"/>
      <c r="JP33" s="1379"/>
      <c r="JQ33" s="2484"/>
      <c r="JR33" s="351"/>
      <c r="JS33" s="1365"/>
      <c r="JT33" s="1385" t="s">
        <v>2242</v>
      </c>
    </row>
    <row r="34" spans="1:280" ht="12.5" x14ac:dyDescent="0.25">
      <c r="A34" s="1367">
        <v>4</v>
      </c>
      <c r="B34" s="1372" t="str">
        <f>IF(INC_C_IND&gt;1,IF(HLOOKUP(INC_C_IND-1,INC_C_RANGE,A34)="","",HLOOKUP(INC_C_IND-1,INC_C_RANGE,A34)),"")</f>
        <v/>
      </c>
      <c r="C34" s="1371" t="s">
        <v>2268</v>
      </c>
      <c r="D34" s="1360" t="s">
        <v>2269</v>
      </c>
      <c r="E34" s="1777"/>
      <c r="F34" s="1777"/>
      <c r="G34" s="1777"/>
      <c r="H34" s="1777"/>
      <c r="I34" s="1777"/>
      <c r="J34" s="1777"/>
      <c r="K34" s="1777"/>
      <c r="L34" s="1777"/>
      <c r="M34" s="1777">
        <f>IF(M32="","",TRUNC((M32-M33)*BR_rate,2))</f>
        <v>300</v>
      </c>
      <c r="N34" s="1777"/>
      <c r="O34" s="1777"/>
      <c r="P34" s="2485">
        <f>IF(P32="","",TRUNC((P32-P33)*BR_rate,2))</f>
        <v>75.23</v>
      </c>
      <c r="Q34" s="1777">
        <f>IF(Q32="","",TRUNC((Q32-Q33)*BR_rate,2))</f>
        <v>240</v>
      </c>
      <c r="R34" s="1777"/>
      <c r="S34" s="1777"/>
      <c r="T34" s="1777"/>
      <c r="U34" s="1777"/>
      <c r="V34" s="1777"/>
      <c r="W34" s="1777"/>
      <c r="X34" s="1777"/>
      <c r="Y34" s="1777"/>
      <c r="Z34" s="1777"/>
      <c r="AA34" s="1777"/>
      <c r="AB34" s="1777">
        <f>IF(AB32="","",TRUNC((AB32-AB33)*BR_rate,2))</f>
        <v>360</v>
      </c>
      <c r="AC34" s="1777">
        <f>IF(AC32="","",TRUNC((AC32-AC33)*BR_rate,2))</f>
        <v>187.6</v>
      </c>
      <c r="AD34" s="1777"/>
      <c r="AE34" s="1777"/>
      <c r="AF34" s="1777"/>
      <c r="AG34" s="1777"/>
      <c r="AH34" s="1777"/>
      <c r="AI34" s="1777"/>
      <c r="AJ34" s="1777"/>
      <c r="AK34" s="1777"/>
      <c r="AL34" s="1777"/>
      <c r="AM34" s="1777">
        <f t="shared" ref="AM34:AS34" si="3">IF(AM32="","",TRUNC((AM32-AM33)*BR_rate,2))</f>
        <v>378</v>
      </c>
      <c r="AN34" s="1777" t="str">
        <f t="shared" si="3"/>
        <v/>
      </c>
      <c r="AO34" s="1777">
        <f t="shared" si="3"/>
        <v>517.79999999999995</v>
      </c>
      <c r="AP34" s="1777" t="str">
        <f t="shared" si="3"/>
        <v/>
      </c>
      <c r="AQ34" s="1777" t="str">
        <f t="shared" si="3"/>
        <v/>
      </c>
      <c r="AR34" s="1777" t="str">
        <f t="shared" si="3"/>
        <v/>
      </c>
      <c r="AS34" s="1777">
        <f t="shared" si="3"/>
        <v>1400</v>
      </c>
      <c r="AT34" s="2481"/>
      <c r="AU34" s="2481"/>
      <c r="AV34" s="2481"/>
      <c r="AW34" s="2481"/>
      <c r="AX34" s="2481"/>
      <c r="AY34" s="2481"/>
      <c r="AZ34" s="2481"/>
      <c r="BA34" s="2481"/>
      <c r="BB34" s="2481"/>
      <c r="BC34" s="2481"/>
      <c r="BD34" s="1772">
        <v>0</v>
      </c>
      <c r="BE34" s="2481"/>
      <c r="BF34" s="2481"/>
      <c r="BG34" s="2481"/>
      <c r="BH34" s="2481"/>
      <c r="BI34" s="2481"/>
      <c r="BJ34" s="2481"/>
      <c r="BK34" s="2481"/>
      <c r="BL34" s="2481"/>
      <c r="BM34" s="2481"/>
      <c r="BN34" s="2481"/>
      <c r="BO34" s="2481"/>
      <c r="BP34" s="1777" t="str">
        <f>IF(BP32="","",TRUNC((BP32-BP33)*BR_rate,2))</f>
        <v/>
      </c>
      <c r="BQ34" s="1777">
        <f>IF(BQ32="","",TRUNC((BQ32-BQ33)*BR_rate,2))</f>
        <v>300</v>
      </c>
      <c r="BR34" s="1777">
        <f>IF(BR32="","",TRUNC((BR32-BR33)*BR_rate,2))</f>
        <v>1400</v>
      </c>
      <c r="BS34" s="1777">
        <f>IF(BS32="","",TRUNC((BS32-BS33)*BR_rate,2))</f>
        <v>300</v>
      </c>
      <c r="BT34" s="2481"/>
      <c r="BU34" s="1777">
        <f>IF(BU32="","",TRUNC((BU32-BU33)*BR_rate,2))</f>
        <v>300</v>
      </c>
      <c r="BV34" s="2481"/>
      <c r="BW34" s="2481"/>
      <c r="BX34" s="1777">
        <f>IF(BX32="","",TRUNC((BX32-BX33)*BR_rate,2))</f>
        <v>300</v>
      </c>
      <c r="BY34" s="2481"/>
      <c r="BZ34" s="2481"/>
      <c r="CA34" s="2481"/>
      <c r="CB34" s="2481"/>
      <c r="CC34" s="2481"/>
      <c r="CD34" s="2481"/>
      <c r="CE34" s="2481"/>
      <c r="CF34" s="2481"/>
      <c r="CG34" s="2481"/>
      <c r="CH34" s="1777">
        <f>IF(CH32="","",TRUNC((CH32-CH33)*BR_rate,2))</f>
        <v>300</v>
      </c>
      <c r="CI34" s="2481"/>
      <c r="CJ34" s="2481"/>
      <c r="CK34" s="2481"/>
      <c r="CL34" s="2481"/>
      <c r="CM34" s="2485">
        <f>IF(CM32="","",TRUNC((CM32-CM33)*BR_rate,2))</f>
        <v>75.23</v>
      </c>
      <c r="CN34" s="2481" t="str">
        <f>IF(CN32="","",TRUNC((CN32-CN33)*BR_rate,2))</f>
        <v/>
      </c>
      <c r="CO34" s="2481" t="str">
        <f>IF(CO32="","",TRUNC((CO32-CO33)*BR_rate,2))</f>
        <v/>
      </c>
      <c r="CP34" s="2485">
        <f>IF(CP32="","",TRUNC((CP32-CP33)*BR_rate,2))</f>
        <v>75.23</v>
      </c>
      <c r="CQ34" s="2481"/>
      <c r="CR34" s="2481"/>
      <c r="CS34" s="2481"/>
      <c r="CT34" s="1777">
        <f>IF(CT32="","",TRUNC((CT32-CT33)*BR_rate,2))</f>
        <v>1004</v>
      </c>
      <c r="CU34" s="2481"/>
      <c r="CV34" s="2481"/>
      <c r="CW34" s="1777"/>
      <c r="CX34" s="1777">
        <f>IF(CX32="","",TRUNC((CX32-CX33)*BR_rate,2))</f>
        <v>3004</v>
      </c>
      <c r="CY34" s="2481"/>
      <c r="CZ34" s="2481"/>
      <c r="DA34" s="2481"/>
      <c r="DB34" s="2481"/>
      <c r="DC34" s="2481"/>
      <c r="DD34" s="2481"/>
      <c r="DE34" s="2481"/>
      <c r="DF34" s="2481"/>
      <c r="DG34" s="2481"/>
      <c r="DH34" s="2481"/>
      <c r="DI34" s="2481"/>
      <c r="DJ34" s="2481"/>
      <c r="DK34" s="2481"/>
      <c r="DL34" s="2481"/>
      <c r="DM34" s="1772">
        <f>IF(DM32="","",TRUNC((DM32-DM33)*BR_rate,2))</f>
        <v>1152</v>
      </c>
      <c r="DN34" s="2481"/>
      <c r="DO34" s="2481"/>
      <c r="DP34" s="2481"/>
      <c r="DQ34" s="2481"/>
      <c r="DR34" s="2481"/>
      <c r="DS34" s="2481"/>
      <c r="DT34" s="2481"/>
      <c r="DU34" s="2481"/>
      <c r="DV34" s="2481"/>
      <c r="DW34" s="2481"/>
      <c r="DX34" s="2481"/>
      <c r="DY34" s="2481"/>
      <c r="DZ34" s="1772"/>
      <c r="EA34" s="1777"/>
      <c r="EB34" s="2481"/>
      <c r="EC34" s="1772">
        <f>IF(EC32="","",TRUNC((EC32-EC33)*BR_rate,2))</f>
        <v>238</v>
      </c>
      <c r="ED34" s="1777"/>
      <c r="EE34" s="1777">
        <f>IF(EE32="","",TRUNC((EE32-EE33)*BR_rate,2))</f>
        <v>1004</v>
      </c>
      <c r="EF34" s="2481"/>
      <c r="EG34" s="2481"/>
      <c r="EH34" s="2481"/>
      <c r="EI34" s="2481"/>
      <c r="EJ34" s="2481"/>
      <c r="EK34" s="2481"/>
      <c r="EL34" s="1722"/>
      <c r="EM34" s="2481"/>
      <c r="EN34" s="2481"/>
      <c r="EO34" s="2481"/>
      <c r="EP34" s="2481"/>
      <c r="EQ34" s="2481"/>
      <c r="ER34" s="2481"/>
      <c r="ES34" s="2481"/>
      <c r="ET34" s="2481"/>
      <c r="EU34" s="2481"/>
      <c r="EV34" s="2481"/>
      <c r="EW34" s="2481"/>
      <c r="EX34" s="2481"/>
      <c r="EY34" s="2481"/>
      <c r="EZ34" s="2481"/>
      <c r="FA34" s="1777">
        <f>IF(FA32="","",TRUNC((FA32-FA33)*BR_rate,2))</f>
        <v>1004</v>
      </c>
      <c r="FB34" s="2481"/>
      <c r="FC34" s="1777">
        <f>IF(FC32="","",TRUNC((FC32-FC33)*BR_rate,2))</f>
        <v>300</v>
      </c>
      <c r="FD34" s="1772"/>
      <c r="FE34" s="2481"/>
      <c r="FF34" s="1772">
        <f t="shared" ref="FF34:FL34" si="4">IF(FF32="","",TRUNC((FF32-FF33)*BR_rate,2))</f>
        <v>745.8</v>
      </c>
      <c r="FG34" s="1777" t="str">
        <f t="shared" si="4"/>
        <v/>
      </c>
      <c r="FH34" s="1777" t="str">
        <f t="shared" si="4"/>
        <v/>
      </c>
      <c r="FI34" s="1777" t="str">
        <f t="shared" si="4"/>
        <v/>
      </c>
      <c r="FJ34" s="1777" t="str">
        <f t="shared" si="4"/>
        <v/>
      </c>
      <c r="FK34" s="1772">
        <f t="shared" si="4"/>
        <v>2420</v>
      </c>
      <c r="FL34" s="1777">
        <f t="shared" si="4"/>
        <v>1004</v>
      </c>
      <c r="FM34" s="2481"/>
      <c r="FN34" s="2481"/>
      <c r="FO34" s="2481"/>
      <c r="FP34" s="2481"/>
      <c r="FQ34" s="2481"/>
      <c r="FR34" s="2481"/>
      <c r="FS34" s="2481"/>
      <c r="FT34" s="2481"/>
      <c r="FU34" s="2481"/>
      <c r="FV34" s="2481"/>
      <c r="FW34" s="2481"/>
      <c r="FX34" s="2481"/>
      <c r="FY34" s="1777">
        <f>IF(FY32="","",TRUNC((FY32-FY33)*BR_rate,2))</f>
        <v>1400</v>
      </c>
      <c r="FZ34" s="1777">
        <f>IF(FZ32="","",TRUNC((FZ32-FZ33)*BR_rate,2))</f>
        <v>1400</v>
      </c>
      <c r="GA34" s="1777">
        <f>IF(GA32="","",TRUNC((GA32-GA33)*BR_rate,2))</f>
        <v>1400</v>
      </c>
      <c r="GB34" s="1777">
        <f>IF(GB32="","",TRUNC((GB32-GB33)*BR_rate,2))</f>
        <v>1400</v>
      </c>
      <c r="GC34" s="2481"/>
      <c r="GD34" s="2481"/>
      <c r="GE34" s="2481"/>
      <c r="GF34" s="2481"/>
      <c r="GG34" s="2481"/>
      <c r="GH34" s="2481"/>
      <c r="GI34" s="2481"/>
      <c r="GJ34" s="1772">
        <f>IF(GJ32="","",TRUNC((GJ32-GJ33)*BR_rate,2))</f>
        <v>1840</v>
      </c>
      <c r="GK34" s="2481"/>
      <c r="GL34" s="1777"/>
      <c r="GM34" s="1777"/>
      <c r="GN34" s="2481"/>
      <c r="GO34" s="2481"/>
      <c r="GP34" s="2481"/>
      <c r="GQ34" s="2481"/>
      <c r="GR34" s="2481"/>
      <c r="GS34" s="1777"/>
      <c r="GT34" s="2481"/>
      <c r="GU34" s="2481"/>
      <c r="GV34" s="1777">
        <f>IF(GV32="","",TRUNC((GV32-GV33)*BR_rate,2))</f>
        <v>1004</v>
      </c>
      <c r="GW34" s="1772">
        <v>1050</v>
      </c>
      <c r="GX34" s="2481"/>
      <c r="GY34" s="2481"/>
      <c r="GZ34" s="2481"/>
      <c r="HA34" s="2481"/>
      <c r="HB34" s="2481"/>
      <c r="HC34" s="2481"/>
      <c r="HD34" s="2481"/>
      <c r="HE34" s="2481"/>
      <c r="HF34" s="2481"/>
      <c r="HG34" s="2481"/>
      <c r="HH34" s="2481"/>
      <c r="HI34" s="2481"/>
      <c r="HJ34" s="2481"/>
      <c r="HK34" s="2481"/>
      <c r="HL34" s="2481"/>
      <c r="HM34" s="2481"/>
      <c r="HN34" s="2481"/>
      <c r="HO34" s="2481"/>
      <c r="HP34" s="2481"/>
      <c r="HQ34" s="2481"/>
      <c r="HR34" s="2481"/>
      <c r="HS34" s="2481"/>
      <c r="HT34" s="2481"/>
      <c r="HU34" s="2481"/>
      <c r="HV34" s="2481"/>
      <c r="HW34" s="2481"/>
      <c r="HX34" s="2481"/>
      <c r="HY34" s="2481"/>
      <c r="HZ34" s="2481"/>
      <c r="IA34" s="2481"/>
      <c r="IB34" s="2481"/>
      <c r="IC34" s="1777">
        <f>IF(IC32="","",TRUNC((IC32-IC33)*BR_rate,2))</f>
        <v>223.2</v>
      </c>
      <c r="ID34" s="2481"/>
      <c r="IE34" s="2481"/>
      <c r="IF34" s="1777">
        <f>IF(IF32="","",TRUNC((IF32-IF33)*BR_rate,2))</f>
        <v>194.4</v>
      </c>
      <c r="IG34" s="2481"/>
      <c r="IH34" s="2481"/>
      <c r="II34" s="2481"/>
      <c r="IJ34" s="2481"/>
      <c r="IK34" s="2481"/>
      <c r="IL34" s="2481">
        <f>IF(IL32="","",TRUNC((IL32-IL33)*BR_rate,2))</f>
        <v>2000</v>
      </c>
      <c r="IM34" s="2481"/>
      <c r="IN34" s="2481"/>
      <c r="IO34" s="2481"/>
      <c r="IP34" s="2481"/>
      <c r="IQ34" s="2481"/>
      <c r="IR34" s="2481"/>
      <c r="IS34" s="2481"/>
      <c r="IT34" s="2481"/>
      <c r="IU34" s="2481"/>
      <c r="IV34" s="2481"/>
      <c r="IW34" s="1722">
        <v>3596.55</v>
      </c>
      <c r="IX34" s="1722">
        <v>27</v>
      </c>
      <c r="IY34" s="2481"/>
      <c r="IZ34" s="2481"/>
      <c r="JA34" s="2481"/>
      <c r="JB34" s="2481"/>
      <c r="JC34" s="2481"/>
      <c r="JD34" s="2481"/>
      <c r="JE34" s="2481"/>
      <c r="JF34" s="2481"/>
      <c r="JG34" s="2481"/>
      <c r="JH34" s="2481">
        <v>15</v>
      </c>
      <c r="JI34" s="2481"/>
      <c r="JJ34" s="1722">
        <v>15</v>
      </c>
      <c r="JK34" s="2481"/>
      <c r="JL34" s="2481"/>
      <c r="JM34" s="2481">
        <v>155</v>
      </c>
      <c r="JN34" s="2481"/>
      <c r="JO34" s="2481"/>
      <c r="JP34" s="2481"/>
      <c r="JQ34" s="2486"/>
      <c r="JR34" s="351"/>
      <c r="JS34" s="1365" t="s">
        <v>2270</v>
      </c>
      <c r="JT34" s="1385" t="s">
        <v>2242</v>
      </c>
    </row>
    <row r="35" spans="1:280" ht="12.5" x14ac:dyDescent="0.25">
      <c r="A35" s="1367">
        <v>5</v>
      </c>
      <c r="B35" s="1372" t="str">
        <f>IF(INC_C_IND&gt;1,IF(HLOOKUP(INC_C_IND-1,INC_C_RANGE,A35)="","",HLOOKUP(INC_C_IND-1,INC_C_RANGE,A35)),"")</f>
        <v/>
      </c>
      <c r="C35" s="1371" t="s">
        <v>2271</v>
      </c>
      <c r="D35" s="1360" t="s">
        <v>2272</v>
      </c>
      <c r="E35" s="1784"/>
      <c r="F35" s="1784"/>
      <c r="G35" s="1784"/>
      <c r="H35" s="1784"/>
      <c r="I35" s="1784"/>
      <c r="J35" s="1784"/>
      <c r="K35" s="1784"/>
      <c r="L35" s="1784"/>
      <c r="M35" s="1784"/>
      <c r="N35" s="1784"/>
      <c r="O35" s="1784"/>
      <c r="P35" s="1784"/>
      <c r="Q35" s="1784"/>
      <c r="R35" s="1784"/>
      <c r="S35" s="1784"/>
      <c r="T35" s="1784"/>
      <c r="U35" s="1784"/>
      <c r="V35" s="1784"/>
      <c r="W35" s="1784"/>
      <c r="X35" s="1784"/>
      <c r="Y35" s="1784"/>
      <c r="Z35" s="1784"/>
      <c r="AA35" s="1784"/>
      <c r="AB35" s="1784"/>
      <c r="AC35" s="1784"/>
      <c r="AD35" s="1784"/>
      <c r="AE35" s="1784"/>
      <c r="AF35" s="1784"/>
      <c r="AG35" s="1784"/>
      <c r="AH35" s="1784"/>
      <c r="AI35" s="1784"/>
      <c r="AJ35" s="1784"/>
      <c r="AK35" s="1784"/>
      <c r="AL35" s="1784"/>
      <c r="AM35" s="1784"/>
      <c r="AN35" s="1784"/>
      <c r="AO35" s="1784"/>
      <c r="AP35" s="1784"/>
      <c r="AQ35" s="1784"/>
      <c r="AR35" s="1784"/>
      <c r="AS35" s="1784"/>
      <c r="AT35" s="1378"/>
      <c r="AU35" s="1378"/>
      <c r="AV35" s="1378"/>
      <c r="AW35" s="1378"/>
      <c r="AX35" s="1378"/>
      <c r="AY35" s="1378"/>
      <c r="AZ35" s="1378"/>
      <c r="BA35" s="1378"/>
      <c r="BB35" s="1378"/>
      <c r="BC35" s="1378"/>
      <c r="BD35" s="1784"/>
      <c r="BE35" s="1378"/>
      <c r="BF35" s="1378"/>
      <c r="BG35" s="1378"/>
      <c r="BH35" s="1378"/>
      <c r="BI35" s="1378"/>
      <c r="BJ35" s="1378"/>
      <c r="BK35" s="1378"/>
      <c r="BL35" s="1378"/>
      <c r="BM35" s="1378"/>
      <c r="BN35" s="1378"/>
      <c r="BO35" s="1378"/>
      <c r="BP35" s="1784"/>
      <c r="BQ35" s="1784"/>
      <c r="BR35" s="1784"/>
      <c r="BS35" s="1784"/>
      <c r="BT35" s="1378"/>
      <c r="BU35" s="1784"/>
      <c r="BV35" s="1378"/>
      <c r="BW35" s="1378"/>
      <c r="BX35" s="1784"/>
      <c r="BY35" s="1378"/>
      <c r="BZ35" s="1378"/>
      <c r="CA35" s="2477"/>
      <c r="CB35" s="2477"/>
      <c r="CC35" s="2477"/>
      <c r="CD35" s="1378"/>
      <c r="CE35" s="2477"/>
      <c r="CF35" s="1378"/>
      <c r="CG35" s="2477"/>
      <c r="CH35" s="1784"/>
      <c r="CI35" s="2477"/>
      <c r="CJ35" s="1378"/>
      <c r="CK35" s="2477"/>
      <c r="CL35" s="1378"/>
      <c r="CM35" s="1784"/>
      <c r="CN35" s="1378"/>
      <c r="CO35" s="2477"/>
      <c r="CP35" s="1784"/>
      <c r="CQ35" s="2477"/>
      <c r="CR35" s="1378"/>
      <c r="CS35" s="2477"/>
      <c r="CT35" s="1784"/>
      <c r="CU35" s="2477"/>
      <c r="CV35" s="1378"/>
      <c r="CW35" s="1784">
        <v>1265</v>
      </c>
      <c r="CX35" s="1784"/>
      <c r="CY35" s="2477"/>
      <c r="CZ35" s="1378"/>
      <c r="DA35" s="2477"/>
      <c r="DB35" s="2477"/>
      <c r="DC35" s="2477"/>
      <c r="DD35" s="1378"/>
      <c r="DE35" s="2477"/>
      <c r="DF35" s="1378"/>
      <c r="DG35" s="2477"/>
      <c r="DH35" s="1378"/>
      <c r="DI35" s="2477"/>
      <c r="DJ35" s="1378"/>
      <c r="DK35" s="2477"/>
      <c r="DL35" s="1378"/>
      <c r="DM35" s="1784"/>
      <c r="DN35" s="1378"/>
      <c r="DO35" s="2477"/>
      <c r="DP35" s="1378"/>
      <c r="DQ35" s="2477"/>
      <c r="DR35" s="1378"/>
      <c r="DS35" s="2477"/>
      <c r="DT35" s="1378"/>
      <c r="DU35" s="2477"/>
      <c r="DV35" s="1378"/>
      <c r="DW35" s="2477"/>
      <c r="DX35" s="1378"/>
      <c r="DY35" s="2477"/>
      <c r="DZ35" s="1784"/>
      <c r="EA35" s="1784"/>
      <c r="EB35" s="1378"/>
      <c r="EC35" s="1784"/>
      <c r="ED35" s="1784"/>
      <c r="EE35" s="1784"/>
      <c r="EF35" s="1378"/>
      <c r="EG35" s="2477"/>
      <c r="EH35" s="1378"/>
      <c r="EI35" s="2477"/>
      <c r="EJ35" s="1378"/>
      <c r="EK35" s="2477"/>
      <c r="EL35" s="2477"/>
      <c r="EM35" s="2477"/>
      <c r="EN35" s="1378"/>
      <c r="EO35" s="2477"/>
      <c r="EP35" s="1378"/>
      <c r="EQ35" s="2477"/>
      <c r="ER35" s="1378"/>
      <c r="ES35" s="2477"/>
      <c r="ET35" s="1378"/>
      <c r="EU35" s="2477"/>
      <c r="EV35" s="1378"/>
      <c r="EW35" s="2477"/>
      <c r="EX35" s="1378"/>
      <c r="EY35" s="2477"/>
      <c r="EZ35" s="1378"/>
      <c r="FA35" s="1784"/>
      <c r="FB35" s="1378"/>
      <c r="FC35" s="1784"/>
      <c r="FD35" s="1784"/>
      <c r="FE35" s="2477"/>
      <c r="FF35" s="1784"/>
      <c r="FG35" s="2477"/>
      <c r="FH35" s="1378"/>
      <c r="FI35" s="2477"/>
      <c r="FJ35" s="2477"/>
      <c r="FK35" s="2477"/>
      <c r="FL35" s="1784"/>
      <c r="FM35" s="2477"/>
      <c r="FN35" s="1378"/>
      <c r="FO35" s="2477"/>
      <c r="FP35" s="2477"/>
      <c r="FQ35" s="2477"/>
      <c r="FR35" s="1378"/>
      <c r="FS35" s="2477"/>
      <c r="FT35" s="1378"/>
      <c r="FU35" s="2477"/>
      <c r="FV35" s="1378"/>
      <c r="FW35" s="2477"/>
      <c r="FX35" s="1378"/>
      <c r="FY35" s="1784"/>
      <c r="FZ35" s="1784"/>
      <c r="GA35" s="1784"/>
      <c r="GB35" s="1784"/>
      <c r="GC35" s="2477"/>
      <c r="GD35" s="1378"/>
      <c r="GE35" s="2477"/>
      <c r="GF35" s="1378"/>
      <c r="GG35" s="2477"/>
      <c r="GH35" s="1378"/>
      <c r="GI35" s="2477"/>
      <c r="GJ35" s="1784"/>
      <c r="GK35" s="2477"/>
      <c r="GL35" s="1784">
        <v>1265</v>
      </c>
      <c r="GM35" s="1784">
        <v>1265</v>
      </c>
      <c r="GN35" s="1378"/>
      <c r="GO35" s="2477"/>
      <c r="GP35" s="1378"/>
      <c r="GQ35" s="2477"/>
      <c r="GR35" s="1378"/>
      <c r="GS35" s="1784">
        <v>1265</v>
      </c>
      <c r="GT35" s="1378"/>
      <c r="GU35" s="2477"/>
      <c r="GV35" s="1784"/>
      <c r="GW35" s="1784"/>
      <c r="GX35" s="1378"/>
      <c r="GY35" s="2477"/>
      <c r="GZ35" s="1378"/>
      <c r="HA35" s="2477"/>
      <c r="HB35" s="1378"/>
      <c r="HC35" s="2477"/>
      <c r="HD35" s="1378"/>
      <c r="HE35" s="2477"/>
      <c r="HF35" s="1378"/>
      <c r="HG35" s="2477"/>
      <c r="HH35" s="1378"/>
      <c r="HI35" s="2477"/>
      <c r="HJ35" s="1378"/>
      <c r="HK35" s="2477"/>
      <c r="HL35" s="1378"/>
      <c r="HM35" s="2477"/>
      <c r="HN35" s="1378"/>
      <c r="HO35" s="2477"/>
      <c r="HP35" s="1378"/>
      <c r="HQ35" s="2477"/>
      <c r="HR35" s="1378"/>
      <c r="HS35" s="2477"/>
      <c r="HT35" s="1378"/>
      <c r="HU35" s="2477"/>
      <c r="HV35" s="2477"/>
      <c r="HW35" s="2477"/>
      <c r="HX35" s="1378"/>
      <c r="HY35" s="2477"/>
      <c r="HZ35" s="1378"/>
      <c r="IA35" s="2477"/>
      <c r="IB35" s="1378"/>
      <c r="IC35" s="1784"/>
      <c r="ID35" s="1378"/>
      <c r="IE35" s="2477"/>
      <c r="IF35" s="1784"/>
      <c r="IG35" s="2477"/>
      <c r="IH35" s="1378"/>
      <c r="II35" s="2477"/>
      <c r="IJ35" s="1378"/>
      <c r="IK35" s="2477"/>
      <c r="IL35" s="1378"/>
      <c r="IM35" s="2477"/>
      <c r="IN35" s="1378"/>
      <c r="IO35" s="2477"/>
      <c r="IP35" s="1378"/>
      <c r="IQ35" s="1378"/>
      <c r="IR35" s="1378"/>
      <c r="IS35" s="1378"/>
      <c r="IT35" s="1378"/>
      <c r="IU35" s="1378"/>
      <c r="IV35" s="1378"/>
      <c r="IW35" s="1378"/>
      <c r="IX35" s="1378"/>
      <c r="IY35" s="1378"/>
      <c r="IZ35" s="1378"/>
      <c r="JA35" s="1378"/>
      <c r="JB35" s="1378"/>
      <c r="JC35" s="1378"/>
      <c r="JD35" s="1378"/>
      <c r="JE35" s="1378"/>
      <c r="JF35" s="1378"/>
      <c r="JG35" s="1378"/>
      <c r="JH35" s="1378"/>
      <c r="JI35" s="1378"/>
      <c r="JJ35" s="1378"/>
      <c r="JK35" s="1378"/>
      <c r="JL35" s="1378"/>
      <c r="JM35" s="1378"/>
      <c r="JN35" s="1378"/>
      <c r="JO35" s="1378"/>
      <c r="JP35" s="1378"/>
      <c r="JQ35" s="2484"/>
      <c r="JR35" s="351"/>
      <c r="JS35" s="1365"/>
      <c r="JT35" s="1385" t="s">
        <v>2242</v>
      </c>
    </row>
    <row r="36" spans="1:280" ht="23.5" thickBot="1" x14ac:dyDescent="0.3">
      <c r="A36" s="1367">
        <v>6</v>
      </c>
      <c r="B36" s="1372" t="str">
        <f>IF(INC_C_IND&gt;1,IF(HLOOKUP(INC_C_IND-1,INC_C_RANGE,A36)="","",HLOOKUP(INC_C_IND-1,INC_C_RANGE,A36)),"")</f>
        <v/>
      </c>
      <c r="C36" s="1371" t="s">
        <v>2273</v>
      </c>
      <c r="D36" s="1373" t="s">
        <v>2274</v>
      </c>
      <c r="E36" s="706"/>
      <c r="F36" s="706"/>
      <c r="G36" s="706"/>
      <c r="H36" s="706"/>
      <c r="I36" s="706"/>
      <c r="J36" s="706"/>
      <c r="K36" s="706"/>
      <c r="L36" s="706"/>
      <c r="M36" s="706" t="s">
        <v>2275</v>
      </c>
      <c r="N36" s="706"/>
      <c r="O36" s="706"/>
      <c r="P36" s="706" t="s">
        <v>2276</v>
      </c>
      <c r="Q36" s="706" t="s">
        <v>2277</v>
      </c>
      <c r="R36" s="706"/>
      <c r="S36" s="706"/>
      <c r="T36" s="706"/>
      <c r="U36" s="706"/>
      <c r="V36" s="706"/>
      <c r="W36" s="706"/>
      <c r="X36" s="706"/>
      <c r="Y36" s="706"/>
      <c r="Z36" s="706" t="s">
        <v>2278</v>
      </c>
      <c r="AA36" s="706"/>
      <c r="AB36" s="706" t="s">
        <v>2275</v>
      </c>
      <c r="AC36" s="706" t="s">
        <v>2275</v>
      </c>
      <c r="AD36" s="706"/>
      <c r="AE36" s="706"/>
      <c r="AF36" s="706"/>
      <c r="AG36" s="706" t="s">
        <v>2279</v>
      </c>
      <c r="AH36" s="706"/>
      <c r="AI36" s="706"/>
      <c r="AJ36" s="706"/>
      <c r="AK36" s="706"/>
      <c r="AL36" s="706"/>
      <c r="AM36" s="706" t="s">
        <v>2280</v>
      </c>
      <c r="AN36" s="706"/>
      <c r="AO36" s="706" t="s">
        <v>2281</v>
      </c>
      <c r="AP36" s="706"/>
      <c r="AQ36" s="706"/>
      <c r="AR36" s="706"/>
      <c r="AS36" s="706" t="s">
        <v>2282</v>
      </c>
      <c r="AT36" s="707"/>
      <c r="AU36" s="707"/>
      <c r="AV36" s="707"/>
      <c r="AW36" s="707"/>
      <c r="AX36" s="707"/>
      <c r="AY36" s="707"/>
      <c r="AZ36" s="707"/>
      <c r="BA36" s="707"/>
      <c r="BB36" s="707"/>
      <c r="BC36" s="707"/>
      <c r="BD36" s="706" t="s">
        <v>2283</v>
      </c>
      <c r="BE36" s="707"/>
      <c r="BF36" s="707"/>
      <c r="BG36" s="707"/>
      <c r="BH36" s="707"/>
      <c r="BI36" s="707"/>
      <c r="BJ36" s="707"/>
      <c r="BK36" s="707"/>
      <c r="BL36" s="707"/>
      <c r="BM36" s="707"/>
      <c r="BN36" s="707"/>
      <c r="BO36" s="707"/>
      <c r="BP36" s="706" t="s">
        <v>2275</v>
      </c>
      <c r="BQ36" s="706" t="s">
        <v>2275</v>
      </c>
      <c r="BR36" s="706" t="s">
        <v>2282</v>
      </c>
      <c r="BS36" s="706" t="s">
        <v>2275</v>
      </c>
      <c r="BT36" s="707"/>
      <c r="BU36" s="706" t="s">
        <v>2275</v>
      </c>
      <c r="BV36" s="707"/>
      <c r="BW36" s="707"/>
      <c r="BX36" s="706" t="s">
        <v>2275</v>
      </c>
      <c r="BY36" s="707"/>
      <c r="BZ36" s="707"/>
      <c r="CA36" s="708"/>
      <c r="CB36" s="708"/>
      <c r="CC36" s="708"/>
      <c r="CD36" s="707"/>
      <c r="CE36" s="708"/>
      <c r="CF36" s="707"/>
      <c r="CG36" s="708"/>
      <c r="CH36" s="706" t="s">
        <v>2275</v>
      </c>
      <c r="CI36" s="708"/>
      <c r="CJ36" s="707"/>
      <c r="CK36" s="708"/>
      <c r="CL36" s="707"/>
      <c r="CM36" s="706" t="s">
        <v>2276</v>
      </c>
      <c r="CN36" s="707"/>
      <c r="CO36" s="708"/>
      <c r="CP36" s="706" t="s">
        <v>2276</v>
      </c>
      <c r="CQ36" s="708"/>
      <c r="CR36" s="707"/>
      <c r="CS36" s="708"/>
      <c r="CT36" s="706" t="s">
        <v>2284</v>
      </c>
      <c r="CU36" s="708"/>
      <c r="CV36" s="707"/>
      <c r="CW36" s="706" t="s">
        <v>2285</v>
      </c>
      <c r="CX36" s="706" t="s">
        <v>2284</v>
      </c>
      <c r="CY36" s="708"/>
      <c r="CZ36" s="707"/>
      <c r="DA36" s="708"/>
      <c r="DB36" s="708"/>
      <c r="DC36" s="708"/>
      <c r="DD36" s="707"/>
      <c r="DE36" s="708"/>
      <c r="DF36" s="707"/>
      <c r="DG36" s="708"/>
      <c r="DH36" s="707"/>
      <c r="DI36" s="708"/>
      <c r="DJ36" s="707"/>
      <c r="DK36" s="708"/>
      <c r="DL36" s="707"/>
      <c r="DM36" s="706" t="s">
        <v>2284</v>
      </c>
      <c r="DN36" s="707"/>
      <c r="DO36" s="708"/>
      <c r="DP36" s="707"/>
      <c r="DQ36" s="709" t="s">
        <v>2286</v>
      </c>
      <c r="DR36" s="707"/>
      <c r="DS36" s="708"/>
      <c r="DT36" s="707"/>
      <c r="DU36" s="708"/>
      <c r="DV36" s="707"/>
      <c r="DW36" s="708"/>
      <c r="DX36" s="707"/>
      <c r="DY36" s="708"/>
      <c r="DZ36" s="1004"/>
      <c r="EA36" s="706"/>
      <c r="EB36" s="707"/>
      <c r="EC36" s="706" t="s">
        <v>2283</v>
      </c>
      <c r="ED36" s="706"/>
      <c r="EE36" s="706" t="s">
        <v>2284</v>
      </c>
      <c r="EF36" s="707"/>
      <c r="EG36" s="708"/>
      <c r="EH36" s="707"/>
      <c r="EI36" s="708"/>
      <c r="EJ36" s="707"/>
      <c r="EK36" s="708"/>
      <c r="EL36" s="1008"/>
      <c r="EM36" s="708"/>
      <c r="EN36" s="707"/>
      <c r="EO36" s="708"/>
      <c r="EP36" s="707"/>
      <c r="EQ36" s="708"/>
      <c r="ER36" s="707"/>
      <c r="ES36" s="708"/>
      <c r="ET36" s="707"/>
      <c r="EU36" s="708"/>
      <c r="EV36" s="707"/>
      <c r="EW36" s="708"/>
      <c r="EX36" s="707"/>
      <c r="EY36" s="708"/>
      <c r="EZ36" s="707"/>
      <c r="FA36" s="706" t="s">
        <v>2284</v>
      </c>
      <c r="FB36" s="707"/>
      <c r="FC36" s="706" t="s">
        <v>2275</v>
      </c>
      <c r="FD36" s="1004"/>
      <c r="FE36" s="708"/>
      <c r="FF36" s="706" t="s">
        <v>2283</v>
      </c>
      <c r="FG36" s="708"/>
      <c r="FH36" s="707"/>
      <c r="FI36" s="708"/>
      <c r="FJ36" s="708"/>
      <c r="FK36" s="708"/>
      <c r="FL36" s="706" t="s">
        <v>2284</v>
      </c>
      <c r="FM36" s="708"/>
      <c r="FN36" s="707"/>
      <c r="FO36" s="708"/>
      <c r="FP36" s="708"/>
      <c r="FQ36" s="708"/>
      <c r="FR36" s="707"/>
      <c r="FS36" s="708"/>
      <c r="FT36" s="707"/>
      <c r="FU36" s="708"/>
      <c r="FV36" s="707"/>
      <c r="FW36" s="708"/>
      <c r="FX36" s="707"/>
      <c r="FY36" s="706" t="s">
        <v>2282</v>
      </c>
      <c r="FZ36" s="706" t="s">
        <v>2282</v>
      </c>
      <c r="GA36" s="706" t="s">
        <v>2282</v>
      </c>
      <c r="GB36" s="706" t="s">
        <v>2282</v>
      </c>
      <c r="GC36" s="708"/>
      <c r="GD36" s="707"/>
      <c r="GE36" s="708"/>
      <c r="GF36" s="707"/>
      <c r="GG36" s="708"/>
      <c r="GH36" s="707"/>
      <c r="GI36" s="708"/>
      <c r="GJ36" s="706" t="s">
        <v>2282</v>
      </c>
      <c r="GK36" s="708"/>
      <c r="GL36" s="706" t="s">
        <v>2285</v>
      </c>
      <c r="GM36" s="706" t="s">
        <v>2285</v>
      </c>
      <c r="GN36" s="707"/>
      <c r="GO36" s="708"/>
      <c r="GP36" s="707"/>
      <c r="GQ36" s="708"/>
      <c r="GR36" s="707"/>
      <c r="GS36" s="706" t="s">
        <v>2285</v>
      </c>
      <c r="GT36" s="707"/>
      <c r="GU36" s="708"/>
      <c r="GV36" s="706" t="s">
        <v>2284</v>
      </c>
      <c r="GW36" s="706" t="s">
        <v>2282</v>
      </c>
      <c r="GX36" s="707"/>
      <c r="GY36" s="708"/>
      <c r="GZ36" s="707"/>
      <c r="HA36" s="708"/>
      <c r="HB36" s="707"/>
      <c r="HC36" s="708"/>
      <c r="HD36" s="707"/>
      <c r="HE36" s="708"/>
      <c r="HF36" s="707"/>
      <c r="HG36" s="708"/>
      <c r="HH36" s="707"/>
      <c r="HI36" s="708"/>
      <c r="HJ36" s="707"/>
      <c r="HK36" s="708"/>
      <c r="HL36" s="707"/>
      <c r="HM36" s="708"/>
      <c r="HN36" s="707"/>
      <c r="HO36" s="708"/>
      <c r="HP36" s="707"/>
      <c r="HQ36" s="708"/>
      <c r="HR36" s="707"/>
      <c r="HS36" s="708"/>
      <c r="HT36" s="707"/>
      <c r="HU36" s="708"/>
      <c r="HV36" s="708"/>
      <c r="HW36" s="708"/>
      <c r="HX36" s="707"/>
      <c r="HY36" s="708"/>
      <c r="HZ36" s="707"/>
      <c r="IA36" s="708"/>
      <c r="IB36" s="707"/>
      <c r="IC36" s="706" t="s">
        <v>2287</v>
      </c>
      <c r="ID36" s="707"/>
      <c r="IE36" s="708"/>
      <c r="IF36" s="706" t="s">
        <v>2288</v>
      </c>
      <c r="IG36" s="708"/>
      <c r="IH36" s="707"/>
      <c r="II36" s="708"/>
      <c r="IJ36" s="707"/>
      <c r="IK36" s="708"/>
      <c r="IL36" s="707" t="s">
        <v>2289</v>
      </c>
      <c r="IM36" s="708"/>
      <c r="IN36" s="707"/>
      <c r="IO36" s="708"/>
      <c r="IP36" s="707"/>
      <c r="IQ36" s="707"/>
      <c r="IR36" s="707"/>
      <c r="IS36" s="707"/>
      <c r="IT36" s="707"/>
      <c r="IU36" s="707"/>
      <c r="IV36" s="707"/>
      <c r="IW36" s="707"/>
      <c r="IX36" s="707"/>
      <c r="IY36" s="707"/>
      <c r="IZ36" s="707"/>
      <c r="JA36" s="707"/>
      <c r="JB36" s="707"/>
      <c r="JC36" s="707"/>
      <c r="JD36" s="707"/>
      <c r="JE36" s="707"/>
      <c r="JF36" s="707"/>
      <c r="JG36" s="707"/>
      <c r="JH36" s="707" t="s">
        <v>2290</v>
      </c>
      <c r="JI36" s="707"/>
      <c r="JJ36" s="707"/>
      <c r="JK36" s="707"/>
      <c r="JL36" s="707"/>
      <c r="JM36" s="707"/>
      <c r="JN36" s="707"/>
      <c r="JO36" s="707"/>
      <c r="JP36" s="707"/>
      <c r="JQ36" s="710"/>
      <c r="JR36" s="351"/>
      <c r="JS36" s="1365"/>
      <c r="JT36" s="1385" t="s">
        <v>2291</v>
      </c>
    </row>
    <row r="37" spans="1:280" ht="12" thickBot="1" x14ac:dyDescent="0.3">
      <c r="C37" s="261" t="s">
        <v>2292</v>
      </c>
      <c r="D37" s="137"/>
    </row>
    <row r="38" spans="1:280" ht="12.5" x14ac:dyDescent="0.25">
      <c r="A38" s="1367" t="s">
        <v>2201</v>
      </c>
      <c r="B38" s="406" t="str">
        <f>"selected "&amp;REL_A_IND-1</f>
        <v>selected 0</v>
      </c>
      <c r="C38" s="1374" t="s">
        <v>4</v>
      </c>
      <c r="D38" s="1394"/>
      <c r="E38" s="418">
        <v>1</v>
      </c>
      <c r="F38" s="418">
        <v>2</v>
      </c>
      <c r="G38" s="418">
        <v>3</v>
      </c>
      <c r="H38" s="418">
        <v>4</v>
      </c>
      <c r="I38" s="418">
        <v>5</v>
      </c>
      <c r="J38" s="418">
        <v>6</v>
      </c>
      <c r="K38" s="418">
        <v>7</v>
      </c>
      <c r="L38" s="418">
        <v>8</v>
      </c>
      <c r="M38" s="418">
        <v>9</v>
      </c>
      <c r="N38" s="418">
        <v>10</v>
      </c>
      <c r="O38" s="418">
        <v>11</v>
      </c>
      <c r="P38" s="418">
        <v>12</v>
      </c>
      <c r="Q38" s="418">
        <v>13</v>
      </c>
      <c r="R38" s="418">
        <v>14</v>
      </c>
      <c r="S38" s="418">
        <v>15</v>
      </c>
      <c r="T38" s="418">
        <v>16</v>
      </c>
      <c r="U38" s="418">
        <v>17</v>
      </c>
      <c r="V38" s="418">
        <v>18</v>
      </c>
      <c r="W38" s="418">
        <v>19</v>
      </c>
      <c r="X38" s="418">
        <v>20</v>
      </c>
      <c r="Y38" s="418">
        <v>21</v>
      </c>
      <c r="Z38" s="418">
        <v>22</v>
      </c>
      <c r="AA38" s="418">
        <v>23</v>
      </c>
      <c r="AB38" s="418">
        <v>24</v>
      </c>
      <c r="AC38" s="418">
        <v>25</v>
      </c>
      <c r="AD38" s="418">
        <v>26</v>
      </c>
      <c r="AE38" s="418">
        <v>27</v>
      </c>
      <c r="AF38" s="418">
        <v>28</v>
      </c>
      <c r="AG38" s="418">
        <v>29</v>
      </c>
      <c r="AH38" s="418">
        <v>30</v>
      </c>
      <c r="AI38" s="418">
        <v>31</v>
      </c>
      <c r="AJ38" s="418">
        <v>32</v>
      </c>
      <c r="AK38" s="418">
        <v>33</v>
      </c>
      <c r="AL38" s="418">
        <v>34</v>
      </c>
      <c r="AM38" s="418">
        <v>35</v>
      </c>
      <c r="AN38" s="418">
        <v>36</v>
      </c>
      <c r="AO38" s="418">
        <v>37</v>
      </c>
      <c r="AP38" s="418">
        <v>38</v>
      </c>
      <c r="AQ38" s="418">
        <v>39</v>
      </c>
      <c r="AR38" s="418">
        <v>40</v>
      </c>
      <c r="AS38" s="418">
        <v>41</v>
      </c>
      <c r="AT38" s="418">
        <v>42</v>
      </c>
      <c r="AU38" s="418">
        <v>43</v>
      </c>
      <c r="AV38" s="418">
        <v>44</v>
      </c>
      <c r="AW38" s="418">
        <v>45</v>
      </c>
      <c r="AX38" s="418">
        <v>46</v>
      </c>
      <c r="AY38" s="418">
        <v>47</v>
      </c>
      <c r="AZ38" s="418">
        <v>48</v>
      </c>
      <c r="BA38" s="418">
        <v>49</v>
      </c>
      <c r="BB38" s="418">
        <v>50</v>
      </c>
      <c r="BC38" s="418">
        <v>51</v>
      </c>
      <c r="BD38" s="418">
        <v>52</v>
      </c>
      <c r="BE38" s="418">
        <v>53</v>
      </c>
      <c r="BF38" s="418">
        <v>54</v>
      </c>
      <c r="BG38" s="418">
        <v>55</v>
      </c>
      <c r="BH38" s="418">
        <v>56</v>
      </c>
      <c r="BI38" s="418">
        <v>57</v>
      </c>
      <c r="BJ38" s="418">
        <v>58</v>
      </c>
      <c r="BK38" s="418">
        <v>59</v>
      </c>
      <c r="BL38" s="418">
        <v>60</v>
      </c>
      <c r="BM38" s="418">
        <v>61</v>
      </c>
      <c r="BN38" s="418">
        <v>62</v>
      </c>
      <c r="BO38" s="418">
        <v>63</v>
      </c>
      <c r="BP38" s="418">
        <v>64</v>
      </c>
      <c r="BQ38" s="418">
        <v>65</v>
      </c>
      <c r="BR38" s="418">
        <v>66</v>
      </c>
      <c r="BS38" s="418">
        <v>67</v>
      </c>
      <c r="BT38" s="418">
        <v>68</v>
      </c>
      <c r="BU38" s="418">
        <v>69</v>
      </c>
      <c r="BV38" s="418">
        <v>70</v>
      </c>
      <c r="BW38" s="418">
        <v>71</v>
      </c>
      <c r="BX38" s="418">
        <v>72</v>
      </c>
      <c r="BY38" s="418">
        <v>73</v>
      </c>
      <c r="BZ38" s="418">
        <v>74</v>
      </c>
      <c r="CA38" s="418">
        <v>75</v>
      </c>
      <c r="CB38" s="418">
        <v>76</v>
      </c>
      <c r="CC38" s="418">
        <v>77</v>
      </c>
      <c r="CD38" s="418">
        <v>78</v>
      </c>
      <c r="CE38" s="418">
        <v>79</v>
      </c>
      <c r="CF38" s="418">
        <v>80</v>
      </c>
      <c r="CG38" s="418">
        <v>81</v>
      </c>
      <c r="CH38" s="418">
        <v>82</v>
      </c>
      <c r="CI38" s="418">
        <v>83</v>
      </c>
      <c r="CJ38" s="418">
        <v>84</v>
      </c>
      <c r="CK38" s="418">
        <v>85</v>
      </c>
      <c r="CL38" s="418">
        <v>86</v>
      </c>
      <c r="CM38" s="418">
        <v>87</v>
      </c>
      <c r="CN38" s="418">
        <v>88</v>
      </c>
      <c r="CO38" s="418">
        <v>89</v>
      </c>
      <c r="CP38" s="418">
        <v>90</v>
      </c>
      <c r="CQ38" s="418">
        <v>91</v>
      </c>
      <c r="CR38" s="418">
        <v>92</v>
      </c>
      <c r="CS38" s="418">
        <v>93</v>
      </c>
      <c r="CT38" s="418">
        <v>94</v>
      </c>
      <c r="CU38" s="418">
        <v>95</v>
      </c>
      <c r="CV38" s="418">
        <v>96</v>
      </c>
      <c r="CW38" s="418">
        <v>97</v>
      </c>
      <c r="CX38" s="418">
        <v>98</v>
      </c>
      <c r="CY38" s="418">
        <v>99</v>
      </c>
      <c r="CZ38" s="418">
        <v>100</v>
      </c>
      <c r="DA38" s="418">
        <v>101</v>
      </c>
      <c r="DB38" s="418">
        <v>102</v>
      </c>
      <c r="DC38" s="418">
        <v>103</v>
      </c>
      <c r="DD38" s="418">
        <v>104</v>
      </c>
      <c r="DE38" s="418">
        <v>105</v>
      </c>
      <c r="DF38" s="418">
        <v>106</v>
      </c>
      <c r="DG38" s="418">
        <v>107</v>
      </c>
      <c r="DH38" s="418">
        <v>108</v>
      </c>
      <c r="DI38" s="418">
        <v>109</v>
      </c>
      <c r="DJ38" s="418">
        <v>110</v>
      </c>
      <c r="DK38" s="418">
        <v>111</v>
      </c>
      <c r="DL38" s="418">
        <v>112</v>
      </c>
      <c r="DM38" s="418">
        <v>113</v>
      </c>
      <c r="DN38" s="418">
        <v>114</v>
      </c>
      <c r="DO38" s="418">
        <v>115</v>
      </c>
      <c r="DP38" s="418">
        <v>116</v>
      </c>
      <c r="DQ38" s="418">
        <v>117</v>
      </c>
      <c r="DR38" s="418">
        <v>118</v>
      </c>
      <c r="DS38" s="418">
        <v>119</v>
      </c>
      <c r="DT38" s="418">
        <v>120</v>
      </c>
      <c r="DU38" s="418">
        <v>121</v>
      </c>
      <c r="DV38" s="418">
        <v>122</v>
      </c>
      <c r="DW38" s="418">
        <v>123</v>
      </c>
      <c r="DX38" s="418">
        <v>124</v>
      </c>
      <c r="DY38" s="418">
        <v>125</v>
      </c>
      <c r="DZ38" s="418">
        <v>126</v>
      </c>
      <c r="EA38" s="418">
        <v>127</v>
      </c>
      <c r="EB38" s="418">
        <v>128</v>
      </c>
      <c r="EC38" s="418">
        <v>129</v>
      </c>
      <c r="ED38" s="418">
        <v>130</v>
      </c>
      <c r="EE38" s="418">
        <v>131</v>
      </c>
      <c r="EF38" s="418">
        <v>132</v>
      </c>
      <c r="EG38" s="418">
        <v>133</v>
      </c>
      <c r="EH38" s="418">
        <v>134</v>
      </c>
      <c r="EI38" s="418">
        <v>135</v>
      </c>
      <c r="EJ38" s="418">
        <v>136</v>
      </c>
      <c r="EK38" s="418">
        <v>137</v>
      </c>
      <c r="EL38" s="418">
        <v>138</v>
      </c>
      <c r="EM38" s="418">
        <v>139</v>
      </c>
      <c r="EN38" s="418">
        <v>140</v>
      </c>
      <c r="EO38" s="418">
        <v>141</v>
      </c>
      <c r="EP38" s="418">
        <v>142</v>
      </c>
      <c r="EQ38" s="418">
        <v>143</v>
      </c>
      <c r="ER38" s="418">
        <v>144</v>
      </c>
      <c r="ES38" s="418">
        <v>145</v>
      </c>
      <c r="ET38" s="418">
        <v>146</v>
      </c>
      <c r="EU38" s="418">
        <v>147</v>
      </c>
      <c r="EV38" s="418">
        <v>148</v>
      </c>
      <c r="EW38" s="418">
        <v>149</v>
      </c>
      <c r="EX38" s="418">
        <v>150</v>
      </c>
      <c r="EY38" s="418">
        <v>151</v>
      </c>
      <c r="EZ38" s="418">
        <v>152</v>
      </c>
      <c r="FA38" s="418">
        <v>153</v>
      </c>
      <c r="FB38" s="418">
        <v>154</v>
      </c>
      <c r="FC38" s="418">
        <v>155</v>
      </c>
      <c r="FD38" s="418">
        <v>156</v>
      </c>
      <c r="FE38" s="418">
        <v>157</v>
      </c>
      <c r="FF38" s="418">
        <v>158</v>
      </c>
      <c r="FG38" s="418">
        <v>159</v>
      </c>
      <c r="FH38" s="418">
        <v>160</v>
      </c>
      <c r="FI38" s="418">
        <v>161</v>
      </c>
      <c r="FJ38" s="418">
        <v>162</v>
      </c>
      <c r="FK38" s="418">
        <v>163</v>
      </c>
      <c r="FL38" s="418">
        <v>164</v>
      </c>
      <c r="FM38" s="418">
        <v>165</v>
      </c>
      <c r="FN38" s="418">
        <v>166</v>
      </c>
      <c r="FO38" s="418">
        <v>167</v>
      </c>
      <c r="FP38" s="418">
        <v>168</v>
      </c>
      <c r="FQ38" s="418">
        <v>169</v>
      </c>
      <c r="FR38" s="418">
        <v>170</v>
      </c>
      <c r="FS38" s="418">
        <v>171</v>
      </c>
      <c r="FT38" s="418">
        <v>172</v>
      </c>
      <c r="FU38" s="418">
        <v>173</v>
      </c>
      <c r="FV38" s="418">
        <v>174</v>
      </c>
      <c r="FW38" s="418">
        <v>175</v>
      </c>
      <c r="FX38" s="418">
        <v>176</v>
      </c>
      <c r="FY38" s="418">
        <v>177</v>
      </c>
      <c r="FZ38" s="418">
        <v>178</v>
      </c>
      <c r="GA38" s="418">
        <v>179</v>
      </c>
      <c r="GB38" s="418">
        <v>180</v>
      </c>
      <c r="GC38" s="418">
        <v>181</v>
      </c>
      <c r="GD38" s="418">
        <v>182</v>
      </c>
      <c r="GE38" s="418">
        <v>183</v>
      </c>
      <c r="GF38" s="418">
        <v>184</v>
      </c>
      <c r="GG38" s="418">
        <v>185</v>
      </c>
      <c r="GH38" s="418">
        <v>186</v>
      </c>
      <c r="GI38" s="418">
        <v>187</v>
      </c>
      <c r="GJ38" s="418">
        <v>188</v>
      </c>
      <c r="GK38" s="418">
        <v>189</v>
      </c>
      <c r="GL38" s="418">
        <v>190</v>
      </c>
      <c r="GM38" s="418">
        <v>191</v>
      </c>
      <c r="GN38" s="418">
        <v>192</v>
      </c>
      <c r="GO38" s="418">
        <v>193</v>
      </c>
      <c r="GP38" s="418">
        <v>194</v>
      </c>
      <c r="GQ38" s="418">
        <v>195</v>
      </c>
      <c r="GR38" s="418">
        <v>196</v>
      </c>
      <c r="GS38" s="418">
        <v>197</v>
      </c>
      <c r="GT38" s="418">
        <v>198</v>
      </c>
      <c r="GU38" s="418">
        <v>199</v>
      </c>
      <c r="GV38" s="418">
        <v>200</v>
      </c>
      <c r="GW38" s="418">
        <v>201</v>
      </c>
      <c r="GX38" s="418">
        <v>202</v>
      </c>
      <c r="GY38" s="418">
        <v>203</v>
      </c>
      <c r="GZ38" s="418">
        <v>204</v>
      </c>
      <c r="HA38" s="418">
        <v>205</v>
      </c>
      <c r="HB38" s="418">
        <v>206</v>
      </c>
      <c r="HC38" s="418">
        <v>207</v>
      </c>
      <c r="HD38" s="418">
        <v>208</v>
      </c>
      <c r="HE38" s="418">
        <v>209</v>
      </c>
      <c r="HF38" s="418">
        <v>210</v>
      </c>
      <c r="HG38" s="418">
        <v>211</v>
      </c>
      <c r="HH38" s="418">
        <v>212</v>
      </c>
      <c r="HI38" s="418">
        <v>213</v>
      </c>
      <c r="HJ38" s="418">
        <v>214</v>
      </c>
      <c r="HK38" s="418">
        <v>215</v>
      </c>
      <c r="HL38" s="418">
        <v>216</v>
      </c>
      <c r="HM38" s="418">
        <v>217</v>
      </c>
      <c r="HN38" s="418">
        <v>218</v>
      </c>
      <c r="HO38" s="418">
        <v>219</v>
      </c>
      <c r="HP38" s="418">
        <v>220</v>
      </c>
      <c r="HQ38" s="418">
        <v>221</v>
      </c>
      <c r="HR38" s="418">
        <v>222</v>
      </c>
      <c r="HS38" s="418">
        <v>223</v>
      </c>
      <c r="HT38" s="418">
        <v>224</v>
      </c>
      <c r="HU38" s="418">
        <v>225</v>
      </c>
      <c r="HV38" s="418">
        <v>226</v>
      </c>
      <c r="HW38" s="418">
        <v>227</v>
      </c>
      <c r="HX38" s="418">
        <v>228</v>
      </c>
      <c r="HY38" s="418">
        <v>229</v>
      </c>
      <c r="HZ38" s="418">
        <v>230</v>
      </c>
      <c r="IA38" s="418">
        <v>231</v>
      </c>
      <c r="IB38" s="418">
        <v>232</v>
      </c>
      <c r="IC38" s="418">
        <v>233</v>
      </c>
      <c r="ID38" s="418">
        <v>234</v>
      </c>
      <c r="IE38" s="418">
        <v>235</v>
      </c>
      <c r="IF38" s="418">
        <v>236</v>
      </c>
      <c r="IG38" s="418">
        <v>237</v>
      </c>
      <c r="IH38" s="418">
        <v>238</v>
      </c>
      <c r="II38" s="418">
        <v>239</v>
      </c>
      <c r="IJ38" s="418">
        <v>240</v>
      </c>
      <c r="IK38" s="418">
        <v>241</v>
      </c>
      <c r="IL38" s="418">
        <v>242</v>
      </c>
      <c r="IM38" s="418">
        <v>243</v>
      </c>
      <c r="IN38" s="418">
        <v>244</v>
      </c>
      <c r="IO38" s="418">
        <v>245</v>
      </c>
      <c r="IP38" s="418">
        <v>246</v>
      </c>
      <c r="IQ38" s="418">
        <v>247</v>
      </c>
      <c r="IR38" s="418">
        <v>248</v>
      </c>
      <c r="IS38" s="418">
        <v>249</v>
      </c>
      <c r="IT38" s="418">
        <v>250</v>
      </c>
      <c r="IU38" s="418">
        <v>251</v>
      </c>
      <c r="IV38" s="418">
        <v>252</v>
      </c>
      <c r="IW38" s="418">
        <v>253</v>
      </c>
      <c r="IX38" s="418">
        <v>254</v>
      </c>
      <c r="IY38" s="418">
        <v>255</v>
      </c>
      <c r="IZ38" s="418">
        <v>256</v>
      </c>
      <c r="JA38" s="418">
        <v>257</v>
      </c>
      <c r="JB38" s="418">
        <v>258</v>
      </c>
      <c r="JC38" s="418">
        <v>259</v>
      </c>
      <c r="JD38" s="418">
        <v>260</v>
      </c>
      <c r="JE38" s="418">
        <v>261</v>
      </c>
      <c r="JF38" s="418">
        <v>262</v>
      </c>
      <c r="JG38" s="418">
        <v>263</v>
      </c>
      <c r="JH38" s="418">
        <v>264</v>
      </c>
      <c r="JI38" s="418">
        <v>265</v>
      </c>
      <c r="JJ38" s="418">
        <v>266</v>
      </c>
      <c r="JK38" s="418">
        <v>267</v>
      </c>
      <c r="JL38" s="418">
        <v>268</v>
      </c>
      <c r="JM38" s="418">
        <v>269</v>
      </c>
      <c r="JN38" s="418">
        <v>270</v>
      </c>
      <c r="JO38" s="418">
        <v>271</v>
      </c>
      <c r="JP38" s="418">
        <v>272</v>
      </c>
      <c r="JQ38" s="418">
        <v>273</v>
      </c>
      <c r="JR38" s="351"/>
      <c r="JT38" s="1385" t="s">
        <v>2199</v>
      </c>
    </row>
    <row r="39" spans="1:280" ht="23" x14ac:dyDescent="0.25">
      <c r="A39" s="1367">
        <v>2</v>
      </c>
      <c r="B39" s="1375" t="str">
        <f>IF(REL_A_IND&gt;1,IF(HLOOKUP(REL_A_IND-1,REL_A_RANGE,A39)="","",HLOOKUP(REL_A_IND-1,REL_A_RANGE,A39)),"")</f>
        <v/>
      </c>
      <c r="C39" s="1371" t="s">
        <v>2293</v>
      </c>
      <c r="D39" s="1373" t="s">
        <v>2294</v>
      </c>
      <c r="E39" s="1379">
        <v>3600</v>
      </c>
      <c r="F39" s="1379"/>
      <c r="G39" s="1379">
        <v>1000</v>
      </c>
      <c r="H39" s="1379"/>
      <c r="I39" s="1379"/>
      <c r="J39" s="1379"/>
      <c r="K39" s="1379"/>
      <c r="L39" s="1379"/>
      <c r="M39" s="1379"/>
      <c r="N39" s="1379"/>
      <c r="O39" s="1379">
        <v>3450</v>
      </c>
      <c r="P39" s="1379"/>
      <c r="Q39" s="1379"/>
      <c r="R39" s="1379"/>
      <c r="S39" s="1379"/>
      <c r="T39" s="1379"/>
      <c r="U39" s="1379">
        <v>4200</v>
      </c>
      <c r="V39" s="1379"/>
      <c r="W39" s="1379"/>
      <c r="X39" s="1376">
        <v>4000</v>
      </c>
      <c r="Y39" s="1379"/>
      <c r="Z39" s="1379">
        <v>7200</v>
      </c>
      <c r="AA39" s="1379">
        <v>700</v>
      </c>
      <c r="AB39" s="1379"/>
      <c r="AC39" s="1379"/>
      <c r="AD39" s="1379"/>
      <c r="AE39" s="1379"/>
      <c r="AF39" s="1379"/>
      <c r="AG39" s="1379">
        <v>15000</v>
      </c>
      <c r="AH39" s="1379">
        <v>22500</v>
      </c>
      <c r="AI39" s="1379"/>
      <c r="AJ39" s="1379"/>
      <c r="AK39" s="1379"/>
      <c r="AL39" s="1379"/>
      <c r="AM39" s="1379"/>
      <c r="AN39" s="1379"/>
      <c r="AO39" s="1379"/>
      <c r="AP39" s="1379"/>
      <c r="AQ39" s="1379">
        <v>2750</v>
      </c>
      <c r="AR39" s="1379"/>
      <c r="AS39" s="1379">
        <v>3205</v>
      </c>
      <c r="AT39" s="1379"/>
      <c r="AU39" s="1379"/>
      <c r="AV39" s="1379"/>
      <c r="AW39" s="1379"/>
      <c r="AX39" s="1379"/>
      <c r="AY39" s="1379"/>
      <c r="AZ39" s="1379"/>
      <c r="BA39" s="1379"/>
      <c r="BB39" s="1379"/>
      <c r="BC39" s="1379"/>
      <c r="BD39" s="1379">
        <v>3205</v>
      </c>
      <c r="BE39" s="1379"/>
      <c r="BF39" s="1379">
        <v>2000</v>
      </c>
      <c r="BG39" s="1379"/>
      <c r="BH39" s="1379"/>
      <c r="BI39" s="1379"/>
      <c r="BJ39" s="1379"/>
      <c r="BK39" s="1379"/>
      <c r="BL39" s="1379"/>
      <c r="BM39" s="1379"/>
      <c r="BN39" s="1379"/>
      <c r="BO39" s="1379"/>
      <c r="BP39" s="1379"/>
      <c r="BQ39" s="1379"/>
      <c r="BR39" s="1379"/>
      <c r="BS39" s="1379"/>
      <c r="BT39" s="1379"/>
      <c r="BU39" s="1379"/>
      <c r="BV39" s="1379"/>
      <c r="BW39" s="1379"/>
      <c r="BX39" s="1379"/>
      <c r="BY39" s="1379"/>
      <c r="BZ39" s="1379"/>
      <c r="CA39" s="1379"/>
      <c r="CB39" s="1379"/>
      <c r="CC39" s="1379">
        <v>1800</v>
      </c>
      <c r="CD39" s="1379"/>
      <c r="CE39" s="1379">
        <v>14418</v>
      </c>
      <c r="CF39" s="1379"/>
      <c r="CG39" s="1379"/>
      <c r="CH39" s="1379"/>
      <c r="CI39" s="1379"/>
      <c r="CJ39" s="1376">
        <v>22000</v>
      </c>
      <c r="CK39" s="1379"/>
      <c r="CL39" s="1379">
        <v>3205</v>
      </c>
      <c r="CM39" s="1376"/>
      <c r="CN39" s="1379"/>
      <c r="CO39" s="1379"/>
      <c r="CP39" s="1379"/>
      <c r="CQ39" s="1379"/>
      <c r="CR39" s="1379"/>
      <c r="CS39" s="1379"/>
      <c r="CT39" s="1379">
        <v>3205</v>
      </c>
      <c r="CU39" s="1379">
        <v>3205</v>
      </c>
      <c r="CV39" s="1376">
        <v>5067</v>
      </c>
      <c r="CW39" s="1379">
        <v>1800</v>
      </c>
      <c r="CX39" s="1379"/>
      <c r="CY39" s="1379"/>
      <c r="CZ39" s="1379"/>
      <c r="DA39" s="1379"/>
      <c r="DB39" s="1379"/>
      <c r="DC39" s="1379"/>
      <c r="DD39" s="1379"/>
      <c r="DE39" s="1379"/>
      <c r="DF39" s="1376">
        <v>54000</v>
      </c>
      <c r="DG39" s="1379">
        <v>1800</v>
      </c>
      <c r="DH39" s="1379"/>
      <c r="DI39" s="1379"/>
      <c r="DJ39" s="1376"/>
      <c r="DK39" s="1379"/>
      <c r="DL39" s="1379"/>
      <c r="DM39" s="1379"/>
      <c r="DN39" s="1376">
        <v>1865</v>
      </c>
      <c r="DO39" s="1376"/>
      <c r="DP39" s="1379"/>
      <c r="DQ39" s="1379"/>
      <c r="DR39" s="1379"/>
      <c r="DS39" s="1376"/>
      <c r="DT39" s="1379"/>
      <c r="DU39" s="1379"/>
      <c r="DV39" s="1379"/>
      <c r="DW39" s="1379"/>
      <c r="DX39" s="1379"/>
      <c r="DY39" s="1379"/>
      <c r="DZ39" s="1379"/>
      <c r="EA39" s="1379"/>
      <c r="EB39" s="1379"/>
      <c r="EC39" s="1379"/>
      <c r="ED39" s="1379"/>
      <c r="EE39" s="1379"/>
      <c r="EF39" s="1379"/>
      <c r="EG39" s="1379"/>
      <c r="EH39" s="1379"/>
      <c r="EI39" s="1379"/>
      <c r="EJ39" s="1379"/>
      <c r="EK39" s="1379"/>
      <c r="EL39" s="1379">
        <v>15000</v>
      </c>
      <c r="EM39" s="1379"/>
      <c r="EN39" s="1379"/>
      <c r="EO39" s="1379"/>
      <c r="EP39" s="1379"/>
      <c r="EQ39" s="1379"/>
      <c r="ER39" s="1379"/>
      <c r="ES39" s="1379"/>
      <c r="ET39" s="1379"/>
      <c r="EU39" s="1379"/>
      <c r="EV39" s="1379"/>
      <c r="EW39" s="1379"/>
      <c r="EX39" s="1379"/>
      <c r="EY39" s="1379"/>
      <c r="EZ39" s="1379"/>
      <c r="FA39" s="1379">
        <v>1800</v>
      </c>
      <c r="FB39" s="1379"/>
      <c r="FC39" s="1379"/>
      <c r="FD39" s="1379"/>
      <c r="FE39" s="1379"/>
      <c r="FF39" s="1379"/>
      <c r="FG39" s="1379"/>
      <c r="FH39" s="1379"/>
      <c r="FI39" s="1376">
        <v>4000</v>
      </c>
      <c r="FJ39" s="1379"/>
      <c r="FK39" s="1379"/>
      <c r="FL39" s="1379"/>
      <c r="FM39" s="1379"/>
      <c r="FN39" s="1379"/>
      <c r="FO39" s="1379"/>
      <c r="FP39" s="1379"/>
      <c r="FQ39" s="1379"/>
      <c r="FR39" s="1379"/>
      <c r="FS39" s="1379"/>
      <c r="FT39" s="1379"/>
      <c r="FU39" s="1379"/>
      <c r="FV39" s="1379"/>
      <c r="FW39" s="1379"/>
      <c r="FX39" s="1379"/>
      <c r="FY39" s="1379"/>
      <c r="FZ39" s="1379"/>
      <c r="GA39" s="1379"/>
      <c r="GB39" s="1379"/>
      <c r="GC39" s="1379"/>
      <c r="GD39" s="1379"/>
      <c r="GE39" s="1379"/>
      <c r="GF39" s="1379"/>
      <c r="GG39" s="1379"/>
      <c r="GH39" s="1379"/>
      <c r="GI39" s="1379"/>
      <c r="GJ39" s="1379"/>
      <c r="GK39" s="1379"/>
      <c r="GL39" s="1379">
        <v>1800</v>
      </c>
      <c r="GM39" s="1379">
        <v>1800</v>
      </c>
      <c r="GN39" s="1379"/>
      <c r="GO39" s="1379"/>
      <c r="GP39" s="1379"/>
      <c r="GQ39" s="1379"/>
      <c r="GR39" s="1379">
        <v>14418</v>
      </c>
      <c r="GS39" s="1379"/>
      <c r="GT39" s="1379"/>
      <c r="GU39" s="1379"/>
      <c r="GV39" s="1379"/>
      <c r="GW39" s="1379"/>
      <c r="GX39" s="1379"/>
      <c r="GY39" s="1379">
        <v>1800</v>
      </c>
      <c r="GZ39" s="1379"/>
      <c r="HA39" s="1379"/>
      <c r="HB39" s="1379"/>
      <c r="HC39" s="1379"/>
      <c r="HD39" s="1379"/>
      <c r="HE39" s="1379"/>
      <c r="HF39" s="1379"/>
      <c r="HG39" s="1379"/>
      <c r="HH39" s="1379"/>
      <c r="HI39" s="1379"/>
      <c r="HJ39" s="1379"/>
      <c r="HK39" s="1379"/>
      <c r="HL39" s="1376">
        <v>4000</v>
      </c>
      <c r="HM39" s="1379"/>
      <c r="HN39" s="1379"/>
      <c r="HO39" s="1379"/>
      <c r="HP39" s="1379"/>
      <c r="HQ39" s="1379"/>
      <c r="HR39" s="1376"/>
      <c r="HS39" s="1379"/>
      <c r="HT39" s="1379"/>
      <c r="HU39" s="1379"/>
      <c r="HV39" s="1379"/>
      <c r="HW39" s="1379"/>
      <c r="HX39" s="1379"/>
      <c r="HY39" s="1379">
        <v>4800</v>
      </c>
      <c r="HZ39" s="1379"/>
      <c r="IA39" s="1379"/>
      <c r="IB39" s="1379"/>
      <c r="IC39" s="1379"/>
      <c r="ID39" s="1379"/>
      <c r="IE39" s="1379">
        <f>ABS(BR_band-(SSR_band+SBR_band+SIR_band))</f>
        <v>6608</v>
      </c>
      <c r="IF39" s="1379"/>
      <c r="IG39" s="1376">
        <v>5190</v>
      </c>
      <c r="IH39" s="1379"/>
      <c r="II39" s="1379"/>
      <c r="IJ39" s="1376">
        <v>39872.629999999997</v>
      </c>
      <c r="IK39" s="1379"/>
      <c r="IL39" s="1376">
        <v>23000</v>
      </c>
      <c r="IM39" s="1379"/>
      <c r="IN39" s="1379"/>
      <c r="IO39" s="1376">
        <v>2000</v>
      </c>
      <c r="IP39" s="1379"/>
      <c r="IQ39" s="1379"/>
      <c r="IR39" s="1379"/>
      <c r="IS39" s="1379"/>
      <c r="IT39" s="1379"/>
      <c r="IU39" s="1379"/>
      <c r="IV39" s="1379"/>
      <c r="IW39" s="1379"/>
      <c r="IX39" s="1379"/>
      <c r="IY39" s="1379"/>
      <c r="IZ39" s="1379"/>
      <c r="JA39" s="1379"/>
      <c r="JB39" s="1379"/>
      <c r="JC39" s="1379"/>
      <c r="JD39" s="1376">
        <v>250</v>
      </c>
      <c r="JE39" s="1379"/>
      <c r="JF39" s="1379"/>
      <c r="JG39" s="1379"/>
      <c r="JH39" s="1376">
        <v>250</v>
      </c>
      <c r="JI39" s="1379"/>
      <c r="JJ39" s="1376">
        <v>12000</v>
      </c>
      <c r="JK39" s="1379"/>
      <c r="JL39" s="1379"/>
      <c r="JM39" s="1379"/>
      <c r="JN39" s="1379"/>
      <c r="JO39" s="1379"/>
      <c r="JP39" s="1379"/>
      <c r="JQ39" s="2487">
        <v>13750</v>
      </c>
      <c r="JR39" s="351"/>
      <c r="JS39" s="1365"/>
      <c r="JT39" s="1385" t="s">
        <v>2242</v>
      </c>
    </row>
    <row r="40" spans="1:280" ht="12.5" x14ac:dyDescent="0.25">
      <c r="A40" s="1367">
        <v>3</v>
      </c>
      <c r="B40" s="1375" t="str">
        <f>IF(REL_A_IND&gt;1,IF(HLOOKUP(REL_A_IND-1,REL_A_RANGE,A40)="","",HLOOKUP(REL_A_IND-1,REL_A_RANGE,A40)),"")</f>
        <v/>
      </c>
      <c r="C40" s="1371" t="s">
        <v>2295</v>
      </c>
      <c r="D40" s="1373" t="s">
        <v>2296</v>
      </c>
      <c r="E40" s="1379">
        <v>1000</v>
      </c>
      <c r="F40" s="1379"/>
      <c r="G40" s="1379"/>
      <c r="H40" s="1379"/>
      <c r="I40" s="1379"/>
      <c r="J40" s="1379"/>
      <c r="K40" s="1379"/>
      <c r="L40" s="1379"/>
      <c r="M40" s="1379"/>
      <c r="N40" s="1379"/>
      <c r="O40" s="1379">
        <v>450</v>
      </c>
      <c r="P40" s="1379"/>
      <c r="Q40" s="1379"/>
      <c r="R40" s="1379"/>
      <c r="S40" s="1379"/>
      <c r="T40" s="1379"/>
      <c r="U40" s="1379"/>
      <c r="V40" s="1379"/>
      <c r="W40" s="1379"/>
      <c r="X40" s="1379"/>
      <c r="Y40" s="1379"/>
      <c r="Z40" s="1379"/>
      <c r="AA40" s="1379">
        <v>500</v>
      </c>
      <c r="AB40" s="1379"/>
      <c r="AC40" s="1379"/>
      <c r="AD40" s="1379"/>
      <c r="AE40" s="1379"/>
      <c r="AF40" s="1379"/>
      <c r="AG40" s="1379"/>
      <c r="AH40" s="1379"/>
      <c r="AI40" s="1379"/>
      <c r="AJ40" s="1379"/>
      <c r="AK40" s="1379"/>
      <c r="AL40" s="1379"/>
      <c r="AM40" s="1379"/>
      <c r="AN40" s="1379"/>
      <c r="AO40" s="1379"/>
      <c r="AP40" s="1379"/>
      <c r="AQ40" s="1379"/>
      <c r="AR40" s="1379"/>
      <c r="AS40" s="1379"/>
      <c r="AT40" s="1379"/>
      <c r="AU40" s="1379"/>
      <c r="AV40" s="1379"/>
      <c r="AW40" s="1379"/>
      <c r="AX40" s="1379"/>
      <c r="AY40" s="1379"/>
      <c r="AZ40" s="1379"/>
      <c r="BA40" s="1379"/>
      <c r="BB40" s="1379"/>
      <c r="BC40" s="1379"/>
      <c r="BD40" s="1379"/>
      <c r="BE40" s="1379"/>
      <c r="BF40" s="1379"/>
      <c r="BG40" s="1379"/>
      <c r="BH40" s="1379"/>
      <c r="BI40" s="1379"/>
      <c r="BJ40" s="1379"/>
      <c r="BK40" s="1379"/>
      <c r="BL40" s="1379"/>
      <c r="BM40" s="1379"/>
      <c r="BN40" s="1379"/>
      <c r="BO40" s="1379"/>
      <c r="BP40" s="1379"/>
      <c r="BQ40" s="1379"/>
      <c r="BR40" s="1379"/>
      <c r="BS40" s="1379"/>
      <c r="BT40" s="1379"/>
      <c r="BU40" s="1379"/>
      <c r="BV40" s="1379"/>
      <c r="BW40" s="1379"/>
      <c r="BX40" s="1379"/>
      <c r="BY40" s="1379"/>
      <c r="BZ40" s="1379"/>
      <c r="CA40" s="1379"/>
      <c r="CB40" s="1379"/>
      <c r="CC40" s="1379"/>
      <c r="CD40" s="1379"/>
      <c r="CE40" s="1379"/>
      <c r="CF40" s="1379"/>
      <c r="CG40" s="1379"/>
      <c r="CH40" s="1379"/>
      <c r="CI40" s="1379"/>
      <c r="CJ40" s="1376">
        <v>22000</v>
      </c>
      <c r="CK40" s="1379"/>
      <c r="CL40" s="1379"/>
      <c r="CM40" s="1379"/>
      <c r="CN40" s="1379"/>
      <c r="CO40" s="1379"/>
      <c r="CP40" s="1379"/>
      <c r="CQ40" s="1379"/>
      <c r="CR40" s="1379"/>
      <c r="CS40" s="1379"/>
      <c r="CT40" s="1379"/>
      <c r="CU40" s="1379"/>
      <c r="CV40" s="1379"/>
      <c r="CW40" s="1379"/>
      <c r="CX40" s="1379"/>
      <c r="CY40" s="1379"/>
      <c r="CZ40" s="1379"/>
      <c r="DA40" s="1379"/>
      <c r="DB40" s="1379"/>
      <c r="DC40" s="1379"/>
      <c r="DD40" s="1379"/>
      <c r="DE40" s="1379"/>
      <c r="DF40" s="1376">
        <v>43200</v>
      </c>
      <c r="DG40" s="1379"/>
      <c r="DH40" s="1379"/>
      <c r="DI40" s="1379"/>
      <c r="DJ40" s="1379"/>
      <c r="DK40" s="1379"/>
      <c r="DL40" s="1379"/>
      <c r="DM40" s="1379"/>
      <c r="DN40" s="1379"/>
      <c r="DO40" s="1379"/>
      <c r="DP40" s="1379"/>
      <c r="DQ40" s="1379"/>
      <c r="DR40" s="1379"/>
      <c r="DS40" s="1379"/>
      <c r="DT40" s="1379"/>
      <c r="DU40" s="1379"/>
      <c r="DV40" s="1379"/>
      <c r="DW40" s="1379"/>
      <c r="DX40" s="1379"/>
      <c r="DY40" s="1379"/>
      <c r="DZ40" s="1379"/>
      <c r="EA40" s="1379"/>
      <c r="EB40" s="1379"/>
      <c r="EC40" s="1379"/>
      <c r="ED40" s="1379"/>
      <c r="EE40" s="1379"/>
      <c r="EF40" s="1379"/>
      <c r="EG40" s="1379"/>
      <c r="EH40" s="1379"/>
      <c r="EI40" s="1379"/>
      <c r="EJ40" s="1379"/>
      <c r="EK40" s="1379"/>
      <c r="EL40" s="1379"/>
      <c r="EM40" s="1379"/>
      <c r="EN40" s="1379"/>
      <c r="EO40" s="1379"/>
      <c r="EP40" s="1379"/>
      <c r="EQ40" s="1379"/>
      <c r="ER40" s="1379"/>
      <c r="ES40" s="1379"/>
      <c r="ET40" s="1379"/>
      <c r="EU40" s="1379"/>
      <c r="EV40" s="1379"/>
      <c r="EW40" s="1379"/>
      <c r="EX40" s="1379"/>
      <c r="EY40" s="1379"/>
      <c r="EZ40" s="1379"/>
      <c r="FA40" s="1379"/>
      <c r="FB40" s="1379"/>
      <c r="FC40" s="1379"/>
      <c r="FD40" s="1379"/>
      <c r="FE40" s="1379"/>
      <c r="FF40" s="1379"/>
      <c r="FG40" s="1379"/>
      <c r="FH40" s="1379"/>
      <c r="FI40" s="1379"/>
      <c r="FJ40" s="1379"/>
      <c r="FK40" s="1379"/>
      <c r="FL40" s="1379"/>
      <c r="FM40" s="1379"/>
      <c r="FN40" s="1379"/>
      <c r="FO40" s="1379"/>
      <c r="FP40" s="1379"/>
      <c r="FQ40" s="1379"/>
      <c r="FR40" s="1379"/>
      <c r="FS40" s="1379"/>
      <c r="FT40" s="1379"/>
      <c r="FU40" s="1379"/>
      <c r="FV40" s="1379"/>
      <c r="FW40" s="1379"/>
      <c r="FX40" s="1379"/>
      <c r="FY40" s="1379"/>
      <c r="FZ40" s="1379"/>
      <c r="GA40" s="1379"/>
      <c r="GB40" s="1379"/>
      <c r="GC40" s="1379"/>
      <c r="GD40" s="1379"/>
      <c r="GE40" s="1379"/>
      <c r="GF40" s="1379"/>
      <c r="GG40" s="1379"/>
      <c r="GH40" s="1379"/>
      <c r="GI40" s="1379"/>
      <c r="GJ40" s="1379"/>
      <c r="GK40" s="1379"/>
      <c r="GL40" s="1379"/>
      <c r="GM40" s="1379"/>
      <c r="GN40" s="1379"/>
      <c r="GO40" s="1379"/>
      <c r="GP40" s="1379"/>
      <c r="GQ40" s="1379"/>
      <c r="GR40" s="1379"/>
      <c r="GS40" s="1379"/>
      <c r="GT40" s="1379"/>
      <c r="GU40" s="1379"/>
      <c r="GV40" s="1379"/>
      <c r="GW40" s="1379"/>
      <c r="GX40" s="1379"/>
      <c r="GY40" s="1379"/>
      <c r="GZ40" s="1379"/>
      <c r="HA40" s="1379"/>
      <c r="HB40" s="1379"/>
      <c r="HC40" s="1379"/>
      <c r="HD40" s="1379"/>
      <c r="HE40" s="1379"/>
      <c r="HF40" s="1379"/>
      <c r="HG40" s="1379"/>
      <c r="HH40" s="1379"/>
      <c r="HI40" s="1379"/>
      <c r="HJ40" s="1379"/>
      <c r="HK40" s="1379"/>
      <c r="HL40" s="1379"/>
      <c r="HM40" s="1379"/>
      <c r="HN40" s="1379"/>
      <c r="HO40" s="1379"/>
      <c r="HP40" s="1379"/>
      <c r="HQ40" s="1379"/>
      <c r="HR40" s="1379"/>
      <c r="HS40" s="1379"/>
      <c r="HT40" s="1379"/>
      <c r="HU40" s="1379"/>
      <c r="HV40" s="1379"/>
      <c r="HW40" s="1379"/>
      <c r="HX40" s="1379"/>
      <c r="HY40" s="1379"/>
      <c r="HZ40" s="1379"/>
      <c r="IA40" s="1379"/>
      <c r="IB40" s="1379"/>
      <c r="IC40" s="1379"/>
      <c r="ID40" s="1379"/>
      <c r="IE40" s="1379"/>
      <c r="IF40" s="1379"/>
      <c r="IG40" s="1379"/>
      <c r="IH40" s="1379"/>
      <c r="II40" s="1379"/>
      <c r="IJ40" s="1379"/>
      <c r="IK40" s="1379"/>
      <c r="IL40" s="1379"/>
      <c r="IM40" s="1379"/>
      <c r="IN40" s="1379"/>
      <c r="IO40" s="1379"/>
      <c r="IP40" s="1379"/>
      <c r="IQ40" s="1379"/>
      <c r="IR40" s="1379"/>
      <c r="IS40" s="1379"/>
      <c r="IT40" s="1379"/>
      <c r="IU40" s="1379"/>
      <c r="IV40" s="1379"/>
      <c r="IW40" s="1379"/>
      <c r="IX40" s="1379"/>
      <c r="IY40" s="1379"/>
      <c r="IZ40" s="1379"/>
      <c r="JA40" s="1379"/>
      <c r="JB40" s="1379"/>
      <c r="JC40" s="1379"/>
      <c r="JD40" s="1379"/>
      <c r="JE40" s="1379"/>
      <c r="JF40" s="1379"/>
      <c r="JG40" s="1379"/>
      <c r="JH40" s="1379"/>
      <c r="JI40" s="1379"/>
      <c r="JJ40" s="1379"/>
      <c r="JK40" s="1379"/>
      <c r="JL40" s="1379"/>
      <c r="JM40" s="1379"/>
      <c r="JN40" s="1379"/>
      <c r="JO40" s="1379"/>
      <c r="JP40" s="1379"/>
      <c r="JQ40" s="1415"/>
      <c r="JR40" s="351"/>
      <c r="JS40" s="1365"/>
      <c r="JT40" s="1385"/>
    </row>
    <row r="41" spans="1:280" ht="23" x14ac:dyDescent="0.25">
      <c r="A41" s="1367">
        <v>4</v>
      </c>
      <c r="B41" s="1375" t="str">
        <f>IF(REL_A_IND&gt;1,IF(HLOOKUP(REL_A_IND-1,REL_A_RANGE,A41)="","",HLOOKUP(REL_A_IND-1,REL_A_RANGE,A41)),"")</f>
        <v/>
      </c>
      <c r="C41" s="1371" t="s">
        <v>2297</v>
      </c>
      <c r="D41" s="1373" t="s">
        <v>2298</v>
      </c>
      <c r="E41" s="1379"/>
      <c r="F41" s="1379"/>
      <c r="G41" s="1379"/>
      <c r="H41" s="1379"/>
      <c r="I41" s="1379"/>
      <c r="J41" s="1379"/>
      <c r="K41" s="1379"/>
      <c r="L41" s="1379"/>
      <c r="M41" s="1379"/>
      <c r="N41" s="1379"/>
      <c r="O41" s="1379"/>
      <c r="P41" s="1379"/>
      <c r="Q41" s="1376"/>
      <c r="R41" s="1379"/>
      <c r="S41" s="1379"/>
      <c r="T41" s="1379"/>
      <c r="U41" s="1379"/>
      <c r="V41" s="1379"/>
      <c r="W41" s="1379"/>
      <c r="X41" s="1379"/>
      <c r="Y41" s="1379"/>
      <c r="Z41" s="1379"/>
      <c r="AA41" s="1379"/>
      <c r="AB41" s="1379"/>
      <c r="AC41" s="1379"/>
      <c r="AD41" s="1379"/>
      <c r="AE41" s="1379"/>
      <c r="AF41" s="1379"/>
      <c r="AG41" s="1379"/>
      <c r="AH41" s="1379"/>
      <c r="AI41" s="1379">
        <v>1700</v>
      </c>
      <c r="AJ41" s="1379">
        <v>2500</v>
      </c>
      <c r="AK41" s="1379"/>
      <c r="AL41" s="1379">
        <v>52500</v>
      </c>
      <c r="AM41" s="1379"/>
      <c r="AN41" s="1379"/>
      <c r="AO41" s="1379"/>
      <c r="AP41" s="1379"/>
      <c r="AQ41" s="1379">
        <v>960</v>
      </c>
      <c r="AR41" s="1379"/>
      <c r="AS41" s="1379">
        <v>681</v>
      </c>
      <c r="AT41" s="1379"/>
      <c r="AU41" s="1379"/>
      <c r="AV41" s="1379"/>
      <c r="AW41" s="1379"/>
      <c r="AX41" s="1379"/>
      <c r="AY41" s="1379"/>
      <c r="AZ41" s="1379"/>
      <c r="BA41" s="1379"/>
      <c r="BB41" s="1379"/>
      <c r="BC41" s="1379">
        <v>10010</v>
      </c>
      <c r="BD41" s="1379">
        <v>681</v>
      </c>
      <c r="BE41" s="1379"/>
      <c r="BF41" s="1379"/>
      <c r="BG41" s="1379"/>
      <c r="BH41" s="1379"/>
      <c r="BI41" s="1379"/>
      <c r="BJ41" s="1379"/>
      <c r="BK41" s="1379"/>
      <c r="BL41" s="1379"/>
      <c r="BM41" s="1379"/>
      <c r="BN41" s="1379"/>
      <c r="BO41" s="1379"/>
      <c r="BP41" s="1379"/>
      <c r="BQ41" s="1379"/>
      <c r="BR41" s="1379"/>
      <c r="BS41" s="1379"/>
      <c r="BT41" s="1379"/>
      <c r="BU41" s="1379"/>
      <c r="BV41" s="1379"/>
      <c r="BW41" s="1379"/>
      <c r="BX41" s="1379"/>
      <c r="BY41" s="1379"/>
      <c r="BZ41" s="1379"/>
      <c r="CA41" s="1379"/>
      <c r="CB41" s="1379"/>
      <c r="CC41" s="1379"/>
      <c r="CD41" s="1379"/>
      <c r="CE41" s="1379"/>
      <c r="CF41" s="1376"/>
      <c r="CG41" s="1379"/>
      <c r="CH41" s="1379">
        <v>1200</v>
      </c>
      <c r="CI41" s="1379"/>
      <c r="CJ41" s="1379"/>
      <c r="CK41" s="1379"/>
      <c r="CL41" s="1379">
        <v>681</v>
      </c>
      <c r="CM41" s="1379"/>
      <c r="CN41" s="1379"/>
      <c r="CO41" s="1379"/>
      <c r="CP41" s="1379"/>
      <c r="CQ41" s="1379"/>
      <c r="CR41" s="1379">
        <v>10010</v>
      </c>
      <c r="CS41" s="1379">
        <v>10010</v>
      </c>
      <c r="CT41" s="1379">
        <v>681</v>
      </c>
      <c r="CU41" s="1379">
        <v>681</v>
      </c>
      <c r="CV41" s="1376">
        <v>213</v>
      </c>
      <c r="CW41" s="1379"/>
      <c r="CX41" s="1379"/>
      <c r="CY41" s="1379">
        <v>10010</v>
      </c>
      <c r="CZ41" s="1379"/>
      <c r="DA41" s="1379"/>
      <c r="DB41" s="1379"/>
      <c r="DC41" s="1379"/>
      <c r="DD41" s="1379"/>
      <c r="DE41" s="1379"/>
      <c r="DF41" s="1379"/>
      <c r="DG41" s="1379"/>
      <c r="DH41" s="1379"/>
      <c r="DI41" s="1379"/>
      <c r="DJ41" s="1379"/>
      <c r="DK41" s="1379"/>
      <c r="DL41" s="1379"/>
      <c r="DM41" s="1379"/>
      <c r="DN41" s="1379"/>
      <c r="DO41" s="1379"/>
      <c r="DP41" s="1379"/>
      <c r="DQ41" s="1379"/>
      <c r="DR41" s="1379"/>
      <c r="DS41" s="1379"/>
      <c r="DT41" s="1379"/>
      <c r="DU41" s="1379"/>
      <c r="DV41" s="1379"/>
      <c r="DW41" s="1379"/>
      <c r="DX41" s="1379"/>
      <c r="DY41" s="1379"/>
      <c r="DZ41" s="1379"/>
      <c r="EA41" s="1379"/>
      <c r="EB41" s="1379"/>
      <c r="EC41" s="1379"/>
      <c r="ED41" s="1379"/>
      <c r="EE41" s="1379"/>
      <c r="EF41" s="1379"/>
      <c r="EG41" s="1379"/>
      <c r="EH41" s="1379"/>
      <c r="EI41" s="1379"/>
      <c r="EJ41" s="1379"/>
      <c r="EK41" s="1379"/>
      <c r="EL41" s="1379"/>
      <c r="EM41" s="1379"/>
      <c r="EN41" s="1379"/>
      <c r="EO41" s="1379"/>
      <c r="EP41" s="1379"/>
      <c r="EQ41" s="1379"/>
      <c r="ER41" s="1379"/>
      <c r="ES41" s="1379"/>
      <c r="ET41" s="1379"/>
      <c r="EU41" s="1379"/>
      <c r="EV41" s="1379"/>
      <c r="EW41" s="1379"/>
      <c r="EX41" s="1379"/>
      <c r="EY41" s="1379"/>
      <c r="EZ41" s="1379"/>
      <c r="FA41" s="1379"/>
      <c r="FB41" s="1379"/>
      <c r="FC41" s="1379"/>
      <c r="FD41" s="1379"/>
      <c r="FE41" s="1379"/>
      <c r="FF41" s="1379"/>
      <c r="FG41" s="1379"/>
      <c r="FH41" s="1379"/>
      <c r="FI41" s="1379"/>
      <c r="FJ41" s="1379"/>
      <c r="FK41" s="1379"/>
      <c r="FL41" s="1379"/>
      <c r="FM41" s="1379"/>
      <c r="FN41" s="1379"/>
      <c r="FO41" s="1379"/>
      <c r="FP41" s="1379"/>
      <c r="FQ41" s="1379"/>
      <c r="FR41" s="1379"/>
      <c r="FS41" s="1379"/>
      <c r="FT41" s="1379"/>
      <c r="FU41" s="1379"/>
      <c r="FV41" s="1379"/>
      <c r="FW41" s="1379"/>
      <c r="FX41" s="1379"/>
      <c r="FY41" s="1379"/>
      <c r="FZ41" s="1379"/>
      <c r="GA41" s="1379"/>
      <c r="GB41" s="1379"/>
      <c r="GC41" s="1379"/>
      <c r="GD41" s="1379"/>
      <c r="GE41" s="1379"/>
      <c r="GF41" s="1379"/>
      <c r="GG41" s="1379"/>
      <c r="GH41" s="1379"/>
      <c r="GI41" s="1379"/>
      <c r="GJ41" s="1379"/>
      <c r="GK41" s="1379"/>
      <c r="GL41" s="1379"/>
      <c r="GM41" s="1379"/>
      <c r="GN41" s="1379"/>
      <c r="GO41" s="1379"/>
      <c r="GP41" s="1379"/>
      <c r="GQ41" s="1379"/>
      <c r="GR41" s="1379"/>
      <c r="GS41" s="1379"/>
      <c r="GT41" s="1379"/>
      <c r="GU41" s="1379"/>
      <c r="GV41" s="1379"/>
      <c r="GW41" s="1379"/>
      <c r="GX41" s="1379"/>
      <c r="GY41" s="1379"/>
      <c r="GZ41" s="1379"/>
      <c r="HA41" s="1379"/>
      <c r="HB41" s="1379"/>
      <c r="HC41" s="1379"/>
      <c r="HD41" s="1379"/>
      <c r="HE41" s="1379"/>
      <c r="HF41" s="1379"/>
      <c r="HG41" s="1379"/>
      <c r="HH41" s="1379"/>
      <c r="HI41" s="1379"/>
      <c r="HJ41" s="1379"/>
      <c r="HK41" s="1379"/>
      <c r="HL41" s="1379"/>
      <c r="HM41" s="1379"/>
      <c r="HN41" s="1379"/>
      <c r="HO41" s="1379"/>
      <c r="HP41" s="1379"/>
      <c r="HQ41" s="1379"/>
      <c r="HR41" s="1379"/>
      <c r="HS41" s="1379"/>
      <c r="HT41" s="1379"/>
      <c r="HU41" s="1379"/>
      <c r="HV41" s="1379"/>
      <c r="HW41" s="1379"/>
      <c r="HX41" s="1379"/>
      <c r="HY41" s="1379"/>
      <c r="HZ41" s="1379"/>
      <c r="IA41" s="1379"/>
      <c r="IB41" s="1379"/>
      <c r="IC41" s="1379"/>
      <c r="ID41" s="1379"/>
      <c r="IE41" s="1379"/>
      <c r="IF41" s="1379"/>
      <c r="IG41" s="1379"/>
      <c r="IH41" s="1379"/>
      <c r="II41" s="1379"/>
      <c r="IJ41" s="1379"/>
      <c r="IK41" s="1379"/>
      <c r="IL41" s="1379"/>
      <c r="IM41" s="1379"/>
      <c r="IN41" s="1379"/>
      <c r="IO41" s="1379"/>
      <c r="IP41" s="1379"/>
      <c r="IQ41" s="1379"/>
      <c r="IR41" s="1379"/>
      <c r="IS41" s="1379"/>
      <c r="IT41" s="1379"/>
      <c r="IU41" s="1379"/>
      <c r="IV41" s="1379"/>
      <c r="IW41" s="1379"/>
      <c r="IX41" s="1379"/>
      <c r="IY41" s="1379"/>
      <c r="IZ41" s="1379"/>
      <c r="JA41" s="1379">
        <v>10010</v>
      </c>
      <c r="JB41" s="1379"/>
      <c r="JC41" s="1379"/>
      <c r="JD41" s="1379"/>
      <c r="JE41" s="1379"/>
      <c r="JF41" s="1379"/>
      <c r="JG41" s="1379"/>
      <c r="JH41" s="1379"/>
      <c r="JI41" s="1379"/>
      <c r="JJ41" s="1379"/>
      <c r="JK41" s="1379"/>
      <c r="JL41" s="1379"/>
      <c r="JM41" s="1379"/>
      <c r="JN41" s="1379"/>
      <c r="JO41" s="1379"/>
      <c r="JP41" s="1379"/>
      <c r="JQ41" s="2488"/>
      <c r="JR41" s="351"/>
      <c r="JS41" s="1365"/>
      <c r="JT41" s="1385" t="s">
        <v>2242</v>
      </c>
    </row>
    <row r="42" spans="1:280" ht="23" x14ac:dyDescent="0.25">
      <c r="A42" s="1367">
        <v>5</v>
      </c>
      <c r="B42" s="1375" t="str">
        <f>IF(REL_A_IND&gt;1,IF(HLOOKUP(REL_A_IND-1,REL_A_RANGE,A42)="","",HLOOKUP(REL_A_IND-1,REL_A_RANGE,A42)),"")</f>
        <v/>
      </c>
      <c r="C42" s="1371" t="s">
        <v>2299</v>
      </c>
      <c r="D42" s="1373" t="s">
        <v>2300</v>
      </c>
      <c r="E42" s="1379"/>
      <c r="F42" s="1379"/>
      <c r="G42" s="1379"/>
      <c r="H42" s="1379"/>
      <c r="I42" s="1379"/>
      <c r="J42" s="1379"/>
      <c r="K42" s="1379"/>
      <c r="L42" s="1379"/>
      <c r="M42" s="1379"/>
      <c r="N42" s="1379"/>
      <c r="O42" s="1379"/>
      <c r="P42" s="1379"/>
      <c r="Q42" s="1379"/>
      <c r="R42" s="1379"/>
      <c r="S42" s="1379"/>
      <c r="T42" s="1379"/>
      <c r="U42" s="1379"/>
      <c r="V42" s="1379"/>
      <c r="W42" s="1379"/>
      <c r="X42" s="1379"/>
      <c r="Y42" s="1379"/>
      <c r="Z42" s="1379"/>
      <c r="AA42" s="1379"/>
      <c r="AB42" s="1379"/>
      <c r="AC42" s="1379"/>
      <c r="AD42" s="1379"/>
      <c r="AE42" s="1379"/>
      <c r="AF42" s="1379"/>
      <c r="AG42" s="1379"/>
      <c r="AH42" s="1379"/>
      <c r="AI42" s="1379"/>
      <c r="AJ42" s="1379"/>
      <c r="AK42" s="1379"/>
      <c r="AL42" s="1379"/>
      <c r="AM42" s="1379"/>
      <c r="AN42" s="1379"/>
      <c r="AO42" s="1379"/>
      <c r="AP42" s="1379"/>
      <c r="AQ42" s="1379"/>
      <c r="AR42" s="1379"/>
      <c r="AS42" s="1379"/>
      <c r="AT42" s="1379"/>
      <c r="AU42" s="1379"/>
      <c r="AV42" s="1379"/>
      <c r="AW42" s="1379"/>
      <c r="AX42" s="1379"/>
      <c r="AY42" s="1379"/>
      <c r="AZ42" s="1379"/>
      <c r="BA42" s="1379"/>
      <c r="BB42" s="1379"/>
      <c r="BC42" s="1379"/>
      <c r="BD42" s="1379"/>
      <c r="BE42" s="1379"/>
      <c r="BF42" s="1379"/>
      <c r="BG42" s="1379"/>
      <c r="BH42" s="1379"/>
      <c r="BI42" s="1379"/>
      <c r="BJ42" s="1379"/>
      <c r="BK42" s="1379"/>
      <c r="BL42" s="1379"/>
      <c r="BM42" s="1379"/>
      <c r="BN42" s="1379"/>
      <c r="BO42" s="1379"/>
      <c r="BP42" s="1379"/>
      <c r="BQ42" s="1379"/>
      <c r="BR42" s="1379"/>
      <c r="BS42" s="1379"/>
      <c r="BT42" s="1379"/>
      <c r="BU42" s="1379"/>
      <c r="BV42" s="1379"/>
      <c r="BW42" s="1379"/>
      <c r="BX42" s="1379"/>
      <c r="BY42" s="1379"/>
      <c r="BZ42" s="1379"/>
      <c r="CA42" s="1379"/>
      <c r="CB42" s="1379"/>
      <c r="CC42" s="1379"/>
      <c r="CD42" s="1379"/>
      <c r="CE42" s="1379"/>
      <c r="CF42" s="1379"/>
      <c r="CG42" s="1379"/>
      <c r="CH42" s="1379"/>
      <c r="CI42" s="1379"/>
      <c r="CJ42" s="1379"/>
      <c r="CK42" s="1379"/>
      <c r="CL42" s="1379"/>
      <c r="CM42" s="1379"/>
      <c r="CN42" s="1379"/>
      <c r="CO42" s="1379"/>
      <c r="CP42" s="1379"/>
      <c r="CQ42" s="1379"/>
      <c r="CR42" s="1379"/>
      <c r="CS42" s="1379"/>
      <c r="CT42" s="1379"/>
      <c r="CU42" s="1379"/>
      <c r="CV42" s="1379"/>
      <c r="CW42" s="1379"/>
      <c r="CX42" s="1379"/>
      <c r="CY42" s="1379"/>
      <c r="CZ42" s="1379"/>
      <c r="DA42" s="1379"/>
      <c r="DB42" s="1379"/>
      <c r="DC42" s="1379"/>
      <c r="DD42" s="1379"/>
      <c r="DE42" s="1379"/>
      <c r="DF42" s="1379"/>
      <c r="DG42" s="1379"/>
      <c r="DH42" s="1379"/>
      <c r="DI42" s="1379"/>
      <c r="DJ42" s="1379"/>
      <c r="DK42" s="1379"/>
      <c r="DL42" s="1379"/>
      <c r="DM42" s="1379"/>
      <c r="DN42" s="1379"/>
      <c r="DO42" s="1379"/>
      <c r="DP42" s="1379"/>
      <c r="DQ42" s="1379"/>
      <c r="DR42" s="1379"/>
      <c r="DS42" s="1379"/>
      <c r="DT42" s="1379"/>
      <c r="DU42" s="1379"/>
      <c r="DV42" s="1379"/>
      <c r="DW42" s="1379"/>
      <c r="DX42" s="1379"/>
      <c r="DY42" s="1379"/>
      <c r="DZ42" s="1379"/>
      <c r="EA42" s="1379"/>
      <c r="EB42" s="1379"/>
      <c r="EC42" s="1379"/>
      <c r="ED42" s="1379"/>
      <c r="EE42" s="1379"/>
      <c r="EF42" s="1379"/>
      <c r="EG42" s="1379"/>
      <c r="EH42" s="1379"/>
      <c r="EI42" s="1379"/>
      <c r="EJ42" s="1379"/>
      <c r="EK42" s="1379"/>
      <c r="EL42" s="1379"/>
      <c r="EM42" s="1379"/>
      <c r="EN42" s="1379"/>
      <c r="EO42" s="1379"/>
      <c r="EP42" s="1379"/>
      <c r="EQ42" s="1379"/>
      <c r="ER42" s="1379"/>
      <c r="ES42" s="1379"/>
      <c r="ET42" s="1379"/>
      <c r="EU42" s="1379"/>
      <c r="EV42" s="1379"/>
      <c r="EW42" s="1379"/>
      <c r="EX42" s="1379"/>
      <c r="EY42" s="1379"/>
      <c r="EZ42" s="1379"/>
      <c r="FA42" s="1379"/>
      <c r="FB42" s="1379"/>
      <c r="FC42" s="1379"/>
      <c r="FD42" s="1379"/>
      <c r="FE42" s="1379"/>
      <c r="FF42" s="1379"/>
      <c r="FG42" s="1379"/>
      <c r="FH42" s="1379"/>
      <c r="FI42" s="1379"/>
      <c r="FJ42" s="1379"/>
      <c r="FK42" s="1379"/>
      <c r="FL42" s="1379"/>
      <c r="FM42" s="1379"/>
      <c r="FN42" s="1379"/>
      <c r="FO42" s="1379"/>
      <c r="FP42" s="1379"/>
      <c r="FQ42" s="1379"/>
      <c r="FR42" s="1379"/>
      <c r="FS42" s="1379"/>
      <c r="FT42" s="1379"/>
      <c r="FU42" s="1379"/>
      <c r="FV42" s="1379"/>
      <c r="FW42" s="1379"/>
      <c r="FX42" s="1379"/>
      <c r="FY42" s="1379"/>
      <c r="FZ42" s="1379"/>
      <c r="GA42" s="1379"/>
      <c r="GB42" s="1379"/>
      <c r="GC42" s="1379"/>
      <c r="GD42" s="1379"/>
      <c r="GE42" s="1379"/>
      <c r="GF42" s="1379"/>
      <c r="GG42" s="1379"/>
      <c r="GH42" s="1379"/>
      <c r="GI42" s="1379"/>
      <c r="GJ42" s="1379"/>
      <c r="GK42" s="1379"/>
      <c r="GL42" s="1379"/>
      <c r="GM42" s="1379"/>
      <c r="GN42" s="1379"/>
      <c r="GO42" s="1379"/>
      <c r="GP42" s="1379"/>
      <c r="GQ42" s="1379"/>
      <c r="GR42" s="1379"/>
      <c r="GS42" s="1379"/>
      <c r="GT42" s="1379"/>
      <c r="GU42" s="1379"/>
      <c r="GV42" s="1379"/>
      <c r="GW42" s="1379"/>
      <c r="GX42" s="1379"/>
      <c r="GY42" s="1379"/>
      <c r="GZ42" s="1379"/>
      <c r="HA42" s="1379"/>
      <c r="HB42" s="1379"/>
      <c r="HC42" s="1379"/>
      <c r="HD42" s="1379"/>
      <c r="HE42" s="1379"/>
      <c r="HF42" s="1379"/>
      <c r="HG42" s="1379"/>
      <c r="HH42" s="1379"/>
      <c r="HI42" s="1379"/>
      <c r="HJ42" s="1379"/>
      <c r="HK42" s="1379"/>
      <c r="HL42" s="1379"/>
      <c r="HM42" s="1379"/>
      <c r="HN42" s="1379"/>
      <c r="HO42" s="1379"/>
      <c r="HP42" s="1379"/>
      <c r="HQ42" s="1379"/>
      <c r="HR42" s="1379"/>
      <c r="HS42" s="1379"/>
      <c r="HT42" s="1379"/>
      <c r="HU42" s="1379"/>
      <c r="HV42" s="1379"/>
      <c r="HW42" s="1379"/>
      <c r="HX42" s="1379"/>
      <c r="HY42" s="1379"/>
      <c r="HZ42" s="1379"/>
      <c r="IA42" s="1379"/>
      <c r="IB42" s="1379"/>
      <c r="IC42" s="1379"/>
      <c r="ID42" s="1379"/>
      <c r="IE42" s="1379"/>
      <c r="IF42" s="1379"/>
      <c r="IG42" s="1379"/>
      <c r="IH42" s="1379"/>
      <c r="II42" s="1379"/>
      <c r="IJ42" s="1379"/>
      <c r="IK42" s="1379"/>
      <c r="IL42" s="1379"/>
      <c r="IM42" s="1379"/>
      <c r="IN42" s="1379"/>
      <c r="IO42" s="1379"/>
      <c r="IP42" s="1379"/>
      <c r="IQ42" s="1379"/>
      <c r="IR42" s="1379"/>
      <c r="IS42" s="1379"/>
      <c r="IT42" s="1379"/>
      <c r="IU42" s="1379"/>
      <c r="IV42" s="1379"/>
      <c r="IW42" s="1379"/>
      <c r="IX42" s="1379"/>
      <c r="IY42" s="1379"/>
      <c r="IZ42" s="1379"/>
      <c r="JA42" s="1379"/>
      <c r="JB42" s="1379"/>
      <c r="JC42" s="1379"/>
      <c r="JD42" s="1379"/>
      <c r="JE42" s="1379"/>
      <c r="JF42" s="1379"/>
      <c r="JG42" s="1379"/>
      <c r="JH42" s="1379"/>
      <c r="JI42" s="1379"/>
      <c r="JJ42" s="1379"/>
      <c r="JK42" s="1379"/>
      <c r="JL42" s="1379"/>
      <c r="JM42" s="1379"/>
      <c r="JN42" s="1379"/>
      <c r="JO42" s="1379"/>
      <c r="JP42" s="1379"/>
      <c r="JQ42" s="2488"/>
      <c r="JR42" s="351"/>
      <c r="JS42" s="1365"/>
      <c r="JT42" s="1385" t="s">
        <v>2242</v>
      </c>
    </row>
    <row r="43" spans="1:280" ht="23.5" thickBot="1" x14ac:dyDescent="0.3">
      <c r="A43" s="1367">
        <v>6</v>
      </c>
      <c r="B43" s="1375" t="str">
        <f>IF(REL_A_IND&gt;1,IF(HLOOKUP(REL_A_IND-1,REL_A_RANGE,A43)="","",HLOOKUP(REL_A_IND-1,REL_A_RANGE,A43)),"")</f>
        <v/>
      </c>
      <c r="C43" s="1371" t="s">
        <v>2301</v>
      </c>
      <c r="D43" s="1373" t="s">
        <v>2302</v>
      </c>
      <c r="E43" s="702"/>
      <c r="F43" s="702"/>
      <c r="G43" s="702"/>
      <c r="H43" s="702"/>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c r="AG43" s="702"/>
      <c r="AH43" s="702"/>
      <c r="AI43" s="702"/>
      <c r="AJ43" s="702"/>
      <c r="AK43" s="702"/>
      <c r="AL43" s="702"/>
      <c r="AM43" s="702"/>
      <c r="AN43" s="702"/>
      <c r="AO43" s="702"/>
      <c r="AP43" s="702"/>
      <c r="AQ43" s="702"/>
      <c r="AR43" s="702"/>
      <c r="AS43" s="702"/>
      <c r="AT43" s="702"/>
      <c r="AU43" s="702"/>
      <c r="AV43" s="702"/>
      <c r="AW43" s="702"/>
      <c r="AX43" s="702"/>
      <c r="AY43" s="702"/>
      <c r="AZ43" s="702"/>
      <c r="BA43" s="702"/>
      <c r="BB43" s="702"/>
      <c r="BC43" s="702"/>
      <c r="BD43" s="702"/>
      <c r="BE43" s="702"/>
      <c r="BF43" s="702"/>
      <c r="BG43" s="702"/>
      <c r="BH43" s="702"/>
      <c r="BI43" s="702"/>
      <c r="BJ43" s="702"/>
      <c r="BK43" s="702"/>
      <c r="BL43" s="702"/>
      <c r="BM43" s="702"/>
      <c r="BN43" s="702"/>
      <c r="BO43" s="702"/>
      <c r="BP43" s="702"/>
      <c r="BQ43" s="702"/>
      <c r="BR43" s="702"/>
      <c r="BS43" s="702"/>
      <c r="BT43" s="702"/>
      <c r="BU43" s="702"/>
      <c r="BV43" s="702"/>
      <c r="BW43" s="702"/>
      <c r="BX43" s="702"/>
      <c r="BY43" s="702"/>
      <c r="BZ43" s="702"/>
      <c r="CA43" s="702"/>
      <c r="CB43" s="702"/>
      <c r="CC43" s="702"/>
      <c r="CD43" s="702"/>
      <c r="CE43" s="702"/>
      <c r="CF43" s="702"/>
      <c r="CG43" s="702"/>
      <c r="CH43" s="702"/>
      <c r="CI43" s="702"/>
      <c r="CJ43" s="702"/>
      <c r="CK43" s="702"/>
      <c r="CL43" s="702"/>
      <c r="CM43" s="1003"/>
      <c r="CN43" s="702"/>
      <c r="CO43" s="702"/>
      <c r="CP43" s="702"/>
      <c r="CQ43" s="702"/>
      <c r="CR43" s="702"/>
      <c r="CS43" s="702"/>
      <c r="CT43" s="702"/>
      <c r="CU43" s="702"/>
      <c r="CV43" s="702"/>
      <c r="CW43" s="702"/>
      <c r="CX43" s="702"/>
      <c r="CY43" s="702"/>
      <c r="CZ43" s="702"/>
      <c r="DA43" s="702"/>
      <c r="DB43" s="702"/>
      <c r="DC43" s="702"/>
      <c r="DD43" s="702"/>
      <c r="DE43" s="702"/>
      <c r="DF43" s="702"/>
      <c r="DG43" s="702"/>
      <c r="DH43" s="702"/>
      <c r="DI43" s="702"/>
      <c r="DJ43" s="1003"/>
      <c r="DK43" s="702"/>
      <c r="DL43" s="702"/>
      <c r="DM43" s="702"/>
      <c r="DN43" s="702"/>
      <c r="DO43" s="1003">
        <v>14054</v>
      </c>
      <c r="DP43" s="702"/>
      <c r="DQ43" s="702"/>
      <c r="DR43" s="702"/>
      <c r="DS43" s="1003">
        <v>14054</v>
      </c>
      <c r="DT43" s="702"/>
      <c r="DU43" s="702"/>
      <c r="DV43" s="702"/>
      <c r="DW43" s="702"/>
      <c r="DX43" s="702"/>
      <c r="DY43" s="702"/>
      <c r="DZ43" s="702"/>
      <c r="EA43" s="702"/>
      <c r="EB43" s="702"/>
      <c r="EC43" s="702"/>
      <c r="ED43" s="702"/>
      <c r="EE43" s="702"/>
      <c r="EF43" s="702"/>
      <c r="EG43" s="702"/>
      <c r="EH43" s="702"/>
      <c r="EI43" s="702"/>
      <c r="EJ43" s="702"/>
      <c r="EK43" s="702"/>
      <c r="EL43" s="702"/>
      <c r="EM43" s="702"/>
      <c r="EN43" s="702"/>
      <c r="EO43" s="702"/>
      <c r="EP43" s="702"/>
      <c r="EQ43" s="702"/>
      <c r="ER43" s="702"/>
      <c r="ES43" s="702"/>
      <c r="ET43" s="702"/>
      <c r="EU43" s="702"/>
      <c r="EV43" s="702"/>
      <c r="EW43" s="702"/>
      <c r="EX43" s="702"/>
      <c r="EY43" s="702"/>
      <c r="EZ43" s="702"/>
      <c r="FA43" s="702"/>
      <c r="FB43" s="702"/>
      <c r="FC43" s="702"/>
      <c r="FD43" s="702"/>
      <c r="FE43" s="702"/>
      <c r="FF43" s="702"/>
      <c r="FG43" s="702"/>
      <c r="FH43" s="702"/>
      <c r="FI43" s="702"/>
      <c r="FJ43" s="702"/>
      <c r="FK43" s="702"/>
      <c r="FL43" s="702"/>
      <c r="FM43" s="702"/>
      <c r="FN43" s="702"/>
      <c r="FO43" s="702"/>
      <c r="FP43" s="702"/>
      <c r="FQ43" s="702"/>
      <c r="FR43" s="702"/>
      <c r="FS43" s="702"/>
      <c r="FT43" s="702"/>
      <c r="FU43" s="702"/>
      <c r="FV43" s="702"/>
      <c r="FW43" s="702"/>
      <c r="FX43" s="702"/>
      <c r="FY43" s="702"/>
      <c r="FZ43" s="702"/>
      <c r="GA43" s="702"/>
      <c r="GB43" s="702"/>
      <c r="GC43" s="702"/>
      <c r="GD43" s="702"/>
      <c r="GE43" s="702"/>
      <c r="GF43" s="702"/>
      <c r="GG43" s="702"/>
      <c r="GH43" s="702"/>
      <c r="GI43" s="702"/>
      <c r="GJ43" s="702"/>
      <c r="GK43" s="702"/>
      <c r="GL43" s="702"/>
      <c r="GM43" s="702"/>
      <c r="GN43" s="702"/>
      <c r="GO43" s="702"/>
      <c r="GP43" s="702"/>
      <c r="GQ43" s="702"/>
      <c r="GR43" s="702"/>
      <c r="GS43" s="702"/>
      <c r="GT43" s="702"/>
      <c r="GU43" s="702"/>
      <c r="GV43" s="702"/>
      <c r="GW43" s="702"/>
      <c r="GX43" s="702"/>
      <c r="GY43" s="702"/>
      <c r="GZ43" s="702"/>
      <c r="HA43" s="702"/>
      <c r="HB43" s="702"/>
      <c r="HC43" s="702"/>
      <c r="HD43" s="702"/>
      <c r="HE43" s="702"/>
      <c r="HF43" s="702"/>
      <c r="HG43" s="702"/>
      <c r="HH43" s="702"/>
      <c r="HI43" s="702"/>
      <c r="HJ43" s="702"/>
      <c r="HK43" s="702"/>
      <c r="HL43" s="702"/>
      <c r="HM43" s="702"/>
      <c r="HN43" s="702"/>
      <c r="HO43" s="702"/>
      <c r="HP43" s="702"/>
      <c r="HQ43" s="702"/>
      <c r="HR43" s="702"/>
      <c r="HS43" s="702"/>
      <c r="HT43" s="702"/>
      <c r="HU43" s="702"/>
      <c r="HV43" s="702"/>
      <c r="HW43" s="702"/>
      <c r="HX43" s="702"/>
      <c r="HY43" s="702"/>
      <c r="HZ43" s="702"/>
      <c r="IA43" s="702"/>
      <c r="IB43" s="702"/>
      <c r="IC43" s="702"/>
      <c r="ID43" s="702"/>
      <c r="IE43" s="702"/>
      <c r="IF43" s="702"/>
      <c r="IG43" s="702"/>
      <c r="IH43" s="702"/>
      <c r="II43" s="702"/>
      <c r="IJ43" s="702"/>
      <c r="IK43" s="702"/>
      <c r="IL43" s="702"/>
      <c r="IM43" s="702"/>
      <c r="IN43" s="702"/>
      <c r="IO43" s="702"/>
      <c r="IP43" s="702"/>
      <c r="IQ43" s="702"/>
      <c r="IR43" s="702"/>
      <c r="IS43" s="702"/>
      <c r="IT43" s="702"/>
      <c r="IU43" s="702"/>
      <c r="IV43" s="702"/>
      <c r="IW43" s="702"/>
      <c r="IX43" s="702"/>
      <c r="IY43" s="702"/>
      <c r="IZ43" s="702"/>
      <c r="JA43" s="702"/>
      <c r="JB43" s="702"/>
      <c r="JC43" s="702"/>
      <c r="JD43" s="702"/>
      <c r="JE43" s="702"/>
      <c r="JF43" s="702"/>
      <c r="JG43" s="702"/>
      <c r="JH43" s="702"/>
      <c r="JI43" s="702"/>
      <c r="JJ43" s="702"/>
      <c r="JK43" s="702"/>
      <c r="JL43" s="702"/>
      <c r="JM43" s="702"/>
      <c r="JN43" s="702"/>
      <c r="JO43" s="702"/>
      <c r="JP43" s="702"/>
      <c r="JQ43" s="711"/>
      <c r="JR43" s="351"/>
      <c r="JS43" s="1365"/>
      <c r="JT43" s="1385" t="s">
        <v>2242</v>
      </c>
    </row>
    <row r="44" spans="1:280" ht="12" thickBot="1" x14ac:dyDescent="0.3">
      <c r="C44" s="261" t="s">
        <v>1477</v>
      </c>
      <c r="D44" s="137"/>
    </row>
    <row r="45" spans="1:280" ht="12.5" x14ac:dyDescent="0.25">
      <c r="A45" s="1367" t="s">
        <v>2201</v>
      </c>
      <c r="B45" s="406" t="str">
        <f>"selected "&amp;REL_B_IND-1</f>
        <v>selected 0</v>
      </c>
      <c r="C45" s="1374" t="s">
        <v>5</v>
      </c>
      <c r="D45" s="1394"/>
      <c r="E45" s="418">
        <v>1</v>
      </c>
      <c r="F45" s="418">
        <v>2</v>
      </c>
      <c r="G45" s="418">
        <v>3</v>
      </c>
      <c r="H45" s="418">
        <v>4</v>
      </c>
      <c r="I45" s="418">
        <v>5</v>
      </c>
      <c r="J45" s="418">
        <v>6</v>
      </c>
      <c r="K45" s="418">
        <v>7</v>
      </c>
      <c r="L45" s="418">
        <v>8</v>
      </c>
      <c r="M45" s="418">
        <v>9</v>
      </c>
      <c r="N45" s="418">
        <v>10</v>
      </c>
      <c r="O45" s="418">
        <v>11</v>
      </c>
      <c r="P45" s="418">
        <v>12</v>
      </c>
      <c r="Q45" s="418">
        <v>13</v>
      </c>
      <c r="R45" s="418">
        <v>14</v>
      </c>
      <c r="S45" s="418">
        <v>15</v>
      </c>
      <c r="T45" s="418">
        <v>16</v>
      </c>
      <c r="U45" s="418">
        <v>17</v>
      </c>
      <c r="V45" s="418">
        <v>18</v>
      </c>
      <c r="W45" s="418">
        <v>19</v>
      </c>
      <c r="X45" s="418">
        <v>20</v>
      </c>
      <c r="Y45" s="418">
        <v>21</v>
      </c>
      <c r="Z45" s="418">
        <v>22</v>
      </c>
      <c r="AA45" s="418">
        <v>23</v>
      </c>
      <c r="AB45" s="418">
        <v>24</v>
      </c>
      <c r="AC45" s="418">
        <v>25</v>
      </c>
      <c r="AD45" s="418">
        <v>26</v>
      </c>
      <c r="AE45" s="418">
        <v>27</v>
      </c>
      <c r="AF45" s="418">
        <v>28</v>
      </c>
      <c r="AG45" s="418">
        <v>29</v>
      </c>
      <c r="AH45" s="418">
        <v>30</v>
      </c>
      <c r="AI45" s="418">
        <v>31</v>
      </c>
      <c r="AJ45" s="418">
        <v>32</v>
      </c>
      <c r="AK45" s="418">
        <v>33</v>
      </c>
      <c r="AL45" s="418">
        <v>34</v>
      </c>
      <c r="AM45" s="418">
        <v>35</v>
      </c>
      <c r="AN45" s="418">
        <v>36</v>
      </c>
      <c r="AO45" s="418">
        <v>37</v>
      </c>
      <c r="AP45" s="418">
        <v>38</v>
      </c>
      <c r="AQ45" s="418">
        <v>39</v>
      </c>
      <c r="AR45" s="418">
        <v>40</v>
      </c>
      <c r="AS45" s="418">
        <v>41</v>
      </c>
      <c r="AT45" s="418">
        <v>42</v>
      </c>
      <c r="AU45" s="418">
        <v>43</v>
      </c>
      <c r="AV45" s="418">
        <v>44</v>
      </c>
      <c r="AW45" s="418">
        <v>45</v>
      </c>
      <c r="AX45" s="418">
        <v>46</v>
      </c>
      <c r="AY45" s="418">
        <v>47</v>
      </c>
      <c r="AZ45" s="418">
        <v>48</v>
      </c>
      <c r="BA45" s="418">
        <v>49</v>
      </c>
      <c r="BB45" s="418">
        <v>50</v>
      </c>
      <c r="BC45" s="418">
        <v>51</v>
      </c>
      <c r="BD45" s="418">
        <v>52</v>
      </c>
      <c r="BE45" s="418">
        <v>53</v>
      </c>
      <c r="BF45" s="418">
        <v>54</v>
      </c>
      <c r="BG45" s="418">
        <v>55</v>
      </c>
      <c r="BH45" s="418">
        <v>56</v>
      </c>
      <c r="BI45" s="418">
        <v>57</v>
      </c>
      <c r="BJ45" s="418">
        <v>58</v>
      </c>
      <c r="BK45" s="418">
        <v>59</v>
      </c>
      <c r="BL45" s="418">
        <v>60</v>
      </c>
      <c r="BM45" s="418">
        <v>61</v>
      </c>
      <c r="BN45" s="418">
        <v>62</v>
      </c>
      <c r="BO45" s="418">
        <v>63</v>
      </c>
      <c r="BP45" s="418">
        <v>64</v>
      </c>
      <c r="BQ45" s="418">
        <v>65</v>
      </c>
      <c r="BR45" s="418">
        <v>66</v>
      </c>
      <c r="BS45" s="418">
        <v>67</v>
      </c>
      <c r="BT45" s="418">
        <v>68</v>
      </c>
      <c r="BU45" s="418">
        <v>69</v>
      </c>
      <c r="BV45" s="418">
        <v>70</v>
      </c>
      <c r="BW45" s="418">
        <v>71</v>
      </c>
      <c r="BX45" s="418">
        <v>72</v>
      </c>
      <c r="BY45" s="418">
        <v>73</v>
      </c>
      <c r="BZ45" s="418">
        <v>74</v>
      </c>
      <c r="CA45" s="418">
        <v>75</v>
      </c>
      <c r="CB45" s="418">
        <v>76</v>
      </c>
      <c r="CC45" s="418">
        <v>77</v>
      </c>
      <c r="CD45" s="418">
        <v>78</v>
      </c>
      <c r="CE45" s="418">
        <v>79</v>
      </c>
      <c r="CF45" s="418">
        <v>80</v>
      </c>
      <c r="CG45" s="418">
        <v>81</v>
      </c>
      <c r="CH45" s="418">
        <v>82</v>
      </c>
      <c r="CI45" s="418">
        <v>83</v>
      </c>
      <c r="CJ45" s="418">
        <v>84</v>
      </c>
      <c r="CK45" s="418">
        <v>85</v>
      </c>
      <c r="CL45" s="418">
        <v>86</v>
      </c>
      <c r="CM45" s="418">
        <v>87</v>
      </c>
      <c r="CN45" s="418">
        <v>88</v>
      </c>
      <c r="CO45" s="418">
        <v>89</v>
      </c>
      <c r="CP45" s="418">
        <v>90</v>
      </c>
      <c r="CQ45" s="418">
        <v>91</v>
      </c>
      <c r="CR45" s="418">
        <v>92</v>
      </c>
      <c r="CS45" s="418">
        <v>93</v>
      </c>
      <c r="CT45" s="418">
        <v>94</v>
      </c>
      <c r="CU45" s="418">
        <v>95</v>
      </c>
      <c r="CV45" s="418">
        <v>96</v>
      </c>
      <c r="CW45" s="418">
        <v>97</v>
      </c>
      <c r="CX45" s="418">
        <v>98</v>
      </c>
      <c r="CY45" s="418">
        <v>99</v>
      </c>
      <c r="CZ45" s="418">
        <v>100</v>
      </c>
      <c r="DA45" s="418">
        <v>101</v>
      </c>
      <c r="DB45" s="418">
        <v>102</v>
      </c>
      <c r="DC45" s="418">
        <v>103</v>
      </c>
      <c r="DD45" s="418">
        <v>104</v>
      </c>
      <c r="DE45" s="418">
        <v>105</v>
      </c>
      <c r="DF45" s="418">
        <v>106</v>
      </c>
      <c r="DG45" s="418">
        <v>107</v>
      </c>
      <c r="DH45" s="418">
        <v>108</v>
      </c>
      <c r="DI45" s="418">
        <v>109</v>
      </c>
      <c r="DJ45" s="418">
        <v>110</v>
      </c>
      <c r="DK45" s="418">
        <v>111</v>
      </c>
      <c r="DL45" s="418">
        <v>112</v>
      </c>
      <c r="DM45" s="418">
        <v>113</v>
      </c>
      <c r="DN45" s="418">
        <v>114</v>
      </c>
      <c r="DO45" s="418">
        <v>115</v>
      </c>
      <c r="DP45" s="418">
        <v>116</v>
      </c>
      <c r="DQ45" s="418">
        <v>117</v>
      </c>
      <c r="DR45" s="418">
        <v>118</v>
      </c>
      <c r="DS45" s="418">
        <v>119</v>
      </c>
      <c r="DT45" s="418">
        <v>120</v>
      </c>
      <c r="DU45" s="418">
        <v>121</v>
      </c>
      <c r="DV45" s="418">
        <v>122</v>
      </c>
      <c r="DW45" s="418">
        <v>123</v>
      </c>
      <c r="DX45" s="418">
        <v>124</v>
      </c>
      <c r="DY45" s="418">
        <v>125</v>
      </c>
      <c r="DZ45" s="418">
        <v>126</v>
      </c>
      <c r="EA45" s="418">
        <v>127</v>
      </c>
      <c r="EB45" s="418">
        <v>128</v>
      </c>
      <c r="EC45" s="418">
        <v>129</v>
      </c>
      <c r="ED45" s="418">
        <v>130</v>
      </c>
      <c r="EE45" s="418">
        <v>131</v>
      </c>
      <c r="EF45" s="418">
        <v>132</v>
      </c>
      <c r="EG45" s="418">
        <v>133</v>
      </c>
      <c r="EH45" s="418">
        <v>134</v>
      </c>
      <c r="EI45" s="418">
        <v>135</v>
      </c>
      <c r="EJ45" s="418">
        <v>136</v>
      </c>
      <c r="EK45" s="418">
        <v>137</v>
      </c>
      <c r="EL45" s="418">
        <v>138</v>
      </c>
      <c r="EM45" s="418">
        <v>139</v>
      </c>
      <c r="EN45" s="418">
        <v>140</v>
      </c>
      <c r="EO45" s="418">
        <v>141</v>
      </c>
      <c r="EP45" s="418">
        <v>142</v>
      </c>
      <c r="EQ45" s="418">
        <v>143</v>
      </c>
      <c r="ER45" s="418">
        <v>144</v>
      </c>
      <c r="ES45" s="418">
        <v>145</v>
      </c>
      <c r="ET45" s="418">
        <v>146</v>
      </c>
      <c r="EU45" s="418">
        <v>147</v>
      </c>
      <c r="EV45" s="418">
        <v>148</v>
      </c>
      <c r="EW45" s="418">
        <v>149</v>
      </c>
      <c r="EX45" s="418">
        <v>150</v>
      </c>
      <c r="EY45" s="418">
        <v>151</v>
      </c>
      <c r="EZ45" s="418">
        <v>152</v>
      </c>
      <c r="FA45" s="418">
        <v>153</v>
      </c>
      <c r="FB45" s="418">
        <v>154</v>
      </c>
      <c r="FC45" s="418">
        <v>155</v>
      </c>
      <c r="FD45" s="418">
        <v>156</v>
      </c>
      <c r="FE45" s="418">
        <v>157</v>
      </c>
      <c r="FF45" s="418">
        <v>158</v>
      </c>
      <c r="FG45" s="418">
        <v>159</v>
      </c>
      <c r="FH45" s="418">
        <v>160</v>
      </c>
      <c r="FI45" s="418">
        <v>161</v>
      </c>
      <c r="FJ45" s="418">
        <v>162</v>
      </c>
      <c r="FK45" s="418">
        <v>163</v>
      </c>
      <c r="FL45" s="418">
        <v>164</v>
      </c>
      <c r="FM45" s="418">
        <v>165</v>
      </c>
      <c r="FN45" s="418">
        <v>166</v>
      </c>
      <c r="FO45" s="418">
        <v>167</v>
      </c>
      <c r="FP45" s="418">
        <v>168</v>
      </c>
      <c r="FQ45" s="418">
        <v>169</v>
      </c>
      <c r="FR45" s="418">
        <v>170</v>
      </c>
      <c r="FS45" s="418">
        <v>171</v>
      </c>
      <c r="FT45" s="418">
        <v>172</v>
      </c>
      <c r="FU45" s="418">
        <v>173</v>
      </c>
      <c r="FV45" s="418">
        <v>174</v>
      </c>
      <c r="FW45" s="418">
        <v>175</v>
      </c>
      <c r="FX45" s="418">
        <v>176</v>
      </c>
      <c r="FY45" s="418">
        <v>177</v>
      </c>
      <c r="FZ45" s="418">
        <v>178</v>
      </c>
      <c r="GA45" s="418">
        <v>179</v>
      </c>
      <c r="GB45" s="418">
        <v>180</v>
      </c>
      <c r="GC45" s="418">
        <v>181</v>
      </c>
      <c r="GD45" s="418">
        <v>182</v>
      </c>
      <c r="GE45" s="418">
        <v>183</v>
      </c>
      <c r="GF45" s="418">
        <v>184</v>
      </c>
      <c r="GG45" s="418">
        <v>185</v>
      </c>
      <c r="GH45" s="418">
        <v>186</v>
      </c>
      <c r="GI45" s="418">
        <v>187</v>
      </c>
      <c r="GJ45" s="418">
        <v>188</v>
      </c>
      <c r="GK45" s="418">
        <v>189</v>
      </c>
      <c r="GL45" s="418">
        <v>190</v>
      </c>
      <c r="GM45" s="418">
        <v>191</v>
      </c>
      <c r="GN45" s="418">
        <v>192</v>
      </c>
      <c r="GO45" s="418">
        <v>193</v>
      </c>
      <c r="GP45" s="418">
        <v>194</v>
      </c>
      <c r="GQ45" s="418">
        <v>195</v>
      </c>
      <c r="GR45" s="418">
        <v>196</v>
      </c>
      <c r="GS45" s="418">
        <v>197</v>
      </c>
      <c r="GT45" s="418">
        <v>198</v>
      </c>
      <c r="GU45" s="418">
        <v>199</v>
      </c>
      <c r="GV45" s="418">
        <v>200</v>
      </c>
      <c r="GW45" s="418">
        <v>201</v>
      </c>
      <c r="GX45" s="418">
        <v>202</v>
      </c>
      <c r="GY45" s="418">
        <v>203</v>
      </c>
      <c r="GZ45" s="418">
        <v>204</v>
      </c>
      <c r="HA45" s="418">
        <v>205</v>
      </c>
      <c r="HB45" s="418">
        <v>206</v>
      </c>
      <c r="HC45" s="418">
        <v>207</v>
      </c>
      <c r="HD45" s="418">
        <v>208</v>
      </c>
      <c r="HE45" s="418">
        <v>209</v>
      </c>
      <c r="HF45" s="418">
        <v>210</v>
      </c>
      <c r="HG45" s="418">
        <v>211</v>
      </c>
      <c r="HH45" s="418">
        <v>212</v>
      </c>
      <c r="HI45" s="418">
        <v>213</v>
      </c>
      <c r="HJ45" s="418">
        <v>214</v>
      </c>
      <c r="HK45" s="418">
        <v>215</v>
      </c>
      <c r="HL45" s="418">
        <v>216</v>
      </c>
      <c r="HM45" s="418">
        <v>217</v>
      </c>
      <c r="HN45" s="418">
        <v>218</v>
      </c>
      <c r="HO45" s="418">
        <v>219</v>
      </c>
      <c r="HP45" s="418">
        <v>220</v>
      </c>
      <c r="HQ45" s="418">
        <v>221</v>
      </c>
      <c r="HR45" s="418">
        <v>222</v>
      </c>
      <c r="HS45" s="418">
        <v>223</v>
      </c>
      <c r="HT45" s="418">
        <v>224</v>
      </c>
      <c r="HU45" s="418">
        <v>225</v>
      </c>
      <c r="HV45" s="418">
        <v>226</v>
      </c>
      <c r="HW45" s="418">
        <v>227</v>
      </c>
      <c r="HX45" s="418">
        <v>228</v>
      </c>
      <c r="HY45" s="418">
        <v>229</v>
      </c>
      <c r="HZ45" s="418">
        <v>230</v>
      </c>
      <c r="IA45" s="418">
        <v>231</v>
      </c>
      <c r="IB45" s="418">
        <v>232</v>
      </c>
      <c r="IC45" s="418">
        <v>233</v>
      </c>
      <c r="ID45" s="418">
        <v>234</v>
      </c>
      <c r="IE45" s="418">
        <v>235</v>
      </c>
      <c r="IF45" s="418">
        <v>236</v>
      </c>
      <c r="IG45" s="418">
        <v>237</v>
      </c>
      <c r="IH45" s="418">
        <v>238</v>
      </c>
      <c r="II45" s="418">
        <v>239</v>
      </c>
      <c r="IJ45" s="418">
        <v>240</v>
      </c>
      <c r="IK45" s="418">
        <v>241</v>
      </c>
      <c r="IL45" s="418">
        <v>242</v>
      </c>
      <c r="IM45" s="418">
        <v>243</v>
      </c>
      <c r="IN45" s="418">
        <v>244</v>
      </c>
      <c r="IO45" s="418">
        <v>245</v>
      </c>
      <c r="IP45" s="418">
        <v>246</v>
      </c>
      <c r="IQ45" s="418">
        <v>247</v>
      </c>
      <c r="IR45" s="418">
        <v>248</v>
      </c>
      <c r="IS45" s="418">
        <v>249</v>
      </c>
      <c r="IT45" s="418">
        <v>250</v>
      </c>
      <c r="IU45" s="418">
        <v>251</v>
      </c>
      <c r="IV45" s="418">
        <v>252</v>
      </c>
      <c r="IW45" s="418">
        <v>253</v>
      </c>
      <c r="IX45" s="418">
        <v>254</v>
      </c>
      <c r="IY45" s="418">
        <v>255</v>
      </c>
      <c r="IZ45" s="418">
        <v>256</v>
      </c>
      <c r="JA45" s="418">
        <v>257</v>
      </c>
      <c r="JB45" s="418">
        <v>258</v>
      </c>
      <c r="JC45" s="418">
        <v>259</v>
      </c>
      <c r="JD45" s="418">
        <v>260</v>
      </c>
      <c r="JE45" s="418">
        <v>261</v>
      </c>
      <c r="JF45" s="418">
        <v>262</v>
      </c>
      <c r="JG45" s="418">
        <v>263</v>
      </c>
      <c r="JH45" s="418">
        <v>264</v>
      </c>
      <c r="JI45" s="418">
        <v>265</v>
      </c>
      <c r="JJ45" s="418">
        <v>266</v>
      </c>
      <c r="JK45" s="418">
        <v>267</v>
      </c>
      <c r="JL45" s="418">
        <v>268</v>
      </c>
      <c r="JM45" s="418">
        <v>269</v>
      </c>
      <c r="JN45" s="418">
        <v>270</v>
      </c>
      <c r="JO45" s="418">
        <v>271</v>
      </c>
      <c r="JP45" s="418">
        <v>272</v>
      </c>
      <c r="JQ45" s="418">
        <v>273</v>
      </c>
      <c r="JR45" s="351"/>
      <c r="JT45" s="1385" t="s">
        <v>2199</v>
      </c>
    </row>
    <row r="46" spans="1:280" ht="12.5" x14ac:dyDescent="0.25">
      <c r="A46" s="1367">
        <v>2</v>
      </c>
      <c r="B46" s="1372" t="str">
        <f>IF(REL_B_IND&gt;1,IF(HLOOKUP(REL_B_IND-1,REL_B_RANGE,A46)="","",HLOOKUP(REL_B_IND-1,REL_B_RANGE,A46)),"")</f>
        <v/>
      </c>
      <c r="C46" s="1371" t="s">
        <v>2303</v>
      </c>
      <c r="D46" s="1360" t="s">
        <v>2304</v>
      </c>
      <c r="E46" s="1378"/>
      <c r="F46" s="1378"/>
      <c r="G46" s="1379">
        <v>500</v>
      </c>
      <c r="H46" s="1378"/>
      <c r="I46" s="1378"/>
      <c r="J46" s="1378"/>
      <c r="K46" s="1378"/>
      <c r="L46" s="1379">
        <v>150</v>
      </c>
      <c r="M46" s="1379">
        <v>1200</v>
      </c>
      <c r="N46" s="1378">
        <v>2400</v>
      </c>
      <c r="O46" s="1379">
        <v>2672</v>
      </c>
      <c r="P46" s="1378"/>
      <c r="Q46" s="1379">
        <v>2299</v>
      </c>
      <c r="R46" s="1378"/>
      <c r="S46" s="1378"/>
      <c r="T46" s="1378"/>
      <c r="U46" s="1378"/>
      <c r="V46" s="1378"/>
      <c r="W46" s="1379">
        <v>5375</v>
      </c>
      <c r="X46" s="1378"/>
      <c r="Y46" s="1378"/>
      <c r="Z46" s="1379">
        <v>1700</v>
      </c>
      <c r="AA46" s="1378"/>
      <c r="AB46" s="1378"/>
      <c r="AC46" s="1378"/>
      <c r="AD46" s="1378">
        <v>4145</v>
      </c>
      <c r="AE46" s="1379">
        <v>760</v>
      </c>
      <c r="AF46" s="1378">
        <v>598</v>
      </c>
      <c r="AG46" s="1378"/>
      <c r="AH46" s="1378"/>
      <c r="AI46" s="1378"/>
      <c r="AJ46" s="1379">
        <v>978</v>
      </c>
      <c r="AK46" s="1378"/>
      <c r="AL46" s="1378"/>
      <c r="AM46" s="1378"/>
      <c r="AN46" s="1378"/>
      <c r="AO46" s="1378">
        <v>3450</v>
      </c>
      <c r="AP46" s="1379"/>
      <c r="AQ46" s="1378"/>
      <c r="AR46" s="1379">
        <v>50</v>
      </c>
      <c r="AS46" s="1378"/>
      <c r="AT46" s="1378"/>
      <c r="AU46" s="1378"/>
      <c r="AV46" s="1378"/>
      <c r="AW46" s="1378"/>
      <c r="AX46" s="1378"/>
      <c r="AY46" s="1378"/>
      <c r="AZ46" s="1378"/>
      <c r="BA46" s="1378"/>
      <c r="BB46" s="1376">
        <v>480</v>
      </c>
      <c r="BC46" s="1378"/>
      <c r="BD46" s="1378">
        <v>3450</v>
      </c>
      <c r="BE46" s="1378"/>
      <c r="BF46" s="1378"/>
      <c r="BG46" s="1376">
        <v>16437</v>
      </c>
      <c r="BH46" s="1378"/>
      <c r="BI46" s="1378"/>
      <c r="BJ46" s="1378"/>
      <c r="BK46" s="1378"/>
      <c r="BL46" s="1378">
        <v>3450</v>
      </c>
      <c r="BM46" s="1378"/>
      <c r="BN46" s="1378">
        <v>240</v>
      </c>
      <c r="BO46" s="1378"/>
      <c r="BP46" s="1376">
        <v>114</v>
      </c>
      <c r="BQ46" s="1378"/>
      <c r="BR46" s="1378">
        <v>3450</v>
      </c>
      <c r="BS46" s="1378"/>
      <c r="BT46" s="1378"/>
      <c r="BU46" s="1378">
        <v>2400</v>
      </c>
      <c r="BV46" s="1378"/>
      <c r="BW46" s="1378"/>
      <c r="BX46" s="1378"/>
      <c r="BY46" s="1378">
        <v>2400</v>
      </c>
      <c r="BZ46" s="1378"/>
      <c r="CA46" s="1378"/>
      <c r="CB46" s="1378"/>
      <c r="CC46" s="1378"/>
      <c r="CD46" s="1376">
        <v>449</v>
      </c>
      <c r="CE46" s="1378"/>
      <c r="CF46" s="1378"/>
      <c r="CG46" s="1379">
        <v>7400</v>
      </c>
      <c r="CH46" s="1378">
        <v>2400</v>
      </c>
      <c r="CI46" s="1378">
        <v>3450</v>
      </c>
      <c r="CJ46" s="1376">
        <v>6145</v>
      </c>
      <c r="CK46" s="1378"/>
      <c r="CL46" s="1378"/>
      <c r="CM46" s="1378">
        <v>1000</v>
      </c>
      <c r="CN46" s="1379">
        <v>550</v>
      </c>
      <c r="CO46" s="1378"/>
      <c r="CP46" s="1378"/>
      <c r="CQ46" s="1379">
        <v>10000</v>
      </c>
      <c r="CR46" s="1378">
        <v>240</v>
      </c>
      <c r="CS46" s="1378">
        <v>240</v>
      </c>
      <c r="CT46" s="1378">
        <v>3450</v>
      </c>
      <c r="CU46" s="1378"/>
      <c r="CV46" s="1376">
        <v>1620</v>
      </c>
      <c r="CW46" s="1378">
        <v>1000</v>
      </c>
      <c r="CX46" s="1378"/>
      <c r="CY46" s="1378"/>
      <c r="CZ46" s="1378">
        <v>3450</v>
      </c>
      <c r="DA46" s="1376">
        <v>234</v>
      </c>
      <c r="DB46" s="1378"/>
      <c r="DC46" s="1378">
        <v>11000</v>
      </c>
      <c r="DD46" s="1378">
        <v>3450</v>
      </c>
      <c r="DE46" s="1378"/>
      <c r="DF46" s="1376">
        <v>196</v>
      </c>
      <c r="DG46" s="1378"/>
      <c r="DH46" s="1378"/>
      <c r="DI46" s="1378"/>
      <c r="DJ46" s="1376"/>
      <c r="DK46" s="1378"/>
      <c r="DL46" s="1378"/>
      <c r="DM46" s="1378"/>
      <c r="DN46" s="1378"/>
      <c r="DO46" s="1378"/>
      <c r="DP46" s="1378"/>
      <c r="DQ46" s="1378"/>
      <c r="DR46" s="1376">
        <v>1350</v>
      </c>
      <c r="DS46" s="1378"/>
      <c r="DT46" s="1378"/>
      <c r="DU46" s="1378"/>
      <c r="DV46" s="1378"/>
      <c r="DW46" s="1376">
        <v>1139.2</v>
      </c>
      <c r="DX46" s="1378"/>
      <c r="DY46" s="1376">
        <v>600</v>
      </c>
      <c r="DZ46" s="1378"/>
      <c r="EA46" s="1378"/>
      <c r="EB46" s="1378">
        <v>950</v>
      </c>
      <c r="EC46" s="1378"/>
      <c r="ED46" s="1378"/>
      <c r="EE46" s="1378"/>
      <c r="EF46" s="1378"/>
      <c r="EG46" s="1378"/>
      <c r="EH46" s="1378"/>
      <c r="EI46" s="1378"/>
      <c r="EJ46" s="1378"/>
      <c r="EK46" s="1378"/>
      <c r="EL46" s="1376"/>
      <c r="EM46" s="1378"/>
      <c r="EN46" s="1376">
        <v>10000</v>
      </c>
      <c r="EO46" s="1379"/>
      <c r="EP46" s="1376"/>
      <c r="EQ46" s="1379"/>
      <c r="ER46" s="1376">
        <v>1291</v>
      </c>
      <c r="ES46" s="1378"/>
      <c r="ET46" s="1378"/>
      <c r="EU46" s="1376">
        <v>860</v>
      </c>
      <c r="EV46" s="1378"/>
      <c r="EW46" s="1378"/>
      <c r="EX46" s="1379">
        <v>15000</v>
      </c>
      <c r="EY46" s="1378"/>
      <c r="EZ46" s="1376">
        <v>940</v>
      </c>
      <c r="FA46" s="1378"/>
      <c r="FB46" s="1378"/>
      <c r="FC46" s="1376">
        <v>1291</v>
      </c>
      <c r="FD46" s="1378"/>
      <c r="FE46" s="1378"/>
      <c r="FF46" s="1376">
        <v>2000</v>
      </c>
      <c r="FG46" s="1378"/>
      <c r="FH46" s="1378"/>
      <c r="FI46" s="1378"/>
      <c r="FJ46" s="1376">
        <v>11350</v>
      </c>
      <c r="FK46" s="1376">
        <v>1775</v>
      </c>
      <c r="FL46" s="1378"/>
      <c r="FM46" s="1378"/>
      <c r="FN46" s="1378"/>
      <c r="FO46" s="1376">
        <v>3000</v>
      </c>
      <c r="FP46" s="1378"/>
      <c r="FQ46" s="1378"/>
      <c r="FR46" s="1378"/>
      <c r="FS46" s="1379">
        <v>500</v>
      </c>
      <c r="FT46" s="1378"/>
      <c r="FU46" s="1378"/>
      <c r="FV46" s="1378"/>
      <c r="FW46" s="1378"/>
      <c r="FX46" s="1378"/>
      <c r="FY46" s="1378"/>
      <c r="FZ46" s="1379">
        <v>24080</v>
      </c>
      <c r="GA46" s="1378"/>
      <c r="GB46" s="1376">
        <v>31250</v>
      </c>
      <c r="GC46" s="1376">
        <v>100</v>
      </c>
      <c r="GD46" s="1378"/>
      <c r="GE46" s="1378"/>
      <c r="GF46" s="1378"/>
      <c r="GG46" s="1378"/>
      <c r="GH46" s="1378"/>
      <c r="GI46" s="1378"/>
      <c r="GJ46" s="1378"/>
      <c r="GK46" s="1378"/>
      <c r="GL46" s="1378">
        <v>1000</v>
      </c>
      <c r="GM46" s="1378">
        <v>1000</v>
      </c>
      <c r="GN46" s="1378"/>
      <c r="GO46" s="1378"/>
      <c r="GP46" s="1378"/>
      <c r="GQ46" s="1378">
        <v>11000</v>
      </c>
      <c r="GR46" s="1378"/>
      <c r="GS46" s="1378">
        <v>240</v>
      </c>
      <c r="GT46" s="1376">
        <v>325</v>
      </c>
      <c r="GU46" s="1378"/>
      <c r="GV46" s="1378"/>
      <c r="GW46" s="1378"/>
      <c r="GX46" s="1378"/>
      <c r="GY46" s="1378">
        <v>2400</v>
      </c>
      <c r="GZ46" s="1378"/>
      <c r="HA46" s="1378"/>
      <c r="HB46" s="1378"/>
      <c r="HC46" s="1378"/>
      <c r="HD46" s="1376"/>
      <c r="HE46" s="1378"/>
      <c r="HF46" s="1378"/>
      <c r="HG46" s="1378"/>
      <c r="HH46" s="1378">
        <v>240</v>
      </c>
      <c r="HI46" s="1376"/>
      <c r="HJ46" s="1376">
        <v>5750</v>
      </c>
      <c r="HK46" s="1378"/>
      <c r="HL46" s="1378"/>
      <c r="HM46" s="1376">
        <v>2600</v>
      </c>
      <c r="HN46" s="1378"/>
      <c r="HO46" s="1378"/>
      <c r="HP46" s="1379">
        <v>80</v>
      </c>
      <c r="HQ46" s="1378"/>
      <c r="HR46" s="1378"/>
      <c r="HS46" s="1378"/>
      <c r="HT46" s="1378"/>
      <c r="HU46" s="1378"/>
      <c r="HV46" s="1376">
        <v>6700</v>
      </c>
      <c r="HW46" s="1379"/>
      <c r="HX46" s="1376">
        <v>60</v>
      </c>
      <c r="HY46" s="1379"/>
      <c r="HZ46" s="1379">
        <v>519</v>
      </c>
      <c r="IA46" s="1376">
        <v>463</v>
      </c>
      <c r="IB46" s="1379"/>
      <c r="IC46" s="1379">
        <v>5886</v>
      </c>
      <c r="ID46" s="1376">
        <v>351</v>
      </c>
      <c r="IE46" s="1376">
        <v>170</v>
      </c>
      <c r="IF46" s="1379">
        <v>27650</v>
      </c>
      <c r="IG46" s="1378"/>
      <c r="IH46" s="1378"/>
      <c r="II46" s="1378"/>
      <c r="IJ46" s="1378"/>
      <c r="IK46" s="1378"/>
      <c r="IL46" s="1378"/>
      <c r="IM46" s="1378"/>
      <c r="IN46" s="1378"/>
      <c r="IO46" s="1376">
        <v>200</v>
      </c>
      <c r="IP46" s="1378"/>
      <c r="IQ46" s="1378"/>
      <c r="IR46" s="1378"/>
      <c r="IS46" s="1378"/>
      <c r="IT46" s="1378"/>
      <c r="IU46" s="1378"/>
      <c r="IV46" s="1378"/>
      <c r="IW46" s="1376">
        <v>841610.25</v>
      </c>
      <c r="IX46" s="1376">
        <v>942400</v>
      </c>
      <c r="IY46" s="1378">
        <v>978</v>
      </c>
      <c r="IZ46" s="1378"/>
      <c r="JA46" s="1378"/>
      <c r="JB46" s="1376">
        <v>2475</v>
      </c>
      <c r="JC46" s="1378"/>
      <c r="JD46" s="1378">
        <v>3450</v>
      </c>
      <c r="JE46" s="1378"/>
      <c r="JF46" s="1376">
        <v>1500</v>
      </c>
      <c r="JG46" s="1378"/>
      <c r="JH46" s="1376">
        <v>10000</v>
      </c>
      <c r="JI46" s="1378"/>
      <c r="JJ46" s="1376">
        <v>1015</v>
      </c>
      <c r="JK46" s="1376">
        <v>5405</v>
      </c>
      <c r="JL46" s="1376">
        <v>4842.2</v>
      </c>
      <c r="JM46" s="1378"/>
      <c r="JN46" s="1378">
        <v>10000</v>
      </c>
      <c r="JO46" s="1378">
        <v>120000</v>
      </c>
      <c r="JP46" s="1378">
        <v>879</v>
      </c>
      <c r="JQ46" s="1380">
        <v>200</v>
      </c>
      <c r="JR46" s="351"/>
      <c r="JS46" s="1365"/>
      <c r="JT46" s="1385" t="s">
        <v>2242</v>
      </c>
    </row>
    <row r="47" spans="1:280" ht="12.5" x14ac:dyDescent="0.25">
      <c r="A47" s="1367">
        <v>3</v>
      </c>
      <c r="B47" s="1377" t="str">
        <f t="shared" ref="B47:B51" si="5">IF(REL_B_IND&gt;1,IF(HLOOKUP(REL_B_IND-1,REL_B_RANGE,A47)="","",HLOOKUP(REL_B_IND-1,REL_B_RANGE,A47)),"")</f>
        <v/>
      </c>
      <c r="C47" s="1371" t="s">
        <v>2305</v>
      </c>
      <c r="D47" s="1360" t="s">
        <v>2306</v>
      </c>
      <c r="E47" s="1378"/>
      <c r="F47" s="1378"/>
      <c r="G47" s="1378"/>
      <c r="H47" s="1378"/>
      <c r="I47" s="1378"/>
      <c r="J47" s="1378"/>
      <c r="K47" s="1378"/>
      <c r="L47" s="1378"/>
      <c r="M47" s="1378"/>
      <c r="N47" s="1378"/>
      <c r="O47" s="1378"/>
      <c r="P47" s="1378"/>
      <c r="Q47" s="1378"/>
      <c r="R47" s="1378"/>
      <c r="S47" s="1378"/>
      <c r="T47" s="1378"/>
      <c r="U47" s="1378"/>
      <c r="V47" s="1378"/>
      <c r="W47" s="1379">
        <v>4500</v>
      </c>
      <c r="X47" s="1378"/>
      <c r="Y47" s="1378"/>
      <c r="Z47" s="1379">
        <v>500</v>
      </c>
      <c r="AA47" s="1378"/>
      <c r="AB47" s="1378"/>
      <c r="AC47" s="1378"/>
      <c r="AD47" s="1378"/>
      <c r="AE47" s="1378"/>
      <c r="AF47" s="1378"/>
      <c r="AG47" s="1378"/>
      <c r="AH47" s="1378"/>
      <c r="AI47" s="1378"/>
      <c r="AJ47" s="1378"/>
      <c r="AK47" s="1378"/>
      <c r="AL47" s="1378"/>
      <c r="AM47" s="1378"/>
      <c r="AN47" s="1378"/>
      <c r="AO47" s="1378">
        <v>3000</v>
      </c>
      <c r="AP47" s="1378"/>
      <c r="AQ47" s="1378"/>
      <c r="AR47" s="1379">
        <v>50</v>
      </c>
      <c r="AS47" s="1378"/>
      <c r="AT47" s="1378"/>
      <c r="AU47" s="1378"/>
      <c r="AV47" s="1378"/>
      <c r="AW47" s="1378"/>
      <c r="AX47" s="1378"/>
      <c r="AY47" s="1378"/>
      <c r="AZ47" s="1378"/>
      <c r="BA47" s="1378"/>
      <c r="BB47" s="1378"/>
      <c r="BC47" s="1378"/>
      <c r="BD47" s="1378">
        <v>3000</v>
      </c>
      <c r="BE47" s="1378"/>
      <c r="BF47" s="1378"/>
      <c r="BG47" s="1376">
        <v>16437</v>
      </c>
      <c r="BH47" s="1378"/>
      <c r="BI47" s="1378"/>
      <c r="BJ47" s="1378"/>
      <c r="BK47" s="1378"/>
      <c r="BL47" s="1378">
        <v>3000</v>
      </c>
      <c r="BM47" s="1378"/>
      <c r="BN47" s="1378"/>
      <c r="BO47" s="1378"/>
      <c r="BP47" s="1378"/>
      <c r="BQ47" s="1378"/>
      <c r="BR47" s="1378">
        <v>3000</v>
      </c>
      <c r="BS47" s="1378"/>
      <c r="BT47" s="1378"/>
      <c r="BU47" s="1378"/>
      <c r="BV47" s="1378"/>
      <c r="BW47" s="1378"/>
      <c r="BX47" s="1378"/>
      <c r="BY47" s="1378"/>
      <c r="BZ47" s="1378"/>
      <c r="CA47" s="1378"/>
      <c r="CB47" s="1378"/>
      <c r="CC47" s="1378"/>
      <c r="CD47" s="1378"/>
      <c r="CE47" s="1378"/>
      <c r="CF47" s="1378"/>
      <c r="CG47" s="1378"/>
      <c r="CH47" s="1378"/>
      <c r="CI47" s="1378">
        <v>3000</v>
      </c>
      <c r="CJ47" s="1378"/>
      <c r="CK47" s="1378"/>
      <c r="CL47" s="1378"/>
      <c r="CM47" s="1378"/>
      <c r="CN47" s="1378"/>
      <c r="CO47" s="1378"/>
      <c r="CP47" s="1378"/>
      <c r="CQ47" s="1378"/>
      <c r="CR47" s="1378"/>
      <c r="CS47" s="1378"/>
      <c r="CT47" s="1378">
        <v>3000</v>
      </c>
      <c r="CU47" s="1378"/>
      <c r="CV47" s="1378"/>
      <c r="CW47" s="1378"/>
      <c r="CX47" s="1378"/>
      <c r="CY47" s="1378"/>
      <c r="CZ47" s="1378">
        <v>3000</v>
      </c>
      <c r="DA47" s="1376">
        <v>5</v>
      </c>
      <c r="DB47" s="1378"/>
      <c r="DC47" s="1378"/>
      <c r="DD47" s="1378">
        <v>3000</v>
      </c>
      <c r="DE47" s="1378"/>
      <c r="DF47" s="1376">
        <v>100</v>
      </c>
      <c r="DG47" s="1378"/>
      <c r="DH47" s="1378"/>
      <c r="DI47" s="1378"/>
      <c r="DJ47" s="1376"/>
      <c r="DK47" s="1378"/>
      <c r="DL47" s="1378"/>
      <c r="DM47" s="1378"/>
      <c r="DN47" s="1378"/>
      <c r="DO47" s="1378"/>
      <c r="DP47" s="1378"/>
      <c r="DQ47" s="1378"/>
      <c r="DR47" s="1378"/>
      <c r="DS47" s="1378"/>
      <c r="DT47" s="1378"/>
      <c r="DU47" s="1378"/>
      <c r="DV47" s="1378"/>
      <c r="DW47" s="1378"/>
      <c r="DX47" s="1378"/>
      <c r="DY47" s="1378"/>
      <c r="DZ47" s="1378"/>
      <c r="EA47" s="1378"/>
      <c r="EB47" s="1378"/>
      <c r="EC47" s="1378"/>
      <c r="ED47" s="1378"/>
      <c r="EE47" s="1378"/>
      <c r="EF47" s="1378"/>
      <c r="EG47" s="1378"/>
      <c r="EH47" s="1378"/>
      <c r="EI47" s="1378"/>
      <c r="EJ47" s="1378"/>
      <c r="EK47" s="1378"/>
      <c r="EL47" s="1378"/>
      <c r="EM47" s="1378"/>
      <c r="EN47" s="1376">
        <v>10000</v>
      </c>
      <c r="EO47" s="1379"/>
      <c r="EP47" s="1376"/>
      <c r="EQ47" s="1379"/>
      <c r="ER47" s="1379"/>
      <c r="ES47" s="1378"/>
      <c r="ET47" s="1378"/>
      <c r="EU47" s="1378"/>
      <c r="EV47" s="1378"/>
      <c r="EW47" s="1378"/>
      <c r="EX47" s="1378"/>
      <c r="EY47" s="1378"/>
      <c r="EZ47" s="1376">
        <v>700</v>
      </c>
      <c r="FA47" s="1378"/>
      <c r="FB47" s="1378"/>
      <c r="FC47" s="1378"/>
      <c r="FD47" s="1378"/>
      <c r="FE47" s="1378"/>
      <c r="FF47" s="1376">
        <v>2000</v>
      </c>
      <c r="FG47" s="1378"/>
      <c r="FH47" s="1378"/>
      <c r="FI47" s="1378"/>
      <c r="FJ47" s="1376">
        <v>310</v>
      </c>
      <c r="FK47" s="1376">
        <v>1775</v>
      </c>
      <c r="FL47" s="1378"/>
      <c r="FM47" s="1378"/>
      <c r="FN47" s="1378"/>
      <c r="FO47" s="1378"/>
      <c r="FP47" s="1378"/>
      <c r="FQ47" s="1378"/>
      <c r="FR47" s="1378"/>
      <c r="FS47" s="1378"/>
      <c r="FT47" s="1378"/>
      <c r="FU47" s="1378"/>
      <c r="FV47" s="1378"/>
      <c r="FW47" s="1378"/>
      <c r="FX47" s="1378"/>
      <c r="FY47" s="1378"/>
      <c r="FZ47" s="1378"/>
      <c r="GA47" s="1378"/>
      <c r="GB47" s="1378"/>
      <c r="GC47" s="1378"/>
      <c r="GD47" s="1378"/>
      <c r="GE47" s="1378"/>
      <c r="GF47" s="1378"/>
      <c r="GG47" s="1378"/>
      <c r="GH47" s="1378"/>
      <c r="GI47" s="1378"/>
      <c r="GJ47" s="1378"/>
      <c r="GK47" s="1378"/>
      <c r="GL47" s="1378"/>
      <c r="GM47" s="1378"/>
      <c r="GN47" s="1378"/>
      <c r="GO47" s="1378"/>
      <c r="GP47" s="1378"/>
      <c r="GQ47" s="1378"/>
      <c r="GR47" s="1378"/>
      <c r="GS47" s="1378"/>
      <c r="GT47" s="1378"/>
      <c r="GU47" s="1378"/>
      <c r="GV47" s="1378"/>
      <c r="GW47" s="1378"/>
      <c r="GX47" s="1378"/>
      <c r="GY47" s="1378"/>
      <c r="GZ47" s="1378"/>
      <c r="HA47" s="1378"/>
      <c r="HB47" s="1378"/>
      <c r="HC47" s="1378"/>
      <c r="HD47" s="1376"/>
      <c r="HE47" s="1378"/>
      <c r="HF47" s="1378"/>
      <c r="HG47" s="1378"/>
      <c r="HH47" s="1378"/>
      <c r="HI47" s="1378"/>
      <c r="HJ47" s="1378"/>
      <c r="HK47" s="1378"/>
      <c r="HL47" s="1378"/>
      <c r="HM47" s="1378"/>
      <c r="HN47" s="1378"/>
      <c r="HO47" s="1378"/>
      <c r="HP47" s="1379"/>
      <c r="HQ47" s="1378"/>
      <c r="HR47" s="1378"/>
      <c r="HS47" s="1378"/>
      <c r="HT47" s="1378"/>
      <c r="HU47" s="1378"/>
      <c r="HV47" s="1378"/>
      <c r="HW47" s="1379"/>
      <c r="HX47" s="1379"/>
      <c r="HY47" s="1379"/>
      <c r="HZ47" s="1379"/>
      <c r="IA47" s="1376">
        <v>219</v>
      </c>
      <c r="IB47" s="1379"/>
      <c r="IC47" s="1379"/>
      <c r="ID47" s="1379"/>
      <c r="IE47" s="1376"/>
      <c r="IF47" s="1379"/>
      <c r="IG47" s="1378"/>
      <c r="IH47" s="1378"/>
      <c r="II47" s="1378"/>
      <c r="IJ47" s="1378"/>
      <c r="IK47" s="1378"/>
      <c r="IL47" s="1378"/>
      <c r="IM47" s="1378"/>
      <c r="IN47" s="1378"/>
      <c r="IO47" s="1378"/>
      <c r="IP47" s="1378"/>
      <c r="IQ47" s="1378"/>
      <c r="IR47" s="1378"/>
      <c r="IS47" s="1378"/>
      <c r="IT47" s="1378"/>
      <c r="IU47" s="1378"/>
      <c r="IV47" s="1378"/>
      <c r="IW47" s="1376">
        <v>828610.25</v>
      </c>
      <c r="IX47" s="1376">
        <v>46400</v>
      </c>
      <c r="IY47" s="1378"/>
      <c r="IZ47" s="1378"/>
      <c r="JA47" s="1378"/>
      <c r="JB47" s="1376">
        <v>2475</v>
      </c>
      <c r="JC47" s="1378"/>
      <c r="JD47" s="1378">
        <v>3000</v>
      </c>
      <c r="JE47" s="1378"/>
      <c r="JF47" s="1378"/>
      <c r="JG47" s="1378"/>
      <c r="JH47" s="1378"/>
      <c r="JI47" s="1378"/>
      <c r="JJ47" s="1376">
        <v>675</v>
      </c>
      <c r="JK47" s="1376">
        <v>3234</v>
      </c>
      <c r="JL47" s="1378"/>
      <c r="JM47" s="1378"/>
      <c r="JN47" s="1378"/>
      <c r="JO47" s="1378">
        <v>100000</v>
      </c>
      <c r="JP47" s="1378"/>
      <c r="JQ47" s="1380"/>
      <c r="JR47" s="351"/>
      <c r="JS47" s="1365" t="s">
        <v>2307</v>
      </c>
      <c r="JT47" s="1385" t="s">
        <v>2242</v>
      </c>
    </row>
    <row r="48" spans="1:280" ht="12.5" x14ac:dyDescent="0.25">
      <c r="A48" s="1367">
        <v>4</v>
      </c>
      <c r="B48" s="1377" t="str">
        <f t="shared" si="5"/>
        <v/>
      </c>
      <c r="C48" s="1371" t="s">
        <v>2308</v>
      </c>
      <c r="D48" s="1360" t="s">
        <v>2309</v>
      </c>
      <c r="E48" s="1378"/>
      <c r="F48" s="1378"/>
      <c r="G48" s="1378"/>
      <c r="H48" s="1378"/>
      <c r="I48" s="1378"/>
      <c r="J48" s="1378"/>
      <c r="K48" s="1378"/>
      <c r="L48" s="1378"/>
      <c r="M48" s="1378"/>
      <c r="N48" s="1378"/>
      <c r="O48" s="1378"/>
      <c r="P48" s="1378"/>
      <c r="Q48" s="1378"/>
      <c r="R48" s="1378"/>
      <c r="S48" s="1378"/>
      <c r="T48" s="1378"/>
      <c r="U48" s="1378"/>
      <c r="V48" s="1378"/>
      <c r="W48" s="1378"/>
      <c r="X48" s="1378"/>
      <c r="Y48" s="1378"/>
      <c r="Z48" s="1378"/>
      <c r="AA48" s="1378"/>
      <c r="AB48" s="1378"/>
      <c r="AC48" s="1378"/>
      <c r="AD48" s="1378"/>
      <c r="AE48" s="1378"/>
      <c r="AF48" s="1378"/>
      <c r="AG48" s="1378"/>
      <c r="AH48" s="1378"/>
      <c r="AI48" s="1378"/>
      <c r="AJ48" s="1378"/>
      <c r="AK48" s="1378"/>
      <c r="AL48" s="1378"/>
      <c r="AM48" s="1378"/>
      <c r="AN48" s="1378"/>
      <c r="AO48" s="1378"/>
      <c r="AP48" s="1378"/>
      <c r="AQ48" s="1378"/>
      <c r="AR48" s="1378"/>
      <c r="AS48" s="1378"/>
      <c r="AT48" s="1378"/>
      <c r="AU48" s="1378"/>
      <c r="AV48" s="1378"/>
      <c r="AW48" s="1378"/>
      <c r="AX48" s="1378"/>
      <c r="AY48" s="1378"/>
      <c r="AZ48" s="1378"/>
      <c r="BA48" s="1378"/>
      <c r="BB48" s="1378"/>
      <c r="BC48" s="1378"/>
      <c r="BD48" s="1378"/>
      <c r="BE48" s="1378"/>
      <c r="BF48" s="1378"/>
      <c r="BG48" s="1378"/>
      <c r="BH48" s="1378"/>
      <c r="BI48" s="1378"/>
      <c r="BJ48" s="1378"/>
      <c r="BK48" s="1378"/>
      <c r="BL48" s="1378"/>
      <c r="BM48" s="1378"/>
      <c r="BN48" s="1378"/>
      <c r="BO48" s="1378"/>
      <c r="BP48" s="1378"/>
      <c r="BQ48" s="1378"/>
      <c r="BR48" s="1378"/>
      <c r="BS48" s="1378"/>
      <c r="BT48" s="1378"/>
      <c r="BU48" s="1378"/>
      <c r="BV48" s="1378"/>
      <c r="BW48" s="1378"/>
      <c r="BX48" s="1378"/>
      <c r="BY48" s="1378"/>
      <c r="BZ48" s="1378"/>
      <c r="CA48" s="1378"/>
      <c r="CB48" s="1378"/>
      <c r="CC48" s="1378"/>
      <c r="CD48" s="1378"/>
      <c r="CE48" s="1378"/>
      <c r="CF48" s="1378"/>
      <c r="CG48" s="1378"/>
      <c r="CH48" s="1378"/>
      <c r="CI48" s="1378"/>
      <c r="CJ48" s="1378"/>
      <c r="CK48" s="1378"/>
      <c r="CL48" s="1378"/>
      <c r="CM48" s="1378">
        <v>100</v>
      </c>
      <c r="CN48" s="1378"/>
      <c r="CO48" s="1378"/>
      <c r="CP48" s="1378"/>
      <c r="CQ48" s="1378"/>
      <c r="CR48" s="1378"/>
      <c r="CS48" s="1378"/>
      <c r="CT48" s="1378"/>
      <c r="CU48" s="1378"/>
      <c r="CV48" s="1376">
        <v>130</v>
      </c>
      <c r="CW48" s="1378">
        <v>100</v>
      </c>
      <c r="CX48" s="1378"/>
      <c r="CY48" s="1378"/>
      <c r="CZ48" s="1378"/>
      <c r="DA48" s="1376">
        <v>132</v>
      </c>
      <c r="DB48" s="1378"/>
      <c r="DC48" s="1378"/>
      <c r="DD48" s="1378"/>
      <c r="DE48" s="1378"/>
      <c r="DF48" s="1378"/>
      <c r="DG48" s="1378"/>
      <c r="DH48" s="1378"/>
      <c r="DI48" s="1378"/>
      <c r="DJ48" s="1378"/>
      <c r="DK48" s="1378"/>
      <c r="DL48" s="1378"/>
      <c r="DM48" s="1378"/>
      <c r="DN48" s="1378"/>
      <c r="DO48" s="1378"/>
      <c r="DP48" s="1378"/>
      <c r="DQ48" s="1378"/>
      <c r="DR48" s="1378"/>
      <c r="DS48" s="1378"/>
      <c r="DT48" s="1378"/>
      <c r="DU48" s="1378"/>
      <c r="DV48" s="1378"/>
      <c r="DW48" s="1378"/>
      <c r="DX48" s="1378"/>
      <c r="DY48" s="1378"/>
      <c r="DZ48" s="1378"/>
      <c r="EA48" s="1378"/>
      <c r="EB48" s="1378">
        <v>300</v>
      </c>
      <c r="EC48" s="1378"/>
      <c r="ED48" s="1378"/>
      <c r="EE48" s="1378"/>
      <c r="EF48" s="1378"/>
      <c r="EG48" s="1378"/>
      <c r="EH48" s="1378"/>
      <c r="EI48" s="1378"/>
      <c r="EJ48" s="1378"/>
      <c r="EK48" s="1378"/>
      <c r="EL48" s="1378"/>
      <c r="EM48" s="1378"/>
      <c r="EN48" s="1378"/>
      <c r="EO48" s="1379"/>
      <c r="EP48" s="1379"/>
      <c r="EQ48" s="1379"/>
      <c r="ER48" s="1379"/>
      <c r="ES48" s="1378"/>
      <c r="ET48" s="1378"/>
      <c r="EU48" s="1378"/>
      <c r="EV48" s="1378"/>
      <c r="EW48" s="1378"/>
      <c r="EX48" s="1378"/>
      <c r="EY48" s="1378"/>
      <c r="EZ48" s="1378"/>
      <c r="FA48" s="1378"/>
      <c r="FB48" s="1378"/>
      <c r="FC48" s="1378"/>
      <c r="FD48" s="1378"/>
      <c r="FE48" s="1378"/>
      <c r="FF48" s="1376">
        <v>1500</v>
      </c>
      <c r="FG48" s="1378"/>
      <c r="FH48" s="1378"/>
      <c r="FI48" s="1378"/>
      <c r="FJ48" s="1378"/>
      <c r="FK48" s="1378"/>
      <c r="FL48" s="1378"/>
      <c r="FM48" s="1378"/>
      <c r="FN48" s="1378"/>
      <c r="FO48" s="1378"/>
      <c r="FP48" s="1378"/>
      <c r="FQ48" s="1378"/>
      <c r="FR48" s="1378"/>
      <c r="FS48" s="1378"/>
      <c r="FT48" s="1378"/>
      <c r="FU48" s="1378"/>
      <c r="FV48" s="1378"/>
      <c r="FW48" s="1378"/>
      <c r="FX48" s="1378"/>
      <c r="FY48" s="1378"/>
      <c r="FZ48" s="1378"/>
      <c r="GA48" s="1378"/>
      <c r="GB48" s="1378"/>
      <c r="GC48" s="1378"/>
      <c r="GD48" s="1378"/>
      <c r="GE48" s="1378"/>
      <c r="GF48" s="1378"/>
      <c r="GG48" s="1378"/>
      <c r="GH48" s="1378"/>
      <c r="GI48" s="1378"/>
      <c r="GJ48" s="1378"/>
      <c r="GK48" s="1378"/>
      <c r="GL48" s="1378">
        <v>100</v>
      </c>
      <c r="GM48" s="1378">
        <v>100</v>
      </c>
      <c r="GN48" s="1378"/>
      <c r="GO48" s="1378"/>
      <c r="GP48" s="1378"/>
      <c r="GQ48" s="1378"/>
      <c r="GR48" s="1378"/>
      <c r="GS48" s="1378"/>
      <c r="GT48" s="1378"/>
      <c r="GU48" s="1378"/>
      <c r="GV48" s="1378"/>
      <c r="GW48" s="1378"/>
      <c r="GX48" s="1378"/>
      <c r="GY48" s="1378"/>
      <c r="GZ48" s="1378"/>
      <c r="HA48" s="1378"/>
      <c r="HB48" s="1378"/>
      <c r="HC48" s="1378"/>
      <c r="HD48" s="1378"/>
      <c r="HE48" s="1378"/>
      <c r="HF48" s="1378"/>
      <c r="HG48" s="1378"/>
      <c r="HH48" s="1378"/>
      <c r="HI48" s="1378"/>
      <c r="HJ48" s="1378"/>
      <c r="HK48" s="1378"/>
      <c r="HL48" s="1378"/>
      <c r="HM48" s="1376">
        <v>2000</v>
      </c>
      <c r="HN48" s="1378"/>
      <c r="HO48" s="1378"/>
      <c r="HP48" s="1378"/>
      <c r="HQ48" s="1378"/>
      <c r="HR48" s="1378"/>
      <c r="HS48" s="1378"/>
      <c r="HT48" s="1378"/>
      <c r="HU48" s="1378"/>
      <c r="HV48" s="1378"/>
      <c r="HW48" s="1379"/>
      <c r="HX48" s="1379"/>
      <c r="HY48" s="1379"/>
      <c r="HZ48" s="1379"/>
      <c r="IA48" s="1379"/>
      <c r="IB48" s="1379"/>
      <c r="IC48" s="1379"/>
      <c r="ID48" s="1379"/>
      <c r="IE48" s="1379"/>
      <c r="IF48" s="1379"/>
      <c r="IG48" s="1378"/>
      <c r="IH48" s="1378"/>
      <c r="II48" s="1378"/>
      <c r="IJ48" s="1378"/>
      <c r="IK48" s="1378"/>
      <c r="IL48" s="1378"/>
      <c r="IM48" s="1378"/>
      <c r="IN48" s="1378"/>
      <c r="IO48" s="1378"/>
      <c r="IP48" s="1378"/>
      <c r="IQ48" s="1378"/>
      <c r="IR48" s="1378"/>
      <c r="IS48" s="1378"/>
      <c r="IT48" s="1378"/>
      <c r="IU48" s="1378"/>
      <c r="IV48" s="1378"/>
      <c r="IW48" s="1376">
        <v>805110.25</v>
      </c>
      <c r="IX48" s="1376">
        <v>896000</v>
      </c>
      <c r="IY48" s="1378"/>
      <c r="IZ48" s="1378"/>
      <c r="JA48" s="1378"/>
      <c r="JB48" s="1378"/>
      <c r="JC48" s="1378"/>
      <c r="JD48" s="1378"/>
      <c r="JE48" s="1378"/>
      <c r="JF48" s="1378"/>
      <c r="JG48" s="1378"/>
      <c r="JH48" s="1378"/>
      <c r="JI48" s="1378"/>
      <c r="JJ48" s="1378"/>
      <c r="JK48" s="1376">
        <v>80</v>
      </c>
      <c r="JL48" s="1378"/>
      <c r="JM48" s="1378"/>
      <c r="JN48" s="1378"/>
      <c r="JO48" s="1378"/>
      <c r="JP48" s="1378"/>
      <c r="JQ48" s="1727"/>
      <c r="JR48" s="351"/>
      <c r="JS48" s="1365" t="s">
        <v>2307</v>
      </c>
      <c r="JT48" s="1385" t="s">
        <v>2242</v>
      </c>
    </row>
    <row r="49" spans="1:280" ht="12.5" x14ac:dyDescent="0.25">
      <c r="A49" s="1367">
        <v>5</v>
      </c>
      <c r="B49" s="1377" t="str">
        <f t="shared" si="5"/>
        <v/>
      </c>
      <c r="C49" s="1371" t="s">
        <v>2310</v>
      </c>
      <c r="D49" s="1360" t="s">
        <v>2311</v>
      </c>
      <c r="E49" s="1378"/>
      <c r="F49" s="1378"/>
      <c r="G49" s="1378"/>
      <c r="H49" s="1378"/>
      <c r="I49" s="1378"/>
      <c r="J49" s="1378"/>
      <c r="K49" s="1378"/>
      <c r="L49" s="1378"/>
      <c r="M49" s="1378"/>
      <c r="N49" s="1378"/>
      <c r="O49" s="1378"/>
      <c r="P49" s="1378"/>
      <c r="Q49" s="1378"/>
      <c r="R49" s="1378"/>
      <c r="S49" s="1378"/>
      <c r="T49" s="1378"/>
      <c r="U49" s="1378"/>
      <c r="V49" s="1378"/>
      <c r="W49" s="1378"/>
      <c r="X49" s="1378"/>
      <c r="Y49" s="1378"/>
      <c r="Z49" s="1378"/>
      <c r="AA49" s="1378"/>
      <c r="AB49" s="1378"/>
      <c r="AC49" s="1378"/>
      <c r="AD49" s="1378"/>
      <c r="AE49" s="1378"/>
      <c r="AF49" s="1378"/>
      <c r="AG49" s="1378"/>
      <c r="AH49" s="1378"/>
      <c r="AI49" s="1378"/>
      <c r="AJ49" s="1378"/>
      <c r="AK49" s="1378"/>
      <c r="AL49" s="1378"/>
      <c r="AM49" s="1378"/>
      <c r="AN49" s="1378"/>
      <c r="AO49" s="1378"/>
      <c r="AP49" s="1378"/>
      <c r="AQ49" s="1378"/>
      <c r="AR49" s="1378"/>
      <c r="AS49" s="1378"/>
      <c r="AT49" s="1378"/>
      <c r="AU49" s="1378"/>
      <c r="AV49" s="2477"/>
      <c r="AW49" s="1378"/>
      <c r="AX49" s="2489"/>
      <c r="AY49" s="1378"/>
      <c r="AZ49" s="1378"/>
      <c r="BA49" s="1378"/>
      <c r="BB49" s="1378"/>
      <c r="BC49" s="1378"/>
      <c r="BD49" s="1378"/>
      <c r="BE49" s="2489"/>
      <c r="BF49" s="2489"/>
      <c r="BG49" s="2489"/>
      <c r="BH49" s="2489"/>
      <c r="BI49" s="2489"/>
      <c r="BJ49" s="1378"/>
      <c r="BK49" s="2489"/>
      <c r="BL49" s="1378"/>
      <c r="BM49" s="1378"/>
      <c r="BN49" s="2477"/>
      <c r="BO49" s="1378"/>
      <c r="BP49" s="1378"/>
      <c r="BQ49" s="1378"/>
      <c r="BR49" s="1378"/>
      <c r="BS49" s="1378"/>
      <c r="BT49" s="1378"/>
      <c r="BU49" s="1378"/>
      <c r="BV49" s="1378"/>
      <c r="BW49" s="1378"/>
      <c r="BX49" s="1378"/>
      <c r="BY49" s="1378"/>
      <c r="BZ49" s="1378"/>
      <c r="CA49" s="1378"/>
      <c r="CB49" s="1378"/>
      <c r="CC49" s="1378"/>
      <c r="CD49" s="1378"/>
      <c r="CE49" s="1378"/>
      <c r="CF49" s="1378"/>
      <c r="CG49" s="1378"/>
      <c r="CH49" s="1378"/>
      <c r="CI49" s="1378"/>
      <c r="CJ49" s="1378"/>
      <c r="CK49" s="1378"/>
      <c r="CL49" s="1378"/>
      <c r="CM49" s="2489">
        <v>200</v>
      </c>
      <c r="CN49" s="1378"/>
      <c r="CO49" s="1378"/>
      <c r="CP49" s="1378"/>
      <c r="CQ49" s="1378"/>
      <c r="CR49" s="2477"/>
      <c r="CS49" s="2477"/>
      <c r="CT49" s="1378"/>
      <c r="CU49" s="1378"/>
      <c r="CV49" s="1378"/>
      <c r="CW49" s="2489">
        <v>200</v>
      </c>
      <c r="CX49" s="1378"/>
      <c r="CY49" s="1378"/>
      <c r="CZ49" s="1378"/>
      <c r="DA49" s="1378"/>
      <c r="DB49" s="1378"/>
      <c r="DC49" s="1378"/>
      <c r="DD49" s="1378"/>
      <c r="DE49" s="1378"/>
      <c r="DF49" s="1378"/>
      <c r="DG49" s="1378"/>
      <c r="DH49" s="1378"/>
      <c r="DI49" s="1378"/>
      <c r="DJ49" s="1378"/>
      <c r="DK49" s="1378"/>
      <c r="DL49" s="1378"/>
      <c r="DM49" s="1378"/>
      <c r="DN49" s="1378"/>
      <c r="DO49" s="1378"/>
      <c r="DP49" s="1378"/>
      <c r="DQ49" s="1378"/>
      <c r="DR49" s="1378"/>
      <c r="DS49" s="1378"/>
      <c r="DT49" s="1378"/>
      <c r="DU49" s="1378"/>
      <c r="DV49" s="1378"/>
      <c r="DW49" s="1378"/>
      <c r="DX49" s="1378"/>
      <c r="DY49" s="1378"/>
      <c r="DZ49" s="1378"/>
      <c r="EA49" s="1378"/>
      <c r="EB49" s="1378"/>
      <c r="EC49" s="1378"/>
      <c r="ED49" s="1378"/>
      <c r="EE49" s="1378"/>
      <c r="EF49" s="1378"/>
      <c r="EG49" s="1378"/>
      <c r="EH49" s="1378"/>
      <c r="EI49" s="1378"/>
      <c r="EJ49" s="1378"/>
      <c r="EK49" s="1378"/>
      <c r="EL49" s="1378"/>
      <c r="EM49" s="1378"/>
      <c r="EN49" s="1378"/>
      <c r="EO49" s="1379"/>
      <c r="EP49" s="1379"/>
      <c r="EQ49" s="1379"/>
      <c r="ER49" s="1379"/>
      <c r="ES49" s="1378"/>
      <c r="ET49" s="1378"/>
      <c r="EU49" s="1378"/>
      <c r="EV49" s="1378"/>
      <c r="EW49" s="1378"/>
      <c r="EX49" s="1378"/>
      <c r="EY49" s="1378"/>
      <c r="EZ49" s="1378"/>
      <c r="FA49" s="1378"/>
      <c r="FB49" s="1376">
        <v>10000</v>
      </c>
      <c r="FC49" s="1378"/>
      <c r="FD49" s="1378"/>
      <c r="FE49" s="1378"/>
      <c r="FF49" s="1376">
        <v>4820</v>
      </c>
      <c r="FG49" s="1378"/>
      <c r="FH49" s="1378"/>
      <c r="FI49" s="1378"/>
      <c r="FJ49" s="1378"/>
      <c r="FK49" s="1378"/>
      <c r="FL49" s="1378"/>
      <c r="FM49" s="1378"/>
      <c r="FN49" s="1378"/>
      <c r="FO49" s="1378"/>
      <c r="FP49" s="1378"/>
      <c r="FQ49" s="1378"/>
      <c r="FR49" s="1378"/>
      <c r="FS49" s="1378"/>
      <c r="FT49" s="1378"/>
      <c r="FU49" s="1378"/>
      <c r="FV49" s="1378"/>
      <c r="FW49" s="1378"/>
      <c r="FX49" s="1378"/>
      <c r="FY49" s="1378"/>
      <c r="FZ49" s="1378"/>
      <c r="GA49" s="1378"/>
      <c r="GB49" s="1378"/>
      <c r="GC49" s="1378"/>
      <c r="GD49" s="1378"/>
      <c r="GE49" s="1378"/>
      <c r="GF49" s="1378"/>
      <c r="GG49" s="1378"/>
      <c r="GH49" s="1378"/>
      <c r="GI49" s="1378"/>
      <c r="GJ49" s="1378"/>
      <c r="GK49" s="1378"/>
      <c r="GL49" s="2489">
        <v>200</v>
      </c>
      <c r="GM49" s="2489">
        <v>200</v>
      </c>
      <c r="GN49" s="1378"/>
      <c r="GO49" s="1378"/>
      <c r="GP49" s="1378"/>
      <c r="GQ49" s="1378"/>
      <c r="GR49" s="1378"/>
      <c r="GS49" s="2477"/>
      <c r="GT49" s="1378"/>
      <c r="GU49" s="1378"/>
      <c r="GV49" s="1378"/>
      <c r="GW49" s="1378"/>
      <c r="GX49" s="1378"/>
      <c r="GY49" s="1378"/>
      <c r="GZ49" s="1378"/>
      <c r="HA49" s="1378"/>
      <c r="HB49" s="1378"/>
      <c r="HC49" s="1378"/>
      <c r="HD49" s="1378"/>
      <c r="HE49" s="1378"/>
      <c r="HF49" s="1378"/>
      <c r="HG49" s="1378"/>
      <c r="HH49" s="2477"/>
      <c r="HI49" s="1378"/>
      <c r="HJ49" s="1376">
        <v>200</v>
      </c>
      <c r="HK49" s="1378"/>
      <c r="HL49" s="1378"/>
      <c r="HM49" s="1376">
        <v>22400</v>
      </c>
      <c r="HN49" s="1378"/>
      <c r="HO49" s="1378"/>
      <c r="HP49" s="1378"/>
      <c r="HQ49" s="1378"/>
      <c r="HR49" s="1378"/>
      <c r="HS49" s="1378"/>
      <c r="HT49" s="1378"/>
      <c r="HU49" s="1378"/>
      <c r="HV49" s="1378"/>
      <c r="HW49" s="1378"/>
      <c r="HX49" s="1378"/>
      <c r="HY49" s="1378"/>
      <c r="HZ49" s="1378"/>
      <c r="IA49" s="1378"/>
      <c r="IB49" s="1378"/>
      <c r="IC49" s="1378"/>
      <c r="ID49" s="1378"/>
      <c r="IE49" s="1378"/>
      <c r="IF49" s="1378">
        <v>6000</v>
      </c>
      <c r="IG49" s="1378"/>
      <c r="IH49" s="1378"/>
      <c r="II49" s="1378"/>
      <c r="IJ49" s="1378"/>
      <c r="IK49" s="1378"/>
      <c r="IL49" s="1378"/>
      <c r="IM49" s="1378"/>
      <c r="IN49" s="1378"/>
      <c r="IO49" s="1378"/>
      <c r="IP49" s="1378"/>
      <c r="IQ49" s="1378"/>
      <c r="IR49" s="1378"/>
      <c r="IS49" s="1378"/>
      <c r="IT49" s="1378"/>
      <c r="IU49" s="1378"/>
      <c r="IV49" s="1378"/>
      <c r="IW49" s="1376">
        <v>255396</v>
      </c>
      <c r="IX49" s="1376">
        <v>882500</v>
      </c>
      <c r="IY49" s="1378"/>
      <c r="IZ49" s="1378"/>
      <c r="JA49" s="1378"/>
      <c r="JB49" s="1378"/>
      <c r="JC49" s="1378"/>
      <c r="JD49" s="1378"/>
      <c r="JE49" s="1378"/>
      <c r="JF49" s="1378"/>
      <c r="JG49" s="1378"/>
      <c r="JH49" s="1378"/>
      <c r="JI49" s="1378"/>
      <c r="JJ49" s="1378"/>
      <c r="JK49" s="1378"/>
      <c r="JL49" s="1378"/>
      <c r="JM49" s="1378"/>
      <c r="JN49" s="1378"/>
      <c r="JO49" s="1378"/>
      <c r="JP49" s="1378"/>
      <c r="JQ49" s="1727"/>
      <c r="JR49" s="351"/>
      <c r="JS49" s="1365"/>
      <c r="JT49" s="1385" t="s">
        <v>2242</v>
      </c>
    </row>
    <row r="50" spans="1:280" ht="12.5" x14ac:dyDescent="0.25">
      <c r="A50" s="1367">
        <v>6</v>
      </c>
      <c r="B50" s="1377" t="str">
        <f t="shared" si="5"/>
        <v/>
      </c>
      <c r="C50" s="1371" t="s">
        <v>2312</v>
      </c>
      <c r="D50" s="1360" t="s">
        <v>2313</v>
      </c>
      <c r="E50" s="1378"/>
      <c r="F50" s="1378"/>
      <c r="G50" s="1378"/>
      <c r="H50" s="1378"/>
      <c r="I50" s="1378"/>
      <c r="J50" s="1378"/>
      <c r="K50" s="1378"/>
      <c r="L50" s="1378"/>
      <c r="M50" s="1378"/>
      <c r="N50" s="1378"/>
      <c r="O50" s="1378"/>
      <c r="P50" s="1378"/>
      <c r="Q50" s="1378"/>
      <c r="R50" s="1378"/>
      <c r="S50" s="1378"/>
      <c r="T50" s="1378"/>
      <c r="U50" s="1378"/>
      <c r="V50" s="1378"/>
      <c r="W50" s="1378"/>
      <c r="X50" s="1378"/>
      <c r="Y50" s="1378"/>
      <c r="Z50" s="1378"/>
      <c r="AA50" s="1378"/>
      <c r="AB50" s="1378"/>
      <c r="AC50" s="1378"/>
      <c r="AD50" s="1378"/>
      <c r="AE50" s="1378"/>
      <c r="AF50" s="1378"/>
      <c r="AG50" s="1378"/>
      <c r="AH50" s="1378"/>
      <c r="AI50" s="1378"/>
      <c r="AJ50" s="1378"/>
      <c r="AK50" s="1378"/>
      <c r="AL50" s="1378"/>
      <c r="AM50" s="1378"/>
      <c r="AN50" s="1378"/>
      <c r="AO50" s="1378"/>
      <c r="AP50" s="1378"/>
      <c r="AQ50" s="1378"/>
      <c r="AR50" s="1378"/>
      <c r="AS50" s="1378"/>
      <c r="AT50" s="1378"/>
      <c r="AU50" s="1378"/>
      <c r="AV50" s="1378"/>
      <c r="AW50" s="1378"/>
      <c r="AX50" s="1378"/>
      <c r="AY50" s="2490"/>
      <c r="AZ50" s="2490"/>
      <c r="BA50" s="2490"/>
      <c r="BB50" s="2490"/>
      <c r="BC50" s="2490"/>
      <c r="BD50" s="1378"/>
      <c r="BE50" s="1378"/>
      <c r="BF50" s="1378"/>
      <c r="BG50" s="1378"/>
      <c r="BH50" s="1378"/>
      <c r="BI50" s="1378"/>
      <c r="BJ50" s="2490"/>
      <c r="BK50" s="1378"/>
      <c r="BL50" s="1378"/>
      <c r="BM50" s="2490"/>
      <c r="BN50" s="1378">
        <v>2145</v>
      </c>
      <c r="BO50" s="2490"/>
      <c r="BP50" s="1378"/>
      <c r="BQ50" s="2490"/>
      <c r="BR50" s="1378"/>
      <c r="BS50" s="2490"/>
      <c r="BT50" s="2490"/>
      <c r="BU50" s="1378"/>
      <c r="BV50" s="2490"/>
      <c r="BW50" s="2490"/>
      <c r="BX50" s="2490"/>
      <c r="BY50" s="1378"/>
      <c r="BZ50" s="2490"/>
      <c r="CA50" s="2490"/>
      <c r="CB50" s="2490">
        <v>2370</v>
      </c>
      <c r="CC50" s="2490"/>
      <c r="CD50" s="1378"/>
      <c r="CE50" s="2490"/>
      <c r="CF50" s="2490"/>
      <c r="CG50" s="1378"/>
      <c r="CH50" s="1378"/>
      <c r="CI50" s="1378"/>
      <c r="CJ50" s="2490"/>
      <c r="CK50" s="2490"/>
      <c r="CL50" s="1378"/>
      <c r="CM50" s="1378"/>
      <c r="CN50" s="2490"/>
      <c r="CO50" s="2490"/>
      <c r="CP50" s="2490"/>
      <c r="CQ50" s="2490"/>
      <c r="CR50" s="1378">
        <v>2145</v>
      </c>
      <c r="CS50" s="1378">
        <v>2145</v>
      </c>
      <c r="CT50" s="1378"/>
      <c r="CU50" s="2490"/>
      <c r="CV50" s="1378"/>
      <c r="CW50" s="1378"/>
      <c r="CX50" s="2490"/>
      <c r="CY50" s="1378"/>
      <c r="CZ50" s="1378"/>
      <c r="DA50" s="1378"/>
      <c r="DB50" s="1378">
        <v>400912</v>
      </c>
      <c r="DC50" s="2490"/>
      <c r="DD50" s="1378"/>
      <c r="DE50" s="2490"/>
      <c r="DF50" s="2490"/>
      <c r="DG50" s="2490"/>
      <c r="DH50" s="2490"/>
      <c r="DI50" s="2490"/>
      <c r="DJ50" s="1378"/>
      <c r="DK50" s="2490"/>
      <c r="DL50" s="2490"/>
      <c r="DM50" s="1378"/>
      <c r="DN50" s="2490"/>
      <c r="DO50" s="2490"/>
      <c r="DP50" s="2490"/>
      <c r="DQ50" s="2490"/>
      <c r="DR50" s="2490"/>
      <c r="DS50" s="2490"/>
      <c r="DT50" s="2490"/>
      <c r="DU50" s="2490"/>
      <c r="DV50" s="2490"/>
      <c r="DW50" s="2490"/>
      <c r="DX50" s="2490"/>
      <c r="DY50" s="2490"/>
      <c r="DZ50" s="2490"/>
      <c r="EA50" s="2490"/>
      <c r="EB50" s="1378"/>
      <c r="EC50" s="2490"/>
      <c r="ED50" s="2490"/>
      <c r="EE50" s="2490"/>
      <c r="EF50" s="2490"/>
      <c r="EG50" s="2490"/>
      <c r="EH50" s="2490"/>
      <c r="EI50" s="2490"/>
      <c r="EJ50" s="2490"/>
      <c r="EK50" s="2490"/>
      <c r="EL50" s="2490"/>
      <c r="EM50" s="2490"/>
      <c r="EN50" s="2490"/>
      <c r="EO50" s="2490"/>
      <c r="EP50" s="2490"/>
      <c r="EQ50" s="2490"/>
      <c r="ER50" s="2490"/>
      <c r="ES50" s="2490"/>
      <c r="ET50" s="2490"/>
      <c r="EU50" s="2490"/>
      <c r="EV50" s="2490"/>
      <c r="EW50" s="2490"/>
      <c r="EX50" s="2490"/>
      <c r="EY50" s="2490"/>
      <c r="EZ50" s="2490"/>
      <c r="FA50" s="2490"/>
      <c r="FB50" s="2490"/>
      <c r="FC50" s="2490"/>
      <c r="FD50" s="2490"/>
      <c r="FE50" s="2490"/>
      <c r="FF50" s="2490"/>
      <c r="FG50" s="2490"/>
      <c r="FH50" s="2490"/>
      <c r="FI50" s="2490"/>
      <c r="FJ50" s="2490"/>
      <c r="FK50" s="2490"/>
      <c r="FL50" s="2490"/>
      <c r="FM50" s="2490"/>
      <c r="FN50" s="2490"/>
      <c r="FO50" s="2490"/>
      <c r="FP50" s="2490"/>
      <c r="FQ50" s="2490"/>
      <c r="FR50" s="2490"/>
      <c r="FS50" s="2490"/>
      <c r="FT50" s="2490"/>
      <c r="FU50" s="2490"/>
      <c r="FV50" s="2490"/>
      <c r="FW50" s="2490"/>
      <c r="FX50" s="2490"/>
      <c r="FY50" s="2490"/>
      <c r="FZ50" s="2490"/>
      <c r="GA50" s="2490"/>
      <c r="GB50" s="2490"/>
      <c r="GC50" s="2490"/>
      <c r="GD50" s="2490"/>
      <c r="GE50" s="2490"/>
      <c r="GF50" s="2490"/>
      <c r="GG50" s="2490"/>
      <c r="GH50" s="2490"/>
      <c r="GI50" s="2490"/>
      <c r="GJ50" s="2490"/>
      <c r="GK50" s="2490"/>
      <c r="GL50" s="1378"/>
      <c r="GM50" s="1378"/>
      <c r="GN50" s="2490"/>
      <c r="GO50" s="2490"/>
      <c r="GP50" s="2490"/>
      <c r="GQ50" s="2490"/>
      <c r="GR50" s="2490"/>
      <c r="GS50" s="1378">
        <v>2145</v>
      </c>
      <c r="GT50" s="2490"/>
      <c r="GU50" s="2490"/>
      <c r="GV50" s="2490"/>
      <c r="GW50" s="2490"/>
      <c r="GX50" s="2490"/>
      <c r="GY50" s="1378"/>
      <c r="GZ50" s="2490"/>
      <c r="HA50" s="2490"/>
      <c r="HB50" s="2490"/>
      <c r="HC50" s="2490"/>
      <c r="HD50" s="1378"/>
      <c r="HE50" s="2490"/>
      <c r="HF50" s="2490"/>
      <c r="HG50" s="2490"/>
      <c r="HH50" s="1378">
        <v>2145</v>
      </c>
      <c r="HI50" s="2490"/>
      <c r="HJ50" s="2490"/>
      <c r="HK50" s="2490"/>
      <c r="HL50" s="2490"/>
      <c r="HM50" s="2490"/>
      <c r="HN50" s="2490"/>
      <c r="HO50" s="2490"/>
      <c r="HP50" s="2490"/>
      <c r="HQ50" s="2490"/>
      <c r="HR50" s="2490"/>
      <c r="HS50" s="2490"/>
      <c r="HT50" s="2490"/>
      <c r="HU50" s="2490"/>
      <c r="HV50" s="2491">
        <v>206910</v>
      </c>
      <c r="HW50" s="2490"/>
      <c r="HX50" s="2490"/>
      <c r="HY50" s="2490"/>
      <c r="HZ50" s="2490">
        <v>179999</v>
      </c>
      <c r="IA50" s="2490"/>
      <c r="IB50" s="2490"/>
      <c r="IC50" s="2490"/>
      <c r="ID50" s="2490"/>
      <c r="IE50" s="2490"/>
      <c r="IF50" s="2490">
        <v>256421</v>
      </c>
      <c r="IG50" s="2490"/>
      <c r="IH50" s="2490"/>
      <c r="II50" s="2490"/>
      <c r="IJ50" s="2490"/>
      <c r="IK50" s="2490"/>
      <c r="IL50" s="2490"/>
      <c r="IM50" s="2490"/>
      <c r="IN50" s="2490"/>
      <c r="IO50" s="2490"/>
      <c r="IP50" s="2490"/>
      <c r="IQ50" s="2490"/>
      <c r="IR50" s="2490"/>
      <c r="IS50" s="2490"/>
      <c r="IT50" s="2490"/>
      <c r="IU50" s="2490"/>
      <c r="IV50" s="2490"/>
      <c r="IW50" s="2490"/>
      <c r="IX50" s="2490"/>
      <c r="IY50" s="2490"/>
      <c r="IZ50" s="1378"/>
      <c r="JA50" s="1378"/>
      <c r="JB50" s="1378"/>
      <c r="JC50" s="1378"/>
      <c r="JD50" s="1378"/>
      <c r="JE50" s="1378"/>
      <c r="JF50" s="1378"/>
      <c r="JG50" s="1378"/>
      <c r="JH50" s="2490"/>
      <c r="JI50" s="2490"/>
      <c r="JJ50" s="2490"/>
      <c r="JK50" s="2490"/>
      <c r="JL50" s="2490"/>
      <c r="JM50" s="2490"/>
      <c r="JN50" s="2490"/>
      <c r="JO50" s="2490"/>
      <c r="JP50" s="2490"/>
      <c r="JQ50" s="2492"/>
      <c r="JR50" s="351"/>
      <c r="JS50" s="1365"/>
      <c r="JT50" s="1385" t="s">
        <v>2242</v>
      </c>
    </row>
    <row r="51" spans="1:280" ht="12.5" x14ac:dyDescent="0.25">
      <c r="A51" s="1367">
        <v>7</v>
      </c>
      <c r="B51" s="1377" t="str">
        <f t="shared" si="5"/>
        <v/>
      </c>
      <c r="C51" s="1371" t="s">
        <v>2314</v>
      </c>
      <c r="D51" s="1360" t="s">
        <v>2315</v>
      </c>
      <c r="E51" s="1378"/>
      <c r="F51" s="1378"/>
      <c r="G51" s="1378"/>
      <c r="H51" s="1378"/>
      <c r="I51" s="1378"/>
      <c r="J51" s="1378"/>
      <c r="K51" s="1378"/>
      <c r="L51" s="1378"/>
      <c r="M51" s="1378"/>
      <c r="N51" s="1378"/>
      <c r="O51" s="1378"/>
      <c r="P51" s="1378"/>
      <c r="Q51" s="1378"/>
      <c r="R51" s="1378"/>
      <c r="S51" s="1378"/>
      <c r="T51" s="1378"/>
      <c r="U51" s="1378"/>
      <c r="V51" s="1378"/>
      <c r="W51" s="1378"/>
      <c r="X51" s="1378"/>
      <c r="Y51" s="1378"/>
      <c r="Z51" s="1378"/>
      <c r="AA51" s="1378"/>
      <c r="AB51" s="1378"/>
      <c r="AC51" s="1378"/>
      <c r="AD51" s="1378"/>
      <c r="AE51" s="1378"/>
      <c r="AF51" s="1378"/>
      <c r="AG51" s="1378"/>
      <c r="AH51" s="1378"/>
      <c r="AI51" s="1378"/>
      <c r="AJ51" s="1378"/>
      <c r="AK51" s="1378"/>
      <c r="AL51" s="1378"/>
      <c r="AM51" s="1378"/>
      <c r="AN51" s="1378"/>
      <c r="AO51" s="1378"/>
      <c r="AP51" s="1378"/>
      <c r="AQ51" s="1378"/>
      <c r="AR51" s="1378"/>
      <c r="AS51" s="1378"/>
      <c r="AT51" s="1378"/>
      <c r="AU51" s="1378"/>
      <c r="AV51" s="1378"/>
      <c r="AW51" s="1378"/>
      <c r="AX51" s="1378"/>
      <c r="AY51" s="2490"/>
      <c r="AZ51" s="2490"/>
      <c r="BA51" s="2490"/>
      <c r="BB51" s="2490"/>
      <c r="BC51" s="2490"/>
      <c r="BD51" s="1378"/>
      <c r="BE51" s="1378"/>
      <c r="BF51" s="1378"/>
      <c r="BG51" s="1378"/>
      <c r="BH51" s="1378"/>
      <c r="BI51" s="1379">
        <v>19590</v>
      </c>
      <c r="BJ51" s="2490"/>
      <c r="BK51" s="1378"/>
      <c r="BL51" s="1378"/>
      <c r="BM51" s="2490"/>
      <c r="BN51" s="1378"/>
      <c r="BO51" s="2490"/>
      <c r="BP51" s="1378"/>
      <c r="BQ51" s="2490"/>
      <c r="BR51" s="1378"/>
      <c r="BS51" s="2490"/>
      <c r="BT51" s="2490"/>
      <c r="BU51" s="1378"/>
      <c r="BV51" s="2490"/>
      <c r="BW51" s="2490"/>
      <c r="BX51" s="2490"/>
      <c r="BY51" s="1378"/>
      <c r="BZ51" s="2493">
        <v>34750</v>
      </c>
      <c r="CA51" s="2490"/>
      <c r="CB51" s="2490"/>
      <c r="CC51" s="2490"/>
      <c r="CD51" s="1378"/>
      <c r="CE51" s="2490"/>
      <c r="CF51" s="2490"/>
      <c r="CG51" s="1378"/>
      <c r="CH51" s="1378"/>
      <c r="CI51" s="1378"/>
      <c r="CJ51" s="2490"/>
      <c r="CK51" s="2490"/>
      <c r="CL51" s="1376">
        <v>42900</v>
      </c>
      <c r="CM51" s="1378"/>
      <c r="CN51" s="2490"/>
      <c r="CO51" s="2490"/>
      <c r="CP51" s="2490"/>
      <c r="CQ51" s="2490"/>
      <c r="CR51" s="1378"/>
      <c r="CS51" s="1378"/>
      <c r="CT51" s="1378"/>
      <c r="CU51" s="2490"/>
      <c r="CV51" s="1378"/>
      <c r="CW51" s="1378"/>
      <c r="CX51" s="2490"/>
      <c r="CY51" s="1376">
        <v>35130</v>
      </c>
      <c r="CZ51" s="1378"/>
      <c r="DA51" s="1378"/>
      <c r="DB51" s="1378"/>
      <c r="DC51" s="2490"/>
      <c r="DD51" s="1378"/>
      <c r="DE51" s="2490"/>
      <c r="DF51" s="2490"/>
      <c r="DG51" s="2490"/>
      <c r="DH51" s="2490"/>
      <c r="DI51" s="2490"/>
      <c r="DJ51" s="1378"/>
      <c r="DK51" s="2490"/>
      <c r="DL51" s="2490"/>
      <c r="DM51" s="1376">
        <v>36500</v>
      </c>
      <c r="DN51" s="2490"/>
      <c r="DO51" s="2490"/>
      <c r="DP51" s="2490"/>
      <c r="DQ51" s="2490"/>
      <c r="DR51" s="2490"/>
      <c r="DS51" s="2490"/>
      <c r="DT51" s="2490"/>
      <c r="DU51" s="2490"/>
      <c r="DV51" s="2490"/>
      <c r="DW51" s="2490"/>
      <c r="DX51" s="2490"/>
      <c r="DY51" s="2490"/>
      <c r="DZ51" s="2490"/>
      <c r="EA51" s="2490"/>
      <c r="EB51" s="1378"/>
      <c r="EC51" s="2490"/>
      <c r="ED51" s="2490"/>
      <c r="EE51" s="2490"/>
      <c r="EF51" s="2490"/>
      <c r="EG51" s="2490"/>
      <c r="EH51" s="2490"/>
      <c r="EI51" s="2490"/>
      <c r="EJ51" s="2490"/>
      <c r="EK51" s="2490"/>
      <c r="EL51" s="2490"/>
      <c r="EM51" s="2490"/>
      <c r="EN51" s="2490"/>
      <c r="EO51" s="2490"/>
      <c r="EP51" s="2490"/>
      <c r="EQ51" s="2490"/>
      <c r="ER51" s="2490"/>
      <c r="ES51" s="2490"/>
      <c r="ET51" s="2490"/>
      <c r="EU51" s="2490"/>
      <c r="EV51" s="2490"/>
      <c r="EW51" s="2490"/>
      <c r="EX51" s="2490"/>
      <c r="EY51" s="2490"/>
      <c r="EZ51" s="2490"/>
      <c r="FA51" s="2490"/>
      <c r="FB51" s="2490"/>
      <c r="FC51" s="2490"/>
      <c r="FD51" s="2490"/>
      <c r="FE51" s="2490"/>
      <c r="FF51" s="2490"/>
      <c r="FG51" s="2490"/>
      <c r="FH51" s="2490"/>
      <c r="FI51" s="2490"/>
      <c r="FJ51" s="2490"/>
      <c r="FK51" s="2490"/>
      <c r="FL51" s="2490"/>
      <c r="FM51" s="2493">
        <v>16965</v>
      </c>
      <c r="FN51" s="2490"/>
      <c r="FO51" s="2490"/>
      <c r="FP51" s="2490"/>
      <c r="FQ51" s="2490"/>
      <c r="FR51" s="2490"/>
      <c r="FS51" s="2490"/>
      <c r="FT51" s="2490"/>
      <c r="FU51" s="2490"/>
      <c r="FV51" s="2490"/>
      <c r="FW51" s="2490"/>
      <c r="FX51" s="2490"/>
      <c r="FY51" s="2490"/>
      <c r="FZ51" s="2490"/>
      <c r="GA51" s="2490"/>
      <c r="GB51" s="2490"/>
      <c r="GC51" s="2490"/>
      <c r="GD51" s="2490"/>
      <c r="GE51" s="2490"/>
      <c r="GF51" s="2490"/>
      <c r="GG51" s="2490"/>
      <c r="GH51" s="2490"/>
      <c r="GI51" s="2490"/>
      <c r="GJ51" s="2490"/>
      <c r="GK51" s="2490"/>
      <c r="GL51" s="1378"/>
      <c r="GM51" s="1378"/>
      <c r="GN51" s="2490"/>
      <c r="GO51" s="2490"/>
      <c r="GP51" s="2490"/>
      <c r="GQ51" s="2490"/>
      <c r="GR51" s="2490"/>
      <c r="GS51" s="1378"/>
      <c r="GT51" s="2490"/>
      <c r="GU51" s="2490"/>
      <c r="GV51" s="2490"/>
      <c r="GW51" s="2490"/>
      <c r="GX51" s="2490"/>
      <c r="GY51" s="1378"/>
      <c r="GZ51" s="2490"/>
      <c r="HA51" s="2490"/>
      <c r="HB51" s="2490"/>
      <c r="HC51" s="2490"/>
      <c r="HD51" s="1378"/>
      <c r="HE51" s="2490"/>
      <c r="HF51" s="2490"/>
      <c r="HG51" s="2490"/>
      <c r="HH51" s="1378"/>
      <c r="HI51" s="2490"/>
      <c r="HJ51" s="2490"/>
      <c r="HK51" s="2490"/>
      <c r="HL51" s="2490"/>
      <c r="HM51" s="2490"/>
      <c r="HN51" s="2490"/>
      <c r="HO51" s="2493">
        <v>73658</v>
      </c>
      <c r="HP51" s="2490"/>
      <c r="HQ51" s="2490"/>
      <c r="HR51" s="2490"/>
      <c r="HS51" s="2490"/>
      <c r="HT51" s="2490"/>
      <c r="HU51" s="2490"/>
      <c r="HV51" s="2490"/>
      <c r="HW51" s="2490"/>
      <c r="HX51" s="2490"/>
      <c r="HY51" s="2490"/>
      <c r="HZ51" s="2490"/>
      <c r="IA51" s="2490"/>
      <c r="IB51" s="2490"/>
      <c r="IC51" s="2490"/>
      <c r="ID51" s="2490"/>
      <c r="IE51" s="2490"/>
      <c r="IF51" s="2490"/>
      <c r="IG51" s="2490"/>
      <c r="IH51" s="2490"/>
      <c r="II51" s="2490"/>
      <c r="IJ51" s="2490"/>
      <c r="IK51" s="2490"/>
      <c r="IL51" s="2490"/>
      <c r="IM51" s="2490"/>
      <c r="IN51" s="2490"/>
      <c r="IO51" s="2490"/>
      <c r="IP51" s="2490"/>
      <c r="IQ51" s="2490"/>
      <c r="IR51" s="2490"/>
      <c r="IS51" s="2490"/>
      <c r="IT51" s="2490"/>
      <c r="IU51" s="2490"/>
      <c r="IV51" s="2490"/>
      <c r="IW51" s="2490"/>
      <c r="IX51" s="2490"/>
      <c r="IY51" s="2490"/>
      <c r="IZ51" s="1378"/>
      <c r="JA51" s="1378"/>
      <c r="JB51" s="1378"/>
      <c r="JC51" s="1378"/>
      <c r="JD51" s="1378"/>
      <c r="JE51" s="1378"/>
      <c r="JF51" s="1378"/>
      <c r="JG51" s="1378"/>
      <c r="JH51" s="2490"/>
      <c r="JI51" s="2490"/>
      <c r="JJ51" s="2490"/>
      <c r="JK51" s="2490"/>
      <c r="JL51" s="2490"/>
      <c r="JM51" s="2490"/>
      <c r="JN51" s="2490"/>
      <c r="JO51" s="2490"/>
      <c r="JP51" s="2490"/>
      <c r="JQ51" s="1727"/>
      <c r="JR51" s="351"/>
      <c r="JS51" s="1365"/>
      <c r="JT51" s="1385" t="s">
        <v>2242</v>
      </c>
    </row>
    <row r="52" spans="1:280" ht="12" thickBot="1" x14ac:dyDescent="0.3">
      <c r="C52" s="261" t="s">
        <v>2316</v>
      </c>
      <c r="D52" s="137"/>
    </row>
    <row r="53" spans="1:280" ht="12.5" x14ac:dyDescent="0.25">
      <c r="A53" s="1367" t="s">
        <v>2201</v>
      </c>
      <c r="B53" s="406" t="str">
        <f>"selected "&amp;REL_C_IND-1</f>
        <v>selected 0</v>
      </c>
      <c r="C53" s="1374" t="s">
        <v>6</v>
      </c>
      <c r="D53" s="1394"/>
      <c r="E53" s="418">
        <v>1</v>
      </c>
      <c r="F53" s="418">
        <v>2</v>
      </c>
      <c r="G53" s="418">
        <v>3</v>
      </c>
      <c r="H53" s="418">
        <v>4</v>
      </c>
      <c r="I53" s="418">
        <v>5</v>
      </c>
      <c r="J53" s="418">
        <v>6</v>
      </c>
      <c r="K53" s="418">
        <v>7</v>
      </c>
      <c r="L53" s="418">
        <v>8</v>
      </c>
      <c r="M53" s="418">
        <v>9</v>
      </c>
      <c r="N53" s="418">
        <v>10</v>
      </c>
      <c r="O53" s="418">
        <v>11</v>
      </c>
      <c r="P53" s="418">
        <v>12</v>
      </c>
      <c r="Q53" s="418">
        <v>13</v>
      </c>
      <c r="R53" s="418">
        <v>14</v>
      </c>
      <c r="S53" s="418">
        <v>15</v>
      </c>
      <c r="T53" s="418">
        <v>16</v>
      </c>
      <c r="U53" s="418">
        <v>17</v>
      </c>
      <c r="V53" s="418">
        <v>18</v>
      </c>
      <c r="W53" s="418">
        <v>19</v>
      </c>
      <c r="X53" s="418">
        <v>20</v>
      </c>
      <c r="Y53" s="418">
        <v>21</v>
      </c>
      <c r="Z53" s="418">
        <v>22</v>
      </c>
      <c r="AA53" s="418">
        <v>23</v>
      </c>
      <c r="AB53" s="418">
        <v>24</v>
      </c>
      <c r="AC53" s="418">
        <v>25</v>
      </c>
      <c r="AD53" s="418">
        <v>26</v>
      </c>
      <c r="AE53" s="418">
        <v>27</v>
      </c>
      <c r="AF53" s="418">
        <v>28</v>
      </c>
      <c r="AG53" s="418">
        <v>29</v>
      </c>
      <c r="AH53" s="418">
        <v>30</v>
      </c>
      <c r="AI53" s="418">
        <v>31</v>
      </c>
      <c r="AJ53" s="418">
        <v>32</v>
      </c>
      <c r="AK53" s="418">
        <v>33</v>
      </c>
      <c r="AL53" s="418">
        <v>34</v>
      </c>
      <c r="AM53" s="418">
        <v>35</v>
      </c>
      <c r="AN53" s="418">
        <v>36</v>
      </c>
      <c r="AO53" s="418">
        <v>37</v>
      </c>
      <c r="AP53" s="418">
        <v>38</v>
      </c>
      <c r="AQ53" s="418">
        <v>39</v>
      </c>
      <c r="AR53" s="418">
        <v>40</v>
      </c>
      <c r="AS53" s="418">
        <v>41</v>
      </c>
      <c r="AT53" s="418">
        <v>42</v>
      </c>
      <c r="AU53" s="418">
        <v>43</v>
      </c>
      <c r="AV53" s="418">
        <v>44</v>
      </c>
      <c r="AW53" s="418">
        <v>45</v>
      </c>
      <c r="AX53" s="418">
        <v>46</v>
      </c>
      <c r="AY53" s="418">
        <v>47</v>
      </c>
      <c r="AZ53" s="418">
        <v>48</v>
      </c>
      <c r="BA53" s="418">
        <v>49</v>
      </c>
      <c r="BB53" s="418">
        <v>50</v>
      </c>
      <c r="BC53" s="418">
        <v>51</v>
      </c>
      <c r="BD53" s="418">
        <v>52</v>
      </c>
      <c r="BE53" s="418">
        <v>53</v>
      </c>
      <c r="BF53" s="418">
        <v>54</v>
      </c>
      <c r="BG53" s="418">
        <v>55</v>
      </c>
      <c r="BH53" s="418">
        <v>56</v>
      </c>
      <c r="BI53" s="418">
        <v>57</v>
      </c>
      <c r="BJ53" s="418">
        <v>58</v>
      </c>
      <c r="BK53" s="418">
        <v>59</v>
      </c>
      <c r="BL53" s="418">
        <v>60</v>
      </c>
      <c r="BM53" s="418">
        <v>61</v>
      </c>
      <c r="BN53" s="418">
        <v>62</v>
      </c>
      <c r="BO53" s="418">
        <v>63</v>
      </c>
      <c r="BP53" s="418">
        <v>64</v>
      </c>
      <c r="BQ53" s="418">
        <v>65</v>
      </c>
      <c r="BR53" s="418">
        <v>66</v>
      </c>
      <c r="BS53" s="418">
        <v>67</v>
      </c>
      <c r="BT53" s="418">
        <v>68</v>
      </c>
      <c r="BU53" s="418">
        <v>69</v>
      </c>
      <c r="BV53" s="418">
        <v>70</v>
      </c>
      <c r="BW53" s="418">
        <v>71</v>
      </c>
      <c r="BX53" s="418">
        <v>72</v>
      </c>
      <c r="BY53" s="418">
        <v>73</v>
      </c>
      <c r="BZ53" s="418">
        <v>74</v>
      </c>
      <c r="CA53" s="418">
        <v>75</v>
      </c>
      <c r="CB53" s="418">
        <v>76</v>
      </c>
      <c r="CC53" s="418">
        <v>77</v>
      </c>
      <c r="CD53" s="418">
        <v>78</v>
      </c>
      <c r="CE53" s="418">
        <v>79</v>
      </c>
      <c r="CF53" s="418">
        <v>80</v>
      </c>
      <c r="CG53" s="418">
        <v>81</v>
      </c>
      <c r="CH53" s="418">
        <v>82</v>
      </c>
      <c r="CI53" s="418">
        <v>83</v>
      </c>
      <c r="CJ53" s="418">
        <v>84</v>
      </c>
      <c r="CK53" s="418">
        <v>85</v>
      </c>
      <c r="CL53" s="418">
        <v>86</v>
      </c>
      <c r="CM53" s="418">
        <v>87</v>
      </c>
      <c r="CN53" s="418">
        <v>88</v>
      </c>
      <c r="CO53" s="418">
        <v>89</v>
      </c>
      <c r="CP53" s="418">
        <v>90</v>
      </c>
      <c r="CQ53" s="418">
        <v>91</v>
      </c>
      <c r="CR53" s="418">
        <v>92</v>
      </c>
      <c r="CS53" s="418">
        <v>93</v>
      </c>
      <c r="CT53" s="418">
        <v>94</v>
      </c>
      <c r="CU53" s="418">
        <v>95</v>
      </c>
      <c r="CV53" s="418">
        <v>96</v>
      </c>
      <c r="CW53" s="418">
        <v>97</v>
      </c>
      <c r="CX53" s="418">
        <v>98</v>
      </c>
      <c r="CY53" s="418">
        <v>99</v>
      </c>
      <c r="CZ53" s="418">
        <v>100</v>
      </c>
      <c r="DA53" s="418">
        <v>101</v>
      </c>
      <c r="DB53" s="418">
        <v>102</v>
      </c>
      <c r="DC53" s="418">
        <v>103</v>
      </c>
      <c r="DD53" s="418">
        <v>104</v>
      </c>
      <c r="DE53" s="418">
        <v>105</v>
      </c>
      <c r="DF53" s="418">
        <v>106</v>
      </c>
      <c r="DG53" s="418">
        <v>107</v>
      </c>
      <c r="DH53" s="418">
        <v>108</v>
      </c>
      <c r="DI53" s="418">
        <v>109</v>
      </c>
      <c r="DJ53" s="418">
        <v>110</v>
      </c>
      <c r="DK53" s="418">
        <v>111</v>
      </c>
      <c r="DL53" s="418">
        <v>112</v>
      </c>
      <c r="DM53" s="418">
        <v>113</v>
      </c>
      <c r="DN53" s="418">
        <v>114</v>
      </c>
      <c r="DO53" s="418">
        <v>115</v>
      </c>
      <c r="DP53" s="418">
        <v>116</v>
      </c>
      <c r="DQ53" s="418">
        <v>117</v>
      </c>
      <c r="DR53" s="418">
        <v>118</v>
      </c>
      <c r="DS53" s="418">
        <v>119</v>
      </c>
      <c r="DT53" s="418">
        <v>120</v>
      </c>
      <c r="DU53" s="418">
        <v>121</v>
      </c>
      <c r="DV53" s="418">
        <v>122</v>
      </c>
      <c r="DW53" s="418">
        <v>123</v>
      </c>
      <c r="DX53" s="418">
        <v>124</v>
      </c>
      <c r="DY53" s="418">
        <v>125</v>
      </c>
      <c r="DZ53" s="418">
        <v>126</v>
      </c>
      <c r="EA53" s="418">
        <v>127</v>
      </c>
      <c r="EB53" s="418">
        <v>128</v>
      </c>
      <c r="EC53" s="418">
        <v>129</v>
      </c>
      <c r="ED53" s="418">
        <v>130</v>
      </c>
      <c r="EE53" s="418">
        <v>131</v>
      </c>
      <c r="EF53" s="418">
        <v>132</v>
      </c>
      <c r="EG53" s="418">
        <v>133</v>
      </c>
      <c r="EH53" s="418">
        <v>134</v>
      </c>
      <c r="EI53" s="418">
        <v>135</v>
      </c>
      <c r="EJ53" s="418">
        <v>136</v>
      </c>
      <c r="EK53" s="418">
        <v>137</v>
      </c>
      <c r="EL53" s="418">
        <v>138</v>
      </c>
      <c r="EM53" s="418">
        <v>139</v>
      </c>
      <c r="EN53" s="418">
        <v>140</v>
      </c>
      <c r="EO53" s="418">
        <v>141</v>
      </c>
      <c r="EP53" s="418">
        <v>142</v>
      </c>
      <c r="EQ53" s="418">
        <v>143</v>
      </c>
      <c r="ER53" s="418">
        <v>144</v>
      </c>
      <c r="ES53" s="418">
        <v>145</v>
      </c>
      <c r="ET53" s="418">
        <v>146</v>
      </c>
      <c r="EU53" s="418">
        <v>147</v>
      </c>
      <c r="EV53" s="418">
        <v>148</v>
      </c>
      <c r="EW53" s="418">
        <v>149</v>
      </c>
      <c r="EX53" s="418">
        <v>150</v>
      </c>
      <c r="EY53" s="418">
        <v>151</v>
      </c>
      <c r="EZ53" s="418">
        <v>152</v>
      </c>
      <c r="FA53" s="418">
        <v>153</v>
      </c>
      <c r="FB53" s="418">
        <v>154</v>
      </c>
      <c r="FC53" s="418">
        <v>155</v>
      </c>
      <c r="FD53" s="418">
        <v>156</v>
      </c>
      <c r="FE53" s="418">
        <v>157</v>
      </c>
      <c r="FF53" s="418">
        <v>158</v>
      </c>
      <c r="FG53" s="418">
        <v>159</v>
      </c>
      <c r="FH53" s="418">
        <v>160</v>
      </c>
      <c r="FI53" s="418">
        <v>161</v>
      </c>
      <c r="FJ53" s="418">
        <v>162</v>
      </c>
      <c r="FK53" s="418">
        <v>163</v>
      </c>
      <c r="FL53" s="418">
        <v>164</v>
      </c>
      <c r="FM53" s="418">
        <v>165</v>
      </c>
      <c r="FN53" s="418">
        <v>166</v>
      </c>
      <c r="FO53" s="418">
        <v>167</v>
      </c>
      <c r="FP53" s="418">
        <v>168</v>
      </c>
      <c r="FQ53" s="418">
        <v>169</v>
      </c>
      <c r="FR53" s="418">
        <v>170</v>
      </c>
      <c r="FS53" s="418">
        <v>171</v>
      </c>
      <c r="FT53" s="418">
        <v>172</v>
      </c>
      <c r="FU53" s="418">
        <v>173</v>
      </c>
      <c r="FV53" s="418">
        <v>174</v>
      </c>
      <c r="FW53" s="418">
        <v>175</v>
      </c>
      <c r="FX53" s="418">
        <v>176</v>
      </c>
      <c r="FY53" s="418">
        <v>177</v>
      </c>
      <c r="FZ53" s="418">
        <v>178</v>
      </c>
      <c r="GA53" s="418">
        <v>179</v>
      </c>
      <c r="GB53" s="418">
        <v>180</v>
      </c>
      <c r="GC53" s="418">
        <v>181</v>
      </c>
      <c r="GD53" s="418">
        <v>182</v>
      </c>
      <c r="GE53" s="418">
        <v>183</v>
      </c>
      <c r="GF53" s="418">
        <v>184</v>
      </c>
      <c r="GG53" s="418">
        <v>185</v>
      </c>
      <c r="GH53" s="418">
        <v>186</v>
      </c>
      <c r="GI53" s="418">
        <v>187</v>
      </c>
      <c r="GJ53" s="418">
        <v>188</v>
      </c>
      <c r="GK53" s="418">
        <v>189</v>
      </c>
      <c r="GL53" s="418">
        <v>190</v>
      </c>
      <c r="GM53" s="418">
        <v>191</v>
      </c>
      <c r="GN53" s="418">
        <v>192</v>
      </c>
      <c r="GO53" s="418">
        <v>193</v>
      </c>
      <c r="GP53" s="418">
        <v>194</v>
      </c>
      <c r="GQ53" s="418">
        <v>195</v>
      </c>
      <c r="GR53" s="418">
        <v>196</v>
      </c>
      <c r="GS53" s="418">
        <v>197</v>
      </c>
      <c r="GT53" s="418">
        <v>198</v>
      </c>
      <c r="GU53" s="418">
        <v>199</v>
      </c>
      <c r="GV53" s="418">
        <v>200</v>
      </c>
      <c r="GW53" s="418">
        <v>201</v>
      </c>
      <c r="GX53" s="418">
        <v>202</v>
      </c>
      <c r="GY53" s="418">
        <v>203</v>
      </c>
      <c r="GZ53" s="418">
        <v>204</v>
      </c>
      <c r="HA53" s="418">
        <v>205</v>
      </c>
      <c r="HB53" s="418">
        <v>206</v>
      </c>
      <c r="HC53" s="418">
        <v>207</v>
      </c>
      <c r="HD53" s="418">
        <v>208</v>
      </c>
      <c r="HE53" s="418">
        <v>209</v>
      </c>
      <c r="HF53" s="418">
        <v>210</v>
      </c>
      <c r="HG53" s="418">
        <v>211</v>
      </c>
      <c r="HH53" s="418">
        <v>212</v>
      </c>
      <c r="HI53" s="418">
        <v>213</v>
      </c>
      <c r="HJ53" s="418">
        <v>214</v>
      </c>
      <c r="HK53" s="418">
        <v>215</v>
      </c>
      <c r="HL53" s="418">
        <v>216</v>
      </c>
      <c r="HM53" s="418">
        <v>217</v>
      </c>
      <c r="HN53" s="418">
        <v>218</v>
      </c>
      <c r="HO53" s="418">
        <v>219</v>
      </c>
      <c r="HP53" s="418">
        <v>220</v>
      </c>
      <c r="HQ53" s="418">
        <v>221</v>
      </c>
      <c r="HR53" s="418">
        <v>222</v>
      </c>
      <c r="HS53" s="418">
        <v>223</v>
      </c>
      <c r="HT53" s="418">
        <v>224</v>
      </c>
      <c r="HU53" s="418">
        <v>225</v>
      </c>
      <c r="HV53" s="418">
        <v>226</v>
      </c>
      <c r="HW53" s="418">
        <v>227</v>
      </c>
      <c r="HX53" s="418">
        <v>228</v>
      </c>
      <c r="HY53" s="418">
        <v>229</v>
      </c>
      <c r="HZ53" s="418">
        <v>230</v>
      </c>
      <c r="IA53" s="418">
        <v>231</v>
      </c>
      <c r="IB53" s="418">
        <v>232</v>
      </c>
      <c r="IC53" s="418">
        <v>233</v>
      </c>
      <c r="ID53" s="418">
        <v>234</v>
      </c>
      <c r="IE53" s="418">
        <v>235</v>
      </c>
      <c r="IF53" s="418">
        <v>236</v>
      </c>
      <c r="IG53" s="418">
        <v>237</v>
      </c>
      <c r="IH53" s="418">
        <v>238</v>
      </c>
      <c r="II53" s="418">
        <v>239</v>
      </c>
      <c r="IJ53" s="418">
        <v>240</v>
      </c>
      <c r="IK53" s="418">
        <v>241</v>
      </c>
      <c r="IL53" s="418">
        <v>242</v>
      </c>
      <c r="IM53" s="418">
        <v>243</v>
      </c>
      <c r="IN53" s="418">
        <v>244</v>
      </c>
      <c r="IO53" s="418">
        <v>245</v>
      </c>
      <c r="IP53" s="418">
        <v>246</v>
      </c>
      <c r="IQ53" s="418">
        <v>247</v>
      </c>
      <c r="IR53" s="418">
        <v>248</v>
      </c>
      <c r="IS53" s="418">
        <v>249</v>
      </c>
      <c r="IT53" s="418">
        <v>250</v>
      </c>
      <c r="IU53" s="418">
        <v>251</v>
      </c>
      <c r="IV53" s="418">
        <v>252</v>
      </c>
      <c r="IW53" s="418">
        <v>253</v>
      </c>
      <c r="IX53" s="418">
        <v>254</v>
      </c>
      <c r="IY53" s="418">
        <v>255</v>
      </c>
      <c r="IZ53" s="418">
        <v>256</v>
      </c>
      <c r="JA53" s="418">
        <v>257</v>
      </c>
      <c r="JB53" s="418">
        <v>258</v>
      </c>
      <c r="JC53" s="418">
        <v>259</v>
      </c>
      <c r="JD53" s="418">
        <v>260</v>
      </c>
      <c r="JE53" s="418">
        <v>261</v>
      </c>
      <c r="JF53" s="418">
        <v>262</v>
      </c>
      <c r="JG53" s="418">
        <v>263</v>
      </c>
      <c r="JH53" s="418">
        <v>264</v>
      </c>
      <c r="JI53" s="418">
        <v>265</v>
      </c>
      <c r="JJ53" s="418">
        <v>266</v>
      </c>
      <c r="JK53" s="418">
        <v>267</v>
      </c>
      <c r="JL53" s="418">
        <v>268</v>
      </c>
      <c r="JM53" s="418">
        <v>269</v>
      </c>
      <c r="JN53" s="418">
        <v>270</v>
      </c>
      <c r="JO53" s="418">
        <v>271</v>
      </c>
      <c r="JP53" s="418">
        <v>272</v>
      </c>
      <c r="JQ53" s="418">
        <v>273</v>
      </c>
      <c r="JR53" s="351"/>
      <c r="JT53" s="1385" t="s">
        <v>2199</v>
      </c>
    </row>
    <row r="54" spans="1:280" ht="12.5" x14ac:dyDescent="0.25">
      <c r="A54" s="1367">
        <v>2</v>
      </c>
      <c r="B54" s="1375" t="str">
        <f>IF(REL_C_IND&gt;1,IF(HLOOKUP(REL_C_IND-1,REL_C_RANGE,A54)="","",HLOOKUP(REL_C_IND-1,REL_C_RANGE,A54)),"")</f>
        <v/>
      </c>
      <c r="C54" s="1371" t="s">
        <v>2317</v>
      </c>
      <c r="D54" s="1360" t="s">
        <v>2318</v>
      </c>
      <c r="E54" s="1381"/>
      <c r="F54" s="1381"/>
      <c r="G54" s="1381"/>
      <c r="H54" s="1381"/>
      <c r="I54" s="1381"/>
      <c r="J54" s="1381"/>
      <c r="K54" s="1381"/>
      <c r="L54" s="1381"/>
      <c r="M54" s="1381"/>
      <c r="N54" s="1381"/>
      <c r="O54" s="1381"/>
      <c r="P54" s="1381"/>
      <c r="Q54" s="1381"/>
      <c r="R54" s="1381"/>
      <c r="S54" s="1381"/>
      <c r="T54" s="1381"/>
      <c r="U54" s="1381"/>
      <c r="V54" s="1381"/>
      <c r="W54" s="1381"/>
      <c r="X54" s="1381"/>
      <c r="Y54" s="1381"/>
      <c r="Z54" s="1381"/>
      <c r="AA54" s="1381"/>
      <c r="AB54" s="1381" t="s">
        <v>1707</v>
      </c>
      <c r="AC54" s="1381"/>
      <c r="AD54" s="1381"/>
      <c r="AE54" s="1381" t="s">
        <v>1707</v>
      </c>
      <c r="AF54" s="1381"/>
      <c r="AG54" s="1381"/>
      <c r="AH54" s="1381"/>
      <c r="AI54" s="1381"/>
      <c r="AJ54" s="1381"/>
      <c r="AK54" s="1381"/>
      <c r="AL54" s="1381"/>
      <c r="AM54" s="1381"/>
      <c r="AN54" s="1381"/>
      <c r="AO54" s="1381"/>
      <c r="AP54" s="1381"/>
      <c r="AQ54" s="1381"/>
      <c r="AR54" s="1381"/>
      <c r="AS54" s="1381"/>
      <c r="AT54" s="1381"/>
      <c r="AU54" s="1381" t="s">
        <v>1707</v>
      </c>
      <c r="AV54" s="1381"/>
      <c r="AW54" s="1381"/>
      <c r="AX54" s="1381"/>
      <c r="AY54" s="1381"/>
      <c r="AZ54" s="1381"/>
      <c r="BA54" s="1381"/>
      <c r="BB54" s="1381"/>
      <c r="BC54" s="1381"/>
      <c r="BD54" s="1381"/>
      <c r="BE54" s="1381"/>
      <c r="BF54" s="1381"/>
      <c r="BG54" s="1381"/>
      <c r="BH54" s="1381"/>
      <c r="BI54" s="1381"/>
      <c r="BJ54" s="1381"/>
      <c r="BK54" s="1381"/>
      <c r="BL54" s="1381"/>
      <c r="BM54" s="1381"/>
      <c r="BN54" s="1381"/>
      <c r="BO54" s="1381" t="s">
        <v>1707</v>
      </c>
      <c r="BP54" s="1381"/>
      <c r="BQ54" s="1381"/>
      <c r="BR54" s="1381"/>
      <c r="BS54" s="1381"/>
      <c r="BT54" s="1381"/>
      <c r="BU54" s="1381"/>
      <c r="BV54" s="1381"/>
      <c r="BW54" s="1381"/>
      <c r="BX54" s="1381"/>
      <c r="BY54" s="1381"/>
      <c r="BZ54" s="1381"/>
      <c r="CA54" s="1381"/>
      <c r="CB54" s="1381"/>
      <c r="CC54" s="1381"/>
      <c r="CD54" s="1381"/>
      <c r="CE54" s="1381"/>
      <c r="CF54" s="1381"/>
      <c r="CG54" s="1381" t="s">
        <v>1707</v>
      </c>
      <c r="CH54" s="1381"/>
      <c r="CI54" s="1381"/>
      <c r="CJ54" s="1381"/>
      <c r="CK54" s="1381"/>
      <c r="CL54" s="1381"/>
      <c r="CM54" s="1381"/>
      <c r="CN54" s="1381"/>
      <c r="CO54" s="1381"/>
      <c r="CP54" s="1381"/>
      <c r="CQ54" s="1381"/>
      <c r="CR54" s="1381"/>
      <c r="CS54" s="1381"/>
      <c r="CT54" s="1381"/>
      <c r="CU54" s="1381"/>
      <c r="CV54" s="1381"/>
      <c r="CW54" s="1381"/>
      <c r="CX54" s="1381"/>
      <c r="CY54" s="1381" t="s">
        <v>1707</v>
      </c>
      <c r="CZ54" s="1381"/>
      <c r="DA54" s="1381"/>
      <c r="DB54" s="1381"/>
      <c r="DC54" s="1381"/>
      <c r="DD54" s="1381"/>
      <c r="DE54" s="1381"/>
      <c r="DF54" s="1381"/>
      <c r="DG54" s="1381"/>
      <c r="DH54" s="1381"/>
      <c r="DI54" s="1381"/>
      <c r="DJ54" s="1381"/>
      <c r="DK54" s="1381"/>
      <c r="DL54" s="1381"/>
      <c r="DM54" s="1381"/>
      <c r="DN54" s="1381"/>
      <c r="DO54" s="1382"/>
      <c r="DP54" s="1381"/>
      <c r="DQ54" s="1381"/>
      <c r="DR54" s="1381"/>
      <c r="DS54" s="1382"/>
      <c r="DT54" s="1381"/>
      <c r="DU54" s="1381"/>
      <c r="DV54" s="1381"/>
      <c r="DW54" s="1381"/>
      <c r="DX54" s="1381"/>
      <c r="DY54" s="1381"/>
      <c r="DZ54" s="1381"/>
      <c r="EA54" s="1381"/>
      <c r="EB54" s="1381"/>
      <c r="EC54" s="1381"/>
      <c r="ED54" s="1381"/>
      <c r="EE54" s="1381"/>
      <c r="EF54" s="1381"/>
      <c r="EG54" s="1381"/>
      <c r="EH54" s="1381"/>
      <c r="EI54" s="1381"/>
      <c r="EJ54" s="1381"/>
      <c r="EK54" s="1381"/>
      <c r="EL54" s="1381"/>
      <c r="EM54" s="1381"/>
      <c r="EN54" s="1381"/>
      <c r="EO54" s="1381"/>
      <c r="EP54" s="1381"/>
      <c r="EQ54" s="1381"/>
      <c r="ER54" s="1381"/>
      <c r="ES54" s="1381"/>
      <c r="ET54" s="1381"/>
      <c r="EU54" s="1381"/>
      <c r="EV54" s="1381"/>
      <c r="EW54" s="1381"/>
      <c r="EX54" s="1381"/>
      <c r="EY54" s="1381"/>
      <c r="EZ54" s="1381"/>
      <c r="FA54" s="1381"/>
      <c r="FB54" s="1381"/>
      <c r="FC54" s="1381"/>
      <c r="FD54" s="1381"/>
      <c r="FE54" s="1381"/>
      <c r="FF54" s="1381"/>
      <c r="FG54" s="1381"/>
      <c r="FH54" s="1381"/>
      <c r="FI54" s="1381"/>
      <c r="FJ54" s="1381"/>
      <c r="FK54" s="1381"/>
      <c r="FL54" s="1381"/>
      <c r="FM54" s="1381"/>
      <c r="FN54" s="1381"/>
      <c r="FO54" s="1381"/>
      <c r="FP54" s="1381"/>
      <c r="FQ54" s="1381"/>
      <c r="FR54" s="1381"/>
      <c r="FS54" s="1381"/>
      <c r="FT54" s="1381"/>
      <c r="FU54" s="1381"/>
      <c r="FV54" s="1381"/>
      <c r="FW54" s="1381"/>
      <c r="FX54" s="1381"/>
      <c r="FY54" s="1381"/>
      <c r="FZ54" s="1381"/>
      <c r="GA54" s="1381"/>
      <c r="GB54" s="1381"/>
      <c r="GC54" s="1381"/>
      <c r="GD54" s="1381"/>
      <c r="GE54" s="1381"/>
      <c r="GF54" s="1381"/>
      <c r="GG54" s="1381"/>
      <c r="GH54" s="1381"/>
      <c r="GI54" s="1381"/>
      <c r="GJ54" s="1381"/>
      <c r="GK54" s="1381"/>
      <c r="GL54" s="1381"/>
      <c r="GM54" s="1381"/>
      <c r="GN54" s="1381"/>
      <c r="GO54" s="1381"/>
      <c r="GP54" s="1381"/>
      <c r="GQ54" s="1381"/>
      <c r="GR54" s="1381"/>
      <c r="GS54" s="1381"/>
      <c r="GT54" s="1381" t="s">
        <v>1707</v>
      </c>
      <c r="GU54" s="1381"/>
      <c r="GV54" s="1381"/>
      <c r="GW54" s="1381"/>
      <c r="GX54" s="1381"/>
      <c r="GY54" s="1381"/>
      <c r="GZ54" s="1381"/>
      <c r="HA54" s="1381"/>
      <c r="HB54" s="1381"/>
      <c r="HC54" s="1381"/>
      <c r="HD54" s="1381"/>
      <c r="HE54" s="1381"/>
      <c r="HF54" s="1381"/>
      <c r="HG54" s="1381"/>
      <c r="HH54" s="1381"/>
      <c r="HI54" s="1381"/>
      <c r="HJ54" s="1381"/>
      <c r="HK54" s="1381"/>
      <c r="HL54" s="1381"/>
      <c r="HM54" s="1381"/>
      <c r="HN54" s="1381"/>
      <c r="HO54" s="1381"/>
      <c r="HP54" s="1381"/>
      <c r="HQ54" s="1381"/>
      <c r="HR54" s="1381"/>
      <c r="HS54" s="1381"/>
      <c r="HT54" s="1381"/>
      <c r="HU54" s="1381"/>
      <c r="HV54" s="1381"/>
      <c r="HW54" s="1381"/>
      <c r="HX54" s="1381"/>
      <c r="HY54" s="1381"/>
      <c r="HZ54" s="1381"/>
      <c r="IA54" s="1381"/>
      <c r="IB54" s="1381"/>
      <c r="IC54" s="1381"/>
      <c r="ID54" s="1382" t="s">
        <v>1707</v>
      </c>
      <c r="IE54" s="1381"/>
      <c r="IF54" s="1381"/>
      <c r="IG54" s="1381"/>
      <c r="IH54" s="1381"/>
      <c r="II54" s="1381"/>
      <c r="IJ54" s="1381"/>
      <c r="IK54" s="1381"/>
      <c r="IL54" s="1381"/>
      <c r="IM54" s="1381"/>
      <c r="IN54" s="1381"/>
      <c r="IO54" s="1381"/>
      <c r="IP54" s="1381"/>
      <c r="IQ54" s="1381"/>
      <c r="IR54" s="1381"/>
      <c r="IS54" s="1381"/>
      <c r="IT54" s="1381"/>
      <c r="IU54" s="1381"/>
      <c r="IV54" s="1381"/>
      <c r="IW54" s="1381"/>
      <c r="IX54" s="1381"/>
      <c r="IY54" s="1381"/>
      <c r="IZ54" s="1381"/>
      <c r="JA54" s="1381"/>
      <c r="JB54" s="1381"/>
      <c r="JC54" s="1381"/>
      <c r="JD54" s="1381"/>
      <c r="JE54" s="1381"/>
      <c r="JF54" s="1381"/>
      <c r="JG54" s="1381"/>
      <c r="JH54" s="1381"/>
      <c r="JI54" s="1381"/>
      <c r="JJ54" s="1381"/>
      <c r="JK54" s="1381"/>
      <c r="JL54" s="1381"/>
      <c r="JM54" s="1381"/>
      <c r="JN54" s="1381"/>
      <c r="JO54" s="1381"/>
      <c r="JP54" s="1381"/>
      <c r="JQ54" s="2488"/>
      <c r="JR54" s="351"/>
      <c r="JS54" s="1365"/>
      <c r="JT54" s="1385" t="s">
        <v>2319</v>
      </c>
    </row>
    <row r="55" spans="1:280" ht="12.5" x14ac:dyDescent="0.25">
      <c r="A55" s="1367">
        <v>3</v>
      </c>
      <c r="B55" s="1375" t="str">
        <f>IF(REL_C_IND&gt;1,IF(HLOOKUP(REL_C_IND-1,REL_C_RANGE,A55)="","",HLOOKUP(REL_C_IND-1,REL_C_RANGE,A55)),"")</f>
        <v/>
      </c>
      <c r="C55" s="1371" t="s">
        <v>2320</v>
      </c>
      <c r="D55" s="1360" t="s">
        <v>2321</v>
      </c>
      <c r="E55" s="1272"/>
      <c r="F55" s="1272"/>
      <c r="G55" s="1272"/>
      <c r="H55" s="1272"/>
      <c r="I55" s="1272"/>
      <c r="J55" s="1272"/>
      <c r="K55" s="1272"/>
      <c r="L55" s="1272"/>
      <c r="M55" s="1272"/>
      <c r="N55" s="1272"/>
      <c r="O55" s="1272"/>
      <c r="P55" s="1272"/>
      <c r="Q55" s="1272"/>
      <c r="R55" s="1272"/>
      <c r="S55" s="1272"/>
      <c r="T55" s="1272"/>
      <c r="U55" s="1272"/>
      <c r="V55" s="1272"/>
      <c r="W55" s="1272"/>
      <c r="X55" s="1272"/>
      <c r="Y55" s="1272"/>
      <c r="Z55" s="1272"/>
      <c r="AA55" s="1272"/>
      <c r="AB55" s="1272" t="s">
        <v>2322</v>
      </c>
      <c r="AC55" s="1272"/>
      <c r="AD55" s="1272"/>
      <c r="AE55" s="1272" t="s">
        <v>2323</v>
      </c>
      <c r="AF55" s="1272"/>
      <c r="AG55" s="1272"/>
      <c r="AH55" s="1272"/>
      <c r="AI55" s="1272"/>
      <c r="AJ55" s="1272"/>
      <c r="AK55" s="1272"/>
      <c r="AL55" s="1272"/>
      <c r="AM55" s="1272"/>
      <c r="AN55" s="1272"/>
      <c r="AO55" s="1272"/>
      <c r="AP55" s="1272"/>
      <c r="AQ55" s="1272"/>
      <c r="AR55" s="1272"/>
      <c r="AS55" s="1272"/>
      <c r="AT55" s="1381"/>
      <c r="AU55" s="1272" t="s">
        <v>2324</v>
      </c>
      <c r="AV55" s="1272"/>
      <c r="AW55" s="1272"/>
      <c r="AX55" s="1272"/>
      <c r="AY55" s="1272"/>
      <c r="AZ55" s="1272"/>
      <c r="BA55" s="1272"/>
      <c r="BB55" s="1272"/>
      <c r="BC55" s="1272"/>
      <c r="BD55" s="1272"/>
      <c r="BE55" s="1272"/>
      <c r="BF55" s="1272"/>
      <c r="BG55" s="1272"/>
      <c r="BH55" s="1272"/>
      <c r="BI55" s="1272"/>
      <c r="BJ55" s="1272"/>
      <c r="BK55" s="1272"/>
      <c r="BL55" s="1272"/>
      <c r="BM55" s="1272"/>
      <c r="BN55" s="1272"/>
      <c r="BO55" s="1272" t="s">
        <v>2324</v>
      </c>
      <c r="BP55" s="1272"/>
      <c r="BQ55" s="1272"/>
      <c r="BR55" s="1272"/>
      <c r="BS55" s="1272"/>
      <c r="BT55" s="1272"/>
      <c r="BU55" s="1272"/>
      <c r="BV55" s="1272"/>
      <c r="BW55" s="1272"/>
      <c r="BX55" s="1272"/>
      <c r="BY55" s="1272"/>
      <c r="BZ55" s="1272"/>
      <c r="CA55" s="1272"/>
      <c r="CB55" s="1272"/>
      <c r="CC55" s="1272"/>
      <c r="CD55" s="1272"/>
      <c r="CE55" s="1272"/>
      <c r="CF55" s="1272"/>
      <c r="CG55" s="1272" t="s">
        <v>2324</v>
      </c>
      <c r="CH55" s="1272"/>
      <c r="CI55" s="1272"/>
      <c r="CJ55" s="1272"/>
      <c r="CK55" s="1272"/>
      <c r="CL55" s="1272"/>
      <c r="CM55" s="1272"/>
      <c r="CN55" s="1272"/>
      <c r="CO55" s="1272"/>
      <c r="CP55" s="1272"/>
      <c r="CQ55" s="1272"/>
      <c r="CR55" s="1272"/>
      <c r="CS55" s="1272"/>
      <c r="CT55" s="1272"/>
      <c r="CU55" s="1272"/>
      <c r="CV55" s="1272"/>
      <c r="CW55" s="1272"/>
      <c r="CX55" s="1272"/>
      <c r="CY55" s="1272" t="s">
        <v>2324</v>
      </c>
      <c r="CZ55" s="1272"/>
      <c r="DA55" s="1272"/>
      <c r="DB55" s="1272"/>
      <c r="DC55" s="1272"/>
      <c r="DD55" s="1272"/>
      <c r="DE55" s="1272"/>
      <c r="DF55" s="1272"/>
      <c r="DG55" s="1272"/>
      <c r="DH55" s="1272"/>
      <c r="DI55" s="1272"/>
      <c r="DJ55" s="1272"/>
      <c r="DK55" s="1272"/>
      <c r="DL55" s="1272"/>
      <c r="DM55" s="1272"/>
      <c r="DN55" s="1272"/>
      <c r="DO55" s="1366"/>
      <c r="DP55" s="1272"/>
      <c r="DQ55" s="1272"/>
      <c r="DR55" s="1272"/>
      <c r="DS55" s="1366"/>
      <c r="DT55" s="1272"/>
      <c r="DU55" s="1272"/>
      <c r="DV55" s="1272"/>
      <c r="DW55" s="1272"/>
      <c r="DX55" s="1272"/>
      <c r="DY55" s="1272"/>
      <c r="DZ55" s="1272"/>
      <c r="EA55" s="1272"/>
      <c r="EB55" s="1272"/>
      <c r="EC55" s="1272"/>
      <c r="ED55" s="1272"/>
      <c r="EE55" s="1272"/>
      <c r="EF55" s="1272"/>
      <c r="EG55" s="1272"/>
      <c r="EH55" s="1272"/>
      <c r="EI55" s="1272"/>
      <c r="EJ55" s="1272"/>
      <c r="EK55" s="1272"/>
      <c r="EL55" s="1272"/>
      <c r="EM55" s="1272"/>
      <c r="EN55" s="1272"/>
      <c r="EO55" s="1272"/>
      <c r="EP55" s="1272"/>
      <c r="EQ55" s="1272"/>
      <c r="ER55" s="1272"/>
      <c r="ES55" s="1272"/>
      <c r="ET55" s="1272"/>
      <c r="EU55" s="1272"/>
      <c r="EV55" s="1272"/>
      <c r="EW55" s="1272"/>
      <c r="EX55" s="1272"/>
      <c r="EY55" s="1272"/>
      <c r="EZ55" s="1272"/>
      <c r="FA55" s="1272"/>
      <c r="FB55" s="1272"/>
      <c r="FC55" s="1272"/>
      <c r="FD55" s="1272"/>
      <c r="FE55" s="1272"/>
      <c r="FF55" s="1272"/>
      <c r="FG55" s="1272"/>
      <c r="FH55" s="1272"/>
      <c r="FI55" s="1272"/>
      <c r="FJ55" s="1272"/>
      <c r="FK55" s="1272"/>
      <c r="FL55" s="1272"/>
      <c r="FM55" s="1272"/>
      <c r="FN55" s="1272"/>
      <c r="FO55" s="1272"/>
      <c r="FP55" s="1272"/>
      <c r="FQ55" s="1272"/>
      <c r="FR55" s="1272"/>
      <c r="FS55" s="1272"/>
      <c r="FT55" s="1272"/>
      <c r="FU55" s="1272"/>
      <c r="FV55" s="1272"/>
      <c r="FW55" s="1272"/>
      <c r="FX55" s="1272"/>
      <c r="FY55" s="1272"/>
      <c r="FZ55" s="1272"/>
      <c r="GA55" s="1272"/>
      <c r="GB55" s="1272"/>
      <c r="GC55" s="1272"/>
      <c r="GD55" s="1272"/>
      <c r="GE55" s="1272"/>
      <c r="GF55" s="1272"/>
      <c r="GG55" s="1272"/>
      <c r="GH55" s="1272"/>
      <c r="GI55" s="1272"/>
      <c r="GJ55" s="1272"/>
      <c r="GK55" s="1272"/>
      <c r="GL55" s="1272"/>
      <c r="GM55" s="1272"/>
      <c r="GN55" s="1272"/>
      <c r="GO55" s="1272"/>
      <c r="GP55" s="1272"/>
      <c r="GQ55" s="1272"/>
      <c r="GR55" s="1272"/>
      <c r="GS55" s="1272"/>
      <c r="GT55" s="1272" t="s">
        <v>2324</v>
      </c>
      <c r="GU55" s="1272"/>
      <c r="GV55" s="1272"/>
      <c r="GW55" s="1272"/>
      <c r="GX55" s="1272"/>
      <c r="GY55" s="1272"/>
      <c r="GZ55" s="1272"/>
      <c r="HA55" s="1272"/>
      <c r="HB55" s="1272"/>
      <c r="HC55" s="1272"/>
      <c r="HD55" s="1272"/>
      <c r="HE55" s="1272"/>
      <c r="HF55" s="1272"/>
      <c r="HG55" s="1272"/>
      <c r="HH55" s="1272"/>
      <c r="HI55" s="1272"/>
      <c r="HJ55" s="1272"/>
      <c r="HK55" s="1272"/>
      <c r="HL55" s="1272"/>
      <c r="HM55" s="1272"/>
      <c r="HN55" s="1272"/>
      <c r="HO55" s="1272"/>
      <c r="HP55" s="1272"/>
      <c r="HQ55" s="1272"/>
      <c r="HR55" s="1272"/>
      <c r="HS55" s="1272"/>
      <c r="HT55" s="1272"/>
      <c r="HU55" s="1272"/>
      <c r="HV55" s="1272"/>
      <c r="HW55" s="1272"/>
      <c r="HX55" s="1272"/>
      <c r="HY55" s="1272"/>
      <c r="HZ55" s="1272"/>
      <c r="IA55" s="1272"/>
      <c r="IB55" s="1272"/>
      <c r="IC55" s="1272"/>
      <c r="ID55" s="1366" t="s">
        <v>2322</v>
      </c>
      <c r="IE55" s="1272"/>
      <c r="IF55" s="1272"/>
      <c r="IG55" s="1272"/>
      <c r="IH55" s="1272"/>
      <c r="II55" s="1272"/>
      <c r="IJ55" s="1272"/>
      <c r="IK55" s="1272"/>
      <c r="IL55" s="1272"/>
      <c r="IM55" s="1272"/>
      <c r="IN55" s="1272"/>
      <c r="IO55" s="1272"/>
      <c r="IP55" s="1272"/>
      <c r="IQ55" s="1272"/>
      <c r="IR55" s="1272"/>
      <c r="IS55" s="1272"/>
      <c r="IT55" s="1272"/>
      <c r="IU55" s="1272"/>
      <c r="IV55" s="1272"/>
      <c r="IW55" s="1272"/>
      <c r="IX55" s="1272"/>
      <c r="IY55" s="1272"/>
      <c r="IZ55" s="1272"/>
      <c r="JA55" s="1272"/>
      <c r="JB55" s="1272"/>
      <c r="JC55" s="1272"/>
      <c r="JD55" s="1272"/>
      <c r="JE55" s="1272"/>
      <c r="JF55" s="1272"/>
      <c r="JG55" s="1272"/>
      <c r="JH55" s="1272"/>
      <c r="JI55" s="1272"/>
      <c r="JJ55" s="1272"/>
      <c r="JK55" s="1272"/>
      <c r="JL55" s="1272"/>
      <c r="JM55" s="1272"/>
      <c r="JN55" s="1272"/>
      <c r="JO55" s="1272"/>
      <c r="JP55" s="1272"/>
      <c r="JQ55" s="2488"/>
      <c r="JR55" s="351"/>
      <c r="JS55" s="1365"/>
      <c r="JT55" s="1385" t="s">
        <v>2291</v>
      </c>
    </row>
    <row r="56" spans="1:280" ht="12.5" x14ac:dyDescent="0.25">
      <c r="A56" s="1367">
        <v>4</v>
      </c>
      <c r="B56" s="1375" t="str">
        <f>IF(REL_C_IND&gt;1,IF(HLOOKUP(REL_C_IND-1,REL_C_RANGE,A56)="","",HLOOKUP(REL_C_IND-1,REL_C_RANGE,A56)),"")</f>
        <v/>
      </c>
      <c r="C56" s="1371" t="s">
        <v>2325</v>
      </c>
      <c r="D56" s="1360" t="s">
        <v>2326</v>
      </c>
      <c r="E56" s="1381"/>
      <c r="F56" s="1381"/>
      <c r="G56" s="1381"/>
      <c r="H56" s="1381"/>
      <c r="I56" s="1381"/>
      <c r="J56" s="1381"/>
      <c r="K56" s="1381"/>
      <c r="L56" s="1381"/>
      <c r="M56" s="1381"/>
      <c r="N56" s="1381"/>
      <c r="O56" s="1381"/>
      <c r="P56" s="1381"/>
      <c r="Q56" s="1381"/>
      <c r="R56" s="1381"/>
      <c r="S56" s="1381"/>
      <c r="T56" s="1381"/>
      <c r="U56" s="1381"/>
      <c r="V56" s="1381"/>
      <c r="W56" s="1381"/>
      <c r="X56" s="1381"/>
      <c r="Y56" s="1381"/>
      <c r="Z56" s="1381"/>
      <c r="AA56" s="1381"/>
      <c r="AB56" s="1381" t="s">
        <v>1615</v>
      </c>
      <c r="AC56" s="1381"/>
      <c r="AD56" s="1381"/>
      <c r="AE56" s="1381" t="s">
        <v>1615</v>
      </c>
      <c r="AF56" s="1381"/>
      <c r="AG56" s="1381"/>
      <c r="AH56" s="1381"/>
      <c r="AI56" s="1381"/>
      <c r="AJ56" s="1381"/>
      <c r="AK56" s="1381"/>
      <c r="AL56" s="1381"/>
      <c r="AM56" s="1381"/>
      <c r="AN56" s="1381"/>
      <c r="AO56" s="1381"/>
      <c r="AP56" s="1381"/>
      <c r="AQ56" s="1381"/>
      <c r="AR56" s="1381"/>
      <c r="AS56" s="1381"/>
      <c r="AT56" s="1381"/>
      <c r="AU56" s="1381" t="s">
        <v>1615</v>
      </c>
      <c r="AV56" s="1272"/>
      <c r="AW56" s="1272"/>
      <c r="AX56" s="1272"/>
      <c r="AY56" s="1272"/>
      <c r="AZ56" s="1272"/>
      <c r="BA56" s="1272"/>
      <c r="BB56" s="1272"/>
      <c r="BC56" s="1272"/>
      <c r="BD56" s="1272"/>
      <c r="BE56" s="1272"/>
      <c r="BF56" s="1272"/>
      <c r="BG56" s="1272"/>
      <c r="BH56" s="1272"/>
      <c r="BI56" s="1272"/>
      <c r="BJ56" s="1272"/>
      <c r="BK56" s="1272"/>
      <c r="BL56" s="1272"/>
      <c r="BM56" s="1272"/>
      <c r="BN56" s="1272"/>
      <c r="BO56" s="1381" t="s">
        <v>1615</v>
      </c>
      <c r="BP56" s="1272"/>
      <c r="BQ56" s="1272"/>
      <c r="BR56" s="1272"/>
      <c r="BS56" s="1272"/>
      <c r="BT56" s="1272"/>
      <c r="BU56" s="1272"/>
      <c r="BV56" s="1272"/>
      <c r="BW56" s="1272"/>
      <c r="BX56" s="1272"/>
      <c r="BY56" s="1272"/>
      <c r="BZ56" s="1272"/>
      <c r="CA56" s="1272"/>
      <c r="CB56" s="1272"/>
      <c r="CC56" s="1272"/>
      <c r="CD56" s="1272"/>
      <c r="CE56" s="1272"/>
      <c r="CF56" s="1272"/>
      <c r="CG56" s="1381" t="s">
        <v>1615</v>
      </c>
      <c r="CH56" s="1272"/>
      <c r="CI56" s="1272"/>
      <c r="CJ56" s="1272"/>
      <c r="CK56" s="1272"/>
      <c r="CL56" s="1272"/>
      <c r="CM56" s="1272"/>
      <c r="CN56" s="1272"/>
      <c r="CO56" s="1272"/>
      <c r="CP56" s="1272"/>
      <c r="CQ56" s="1272"/>
      <c r="CR56" s="1272"/>
      <c r="CS56" s="1272"/>
      <c r="CT56" s="1272"/>
      <c r="CU56" s="1272"/>
      <c r="CV56" s="1272"/>
      <c r="CW56" s="1272"/>
      <c r="CX56" s="1272"/>
      <c r="CY56" s="1381" t="s">
        <v>1615</v>
      </c>
      <c r="CZ56" s="1272"/>
      <c r="DA56" s="1272"/>
      <c r="DB56" s="1272"/>
      <c r="DC56" s="1272"/>
      <c r="DD56" s="1272"/>
      <c r="DE56" s="1272"/>
      <c r="DF56" s="1272"/>
      <c r="DG56" s="1272"/>
      <c r="DH56" s="1272"/>
      <c r="DI56" s="1272"/>
      <c r="DJ56" s="1272"/>
      <c r="DK56" s="1272"/>
      <c r="DL56" s="1272"/>
      <c r="DM56" s="1272"/>
      <c r="DN56" s="1272"/>
      <c r="DO56" s="1382"/>
      <c r="DP56" s="1272"/>
      <c r="DQ56" s="1272"/>
      <c r="DR56" s="1272"/>
      <c r="DS56" s="1382"/>
      <c r="DT56" s="1272"/>
      <c r="DU56" s="1272"/>
      <c r="DV56" s="1272"/>
      <c r="DW56" s="1272"/>
      <c r="DX56" s="1272"/>
      <c r="DY56" s="1272"/>
      <c r="DZ56" s="1272"/>
      <c r="EA56" s="1272"/>
      <c r="EB56" s="1272"/>
      <c r="EC56" s="1272"/>
      <c r="ED56" s="1272"/>
      <c r="EE56" s="1272"/>
      <c r="EF56" s="1272"/>
      <c r="EG56" s="1272"/>
      <c r="EH56" s="1272"/>
      <c r="EI56" s="1272"/>
      <c r="EJ56" s="1272"/>
      <c r="EK56" s="1272"/>
      <c r="EL56" s="1272"/>
      <c r="EM56" s="1272"/>
      <c r="EN56" s="1272"/>
      <c r="EO56" s="1272"/>
      <c r="EP56" s="1272"/>
      <c r="EQ56" s="1272"/>
      <c r="ER56" s="1272"/>
      <c r="ES56" s="1272"/>
      <c r="ET56" s="1272"/>
      <c r="EU56" s="1272"/>
      <c r="EV56" s="1272"/>
      <c r="EW56" s="1272"/>
      <c r="EX56" s="1272"/>
      <c r="EY56" s="1272"/>
      <c r="EZ56" s="1272"/>
      <c r="FA56" s="1272"/>
      <c r="FB56" s="1272"/>
      <c r="FC56" s="1272"/>
      <c r="FD56" s="1272"/>
      <c r="FE56" s="1272"/>
      <c r="FF56" s="1272"/>
      <c r="FG56" s="1272"/>
      <c r="FH56" s="1272"/>
      <c r="FI56" s="1272"/>
      <c r="FJ56" s="1272"/>
      <c r="FK56" s="1272"/>
      <c r="FL56" s="1272"/>
      <c r="FM56" s="1272"/>
      <c r="FN56" s="1272"/>
      <c r="FO56" s="1272"/>
      <c r="FP56" s="1272"/>
      <c r="FQ56" s="1272"/>
      <c r="FR56" s="1272"/>
      <c r="FS56" s="1272"/>
      <c r="FT56" s="1272"/>
      <c r="FU56" s="1272"/>
      <c r="FV56" s="1272"/>
      <c r="FW56" s="1272"/>
      <c r="FX56" s="1272"/>
      <c r="FY56" s="1272"/>
      <c r="FZ56" s="1272"/>
      <c r="GA56" s="1272"/>
      <c r="GB56" s="1272"/>
      <c r="GC56" s="1272"/>
      <c r="GD56" s="1272"/>
      <c r="GE56" s="1272"/>
      <c r="GF56" s="1272"/>
      <c r="GG56" s="1272"/>
      <c r="GH56" s="1272"/>
      <c r="GI56" s="1272"/>
      <c r="GJ56" s="1272"/>
      <c r="GK56" s="1272"/>
      <c r="GL56" s="1272"/>
      <c r="GM56" s="1272"/>
      <c r="GN56" s="1272"/>
      <c r="GO56" s="1272"/>
      <c r="GP56" s="1272"/>
      <c r="GQ56" s="1272"/>
      <c r="GR56" s="1272"/>
      <c r="GS56" s="1272"/>
      <c r="GT56" s="1381" t="s">
        <v>1615</v>
      </c>
      <c r="GU56" s="1272"/>
      <c r="GV56" s="1272"/>
      <c r="GW56" s="1272"/>
      <c r="GX56" s="1272"/>
      <c r="GY56" s="1272"/>
      <c r="GZ56" s="1272"/>
      <c r="HA56" s="1272"/>
      <c r="HB56" s="1272"/>
      <c r="HC56" s="1272"/>
      <c r="HD56" s="1272"/>
      <c r="HE56" s="1272"/>
      <c r="HF56" s="1272"/>
      <c r="HG56" s="1272"/>
      <c r="HH56" s="1272"/>
      <c r="HI56" s="1272"/>
      <c r="HJ56" s="1272"/>
      <c r="HK56" s="1272"/>
      <c r="HL56" s="1272"/>
      <c r="HM56" s="1272"/>
      <c r="HN56" s="1272"/>
      <c r="HO56" s="1272"/>
      <c r="HP56" s="1272"/>
      <c r="HQ56" s="1272"/>
      <c r="HR56" s="1272"/>
      <c r="HS56" s="1272"/>
      <c r="HT56" s="1272"/>
      <c r="HU56" s="1272"/>
      <c r="HV56" s="1272"/>
      <c r="HW56" s="1272"/>
      <c r="HX56" s="1272"/>
      <c r="HY56" s="1272"/>
      <c r="HZ56" s="1272"/>
      <c r="IA56" s="1272"/>
      <c r="IB56" s="1272"/>
      <c r="IC56" s="1272"/>
      <c r="ID56" s="1383" t="s">
        <v>1615</v>
      </c>
      <c r="IE56" s="1272"/>
      <c r="IF56" s="1272"/>
      <c r="IG56" s="1272"/>
      <c r="IH56" s="1272"/>
      <c r="II56" s="1272"/>
      <c r="IJ56" s="1272"/>
      <c r="IK56" s="1272"/>
      <c r="IL56" s="1272"/>
      <c r="IM56" s="1272"/>
      <c r="IN56" s="1272"/>
      <c r="IO56" s="1272"/>
      <c r="IP56" s="1272"/>
      <c r="IQ56" s="1272"/>
      <c r="IR56" s="1272"/>
      <c r="IS56" s="1272"/>
      <c r="IT56" s="1272"/>
      <c r="IU56" s="1272"/>
      <c r="IV56" s="1272"/>
      <c r="IW56" s="1272"/>
      <c r="IX56" s="1272"/>
      <c r="IY56" s="1272"/>
      <c r="IZ56" s="1272"/>
      <c r="JA56" s="1272"/>
      <c r="JB56" s="1272"/>
      <c r="JC56" s="1272"/>
      <c r="JD56" s="1272"/>
      <c r="JE56" s="1272"/>
      <c r="JF56" s="1272"/>
      <c r="JG56" s="1272"/>
      <c r="JH56" s="1272"/>
      <c r="JI56" s="1272"/>
      <c r="JJ56" s="1272"/>
      <c r="JK56" s="1272"/>
      <c r="JL56" s="1272"/>
      <c r="JM56" s="1272"/>
      <c r="JN56" s="1272"/>
      <c r="JO56" s="1272"/>
      <c r="JP56" s="1272"/>
      <c r="JQ56" s="2488"/>
      <c r="JR56" s="351"/>
      <c r="JS56" s="1365"/>
      <c r="JT56" s="1385" t="s">
        <v>2319</v>
      </c>
    </row>
    <row r="57" spans="1:280" ht="13" thickBot="1" x14ac:dyDescent="0.3">
      <c r="A57" s="1367">
        <v>5</v>
      </c>
      <c r="B57" s="1375" t="str">
        <f>IF(REL_C_IND&gt;1,IF(HLOOKUP(REL_C_IND-1,REL_C_RANGE,A57)="","",HLOOKUP(REL_C_IND-1,REL_C_RANGE,A57)),"")</f>
        <v/>
      </c>
      <c r="C57" s="1371" t="s">
        <v>2327</v>
      </c>
      <c r="D57" s="1360" t="s">
        <v>2328</v>
      </c>
      <c r="E57" s="712"/>
      <c r="F57" s="712"/>
      <c r="G57" s="712"/>
      <c r="H57" s="712"/>
      <c r="I57" s="712"/>
      <c r="J57" s="712"/>
      <c r="K57" s="712"/>
      <c r="L57" s="712"/>
      <c r="M57" s="712"/>
      <c r="N57" s="712"/>
      <c r="O57" s="712"/>
      <c r="P57" s="712"/>
      <c r="Q57" s="712"/>
      <c r="R57" s="712"/>
      <c r="S57" s="712"/>
      <c r="T57" s="712"/>
      <c r="U57" s="712"/>
      <c r="V57" s="712"/>
      <c r="W57" s="712"/>
      <c r="X57" s="712"/>
      <c r="Y57" s="712"/>
      <c r="Z57" s="712"/>
      <c r="AA57" s="712"/>
      <c r="AB57" s="712" t="s">
        <v>1615</v>
      </c>
      <c r="AC57" s="712"/>
      <c r="AD57" s="712"/>
      <c r="AE57" s="712" t="s">
        <v>1615</v>
      </c>
      <c r="AF57" s="712"/>
      <c r="AG57" s="712"/>
      <c r="AH57" s="712"/>
      <c r="AI57" s="712"/>
      <c r="AJ57" s="712"/>
      <c r="AK57" s="712"/>
      <c r="AL57" s="712"/>
      <c r="AM57" s="712"/>
      <c r="AN57" s="712"/>
      <c r="AO57" s="712"/>
      <c r="AP57" s="712"/>
      <c r="AQ57" s="712"/>
      <c r="AR57" s="712"/>
      <c r="AS57" s="712"/>
      <c r="AT57" s="712"/>
      <c r="AU57" s="712" t="s">
        <v>1615</v>
      </c>
      <c r="AV57" s="713"/>
      <c r="AW57" s="714"/>
      <c r="AX57" s="713"/>
      <c r="AY57" s="714"/>
      <c r="AZ57" s="713"/>
      <c r="BA57" s="714"/>
      <c r="BB57" s="713"/>
      <c r="BC57" s="714"/>
      <c r="BD57" s="713"/>
      <c r="BE57" s="713"/>
      <c r="BF57" s="713"/>
      <c r="BG57" s="713"/>
      <c r="BH57" s="713"/>
      <c r="BI57" s="713"/>
      <c r="BJ57" s="713"/>
      <c r="BK57" s="713"/>
      <c r="BL57" s="713"/>
      <c r="BM57" s="714"/>
      <c r="BN57" s="713"/>
      <c r="BO57" s="712" t="s">
        <v>1615</v>
      </c>
      <c r="BP57" s="713"/>
      <c r="BQ57" s="714"/>
      <c r="BR57" s="713"/>
      <c r="BS57" s="714"/>
      <c r="BT57" s="713"/>
      <c r="BU57" s="714"/>
      <c r="BV57" s="713"/>
      <c r="BW57" s="714"/>
      <c r="BX57" s="713"/>
      <c r="BY57" s="714"/>
      <c r="BZ57" s="714"/>
      <c r="CA57" s="714"/>
      <c r="CB57" s="714"/>
      <c r="CC57" s="714"/>
      <c r="CD57" s="714"/>
      <c r="CE57" s="714"/>
      <c r="CF57" s="714"/>
      <c r="CG57" s="712" t="s">
        <v>1615</v>
      </c>
      <c r="CH57" s="714"/>
      <c r="CI57" s="714"/>
      <c r="CJ57" s="714"/>
      <c r="CK57" s="714"/>
      <c r="CL57" s="714"/>
      <c r="CM57" s="714"/>
      <c r="CN57" s="714"/>
      <c r="CO57" s="714"/>
      <c r="CP57" s="714"/>
      <c r="CQ57" s="714"/>
      <c r="CR57" s="714"/>
      <c r="CS57" s="714"/>
      <c r="CT57" s="714"/>
      <c r="CU57" s="714"/>
      <c r="CV57" s="714"/>
      <c r="CW57" s="714"/>
      <c r="CX57" s="714"/>
      <c r="CY57" s="712" t="s">
        <v>1615</v>
      </c>
      <c r="CZ57" s="714"/>
      <c r="DA57" s="714"/>
      <c r="DB57" s="714"/>
      <c r="DC57" s="714"/>
      <c r="DD57" s="714"/>
      <c r="DE57" s="714"/>
      <c r="DF57" s="714"/>
      <c r="DG57" s="714"/>
      <c r="DH57" s="714"/>
      <c r="DI57" s="714"/>
      <c r="DJ57" s="714"/>
      <c r="DK57" s="714"/>
      <c r="DL57" s="714"/>
      <c r="DM57" s="714"/>
      <c r="DN57" s="714"/>
      <c r="DO57" s="1005"/>
      <c r="DP57" s="714"/>
      <c r="DQ57" s="714"/>
      <c r="DR57" s="714"/>
      <c r="DS57" s="1005"/>
      <c r="DT57" s="714"/>
      <c r="DU57" s="714"/>
      <c r="DV57" s="714"/>
      <c r="DW57" s="714"/>
      <c r="DX57" s="714"/>
      <c r="DY57" s="714"/>
      <c r="DZ57" s="714"/>
      <c r="EA57" s="714"/>
      <c r="EB57" s="714"/>
      <c r="EC57" s="714"/>
      <c r="ED57" s="714"/>
      <c r="EE57" s="714"/>
      <c r="EF57" s="714"/>
      <c r="EG57" s="714"/>
      <c r="EH57" s="714"/>
      <c r="EI57" s="714"/>
      <c r="EJ57" s="714"/>
      <c r="EK57" s="714"/>
      <c r="EL57" s="714"/>
      <c r="EM57" s="714"/>
      <c r="EN57" s="714"/>
      <c r="EO57" s="714"/>
      <c r="EP57" s="714"/>
      <c r="EQ57" s="714"/>
      <c r="ER57" s="714"/>
      <c r="ES57" s="714"/>
      <c r="ET57" s="714"/>
      <c r="EU57" s="714"/>
      <c r="EV57" s="714"/>
      <c r="EW57" s="714"/>
      <c r="EX57" s="714"/>
      <c r="EY57" s="714"/>
      <c r="EZ57" s="714"/>
      <c r="FA57" s="714"/>
      <c r="FB57" s="714"/>
      <c r="FC57" s="714"/>
      <c r="FD57" s="714"/>
      <c r="FE57" s="714"/>
      <c r="FF57" s="714"/>
      <c r="FG57" s="714"/>
      <c r="FH57" s="714"/>
      <c r="FI57" s="714"/>
      <c r="FJ57" s="714"/>
      <c r="FK57" s="714"/>
      <c r="FL57" s="714"/>
      <c r="FM57" s="714"/>
      <c r="FN57" s="714"/>
      <c r="FO57" s="714"/>
      <c r="FP57" s="714"/>
      <c r="FQ57" s="714"/>
      <c r="FR57" s="714"/>
      <c r="FS57" s="714"/>
      <c r="FT57" s="714"/>
      <c r="FU57" s="714"/>
      <c r="FV57" s="714"/>
      <c r="FW57" s="714"/>
      <c r="FX57" s="714"/>
      <c r="FY57" s="714"/>
      <c r="FZ57" s="714"/>
      <c r="GA57" s="714"/>
      <c r="GB57" s="714"/>
      <c r="GC57" s="714"/>
      <c r="GD57" s="714"/>
      <c r="GE57" s="714"/>
      <c r="GF57" s="714"/>
      <c r="GG57" s="714"/>
      <c r="GH57" s="714"/>
      <c r="GI57" s="714"/>
      <c r="GJ57" s="714"/>
      <c r="GK57" s="714"/>
      <c r="GL57" s="714"/>
      <c r="GM57" s="714"/>
      <c r="GN57" s="714"/>
      <c r="GO57" s="714"/>
      <c r="GP57" s="714"/>
      <c r="GQ57" s="714"/>
      <c r="GR57" s="714"/>
      <c r="GS57" s="714"/>
      <c r="GT57" s="712" t="s">
        <v>1615</v>
      </c>
      <c r="GU57" s="714"/>
      <c r="GV57" s="714"/>
      <c r="GW57" s="714"/>
      <c r="GX57" s="714"/>
      <c r="GY57" s="714"/>
      <c r="GZ57" s="714"/>
      <c r="HA57" s="714"/>
      <c r="HB57" s="714"/>
      <c r="HC57" s="714"/>
      <c r="HD57" s="714"/>
      <c r="HE57" s="714"/>
      <c r="HF57" s="714"/>
      <c r="HG57" s="714"/>
      <c r="HH57" s="714"/>
      <c r="HI57" s="714"/>
      <c r="HJ57" s="714"/>
      <c r="HK57" s="714"/>
      <c r="HL57" s="714"/>
      <c r="HM57" s="714"/>
      <c r="HN57" s="714"/>
      <c r="HO57" s="714"/>
      <c r="HP57" s="714"/>
      <c r="HQ57" s="714"/>
      <c r="HR57" s="714"/>
      <c r="HS57" s="714"/>
      <c r="HT57" s="714"/>
      <c r="HU57" s="714"/>
      <c r="HV57" s="714"/>
      <c r="HW57" s="714"/>
      <c r="HX57" s="714"/>
      <c r="HY57" s="714"/>
      <c r="HZ57" s="714"/>
      <c r="IA57" s="714"/>
      <c r="IB57" s="714"/>
      <c r="IC57" s="714"/>
      <c r="ID57" s="1043" t="s">
        <v>1615</v>
      </c>
      <c r="IE57" s="714"/>
      <c r="IF57" s="714"/>
      <c r="IG57" s="714"/>
      <c r="IH57" s="714"/>
      <c r="II57" s="714"/>
      <c r="IJ57" s="714"/>
      <c r="IK57" s="714"/>
      <c r="IL57" s="714"/>
      <c r="IM57" s="714"/>
      <c r="IN57" s="714"/>
      <c r="IO57" s="714"/>
      <c r="IP57" s="714"/>
      <c r="IQ57" s="714"/>
      <c r="IR57" s="714"/>
      <c r="IS57" s="714"/>
      <c r="IT57" s="714"/>
      <c r="IU57" s="714"/>
      <c r="IV57" s="714"/>
      <c r="IW57" s="714"/>
      <c r="IX57" s="714"/>
      <c r="IY57" s="714"/>
      <c r="IZ57" s="714"/>
      <c r="JA57" s="714"/>
      <c r="JB57" s="714"/>
      <c r="JC57" s="714"/>
      <c r="JD57" s="714"/>
      <c r="JE57" s="714"/>
      <c r="JF57" s="714"/>
      <c r="JG57" s="714"/>
      <c r="JH57" s="714"/>
      <c r="JI57" s="714"/>
      <c r="JJ57" s="714"/>
      <c r="JK57" s="714"/>
      <c r="JL57" s="714"/>
      <c r="JM57" s="714"/>
      <c r="JN57" s="714"/>
      <c r="JO57" s="714"/>
      <c r="JP57" s="714"/>
      <c r="JQ57" s="711"/>
      <c r="JR57" s="351"/>
      <c r="JS57" s="1384"/>
      <c r="JT57" s="1385" t="s">
        <v>2319</v>
      </c>
    </row>
    <row r="58" spans="1:280" ht="12" thickBot="1" x14ac:dyDescent="0.3">
      <c r="C58" s="261" t="s">
        <v>2329</v>
      </c>
      <c r="D58" s="137"/>
      <c r="E58" s="8" t="s">
        <v>2330</v>
      </c>
      <c r="G58" s="35"/>
      <c r="AS58" s="294"/>
      <c r="AU58" s="35"/>
    </row>
    <row r="59" spans="1:280" ht="12.5" x14ac:dyDescent="0.25">
      <c r="A59" s="1367" t="s">
        <v>2201</v>
      </c>
      <c r="B59" s="406" t="str">
        <f>"selected "&amp;SLR_ind-1</f>
        <v>selected 0</v>
      </c>
      <c r="C59" s="287" t="s">
        <v>7</v>
      </c>
      <c r="D59" s="262"/>
      <c r="E59" s="418">
        <v>1</v>
      </c>
      <c r="F59" s="418">
        <v>2</v>
      </c>
      <c r="G59" s="418">
        <v>3</v>
      </c>
      <c r="H59" s="418">
        <v>4</v>
      </c>
      <c r="I59" s="418">
        <v>5</v>
      </c>
      <c r="J59" s="418">
        <v>6</v>
      </c>
      <c r="K59" s="418">
        <v>7</v>
      </c>
      <c r="L59" s="418">
        <v>8</v>
      </c>
      <c r="M59" s="418">
        <v>9</v>
      </c>
      <c r="N59" s="418">
        <v>10</v>
      </c>
      <c r="O59" s="418">
        <v>11</v>
      </c>
      <c r="P59" s="418">
        <v>12</v>
      </c>
      <c r="Q59" s="418">
        <v>13</v>
      </c>
      <c r="R59" s="418">
        <v>14</v>
      </c>
      <c r="S59" s="418">
        <v>15</v>
      </c>
      <c r="T59" s="418">
        <v>16</v>
      </c>
      <c r="U59" s="418">
        <v>17</v>
      </c>
      <c r="V59" s="418">
        <v>18</v>
      </c>
      <c r="W59" s="418">
        <v>19</v>
      </c>
      <c r="X59" s="418">
        <v>20</v>
      </c>
      <c r="Y59" s="418">
        <v>21</v>
      </c>
      <c r="Z59" s="418">
        <v>22</v>
      </c>
      <c r="AA59" s="418">
        <v>23</v>
      </c>
      <c r="AB59" s="418">
        <v>24</v>
      </c>
      <c r="AC59" s="418">
        <v>25</v>
      </c>
      <c r="AD59" s="418">
        <v>26</v>
      </c>
      <c r="AE59" s="418">
        <v>27</v>
      </c>
      <c r="AF59" s="418">
        <v>28</v>
      </c>
      <c r="AG59" s="418">
        <v>29</v>
      </c>
      <c r="AH59" s="418">
        <v>30</v>
      </c>
      <c r="AI59" s="418">
        <v>31</v>
      </c>
      <c r="AJ59" s="418">
        <v>32</v>
      </c>
      <c r="AK59" s="418">
        <v>33</v>
      </c>
      <c r="AL59" s="418">
        <v>34</v>
      </c>
      <c r="AM59" s="418">
        <v>35</v>
      </c>
      <c r="AN59" s="418">
        <v>36</v>
      </c>
      <c r="AO59" s="418">
        <v>37</v>
      </c>
      <c r="AP59" s="418">
        <v>38</v>
      </c>
      <c r="AQ59" s="418">
        <v>39</v>
      </c>
      <c r="AR59" s="418">
        <v>40</v>
      </c>
      <c r="AS59" s="418">
        <v>41</v>
      </c>
      <c r="AT59" s="418">
        <v>42</v>
      </c>
      <c r="AU59" s="418">
        <v>43</v>
      </c>
      <c r="AV59" s="418">
        <v>44</v>
      </c>
      <c r="AW59" s="418">
        <v>45</v>
      </c>
      <c r="AX59" s="418">
        <v>46</v>
      </c>
      <c r="AY59" s="418">
        <v>47</v>
      </c>
      <c r="AZ59" s="418">
        <v>48</v>
      </c>
      <c r="BA59" s="418">
        <v>49</v>
      </c>
      <c r="BB59" s="418">
        <v>50</v>
      </c>
      <c r="BC59" s="418">
        <v>51</v>
      </c>
      <c r="BD59" s="418">
        <v>52</v>
      </c>
      <c r="BE59" s="418">
        <v>53</v>
      </c>
      <c r="BF59" s="418">
        <v>54</v>
      </c>
      <c r="BG59" s="418">
        <v>55</v>
      </c>
      <c r="BH59" s="418">
        <v>56</v>
      </c>
      <c r="BI59" s="418">
        <v>57</v>
      </c>
      <c r="BJ59" s="418">
        <v>58</v>
      </c>
      <c r="BK59" s="418">
        <v>59</v>
      </c>
      <c r="BL59" s="418">
        <v>60</v>
      </c>
      <c r="BM59" s="418">
        <v>61</v>
      </c>
      <c r="BN59" s="418">
        <v>62</v>
      </c>
      <c r="BO59" s="418">
        <v>63</v>
      </c>
      <c r="BP59" s="418">
        <v>64</v>
      </c>
      <c r="BQ59" s="418">
        <v>65</v>
      </c>
      <c r="BR59" s="418">
        <v>66</v>
      </c>
      <c r="BS59" s="418">
        <v>67</v>
      </c>
      <c r="BT59" s="418">
        <v>68</v>
      </c>
      <c r="BU59" s="418">
        <v>69</v>
      </c>
      <c r="BV59" s="418">
        <v>70</v>
      </c>
      <c r="BW59" s="418">
        <v>71</v>
      </c>
      <c r="BX59" s="418">
        <v>72</v>
      </c>
      <c r="BY59" s="418">
        <v>73</v>
      </c>
      <c r="BZ59" s="418">
        <v>74</v>
      </c>
      <c r="CA59" s="418">
        <v>75</v>
      </c>
      <c r="CB59" s="418">
        <v>76</v>
      </c>
      <c r="CC59" s="418">
        <v>77</v>
      </c>
      <c r="CD59" s="418">
        <v>78</v>
      </c>
      <c r="CE59" s="418">
        <v>79</v>
      </c>
      <c r="CF59" s="418">
        <v>80</v>
      </c>
      <c r="CG59" s="418">
        <v>81</v>
      </c>
      <c r="CH59" s="418">
        <v>82</v>
      </c>
      <c r="CI59" s="418">
        <v>83</v>
      </c>
      <c r="CJ59" s="418">
        <v>84</v>
      </c>
      <c r="CK59" s="418">
        <v>85</v>
      </c>
      <c r="CL59" s="418">
        <v>86</v>
      </c>
      <c r="CM59" s="418">
        <v>87</v>
      </c>
      <c r="CN59" s="418">
        <v>88</v>
      </c>
      <c r="CO59" s="418">
        <v>89</v>
      </c>
      <c r="CP59" s="418">
        <v>90</v>
      </c>
      <c r="CQ59" s="418">
        <v>91</v>
      </c>
      <c r="CR59" s="418">
        <v>92</v>
      </c>
      <c r="CS59" s="418">
        <v>93</v>
      </c>
      <c r="CT59" s="418">
        <v>94</v>
      </c>
      <c r="CU59" s="418">
        <v>95</v>
      </c>
      <c r="CV59" s="418">
        <v>96</v>
      </c>
      <c r="CW59" s="418">
        <v>97</v>
      </c>
      <c r="CX59" s="418">
        <v>98</v>
      </c>
      <c r="CY59" s="418">
        <v>99</v>
      </c>
      <c r="CZ59" s="418">
        <v>100</v>
      </c>
      <c r="DA59" s="418">
        <v>101</v>
      </c>
      <c r="DB59" s="418">
        <v>102</v>
      </c>
      <c r="DC59" s="418">
        <v>103</v>
      </c>
      <c r="DD59" s="418">
        <v>104</v>
      </c>
      <c r="DE59" s="418">
        <v>105</v>
      </c>
      <c r="DF59" s="418">
        <v>106</v>
      </c>
      <c r="DG59" s="418">
        <v>107</v>
      </c>
      <c r="DH59" s="418">
        <v>108</v>
      </c>
      <c r="DI59" s="418">
        <v>109</v>
      </c>
      <c r="DJ59" s="418">
        <v>110</v>
      </c>
      <c r="DK59" s="418">
        <v>111</v>
      </c>
      <c r="DL59" s="418">
        <v>112</v>
      </c>
      <c r="DM59" s="418">
        <v>113</v>
      </c>
      <c r="DN59" s="418">
        <v>114</v>
      </c>
      <c r="DO59" s="418">
        <v>115</v>
      </c>
      <c r="DP59" s="418">
        <v>116</v>
      </c>
      <c r="DQ59" s="418">
        <v>117</v>
      </c>
      <c r="DR59" s="418">
        <v>118</v>
      </c>
      <c r="DS59" s="418">
        <v>119</v>
      </c>
      <c r="DT59" s="418">
        <v>120</v>
      </c>
      <c r="DU59" s="418">
        <v>121</v>
      </c>
      <c r="DV59" s="418">
        <v>122</v>
      </c>
      <c r="DW59" s="418">
        <v>123</v>
      </c>
      <c r="DX59" s="418">
        <v>124</v>
      </c>
      <c r="DY59" s="418">
        <v>125</v>
      </c>
      <c r="DZ59" s="418">
        <v>126</v>
      </c>
      <c r="EA59" s="418">
        <v>127</v>
      </c>
      <c r="EB59" s="418">
        <v>128</v>
      </c>
      <c r="EC59" s="418">
        <v>129</v>
      </c>
      <c r="ED59" s="418">
        <v>130</v>
      </c>
      <c r="EE59" s="418">
        <v>131</v>
      </c>
      <c r="EF59" s="418">
        <v>132</v>
      </c>
      <c r="EG59" s="418">
        <v>133</v>
      </c>
      <c r="EH59" s="418">
        <v>134</v>
      </c>
      <c r="EI59" s="418">
        <v>135</v>
      </c>
      <c r="EJ59" s="418">
        <v>136</v>
      </c>
      <c r="EK59" s="418">
        <v>137</v>
      </c>
      <c r="EL59" s="418">
        <v>138</v>
      </c>
      <c r="EM59" s="418">
        <v>139</v>
      </c>
      <c r="EN59" s="418">
        <v>140</v>
      </c>
      <c r="EO59" s="418">
        <v>141</v>
      </c>
      <c r="EP59" s="418">
        <v>142</v>
      </c>
      <c r="EQ59" s="418">
        <v>143</v>
      </c>
      <c r="ER59" s="418">
        <v>144</v>
      </c>
      <c r="ES59" s="418">
        <v>145</v>
      </c>
      <c r="ET59" s="418">
        <v>146</v>
      </c>
      <c r="EU59" s="418">
        <v>147</v>
      </c>
      <c r="EV59" s="418">
        <v>148</v>
      </c>
      <c r="EW59" s="418">
        <v>149</v>
      </c>
      <c r="EX59" s="418">
        <v>150</v>
      </c>
      <c r="EY59" s="418">
        <v>151</v>
      </c>
      <c r="EZ59" s="418">
        <v>152</v>
      </c>
      <c r="FA59" s="418">
        <v>153</v>
      </c>
      <c r="FB59" s="418">
        <v>154</v>
      </c>
      <c r="FC59" s="418">
        <v>155</v>
      </c>
      <c r="FD59" s="418">
        <v>156</v>
      </c>
      <c r="FE59" s="418">
        <v>157</v>
      </c>
      <c r="FF59" s="418">
        <v>158</v>
      </c>
      <c r="FG59" s="418">
        <v>159</v>
      </c>
      <c r="FH59" s="418">
        <v>160</v>
      </c>
      <c r="FI59" s="418">
        <v>161</v>
      </c>
      <c r="FJ59" s="418">
        <v>162</v>
      </c>
      <c r="FK59" s="418">
        <v>163</v>
      </c>
      <c r="FL59" s="418">
        <v>164</v>
      </c>
      <c r="FM59" s="418">
        <v>165</v>
      </c>
      <c r="FN59" s="418">
        <v>166</v>
      </c>
      <c r="FO59" s="418">
        <v>167</v>
      </c>
      <c r="FP59" s="418">
        <v>168</v>
      </c>
      <c r="FQ59" s="418">
        <v>169</v>
      </c>
      <c r="FR59" s="418">
        <v>170</v>
      </c>
      <c r="FS59" s="418">
        <v>171</v>
      </c>
      <c r="FT59" s="418">
        <v>172</v>
      </c>
      <c r="FU59" s="418">
        <v>173</v>
      </c>
      <c r="FV59" s="418">
        <v>174</v>
      </c>
      <c r="FW59" s="418">
        <v>175</v>
      </c>
      <c r="FX59" s="418">
        <v>176</v>
      </c>
      <c r="FY59" s="418">
        <v>177</v>
      </c>
      <c r="FZ59" s="418">
        <v>178</v>
      </c>
      <c r="GA59" s="418">
        <v>179</v>
      </c>
      <c r="GB59" s="418">
        <v>180</v>
      </c>
      <c r="GC59" s="418">
        <v>181</v>
      </c>
      <c r="GD59" s="418">
        <v>182</v>
      </c>
      <c r="GE59" s="418">
        <v>183</v>
      </c>
      <c r="GF59" s="418">
        <v>184</v>
      </c>
      <c r="GG59" s="418">
        <v>185</v>
      </c>
      <c r="GH59" s="418">
        <v>186</v>
      </c>
      <c r="GI59" s="418">
        <v>187</v>
      </c>
      <c r="GJ59" s="418">
        <v>188</v>
      </c>
      <c r="GK59" s="418">
        <v>189</v>
      </c>
      <c r="GL59" s="418">
        <v>190</v>
      </c>
      <c r="GM59" s="418">
        <v>191</v>
      </c>
      <c r="GN59" s="418">
        <v>192</v>
      </c>
      <c r="GO59" s="418">
        <v>193</v>
      </c>
      <c r="GP59" s="418">
        <v>194</v>
      </c>
      <c r="GQ59" s="418">
        <v>195</v>
      </c>
      <c r="GR59" s="418">
        <v>196</v>
      </c>
      <c r="GS59" s="418">
        <v>197</v>
      </c>
      <c r="GT59" s="418">
        <v>198</v>
      </c>
      <c r="GU59" s="418">
        <v>199</v>
      </c>
      <c r="GV59" s="418">
        <v>200</v>
      </c>
      <c r="GW59" s="418">
        <v>201</v>
      </c>
      <c r="GX59" s="418">
        <v>202</v>
      </c>
      <c r="GY59" s="418">
        <v>203</v>
      </c>
      <c r="GZ59" s="418">
        <v>204</v>
      </c>
      <c r="HA59" s="418">
        <v>205</v>
      </c>
      <c r="HB59" s="418">
        <v>206</v>
      </c>
      <c r="HC59" s="418">
        <v>207</v>
      </c>
      <c r="HD59" s="418">
        <v>208</v>
      </c>
      <c r="HE59" s="418">
        <v>209</v>
      </c>
      <c r="HF59" s="418">
        <v>210</v>
      </c>
      <c r="HG59" s="418">
        <v>211</v>
      </c>
      <c r="HH59" s="418">
        <v>212</v>
      </c>
      <c r="HI59" s="418">
        <v>213</v>
      </c>
      <c r="HJ59" s="418">
        <v>214</v>
      </c>
      <c r="HK59" s="418">
        <v>215</v>
      </c>
      <c r="HL59" s="418">
        <v>216</v>
      </c>
      <c r="HM59" s="418">
        <v>217</v>
      </c>
      <c r="HN59" s="418">
        <v>218</v>
      </c>
      <c r="HO59" s="418">
        <v>219</v>
      </c>
      <c r="HP59" s="418">
        <v>220</v>
      </c>
      <c r="HQ59" s="418">
        <v>221</v>
      </c>
      <c r="HR59" s="418">
        <v>222</v>
      </c>
      <c r="HS59" s="418">
        <v>223</v>
      </c>
      <c r="HT59" s="418">
        <v>224</v>
      </c>
      <c r="HU59" s="418">
        <v>225</v>
      </c>
      <c r="HV59" s="418">
        <v>226</v>
      </c>
      <c r="HW59" s="418">
        <v>227</v>
      </c>
      <c r="HX59" s="418">
        <v>228</v>
      </c>
      <c r="HY59" s="418">
        <v>229</v>
      </c>
      <c r="HZ59" s="418">
        <v>230</v>
      </c>
      <c r="IA59" s="418">
        <v>231</v>
      </c>
      <c r="IB59" s="418">
        <v>232</v>
      </c>
      <c r="IC59" s="418">
        <v>233</v>
      </c>
      <c r="ID59" s="418">
        <v>234</v>
      </c>
      <c r="IE59" s="418">
        <v>235</v>
      </c>
      <c r="IF59" s="418">
        <v>236</v>
      </c>
      <c r="IG59" s="418">
        <v>237</v>
      </c>
      <c r="IH59" s="418">
        <v>238</v>
      </c>
      <c r="II59" s="418">
        <v>239</v>
      </c>
      <c r="IJ59" s="418">
        <v>240</v>
      </c>
      <c r="IK59" s="418">
        <v>241</v>
      </c>
      <c r="IL59" s="418">
        <v>242</v>
      </c>
      <c r="IM59" s="418">
        <v>243</v>
      </c>
      <c r="IN59" s="418">
        <v>244</v>
      </c>
      <c r="IO59" s="418">
        <v>245</v>
      </c>
      <c r="IP59" s="418">
        <v>246</v>
      </c>
      <c r="IQ59" s="418">
        <v>247</v>
      </c>
      <c r="IR59" s="418">
        <v>248</v>
      </c>
      <c r="IS59" s="418">
        <v>249</v>
      </c>
      <c r="IT59" s="418">
        <v>250</v>
      </c>
      <c r="IU59" s="418">
        <v>251</v>
      </c>
      <c r="IV59" s="418">
        <v>252</v>
      </c>
      <c r="IW59" s="418">
        <v>253</v>
      </c>
      <c r="IX59" s="418">
        <v>254</v>
      </c>
      <c r="IY59" s="418">
        <v>255</v>
      </c>
      <c r="IZ59" s="418">
        <v>256</v>
      </c>
      <c r="JA59" s="418">
        <v>257</v>
      </c>
      <c r="JB59" s="418">
        <v>258</v>
      </c>
      <c r="JC59" s="418">
        <v>259</v>
      </c>
      <c r="JD59" s="418">
        <v>260</v>
      </c>
      <c r="JE59" s="418">
        <v>261</v>
      </c>
      <c r="JF59" s="418">
        <v>262</v>
      </c>
      <c r="JG59" s="418">
        <v>263</v>
      </c>
      <c r="JH59" s="418">
        <v>264</v>
      </c>
      <c r="JI59" s="418">
        <v>265</v>
      </c>
      <c r="JJ59" s="418">
        <v>266</v>
      </c>
      <c r="JK59" s="418">
        <v>267</v>
      </c>
      <c r="JL59" s="418">
        <v>268</v>
      </c>
      <c r="JM59" s="418">
        <v>269</v>
      </c>
      <c r="JN59" s="418">
        <v>270</v>
      </c>
      <c r="JO59" s="418">
        <v>271</v>
      </c>
      <c r="JP59" s="418">
        <v>272</v>
      </c>
      <c r="JQ59" s="418">
        <v>273</v>
      </c>
      <c r="JR59" s="351"/>
      <c r="JT59" s="1385" t="s">
        <v>2199</v>
      </c>
    </row>
    <row r="60" spans="1:280" ht="12.5" x14ac:dyDescent="0.25">
      <c r="A60" s="1367">
        <v>2</v>
      </c>
      <c r="B60" s="1370" t="str">
        <f>IF(SLR_ind&gt;1,IF(HLOOKUP(SLR_ind-1,SLR_RANGE,A60)="","",HLOOKUP(SLR_ind-1,SLR_RANGE,A60)),"")</f>
        <v/>
      </c>
      <c r="C60" s="1359" t="s">
        <v>2331</v>
      </c>
      <c r="D60" s="1360" t="s">
        <v>2332</v>
      </c>
      <c r="E60" s="1381"/>
      <c r="F60" s="1381"/>
      <c r="G60" s="1381"/>
      <c r="H60" s="1381" t="s">
        <v>1707</v>
      </c>
      <c r="I60" s="1381"/>
      <c r="J60" s="1381"/>
      <c r="K60" s="1381"/>
      <c r="L60" s="1381"/>
      <c r="M60" s="1381" t="s">
        <v>1707</v>
      </c>
      <c r="N60" s="1381"/>
      <c r="O60" s="1381"/>
      <c r="P60" s="1381"/>
      <c r="Q60" s="1381"/>
      <c r="R60" s="1381" t="s">
        <v>1707</v>
      </c>
      <c r="S60" s="1381" t="s">
        <v>1707</v>
      </c>
      <c r="T60" s="1381"/>
      <c r="U60" s="1381" t="s">
        <v>1707</v>
      </c>
      <c r="V60" s="1381"/>
      <c r="W60" s="1381"/>
      <c r="X60" s="1381"/>
      <c r="Y60" s="1381" t="s">
        <v>1707</v>
      </c>
      <c r="Z60" s="1381"/>
      <c r="AA60" s="1381"/>
      <c r="AB60" s="1381"/>
      <c r="AC60" s="1381"/>
      <c r="AD60" s="1381"/>
      <c r="AE60" s="1381"/>
      <c r="AF60" s="1381"/>
      <c r="AG60" s="1381" t="s">
        <v>1707</v>
      </c>
      <c r="AH60" s="1381"/>
      <c r="AI60" s="1381" t="s">
        <v>1707</v>
      </c>
      <c r="AJ60" s="1381" t="s">
        <v>1707</v>
      </c>
      <c r="AK60" s="1381" t="s">
        <v>1707</v>
      </c>
      <c r="AL60" s="1381"/>
      <c r="AM60" s="1381"/>
      <c r="AN60" s="1381"/>
      <c r="AO60" s="1381"/>
      <c r="AP60" s="1381"/>
      <c r="AQ60" s="1381"/>
      <c r="AR60" s="1381"/>
      <c r="AS60" s="1381" t="s">
        <v>1707</v>
      </c>
      <c r="AT60" s="1381"/>
      <c r="AU60" s="1381"/>
      <c r="AV60" s="1381" t="s">
        <v>1707</v>
      </c>
      <c r="AW60" s="1381"/>
      <c r="AX60" s="1381"/>
      <c r="AY60" s="1381"/>
      <c r="AZ60" s="1381"/>
      <c r="BA60" s="1381"/>
      <c r="BB60" s="1381"/>
      <c r="BC60" s="1381" t="s">
        <v>1707</v>
      </c>
      <c r="BD60" s="1381"/>
      <c r="BE60" s="1381" t="s">
        <v>1707</v>
      </c>
      <c r="BF60" s="1381" t="s">
        <v>1707</v>
      </c>
      <c r="BG60" s="1381"/>
      <c r="BH60" s="1381"/>
      <c r="BI60" s="1381"/>
      <c r="BJ60" s="1381"/>
      <c r="BK60" s="1381"/>
      <c r="BL60" s="1381"/>
      <c r="BM60" s="1381"/>
      <c r="BN60" s="1381"/>
      <c r="BO60" s="1381"/>
      <c r="BP60" s="1381"/>
      <c r="BQ60" s="1381"/>
      <c r="BR60" s="1381"/>
      <c r="BS60" s="1381"/>
      <c r="BT60" s="1381"/>
      <c r="BU60" s="1381"/>
      <c r="BV60" s="1381"/>
      <c r="BW60" s="1381"/>
      <c r="BX60" s="1381"/>
      <c r="BY60" s="1381"/>
      <c r="BZ60" s="1381"/>
      <c r="CA60" s="1414"/>
      <c r="CB60" s="1414"/>
      <c r="CC60" s="1414"/>
      <c r="CD60" s="1381"/>
      <c r="CE60" s="1414"/>
      <c r="CF60" s="1381"/>
      <c r="CG60" s="1414"/>
      <c r="CH60" s="1381"/>
      <c r="CI60" s="1414"/>
      <c r="CJ60" s="1381"/>
      <c r="CK60" s="1414"/>
      <c r="CL60" s="1381"/>
      <c r="CM60" s="1414"/>
      <c r="CN60" s="1381"/>
      <c r="CO60" s="1414"/>
      <c r="CP60" s="1381"/>
      <c r="CQ60" s="1414"/>
      <c r="CR60" s="1381"/>
      <c r="CS60" s="1414"/>
      <c r="CT60" s="1381"/>
      <c r="CU60" s="1414"/>
      <c r="CV60" s="1381"/>
      <c r="CW60" s="1414"/>
      <c r="CX60" s="1381"/>
      <c r="CY60" s="1414"/>
      <c r="CZ60" s="1381"/>
      <c r="DA60" s="1414"/>
      <c r="DB60" s="1414" t="s">
        <v>1707</v>
      </c>
      <c r="DC60" s="1414"/>
      <c r="DD60" s="1381"/>
      <c r="DE60" s="1414"/>
      <c r="DF60" s="1381"/>
      <c r="DG60" s="1414"/>
      <c r="DH60" s="1381"/>
      <c r="DI60" s="1414"/>
      <c r="DJ60" s="1381" t="s">
        <v>1707</v>
      </c>
      <c r="DK60" s="1414"/>
      <c r="DL60" s="1381"/>
      <c r="DM60" s="1414"/>
      <c r="DN60" s="1381"/>
      <c r="DO60" s="1414"/>
      <c r="DP60" s="1381"/>
      <c r="DQ60" s="1414"/>
      <c r="DR60" s="1381"/>
      <c r="DS60" s="1414"/>
      <c r="DT60" s="1381"/>
      <c r="DU60" s="1381" t="s">
        <v>1707</v>
      </c>
      <c r="DV60" s="1382"/>
      <c r="DW60" s="1414"/>
      <c r="DX60" s="1381"/>
      <c r="DY60" s="1414"/>
      <c r="DZ60" s="1381"/>
      <c r="EA60" s="1381"/>
      <c r="EB60" s="1381"/>
      <c r="EC60" s="1414"/>
      <c r="ED60" s="1381"/>
      <c r="EE60" s="1414"/>
      <c r="EF60" s="1381"/>
      <c r="EG60" s="1414"/>
      <c r="EH60" s="1381"/>
      <c r="EI60" s="1414"/>
      <c r="EJ60" s="1381"/>
      <c r="EK60" s="1381" t="s">
        <v>1707</v>
      </c>
      <c r="EL60" s="1381" t="s">
        <v>1707</v>
      </c>
      <c r="EM60" s="1414"/>
      <c r="EN60" s="1381"/>
      <c r="EO60" s="1414"/>
      <c r="EP60" s="1381"/>
      <c r="EQ60" s="1414"/>
      <c r="ER60" s="1381"/>
      <c r="ES60" s="1414"/>
      <c r="ET60" s="1381"/>
      <c r="EU60" s="1414"/>
      <c r="EV60" s="1381"/>
      <c r="EW60" s="1381" t="s">
        <v>1707</v>
      </c>
      <c r="EX60" s="1381"/>
      <c r="EY60" s="1414"/>
      <c r="EZ60" s="1381"/>
      <c r="FA60" s="1414"/>
      <c r="FB60" s="1381"/>
      <c r="FC60" s="1414"/>
      <c r="FD60" s="1381"/>
      <c r="FE60" s="1414"/>
      <c r="FF60" s="1381"/>
      <c r="FG60" s="1414"/>
      <c r="FH60" s="1381"/>
      <c r="FI60" s="1414"/>
      <c r="FJ60" s="1414"/>
      <c r="FK60" s="1414"/>
      <c r="FL60" s="1381"/>
      <c r="FM60" s="1414"/>
      <c r="FN60" s="1381"/>
      <c r="FO60" s="1414"/>
      <c r="FP60" s="1414"/>
      <c r="FQ60" s="1414"/>
      <c r="FR60" s="1381"/>
      <c r="FS60" s="1414"/>
      <c r="FT60" s="1381"/>
      <c r="FU60" s="1414"/>
      <c r="FV60" s="1381"/>
      <c r="FW60" s="1414"/>
      <c r="FX60" s="1381"/>
      <c r="FY60" s="1414"/>
      <c r="FZ60" s="1381"/>
      <c r="GA60" s="1414"/>
      <c r="GB60" s="1381"/>
      <c r="GC60" s="1381" t="s">
        <v>1707</v>
      </c>
      <c r="GD60" s="1381"/>
      <c r="GE60" s="1414"/>
      <c r="GF60" s="1381"/>
      <c r="GG60" s="1381" t="s">
        <v>1707</v>
      </c>
      <c r="GH60" s="1381"/>
      <c r="GI60" s="1414"/>
      <c r="GJ60" s="1381"/>
      <c r="GK60" s="1414"/>
      <c r="GL60" s="1381"/>
      <c r="GM60" s="1414"/>
      <c r="GN60" s="1381"/>
      <c r="GO60" s="1414"/>
      <c r="GP60" s="1381"/>
      <c r="GQ60" s="1414"/>
      <c r="GR60" s="1381"/>
      <c r="GS60" s="1414"/>
      <c r="GT60" s="1381"/>
      <c r="GU60" s="1414" t="s">
        <v>1707</v>
      </c>
      <c r="GV60" s="1381"/>
      <c r="GW60" s="1414"/>
      <c r="GX60" s="1381"/>
      <c r="GY60" s="1414"/>
      <c r="GZ60" s="1381"/>
      <c r="HA60" s="1414"/>
      <c r="HB60" s="1381"/>
      <c r="HC60" s="1414"/>
      <c r="HD60" s="1381"/>
      <c r="HE60" s="1414"/>
      <c r="HF60" s="1381"/>
      <c r="HG60" s="1414"/>
      <c r="HH60" s="1381"/>
      <c r="HI60" s="1414"/>
      <c r="HJ60" s="1381"/>
      <c r="HK60" s="1414"/>
      <c r="HL60" s="1381"/>
      <c r="HM60" s="1414"/>
      <c r="HN60" s="1381"/>
      <c r="HO60" s="1414"/>
      <c r="HP60" s="1381"/>
      <c r="HQ60" s="1414"/>
      <c r="HR60" s="1381"/>
      <c r="HS60" s="1414"/>
      <c r="HT60" s="1381"/>
      <c r="HU60" s="1414"/>
      <c r="HV60" s="1414"/>
      <c r="HW60" s="1414"/>
      <c r="HX60" s="1381"/>
      <c r="HY60" s="1414"/>
      <c r="HZ60" s="1381"/>
      <c r="IA60" s="1414"/>
      <c r="IB60" s="1381"/>
      <c r="IC60" s="1414"/>
      <c r="ID60" s="1382"/>
      <c r="IE60" s="1414"/>
      <c r="IF60" s="1381"/>
      <c r="IG60" s="1414"/>
      <c r="IH60" s="1381"/>
      <c r="II60" s="1414"/>
      <c r="IJ60" s="1381"/>
      <c r="IK60" s="1414"/>
      <c r="IL60" s="1381"/>
      <c r="IM60" s="1414"/>
      <c r="IN60" s="1381"/>
      <c r="IO60" s="1414"/>
      <c r="IP60" s="1381"/>
      <c r="IQ60" s="1381"/>
      <c r="IR60" s="1381"/>
      <c r="IS60" s="1381"/>
      <c r="IT60" s="1381"/>
      <c r="IU60" s="1381"/>
      <c r="IV60" s="1381"/>
      <c r="IW60" s="1381"/>
      <c r="IX60" s="1381"/>
      <c r="IY60" s="1381"/>
      <c r="IZ60" s="1381"/>
      <c r="JA60" s="1381"/>
      <c r="JB60" s="1381"/>
      <c r="JC60" s="1381"/>
      <c r="JD60" s="1381"/>
      <c r="JE60" s="1381" t="s">
        <v>1707</v>
      </c>
      <c r="JF60" s="1381"/>
      <c r="JG60" s="1381"/>
      <c r="JH60" s="1381"/>
      <c r="JI60" s="1381"/>
      <c r="JJ60" s="1381"/>
      <c r="JK60" s="1381"/>
      <c r="JL60" s="1381"/>
      <c r="JM60" s="1381"/>
      <c r="JN60" s="1381"/>
      <c r="JO60" s="1381"/>
      <c r="JP60" s="1381"/>
      <c r="JQ60" s="1415"/>
      <c r="JR60" s="351"/>
      <c r="JS60" s="1365"/>
      <c r="JT60" s="1385" t="s">
        <v>2319</v>
      </c>
    </row>
    <row r="61" spans="1:280" ht="12.5" x14ac:dyDescent="0.25">
      <c r="A61" s="1367">
        <v>3</v>
      </c>
      <c r="B61" s="1368" t="str">
        <f>IF(SLR_ind&gt;1,IF(HLOOKUP(SLR_ind-1,SLR_RANGE,A61)="","",HLOOKUP(SLR_ind-1,SLR_RANGE,A61)),"")</f>
        <v/>
      </c>
      <c r="C61" s="1359" t="s">
        <v>2333</v>
      </c>
      <c r="D61" s="1360" t="s">
        <v>2334</v>
      </c>
      <c r="E61" s="2494"/>
      <c r="F61" s="2494"/>
      <c r="G61" s="2494"/>
      <c r="H61" s="2494" t="s">
        <v>2335</v>
      </c>
      <c r="I61" s="2494"/>
      <c r="J61" s="2494"/>
      <c r="K61" s="2494"/>
      <c r="L61" s="2494"/>
      <c r="M61" s="2494" t="s">
        <v>2336</v>
      </c>
      <c r="N61" s="2494"/>
      <c r="O61" s="2494"/>
      <c r="P61" s="2494"/>
      <c r="Q61" s="2494"/>
      <c r="R61" s="1757" t="s">
        <v>2335</v>
      </c>
      <c r="S61" s="2494" t="s">
        <v>2336</v>
      </c>
      <c r="T61" s="2494"/>
      <c r="U61" s="2494"/>
      <c r="V61" s="2494"/>
      <c r="W61" s="2494"/>
      <c r="X61" s="2494"/>
      <c r="Y61" s="2494"/>
      <c r="Z61" s="2494"/>
      <c r="AA61" s="2494"/>
      <c r="AB61" s="2494"/>
      <c r="AC61" s="2494"/>
      <c r="AD61" s="2494"/>
      <c r="AE61" s="2494"/>
      <c r="AF61" s="2494"/>
      <c r="AG61" s="2494" t="s">
        <v>2335</v>
      </c>
      <c r="AH61" s="2494"/>
      <c r="AI61" s="2494" t="s">
        <v>2337</v>
      </c>
      <c r="AJ61" s="2494" t="s">
        <v>2337</v>
      </c>
      <c r="AK61" s="2494" t="s">
        <v>2337</v>
      </c>
      <c r="AL61" s="2494"/>
      <c r="AM61" s="2494"/>
      <c r="AN61" s="2494"/>
      <c r="AO61" s="2494"/>
      <c r="AP61" s="2494"/>
      <c r="AQ61" s="2494"/>
      <c r="AR61" s="2494"/>
      <c r="AS61" s="2494" t="s">
        <v>2336</v>
      </c>
      <c r="AT61" s="2494"/>
      <c r="AU61" s="2494"/>
      <c r="AV61" s="2494" t="s">
        <v>2336</v>
      </c>
      <c r="AW61" s="2494"/>
      <c r="AX61" s="2494"/>
      <c r="AY61" s="1757"/>
      <c r="AZ61" s="1757"/>
      <c r="BA61" s="1757"/>
      <c r="BB61" s="1757"/>
      <c r="BC61" s="1757" t="s">
        <v>2335</v>
      </c>
      <c r="BD61" s="2494"/>
      <c r="BE61" s="2494" t="s">
        <v>2335</v>
      </c>
      <c r="BF61" s="2494" t="s">
        <v>2336</v>
      </c>
      <c r="BG61" s="2494"/>
      <c r="BH61" s="2494"/>
      <c r="BI61" s="2494"/>
      <c r="BJ61" s="2494"/>
      <c r="BK61" s="2494"/>
      <c r="BL61" s="2494"/>
      <c r="BM61" s="2494"/>
      <c r="BN61" s="2494"/>
      <c r="BO61" s="2494"/>
      <c r="BP61" s="2494"/>
      <c r="BQ61" s="2494"/>
      <c r="BR61" s="2494"/>
      <c r="BS61" s="2494"/>
      <c r="BT61" s="2494"/>
      <c r="BU61" s="2494"/>
      <c r="BV61" s="2494"/>
      <c r="BW61" s="2494"/>
      <c r="BX61" s="2494"/>
      <c r="BY61" s="2494"/>
      <c r="BZ61" s="2494"/>
      <c r="CA61" s="2495"/>
      <c r="CB61" s="2495"/>
      <c r="CC61" s="2495"/>
      <c r="CD61" s="2494"/>
      <c r="CE61" s="2495"/>
      <c r="CF61" s="2494"/>
      <c r="CG61" s="2495"/>
      <c r="CH61" s="2494"/>
      <c r="CI61" s="2495"/>
      <c r="CJ61" s="2494"/>
      <c r="CK61" s="2495"/>
      <c r="CL61" s="2494"/>
      <c r="CM61" s="2495"/>
      <c r="CN61" s="2494"/>
      <c r="CO61" s="2495"/>
      <c r="CP61" s="2494"/>
      <c r="CQ61" s="2495"/>
      <c r="CR61" s="2494"/>
      <c r="CS61" s="2495"/>
      <c r="CT61" s="2494"/>
      <c r="CU61" s="2495"/>
      <c r="CV61" s="2494"/>
      <c r="CW61" s="2495"/>
      <c r="CX61" s="2494"/>
      <c r="CY61" s="2495"/>
      <c r="CZ61" s="2494"/>
      <c r="DA61" s="2495"/>
      <c r="DB61" s="2495"/>
      <c r="DC61" s="2495"/>
      <c r="DD61" s="2494"/>
      <c r="DE61" s="2495"/>
      <c r="DF61" s="2494"/>
      <c r="DG61" s="2495"/>
      <c r="DH61" s="2494"/>
      <c r="DI61" s="2495"/>
      <c r="DJ61" s="2494" t="s">
        <v>2335</v>
      </c>
      <c r="DK61" s="2495"/>
      <c r="DL61" s="2494"/>
      <c r="DM61" s="2495"/>
      <c r="DN61" s="2494"/>
      <c r="DO61" s="2495"/>
      <c r="DP61" s="2494"/>
      <c r="DQ61" s="2495"/>
      <c r="DR61" s="2494"/>
      <c r="DS61" s="2495"/>
      <c r="DT61" s="2494"/>
      <c r="DU61" s="2494" t="s">
        <v>2336</v>
      </c>
      <c r="DV61" s="2496"/>
      <c r="DW61" s="2495"/>
      <c r="DX61" s="2494"/>
      <c r="DY61" s="2495"/>
      <c r="DZ61" s="2494"/>
      <c r="EA61" s="2494"/>
      <c r="EB61" s="2494"/>
      <c r="EC61" s="2495"/>
      <c r="ED61" s="2494"/>
      <c r="EE61" s="2495"/>
      <c r="EF61" s="2494"/>
      <c r="EG61" s="2495"/>
      <c r="EH61" s="2494"/>
      <c r="EI61" s="2495"/>
      <c r="EJ61" s="2494"/>
      <c r="EK61" s="2494" t="s">
        <v>2336</v>
      </c>
      <c r="EL61" s="2494" t="s">
        <v>2336</v>
      </c>
      <c r="EM61" s="2495"/>
      <c r="EN61" s="2494"/>
      <c r="EO61" s="2495"/>
      <c r="EP61" s="2494"/>
      <c r="EQ61" s="2495"/>
      <c r="ER61" s="2494"/>
      <c r="ES61" s="2495"/>
      <c r="ET61" s="2494"/>
      <c r="EU61" s="2495"/>
      <c r="EV61" s="2494"/>
      <c r="EW61" s="2494" t="s">
        <v>2336</v>
      </c>
      <c r="EX61" s="2494"/>
      <c r="EY61" s="2495"/>
      <c r="EZ61" s="2494"/>
      <c r="FA61" s="2495"/>
      <c r="FB61" s="2494"/>
      <c r="FC61" s="2495"/>
      <c r="FD61" s="2494"/>
      <c r="FE61" s="2495"/>
      <c r="FF61" s="2494"/>
      <c r="FG61" s="2495"/>
      <c r="FH61" s="2494"/>
      <c r="FI61" s="2495"/>
      <c r="FJ61" s="2495"/>
      <c r="FK61" s="2495"/>
      <c r="FL61" s="2494"/>
      <c r="FM61" s="2495"/>
      <c r="FN61" s="2494"/>
      <c r="FO61" s="2495"/>
      <c r="FP61" s="2495"/>
      <c r="FQ61" s="2495"/>
      <c r="FR61" s="2494"/>
      <c r="FS61" s="2495"/>
      <c r="FT61" s="2494"/>
      <c r="FU61" s="2495"/>
      <c r="FV61" s="2494"/>
      <c r="FW61" s="2495"/>
      <c r="FX61" s="2494"/>
      <c r="FY61" s="2495"/>
      <c r="FZ61" s="2494"/>
      <c r="GA61" s="2495"/>
      <c r="GB61" s="2494"/>
      <c r="GC61" s="2494" t="s">
        <v>2336</v>
      </c>
      <c r="GD61" s="2494"/>
      <c r="GE61" s="2495"/>
      <c r="GF61" s="2494"/>
      <c r="GG61" s="2494" t="s">
        <v>2337</v>
      </c>
      <c r="GH61" s="2494"/>
      <c r="GI61" s="2495"/>
      <c r="GJ61" s="2494"/>
      <c r="GK61" s="2495"/>
      <c r="GL61" s="2494"/>
      <c r="GM61" s="2495"/>
      <c r="GN61" s="2494"/>
      <c r="GO61" s="2495"/>
      <c r="GP61" s="2494"/>
      <c r="GQ61" s="2495"/>
      <c r="GR61" s="2494"/>
      <c r="GS61" s="2495"/>
      <c r="GT61" s="2494"/>
      <c r="GU61" s="2494" t="s">
        <v>2336</v>
      </c>
      <c r="GV61" s="2494"/>
      <c r="GW61" s="2495"/>
      <c r="GX61" s="2494"/>
      <c r="GY61" s="2495"/>
      <c r="GZ61" s="2494"/>
      <c r="HA61" s="2495"/>
      <c r="HB61" s="2494"/>
      <c r="HC61" s="2495"/>
      <c r="HD61" s="2494"/>
      <c r="HE61" s="2495"/>
      <c r="HF61" s="2494"/>
      <c r="HG61" s="2495"/>
      <c r="HH61" s="2494"/>
      <c r="HI61" s="2495"/>
      <c r="HJ61" s="2494"/>
      <c r="HK61" s="2495"/>
      <c r="HL61" s="2494"/>
      <c r="HM61" s="2495"/>
      <c r="HN61" s="2494"/>
      <c r="HO61" s="2495"/>
      <c r="HP61" s="2494"/>
      <c r="HQ61" s="2495"/>
      <c r="HR61" s="2494"/>
      <c r="HS61" s="2495"/>
      <c r="HT61" s="2494"/>
      <c r="HU61" s="2495"/>
      <c r="HV61" s="2495"/>
      <c r="HW61" s="2495"/>
      <c r="HX61" s="2494"/>
      <c r="HY61" s="2495"/>
      <c r="HZ61" s="2494"/>
      <c r="IA61" s="2495"/>
      <c r="IB61" s="2494"/>
      <c r="IC61" s="2495"/>
      <c r="ID61" s="1366"/>
      <c r="IE61" s="2495"/>
      <c r="IF61" s="2494"/>
      <c r="IG61" s="2495"/>
      <c r="IH61" s="2494"/>
      <c r="II61" s="2495"/>
      <c r="IJ61" s="2494"/>
      <c r="IK61" s="2495"/>
      <c r="IL61" s="2494"/>
      <c r="IM61" s="2495"/>
      <c r="IN61" s="2494"/>
      <c r="IO61" s="2495"/>
      <c r="IP61" s="2494"/>
      <c r="IQ61" s="2494"/>
      <c r="IR61" s="2494"/>
      <c r="IS61" s="2494"/>
      <c r="IT61" s="2494"/>
      <c r="IU61" s="2494"/>
      <c r="IV61" s="2494"/>
      <c r="IW61" s="2494"/>
      <c r="IX61" s="2494"/>
      <c r="IY61" s="2494"/>
      <c r="IZ61" s="2494"/>
      <c r="JA61" s="2494"/>
      <c r="JB61" s="2494"/>
      <c r="JC61" s="2494"/>
      <c r="JD61" s="2494"/>
      <c r="JE61" s="2494" t="s">
        <v>2336</v>
      </c>
      <c r="JF61" s="2494"/>
      <c r="JG61" s="2494"/>
      <c r="JH61" s="2494"/>
      <c r="JI61" s="2494"/>
      <c r="JJ61" s="2494"/>
      <c r="JK61" s="2494"/>
      <c r="JL61" s="2494"/>
      <c r="JM61" s="2494"/>
      <c r="JN61" s="2494"/>
      <c r="JO61" s="2494"/>
      <c r="JP61" s="2494"/>
      <c r="JQ61" s="2488"/>
      <c r="JR61" s="351"/>
      <c r="JS61" s="1365"/>
      <c r="JT61" s="1385" t="s">
        <v>2215</v>
      </c>
    </row>
    <row r="62" spans="1:280" ht="12.5" x14ac:dyDescent="0.25">
      <c r="A62" s="1367">
        <v>4</v>
      </c>
      <c r="B62" s="1368" t="str">
        <f>IF(SLR_ind&gt;1,IF(HLOOKUP(SLR_ind-1,SLR_RANGE,A62)="","",HLOOKUP(SLR_ind-1,SLR_RANGE,A62)),"")</f>
        <v/>
      </c>
      <c r="C62" s="1359" t="s">
        <v>2338</v>
      </c>
      <c r="D62" s="1360" t="s">
        <v>2339</v>
      </c>
      <c r="E62" s="2494"/>
      <c r="F62" s="2494"/>
      <c r="G62" s="2494"/>
      <c r="H62" s="2494" t="s">
        <v>2340</v>
      </c>
      <c r="I62" s="2494"/>
      <c r="J62" s="2494"/>
      <c r="K62" s="2494"/>
      <c r="L62" s="2494"/>
      <c r="M62" s="2494" t="s">
        <v>2340</v>
      </c>
      <c r="N62" s="2494"/>
      <c r="O62" s="2494"/>
      <c r="P62" s="2494"/>
      <c r="Q62" s="2494"/>
      <c r="R62" s="1757"/>
      <c r="S62" s="2494"/>
      <c r="T62" s="2494"/>
      <c r="U62" s="2494" t="s">
        <v>2340</v>
      </c>
      <c r="V62" s="2494"/>
      <c r="W62" s="2494"/>
      <c r="X62" s="2494"/>
      <c r="Y62" s="2494" t="s">
        <v>2340</v>
      </c>
      <c r="Z62" s="2494"/>
      <c r="AA62" s="2494"/>
      <c r="AB62" s="2494"/>
      <c r="AC62" s="2494"/>
      <c r="AD62" s="2494"/>
      <c r="AE62" s="2494"/>
      <c r="AF62" s="2494"/>
      <c r="AG62" s="2494" t="s">
        <v>2340</v>
      </c>
      <c r="AH62" s="2494"/>
      <c r="AI62" s="2494"/>
      <c r="AJ62" s="2494"/>
      <c r="AK62" s="2494" t="s">
        <v>2340</v>
      </c>
      <c r="AL62" s="2494"/>
      <c r="AM62" s="2494"/>
      <c r="AN62" s="2494"/>
      <c r="AO62" s="2494"/>
      <c r="AP62" s="2494"/>
      <c r="AQ62" s="2494"/>
      <c r="AR62" s="2494"/>
      <c r="AS62" s="2494"/>
      <c r="AT62" s="2494"/>
      <c r="AU62" s="2494"/>
      <c r="AV62" s="2494"/>
      <c r="AW62" s="2494"/>
      <c r="AX62" s="2494"/>
      <c r="AY62" s="1757"/>
      <c r="AZ62" s="1757"/>
      <c r="BA62" s="1757"/>
      <c r="BB62" s="1757"/>
      <c r="BC62" s="1757"/>
      <c r="BD62" s="2494"/>
      <c r="BE62" s="2494" t="s">
        <v>2340</v>
      </c>
      <c r="BF62" s="2494" t="s">
        <v>2340</v>
      </c>
      <c r="BG62" s="2494"/>
      <c r="BH62" s="2494"/>
      <c r="BI62" s="2494"/>
      <c r="BJ62" s="2494"/>
      <c r="BK62" s="2494"/>
      <c r="BL62" s="2494"/>
      <c r="BM62" s="2494"/>
      <c r="BN62" s="2494"/>
      <c r="BO62" s="2494"/>
      <c r="BP62" s="2494"/>
      <c r="BQ62" s="2494"/>
      <c r="BR62" s="2494"/>
      <c r="BS62" s="2494"/>
      <c r="BT62" s="2494"/>
      <c r="BU62" s="2494"/>
      <c r="BV62" s="2494"/>
      <c r="BW62" s="2494"/>
      <c r="BX62" s="2494"/>
      <c r="BY62" s="2494"/>
      <c r="BZ62" s="2494"/>
      <c r="CA62" s="2495"/>
      <c r="CB62" s="2495"/>
      <c r="CC62" s="2495"/>
      <c r="CD62" s="2494"/>
      <c r="CE62" s="2495"/>
      <c r="CF62" s="2494"/>
      <c r="CG62" s="2495"/>
      <c r="CH62" s="2494"/>
      <c r="CI62" s="2495"/>
      <c r="CJ62" s="2494"/>
      <c r="CK62" s="2495"/>
      <c r="CL62" s="2494"/>
      <c r="CM62" s="2495"/>
      <c r="CN62" s="2494"/>
      <c r="CO62" s="2495"/>
      <c r="CP62" s="2494"/>
      <c r="CQ62" s="2495"/>
      <c r="CR62" s="2494"/>
      <c r="CS62" s="2495"/>
      <c r="CT62" s="2494"/>
      <c r="CU62" s="2495"/>
      <c r="CV62" s="2494"/>
      <c r="CW62" s="2495"/>
      <c r="CX62" s="2494"/>
      <c r="CY62" s="2495"/>
      <c r="CZ62" s="2494"/>
      <c r="DA62" s="2495"/>
      <c r="DB62" s="2495" t="s">
        <v>2340</v>
      </c>
      <c r="DC62" s="2495"/>
      <c r="DD62" s="2494"/>
      <c r="DE62" s="2495"/>
      <c r="DF62" s="2494"/>
      <c r="DG62" s="2495"/>
      <c r="DH62" s="2494"/>
      <c r="DI62" s="2495"/>
      <c r="DJ62" s="2494"/>
      <c r="DK62" s="2495"/>
      <c r="DL62" s="2494"/>
      <c r="DM62" s="2495"/>
      <c r="DN62" s="2494"/>
      <c r="DO62" s="2495"/>
      <c r="DP62" s="2494"/>
      <c r="DQ62" s="2495"/>
      <c r="DR62" s="2494"/>
      <c r="DS62" s="2495"/>
      <c r="DT62" s="2494"/>
      <c r="DU62" s="2494"/>
      <c r="DV62" s="2494"/>
      <c r="DW62" s="2495"/>
      <c r="DX62" s="2494"/>
      <c r="DY62" s="2495"/>
      <c r="DZ62" s="2494"/>
      <c r="EA62" s="2494"/>
      <c r="EB62" s="2494"/>
      <c r="EC62" s="2495"/>
      <c r="ED62" s="2494"/>
      <c r="EE62" s="2495"/>
      <c r="EF62" s="2494"/>
      <c r="EG62" s="2495"/>
      <c r="EH62" s="2494"/>
      <c r="EI62" s="2495"/>
      <c r="EJ62" s="2494"/>
      <c r="EK62" s="2494"/>
      <c r="EL62" s="2494"/>
      <c r="EM62" s="2495"/>
      <c r="EN62" s="2494"/>
      <c r="EO62" s="2495"/>
      <c r="EP62" s="2494"/>
      <c r="EQ62" s="2495"/>
      <c r="ER62" s="2494"/>
      <c r="ES62" s="2495"/>
      <c r="ET62" s="2494"/>
      <c r="EU62" s="2495"/>
      <c r="EV62" s="2494"/>
      <c r="EW62" s="2494"/>
      <c r="EX62" s="2494"/>
      <c r="EY62" s="2495"/>
      <c r="EZ62" s="2494"/>
      <c r="FA62" s="2495"/>
      <c r="FB62" s="2494"/>
      <c r="FC62" s="2495"/>
      <c r="FD62" s="2494"/>
      <c r="FE62" s="2495"/>
      <c r="FF62" s="2494"/>
      <c r="FG62" s="2495"/>
      <c r="FH62" s="2494"/>
      <c r="FI62" s="2495"/>
      <c r="FJ62" s="2495"/>
      <c r="FK62" s="2495"/>
      <c r="FL62" s="2494"/>
      <c r="FM62" s="2495"/>
      <c r="FN62" s="2494"/>
      <c r="FO62" s="2495"/>
      <c r="FP62" s="2495"/>
      <c r="FQ62" s="2495"/>
      <c r="FR62" s="2494"/>
      <c r="FS62" s="2495"/>
      <c r="FT62" s="2494"/>
      <c r="FU62" s="2495"/>
      <c r="FV62" s="2494"/>
      <c r="FW62" s="2495"/>
      <c r="FX62" s="2494"/>
      <c r="FY62" s="2495"/>
      <c r="FZ62" s="2494"/>
      <c r="GA62" s="2495"/>
      <c r="GB62" s="2494"/>
      <c r="GC62" s="2494"/>
      <c r="GD62" s="2494"/>
      <c r="GE62" s="2495"/>
      <c r="GF62" s="2494"/>
      <c r="GG62" s="2494"/>
      <c r="GH62" s="2494"/>
      <c r="GI62" s="2495"/>
      <c r="GJ62" s="2494"/>
      <c r="GK62" s="2495"/>
      <c r="GL62" s="2494"/>
      <c r="GM62" s="2495"/>
      <c r="GN62" s="2494"/>
      <c r="GO62" s="2495"/>
      <c r="GP62" s="2494"/>
      <c r="GQ62" s="2495"/>
      <c r="GR62" s="2494"/>
      <c r="GS62" s="2495"/>
      <c r="GT62" s="2494"/>
      <c r="GU62" s="2495"/>
      <c r="GV62" s="2494"/>
      <c r="GW62" s="2495"/>
      <c r="GX62" s="2494"/>
      <c r="GY62" s="2495"/>
      <c r="GZ62" s="2494"/>
      <c r="HA62" s="2495"/>
      <c r="HB62" s="2494"/>
      <c r="HC62" s="2495"/>
      <c r="HD62" s="2494"/>
      <c r="HE62" s="2495"/>
      <c r="HF62" s="2494"/>
      <c r="HG62" s="2495"/>
      <c r="HH62" s="2494"/>
      <c r="HI62" s="2495"/>
      <c r="HJ62" s="2494"/>
      <c r="HK62" s="2495"/>
      <c r="HL62" s="2494"/>
      <c r="HM62" s="2495"/>
      <c r="HN62" s="2494"/>
      <c r="HO62" s="2495"/>
      <c r="HP62" s="2494"/>
      <c r="HQ62" s="2495"/>
      <c r="HR62" s="2494"/>
      <c r="HS62" s="2495"/>
      <c r="HT62" s="2494"/>
      <c r="HU62" s="2495"/>
      <c r="HV62" s="2495"/>
      <c r="HW62" s="2495"/>
      <c r="HX62" s="2494"/>
      <c r="HY62" s="2495"/>
      <c r="HZ62" s="2494"/>
      <c r="IA62" s="2495"/>
      <c r="IB62" s="2494"/>
      <c r="IC62" s="2495"/>
      <c r="ID62" s="1382"/>
      <c r="IE62" s="2495"/>
      <c r="IF62" s="2494"/>
      <c r="IG62" s="2495"/>
      <c r="IH62" s="2494"/>
      <c r="II62" s="2495"/>
      <c r="IJ62" s="2494"/>
      <c r="IK62" s="2495"/>
      <c r="IL62" s="2494"/>
      <c r="IM62" s="2495"/>
      <c r="IN62" s="2494"/>
      <c r="IO62" s="2495"/>
      <c r="IP62" s="2494"/>
      <c r="IQ62" s="2494"/>
      <c r="IR62" s="2494"/>
      <c r="IS62" s="2494"/>
      <c r="IT62" s="2494"/>
      <c r="IU62" s="2494"/>
      <c r="IV62" s="2494"/>
      <c r="IW62" s="2494"/>
      <c r="IX62" s="2494"/>
      <c r="IY62" s="2494"/>
      <c r="IZ62" s="2494"/>
      <c r="JA62" s="2494"/>
      <c r="JB62" s="2494"/>
      <c r="JC62" s="2494"/>
      <c r="JD62" s="2494"/>
      <c r="JE62" s="2494"/>
      <c r="JF62" s="2494"/>
      <c r="JG62" s="2494"/>
      <c r="JH62" s="2494"/>
      <c r="JI62" s="2494"/>
      <c r="JJ62" s="2494"/>
      <c r="JK62" s="2494"/>
      <c r="JL62" s="2494"/>
      <c r="JM62" s="2494"/>
      <c r="JN62" s="2494"/>
      <c r="JO62" s="2494"/>
      <c r="JP62" s="2494"/>
      <c r="JQ62" s="2488"/>
      <c r="JR62" s="351"/>
      <c r="JS62" s="1365"/>
      <c r="JT62" s="1385"/>
    </row>
    <row r="63" spans="1:280" ht="12.5" x14ac:dyDescent="0.25">
      <c r="A63" s="1367">
        <v>5</v>
      </c>
      <c r="B63" s="1386" t="str">
        <f>IF(SLR_ind&gt;1,IF(HLOOKUP(SLR_ind-1,SLR_RANGE,A63)="","",HLOOKUP(SLR_ind-1,SLR_RANGE,A63)),"")</f>
        <v/>
      </c>
      <c r="C63" s="1359" t="s">
        <v>2341</v>
      </c>
      <c r="D63" s="1360" t="s">
        <v>2342</v>
      </c>
      <c r="E63" s="2497"/>
      <c r="F63" s="2497"/>
      <c r="G63" s="2497"/>
      <c r="H63" s="2497">
        <f>IF('C2'!$B3="",0,MAX(0,('C2'!$B3-SL_limit2)*Sloan_rate))+IF('C2'!$B32="",0,MAX(0,('C2'!$B32-SL_limit2)*Sloan_rate))</f>
        <v>5465.79</v>
      </c>
      <c r="I63" s="2497"/>
      <c r="J63" s="2497"/>
      <c r="K63" s="2497"/>
      <c r="L63" s="2497"/>
      <c r="M63" s="2497"/>
      <c r="N63" s="2497"/>
      <c r="O63" s="2497"/>
      <c r="P63" s="2497"/>
      <c r="Q63" s="2497"/>
      <c r="R63" s="2497">
        <f>IF('C2'!$B3="",0,MAX(0,('C2'!$B3-SL_limit2)*Sloan_rate))+IF('C2'!$B32="",0,MAX(0,('C2'!$B32-SL_limit2)*Sloan_rate))</f>
        <v>5465.79</v>
      </c>
      <c r="S63" s="2497"/>
      <c r="T63" s="2497"/>
      <c r="U63" s="2497"/>
      <c r="V63" s="2497"/>
      <c r="W63" s="2497"/>
      <c r="X63" s="2497"/>
      <c r="Y63" s="2497"/>
      <c r="Z63" s="2497"/>
      <c r="AA63" s="2497"/>
      <c r="AB63" s="2497"/>
      <c r="AC63" s="2497"/>
      <c r="AD63" s="2497"/>
      <c r="AE63" s="2497"/>
      <c r="AF63" s="2497"/>
      <c r="AG63" s="2497">
        <f>IF('C2'!$B3="",0,MAX(0,('C2'!$B3-SL_limit2)*Sloan_rate))+IF('C2'!$B32="",0,MAX(0,('C2'!$B32-SL_limit2)*Sloan_rate))</f>
        <v>5465.79</v>
      </c>
      <c r="AH63" s="2497"/>
      <c r="AI63" s="2497">
        <f>IF('C2'!$B3="",0,MAX(0,('C2'!$B3-SL_limit4)*Sloan_rate))+IF('C2'!$B32="",0,MAX(0,('C2'!$B32-SL_limit4)*Sloan_rate))</f>
        <v>5081.04</v>
      </c>
      <c r="AJ63" s="2497">
        <f>IF('C2'!$B3="",0,MAX(0,('C2'!$B3-SL_limit4)*Sloan_rate))+IF('C2'!$B32="",0,MAX(0,('C2'!$B32-SL_limit4)*Sloan_rate))</f>
        <v>5081.04</v>
      </c>
      <c r="AK63" s="2497">
        <f>IF('C2'!$B3="",0,MAX(0,('C2'!$B3-SL_limit4)*Sloan_rate))+IF('C2'!$B32="",0,MAX(0,('C2'!$B32-SL_limit4)*Sloan_rate))</f>
        <v>5081.04</v>
      </c>
      <c r="AL63" s="2497"/>
      <c r="AM63" s="2497"/>
      <c r="AN63" s="2497"/>
      <c r="AO63" s="2497"/>
      <c r="AP63" s="2497"/>
      <c r="AQ63" s="2497"/>
      <c r="AR63" s="2497"/>
      <c r="AS63" s="2497">
        <f>IF('C2'!$B3="",0,MAX(0,('C2'!$B3-SL_limit1)*Sloan_rate))+IF('C2'!$B32="",0,MAX(0,('C2'!$B32-SL_limit1)*Sloan_rate))</f>
        <v>5682.24</v>
      </c>
      <c r="AT63" s="2497"/>
      <c r="AU63" s="2497"/>
      <c r="AV63" s="2497">
        <f>IF('C2'!$B3="",0,MAX(0,('C2'!$B3-SL_limit1)*Sloan_rate))+IF('C2'!$B32="",0,MAX(0,('C2'!$B32-SL_limit1)*Sloan_rate))</f>
        <v>5682.24</v>
      </c>
      <c r="AW63" s="2497"/>
      <c r="AX63" s="2497"/>
      <c r="AY63" s="2497"/>
      <c r="AZ63" s="2497"/>
      <c r="BA63" s="2497"/>
      <c r="BB63" s="2497"/>
      <c r="BC63" s="2497"/>
      <c r="BD63" s="2497"/>
      <c r="BE63" s="2497">
        <v>0</v>
      </c>
      <c r="BF63" s="2497">
        <f>IF('C2'!$B3="",0,MAX(0,('C2'!$B3-SL_limit1)*Sloan_rate))+IF('C2'!$B32="",0,MAX(0,('C2'!$B32-SL_limit1)*Sloan_rate))</f>
        <v>5682.24</v>
      </c>
      <c r="BG63" s="2497"/>
      <c r="BH63" s="2497"/>
      <c r="BI63" s="2497"/>
      <c r="BJ63" s="2497"/>
      <c r="BK63" s="2497"/>
      <c r="BL63" s="2497"/>
      <c r="BM63" s="2497"/>
      <c r="BN63" s="2497"/>
      <c r="BO63" s="2497"/>
      <c r="BP63" s="2497"/>
      <c r="BQ63" s="2497"/>
      <c r="BR63" s="2497"/>
      <c r="BS63" s="2497"/>
      <c r="BT63" s="2497"/>
      <c r="BU63" s="2497"/>
      <c r="BV63" s="2497"/>
      <c r="BW63" s="2497"/>
      <c r="BX63" s="2497"/>
      <c r="BY63" s="2497"/>
      <c r="BZ63" s="2497"/>
      <c r="CA63" s="2497"/>
      <c r="CB63" s="2497"/>
      <c r="CC63" s="2497"/>
      <c r="CD63" s="2497"/>
      <c r="CE63" s="2497"/>
      <c r="CF63" s="2497"/>
      <c r="CG63" s="2497"/>
      <c r="CH63" s="2497"/>
      <c r="CI63" s="2497"/>
      <c r="CJ63" s="2497"/>
      <c r="CK63" s="2497"/>
      <c r="CL63" s="2497"/>
      <c r="CM63" s="2497"/>
      <c r="CN63" s="2497"/>
      <c r="CO63" s="2497"/>
      <c r="CP63" s="2497"/>
      <c r="CQ63" s="2497"/>
      <c r="CR63" s="2497"/>
      <c r="CS63" s="2497"/>
      <c r="CT63" s="2497"/>
      <c r="CU63" s="2497"/>
      <c r="CV63" s="2497"/>
      <c r="CW63" s="2497"/>
      <c r="CX63" s="2497"/>
      <c r="CY63" s="2497"/>
      <c r="CZ63" s="2497"/>
      <c r="DA63" s="2497"/>
      <c r="DB63" s="2497"/>
      <c r="DC63" s="2497"/>
      <c r="DD63" s="2497"/>
      <c r="DE63" s="2497"/>
      <c r="DF63" s="2497"/>
      <c r="DG63" s="2497"/>
      <c r="DH63" s="2497"/>
      <c r="DI63" s="2497"/>
      <c r="DJ63" s="2497">
        <f>IF('C2'!$B3="",0,MAX(0,('C2'!$B3-SL_limit2)*Sloan_rate))+IF('C2'!$B32="",0,MAX(0,('C2'!$B32-SL_limit2)*Sloan_rate))</f>
        <v>5465.79</v>
      </c>
      <c r="DK63" s="2497"/>
      <c r="DL63" s="2497"/>
      <c r="DM63" s="2497"/>
      <c r="DN63" s="2497"/>
      <c r="DO63" s="2497"/>
      <c r="DP63" s="2497"/>
      <c r="DQ63" s="2497"/>
      <c r="DR63" s="2497"/>
      <c r="DS63" s="2497"/>
      <c r="DT63" s="2497"/>
      <c r="DU63" s="2497">
        <f>IF('C2'!$B3="",0,MAX(0,('C2'!$B3-SL_limit1)*Sloan_rate))+IF('C2'!$B32="",0,MAX(0,('C2'!$B32-SL_limit1)*Sloan_rate))</f>
        <v>5682.24</v>
      </c>
      <c r="DV63" s="1541"/>
      <c r="DW63" s="2497"/>
      <c r="DX63" s="2497"/>
      <c r="DY63" s="2497"/>
      <c r="DZ63" s="2497"/>
      <c r="EA63" s="2497"/>
      <c r="EB63" s="2497"/>
      <c r="EC63" s="2497"/>
      <c r="ED63" s="2497"/>
      <c r="EE63" s="2497"/>
      <c r="EF63" s="2497"/>
      <c r="EG63" s="2497"/>
      <c r="EH63" s="2497"/>
      <c r="EI63" s="2497"/>
      <c r="EJ63" s="2497"/>
      <c r="EK63" s="2497">
        <f>IF('C2'!$B3="",0,MAX(0,('C2'!$B3-SL_limit1)*Sloan_rate))+IF('C2'!$B32="",0,MAX(0,('C2'!$B32-SL_limit1)*Sloan_rate))</f>
        <v>5682.24</v>
      </c>
      <c r="EL63" s="2497">
        <f>IF('C2'!$B3="",0,MAX(0,('C2'!$B3-SL_limit1)*Sloan_rate))+IF('C2'!$B32="",0,MAX(0,('C2'!$B32-SL_limit1)*Sloan_rate))</f>
        <v>5682.24</v>
      </c>
      <c r="EM63" s="2497"/>
      <c r="EN63" s="2497"/>
      <c r="EO63" s="2497"/>
      <c r="EP63" s="2497"/>
      <c r="EQ63" s="2497"/>
      <c r="ER63" s="2497"/>
      <c r="ES63" s="2497"/>
      <c r="ET63" s="2497"/>
      <c r="EU63" s="2497"/>
      <c r="EV63" s="2497"/>
      <c r="EW63" s="2497">
        <f>IF('C2'!$B3="",0,MAX(0,('C2'!$B3-SL_limit1)*Sloan_rate))+IF('C2'!$B32="",0,MAX(0,('C2'!$B32-SL_limit1)*Sloan_rate))</f>
        <v>5682.24</v>
      </c>
      <c r="EX63" s="2497"/>
      <c r="EY63" s="2497"/>
      <c r="EZ63" s="2497"/>
      <c r="FA63" s="2497"/>
      <c r="FB63" s="2497"/>
      <c r="FC63" s="2497"/>
      <c r="FD63" s="2497"/>
      <c r="FE63" s="2497"/>
      <c r="FF63" s="2497"/>
      <c r="FG63" s="2497"/>
      <c r="FH63" s="2497"/>
      <c r="FI63" s="2497"/>
      <c r="FJ63" s="2497"/>
      <c r="FK63" s="2497"/>
      <c r="FL63" s="2497"/>
      <c r="FM63" s="2497"/>
      <c r="FN63" s="2497"/>
      <c r="FO63" s="2497"/>
      <c r="FP63" s="2497"/>
      <c r="FQ63" s="2497"/>
      <c r="FR63" s="2497"/>
      <c r="FS63" s="2497"/>
      <c r="FT63" s="2497"/>
      <c r="FU63" s="2497"/>
      <c r="FV63" s="2497"/>
      <c r="FW63" s="2497"/>
      <c r="FX63" s="2497"/>
      <c r="FY63" s="2497"/>
      <c r="FZ63" s="2497"/>
      <c r="GA63" s="2497"/>
      <c r="GB63" s="2497"/>
      <c r="GC63" s="2497">
        <v>3279</v>
      </c>
      <c r="GD63" s="2497"/>
      <c r="GE63" s="2497"/>
      <c r="GF63" s="2497"/>
      <c r="GG63" s="2497">
        <f>IF('C2'!$B3="",0,MAX(0,('C2'!$B3-SL_limit4)*Sloan_rate))+IF('C2'!$B32="",0,MAX(0,('C2'!$B32-SL_limit4)*Sloan_rate))</f>
        <v>5081.04</v>
      </c>
      <c r="GH63" s="2497"/>
      <c r="GI63" s="2497"/>
      <c r="GJ63" s="2497"/>
      <c r="GK63" s="2497"/>
      <c r="GL63" s="2497"/>
      <c r="GM63" s="2497"/>
      <c r="GN63" s="2497"/>
      <c r="GO63" s="2497"/>
      <c r="GP63" s="2497"/>
      <c r="GQ63" s="2497"/>
      <c r="GR63" s="2497"/>
      <c r="GS63" s="2497"/>
      <c r="GT63" s="2497"/>
      <c r="GU63" s="2497"/>
      <c r="GV63" s="2497"/>
      <c r="GW63" s="2497"/>
      <c r="GX63" s="2497"/>
      <c r="GY63" s="2497"/>
      <c r="GZ63" s="2497"/>
      <c r="HA63" s="2497"/>
      <c r="HB63" s="2497"/>
      <c r="HC63" s="2497"/>
      <c r="HD63" s="2497"/>
      <c r="HE63" s="2497"/>
      <c r="HF63" s="2497"/>
      <c r="HG63" s="2497"/>
      <c r="HH63" s="2497"/>
      <c r="HI63" s="2497"/>
      <c r="HJ63" s="2497"/>
      <c r="HK63" s="2497"/>
      <c r="HL63" s="2497"/>
      <c r="HM63" s="2497"/>
      <c r="HN63" s="2497"/>
      <c r="HO63" s="2497"/>
      <c r="HP63" s="2497"/>
      <c r="HQ63" s="2497"/>
      <c r="HR63" s="2497"/>
      <c r="HS63" s="2497"/>
      <c r="HT63" s="2497"/>
      <c r="HU63" s="2497"/>
      <c r="HV63" s="2497"/>
      <c r="HW63" s="2497"/>
      <c r="HX63" s="2497"/>
      <c r="HY63" s="2497"/>
      <c r="HZ63" s="2497"/>
      <c r="IA63" s="2497"/>
      <c r="IB63" s="2497"/>
      <c r="IC63" s="2497"/>
      <c r="ID63" s="1541"/>
      <c r="IE63" s="2497"/>
      <c r="IF63" s="2497"/>
      <c r="IG63" s="2497"/>
      <c r="IH63" s="2497"/>
      <c r="II63" s="2497"/>
      <c r="IJ63" s="2497"/>
      <c r="IK63" s="2497"/>
      <c r="IL63" s="2497"/>
      <c r="IM63" s="2497"/>
      <c r="IN63" s="2497"/>
      <c r="IO63" s="2497"/>
      <c r="IP63" s="2497"/>
      <c r="IQ63" s="2497"/>
      <c r="IR63" s="2497"/>
      <c r="IS63" s="2497"/>
      <c r="IT63" s="2497"/>
      <c r="IU63" s="2497"/>
      <c r="IV63" s="2497"/>
      <c r="IW63" s="2497"/>
      <c r="IX63" s="2497"/>
      <c r="IY63" s="2497"/>
      <c r="IZ63" s="2497"/>
      <c r="JA63" s="2497"/>
      <c r="JB63" s="2497"/>
      <c r="JC63" s="2497"/>
      <c r="JD63" s="2497"/>
      <c r="JE63" s="2497">
        <f>IF('C2'!$B3="",0,MAX(0,('C2'!$B3-SL_limit1)*Sloan_rate))+IF('C2'!$B32="",0,MAX(0,('C2'!$B32-SL_limit1)*Sloan_rate))</f>
        <v>5682.24</v>
      </c>
      <c r="JF63" s="2497"/>
      <c r="JG63" s="2497"/>
      <c r="JH63" s="2497"/>
      <c r="JI63" s="2497"/>
      <c r="JJ63" s="2497"/>
      <c r="JK63" s="2497"/>
      <c r="JL63" s="2497"/>
      <c r="JM63" s="2497"/>
      <c r="JN63" s="2497"/>
      <c r="JO63" s="2497"/>
      <c r="JP63" s="2497"/>
      <c r="JQ63" s="2497"/>
      <c r="JR63" s="351"/>
      <c r="JS63" s="1365"/>
      <c r="JT63" s="1385" t="s">
        <v>2224</v>
      </c>
    </row>
    <row r="64" spans="1:280" ht="13" thickBot="1" x14ac:dyDescent="0.3">
      <c r="A64" s="1367">
        <v>6</v>
      </c>
      <c r="B64" s="1386" t="str">
        <f>IF(SLR_ind&gt;1,IF(HLOOKUP(SLR_ind-1,SLR_RANGE,A64)="","",HLOOKUP(SLR_ind-1,SLR_RANGE,A64)),"")</f>
        <v/>
      </c>
      <c r="C64" s="705" t="s">
        <v>2343</v>
      </c>
      <c r="D64" s="1360" t="s">
        <v>2344</v>
      </c>
      <c r="E64" s="714"/>
      <c r="F64" s="714"/>
      <c r="G64" s="714"/>
      <c r="H64" s="2497">
        <f>IF('C2'!$B3="",0,MAX(0,('C2'!$B3-PGL_limit)*PGL_rate))+IF('C2'!$B32="",0,MAX(0,('C2'!$B32-PGL_limit)*PGL_rate))</f>
        <v>4092.06</v>
      </c>
      <c r="I64" s="714"/>
      <c r="J64" s="714"/>
      <c r="K64" s="714"/>
      <c r="L64" s="714"/>
      <c r="M64" s="714">
        <v>0</v>
      </c>
      <c r="N64" s="714"/>
      <c r="O64" s="714"/>
      <c r="P64" s="714"/>
      <c r="Q64" s="714"/>
      <c r="R64" s="715"/>
      <c r="S64" s="715"/>
      <c r="T64" s="715"/>
      <c r="U64" s="715">
        <f>IF('C2'!$U3="",0,MAX(0,('C2'!$U3-PGL_limit)*PGL_rate))+IF('C2'!$U32="",0,MAX(0,('C2'!$U32-PGL_limit)*PGL_rate))</f>
        <v>4590.24</v>
      </c>
      <c r="V64" s="715"/>
      <c r="W64" s="715"/>
      <c r="X64" s="715"/>
      <c r="Y64" s="715"/>
      <c r="Z64" s="715"/>
      <c r="AA64" s="715"/>
      <c r="AB64" s="715"/>
      <c r="AC64" s="715"/>
      <c r="AD64" s="715"/>
      <c r="AE64" s="715"/>
      <c r="AF64" s="715"/>
      <c r="AG64" s="715">
        <v>7726.62</v>
      </c>
      <c r="AH64" s="715"/>
      <c r="AI64" s="715"/>
      <c r="AJ64" s="715"/>
      <c r="AK64" s="715">
        <f>IF('C2'!$B3="",0,MAX(0,('C2'!$B3-PGL_limit)*PGL_rate))+IF('C2'!$B32="",0,MAX(0,('C2'!$B32-PGL_limit)*PGL_rate))</f>
        <v>4092.06</v>
      </c>
      <c r="AL64" s="715"/>
      <c r="AM64" s="715"/>
      <c r="AN64" s="715"/>
      <c r="AO64" s="715"/>
      <c r="AP64" s="715"/>
      <c r="AQ64" s="715"/>
      <c r="AR64" s="715"/>
      <c r="AS64" s="714"/>
      <c r="AT64" s="714"/>
      <c r="AU64" s="714"/>
      <c r="AV64" s="715"/>
      <c r="AW64" s="714"/>
      <c r="AX64" s="712"/>
      <c r="AY64" s="715"/>
      <c r="AZ64" s="715"/>
      <c r="BA64" s="715"/>
      <c r="BB64" s="715"/>
      <c r="BC64" s="715"/>
      <c r="BD64" s="715"/>
      <c r="BE64" s="712">
        <v>0</v>
      </c>
      <c r="BF64" s="712">
        <v>270</v>
      </c>
      <c r="BG64" s="712"/>
      <c r="BH64" s="712"/>
      <c r="BI64" s="712"/>
      <c r="BJ64" s="715"/>
      <c r="BK64" s="712"/>
      <c r="BL64" s="715"/>
      <c r="BM64" s="715"/>
      <c r="BN64" s="715"/>
      <c r="BO64" s="715"/>
      <c r="BP64" s="715"/>
      <c r="BQ64" s="715"/>
      <c r="BR64" s="715"/>
      <c r="BS64" s="715"/>
      <c r="BT64" s="715"/>
      <c r="BU64" s="715"/>
      <c r="BV64" s="715"/>
      <c r="BW64" s="715"/>
      <c r="BX64" s="715"/>
      <c r="BY64" s="715"/>
      <c r="BZ64" s="715"/>
      <c r="CA64" s="716"/>
      <c r="CB64" s="716"/>
      <c r="CC64" s="716"/>
      <c r="CD64" s="715"/>
      <c r="CE64" s="716"/>
      <c r="CF64" s="715"/>
      <c r="CG64" s="716"/>
      <c r="CH64" s="715"/>
      <c r="CI64" s="716"/>
      <c r="CJ64" s="715"/>
      <c r="CK64" s="716"/>
      <c r="CL64" s="715"/>
      <c r="CM64" s="716"/>
      <c r="CN64" s="715"/>
      <c r="CO64" s="716"/>
      <c r="CP64" s="715"/>
      <c r="CQ64" s="716"/>
      <c r="CR64" s="715"/>
      <c r="CS64" s="716"/>
      <c r="CT64" s="715"/>
      <c r="CU64" s="716"/>
      <c r="CV64" s="715"/>
      <c r="CW64" s="716"/>
      <c r="CX64" s="715"/>
      <c r="CY64" s="716"/>
      <c r="CZ64" s="715"/>
      <c r="DA64" s="716"/>
      <c r="DB64" s="716">
        <v>0</v>
      </c>
      <c r="DC64" s="716"/>
      <c r="DD64" s="715"/>
      <c r="DE64" s="716"/>
      <c r="DF64" s="715"/>
      <c r="DG64" s="716"/>
      <c r="DH64" s="715"/>
      <c r="DI64" s="716"/>
      <c r="DJ64" s="715"/>
      <c r="DK64" s="716"/>
      <c r="DL64" s="715"/>
      <c r="DM64" s="716"/>
      <c r="DN64" s="715"/>
      <c r="DO64" s="716"/>
      <c r="DP64" s="715"/>
      <c r="DQ64" s="716"/>
      <c r="DR64" s="715"/>
      <c r="DS64" s="716"/>
      <c r="DT64" s="715"/>
      <c r="DU64" s="714"/>
      <c r="DV64" s="714"/>
      <c r="DW64" s="716"/>
      <c r="DX64" s="715"/>
      <c r="DY64" s="716"/>
      <c r="DZ64" s="715"/>
      <c r="EA64" s="715"/>
      <c r="EB64" s="715"/>
      <c r="EC64" s="716"/>
      <c r="ED64" s="715"/>
      <c r="EE64" s="716"/>
      <c r="EF64" s="715"/>
      <c r="EG64" s="716"/>
      <c r="EH64" s="715"/>
      <c r="EI64" s="716"/>
      <c r="EJ64" s="715"/>
      <c r="EK64" s="716"/>
      <c r="EL64" s="716"/>
      <c r="EM64" s="716"/>
      <c r="EN64" s="715"/>
      <c r="EO64" s="716"/>
      <c r="EP64" s="715"/>
      <c r="EQ64" s="716"/>
      <c r="ER64" s="715"/>
      <c r="ES64" s="716"/>
      <c r="ET64" s="715"/>
      <c r="EU64" s="716"/>
      <c r="EV64" s="715"/>
      <c r="EW64" s="715"/>
      <c r="EX64" s="715"/>
      <c r="EY64" s="716"/>
      <c r="EZ64" s="715"/>
      <c r="FA64" s="716"/>
      <c r="FB64" s="715"/>
      <c r="FC64" s="716"/>
      <c r="FD64" s="715"/>
      <c r="FE64" s="716"/>
      <c r="FF64" s="715"/>
      <c r="FG64" s="716"/>
      <c r="FH64" s="715"/>
      <c r="FI64" s="716"/>
      <c r="FJ64" s="716"/>
      <c r="FK64" s="716"/>
      <c r="FL64" s="715"/>
      <c r="FM64" s="716"/>
      <c r="FN64" s="715"/>
      <c r="FO64" s="716"/>
      <c r="FP64" s="716"/>
      <c r="FQ64" s="716"/>
      <c r="FR64" s="715"/>
      <c r="FS64" s="716"/>
      <c r="FT64" s="715"/>
      <c r="FU64" s="716"/>
      <c r="FV64" s="715"/>
      <c r="FW64" s="716"/>
      <c r="FX64" s="715"/>
      <c r="FY64" s="716"/>
      <c r="FZ64" s="715"/>
      <c r="GA64" s="716"/>
      <c r="GB64" s="715"/>
      <c r="GC64" s="714"/>
      <c r="GD64" s="714"/>
      <c r="GE64" s="716"/>
      <c r="GF64" s="715"/>
      <c r="GG64" s="715"/>
      <c r="GH64" s="715"/>
      <c r="GI64" s="716"/>
      <c r="GJ64" s="715"/>
      <c r="GK64" s="716"/>
      <c r="GL64" s="715"/>
      <c r="GM64" s="716"/>
      <c r="GN64" s="715"/>
      <c r="GO64" s="716"/>
      <c r="GP64" s="715"/>
      <c r="GQ64" s="716"/>
      <c r="GR64" s="715"/>
      <c r="GS64" s="716"/>
      <c r="GT64" s="715"/>
      <c r="GU64" s="716"/>
      <c r="GV64" s="715"/>
      <c r="GW64" s="716"/>
      <c r="GX64" s="715"/>
      <c r="GY64" s="716"/>
      <c r="GZ64" s="715"/>
      <c r="HA64" s="716"/>
      <c r="HB64" s="715"/>
      <c r="HC64" s="716"/>
      <c r="HD64" s="715"/>
      <c r="HE64" s="716"/>
      <c r="HF64" s="715"/>
      <c r="HG64" s="716"/>
      <c r="HH64" s="715"/>
      <c r="HI64" s="716"/>
      <c r="HJ64" s="715"/>
      <c r="HK64" s="716"/>
      <c r="HL64" s="715"/>
      <c r="HM64" s="716"/>
      <c r="HN64" s="715"/>
      <c r="HO64" s="716"/>
      <c r="HP64" s="715"/>
      <c r="HQ64" s="716"/>
      <c r="HR64" s="715"/>
      <c r="HS64" s="716"/>
      <c r="HT64" s="715"/>
      <c r="HU64" s="716"/>
      <c r="HV64" s="716"/>
      <c r="HW64" s="716"/>
      <c r="HX64" s="715"/>
      <c r="HY64" s="716"/>
      <c r="HZ64" s="715"/>
      <c r="IA64" s="716"/>
      <c r="IB64" s="715"/>
      <c r="IC64" s="716"/>
      <c r="ID64" s="715"/>
      <c r="IE64" s="716"/>
      <c r="IF64" s="715"/>
      <c r="IG64" s="716"/>
      <c r="IH64" s="715"/>
      <c r="II64" s="716"/>
      <c r="IJ64" s="715"/>
      <c r="IK64" s="716"/>
      <c r="IL64" s="715"/>
      <c r="IM64" s="716"/>
      <c r="IN64" s="715"/>
      <c r="IO64" s="716"/>
      <c r="IP64" s="715"/>
      <c r="IQ64" s="715"/>
      <c r="IR64" s="715"/>
      <c r="IS64" s="715"/>
      <c r="IT64" s="715"/>
      <c r="IU64" s="715"/>
      <c r="IV64" s="715"/>
      <c r="IW64" s="715"/>
      <c r="IX64" s="715"/>
      <c r="IY64" s="715"/>
      <c r="IZ64" s="715"/>
      <c r="JA64" s="715"/>
      <c r="JB64" s="715"/>
      <c r="JC64" s="715"/>
      <c r="JD64" s="715"/>
      <c r="JE64" s="715"/>
      <c r="JF64" s="715"/>
      <c r="JG64" s="715"/>
      <c r="JH64" s="715"/>
      <c r="JI64" s="715"/>
      <c r="JJ64" s="715"/>
      <c r="JK64" s="715"/>
      <c r="JL64" s="715"/>
      <c r="JM64" s="715"/>
      <c r="JN64" s="715"/>
      <c r="JO64" s="715"/>
      <c r="JP64" s="715"/>
      <c r="JQ64" s="711"/>
      <c r="JR64" s="351"/>
      <c r="JS64" s="1365"/>
      <c r="JT64" s="1385" t="s">
        <v>2319</v>
      </c>
    </row>
    <row r="65" spans="1:280" ht="12" thickBot="1" x14ac:dyDescent="0.3">
      <c r="C65" s="261" t="s">
        <v>1479</v>
      </c>
      <c r="D65" s="137"/>
      <c r="G65" s="35"/>
      <c r="AU65" s="35"/>
    </row>
    <row r="66" spans="1:280" ht="12.5" x14ac:dyDescent="0.25">
      <c r="A66" s="1367" t="s">
        <v>2201</v>
      </c>
      <c r="B66" s="406" t="str">
        <f>"selected "&amp;CBC_Ind-1</f>
        <v>selected 0</v>
      </c>
      <c r="C66" s="287" t="s">
        <v>8</v>
      </c>
      <c r="D66" s="262"/>
      <c r="E66" s="418">
        <v>1</v>
      </c>
      <c r="F66" s="418">
        <v>2</v>
      </c>
      <c r="G66" s="418">
        <v>3</v>
      </c>
      <c r="H66" s="418">
        <v>4</v>
      </c>
      <c r="I66" s="418">
        <v>5</v>
      </c>
      <c r="J66" s="418">
        <v>6</v>
      </c>
      <c r="K66" s="418">
        <v>7</v>
      </c>
      <c r="L66" s="418">
        <v>8</v>
      </c>
      <c r="M66" s="418">
        <v>9</v>
      </c>
      <c r="N66" s="418">
        <v>10</v>
      </c>
      <c r="O66" s="418">
        <v>11</v>
      </c>
      <c r="P66" s="418">
        <v>12</v>
      </c>
      <c r="Q66" s="418">
        <v>13</v>
      </c>
      <c r="R66" s="418">
        <v>14</v>
      </c>
      <c r="S66" s="418">
        <v>15</v>
      </c>
      <c r="T66" s="418">
        <v>16</v>
      </c>
      <c r="U66" s="418">
        <v>17</v>
      </c>
      <c r="V66" s="418">
        <v>18</v>
      </c>
      <c r="W66" s="418">
        <v>19</v>
      </c>
      <c r="X66" s="418">
        <v>20</v>
      </c>
      <c r="Y66" s="418">
        <v>21</v>
      </c>
      <c r="Z66" s="418">
        <v>22</v>
      </c>
      <c r="AA66" s="418">
        <v>23</v>
      </c>
      <c r="AB66" s="418">
        <v>24</v>
      </c>
      <c r="AC66" s="418">
        <v>25</v>
      </c>
      <c r="AD66" s="418">
        <v>26</v>
      </c>
      <c r="AE66" s="418">
        <v>27</v>
      </c>
      <c r="AF66" s="418">
        <v>28</v>
      </c>
      <c r="AG66" s="418">
        <v>29</v>
      </c>
      <c r="AH66" s="418">
        <v>30</v>
      </c>
      <c r="AI66" s="418">
        <v>31</v>
      </c>
      <c r="AJ66" s="418">
        <v>32</v>
      </c>
      <c r="AK66" s="418">
        <v>33</v>
      </c>
      <c r="AL66" s="418">
        <v>34</v>
      </c>
      <c r="AM66" s="418">
        <v>35</v>
      </c>
      <c r="AN66" s="418">
        <v>36</v>
      </c>
      <c r="AO66" s="418">
        <v>37</v>
      </c>
      <c r="AP66" s="418">
        <v>38</v>
      </c>
      <c r="AQ66" s="418">
        <v>39</v>
      </c>
      <c r="AR66" s="418">
        <v>40</v>
      </c>
      <c r="AS66" s="418">
        <v>41</v>
      </c>
      <c r="AT66" s="418">
        <v>42</v>
      </c>
      <c r="AU66" s="418">
        <v>43</v>
      </c>
      <c r="AV66" s="418">
        <v>44</v>
      </c>
      <c r="AW66" s="418">
        <v>45</v>
      </c>
      <c r="AX66" s="418">
        <v>46</v>
      </c>
      <c r="AY66" s="418">
        <v>47</v>
      </c>
      <c r="AZ66" s="418">
        <v>48</v>
      </c>
      <c r="BA66" s="418">
        <v>49</v>
      </c>
      <c r="BB66" s="418">
        <v>50</v>
      </c>
      <c r="BC66" s="418">
        <v>51</v>
      </c>
      <c r="BD66" s="418">
        <v>52</v>
      </c>
      <c r="BE66" s="418">
        <v>53</v>
      </c>
      <c r="BF66" s="418">
        <v>54</v>
      </c>
      <c r="BG66" s="418">
        <v>55</v>
      </c>
      <c r="BH66" s="418">
        <v>56</v>
      </c>
      <c r="BI66" s="418">
        <v>57</v>
      </c>
      <c r="BJ66" s="418">
        <v>58</v>
      </c>
      <c r="BK66" s="418">
        <v>59</v>
      </c>
      <c r="BL66" s="418">
        <v>60</v>
      </c>
      <c r="BM66" s="418">
        <v>61</v>
      </c>
      <c r="BN66" s="418">
        <v>62</v>
      </c>
      <c r="BO66" s="418">
        <v>63</v>
      </c>
      <c r="BP66" s="418">
        <v>64</v>
      </c>
      <c r="BQ66" s="418">
        <v>65</v>
      </c>
      <c r="BR66" s="418">
        <v>66</v>
      </c>
      <c r="BS66" s="418">
        <v>67</v>
      </c>
      <c r="BT66" s="418">
        <v>68</v>
      </c>
      <c r="BU66" s="418">
        <v>69</v>
      </c>
      <c r="BV66" s="418">
        <v>70</v>
      </c>
      <c r="BW66" s="418">
        <v>71</v>
      </c>
      <c r="BX66" s="418">
        <v>72</v>
      </c>
      <c r="BY66" s="418">
        <v>73</v>
      </c>
      <c r="BZ66" s="418">
        <v>74</v>
      </c>
      <c r="CA66" s="418">
        <v>75</v>
      </c>
      <c r="CB66" s="418">
        <v>76</v>
      </c>
      <c r="CC66" s="418">
        <v>77</v>
      </c>
      <c r="CD66" s="418">
        <v>78</v>
      </c>
      <c r="CE66" s="418">
        <v>79</v>
      </c>
      <c r="CF66" s="418">
        <v>80</v>
      </c>
      <c r="CG66" s="418">
        <v>81</v>
      </c>
      <c r="CH66" s="418">
        <v>82</v>
      </c>
      <c r="CI66" s="418">
        <v>83</v>
      </c>
      <c r="CJ66" s="418">
        <v>84</v>
      </c>
      <c r="CK66" s="418">
        <v>85</v>
      </c>
      <c r="CL66" s="418">
        <v>86</v>
      </c>
      <c r="CM66" s="418">
        <v>87</v>
      </c>
      <c r="CN66" s="418">
        <v>88</v>
      </c>
      <c r="CO66" s="418">
        <v>89</v>
      </c>
      <c r="CP66" s="418">
        <v>90</v>
      </c>
      <c r="CQ66" s="418">
        <v>91</v>
      </c>
      <c r="CR66" s="418">
        <v>92</v>
      </c>
      <c r="CS66" s="418">
        <v>93</v>
      </c>
      <c r="CT66" s="418">
        <v>94</v>
      </c>
      <c r="CU66" s="418">
        <v>95</v>
      </c>
      <c r="CV66" s="418">
        <v>96</v>
      </c>
      <c r="CW66" s="418">
        <v>97</v>
      </c>
      <c r="CX66" s="418">
        <v>98</v>
      </c>
      <c r="CY66" s="418">
        <v>99</v>
      </c>
      <c r="CZ66" s="418">
        <v>100</v>
      </c>
      <c r="DA66" s="418">
        <v>101</v>
      </c>
      <c r="DB66" s="418">
        <v>102</v>
      </c>
      <c r="DC66" s="418">
        <v>103</v>
      </c>
      <c r="DD66" s="418">
        <v>104</v>
      </c>
      <c r="DE66" s="418">
        <v>105</v>
      </c>
      <c r="DF66" s="418">
        <v>106</v>
      </c>
      <c r="DG66" s="418">
        <v>107</v>
      </c>
      <c r="DH66" s="418">
        <v>108</v>
      </c>
      <c r="DI66" s="418">
        <v>109</v>
      </c>
      <c r="DJ66" s="418">
        <v>110</v>
      </c>
      <c r="DK66" s="418">
        <v>111</v>
      </c>
      <c r="DL66" s="418">
        <v>112</v>
      </c>
      <c r="DM66" s="418">
        <v>113</v>
      </c>
      <c r="DN66" s="418">
        <v>114</v>
      </c>
      <c r="DO66" s="418">
        <v>115</v>
      </c>
      <c r="DP66" s="418">
        <v>116</v>
      </c>
      <c r="DQ66" s="418">
        <v>117</v>
      </c>
      <c r="DR66" s="418">
        <v>118</v>
      </c>
      <c r="DS66" s="418">
        <v>119</v>
      </c>
      <c r="DT66" s="418">
        <v>120</v>
      </c>
      <c r="DU66" s="418">
        <v>121</v>
      </c>
      <c r="DV66" s="418">
        <v>122</v>
      </c>
      <c r="DW66" s="418">
        <v>123</v>
      </c>
      <c r="DX66" s="418">
        <v>124</v>
      </c>
      <c r="DY66" s="418">
        <v>125</v>
      </c>
      <c r="DZ66" s="418">
        <v>126</v>
      </c>
      <c r="EA66" s="418">
        <v>127</v>
      </c>
      <c r="EB66" s="418">
        <v>128</v>
      </c>
      <c r="EC66" s="418">
        <v>129</v>
      </c>
      <c r="ED66" s="418">
        <v>130</v>
      </c>
      <c r="EE66" s="418">
        <v>131</v>
      </c>
      <c r="EF66" s="418">
        <v>132</v>
      </c>
      <c r="EG66" s="418">
        <v>133</v>
      </c>
      <c r="EH66" s="418">
        <v>134</v>
      </c>
      <c r="EI66" s="418">
        <v>135</v>
      </c>
      <c r="EJ66" s="418">
        <v>136</v>
      </c>
      <c r="EK66" s="418">
        <v>137</v>
      </c>
      <c r="EL66" s="418">
        <v>138</v>
      </c>
      <c r="EM66" s="418">
        <v>139</v>
      </c>
      <c r="EN66" s="418">
        <v>140</v>
      </c>
      <c r="EO66" s="418">
        <v>141</v>
      </c>
      <c r="EP66" s="418">
        <v>142</v>
      </c>
      <c r="EQ66" s="418">
        <v>143</v>
      </c>
      <c r="ER66" s="418">
        <v>144</v>
      </c>
      <c r="ES66" s="418">
        <v>145</v>
      </c>
      <c r="ET66" s="418">
        <v>146</v>
      </c>
      <c r="EU66" s="418">
        <v>147</v>
      </c>
      <c r="EV66" s="418">
        <v>148</v>
      </c>
      <c r="EW66" s="418">
        <v>149</v>
      </c>
      <c r="EX66" s="418">
        <v>150</v>
      </c>
      <c r="EY66" s="418">
        <v>151</v>
      </c>
      <c r="EZ66" s="418">
        <v>152</v>
      </c>
      <c r="FA66" s="418">
        <v>153</v>
      </c>
      <c r="FB66" s="418">
        <v>154</v>
      </c>
      <c r="FC66" s="418">
        <v>155</v>
      </c>
      <c r="FD66" s="418">
        <v>156</v>
      </c>
      <c r="FE66" s="418">
        <v>157</v>
      </c>
      <c r="FF66" s="418">
        <v>158</v>
      </c>
      <c r="FG66" s="418">
        <v>159</v>
      </c>
      <c r="FH66" s="418">
        <v>160</v>
      </c>
      <c r="FI66" s="418">
        <v>161</v>
      </c>
      <c r="FJ66" s="418">
        <v>162</v>
      </c>
      <c r="FK66" s="418">
        <v>163</v>
      </c>
      <c r="FL66" s="418">
        <v>164</v>
      </c>
      <c r="FM66" s="418">
        <v>165</v>
      </c>
      <c r="FN66" s="418">
        <v>166</v>
      </c>
      <c r="FO66" s="418">
        <v>167</v>
      </c>
      <c r="FP66" s="418">
        <v>168</v>
      </c>
      <c r="FQ66" s="418">
        <v>169</v>
      </c>
      <c r="FR66" s="418">
        <v>170</v>
      </c>
      <c r="FS66" s="418">
        <v>171</v>
      </c>
      <c r="FT66" s="418">
        <v>172</v>
      </c>
      <c r="FU66" s="418">
        <v>173</v>
      </c>
      <c r="FV66" s="418">
        <v>174</v>
      </c>
      <c r="FW66" s="418">
        <v>175</v>
      </c>
      <c r="FX66" s="418">
        <v>176</v>
      </c>
      <c r="FY66" s="418">
        <v>177</v>
      </c>
      <c r="FZ66" s="418">
        <v>178</v>
      </c>
      <c r="GA66" s="418">
        <v>179</v>
      </c>
      <c r="GB66" s="418">
        <v>180</v>
      </c>
      <c r="GC66" s="418">
        <v>181</v>
      </c>
      <c r="GD66" s="418">
        <v>182</v>
      </c>
      <c r="GE66" s="418">
        <v>183</v>
      </c>
      <c r="GF66" s="418">
        <v>184</v>
      </c>
      <c r="GG66" s="418">
        <v>185</v>
      </c>
      <c r="GH66" s="418">
        <v>186</v>
      </c>
      <c r="GI66" s="418">
        <v>187</v>
      </c>
      <c r="GJ66" s="418">
        <v>188</v>
      </c>
      <c r="GK66" s="418">
        <v>189</v>
      </c>
      <c r="GL66" s="418">
        <v>190</v>
      </c>
      <c r="GM66" s="418">
        <v>191</v>
      </c>
      <c r="GN66" s="418">
        <v>192</v>
      </c>
      <c r="GO66" s="418">
        <v>193</v>
      </c>
      <c r="GP66" s="418">
        <v>194</v>
      </c>
      <c r="GQ66" s="418">
        <v>195</v>
      </c>
      <c r="GR66" s="418">
        <v>196</v>
      </c>
      <c r="GS66" s="418">
        <v>197</v>
      </c>
      <c r="GT66" s="418">
        <v>198</v>
      </c>
      <c r="GU66" s="418">
        <v>199</v>
      </c>
      <c r="GV66" s="418">
        <v>200</v>
      </c>
      <c r="GW66" s="418">
        <v>201</v>
      </c>
      <c r="GX66" s="418">
        <v>202</v>
      </c>
      <c r="GY66" s="418">
        <v>203</v>
      </c>
      <c r="GZ66" s="418">
        <v>204</v>
      </c>
      <c r="HA66" s="418">
        <v>205</v>
      </c>
      <c r="HB66" s="418">
        <v>206</v>
      </c>
      <c r="HC66" s="418">
        <v>207</v>
      </c>
      <c r="HD66" s="418">
        <v>208</v>
      </c>
      <c r="HE66" s="418">
        <v>209</v>
      </c>
      <c r="HF66" s="418">
        <v>210</v>
      </c>
      <c r="HG66" s="418">
        <v>211</v>
      </c>
      <c r="HH66" s="418">
        <v>212</v>
      </c>
      <c r="HI66" s="418">
        <v>213</v>
      </c>
      <c r="HJ66" s="418">
        <v>214</v>
      </c>
      <c r="HK66" s="418">
        <v>215</v>
      </c>
      <c r="HL66" s="418">
        <v>216</v>
      </c>
      <c r="HM66" s="418">
        <v>217</v>
      </c>
      <c r="HN66" s="418">
        <v>218</v>
      </c>
      <c r="HO66" s="418">
        <v>219</v>
      </c>
      <c r="HP66" s="418">
        <v>220</v>
      </c>
      <c r="HQ66" s="418">
        <v>221</v>
      </c>
      <c r="HR66" s="418">
        <v>222</v>
      </c>
      <c r="HS66" s="418">
        <v>223</v>
      </c>
      <c r="HT66" s="418">
        <v>224</v>
      </c>
      <c r="HU66" s="418">
        <v>225</v>
      </c>
      <c r="HV66" s="418">
        <v>226</v>
      </c>
      <c r="HW66" s="418">
        <v>227</v>
      </c>
      <c r="HX66" s="418">
        <v>228</v>
      </c>
      <c r="HY66" s="418">
        <v>229</v>
      </c>
      <c r="HZ66" s="418">
        <v>230</v>
      </c>
      <c r="IA66" s="418">
        <v>231</v>
      </c>
      <c r="IB66" s="418">
        <v>232</v>
      </c>
      <c r="IC66" s="418">
        <v>233</v>
      </c>
      <c r="ID66" s="418">
        <v>234</v>
      </c>
      <c r="IE66" s="418">
        <v>235</v>
      </c>
      <c r="IF66" s="418">
        <v>236</v>
      </c>
      <c r="IG66" s="418">
        <v>237</v>
      </c>
      <c r="IH66" s="418">
        <v>238</v>
      </c>
      <c r="II66" s="418">
        <v>239</v>
      </c>
      <c r="IJ66" s="418">
        <v>240</v>
      </c>
      <c r="IK66" s="418">
        <v>241</v>
      </c>
      <c r="IL66" s="418">
        <v>242</v>
      </c>
      <c r="IM66" s="418">
        <v>243</v>
      </c>
      <c r="IN66" s="418">
        <v>244</v>
      </c>
      <c r="IO66" s="418">
        <v>245</v>
      </c>
      <c r="IP66" s="418">
        <v>246</v>
      </c>
      <c r="IQ66" s="418">
        <v>247</v>
      </c>
      <c r="IR66" s="418">
        <v>248</v>
      </c>
      <c r="IS66" s="418">
        <v>249</v>
      </c>
      <c r="IT66" s="418">
        <v>250</v>
      </c>
      <c r="IU66" s="418">
        <v>251</v>
      </c>
      <c r="IV66" s="418">
        <v>252</v>
      </c>
      <c r="IW66" s="418">
        <v>253</v>
      </c>
      <c r="IX66" s="418">
        <v>254</v>
      </c>
      <c r="IY66" s="418">
        <v>255</v>
      </c>
      <c r="IZ66" s="418">
        <v>256</v>
      </c>
      <c r="JA66" s="418">
        <v>257</v>
      </c>
      <c r="JB66" s="418">
        <v>258</v>
      </c>
      <c r="JC66" s="418">
        <v>259</v>
      </c>
      <c r="JD66" s="418">
        <v>260</v>
      </c>
      <c r="JE66" s="418">
        <v>261</v>
      </c>
      <c r="JF66" s="418">
        <v>262</v>
      </c>
      <c r="JG66" s="418">
        <v>263</v>
      </c>
      <c r="JH66" s="418">
        <v>264</v>
      </c>
      <c r="JI66" s="418">
        <v>265</v>
      </c>
      <c r="JJ66" s="418">
        <v>266</v>
      </c>
      <c r="JK66" s="418">
        <v>267</v>
      </c>
      <c r="JL66" s="418">
        <v>268</v>
      </c>
      <c r="JM66" s="418">
        <v>269</v>
      </c>
      <c r="JN66" s="418">
        <v>270</v>
      </c>
      <c r="JO66" s="418">
        <v>271</v>
      </c>
      <c r="JP66" s="418">
        <v>272</v>
      </c>
      <c r="JQ66" s="418">
        <v>273</v>
      </c>
      <c r="JR66" s="351"/>
      <c r="JT66" s="1385" t="s">
        <v>2199</v>
      </c>
    </row>
    <row r="67" spans="1:280" ht="12.5" x14ac:dyDescent="0.25">
      <c r="A67" s="1367">
        <v>2</v>
      </c>
      <c r="B67" s="1386" t="str">
        <f>IF(CBC_Ind&gt;1,IF(HLOOKUP(CBC_Ind-1,CBC_RANGE,A67)="","",HLOOKUP(CBC_Ind-1,CBC_RANGE,A67)),"")</f>
        <v/>
      </c>
      <c r="C67" s="1359" t="s">
        <v>2345</v>
      </c>
      <c r="D67" s="1360" t="s">
        <v>2346</v>
      </c>
      <c r="E67" s="1272"/>
      <c r="F67" s="1272"/>
      <c r="G67" s="1272"/>
      <c r="H67" s="1272"/>
      <c r="I67" s="1272"/>
      <c r="J67" s="1272"/>
      <c r="K67" s="1272"/>
      <c r="L67" s="1272"/>
      <c r="M67" s="1272"/>
      <c r="N67" s="1272"/>
      <c r="O67" s="1272"/>
      <c r="P67" s="1272"/>
      <c r="Q67" s="1272"/>
      <c r="R67" s="1272"/>
      <c r="S67" s="1272"/>
      <c r="T67" s="1272"/>
      <c r="U67" s="1272"/>
      <c r="V67" s="1272"/>
      <c r="W67" s="1272"/>
      <c r="X67" s="1272"/>
      <c r="Y67" s="1272"/>
      <c r="Z67" s="1272"/>
      <c r="AA67" s="1272"/>
      <c r="AB67" s="1272"/>
      <c r="AC67" s="1272"/>
      <c r="AD67" s="1272"/>
      <c r="AE67" s="1272"/>
      <c r="AF67" s="1272"/>
      <c r="AG67" s="1272"/>
      <c r="AH67" s="1272"/>
      <c r="AI67" s="1272"/>
      <c r="AJ67" s="1272"/>
      <c r="AK67" s="1272"/>
      <c r="AL67" s="1272"/>
      <c r="AM67" s="1272"/>
      <c r="AN67" s="1272"/>
      <c r="AO67" s="1272"/>
      <c r="AP67" s="1272"/>
      <c r="AQ67" s="1272"/>
      <c r="AR67" s="1272"/>
      <c r="AS67" s="1272"/>
      <c r="AT67" s="1272"/>
      <c r="AU67" s="1272"/>
      <c r="AV67" s="1272"/>
      <c r="AW67" s="1272"/>
      <c r="AX67" s="1272"/>
      <c r="AY67" s="1272"/>
      <c r="AZ67" s="1272"/>
      <c r="BA67" s="1272"/>
      <c r="BB67" s="1272"/>
      <c r="BC67" s="1272"/>
      <c r="BD67" s="1272"/>
      <c r="BE67" s="1272"/>
      <c r="BF67" s="1272"/>
      <c r="BG67" s="1272"/>
      <c r="BH67" s="1272"/>
      <c r="BI67" s="1272"/>
      <c r="BJ67" s="1272"/>
      <c r="BK67" s="1272"/>
      <c r="BL67" s="1272"/>
      <c r="BM67" s="1272"/>
      <c r="BN67" s="1272"/>
      <c r="BO67" s="1272"/>
      <c r="BP67" s="1272"/>
      <c r="BQ67" s="1272"/>
      <c r="BR67" s="1272"/>
      <c r="BS67" s="1272"/>
      <c r="BT67" s="1272"/>
      <c r="BU67" s="1272"/>
      <c r="BV67" s="1272"/>
      <c r="BW67" s="1272"/>
      <c r="BX67" s="1272"/>
      <c r="BY67" s="1272"/>
      <c r="BZ67" s="1272"/>
      <c r="CA67" s="1272"/>
      <c r="CB67" s="1272"/>
      <c r="CC67" s="1272"/>
      <c r="CD67" s="1272"/>
      <c r="CE67" s="1272"/>
      <c r="CF67" s="1272"/>
      <c r="CG67" s="1272"/>
      <c r="CH67" s="1272"/>
      <c r="CI67" s="1272"/>
      <c r="CJ67" s="1272"/>
      <c r="CK67" s="1272"/>
      <c r="CL67" s="1272"/>
      <c r="CM67" s="1272"/>
      <c r="CN67" s="1272"/>
      <c r="CO67" s="1272"/>
      <c r="CP67" s="1272"/>
      <c r="CQ67" s="1272"/>
      <c r="CR67" s="1272"/>
      <c r="CS67" s="1272"/>
      <c r="CT67" s="1272"/>
      <c r="CU67" s="1272"/>
      <c r="CV67" s="1272"/>
      <c r="CW67" s="1272"/>
      <c r="CX67" s="1272"/>
      <c r="CY67" s="1272"/>
      <c r="CZ67" s="1272"/>
      <c r="DA67" s="1272"/>
      <c r="DB67" s="1272"/>
      <c r="DC67" s="1272"/>
      <c r="DD67" s="1272"/>
      <c r="DE67" s="1272"/>
      <c r="DF67" s="1272"/>
      <c r="DG67" s="1272"/>
      <c r="DH67" s="1272"/>
      <c r="DI67" s="1272"/>
      <c r="DJ67" s="1272"/>
      <c r="DK67" s="1272"/>
      <c r="DL67" s="1272"/>
      <c r="DM67" s="1272"/>
      <c r="DN67" s="1272"/>
      <c r="DO67" s="1272"/>
      <c r="DP67" s="1272"/>
      <c r="DQ67" s="1272"/>
      <c r="DR67" s="1272"/>
      <c r="DS67" s="1272"/>
      <c r="DT67" s="1272"/>
      <c r="DU67" s="1272"/>
      <c r="DV67" s="1272"/>
      <c r="DW67" s="1272"/>
      <c r="DX67" s="1272"/>
      <c r="DY67" s="1272"/>
      <c r="DZ67" s="1272"/>
      <c r="EA67" s="1272"/>
      <c r="EB67" s="1272"/>
      <c r="EC67" s="1272"/>
      <c r="ED67" s="1272"/>
      <c r="EE67" s="1272"/>
      <c r="EF67" s="1272"/>
      <c r="EG67" s="1272"/>
      <c r="EH67" s="1272"/>
      <c r="EI67" s="1272"/>
      <c r="EJ67" s="1272"/>
      <c r="EK67" s="1272"/>
      <c r="EL67" s="1272"/>
      <c r="EM67" s="1272"/>
      <c r="EN67" s="1272"/>
      <c r="EO67" s="1272"/>
      <c r="EP67" s="1272"/>
      <c r="EQ67" s="1272"/>
      <c r="ER67" s="1272"/>
      <c r="ES67" s="1272"/>
      <c r="ET67" s="1272"/>
      <c r="EU67" s="1272"/>
      <c r="EV67" s="1272"/>
      <c r="EW67" s="1272"/>
      <c r="EX67" s="1272"/>
      <c r="EY67" s="1272"/>
      <c r="EZ67" s="1272"/>
      <c r="FA67" s="1272"/>
      <c r="FB67" s="1272"/>
      <c r="FC67" s="1272"/>
      <c r="FD67" s="1272"/>
      <c r="FE67" s="1272"/>
      <c r="FF67" s="1272"/>
      <c r="FG67" s="1272"/>
      <c r="FH67" s="1272"/>
      <c r="FI67" s="1272"/>
      <c r="FJ67" s="1272"/>
      <c r="FK67" s="1272"/>
      <c r="FL67" s="1272"/>
      <c r="FM67" s="1272"/>
      <c r="FN67" s="1272"/>
      <c r="FO67" s="1272"/>
      <c r="FP67" s="1272"/>
      <c r="FQ67" s="1272"/>
      <c r="FR67" s="1272"/>
      <c r="FS67" s="1272"/>
      <c r="FT67" s="1272"/>
      <c r="FU67" s="1272"/>
      <c r="FV67" s="1272"/>
      <c r="FW67" s="1272"/>
      <c r="FX67" s="1272"/>
      <c r="FY67" s="1272"/>
      <c r="FZ67" s="1272"/>
      <c r="GA67" s="1272"/>
      <c r="GB67" s="1272"/>
      <c r="GC67" s="1272"/>
      <c r="GD67" s="1272"/>
      <c r="GE67" s="1272"/>
      <c r="GF67" s="1272"/>
      <c r="GG67" s="1272"/>
      <c r="GH67" s="1272"/>
      <c r="GI67" s="1272"/>
      <c r="GJ67" s="1272"/>
      <c r="GK67" s="1272"/>
      <c r="GL67" s="1272"/>
      <c r="GM67" s="1272"/>
      <c r="GN67" s="1272">
        <v>5000</v>
      </c>
      <c r="GO67" s="1272">
        <v>5000</v>
      </c>
      <c r="GP67" s="1272">
        <v>1197</v>
      </c>
      <c r="GQ67" s="1272">
        <v>4539</v>
      </c>
      <c r="GR67" s="1272">
        <v>4539</v>
      </c>
      <c r="GS67" s="1272"/>
      <c r="GT67" s="1272"/>
      <c r="GU67" s="1272"/>
      <c r="GV67" s="1272"/>
      <c r="GW67" s="1272">
        <v>5000</v>
      </c>
      <c r="GX67" s="1272"/>
      <c r="GY67" s="1272"/>
      <c r="GZ67" s="1272"/>
      <c r="HA67" s="1272"/>
      <c r="HB67" s="1272"/>
      <c r="HC67" s="1272"/>
      <c r="HD67" s="1272"/>
      <c r="HE67" s="1272"/>
      <c r="HF67" s="1272"/>
      <c r="HG67" s="1272"/>
      <c r="HH67" s="1272"/>
      <c r="HI67" s="1272">
        <v>5000</v>
      </c>
      <c r="HJ67" s="1272"/>
      <c r="HK67" s="1272"/>
      <c r="HL67" s="1272"/>
      <c r="HM67" s="1272"/>
      <c r="HN67" s="1272"/>
      <c r="HO67" s="1272"/>
      <c r="HP67" s="1272"/>
      <c r="HQ67" s="1272"/>
      <c r="HR67" s="1272"/>
      <c r="HS67" s="1272"/>
      <c r="HT67" s="1272"/>
      <c r="HU67" s="1272"/>
      <c r="HV67" s="1272"/>
      <c r="HW67" s="1272"/>
      <c r="HX67" s="1272"/>
      <c r="HY67" s="1272"/>
      <c r="HZ67" s="1272"/>
      <c r="IA67" s="1272"/>
      <c r="IB67" s="1272"/>
      <c r="IC67" s="1272"/>
      <c r="ID67" s="1272"/>
      <c r="IE67" s="1366">
        <v>1248</v>
      </c>
      <c r="IF67" s="1272"/>
      <c r="IG67" s="1272"/>
      <c r="IH67" s="1272"/>
      <c r="II67" s="1272"/>
      <c r="IJ67" s="1272">
        <v>2976</v>
      </c>
      <c r="IK67" s="1272"/>
      <c r="IL67" s="1272"/>
      <c r="IM67" s="1272"/>
      <c r="IN67" s="1272"/>
      <c r="IO67" s="1272"/>
      <c r="IP67" s="1272"/>
      <c r="IQ67" s="1272"/>
      <c r="IR67" s="1272"/>
      <c r="IS67" s="1272">
        <v>2501</v>
      </c>
      <c r="IT67" s="1272"/>
      <c r="IU67" s="1272"/>
      <c r="IV67" s="1272"/>
      <c r="IW67" s="1272"/>
      <c r="IX67" s="1272"/>
      <c r="IY67" s="1272"/>
      <c r="IZ67" s="1272"/>
      <c r="JA67" s="1272"/>
      <c r="JB67" s="1272"/>
      <c r="JC67" s="1272"/>
      <c r="JD67" s="1272"/>
      <c r="JE67" s="1272"/>
      <c r="JF67" s="1272"/>
      <c r="JG67" s="1272"/>
      <c r="JH67" s="1272"/>
      <c r="JI67" s="1272"/>
      <c r="JJ67" s="1272"/>
      <c r="JK67" s="1272"/>
      <c r="JL67" s="1272"/>
      <c r="JM67" s="1272"/>
      <c r="JN67" s="1272"/>
      <c r="JO67" s="1272">
        <v>1988</v>
      </c>
      <c r="JP67" s="1272"/>
      <c r="JQ67" s="2488"/>
      <c r="JR67" s="351"/>
      <c r="JS67" s="1365"/>
      <c r="JT67" s="1385" t="s">
        <v>2347</v>
      </c>
    </row>
    <row r="68" spans="1:280" ht="23" x14ac:dyDescent="0.25">
      <c r="A68" s="1367">
        <v>3</v>
      </c>
      <c r="B68" s="1386" t="str">
        <f>IF(CBC_Ind&gt;1,IF(HLOOKUP(CBC_Ind-1,CBC_RANGE,A68)="","",HLOOKUP(CBC_Ind-1,CBC_RANGE,A68)),"")</f>
        <v/>
      </c>
      <c r="C68" s="1359" t="s">
        <v>2348</v>
      </c>
      <c r="D68" s="1360" t="s">
        <v>2349</v>
      </c>
      <c r="E68" s="1272"/>
      <c r="F68" s="1272"/>
      <c r="G68" s="1272"/>
      <c r="H68" s="1272"/>
      <c r="I68" s="1272"/>
      <c r="J68" s="1272"/>
      <c r="K68" s="1272"/>
      <c r="L68" s="1272"/>
      <c r="M68" s="1272"/>
      <c r="N68" s="1272"/>
      <c r="O68" s="1272"/>
      <c r="P68" s="1272"/>
      <c r="Q68" s="1272"/>
      <c r="R68" s="1272"/>
      <c r="S68" s="1272"/>
      <c r="T68" s="1272"/>
      <c r="U68" s="1272"/>
      <c r="V68" s="1272"/>
      <c r="W68" s="1272"/>
      <c r="X68" s="1272"/>
      <c r="Y68" s="1272"/>
      <c r="Z68" s="1272"/>
      <c r="AA68" s="1272"/>
      <c r="AB68" s="1272"/>
      <c r="AC68" s="1272"/>
      <c r="AD68" s="1272"/>
      <c r="AE68" s="1272"/>
      <c r="AF68" s="1272"/>
      <c r="AG68" s="1272"/>
      <c r="AH68" s="1272"/>
      <c r="AI68" s="1272"/>
      <c r="AJ68" s="1272"/>
      <c r="AK68" s="1272"/>
      <c r="AL68" s="1272"/>
      <c r="AM68" s="1272"/>
      <c r="AN68" s="1272"/>
      <c r="AO68" s="1272"/>
      <c r="AP68" s="1272"/>
      <c r="AQ68" s="1272"/>
      <c r="AR68" s="1272"/>
      <c r="AS68" s="1272"/>
      <c r="AT68" s="1272"/>
      <c r="AU68" s="1272"/>
      <c r="AV68" s="1272"/>
      <c r="AW68" s="1272"/>
      <c r="AX68" s="1272"/>
      <c r="AY68" s="1272"/>
      <c r="AZ68" s="1272"/>
      <c r="BA68" s="1272"/>
      <c r="BB68" s="1272"/>
      <c r="BC68" s="1272"/>
      <c r="BD68" s="1272"/>
      <c r="BE68" s="1272"/>
      <c r="BF68" s="1272"/>
      <c r="BG68" s="1272"/>
      <c r="BH68" s="1272"/>
      <c r="BI68" s="1272"/>
      <c r="BJ68" s="1272"/>
      <c r="BK68" s="1272"/>
      <c r="BL68" s="1272"/>
      <c r="BM68" s="1272"/>
      <c r="BN68" s="1272"/>
      <c r="BO68" s="1272"/>
      <c r="BP68" s="1272"/>
      <c r="BQ68" s="1272"/>
      <c r="BR68" s="1272"/>
      <c r="BS68" s="1272"/>
      <c r="BT68" s="1272"/>
      <c r="BU68" s="1272"/>
      <c r="BV68" s="1272"/>
      <c r="BW68" s="1272"/>
      <c r="BX68" s="1272"/>
      <c r="BY68" s="1272"/>
      <c r="BZ68" s="1272"/>
      <c r="CA68" s="1272"/>
      <c r="CB68" s="1272"/>
      <c r="CC68" s="1272"/>
      <c r="CD68" s="1272"/>
      <c r="CE68" s="1272"/>
      <c r="CF68" s="1272"/>
      <c r="CG68" s="1272"/>
      <c r="CH68" s="1272"/>
      <c r="CI68" s="1272"/>
      <c r="CJ68" s="1272"/>
      <c r="CK68" s="1272"/>
      <c r="CL68" s="1272"/>
      <c r="CM68" s="1272"/>
      <c r="CN68" s="1272"/>
      <c r="CO68" s="1272"/>
      <c r="CP68" s="1272"/>
      <c r="CQ68" s="1272"/>
      <c r="CR68" s="1272"/>
      <c r="CS68" s="1272"/>
      <c r="CT68" s="1272"/>
      <c r="CU68" s="1272"/>
      <c r="CV68" s="1272"/>
      <c r="CW68" s="1272"/>
      <c r="CX68" s="1272"/>
      <c r="CY68" s="1272"/>
      <c r="CZ68" s="1272"/>
      <c r="DA68" s="1272"/>
      <c r="DB68" s="1272"/>
      <c r="DC68" s="1272"/>
      <c r="DD68" s="1272"/>
      <c r="DE68" s="1272"/>
      <c r="DF68" s="1272"/>
      <c r="DG68" s="1272"/>
      <c r="DH68" s="1272"/>
      <c r="DI68" s="1272"/>
      <c r="DJ68" s="1272"/>
      <c r="DK68" s="1272"/>
      <c r="DL68" s="1272"/>
      <c r="DM68" s="1272"/>
      <c r="DN68" s="1272"/>
      <c r="DO68" s="1272"/>
      <c r="DP68" s="1272"/>
      <c r="DQ68" s="1272"/>
      <c r="DR68" s="1272"/>
      <c r="DS68" s="1272"/>
      <c r="DT68" s="1272"/>
      <c r="DU68" s="1272"/>
      <c r="DV68" s="1272"/>
      <c r="DW68" s="1272"/>
      <c r="DX68" s="1272"/>
      <c r="DY68" s="1272"/>
      <c r="DZ68" s="1272"/>
      <c r="EA68" s="1272"/>
      <c r="EB68" s="1272"/>
      <c r="EC68" s="1272"/>
      <c r="ED68" s="1272"/>
      <c r="EE68" s="1272"/>
      <c r="EF68" s="1272"/>
      <c r="EG68" s="1272"/>
      <c r="EH68" s="1272"/>
      <c r="EI68" s="1272"/>
      <c r="EJ68" s="1272"/>
      <c r="EK68" s="1272"/>
      <c r="EL68" s="1272"/>
      <c r="EM68" s="1272"/>
      <c r="EN68" s="1272"/>
      <c r="EO68" s="1272"/>
      <c r="EP68" s="1272"/>
      <c r="EQ68" s="1272"/>
      <c r="ER68" s="1272"/>
      <c r="ES68" s="1272"/>
      <c r="ET68" s="1272"/>
      <c r="EU68" s="1272"/>
      <c r="EV68" s="1272"/>
      <c r="EW68" s="1272"/>
      <c r="EX68" s="1272"/>
      <c r="EY68" s="1272"/>
      <c r="EZ68" s="1272"/>
      <c r="FA68" s="1272"/>
      <c r="FB68" s="1272"/>
      <c r="FC68" s="1272"/>
      <c r="FD68" s="1272"/>
      <c r="FE68" s="1272"/>
      <c r="FF68" s="1272"/>
      <c r="FG68" s="1272"/>
      <c r="FH68" s="1272"/>
      <c r="FI68" s="1272"/>
      <c r="FJ68" s="1272"/>
      <c r="FK68" s="1272"/>
      <c r="FL68" s="1272"/>
      <c r="FM68" s="1272"/>
      <c r="FN68" s="1272"/>
      <c r="FO68" s="1272"/>
      <c r="FP68" s="1272"/>
      <c r="FQ68" s="1272"/>
      <c r="FR68" s="1272"/>
      <c r="FS68" s="1272"/>
      <c r="FT68" s="1272"/>
      <c r="FU68" s="1272"/>
      <c r="FV68" s="1272"/>
      <c r="FW68" s="1272"/>
      <c r="FX68" s="1272"/>
      <c r="FY68" s="1272"/>
      <c r="FZ68" s="1272"/>
      <c r="GA68" s="1272"/>
      <c r="GB68" s="1272"/>
      <c r="GC68" s="1272"/>
      <c r="GD68" s="1272"/>
      <c r="GE68" s="1272"/>
      <c r="GF68" s="1272"/>
      <c r="GG68" s="1272"/>
      <c r="GH68" s="1272"/>
      <c r="GI68" s="1272"/>
      <c r="GJ68" s="1272"/>
      <c r="GK68" s="1272"/>
      <c r="GL68" s="1272"/>
      <c r="GM68" s="1272"/>
      <c r="GN68" s="1272">
        <v>3</v>
      </c>
      <c r="GO68" s="1272">
        <v>3</v>
      </c>
      <c r="GP68" s="1272">
        <v>1</v>
      </c>
      <c r="GQ68" s="1272">
        <v>3</v>
      </c>
      <c r="GR68" s="1272">
        <v>3</v>
      </c>
      <c r="GS68" s="1272"/>
      <c r="GT68" s="1272"/>
      <c r="GU68" s="1272"/>
      <c r="GV68" s="1272"/>
      <c r="GW68" s="1272">
        <v>3</v>
      </c>
      <c r="GX68" s="1272"/>
      <c r="GY68" s="1272"/>
      <c r="GZ68" s="1272"/>
      <c r="HA68" s="1272"/>
      <c r="HB68" s="1272"/>
      <c r="HC68" s="1272"/>
      <c r="HD68" s="1272"/>
      <c r="HE68" s="1272"/>
      <c r="HF68" s="1272"/>
      <c r="HG68" s="1272"/>
      <c r="HH68" s="1272"/>
      <c r="HI68" s="1272">
        <v>3</v>
      </c>
      <c r="HJ68" s="1272"/>
      <c r="HK68" s="1272"/>
      <c r="HL68" s="1272"/>
      <c r="HM68" s="1272"/>
      <c r="HN68" s="1272"/>
      <c r="HO68" s="1272"/>
      <c r="HP68" s="1272"/>
      <c r="HQ68" s="1272"/>
      <c r="HR68" s="1272"/>
      <c r="HS68" s="1272"/>
      <c r="HT68" s="1272"/>
      <c r="HU68" s="1272"/>
      <c r="HV68" s="1272"/>
      <c r="HW68" s="1272"/>
      <c r="HX68" s="1272"/>
      <c r="HY68" s="1272"/>
      <c r="HZ68" s="1272"/>
      <c r="IA68" s="1272"/>
      <c r="IB68" s="1272"/>
      <c r="IC68" s="1272"/>
      <c r="ID68" s="1272"/>
      <c r="IE68" s="1366">
        <v>1</v>
      </c>
      <c r="IF68" s="1272"/>
      <c r="IG68" s="1272"/>
      <c r="IH68" s="1272"/>
      <c r="II68" s="1272"/>
      <c r="IJ68" s="1272">
        <v>3</v>
      </c>
      <c r="IK68" s="1272"/>
      <c r="IL68" s="1272"/>
      <c r="IM68" s="1272"/>
      <c r="IN68" s="1272"/>
      <c r="IO68" s="1272"/>
      <c r="IP68" s="1272"/>
      <c r="IQ68" s="1272"/>
      <c r="IR68" s="1272"/>
      <c r="IS68" s="1272">
        <v>3</v>
      </c>
      <c r="IT68" s="1272"/>
      <c r="IU68" s="1272"/>
      <c r="IV68" s="1272"/>
      <c r="IW68" s="1272"/>
      <c r="IX68" s="1272"/>
      <c r="IY68" s="1272"/>
      <c r="IZ68" s="1272"/>
      <c r="JA68" s="1272"/>
      <c r="JB68" s="1272"/>
      <c r="JC68" s="1272"/>
      <c r="JD68" s="1272"/>
      <c r="JE68" s="1272"/>
      <c r="JF68" s="1272"/>
      <c r="JG68" s="1272"/>
      <c r="JH68" s="1272"/>
      <c r="JI68" s="1272"/>
      <c r="JJ68" s="1272"/>
      <c r="JK68" s="1272"/>
      <c r="JL68" s="1272"/>
      <c r="JM68" s="1272"/>
      <c r="JN68" s="1272"/>
      <c r="JO68" s="1272">
        <v>2</v>
      </c>
      <c r="JP68" s="1272"/>
      <c r="JQ68" s="2488"/>
      <c r="JR68" s="351"/>
      <c r="JS68" s="1365" t="s">
        <v>2350</v>
      </c>
      <c r="JT68" s="1385" t="s">
        <v>2351</v>
      </c>
    </row>
    <row r="69" spans="1:280" ht="35" thickBot="1" x14ac:dyDescent="0.3">
      <c r="A69" s="1367">
        <v>4</v>
      </c>
      <c r="B69" s="1386" t="str">
        <f>IF(CBC_Ind&gt;1,IF(HLOOKUP(CBC_Ind-1,CBC_RANGE,A69)="","",HLOOKUP(CBC_Ind-1,CBC_RANGE,A69)),"")</f>
        <v/>
      </c>
      <c r="C69" s="705" t="s">
        <v>2352</v>
      </c>
      <c r="D69" s="698" t="s">
        <v>2353</v>
      </c>
      <c r="E69" s="714"/>
      <c r="F69" s="714"/>
      <c r="G69" s="714"/>
      <c r="H69" s="714"/>
      <c r="I69" s="714"/>
      <c r="J69" s="714"/>
      <c r="K69" s="714"/>
      <c r="L69" s="714"/>
      <c r="M69" s="714"/>
      <c r="N69" s="714"/>
      <c r="O69" s="714"/>
      <c r="P69" s="714"/>
      <c r="Q69" s="714"/>
      <c r="R69" s="714"/>
      <c r="S69" s="714"/>
      <c r="T69" s="714"/>
      <c r="U69" s="714"/>
      <c r="V69" s="714"/>
      <c r="W69" s="714"/>
      <c r="X69" s="714"/>
      <c r="Y69" s="714"/>
      <c r="Z69" s="714"/>
      <c r="AA69" s="714"/>
      <c r="AB69" s="714"/>
      <c r="AC69" s="714"/>
      <c r="AD69" s="714"/>
      <c r="AE69" s="714"/>
      <c r="AF69" s="714"/>
      <c r="AG69" s="714"/>
      <c r="AH69" s="714"/>
      <c r="AI69" s="714"/>
      <c r="AJ69" s="714"/>
      <c r="AK69" s="714"/>
      <c r="AL69" s="714"/>
      <c r="AM69" s="714"/>
      <c r="AN69" s="714"/>
      <c r="AO69" s="714"/>
      <c r="AP69" s="714"/>
      <c r="AQ69" s="714"/>
      <c r="AR69" s="714"/>
      <c r="AS69" s="717"/>
      <c r="AT69" s="714"/>
      <c r="AU69" s="714"/>
      <c r="AV69" s="714"/>
      <c r="AW69" s="714"/>
      <c r="AX69" s="714"/>
      <c r="AY69" s="714"/>
      <c r="AZ69" s="714"/>
      <c r="BA69" s="714"/>
      <c r="BB69" s="714"/>
      <c r="BC69" s="714"/>
      <c r="BD69" s="714"/>
      <c r="BE69" s="714"/>
      <c r="BF69" s="714"/>
      <c r="BG69" s="714"/>
      <c r="BH69" s="714"/>
      <c r="BI69" s="714"/>
      <c r="BJ69" s="714"/>
      <c r="BK69" s="714"/>
      <c r="BL69" s="714"/>
      <c r="BM69" s="714"/>
      <c r="BN69" s="714"/>
      <c r="BO69" s="714"/>
      <c r="BP69" s="714"/>
      <c r="BQ69" s="714"/>
      <c r="BR69" s="714"/>
      <c r="BS69" s="714"/>
      <c r="BT69" s="714"/>
      <c r="BU69" s="714"/>
      <c r="BV69" s="714"/>
      <c r="BW69" s="714"/>
      <c r="BX69" s="714"/>
      <c r="BY69" s="714"/>
      <c r="BZ69" s="714"/>
      <c r="CA69" s="714"/>
      <c r="CB69" s="714"/>
      <c r="CC69" s="714"/>
      <c r="CD69" s="714"/>
      <c r="CE69" s="714"/>
      <c r="CF69" s="714"/>
      <c r="CG69" s="714"/>
      <c r="CH69" s="714"/>
      <c r="CI69" s="714"/>
      <c r="CJ69" s="714"/>
      <c r="CK69" s="714"/>
      <c r="CL69" s="714"/>
      <c r="CM69" s="714"/>
      <c r="CN69" s="714"/>
      <c r="CO69" s="714"/>
      <c r="CP69" s="714"/>
      <c r="CQ69" s="714"/>
      <c r="CR69" s="714"/>
      <c r="CS69" s="714"/>
      <c r="CT69" s="714"/>
      <c r="CU69" s="714"/>
      <c r="CV69" s="714"/>
      <c r="CW69" s="714"/>
      <c r="CX69" s="714"/>
      <c r="CY69" s="714"/>
      <c r="CZ69" s="714"/>
      <c r="DA69" s="714"/>
      <c r="DB69" s="714"/>
      <c r="DC69" s="714"/>
      <c r="DD69" s="714"/>
      <c r="DE69" s="714"/>
      <c r="DF69" s="714"/>
      <c r="DG69" s="714"/>
      <c r="DH69" s="714"/>
      <c r="DI69" s="714"/>
      <c r="DJ69" s="714"/>
      <c r="DK69" s="714"/>
      <c r="DL69" s="714"/>
      <c r="DM69" s="714"/>
      <c r="DN69" s="714"/>
      <c r="DO69" s="714"/>
      <c r="DP69" s="714"/>
      <c r="DQ69" s="714"/>
      <c r="DR69" s="714"/>
      <c r="DS69" s="714"/>
      <c r="DT69" s="714"/>
      <c r="DU69" s="714"/>
      <c r="DV69" s="714"/>
      <c r="DW69" s="714"/>
      <c r="DX69" s="714"/>
      <c r="DY69" s="714"/>
      <c r="DZ69" s="714"/>
      <c r="EA69" s="714"/>
      <c r="EB69" s="714"/>
      <c r="EC69" s="714"/>
      <c r="ED69" s="714"/>
      <c r="EE69" s="714"/>
      <c r="EF69" s="714"/>
      <c r="EG69" s="714"/>
      <c r="EH69" s="714"/>
      <c r="EI69" s="714"/>
      <c r="EJ69" s="714"/>
      <c r="EK69" s="714"/>
      <c r="EL69" s="714"/>
      <c r="EM69" s="714"/>
      <c r="EN69" s="714"/>
      <c r="EO69" s="714"/>
      <c r="EP69" s="714"/>
      <c r="EQ69" s="714"/>
      <c r="ER69" s="714"/>
      <c r="ES69" s="714"/>
      <c r="ET69" s="714"/>
      <c r="EU69" s="714"/>
      <c r="EV69" s="714"/>
      <c r="EW69" s="714"/>
      <c r="EX69" s="714"/>
      <c r="EY69" s="714"/>
      <c r="EZ69" s="714"/>
      <c r="FA69" s="714"/>
      <c r="FB69" s="714"/>
      <c r="FC69" s="714"/>
      <c r="FD69" s="714"/>
      <c r="FE69" s="714"/>
      <c r="FF69" s="714"/>
      <c r="FG69" s="714"/>
      <c r="FH69" s="714"/>
      <c r="FI69" s="714"/>
      <c r="FJ69" s="714"/>
      <c r="FK69" s="714"/>
      <c r="FL69" s="714"/>
      <c r="FM69" s="714"/>
      <c r="FN69" s="714"/>
      <c r="FO69" s="714"/>
      <c r="FP69" s="714"/>
      <c r="FQ69" s="714"/>
      <c r="FR69" s="714"/>
      <c r="FS69" s="714"/>
      <c r="FT69" s="714"/>
      <c r="FU69" s="714"/>
      <c r="FV69" s="714"/>
      <c r="FW69" s="714"/>
      <c r="FX69" s="714"/>
      <c r="FY69" s="714"/>
      <c r="FZ69" s="714"/>
      <c r="GA69" s="714"/>
      <c r="GB69" s="714"/>
      <c r="GC69" s="714"/>
      <c r="GD69" s="714"/>
      <c r="GE69" s="714"/>
      <c r="GF69" s="714"/>
      <c r="GG69" s="714"/>
      <c r="GH69" s="714"/>
      <c r="GI69" s="714"/>
      <c r="GJ69" s="714"/>
      <c r="GK69" s="714"/>
      <c r="GL69" s="714"/>
      <c r="GM69" s="714"/>
      <c r="GN69" s="717" t="str">
        <f>"15/03/"&amp;Tax_year_end</f>
        <v>15/03/2026</v>
      </c>
      <c r="GO69" s="717" t="str">
        <f>"15/03/"&amp;Tax_year_end</f>
        <v>15/03/2026</v>
      </c>
      <c r="GP69" s="714"/>
      <c r="GQ69" s="714"/>
      <c r="GR69" s="714"/>
      <c r="GS69" s="714"/>
      <c r="GT69" s="714"/>
      <c r="GU69" s="714"/>
      <c r="GV69" s="714"/>
      <c r="GW69" s="717" t="str">
        <f>"15/03/"&amp;Tax_year_end</f>
        <v>15/03/2026</v>
      </c>
      <c r="GX69" s="714"/>
      <c r="GY69" s="714"/>
      <c r="GZ69" s="714"/>
      <c r="HA69" s="714"/>
      <c r="HB69" s="714"/>
      <c r="HC69" s="714"/>
      <c r="HD69" s="714"/>
      <c r="HE69" s="714"/>
      <c r="HF69" s="714"/>
      <c r="HG69" s="714"/>
      <c r="HH69" s="714"/>
      <c r="HI69" s="717" t="str">
        <f>"15/03/"&amp;Tax_year_end</f>
        <v>15/03/2026</v>
      </c>
      <c r="HJ69" s="714"/>
      <c r="HK69" s="714"/>
      <c r="HL69" s="714"/>
      <c r="HM69" s="714"/>
      <c r="HN69" s="714"/>
      <c r="HO69" s="714"/>
      <c r="HP69" s="714"/>
      <c r="HQ69" s="714"/>
      <c r="HR69" s="714"/>
      <c r="HS69" s="714"/>
      <c r="HT69" s="714"/>
      <c r="HU69" s="714"/>
      <c r="HV69" s="714"/>
      <c r="HW69" s="714"/>
      <c r="HX69" s="714"/>
      <c r="HY69" s="714"/>
      <c r="HZ69" s="714"/>
      <c r="IA69" s="714"/>
      <c r="IB69" s="714"/>
      <c r="IC69" s="714"/>
      <c r="ID69" s="714"/>
      <c r="IE69" s="714"/>
      <c r="IF69" s="714"/>
      <c r="IG69" s="714"/>
      <c r="IH69" s="714"/>
      <c r="II69" s="714"/>
      <c r="IJ69" s="714"/>
      <c r="IK69" s="714"/>
      <c r="IL69" s="714"/>
      <c r="IM69" s="714"/>
      <c r="IN69" s="714"/>
      <c r="IO69" s="714"/>
      <c r="IP69" s="714"/>
      <c r="IQ69" s="714"/>
      <c r="IR69" s="714"/>
      <c r="IS69" s="714"/>
      <c r="IT69" s="714"/>
      <c r="IU69" s="714"/>
      <c r="IV69" s="714"/>
      <c r="IW69" s="714"/>
      <c r="IX69" s="714"/>
      <c r="IY69" s="714"/>
      <c r="IZ69" s="714"/>
      <c r="JA69" s="714"/>
      <c r="JB69" s="714"/>
      <c r="JC69" s="714"/>
      <c r="JD69" s="714"/>
      <c r="JE69" s="714"/>
      <c r="JF69" s="714"/>
      <c r="JG69" s="714"/>
      <c r="JH69" s="714"/>
      <c r="JI69" s="714"/>
      <c r="JJ69" s="714"/>
      <c r="JK69" s="714"/>
      <c r="JL69" s="714"/>
      <c r="JM69" s="714"/>
      <c r="JN69" s="714"/>
      <c r="JO69" s="714"/>
      <c r="JP69" s="714"/>
      <c r="JQ69" s="711"/>
      <c r="JR69" s="351"/>
      <c r="JS69" s="1365" t="s">
        <v>2354</v>
      </c>
      <c r="JT69" s="1385" t="s">
        <v>2208</v>
      </c>
    </row>
    <row r="70" spans="1:280" ht="12" thickBot="1" x14ac:dyDescent="0.3">
      <c r="C70" s="261" t="s">
        <v>2355</v>
      </c>
      <c r="D70" s="137"/>
    </row>
    <row r="71" spans="1:280" ht="12.5" x14ac:dyDescent="0.25">
      <c r="A71" s="1367" t="s">
        <v>2201</v>
      </c>
      <c r="B71" s="406" t="str">
        <f>"selected "&amp;WFP_Ind-1</f>
        <v>selected 0</v>
      </c>
      <c r="C71" s="2374" t="s">
        <v>9624</v>
      </c>
      <c r="D71" s="1360"/>
      <c r="E71" s="418">
        <v>1</v>
      </c>
      <c r="F71" s="418">
        <v>2</v>
      </c>
      <c r="G71" s="418">
        <v>3</v>
      </c>
      <c r="H71" s="418">
        <v>4</v>
      </c>
      <c r="I71" s="418">
        <v>5</v>
      </c>
      <c r="J71" s="418">
        <v>6</v>
      </c>
      <c r="K71" s="418">
        <v>7</v>
      </c>
      <c r="L71" s="418">
        <v>8</v>
      </c>
      <c r="M71" s="418">
        <v>9</v>
      </c>
      <c r="N71" s="418">
        <v>10</v>
      </c>
      <c r="O71" s="418">
        <v>11</v>
      </c>
      <c r="P71" s="418">
        <v>12</v>
      </c>
      <c r="Q71" s="418">
        <v>13</v>
      </c>
      <c r="R71" s="418">
        <v>14</v>
      </c>
      <c r="S71" s="418">
        <v>15</v>
      </c>
      <c r="T71" s="418">
        <v>16</v>
      </c>
      <c r="U71" s="418">
        <v>17</v>
      </c>
      <c r="V71" s="418">
        <v>18</v>
      </c>
      <c r="W71" s="418">
        <v>19</v>
      </c>
      <c r="X71" s="418">
        <v>20</v>
      </c>
      <c r="Y71" s="418">
        <v>21</v>
      </c>
      <c r="Z71" s="418">
        <v>22</v>
      </c>
      <c r="AA71" s="418">
        <v>23</v>
      </c>
      <c r="AB71" s="418">
        <v>24</v>
      </c>
      <c r="AC71" s="418">
        <v>25</v>
      </c>
      <c r="AD71" s="418">
        <v>26</v>
      </c>
      <c r="AE71" s="418">
        <v>27</v>
      </c>
      <c r="AF71" s="418">
        <v>28</v>
      </c>
      <c r="AG71" s="418">
        <v>29</v>
      </c>
      <c r="AH71" s="418">
        <v>30</v>
      </c>
      <c r="AI71" s="418">
        <v>31</v>
      </c>
      <c r="AJ71" s="418">
        <v>32</v>
      </c>
      <c r="AK71" s="418">
        <v>33</v>
      </c>
      <c r="AL71" s="418">
        <v>34</v>
      </c>
      <c r="AM71" s="418">
        <v>35</v>
      </c>
      <c r="AN71" s="418">
        <v>36</v>
      </c>
      <c r="AO71" s="418">
        <v>37</v>
      </c>
      <c r="AP71" s="418">
        <v>38</v>
      </c>
      <c r="AQ71" s="418">
        <v>39</v>
      </c>
      <c r="AR71" s="418">
        <v>40</v>
      </c>
      <c r="AS71" s="418">
        <v>41</v>
      </c>
      <c r="AT71" s="418">
        <v>42</v>
      </c>
      <c r="AU71" s="418">
        <v>43</v>
      </c>
      <c r="AV71" s="418">
        <v>44</v>
      </c>
      <c r="AW71" s="418">
        <v>45</v>
      </c>
      <c r="AX71" s="418">
        <v>46</v>
      </c>
      <c r="AY71" s="418">
        <v>47</v>
      </c>
      <c r="AZ71" s="418">
        <v>48</v>
      </c>
      <c r="BA71" s="418">
        <v>49</v>
      </c>
      <c r="BB71" s="418">
        <v>50</v>
      </c>
      <c r="BC71" s="418">
        <v>51</v>
      </c>
      <c r="BD71" s="418">
        <v>52</v>
      </c>
      <c r="BE71" s="418">
        <v>53</v>
      </c>
      <c r="BF71" s="418">
        <v>54</v>
      </c>
      <c r="BG71" s="418">
        <v>55</v>
      </c>
      <c r="BH71" s="418">
        <v>56</v>
      </c>
      <c r="BI71" s="418">
        <v>57</v>
      </c>
      <c r="BJ71" s="418">
        <v>58</v>
      </c>
      <c r="BK71" s="418">
        <v>59</v>
      </c>
      <c r="BL71" s="418">
        <v>60</v>
      </c>
      <c r="BM71" s="418">
        <v>61</v>
      </c>
      <c r="BN71" s="418">
        <v>62</v>
      </c>
      <c r="BO71" s="418">
        <v>63</v>
      </c>
      <c r="BP71" s="418">
        <v>64</v>
      </c>
      <c r="BQ71" s="418">
        <v>65</v>
      </c>
      <c r="BR71" s="418">
        <v>66</v>
      </c>
      <c r="BS71" s="418">
        <v>67</v>
      </c>
      <c r="BT71" s="418">
        <v>68</v>
      </c>
      <c r="BU71" s="418">
        <v>69</v>
      </c>
      <c r="BV71" s="418">
        <v>70</v>
      </c>
      <c r="BW71" s="418">
        <v>71</v>
      </c>
      <c r="BX71" s="418">
        <v>72</v>
      </c>
      <c r="BY71" s="418">
        <v>73</v>
      </c>
      <c r="BZ71" s="418">
        <v>74</v>
      </c>
      <c r="CA71" s="418">
        <v>75</v>
      </c>
      <c r="CB71" s="418">
        <v>76</v>
      </c>
      <c r="CC71" s="418">
        <v>77</v>
      </c>
      <c r="CD71" s="418">
        <v>78</v>
      </c>
      <c r="CE71" s="418">
        <v>79</v>
      </c>
      <c r="CF71" s="418">
        <v>80</v>
      </c>
      <c r="CG71" s="418">
        <v>81</v>
      </c>
      <c r="CH71" s="418">
        <v>82</v>
      </c>
      <c r="CI71" s="418">
        <v>83</v>
      </c>
      <c r="CJ71" s="418">
        <v>84</v>
      </c>
      <c r="CK71" s="418">
        <v>85</v>
      </c>
      <c r="CL71" s="418">
        <v>86</v>
      </c>
      <c r="CM71" s="418">
        <v>87</v>
      </c>
      <c r="CN71" s="418">
        <v>88</v>
      </c>
      <c r="CO71" s="418">
        <v>89</v>
      </c>
      <c r="CP71" s="418">
        <v>90</v>
      </c>
      <c r="CQ71" s="418">
        <v>91</v>
      </c>
      <c r="CR71" s="418">
        <v>92</v>
      </c>
      <c r="CS71" s="418">
        <v>93</v>
      </c>
      <c r="CT71" s="418">
        <v>94</v>
      </c>
      <c r="CU71" s="418">
        <v>95</v>
      </c>
      <c r="CV71" s="418">
        <v>96</v>
      </c>
      <c r="CW71" s="418">
        <v>97</v>
      </c>
      <c r="CX71" s="418">
        <v>98</v>
      </c>
      <c r="CY71" s="418">
        <v>99</v>
      </c>
      <c r="CZ71" s="418">
        <v>100</v>
      </c>
      <c r="DA71" s="418">
        <v>101</v>
      </c>
      <c r="DB71" s="418">
        <v>102</v>
      </c>
      <c r="DC71" s="418">
        <v>103</v>
      </c>
      <c r="DD71" s="418">
        <v>104</v>
      </c>
      <c r="DE71" s="418">
        <v>105</v>
      </c>
      <c r="DF71" s="418">
        <v>106</v>
      </c>
      <c r="DG71" s="418">
        <v>107</v>
      </c>
      <c r="DH71" s="418">
        <v>108</v>
      </c>
      <c r="DI71" s="418">
        <v>109</v>
      </c>
      <c r="DJ71" s="418">
        <v>110</v>
      </c>
      <c r="DK71" s="418">
        <v>111</v>
      </c>
      <c r="DL71" s="418">
        <v>112</v>
      </c>
      <c r="DM71" s="418">
        <v>113</v>
      </c>
      <c r="DN71" s="418">
        <v>114</v>
      </c>
      <c r="DO71" s="418">
        <v>115</v>
      </c>
      <c r="DP71" s="418">
        <v>116</v>
      </c>
      <c r="DQ71" s="418">
        <v>117</v>
      </c>
      <c r="DR71" s="418">
        <v>118</v>
      </c>
      <c r="DS71" s="418">
        <v>119</v>
      </c>
      <c r="DT71" s="418">
        <v>120</v>
      </c>
      <c r="DU71" s="418">
        <v>121</v>
      </c>
      <c r="DV71" s="418">
        <v>122</v>
      </c>
      <c r="DW71" s="418">
        <v>123</v>
      </c>
      <c r="DX71" s="418">
        <v>124</v>
      </c>
      <c r="DY71" s="418">
        <v>125</v>
      </c>
      <c r="DZ71" s="418">
        <v>126</v>
      </c>
      <c r="EA71" s="418">
        <v>127</v>
      </c>
      <c r="EB71" s="418">
        <v>128</v>
      </c>
      <c r="EC71" s="418">
        <v>129</v>
      </c>
      <c r="ED71" s="418">
        <v>130</v>
      </c>
      <c r="EE71" s="418">
        <v>131</v>
      </c>
      <c r="EF71" s="418">
        <v>132</v>
      </c>
      <c r="EG71" s="418">
        <v>133</v>
      </c>
      <c r="EH71" s="418">
        <v>134</v>
      </c>
      <c r="EI71" s="418">
        <v>135</v>
      </c>
      <c r="EJ71" s="418">
        <v>136</v>
      </c>
      <c r="EK71" s="418">
        <v>137</v>
      </c>
      <c r="EL71" s="418">
        <v>138</v>
      </c>
      <c r="EM71" s="418">
        <v>139</v>
      </c>
      <c r="EN71" s="418">
        <v>140</v>
      </c>
      <c r="EO71" s="418">
        <v>141</v>
      </c>
      <c r="EP71" s="418">
        <v>142</v>
      </c>
      <c r="EQ71" s="418">
        <v>143</v>
      </c>
      <c r="ER71" s="418">
        <v>144</v>
      </c>
      <c r="ES71" s="418">
        <v>145</v>
      </c>
      <c r="ET71" s="418">
        <v>146</v>
      </c>
      <c r="EU71" s="418">
        <v>147</v>
      </c>
      <c r="EV71" s="418">
        <v>148</v>
      </c>
      <c r="EW71" s="418">
        <v>149</v>
      </c>
      <c r="EX71" s="418">
        <v>150</v>
      </c>
      <c r="EY71" s="418">
        <v>151</v>
      </c>
      <c r="EZ71" s="418">
        <v>152</v>
      </c>
      <c r="FA71" s="418">
        <v>153</v>
      </c>
      <c r="FB71" s="418">
        <v>154</v>
      </c>
      <c r="FC71" s="418">
        <v>155</v>
      </c>
      <c r="FD71" s="418">
        <v>156</v>
      </c>
      <c r="FE71" s="418">
        <v>157</v>
      </c>
      <c r="FF71" s="418">
        <v>158</v>
      </c>
      <c r="FG71" s="418">
        <v>159</v>
      </c>
      <c r="FH71" s="418">
        <v>160</v>
      </c>
      <c r="FI71" s="418">
        <v>161</v>
      </c>
      <c r="FJ71" s="418">
        <v>162</v>
      </c>
      <c r="FK71" s="418">
        <v>163</v>
      </c>
      <c r="FL71" s="418">
        <v>164</v>
      </c>
      <c r="FM71" s="418">
        <v>165</v>
      </c>
      <c r="FN71" s="418">
        <v>166</v>
      </c>
      <c r="FO71" s="418">
        <v>167</v>
      </c>
      <c r="FP71" s="418">
        <v>168</v>
      </c>
      <c r="FQ71" s="418">
        <v>169</v>
      </c>
      <c r="FR71" s="418">
        <v>170</v>
      </c>
      <c r="FS71" s="418">
        <v>171</v>
      </c>
      <c r="FT71" s="418">
        <v>172</v>
      </c>
      <c r="FU71" s="418">
        <v>173</v>
      </c>
      <c r="FV71" s="418">
        <v>174</v>
      </c>
      <c r="FW71" s="418">
        <v>175</v>
      </c>
      <c r="FX71" s="418">
        <v>176</v>
      </c>
      <c r="FY71" s="418">
        <v>177</v>
      </c>
      <c r="FZ71" s="418">
        <v>178</v>
      </c>
      <c r="GA71" s="418">
        <v>179</v>
      </c>
      <c r="GB71" s="418">
        <v>180</v>
      </c>
      <c r="GC71" s="418">
        <v>181</v>
      </c>
      <c r="GD71" s="418">
        <v>182</v>
      </c>
      <c r="GE71" s="418">
        <v>183</v>
      </c>
      <c r="GF71" s="418">
        <v>184</v>
      </c>
      <c r="GG71" s="418">
        <v>185</v>
      </c>
      <c r="GH71" s="418">
        <v>186</v>
      </c>
      <c r="GI71" s="418">
        <v>187</v>
      </c>
      <c r="GJ71" s="418">
        <v>188</v>
      </c>
      <c r="GK71" s="418">
        <v>189</v>
      </c>
      <c r="GL71" s="418">
        <v>190</v>
      </c>
      <c r="GM71" s="418">
        <v>191</v>
      </c>
      <c r="GN71" s="418">
        <v>192</v>
      </c>
      <c r="GO71" s="418">
        <v>193</v>
      </c>
      <c r="GP71" s="418">
        <v>194</v>
      </c>
      <c r="GQ71" s="418">
        <v>195</v>
      </c>
      <c r="GR71" s="418">
        <v>196</v>
      </c>
      <c r="GS71" s="418">
        <v>197</v>
      </c>
      <c r="GT71" s="418">
        <v>198</v>
      </c>
      <c r="GU71" s="418">
        <v>199</v>
      </c>
      <c r="GV71" s="418">
        <v>200</v>
      </c>
      <c r="GW71" s="418">
        <v>201</v>
      </c>
      <c r="GX71" s="418">
        <v>202</v>
      </c>
      <c r="GY71" s="418">
        <v>203</v>
      </c>
      <c r="GZ71" s="418">
        <v>204</v>
      </c>
      <c r="HA71" s="418">
        <v>205</v>
      </c>
      <c r="HB71" s="418">
        <v>206</v>
      </c>
      <c r="HC71" s="418">
        <v>207</v>
      </c>
      <c r="HD71" s="418">
        <v>208</v>
      </c>
      <c r="HE71" s="418">
        <v>209</v>
      </c>
      <c r="HF71" s="418">
        <v>210</v>
      </c>
      <c r="HG71" s="418">
        <v>211</v>
      </c>
      <c r="HH71" s="418">
        <v>212</v>
      </c>
      <c r="HI71" s="418">
        <v>213</v>
      </c>
      <c r="HJ71" s="418">
        <v>214</v>
      </c>
      <c r="HK71" s="418">
        <v>215</v>
      </c>
      <c r="HL71" s="418">
        <v>216</v>
      </c>
      <c r="HM71" s="418">
        <v>217</v>
      </c>
      <c r="HN71" s="418">
        <v>218</v>
      </c>
      <c r="HO71" s="418">
        <v>219</v>
      </c>
      <c r="HP71" s="418">
        <v>220</v>
      </c>
      <c r="HQ71" s="418">
        <v>221</v>
      </c>
      <c r="HR71" s="418">
        <v>222</v>
      </c>
      <c r="HS71" s="418">
        <v>223</v>
      </c>
      <c r="HT71" s="418">
        <v>224</v>
      </c>
      <c r="HU71" s="418">
        <v>225</v>
      </c>
      <c r="HV71" s="418">
        <v>226</v>
      </c>
      <c r="HW71" s="418">
        <v>227</v>
      </c>
      <c r="HX71" s="418">
        <v>228</v>
      </c>
      <c r="HY71" s="418">
        <v>229</v>
      </c>
      <c r="HZ71" s="418">
        <v>230</v>
      </c>
      <c r="IA71" s="418">
        <v>231</v>
      </c>
      <c r="IB71" s="418">
        <v>232</v>
      </c>
      <c r="IC71" s="418">
        <v>233</v>
      </c>
      <c r="ID71" s="418">
        <v>234</v>
      </c>
      <c r="IE71" s="418">
        <v>235</v>
      </c>
      <c r="IF71" s="418">
        <v>236</v>
      </c>
      <c r="IG71" s="418">
        <v>237</v>
      </c>
      <c r="IH71" s="418">
        <v>238</v>
      </c>
      <c r="II71" s="418">
        <v>239</v>
      </c>
      <c r="IJ71" s="418">
        <v>240</v>
      </c>
      <c r="IK71" s="418">
        <v>241</v>
      </c>
      <c r="IL71" s="418">
        <v>242</v>
      </c>
      <c r="IM71" s="418">
        <v>243</v>
      </c>
      <c r="IN71" s="418">
        <v>244</v>
      </c>
      <c r="IO71" s="418">
        <v>245</v>
      </c>
      <c r="IP71" s="418">
        <v>246</v>
      </c>
      <c r="IQ71" s="418">
        <v>247</v>
      </c>
      <c r="IR71" s="418">
        <v>248</v>
      </c>
      <c r="IS71" s="418">
        <v>249</v>
      </c>
      <c r="IT71" s="418">
        <v>250</v>
      </c>
      <c r="IU71" s="418">
        <v>251</v>
      </c>
      <c r="IV71" s="418">
        <v>252</v>
      </c>
      <c r="IW71" s="418">
        <v>253</v>
      </c>
      <c r="IX71" s="418">
        <v>254</v>
      </c>
      <c r="IY71" s="418">
        <v>255</v>
      </c>
      <c r="IZ71" s="418">
        <v>256</v>
      </c>
      <c r="JA71" s="418">
        <v>257</v>
      </c>
      <c r="JB71" s="418">
        <v>258</v>
      </c>
      <c r="JC71" s="418">
        <v>259</v>
      </c>
      <c r="JD71" s="418">
        <v>260</v>
      </c>
      <c r="JE71" s="418">
        <v>261</v>
      </c>
      <c r="JF71" s="418">
        <v>262</v>
      </c>
      <c r="JG71" s="418">
        <v>263</v>
      </c>
      <c r="JH71" s="418">
        <v>264</v>
      </c>
      <c r="JI71" s="418">
        <v>265</v>
      </c>
      <c r="JJ71" s="418">
        <v>266</v>
      </c>
      <c r="JK71" s="418">
        <v>267</v>
      </c>
      <c r="JL71" s="418">
        <v>268</v>
      </c>
      <c r="JM71" s="418">
        <v>269</v>
      </c>
      <c r="JN71" s="418">
        <v>270</v>
      </c>
      <c r="JO71" s="418">
        <v>271</v>
      </c>
      <c r="JP71" s="418">
        <v>272</v>
      </c>
      <c r="JQ71" s="418">
        <v>273</v>
      </c>
      <c r="JR71" s="351"/>
      <c r="JS71" s="1365"/>
      <c r="JT71" s="1385"/>
    </row>
    <row r="72" spans="1:280" ht="13" thickBot="1" x14ac:dyDescent="0.3">
      <c r="A72" s="1367">
        <v>2</v>
      </c>
      <c r="B72" s="1386" t="str">
        <f>IF(WFP_Ind&gt;1,IF(HLOOKUP(WFP_Ind-1,WFP_RANGE,A72)="","",HLOOKUP(WFP_Ind-1,WFP_RANGE,A72)),"")</f>
        <v/>
      </c>
      <c r="C72" s="2476" t="s">
        <v>9625</v>
      </c>
      <c r="D72" s="1690" t="s">
        <v>2355</v>
      </c>
      <c r="E72" s="2431">
        <v>300</v>
      </c>
      <c r="F72" s="2431">
        <v>200</v>
      </c>
      <c r="G72" s="2432"/>
      <c r="H72" s="714"/>
      <c r="I72" s="714"/>
      <c r="J72" s="714"/>
      <c r="K72" s="714"/>
      <c r="L72" s="714"/>
      <c r="M72" s="714"/>
      <c r="N72" s="714"/>
      <c r="O72" s="714"/>
      <c r="P72" s="714"/>
      <c r="Q72" s="714"/>
      <c r="R72" s="715"/>
      <c r="S72" s="715"/>
      <c r="T72" s="715"/>
      <c r="U72" s="715"/>
      <c r="V72" s="715"/>
      <c r="W72" s="715"/>
      <c r="X72" s="715"/>
      <c r="Y72" s="715"/>
      <c r="Z72" s="715"/>
      <c r="AA72" s="715"/>
      <c r="AB72" s="715"/>
      <c r="AC72" s="715"/>
      <c r="AD72" s="715"/>
      <c r="AE72" s="715"/>
      <c r="AF72" s="715"/>
      <c r="AG72" s="715"/>
      <c r="AH72" s="715"/>
      <c r="AI72" s="715"/>
      <c r="AJ72" s="715"/>
      <c r="AK72" s="715"/>
      <c r="AL72" s="715"/>
      <c r="AM72" s="715"/>
      <c r="AN72" s="715"/>
      <c r="AO72" s="715"/>
      <c r="AP72" s="715"/>
      <c r="AQ72" s="715"/>
      <c r="AR72" s="715"/>
      <c r="AS72" s="714"/>
      <c r="AT72" s="714"/>
      <c r="AU72" s="714"/>
      <c r="AV72" s="715"/>
      <c r="AW72" s="714"/>
      <c r="AX72" s="712"/>
      <c r="AY72" s="715"/>
      <c r="AZ72" s="715"/>
      <c r="BA72" s="715"/>
      <c r="BB72" s="715"/>
      <c r="BC72" s="715"/>
      <c r="BD72" s="715"/>
      <c r="BE72" s="712"/>
      <c r="BF72" s="712"/>
      <c r="BG72" s="712"/>
      <c r="BH72" s="712"/>
      <c r="BI72" s="712"/>
      <c r="BJ72" s="715"/>
      <c r="BK72" s="712"/>
      <c r="BL72" s="715"/>
      <c r="BM72" s="715"/>
      <c r="BN72" s="715"/>
      <c r="BO72" s="715"/>
      <c r="BP72" s="715"/>
      <c r="BQ72" s="715"/>
      <c r="BR72" s="715"/>
      <c r="BS72" s="715"/>
      <c r="BT72" s="715"/>
      <c r="BU72" s="715"/>
      <c r="BV72" s="2421">
        <v>309</v>
      </c>
      <c r="BW72" s="715"/>
      <c r="BX72" s="715"/>
      <c r="BY72" s="715"/>
      <c r="BZ72" s="715"/>
      <c r="CA72" s="716"/>
      <c r="CB72" s="716"/>
      <c r="CC72" s="716"/>
      <c r="CD72" s="715"/>
      <c r="CE72" s="716"/>
      <c r="CF72" s="715"/>
      <c r="CG72" s="716"/>
      <c r="CH72" s="715"/>
      <c r="CI72" s="1007">
        <v>101</v>
      </c>
      <c r="CJ72" s="715"/>
      <c r="CK72" s="716"/>
      <c r="CL72" s="715"/>
      <c r="CM72" s="716"/>
      <c r="CN72" s="715"/>
      <c r="CO72" s="716"/>
      <c r="CP72" s="715"/>
      <c r="CQ72" s="716"/>
      <c r="CR72" s="715"/>
      <c r="CS72" s="716"/>
      <c r="CT72" s="715"/>
      <c r="CU72" s="716"/>
      <c r="CV72" s="715"/>
      <c r="CW72" s="716"/>
      <c r="CX72" s="715"/>
      <c r="CY72" s="716"/>
      <c r="CZ72" s="715"/>
      <c r="DA72" s="716"/>
      <c r="DB72" s="716"/>
      <c r="DC72" s="716"/>
      <c r="DD72" s="715"/>
      <c r="DE72" s="716"/>
      <c r="DF72" s="715"/>
      <c r="DG72" s="716"/>
      <c r="DH72" s="715"/>
      <c r="DI72" s="716"/>
      <c r="DJ72" s="715"/>
      <c r="DK72" s="716"/>
      <c r="DL72" s="715"/>
      <c r="DM72" s="716"/>
      <c r="DN72" s="715"/>
      <c r="DO72" s="716"/>
      <c r="DP72" s="715"/>
      <c r="DQ72" s="716"/>
      <c r="DR72" s="715"/>
      <c r="DS72" s="716"/>
      <c r="DT72" s="715"/>
      <c r="DU72" s="714"/>
      <c r="DV72" s="714"/>
      <c r="DW72" s="716"/>
      <c r="DX72" s="715"/>
      <c r="DY72" s="716"/>
      <c r="DZ72" s="715"/>
      <c r="EA72" s="715"/>
      <c r="EB72" s="715"/>
      <c r="EC72" s="716"/>
      <c r="ED72" s="715"/>
      <c r="EE72" s="716"/>
      <c r="EF72" s="715"/>
      <c r="EG72" s="716"/>
      <c r="EH72" s="715"/>
      <c r="EI72" s="716"/>
      <c r="EJ72" s="715"/>
      <c r="EK72" s="716"/>
      <c r="EL72" s="716"/>
      <c r="EM72" s="716"/>
      <c r="EN72" s="715"/>
      <c r="EO72" s="716"/>
      <c r="EP72" s="715"/>
      <c r="EQ72" s="716"/>
      <c r="ER72" s="715"/>
      <c r="ES72" s="716"/>
      <c r="ET72" s="715"/>
      <c r="EU72" s="716"/>
      <c r="EV72" s="715"/>
      <c r="EW72" s="715"/>
      <c r="EX72" s="715"/>
      <c r="EY72" s="716"/>
      <c r="EZ72" s="715"/>
      <c r="FA72" s="716"/>
      <c r="FB72" s="715"/>
      <c r="FC72" s="716"/>
      <c r="FD72" s="715"/>
      <c r="FE72" s="716"/>
      <c r="FF72" s="715"/>
      <c r="FG72" s="716"/>
      <c r="FH72" s="715"/>
      <c r="FI72" s="716"/>
      <c r="FJ72" s="716"/>
      <c r="FK72" s="716"/>
      <c r="FL72" s="715"/>
      <c r="FM72" s="716"/>
      <c r="FN72" s="715"/>
      <c r="FO72" s="716"/>
      <c r="FP72" s="716"/>
      <c r="FQ72" s="716"/>
      <c r="FR72" s="715"/>
      <c r="FS72" s="716"/>
      <c r="FT72" s="715"/>
      <c r="FU72" s="716"/>
      <c r="FV72" s="715"/>
      <c r="FW72" s="716"/>
      <c r="FX72" s="715"/>
      <c r="FY72" s="716"/>
      <c r="FZ72" s="715"/>
      <c r="GA72" s="716"/>
      <c r="GB72" s="715"/>
      <c r="GC72" s="714"/>
      <c r="GD72" s="714"/>
      <c r="GE72" s="716"/>
      <c r="GF72" s="715"/>
      <c r="GG72" s="715"/>
      <c r="GH72" s="715"/>
      <c r="GI72" s="716"/>
      <c r="GJ72" s="715"/>
      <c r="GK72" s="716"/>
      <c r="GL72" s="715"/>
      <c r="GM72" s="716"/>
      <c r="GN72" s="715"/>
      <c r="GO72" s="716"/>
      <c r="GP72" s="715"/>
      <c r="GQ72" s="716"/>
      <c r="GR72" s="715"/>
      <c r="GS72" s="716"/>
      <c r="GT72" s="715"/>
      <c r="GU72" s="716"/>
      <c r="GV72" s="715"/>
      <c r="GW72" s="716"/>
      <c r="GX72" s="715"/>
      <c r="GY72" s="716"/>
      <c r="GZ72" s="715"/>
      <c r="HA72" s="716"/>
      <c r="HB72" s="715"/>
      <c r="HC72" s="716"/>
      <c r="HD72" s="715"/>
      <c r="HE72" s="716"/>
      <c r="HF72" s="715"/>
      <c r="HG72" s="716"/>
      <c r="HH72" s="715"/>
      <c r="HI72" s="716"/>
      <c r="HJ72" s="715"/>
      <c r="HK72" s="716"/>
      <c r="HL72" s="715"/>
      <c r="HM72" s="716"/>
      <c r="HN72" s="715"/>
      <c r="HO72" s="716"/>
      <c r="HP72" s="715"/>
      <c r="HQ72" s="716"/>
      <c r="HR72" s="715"/>
      <c r="HS72" s="716"/>
      <c r="HT72" s="715"/>
      <c r="HU72" s="716"/>
      <c r="HV72" s="716"/>
      <c r="HW72" s="716"/>
      <c r="HX72" s="715"/>
      <c r="HY72" s="716"/>
      <c r="HZ72" s="715"/>
      <c r="IA72" s="716"/>
      <c r="IB72" s="715"/>
      <c r="IC72" s="716"/>
      <c r="ID72" s="715"/>
      <c r="IE72" s="716"/>
      <c r="IF72" s="715"/>
      <c r="IG72" s="716"/>
      <c r="IH72" s="715"/>
      <c r="II72" s="716"/>
      <c r="IJ72" s="715"/>
      <c r="IK72" s="716"/>
      <c r="IL72" s="715"/>
      <c r="IM72" s="716"/>
      <c r="IN72" s="715"/>
      <c r="IO72" s="716"/>
      <c r="IP72" s="715"/>
      <c r="IQ72" s="715"/>
      <c r="IR72" s="715"/>
      <c r="IS72" s="715"/>
      <c r="IT72" s="715"/>
      <c r="IU72" s="715"/>
      <c r="IV72" s="715"/>
      <c r="IW72" s="715"/>
      <c r="IX72" s="715"/>
      <c r="IY72" s="715"/>
      <c r="IZ72" s="715"/>
      <c r="JA72" s="715"/>
      <c r="JB72" s="715"/>
      <c r="JC72" s="715"/>
      <c r="JD72" s="715"/>
      <c r="JE72" s="715"/>
      <c r="JF72" s="715"/>
      <c r="JG72" s="715"/>
      <c r="JH72" s="715"/>
      <c r="JI72" s="715"/>
      <c r="JJ72" s="715"/>
      <c r="JK72" s="715"/>
      <c r="JL72" s="715"/>
      <c r="JM72" s="715"/>
      <c r="JN72" s="715"/>
      <c r="JO72" s="715"/>
      <c r="JP72" s="715"/>
      <c r="JQ72" s="711"/>
      <c r="JR72" s="11"/>
      <c r="JS72" s="1365"/>
      <c r="JT72" s="1385"/>
    </row>
    <row r="73" spans="1:280" ht="12" thickBot="1" x14ac:dyDescent="0.3">
      <c r="C73" s="261" t="s">
        <v>2356</v>
      </c>
      <c r="D73" s="137"/>
      <c r="G73" s="35"/>
      <c r="AU73" s="35"/>
    </row>
    <row r="74" spans="1:280" ht="12.5" x14ac:dyDescent="0.25">
      <c r="A74" s="1357" t="s">
        <v>2201</v>
      </c>
      <c r="B74" s="406" t="str">
        <f>"selected "&amp;MAT_Ind-1</f>
        <v>selected 0</v>
      </c>
      <c r="C74" s="287" t="s">
        <v>10</v>
      </c>
      <c r="D74" s="262"/>
      <c r="E74" s="418">
        <v>1</v>
      </c>
      <c r="F74" s="418">
        <v>2</v>
      </c>
      <c r="G74" s="418">
        <v>3</v>
      </c>
      <c r="H74" s="418">
        <v>4</v>
      </c>
      <c r="I74" s="418">
        <v>5</v>
      </c>
      <c r="J74" s="418">
        <v>6</v>
      </c>
      <c r="K74" s="418">
        <v>7</v>
      </c>
      <c r="L74" s="418">
        <v>8</v>
      </c>
      <c r="M74" s="418">
        <v>9</v>
      </c>
      <c r="N74" s="418">
        <v>10</v>
      </c>
      <c r="O74" s="418">
        <v>11</v>
      </c>
      <c r="P74" s="418">
        <v>12</v>
      </c>
      <c r="Q74" s="418">
        <v>13</v>
      </c>
      <c r="R74" s="418">
        <v>14</v>
      </c>
      <c r="S74" s="418">
        <v>15</v>
      </c>
      <c r="T74" s="418">
        <v>16</v>
      </c>
      <c r="U74" s="418">
        <v>17</v>
      </c>
      <c r="V74" s="418">
        <v>18</v>
      </c>
      <c r="W74" s="418">
        <v>19</v>
      </c>
      <c r="X74" s="418">
        <v>20</v>
      </c>
      <c r="Y74" s="418">
        <v>21</v>
      </c>
      <c r="Z74" s="418">
        <v>22</v>
      </c>
      <c r="AA74" s="418">
        <v>23</v>
      </c>
      <c r="AB74" s="418">
        <v>24</v>
      </c>
      <c r="AC74" s="418">
        <v>25</v>
      </c>
      <c r="AD74" s="418">
        <v>26</v>
      </c>
      <c r="AE74" s="418">
        <v>27</v>
      </c>
      <c r="AF74" s="418">
        <v>28</v>
      </c>
      <c r="AG74" s="418">
        <v>29</v>
      </c>
      <c r="AH74" s="418">
        <v>30</v>
      </c>
      <c r="AI74" s="418">
        <v>31</v>
      </c>
      <c r="AJ74" s="418">
        <v>32</v>
      </c>
      <c r="AK74" s="418">
        <v>33</v>
      </c>
      <c r="AL74" s="418">
        <v>34</v>
      </c>
      <c r="AM74" s="418">
        <v>35</v>
      </c>
      <c r="AN74" s="418">
        <v>36</v>
      </c>
      <c r="AO74" s="418">
        <v>37</v>
      </c>
      <c r="AP74" s="418">
        <v>38</v>
      </c>
      <c r="AQ74" s="418">
        <v>39</v>
      </c>
      <c r="AR74" s="418">
        <v>40</v>
      </c>
      <c r="AS74" s="418">
        <v>41</v>
      </c>
      <c r="AT74" s="418">
        <v>42</v>
      </c>
      <c r="AU74" s="418">
        <v>43</v>
      </c>
      <c r="AV74" s="418">
        <v>44</v>
      </c>
      <c r="AW74" s="418">
        <v>45</v>
      </c>
      <c r="AX74" s="418">
        <v>46</v>
      </c>
      <c r="AY74" s="418">
        <v>47</v>
      </c>
      <c r="AZ74" s="418">
        <v>48</v>
      </c>
      <c r="BA74" s="418">
        <v>49</v>
      </c>
      <c r="BB74" s="418">
        <v>50</v>
      </c>
      <c r="BC74" s="418">
        <v>51</v>
      </c>
      <c r="BD74" s="418">
        <v>52</v>
      </c>
      <c r="BE74" s="418">
        <v>53</v>
      </c>
      <c r="BF74" s="418">
        <v>54</v>
      </c>
      <c r="BG74" s="418">
        <v>55</v>
      </c>
      <c r="BH74" s="418">
        <v>56</v>
      </c>
      <c r="BI74" s="418">
        <v>57</v>
      </c>
      <c r="BJ74" s="418">
        <v>58</v>
      </c>
      <c r="BK74" s="418">
        <v>59</v>
      </c>
      <c r="BL74" s="418">
        <v>60</v>
      </c>
      <c r="BM74" s="418">
        <v>61</v>
      </c>
      <c r="BN74" s="418">
        <v>62</v>
      </c>
      <c r="BO74" s="418">
        <v>63</v>
      </c>
      <c r="BP74" s="418">
        <v>64</v>
      </c>
      <c r="BQ74" s="418">
        <v>65</v>
      </c>
      <c r="BR74" s="418">
        <v>66</v>
      </c>
      <c r="BS74" s="418">
        <v>67</v>
      </c>
      <c r="BT74" s="418">
        <v>68</v>
      </c>
      <c r="BU74" s="418">
        <v>69</v>
      </c>
      <c r="BV74" s="418">
        <v>70</v>
      </c>
      <c r="BW74" s="418">
        <v>71</v>
      </c>
      <c r="BX74" s="418">
        <v>72</v>
      </c>
      <c r="BY74" s="418">
        <v>73</v>
      </c>
      <c r="BZ74" s="418">
        <v>74</v>
      </c>
      <c r="CA74" s="418">
        <v>75</v>
      </c>
      <c r="CB74" s="418">
        <v>76</v>
      </c>
      <c r="CC74" s="418">
        <v>77</v>
      </c>
      <c r="CD74" s="418">
        <v>78</v>
      </c>
      <c r="CE74" s="418">
        <v>79</v>
      </c>
      <c r="CF74" s="418">
        <v>80</v>
      </c>
      <c r="CG74" s="418">
        <v>81</v>
      </c>
      <c r="CH74" s="418">
        <v>82</v>
      </c>
      <c r="CI74" s="418">
        <v>83</v>
      </c>
      <c r="CJ74" s="418">
        <v>84</v>
      </c>
      <c r="CK74" s="418">
        <v>85</v>
      </c>
      <c r="CL74" s="418">
        <v>86</v>
      </c>
      <c r="CM74" s="418">
        <v>87</v>
      </c>
      <c r="CN74" s="418">
        <v>88</v>
      </c>
      <c r="CO74" s="418">
        <v>89</v>
      </c>
      <c r="CP74" s="418">
        <v>90</v>
      </c>
      <c r="CQ74" s="418">
        <v>91</v>
      </c>
      <c r="CR74" s="418">
        <v>92</v>
      </c>
      <c r="CS74" s="418">
        <v>93</v>
      </c>
      <c r="CT74" s="418">
        <v>94</v>
      </c>
      <c r="CU74" s="418">
        <v>95</v>
      </c>
      <c r="CV74" s="418">
        <v>96</v>
      </c>
      <c r="CW74" s="418">
        <v>97</v>
      </c>
      <c r="CX74" s="418">
        <v>98</v>
      </c>
      <c r="CY74" s="418">
        <v>99</v>
      </c>
      <c r="CZ74" s="418">
        <v>100</v>
      </c>
      <c r="DA74" s="418">
        <v>101</v>
      </c>
      <c r="DB74" s="418">
        <v>102</v>
      </c>
      <c r="DC74" s="418">
        <v>103</v>
      </c>
      <c r="DD74" s="418">
        <v>104</v>
      </c>
      <c r="DE74" s="418">
        <v>105</v>
      </c>
      <c r="DF74" s="418">
        <v>106</v>
      </c>
      <c r="DG74" s="418">
        <v>107</v>
      </c>
      <c r="DH74" s="418">
        <v>108</v>
      </c>
      <c r="DI74" s="418">
        <v>109</v>
      </c>
      <c r="DJ74" s="418">
        <v>110</v>
      </c>
      <c r="DK74" s="418">
        <v>111</v>
      </c>
      <c r="DL74" s="418">
        <v>112</v>
      </c>
      <c r="DM74" s="418">
        <v>113</v>
      </c>
      <c r="DN74" s="418">
        <v>114</v>
      </c>
      <c r="DO74" s="418">
        <v>115</v>
      </c>
      <c r="DP74" s="418">
        <v>116</v>
      </c>
      <c r="DQ74" s="418">
        <v>117</v>
      </c>
      <c r="DR74" s="418">
        <v>118</v>
      </c>
      <c r="DS74" s="418">
        <v>119</v>
      </c>
      <c r="DT74" s="418">
        <v>120</v>
      </c>
      <c r="DU74" s="418">
        <v>121</v>
      </c>
      <c r="DV74" s="418">
        <v>122</v>
      </c>
      <c r="DW74" s="418">
        <v>123</v>
      </c>
      <c r="DX74" s="418">
        <v>124</v>
      </c>
      <c r="DY74" s="418">
        <v>125</v>
      </c>
      <c r="DZ74" s="418">
        <v>126</v>
      </c>
      <c r="EA74" s="418">
        <v>127</v>
      </c>
      <c r="EB74" s="418">
        <v>128</v>
      </c>
      <c r="EC74" s="418">
        <v>129</v>
      </c>
      <c r="ED74" s="418">
        <v>130</v>
      </c>
      <c r="EE74" s="418">
        <v>131</v>
      </c>
      <c r="EF74" s="418">
        <v>132</v>
      </c>
      <c r="EG74" s="418">
        <v>133</v>
      </c>
      <c r="EH74" s="418">
        <v>134</v>
      </c>
      <c r="EI74" s="418">
        <v>135</v>
      </c>
      <c r="EJ74" s="418">
        <v>136</v>
      </c>
      <c r="EK74" s="418">
        <v>137</v>
      </c>
      <c r="EL74" s="418">
        <v>138</v>
      </c>
      <c r="EM74" s="418">
        <v>139</v>
      </c>
      <c r="EN74" s="418">
        <v>140</v>
      </c>
      <c r="EO74" s="418">
        <v>141</v>
      </c>
      <c r="EP74" s="418">
        <v>142</v>
      </c>
      <c r="EQ74" s="418">
        <v>143</v>
      </c>
      <c r="ER74" s="418">
        <v>144</v>
      </c>
      <c r="ES74" s="418">
        <v>145</v>
      </c>
      <c r="ET74" s="418">
        <v>146</v>
      </c>
      <c r="EU74" s="418">
        <v>147</v>
      </c>
      <c r="EV74" s="418">
        <v>148</v>
      </c>
      <c r="EW74" s="418">
        <v>149</v>
      </c>
      <c r="EX74" s="418">
        <v>150</v>
      </c>
      <c r="EY74" s="418">
        <v>151</v>
      </c>
      <c r="EZ74" s="418">
        <v>152</v>
      </c>
      <c r="FA74" s="418">
        <v>153</v>
      </c>
      <c r="FB74" s="418">
        <v>154</v>
      </c>
      <c r="FC74" s="418">
        <v>155</v>
      </c>
      <c r="FD74" s="418">
        <v>156</v>
      </c>
      <c r="FE74" s="418">
        <v>157</v>
      </c>
      <c r="FF74" s="418">
        <v>158</v>
      </c>
      <c r="FG74" s="418">
        <v>159</v>
      </c>
      <c r="FH74" s="418">
        <v>160</v>
      </c>
      <c r="FI74" s="418">
        <v>161</v>
      </c>
      <c r="FJ74" s="418">
        <v>162</v>
      </c>
      <c r="FK74" s="418">
        <v>163</v>
      </c>
      <c r="FL74" s="418">
        <v>164</v>
      </c>
      <c r="FM74" s="418">
        <v>165</v>
      </c>
      <c r="FN74" s="418">
        <v>166</v>
      </c>
      <c r="FO74" s="418">
        <v>167</v>
      </c>
      <c r="FP74" s="418">
        <v>168</v>
      </c>
      <c r="FQ74" s="418">
        <v>169</v>
      </c>
      <c r="FR74" s="418">
        <v>170</v>
      </c>
      <c r="FS74" s="418">
        <v>171</v>
      </c>
      <c r="FT74" s="418">
        <v>172</v>
      </c>
      <c r="FU74" s="418">
        <v>173</v>
      </c>
      <c r="FV74" s="418">
        <v>174</v>
      </c>
      <c r="FW74" s="418">
        <v>175</v>
      </c>
      <c r="FX74" s="418">
        <v>176</v>
      </c>
      <c r="FY74" s="418">
        <v>177</v>
      </c>
      <c r="FZ74" s="418">
        <v>178</v>
      </c>
      <c r="GA74" s="418">
        <v>179</v>
      </c>
      <c r="GB74" s="418">
        <v>180</v>
      </c>
      <c r="GC74" s="418">
        <v>181</v>
      </c>
      <c r="GD74" s="418">
        <v>182</v>
      </c>
      <c r="GE74" s="418">
        <v>183</v>
      </c>
      <c r="GF74" s="418">
        <v>184</v>
      </c>
      <c r="GG74" s="418">
        <v>185</v>
      </c>
      <c r="GH74" s="418">
        <v>186</v>
      </c>
      <c r="GI74" s="418">
        <v>187</v>
      </c>
      <c r="GJ74" s="418">
        <v>188</v>
      </c>
      <c r="GK74" s="418">
        <v>189</v>
      </c>
      <c r="GL74" s="418">
        <v>190</v>
      </c>
      <c r="GM74" s="418">
        <v>191</v>
      </c>
      <c r="GN74" s="418">
        <v>192</v>
      </c>
      <c r="GO74" s="418">
        <v>193</v>
      </c>
      <c r="GP74" s="418">
        <v>194</v>
      </c>
      <c r="GQ74" s="418">
        <v>195</v>
      </c>
      <c r="GR74" s="418">
        <v>196</v>
      </c>
      <c r="GS74" s="418">
        <v>197</v>
      </c>
      <c r="GT74" s="418">
        <v>198</v>
      </c>
      <c r="GU74" s="418">
        <v>199</v>
      </c>
      <c r="GV74" s="418">
        <v>200</v>
      </c>
      <c r="GW74" s="418">
        <v>201</v>
      </c>
      <c r="GX74" s="418">
        <v>202</v>
      </c>
      <c r="GY74" s="418">
        <v>203</v>
      </c>
      <c r="GZ74" s="418">
        <v>204</v>
      </c>
      <c r="HA74" s="418">
        <v>205</v>
      </c>
      <c r="HB74" s="418">
        <v>206</v>
      </c>
      <c r="HC74" s="418">
        <v>207</v>
      </c>
      <c r="HD74" s="418">
        <v>208</v>
      </c>
      <c r="HE74" s="418">
        <v>209</v>
      </c>
      <c r="HF74" s="418">
        <v>210</v>
      </c>
      <c r="HG74" s="418">
        <v>211</v>
      </c>
      <c r="HH74" s="418">
        <v>212</v>
      </c>
      <c r="HI74" s="418">
        <v>213</v>
      </c>
      <c r="HJ74" s="418">
        <v>214</v>
      </c>
      <c r="HK74" s="418">
        <v>215</v>
      </c>
      <c r="HL74" s="418">
        <v>216</v>
      </c>
      <c r="HM74" s="418">
        <v>217</v>
      </c>
      <c r="HN74" s="418">
        <v>218</v>
      </c>
      <c r="HO74" s="418">
        <v>219</v>
      </c>
      <c r="HP74" s="418">
        <v>220</v>
      </c>
      <c r="HQ74" s="418">
        <v>221</v>
      </c>
      <c r="HR74" s="418">
        <v>222</v>
      </c>
      <c r="HS74" s="418">
        <v>223</v>
      </c>
      <c r="HT74" s="418">
        <v>224</v>
      </c>
      <c r="HU74" s="418">
        <v>225</v>
      </c>
      <c r="HV74" s="418">
        <v>226</v>
      </c>
      <c r="HW74" s="418">
        <v>227</v>
      </c>
      <c r="HX74" s="418">
        <v>228</v>
      </c>
      <c r="HY74" s="418">
        <v>229</v>
      </c>
      <c r="HZ74" s="418">
        <v>230</v>
      </c>
      <c r="IA74" s="418">
        <v>231</v>
      </c>
      <c r="IB74" s="418">
        <v>232</v>
      </c>
      <c r="IC74" s="418">
        <v>233</v>
      </c>
      <c r="ID74" s="418">
        <v>234</v>
      </c>
      <c r="IE74" s="418">
        <v>235</v>
      </c>
      <c r="IF74" s="418">
        <v>236</v>
      </c>
      <c r="IG74" s="418">
        <v>237</v>
      </c>
      <c r="IH74" s="418">
        <v>238</v>
      </c>
      <c r="II74" s="418">
        <v>239</v>
      </c>
      <c r="IJ74" s="418">
        <v>240</v>
      </c>
      <c r="IK74" s="418">
        <v>241</v>
      </c>
      <c r="IL74" s="418">
        <v>242</v>
      </c>
      <c r="IM74" s="418">
        <v>243</v>
      </c>
      <c r="IN74" s="418">
        <v>244</v>
      </c>
      <c r="IO74" s="418">
        <v>245</v>
      </c>
      <c r="IP74" s="418">
        <v>246</v>
      </c>
      <c r="IQ74" s="418">
        <v>247</v>
      </c>
      <c r="IR74" s="418">
        <v>248</v>
      </c>
      <c r="IS74" s="418">
        <v>249</v>
      </c>
      <c r="IT74" s="418">
        <v>250</v>
      </c>
      <c r="IU74" s="418">
        <v>251</v>
      </c>
      <c r="IV74" s="418">
        <v>252</v>
      </c>
      <c r="IW74" s="418">
        <v>253</v>
      </c>
      <c r="IX74" s="418">
        <v>254</v>
      </c>
      <c r="IY74" s="418">
        <v>255</v>
      </c>
      <c r="IZ74" s="418">
        <v>256</v>
      </c>
      <c r="JA74" s="418">
        <v>257</v>
      </c>
      <c r="JB74" s="418">
        <v>258</v>
      </c>
      <c r="JC74" s="418">
        <v>259</v>
      </c>
      <c r="JD74" s="418">
        <v>260</v>
      </c>
      <c r="JE74" s="418">
        <v>261</v>
      </c>
      <c r="JF74" s="418">
        <v>262</v>
      </c>
      <c r="JG74" s="418">
        <v>263</v>
      </c>
      <c r="JH74" s="418">
        <v>264</v>
      </c>
      <c r="JI74" s="418">
        <v>265</v>
      </c>
      <c r="JJ74" s="418">
        <v>266</v>
      </c>
      <c r="JK74" s="418">
        <v>267</v>
      </c>
      <c r="JL74" s="418">
        <v>268</v>
      </c>
      <c r="JM74" s="418">
        <v>269</v>
      </c>
      <c r="JN74" s="418">
        <v>270</v>
      </c>
      <c r="JO74" s="418">
        <v>271</v>
      </c>
      <c r="JP74" s="418">
        <v>272</v>
      </c>
      <c r="JQ74" s="418">
        <v>273</v>
      </c>
      <c r="JR74" s="351"/>
      <c r="JT74" s="1385" t="s">
        <v>2199</v>
      </c>
    </row>
    <row r="75" spans="1:280" x14ac:dyDescent="0.25">
      <c r="A75" s="1357">
        <v>2</v>
      </c>
      <c r="B75" s="1387" t="str">
        <f>IF(MAT_Ind&gt;1,IF(HLOOKUP(MAT_Ind-1,MAT_RANGE,A75)="","",HLOOKUP(MAT_Ind-1,MAT_RANGE,A75)),"")</f>
        <v/>
      </c>
      <c r="C75" s="1359" t="s">
        <v>2357</v>
      </c>
      <c r="D75" s="1360" t="s">
        <v>2358</v>
      </c>
      <c r="E75" s="1381"/>
      <c r="F75" s="1381"/>
      <c r="G75" s="1381"/>
      <c r="H75" s="1381"/>
      <c r="I75" s="1381"/>
      <c r="J75" s="1381"/>
      <c r="K75" s="1381"/>
      <c r="L75" s="1381"/>
      <c r="M75" s="1381"/>
      <c r="N75" s="1381"/>
      <c r="O75" s="1381"/>
      <c r="P75" s="1381"/>
      <c r="Q75" s="1381"/>
      <c r="R75" s="1381"/>
      <c r="S75" s="1381" t="s">
        <v>1707</v>
      </c>
      <c r="T75" s="1381"/>
      <c r="U75" s="1381"/>
      <c r="V75" s="1381"/>
      <c r="W75" s="1381"/>
      <c r="X75" s="1381"/>
      <c r="Y75" s="1381"/>
      <c r="Z75" s="1381"/>
      <c r="AA75" s="1381"/>
      <c r="AB75" s="1381"/>
      <c r="AC75" s="1381"/>
      <c r="AD75" s="1381"/>
      <c r="AE75" s="1381"/>
      <c r="AF75" s="1381"/>
      <c r="AG75" s="1381"/>
      <c r="AH75" s="1381"/>
      <c r="AI75" s="1381"/>
      <c r="AJ75" s="1381"/>
      <c r="AK75" s="1381"/>
      <c r="AL75" s="1381"/>
      <c r="AM75" s="1381"/>
      <c r="AN75" s="1381"/>
      <c r="AO75" s="1381"/>
      <c r="AP75" s="1381"/>
      <c r="AQ75" s="1381"/>
      <c r="AR75" s="1381"/>
      <c r="AS75" s="1381"/>
      <c r="AT75" s="1381" t="s">
        <v>1707</v>
      </c>
      <c r="AU75" s="1381"/>
      <c r="AV75" s="1381"/>
      <c r="AW75" s="1381"/>
      <c r="AX75" s="1381"/>
      <c r="AY75" s="1381"/>
      <c r="AZ75" s="1381"/>
      <c r="BA75" s="1381"/>
      <c r="BB75" s="1381"/>
      <c r="BC75" s="1381"/>
      <c r="BD75" s="1381"/>
      <c r="BE75" s="1381"/>
      <c r="BF75" s="1381"/>
      <c r="BG75" s="1381"/>
      <c r="BH75" s="1381"/>
      <c r="BI75" s="1381"/>
      <c r="BJ75" s="1381"/>
      <c r="BK75" s="1381"/>
      <c r="BL75" s="1381"/>
      <c r="BM75" s="1381"/>
      <c r="BN75" s="1381"/>
      <c r="BO75" s="1381"/>
      <c r="BP75" s="1381"/>
      <c r="BQ75" s="1381"/>
      <c r="BR75" s="1381"/>
      <c r="BS75" s="1381"/>
      <c r="BT75" s="1381"/>
      <c r="BU75" s="1381"/>
      <c r="BV75" s="1381"/>
      <c r="BW75" s="1381"/>
      <c r="BX75" s="1381"/>
      <c r="BY75" s="1381"/>
      <c r="BZ75" s="1381"/>
      <c r="CA75" s="1381"/>
      <c r="CB75" s="1381"/>
      <c r="CC75" s="1381"/>
      <c r="CD75" s="1381"/>
      <c r="CE75" s="1381"/>
      <c r="CF75" s="1381"/>
      <c r="CG75" s="1381"/>
      <c r="CH75" s="1381"/>
      <c r="CI75" s="1381"/>
      <c r="CJ75" s="1381"/>
      <c r="CK75" s="1381"/>
      <c r="CL75" s="1381"/>
      <c r="CM75" s="1381"/>
      <c r="CN75" s="1381"/>
      <c r="CO75" s="1381" t="s">
        <v>1707</v>
      </c>
      <c r="CP75" s="1381"/>
      <c r="CQ75" s="1381"/>
      <c r="CR75" s="1381"/>
      <c r="CS75" s="1381"/>
      <c r="CT75" s="1381"/>
      <c r="CU75" s="1381"/>
      <c r="CV75" s="1381"/>
      <c r="CW75" s="1381"/>
      <c r="CX75" s="1381"/>
      <c r="CY75" s="1381"/>
      <c r="CZ75" s="1381"/>
      <c r="DA75" s="1381"/>
      <c r="DB75" s="1381"/>
      <c r="DC75" s="1381"/>
      <c r="DD75" s="1381"/>
      <c r="DE75" s="1381"/>
      <c r="DF75" s="1381"/>
      <c r="DG75" s="1381"/>
      <c r="DH75" s="1381"/>
      <c r="DI75" s="1381"/>
      <c r="DJ75" s="1381"/>
      <c r="DK75" s="1381"/>
      <c r="DL75" s="1381"/>
      <c r="DM75" s="1381"/>
      <c r="DN75" s="1381"/>
      <c r="DO75" s="1381"/>
      <c r="DP75" s="1381"/>
      <c r="DQ75" s="1381"/>
      <c r="DR75" s="1381"/>
      <c r="DS75" s="1381"/>
      <c r="DT75" s="1381"/>
      <c r="DU75" s="1381"/>
      <c r="DV75" s="1381"/>
      <c r="DW75" s="1381"/>
      <c r="DX75" s="1381"/>
      <c r="DY75" s="1381"/>
      <c r="DZ75" s="1381"/>
      <c r="EA75" s="1381"/>
      <c r="EB75" s="1381"/>
      <c r="EC75" s="1381"/>
      <c r="ED75" s="1381"/>
      <c r="EE75" s="1381"/>
      <c r="EF75" s="1381"/>
      <c r="EG75" s="1381"/>
      <c r="EH75" s="1381"/>
      <c r="EI75" s="1381"/>
      <c r="EJ75" s="1381"/>
      <c r="EK75" s="1381"/>
      <c r="EL75" s="1381"/>
      <c r="EM75" s="1381"/>
      <c r="EN75" s="1381"/>
      <c r="EO75" s="1381"/>
      <c r="EP75" s="1381"/>
      <c r="EQ75" s="1381"/>
      <c r="ER75" s="1381"/>
      <c r="ES75" s="1381"/>
      <c r="ET75" s="1381"/>
      <c r="EU75" s="1381"/>
      <c r="EV75" s="1381"/>
      <c r="EW75" s="1381"/>
      <c r="EX75" s="1381"/>
      <c r="EY75" s="1381"/>
      <c r="EZ75" s="1381"/>
      <c r="FA75" s="1381"/>
      <c r="FB75" s="1381"/>
      <c r="FC75" s="1381"/>
      <c r="FD75" s="1381"/>
      <c r="FE75" s="1381"/>
      <c r="FF75" s="1381"/>
      <c r="FG75" s="1381"/>
      <c r="FH75" s="1381"/>
      <c r="FI75" s="1381"/>
      <c r="FJ75" s="1381"/>
      <c r="FK75" s="1381"/>
      <c r="FL75" s="1381"/>
      <c r="FM75" s="1381"/>
      <c r="FN75" s="1381"/>
      <c r="FO75" s="1381"/>
      <c r="FP75" s="1381"/>
      <c r="FQ75" s="1381"/>
      <c r="FR75" s="1381"/>
      <c r="FS75" s="1381"/>
      <c r="FT75" s="1381"/>
      <c r="FU75" s="1381"/>
      <c r="FV75" s="1381"/>
      <c r="FW75" s="1381"/>
      <c r="FX75" s="1381"/>
      <c r="FY75" s="1381"/>
      <c r="FZ75" s="1381"/>
      <c r="GA75" s="1381"/>
      <c r="GB75" s="1381"/>
      <c r="GC75" s="1381"/>
      <c r="GD75" s="1381"/>
      <c r="GE75" s="1381"/>
      <c r="GF75" s="1381"/>
      <c r="GG75" s="1381"/>
      <c r="GH75" s="1381"/>
      <c r="GI75" s="1381"/>
      <c r="GJ75" s="1381"/>
      <c r="GK75" s="1381"/>
      <c r="GL75" s="1381"/>
      <c r="GM75" s="1381"/>
      <c r="GN75" s="1381"/>
      <c r="GO75" s="1381"/>
      <c r="GP75" s="1381"/>
      <c r="GQ75" s="1381"/>
      <c r="GR75" s="1381"/>
      <c r="GS75" s="1381"/>
      <c r="GT75" s="1381"/>
      <c r="GU75" s="1381"/>
      <c r="GV75" s="1381"/>
      <c r="GW75" s="1381"/>
      <c r="GX75" s="1381"/>
      <c r="GY75" s="1381"/>
      <c r="GZ75" s="1381"/>
      <c r="HA75" s="1381"/>
      <c r="HB75" s="1381"/>
      <c r="HC75" s="1381"/>
      <c r="HD75" s="1381"/>
      <c r="HE75" s="1381"/>
      <c r="HF75" s="1381"/>
      <c r="HG75" s="1381"/>
      <c r="HH75" s="1381"/>
      <c r="HI75" s="1381"/>
      <c r="HJ75" s="1381"/>
      <c r="HK75" s="1381"/>
      <c r="HL75" s="1381"/>
      <c r="HM75" s="1381"/>
      <c r="HN75" s="1381"/>
      <c r="HO75" s="1381"/>
      <c r="HP75" s="1381"/>
      <c r="HQ75" s="1381" t="s">
        <v>1707</v>
      </c>
      <c r="HR75" s="1381"/>
      <c r="HS75" s="1381"/>
      <c r="HT75" s="1381"/>
      <c r="HU75" s="1381"/>
      <c r="HV75" s="1381"/>
      <c r="HW75" s="1381"/>
      <c r="HX75" s="1381"/>
      <c r="HY75" s="1381"/>
      <c r="HZ75" s="1381"/>
      <c r="IA75" s="1381"/>
      <c r="IB75" s="1381"/>
      <c r="IC75" s="1381"/>
      <c r="ID75" s="1381"/>
      <c r="IE75" s="1381"/>
      <c r="IF75" s="1381"/>
      <c r="IG75" s="1381"/>
      <c r="IH75" s="1381"/>
      <c r="II75" s="1381"/>
      <c r="IJ75" s="1381"/>
      <c r="IK75" s="1381"/>
      <c r="IL75" s="1381"/>
      <c r="IM75" s="1381"/>
      <c r="IN75" s="1381"/>
      <c r="IO75" s="1381"/>
      <c r="IP75" s="1381"/>
      <c r="IQ75" s="1381"/>
      <c r="IR75" s="1381"/>
      <c r="IS75" s="1381"/>
      <c r="IT75" s="1381"/>
      <c r="IU75" s="1381"/>
      <c r="IV75" s="1381"/>
      <c r="IW75" s="1381"/>
      <c r="IX75" s="1381"/>
      <c r="IY75" s="1381"/>
      <c r="IZ75" s="1381"/>
      <c r="JA75" s="1381"/>
      <c r="JB75" s="1381"/>
      <c r="JC75" s="1381"/>
      <c r="JD75" s="1381"/>
      <c r="JE75" s="1381"/>
      <c r="JF75" s="1381"/>
      <c r="JG75" s="1381"/>
      <c r="JH75" s="1381"/>
      <c r="JI75" s="1381"/>
      <c r="JJ75" s="1381"/>
      <c r="JK75" s="1381"/>
      <c r="JL75" s="1381"/>
      <c r="JM75" s="1381"/>
      <c r="JN75" s="1381"/>
      <c r="JO75" s="1381"/>
      <c r="JP75" s="1381"/>
      <c r="JQ75" s="1415"/>
      <c r="JR75" s="351"/>
      <c r="JS75" s="1365"/>
      <c r="JT75" s="1290"/>
    </row>
    <row r="76" spans="1:280" ht="12.5" x14ac:dyDescent="0.25">
      <c r="A76" s="1357">
        <v>3</v>
      </c>
      <c r="B76" s="1387" t="str">
        <f t="shared" ref="B76:B82" si="6">IF(MAT_Ind&gt;1,IF(HLOOKUP(MAT_Ind-1,MAT_RANGE,A76)="","",HLOOKUP(MAT_Ind-1,MAT_RANGE,A76)),"")</f>
        <v/>
      </c>
      <c r="C76" s="1359" t="s">
        <v>2359</v>
      </c>
      <c r="D76" s="1360" t="s">
        <v>2360</v>
      </c>
      <c r="E76" s="1381"/>
      <c r="F76" s="1381"/>
      <c r="G76" s="1381"/>
      <c r="H76" s="1381"/>
      <c r="I76" s="1381"/>
      <c r="J76" s="1381"/>
      <c r="K76" s="1381"/>
      <c r="L76" s="1381"/>
      <c r="M76" s="1381"/>
      <c r="N76" s="1381"/>
      <c r="O76" s="1381"/>
      <c r="P76" s="1381"/>
      <c r="Q76" s="1381"/>
      <c r="R76" s="1381"/>
      <c r="S76" s="1381" t="s">
        <v>2361</v>
      </c>
      <c r="T76" s="1381"/>
      <c r="U76" s="1381"/>
      <c r="V76" s="1381"/>
      <c r="W76" s="1381"/>
      <c r="X76" s="1381"/>
      <c r="Y76" s="1381"/>
      <c r="Z76" s="1381"/>
      <c r="AA76" s="1381"/>
      <c r="AB76" s="1381"/>
      <c r="AC76" s="1381"/>
      <c r="AD76" s="1381"/>
      <c r="AE76" s="1381"/>
      <c r="AF76" s="1381"/>
      <c r="AG76" s="1381"/>
      <c r="AH76" s="1381"/>
      <c r="AI76" s="1381"/>
      <c r="AJ76" s="1381"/>
      <c r="AK76" s="1381"/>
      <c r="AL76" s="1381"/>
      <c r="AM76" s="1381"/>
      <c r="AN76" s="1381"/>
      <c r="AO76" s="1381"/>
      <c r="AP76" s="1381"/>
      <c r="AQ76" s="1381"/>
      <c r="AR76" s="1381"/>
      <c r="AS76" s="1381"/>
      <c r="AT76" s="1381" t="s">
        <v>2362</v>
      </c>
      <c r="AU76" s="1381"/>
      <c r="AV76" s="1381"/>
      <c r="AW76" s="1381"/>
      <c r="AX76" s="1381"/>
      <c r="AY76" s="1381"/>
      <c r="AZ76" s="1381"/>
      <c r="BA76" s="1381"/>
      <c r="BB76" s="1381"/>
      <c r="BC76" s="1381"/>
      <c r="BD76" s="1381"/>
      <c r="BE76" s="1381"/>
      <c r="BF76" s="1381"/>
      <c r="BG76" s="1381"/>
      <c r="BH76" s="1381"/>
      <c r="BI76" s="1381"/>
      <c r="BJ76" s="1381"/>
      <c r="BK76" s="1381"/>
      <c r="BL76" s="1381"/>
      <c r="BM76" s="1381"/>
      <c r="BN76" s="1381"/>
      <c r="BO76" s="1381"/>
      <c r="BP76" s="1381"/>
      <c r="BQ76" s="1381"/>
      <c r="BR76" s="1381"/>
      <c r="BS76" s="1381"/>
      <c r="BT76" s="1381"/>
      <c r="BU76" s="1381"/>
      <c r="BV76" s="1381"/>
      <c r="BW76" s="1381"/>
      <c r="BX76" s="1381"/>
      <c r="BY76" s="1381"/>
      <c r="BZ76" s="1381"/>
      <c r="CA76" s="1381"/>
      <c r="CB76" s="1381"/>
      <c r="CC76" s="1381"/>
      <c r="CD76" s="1381"/>
      <c r="CE76" s="1381"/>
      <c r="CF76" s="1381"/>
      <c r="CG76" s="1381"/>
      <c r="CH76" s="1381"/>
      <c r="CI76" s="1381"/>
      <c r="CJ76" s="1381"/>
      <c r="CK76" s="1381"/>
      <c r="CL76" s="1381"/>
      <c r="CM76" s="1381"/>
      <c r="CN76" s="1381"/>
      <c r="CO76" s="1381" t="s">
        <v>2362</v>
      </c>
      <c r="CP76" s="1381"/>
      <c r="CQ76" s="1381"/>
      <c r="CR76" s="1381"/>
      <c r="CS76" s="1381"/>
      <c r="CT76" s="1381"/>
      <c r="CU76" s="1381"/>
      <c r="CV76" s="1381"/>
      <c r="CW76" s="1381"/>
      <c r="CX76" s="1381"/>
      <c r="CY76" s="1381"/>
      <c r="CZ76" s="1381"/>
      <c r="DA76" s="1381"/>
      <c r="DB76" s="1381"/>
      <c r="DC76" s="1381"/>
      <c r="DD76" s="1381"/>
      <c r="DE76" s="1381"/>
      <c r="DF76" s="1381"/>
      <c r="DG76" s="1381"/>
      <c r="DH76" s="1381"/>
      <c r="DI76" s="1381"/>
      <c r="DJ76" s="1381"/>
      <c r="DK76" s="1381"/>
      <c r="DL76" s="1381"/>
      <c r="DM76" s="1381"/>
      <c r="DN76" s="1381"/>
      <c r="DO76" s="1381"/>
      <c r="DP76" s="1381"/>
      <c r="DQ76" s="1381"/>
      <c r="DR76" s="1381"/>
      <c r="DS76" s="1381"/>
      <c r="DT76" s="1381"/>
      <c r="DU76" s="1381"/>
      <c r="DV76" s="1381"/>
      <c r="DW76" s="1381"/>
      <c r="DX76" s="1381"/>
      <c r="DY76" s="1381"/>
      <c r="DZ76" s="1381"/>
      <c r="EA76" s="1381"/>
      <c r="EB76" s="1381"/>
      <c r="EC76" s="1381"/>
      <c r="ED76" s="1381"/>
      <c r="EE76" s="1381"/>
      <c r="EF76" s="1381"/>
      <c r="EG76" s="1381"/>
      <c r="EH76" s="1381"/>
      <c r="EI76" s="1381"/>
      <c r="EJ76" s="1381"/>
      <c r="EK76" s="1381"/>
      <c r="EL76" s="1381"/>
      <c r="EM76" s="1381"/>
      <c r="EN76" s="1381"/>
      <c r="EO76" s="1381"/>
      <c r="EP76" s="1381"/>
      <c r="EQ76" s="1381"/>
      <c r="ER76" s="1381"/>
      <c r="ES76" s="1381"/>
      <c r="ET76" s="1381"/>
      <c r="EU76" s="1381"/>
      <c r="EV76" s="1381"/>
      <c r="EW76" s="1381"/>
      <c r="EX76" s="1381"/>
      <c r="EY76" s="1381"/>
      <c r="EZ76" s="1381"/>
      <c r="FA76" s="1381"/>
      <c r="FB76" s="1381"/>
      <c r="FC76" s="1381"/>
      <c r="FD76" s="1381"/>
      <c r="FE76" s="1381"/>
      <c r="FF76" s="1381"/>
      <c r="FG76" s="1381"/>
      <c r="FH76" s="1381"/>
      <c r="FI76" s="1381"/>
      <c r="FJ76" s="1381"/>
      <c r="FK76" s="1381"/>
      <c r="FL76" s="1381"/>
      <c r="FM76" s="1381"/>
      <c r="FN76" s="1381"/>
      <c r="FO76" s="1381"/>
      <c r="FP76" s="1381"/>
      <c r="FQ76" s="1381"/>
      <c r="FR76" s="1381"/>
      <c r="FS76" s="1381"/>
      <c r="FT76" s="1381"/>
      <c r="FU76" s="1381"/>
      <c r="FV76" s="1381"/>
      <c r="FW76" s="1381"/>
      <c r="FX76" s="1381"/>
      <c r="FY76" s="1381"/>
      <c r="FZ76" s="1381"/>
      <c r="GA76" s="1381"/>
      <c r="GB76" s="1381"/>
      <c r="GC76" s="1381"/>
      <c r="GD76" s="1381"/>
      <c r="GE76" s="1381"/>
      <c r="GF76" s="1381"/>
      <c r="GG76" s="1381"/>
      <c r="GH76" s="1381"/>
      <c r="GI76" s="1381"/>
      <c r="GJ76" s="1381"/>
      <c r="GK76" s="1381"/>
      <c r="GL76" s="1381"/>
      <c r="GM76" s="1381"/>
      <c r="GN76" s="1381"/>
      <c r="GO76" s="1381"/>
      <c r="GP76" s="1381"/>
      <c r="GQ76" s="1381"/>
      <c r="GR76" s="1381"/>
      <c r="GS76" s="1381"/>
      <c r="GT76" s="1381"/>
      <c r="GU76" s="1381"/>
      <c r="GV76" s="1381"/>
      <c r="GW76" s="1381"/>
      <c r="GX76" s="1381"/>
      <c r="GY76" s="1381"/>
      <c r="GZ76" s="1381"/>
      <c r="HA76" s="1381"/>
      <c r="HB76" s="1381"/>
      <c r="HC76" s="1381"/>
      <c r="HD76" s="1381"/>
      <c r="HE76" s="1381"/>
      <c r="HF76" s="1381"/>
      <c r="HG76" s="1381"/>
      <c r="HH76" s="1381"/>
      <c r="HI76" s="1381"/>
      <c r="HJ76" s="1381"/>
      <c r="HK76" s="1381"/>
      <c r="HL76" s="1381"/>
      <c r="HM76" s="1381"/>
      <c r="HN76" s="1381"/>
      <c r="HO76" s="1381"/>
      <c r="HP76" s="1381"/>
      <c r="HQ76" s="1381" t="s">
        <v>2362</v>
      </c>
      <c r="HR76" s="1381"/>
      <c r="HS76" s="1381"/>
      <c r="HT76" s="1381"/>
      <c r="HU76" s="1381"/>
      <c r="HV76" s="1381"/>
      <c r="HW76" s="1381"/>
      <c r="HX76" s="1381"/>
      <c r="HY76" s="1381"/>
      <c r="HZ76" s="1381"/>
      <c r="IA76" s="1381"/>
      <c r="IB76" s="1381"/>
      <c r="IC76" s="1381"/>
      <c r="ID76" s="1381"/>
      <c r="IE76" s="1381"/>
      <c r="IF76" s="1381"/>
      <c r="IG76" s="1381"/>
      <c r="IH76" s="1381"/>
      <c r="II76" s="1381"/>
      <c r="IJ76" s="1381"/>
      <c r="IK76" s="1381"/>
      <c r="IL76" s="1381"/>
      <c r="IM76" s="1381"/>
      <c r="IN76" s="1381"/>
      <c r="IO76" s="1381"/>
      <c r="IP76" s="1381"/>
      <c r="IQ76" s="1381"/>
      <c r="IR76" s="1381"/>
      <c r="IS76" s="1381"/>
      <c r="IT76" s="1381"/>
      <c r="IU76" s="1381"/>
      <c r="IV76" s="1381"/>
      <c r="IW76" s="1381"/>
      <c r="IX76" s="1381"/>
      <c r="IY76" s="1381"/>
      <c r="IZ76" s="1381"/>
      <c r="JA76" s="1381"/>
      <c r="JB76" s="1381"/>
      <c r="JC76" s="1381"/>
      <c r="JD76" s="1381"/>
      <c r="JE76" s="1381"/>
      <c r="JF76" s="1381"/>
      <c r="JG76" s="1381"/>
      <c r="JH76" s="1381"/>
      <c r="JI76" s="1381"/>
      <c r="JJ76" s="1381"/>
      <c r="JK76" s="1381"/>
      <c r="JL76" s="1381"/>
      <c r="JM76" s="1381"/>
      <c r="JN76" s="1381"/>
      <c r="JO76" s="1381"/>
      <c r="JP76" s="1381"/>
      <c r="JQ76" s="1415"/>
      <c r="JR76" s="351"/>
      <c r="JS76" s="1365"/>
      <c r="JT76" s="1385" t="s">
        <v>2291</v>
      </c>
    </row>
    <row r="77" spans="1:280" ht="12.5" x14ac:dyDescent="0.25">
      <c r="A77" s="1357">
        <v>4</v>
      </c>
      <c r="B77" s="1387" t="str">
        <f t="shared" si="6"/>
        <v/>
      </c>
      <c r="C77" s="1359" t="s">
        <v>2363</v>
      </c>
      <c r="D77" s="1360" t="s">
        <v>2364</v>
      </c>
      <c r="E77" s="1381"/>
      <c r="F77" s="1381"/>
      <c r="G77" s="1381"/>
      <c r="H77" s="1381"/>
      <c r="I77" s="1381"/>
      <c r="J77" s="1381"/>
      <c r="K77" s="1381"/>
      <c r="L77" s="1381"/>
      <c r="M77" s="1381"/>
      <c r="N77" s="1381"/>
      <c r="O77" s="1381"/>
      <c r="P77" s="1381"/>
      <c r="Q77" s="1381"/>
      <c r="R77" s="1381"/>
      <c r="S77" s="1381" t="s">
        <v>2365</v>
      </c>
      <c r="T77" s="1381"/>
      <c r="U77" s="1381"/>
      <c r="V77" s="1381"/>
      <c r="W77" s="1381"/>
      <c r="X77" s="1381"/>
      <c r="Y77" s="1381"/>
      <c r="Z77" s="1381"/>
      <c r="AA77" s="1381"/>
      <c r="AB77" s="1381"/>
      <c r="AC77" s="1381"/>
      <c r="AD77" s="1381"/>
      <c r="AE77" s="1381"/>
      <c r="AF77" s="1381"/>
      <c r="AG77" s="1381"/>
      <c r="AH77" s="1381"/>
      <c r="AI77" s="1381"/>
      <c r="AJ77" s="1381"/>
      <c r="AK77" s="1381"/>
      <c r="AL77" s="1381"/>
      <c r="AM77" s="1381"/>
      <c r="AN77" s="1381"/>
      <c r="AO77" s="1381"/>
      <c r="AP77" s="1381"/>
      <c r="AQ77" s="1381"/>
      <c r="AR77" s="1381"/>
      <c r="AS77" s="1381"/>
      <c r="AT77" s="1381" t="s">
        <v>2366</v>
      </c>
      <c r="AU77" s="1381"/>
      <c r="AV77" s="1381"/>
      <c r="AW77" s="1381"/>
      <c r="AX77" s="1381"/>
      <c r="AY77" s="1381"/>
      <c r="AZ77" s="1381"/>
      <c r="BA77" s="1381"/>
      <c r="BB77" s="1381"/>
      <c r="BC77" s="1381"/>
      <c r="BD77" s="1381"/>
      <c r="BE77" s="1381"/>
      <c r="BF77" s="1381"/>
      <c r="BG77" s="1381"/>
      <c r="BH77" s="1381"/>
      <c r="BI77" s="1381"/>
      <c r="BJ77" s="1381"/>
      <c r="BK77" s="1381"/>
      <c r="BL77" s="1381"/>
      <c r="BM77" s="1381"/>
      <c r="BN77" s="1381"/>
      <c r="BO77" s="1381"/>
      <c r="BP77" s="1381"/>
      <c r="BQ77" s="1381"/>
      <c r="BR77" s="1381"/>
      <c r="BS77" s="1381"/>
      <c r="BT77" s="1381"/>
      <c r="BU77" s="1381"/>
      <c r="BV77" s="1381"/>
      <c r="BW77" s="1381"/>
      <c r="BX77" s="1381"/>
      <c r="BY77" s="1381"/>
      <c r="BZ77" s="1381"/>
      <c r="CA77" s="1381"/>
      <c r="CB77" s="1381"/>
      <c r="CC77" s="1381"/>
      <c r="CD77" s="1381"/>
      <c r="CE77" s="1381"/>
      <c r="CF77" s="1381"/>
      <c r="CG77" s="1381"/>
      <c r="CH77" s="1381"/>
      <c r="CI77" s="1381"/>
      <c r="CJ77" s="1381"/>
      <c r="CK77" s="1381"/>
      <c r="CL77" s="1381"/>
      <c r="CM77" s="1381"/>
      <c r="CN77" s="1381"/>
      <c r="CO77" s="1381" t="s">
        <v>2366</v>
      </c>
      <c r="CP77" s="1381"/>
      <c r="CQ77" s="1381"/>
      <c r="CR77" s="1381"/>
      <c r="CS77" s="1381"/>
      <c r="CT77" s="1381"/>
      <c r="CU77" s="1381"/>
      <c r="CV77" s="1381"/>
      <c r="CW77" s="1381"/>
      <c r="CX77" s="1381"/>
      <c r="CY77" s="1381"/>
      <c r="CZ77" s="1381"/>
      <c r="DA77" s="1381"/>
      <c r="DB77" s="1381"/>
      <c r="DC77" s="1381"/>
      <c r="DD77" s="1381"/>
      <c r="DE77" s="1381"/>
      <c r="DF77" s="1381"/>
      <c r="DG77" s="1381"/>
      <c r="DH77" s="1381"/>
      <c r="DI77" s="1381"/>
      <c r="DJ77" s="1381"/>
      <c r="DK77" s="1381"/>
      <c r="DL77" s="1381"/>
      <c r="DM77" s="1381"/>
      <c r="DN77" s="1381"/>
      <c r="DO77" s="1381"/>
      <c r="DP77" s="1381"/>
      <c r="DQ77" s="1381"/>
      <c r="DR77" s="1381"/>
      <c r="DS77" s="1381"/>
      <c r="DT77" s="1381"/>
      <c r="DU77" s="1381"/>
      <c r="DV77" s="1381"/>
      <c r="DW77" s="1381"/>
      <c r="DX77" s="1381"/>
      <c r="DY77" s="1381"/>
      <c r="DZ77" s="1381"/>
      <c r="EA77" s="1381"/>
      <c r="EB77" s="1381"/>
      <c r="EC77" s="1381"/>
      <c r="ED77" s="1381"/>
      <c r="EE77" s="1381"/>
      <c r="EF77" s="1381"/>
      <c r="EG77" s="1381"/>
      <c r="EH77" s="1381"/>
      <c r="EI77" s="1381"/>
      <c r="EJ77" s="1381"/>
      <c r="EK77" s="1381"/>
      <c r="EL77" s="1381"/>
      <c r="EM77" s="1381"/>
      <c r="EN77" s="1381"/>
      <c r="EO77" s="1381"/>
      <c r="EP77" s="1381"/>
      <c r="EQ77" s="1381"/>
      <c r="ER77" s="1381"/>
      <c r="ES77" s="1381"/>
      <c r="ET77" s="1381"/>
      <c r="EU77" s="1381"/>
      <c r="EV77" s="1381"/>
      <c r="EW77" s="1381"/>
      <c r="EX77" s="1381"/>
      <c r="EY77" s="1381"/>
      <c r="EZ77" s="1381"/>
      <c r="FA77" s="1381"/>
      <c r="FB77" s="1381"/>
      <c r="FC77" s="1381"/>
      <c r="FD77" s="1381"/>
      <c r="FE77" s="1381"/>
      <c r="FF77" s="1381"/>
      <c r="FG77" s="1381"/>
      <c r="FH77" s="1381"/>
      <c r="FI77" s="1381"/>
      <c r="FJ77" s="1381"/>
      <c r="FK77" s="1381"/>
      <c r="FL77" s="1381"/>
      <c r="FM77" s="1381"/>
      <c r="FN77" s="1381"/>
      <c r="FO77" s="1381"/>
      <c r="FP77" s="1381"/>
      <c r="FQ77" s="1381"/>
      <c r="FR77" s="1381"/>
      <c r="FS77" s="1381"/>
      <c r="FT77" s="1381"/>
      <c r="FU77" s="1381"/>
      <c r="FV77" s="1381"/>
      <c r="FW77" s="1381"/>
      <c r="FX77" s="1381"/>
      <c r="FY77" s="1381"/>
      <c r="FZ77" s="1381"/>
      <c r="GA77" s="1381"/>
      <c r="GB77" s="1381"/>
      <c r="GC77" s="1381"/>
      <c r="GD77" s="1381"/>
      <c r="GE77" s="1381"/>
      <c r="GF77" s="1381"/>
      <c r="GG77" s="1381"/>
      <c r="GH77" s="1381"/>
      <c r="GI77" s="1381"/>
      <c r="GJ77" s="1381"/>
      <c r="GK77" s="1381"/>
      <c r="GL77" s="1381"/>
      <c r="GM77" s="1381"/>
      <c r="GN77" s="1381"/>
      <c r="GO77" s="1381"/>
      <c r="GP77" s="1381"/>
      <c r="GQ77" s="1381"/>
      <c r="GR77" s="1381"/>
      <c r="GS77" s="1381"/>
      <c r="GT77" s="1381"/>
      <c r="GU77" s="1381"/>
      <c r="GV77" s="1381"/>
      <c r="GW77" s="1381"/>
      <c r="GX77" s="1381"/>
      <c r="GY77" s="1381"/>
      <c r="GZ77" s="1381"/>
      <c r="HA77" s="1381"/>
      <c r="HB77" s="1381"/>
      <c r="HC77" s="1381"/>
      <c r="HD77" s="1381"/>
      <c r="HE77" s="1381"/>
      <c r="HF77" s="1381"/>
      <c r="HG77" s="1381"/>
      <c r="HH77" s="1381"/>
      <c r="HI77" s="1381"/>
      <c r="HJ77" s="1381"/>
      <c r="HK77" s="1381"/>
      <c r="HL77" s="1381"/>
      <c r="HM77" s="1381"/>
      <c r="HN77" s="1381"/>
      <c r="HO77" s="1381"/>
      <c r="HP77" s="1381"/>
      <c r="HQ77" s="1381" t="s">
        <v>2366</v>
      </c>
      <c r="HR77" s="1381"/>
      <c r="HS77" s="1381"/>
      <c r="HT77" s="1381"/>
      <c r="HU77" s="1381"/>
      <c r="HV77" s="1381"/>
      <c r="HW77" s="1381"/>
      <c r="HX77" s="1381"/>
      <c r="HY77" s="1381"/>
      <c r="HZ77" s="1381"/>
      <c r="IA77" s="1381"/>
      <c r="IB77" s="1381"/>
      <c r="IC77" s="1381"/>
      <c r="ID77" s="1381"/>
      <c r="IE77" s="1381"/>
      <c r="IF77" s="1381"/>
      <c r="IG77" s="1381"/>
      <c r="IH77" s="1381"/>
      <c r="II77" s="1381"/>
      <c r="IJ77" s="1381"/>
      <c r="IK77" s="1381"/>
      <c r="IL77" s="1381"/>
      <c r="IM77" s="1381"/>
      <c r="IN77" s="1381"/>
      <c r="IO77" s="1381"/>
      <c r="IP77" s="1381"/>
      <c r="IQ77" s="1381"/>
      <c r="IR77" s="1381"/>
      <c r="IS77" s="1381"/>
      <c r="IT77" s="1381"/>
      <c r="IU77" s="1381"/>
      <c r="IV77" s="1381"/>
      <c r="IW77" s="1381"/>
      <c r="IX77" s="1381"/>
      <c r="IY77" s="1381"/>
      <c r="IZ77" s="1381"/>
      <c r="JA77" s="1381"/>
      <c r="JB77" s="1381"/>
      <c r="JC77" s="1381"/>
      <c r="JD77" s="1381"/>
      <c r="JE77" s="1381"/>
      <c r="JF77" s="1381"/>
      <c r="JG77" s="1381"/>
      <c r="JH77" s="1381"/>
      <c r="JI77" s="1381"/>
      <c r="JJ77" s="1381"/>
      <c r="JK77" s="1381"/>
      <c r="JL77" s="1381"/>
      <c r="JM77" s="1381"/>
      <c r="JN77" s="1381"/>
      <c r="JO77" s="1381"/>
      <c r="JP77" s="1381"/>
      <c r="JQ77" s="1415"/>
      <c r="JR77" s="351"/>
      <c r="JS77" s="1365"/>
      <c r="JT77" s="1385" t="s">
        <v>2291</v>
      </c>
    </row>
    <row r="78" spans="1:280" ht="12.5" x14ac:dyDescent="0.25">
      <c r="A78" s="1357">
        <v>5</v>
      </c>
      <c r="B78" s="1387" t="str">
        <f t="shared" si="6"/>
        <v/>
      </c>
      <c r="C78" s="1359" t="s">
        <v>2367</v>
      </c>
      <c r="D78" s="1360" t="s">
        <v>2368</v>
      </c>
      <c r="E78" s="1381"/>
      <c r="F78" s="1381"/>
      <c r="G78" s="1381"/>
      <c r="H78" s="1381"/>
      <c r="I78" s="1381"/>
      <c r="J78" s="1381"/>
      <c r="K78" s="1381"/>
      <c r="L78" s="1381"/>
      <c r="M78" s="1381"/>
      <c r="N78" s="1381"/>
      <c r="O78" s="1381"/>
      <c r="P78" s="1381"/>
      <c r="Q78" s="1381"/>
      <c r="R78" s="1381"/>
      <c r="S78" s="1381" t="s">
        <v>2369</v>
      </c>
      <c r="T78" s="1381"/>
      <c r="U78" s="1381"/>
      <c r="V78" s="1381"/>
      <c r="W78" s="1381"/>
      <c r="X78" s="1381"/>
      <c r="Y78" s="1381"/>
      <c r="Z78" s="1381"/>
      <c r="AA78" s="1381"/>
      <c r="AB78" s="1381"/>
      <c r="AC78" s="1381"/>
      <c r="AD78" s="1381"/>
      <c r="AE78" s="1381"/>
      <c r="AF78" s="1381"/>
      <c r="AG78" s="1381"/>
      <c r="AH78" s="1381"/>
      <c r="AI78" s="1381"/>
      <c r="AJ78" s="1381"/>
      <c r="AK78" s="1381"/>
      <c r="AL78" s="1381"/>
      <c r="AM78" s="1381"/>
      <c r="AN78" s="1381"/>
      <c r="AO78" s="1381"/>
      <c r="AP78" s="1381"/>
      <c r="AQ78" s="1381"/>
      <c r="AR78" s="1381"/>
      <c r="AS78" s="1381"/>
      <c r="AT78" s="1381" t="s">
        <v>2369</v>
      </c>
      <c r="AU78" s="1381"/>
      <c r="AV78" s="1381"/>
      <c r="AW78" s="1381"/>
      <c r="AX78" s="1381"/>
      <c r="AY78" s="1381"/>
      <c r="AZ78" s="1381"/>
      <c r="BA78" s="1381"/>
      <c r="BB78" s="1381"/>
      <c r="BC78" s="1381"/>
      <c r="BD78" s="1381"/>
      <c r="BE78" s="1381"/>
      <c r="BF78" s="1381"/>
      <c r="BG78" s="1381"/>
      <c r="BH78" s="1381"/>
      <c r="BI78" s="1381"/>
      <c r="BJ78" s="1381"/>
      <c r="BK78" s="1381"/>
      <c r="BL78" s="1381"/>
      <c r="BM78" s="1381"/>
      <c r="BN78" s="1381"/>
      <c r="BO78" s="1381"/>
      <c r="BP78" s="1381"/>
      <c r="BQ78" s="1381"/>
      <c r="BR78" s="1381"/>
      <c r="BS78" s="1381"/>
      <c r="BT78" s="1381"/>
      <c r="BU78" s="1381"/>
      <c r="BV78" s="1381"/>
      <c r="BW78" s="1381"/>
      <c r="BX78" s="1381"/>
      <c r="BY78" s="1381"/>
      <c r="BZ78" s="1381"/>
      <c r="CA78" s="1381"/>
      <c r="CB78" s="1381"/>
      <c r="CC78" s="1381"/>
      <c r="CD78" s="1381"/>
      <c r="CE78" s="1381"/>
      <c r="CF78" s="1381"/>
      <c r="CG78" s="1381"/>
      <c r="CH78" s="1381"/>
      <c r="CI78" s="1381"/>
      <c r="CJ78" s="1381"/>
      <c r="CK78" s="1381"/>
      <c r="CL78" s="1381"/>
      <c r="CM78" s="1381"/>
      <c r="CN78" s="1381"/>
      <c r="CO78" s="1381" t="s">
        <v>2369</v>
      </c>
      <c r="CP78" s="1381"/>
      <c r="CQ78" s="1381"/>
      <c r="CR78" s="1381"/>
      <c r="CS78" s="1381"/>
      <c r="CT78" s="1381"/>
      <c r="CU78" s="1381"/>
      <c r="CV78" s="1381"/>
      <c r="CW78" s="1381"/>
      <c r="CX78" s="1381"/>
      <c r="CY78" s="1381"/>
      <c r="CZ78" s="1381"/>
      <c r="DA78" s="1381"/>
      <c r="DB78" s="1381"/>
      <c r="DC78" s="1381"/>
      <c r="DD78" s="1381"/>
      <c r="DE78" s="1381"/>
      <c r="DF78" s="1381"/>
      <c r="DG78" s="1381"/>
      <c r="DH78" s="1381"/>
      <c r="DI78" s="1381"/>
      <c r="DJ78" s="1381"/>
      <c r="DK78" s="1381"/>
      <c r="DL78" s="1381"/>
      <c r="DM78" s="1381"/>
      <c r="DN78" s="1381"/>
      <c r="DO78" s="1381"/>
      <c r="DP78" s="1381"/>
      <c r="DQ78" s="1381"/>
      <c r="DR78" s="1381"/>
      <c r="DS78" s="1381"/>
      <c r="DT78" s="1381"/>
      <c r="DU78" s="1381"/>
      <c r="DV78" s="1381"/>
      <c r="DW78" s="1381"/>
      <c r="DX78" s="1381"/>
      <c r="DY78" s="1381"/>
      <c r="DZ78" s="1381"/>
      <c r="EA78" s="1381"/>
      <c r="EB78" s="1381"/>
      <c r="EC78" s="1381"/>
      <c r="ED78" s="1381"/>
      <c r="EE78" s="1381"/>
      <c r="EF78" s="1381"/>
      <c r="EG78" s="1381"/>
      <c r="EH78" s="1381"/>
      <c r="EI78" s="1381"/>
      <c r="EJ78" s="1381"/>
      <c r="EK78" s="1381"/>
      <c r="EL78" s="1381"/>
      <c r="EM78" s="1381"/>
      <c r="EN78" s="1381"/>
      <c r="EO78" s="1381"/>
      <c r="EP78" s="1381"/>
      <c r="EQ78" s="1381"/>
      <c r="ER78" s="1381"/>
      <c r="ES78" s="1381"/>
      <c r="ET78" s="1381"/>
      <c r="EU78" s="1381"/>
      <c r="EV78" s="1381"/>
      <c r="EW78" s="1381"/>
      <c r="EX78" s="1381"/>
      <c r="EY78" s="1381"/>
      <c r="EZ78" s="1381"/>
      <c r="FA78" s="1381"/>
      <c r="FB78" s="1381"/>
      <c r="FC78" s="1381"/>
      <c r="FD78" s="1381"/>
      <c r="FE78" s="1381"/>
      <c r="FF78" s="1381"/>
      <c r="FG78" s="1381"/>
      <c r="FH78" s="1381"/>
      <c r="FI78" s="1381"/>
      <c r="FJ78" s="1381"/>
      <c r="FK78" s="1381"/>
      <c r="FL78" s="1381"/>
      <c r="FM78" s="1381"/>
      <c r="FN78" s="1381"/>
      <c r="FO78" s="1381"/>
      <c r="FP78" s="1381"/>
      <c r="FQ78" s="1381"/>
      <c r="FR78" s="1381"/>
      <c r="FS78" s="1381"/>
      <c r="FT78" s="1381"/>
      <c r="FU78" s="1381"/>
      <c r="FV78" s="1381"/>
      <c r="FW78" s="1381"/>
      <c r="FX78" s="1381"/>
      <c r="FY78" s="1381"/>
      <c r="FZ78" s="1381"/>
      <c r="GA78" s="1381"/>
      <c r="GB78" s="1381"/>
      <c r="GC78" s="1381"/>
      <c r="GD78" s="1381"/>
      <c r="GE78" s="1381"/>
      <c r="GF78" s="1381"/>
      <c r="GG78" s="1381"/>
      <c r="GH78" s="1381"/>
      <c r="GI78" s="1381"/>
      <c r="GJ78" s="1381"/>
      <c r="GK78" s="1381"/>
      <c r="GL78" s="1381"/>
      <c r="GM78" s="1381"/>
      <c r="GN78" s="1381"/>
      <c r="GO78" s="1381"/>
      <c r="GP78" s="1381"/>
      <c r="GQ78" s="1381"/>
      <c r="GR78" s="1381"/>
      <c r="GS78" s="1381"/>
      <c r="GT78" s="1381"/>
      <c r="GU78" s="1381"/>
      <c r="GV78" s="1381"/>
      <c r="GW78" s="1381"/>
      <c r="GX78" s="1381"/>
      <c r="GY78" s="1381"/>
      <c r="GZ78" s="1381"/>
      <c r="HA78" s="1381"/>
      <c r="HB78" s="1381"/>
      <c r="HC78" s="1381"/>
      <c r="HD78" s="1381"/>
      <c r="HE78" s="1381"/>
      <c r="HF78" s="1381"/>
      <c r="HG78" s="1381"/>
      <c r="HH78" s="1381"/>
      <c r="HI78" s="1381"/>
      <c r="HJ78" s="1381"/>
      <c r="HK78" s="1381"/>
      <c r="HL78" s="1381"/>
      <c r="HM78" s="1381"/>
      <c r="HN78" s="1381"/>
      <c r="HO78" s="1381"/>
      <c r="HP78" s="1381"/>
      <c r="HQ78" s="1381" t="s">
        <v>2369</v>
      </c>
      <c r="HR78" s="1381"/>
      <c r="HS78" s="1381"/>
      <c r="HT78" s="1381"/>
      <c r="HU78" s="1381"/>
      <c r="HV78" s="1381"/>
      <c r="HW78" s="1381"/>
      <c r="HX78" s="1381"/>
      <c r="HY78" s="1381"/>
      <c r="HZ78" s="1381"/>
      <c r="IA78" s="1381"/>
      <c r="IB78" s="1381"/>
      <c r="IC78" s="1381"/>
      <c r="ID78" s="1381"/>
      <c r="IE78" s="1381"/>
      <c r="IF78" s="1381"/>
      <c r="IG78" s="1381"/>
      <c r="IH78" s="1381"/>
      <c r="II78" s="1381"/>
      <c r="IJ78" s="1381"/>
      <c r="IK78" s="1381"/>
      <c r="IL78" s="1381"/>
      <c r="IM78" s="1381"/>
      <c r="IN78" s="1381"/>
      <c r="IO78" s="1381"/>
      <c r="IP78" s="1381"/>
      <c r="IQ78" s="1381"/>
      <c r="IR78" s="1381"/>
      <c r="IS78" s="1381"/>
      <c r="IT78" s="1381"/>
      <c r="IU78" s="1381"/>
      <c r="IV78" s="1381"/>
      <c r="IW78" s="1381"/>
      <c r="IX78" s="1381"/>
      <c r="IY78" s="1381"/>
      <c r="IZ78" s="1381"/>
      <c r="JA78" s="1381"/>
      <c r="JB78" s="1381"/>
      <c r="JC78" s="1381"/>
      <c r="JD78" s="1381"/>
      <c r="JE78" s="1381"/>
      <c r="JF78" s="1381"/>
      <c r="JG78" s="1381"/>
      <c r="JH78" s="1381"/>
      <c r="JI78" s="1381"/>
      <c r="JJ78" s="1381"/>
      <c r="JK78" s="1381"/>
      <c r="JL78" s="1381"/>
      <c r="JM78" s="1381"/>
      <c r="JN78" s="1381"/>
      <c r="JO78" s="1381"/>
      <c r="JP78" s="1381"/>
      <c r="JQ78" s="1415"/>
      <c r="JR78" s="351"/>
      <c r="JS78" s="1365" t="s">
        <v>2370</v>
      </c>
      <c r="JT78" s="1385" t="s">
        <v>2215</v>
      </c>
    </row>
    <row r="79" spans="1:280" ht="12.5" x14ac:dyDescent="0.25">
      <c r="A79" s="1357">
        <v>6</v>
      </c>
      <c r="B79" s="1387" t="str">
        <f t="shared" si="6"/>
        <v/>
      </c>
      <c r="C79" s="1359" t="s">
        <v>2371</v>
      </c>
      <c r="D79" s="1360" t="s">
        <v>2372</v>
      </c>
      <c r="E79" s="1381"/>
      <c r="F79" s="1381"/>
      <c r="G79" s="1381"/>
      <c r="H79" s="1381"/>
      <c r="I79" s="1381"/>
      <c r="J79" s="1381"/>
      <c r="K79" s="1381"/>
      <c r="L79" s="1381"/>
      <c r="M79" s="1381"/>
      <c r="N79" s="1381"/>
      <c r="O79" s="1381"/>
      <c r="P79" s="1381"/>
      <c r="Q79" s="1381"/>
      <c r="R79" s="1381"/>
      <c r="S79" s="1388" t="str">
        <f>"29/03/"&amp;Tax_year_end-50</f>
        <v>29/03/1976</v>
      </c>
      <c r="T79" s="1381"/>
      <c r="U79" s="1381"/>
      <c r="V79" s="1381"/>
      <c r="W79" s="1381"/>
      <c r="X79" s="1381"/>
      <c r="Y79" s="1381"/>
      <c r="Z79" s="1381"/>
      <c r="AA79" s="1381"/>
      <c r="AB79" s="1381"/>
      <c r="AC79" s="1381"/>
      <c r="AD79" s="1381"/>
      <c r="AE79" s="1381"/>
      <c r="AF79" s="1381"/>
      <c r="AG79" s="1381"/>
      <c r="AH79" s="1381"/>
      <c r="AI79" s="1381"/>
      <c r="AJ79" s="1381"/>
      <c r="AK79" s="1381"/>
      <c r="AL79" s="1381"/>
      <c r="AM79" s="1381"/>
      <c r="AN79" s="1381"/>
      <c r="AO79" s="1381"/>
      <c r="AP79" s="1381"/>
      <c r="AQ79" s="1381"/>
      <c r="AR79" s="1381"/>
      <c r="AS79" s="1381"/>
      <c r="AT79" s="1388" t="str">
        <f>"29/03/"&amp;Tax_year_end-50</f>
        <v>29/03/1976</v>
      </c>
      <c r="AU79" s="1381"/>
      <c r="AV79" s="1381"/>
      <c r="AW79" s="1381"/>
      <c r="AX79" s="1381"/>
      <c r="AY79" s="1381"/>
      <c r="AZ79" s="1381"/>
      <c r="BA79" s="1381"/>
      <c r="BB79" s="1381"/>
      <c r="BC79" s="1381"/>
      <c r="BD79" s="1381"/>
      <c r="BE79" s="1381"/>
      <c r="BF79" s="1381"/>
      <c r="BG79" s="1381"/>
      <c r="BH79" s="1381"/>
      <c r="BI79" s="1381"/>
      <c r="BJ79" s="1381"/>
      <c r="BK79" s="1381"/>
      <c r="BL79" s="1381"/>
      <c r="BM79" s="1381"/>
      <c r="BN79" s="1381"/>
      <c r="BO79" s="1381"/>
      <c r="BP79" s="1381"/>
      <c r="BQ79" s="1381"/>
      <c r="BR79" s="1381"/>
      <c r="BS79" s="1381"/>
      <c r="BT79" s="1381"/>
      <c r="BU79" s="1381"/>
      <c r="BV79" s="1381"/>
      <c r="BW79" s="1381"/>
      <c r="BX79" s="1381"/>
      <c r="BY79" s="1381"/>
      <c r="BZ79" s="1381"/>
      <c r="CA79" s="1381"/>
      <c r="CB79" s="1381"/>
      <c r="CC79" s="1381"/>
      <c r="CD79" s="1381"/>
      <c r="CE79" s="1381"/>
      <c r="CF79" s="1381"/>
      <c r="CG79" s="1381"/>
      <c r="CH79" s="1381"/>
      <c r="CI79" s="1381"/>
      <c r="CJ79" s="1381"/>
      <c r="CK79" s="1381"/>
      <c r="CL79" s="1381"/>
      <c r="CM79" s="1381"/>
      <c r="CN79" s="1381"/>
      <c r="CO79" s="1388" t="str">
        <f>"29/03/"&amp;Tax_year_end-50</f>
        <v>29/03/1976</v>
      </c>
      <c r="CP79" s="1381"/>
      <c r="CQ79" s="1381"/>
      <c r="CR79" s="1381"/>
      <c r="CS79" s="1381"/>
      <c r="CT79" s="1381"/>
      <c r="CU79" s="1381"/>
      <c r="CV79" s="1381"/>
      <c r="CW79" s="1381"/>
      <c r="CX79" s="1381"/>
      <c r="CY79" s="1381"/>
      <c r="CZ79" s="1381"/>
      <c r="DA79" s="1381"/>
      <c r="DB79" s="1381"/>
      <c r="DC79" s="1381"/>
      <c r="DD79" s="1381"/>
      <c r="DE79" s="1381"/>
      <c r="DF79" s="1381"/>
      <c r="DG79" s="1381"/>
      <c r="DH79" s="1381"/>
      <c r="DI79" s="1381"/>
      <c r="DJ79" s="1381"/>
      <c r="DK79" s="1381"/>
      <c r="DL79" s="1381"/>
      <c r="DM79" s="1381"/>
      <c r="DN79" s="1381"/>
      <c r="DO79" s="1381"/>
      <c r="DP79" s="1381"/>
      <c r="DQ79" s="1381"/>
      <c r="DR79" s="1381"/>
      <c r="DS79" s="1381"/>
      <c r="DT79" s="1381"/>
      <c r="DU79" s="1381"/>
      <c r="DV79" s="1381"/>
      <c r="DW79" s="1381"/>
      <c r="DX79" s="1381"/>
      <c r="DY79" s="1381"/>
      <c r="DZ79" s="1381"/>
      <c r="EA79" s="1381"/>
      <c r="EB79" s="1381"/>
      <c r="EC79" s="1381"/>
      <c r="ED79" s="1381"/>
      <c r="EE79" s="1381"/>
      <c r="EF79" s="1381"/>
      <c r="EG79" s="1381"/>
      <c r="EH79" s="1381"/>
      <c r="EI79" s="1381"/>
      <c r="EJ79" s="1381"/>
      <c r="EK79" s="1381"/>
      <c r="EL79" s="1381"/>
      <c r="EM79" s="1381"/>
      <c r="EN79" s="1381"/>
      <c r="EO79" s="1381"/>
      <c r="EP79" s="1381"/>
      <c r="EQ79" s="1381"/>
      <c r="ER79" s="1381"/>
      <c r="ES79" s="1381"/>
      <c r="ET79" s="1381"/>
      <c r="EU79" s="1381"/>
      <c r="EV79" s="1381"/>
      <c r="EW79" s="1381"/>
      <c r="EX79" s="1381"/>
      <c r="EY79" s="1381"/>
      <c r="EZ79" s="1381"/>
      <c r="FA79" s="1381"/>
      <c r="FB79" s="1381"/>
      <c r="FC79" s="1381"/>
      <c r="FD79" s="1381"/>
      <c r="FE79" s="1381"/>
      <c r="FF79" s="1381"/>
      <c r="FG79" s="1381"/>
      <c r="FH79" s="1381"/>
      <c r="FI79" s="1381"/>
      <c r="FJ79" s="1381"/>
      <c r="FK79" s="1381"/>
      <c r="FL79" s="1381"/>
      <c r="FM79" s="1381"/>
      <c r="FN79" s="1381"/>
      <c r="FO79" s="1381"/>
      <c r="FP79" s="1381"/>
      <c r="FQ79" s="1381"/>
      <c r="FR79" s="1381"/>
      <c r="FS79" s="1381"/>
      <c r="FT79" s="1381"/>
      <c r="FU79" s="1381"/>
      <c r="FV79" s="1381"/>
      <c r="FW79" s="1381"/>
      <c r="FX79" s="1381"/>
      <c r="FY79" s="1381"/>
      <c r="FZ79" s="1381"/>
      <c r="GA79" s="1381"/>
      <c r="GB79" s="1381"/>
      <c r="GC79" s="1381"/>
      <c r="GD79" s="1381"/>
      <c r="GE79" s="1381"/>
      <c r="GF79" s="1381"/>
      <c r="GG79" s="1381"/>
      <c r="GH79" s="1381"/>
      <c r="GI79" s="1381"/>
      <c r="GJ79" s="1381"/>
      <c r="GK79" s="1381"/>
      <c r="GL79" s="1381"/>
      <c r="GM79" s="1381"/>
      <c r="GN79" s="1381"/>
      <c r="GO79" s="1381"/>
      <c r="GP79" s="1381"/>
      <c r="GQ79" s="1381"/>
      <c r="GR79" s="1381"/>
      <c r="GS79" s="1381"/>
      <c r="GT79" s="1381"/>
      <c r="GU79" s="1381"/>
      <c r="GV79" s="1381"/>
      <c r="GW79" s="1381"/>
      <c r="GX79" s="1381"/>
      <c r="GY79" s="1381"/>
      <c r="GZ79" s="1381"/>
      <c r="HA79" s="1381"/>
      <c r="HB79" s="1381"/>
      <c r="HC79" s="1381"/>
      <c r="HD79" s="1381"/>
      <c r="HE79" s="1381"/>
      <c r="HF79" s="1381"/>
      <c r="HG79" s="1381"/>
      <c r="HH79" s="1381"/>
      <c r="HI79" s="1381"/>
      <c r="HJ79" s="1381"/>
      <c r="HK79" s="1381"/>
      <c r="HL79" s="1381"/>
      <c r="HM79" s="1381"/>
      <c r="HN79" s="1381"/>
      <c r="HO79" s="1381"/>
      <c r="HP79" s="1381"/>
      <c r="HQ79" s="1388" t="str">
        <f>"29/03/"&amp;Tax_year_end-50</f>
        <v>29/03/1976</v>
      </c>
      <c r="HR79" s="1381"/>
      <c r="HS79" s="1381"/>
      <c r="HT79" s="1381"/>
      <c r="HU79" s="1381"/>
      <c r="HV79" s="1381"/>
      <c r="HW79" s="1381"/>
      <c r="HX79" s="1381"/>
      <c r="HY79" s="1381"/>
      <c r="HZ79" s="1381"/>
      <c r="IA79" s="1381"/>
      <c r="IB79" s="1381"/>
      <c r="IC79" s="1381"/>
      <c r="ID79" s="1381"/>
      <c r="IE79" s="1381"/>
      <c r="IF79" s="1381"/>
      <c r="IG79" s="1381"/>
      <c r="IH79" s="1381"/>
      <c r="II79" s="1381"/>
      <c r="IJ79" s="1381"/>
      <c r="IK79" s="1381"/>
      <c r="IL79" s="1381"/>
      <c r="IM79" s="1381"/>
      <c r="IN79" s="1381"/>
      <c r="IO79" s="1381"/>
      <c r="IP79" s="1381"/>
      <c r="IQ79" s="1381"/>
      <c r="IR79" s="1381"/>
      <c r="IS79" s="1381"/>
      <c r="IT79" s="1381"/>
      <c r="IU79" s="1381"/>
      <c r="IV79" s="1381"/>
      <c r="IW79" s="1381"/>
      <c r="IX79" s="1381"/>
      <c r="IY79" s="1381"/>
      <c r="IZ79" s="1381"/>
      <c r="JA79" s="1381"/>
      <c r="JB79" s="1381"/>
      <c r="JC79" s="1381"/>
      <c r="JD79" s="1381"/>
      <c r="JE79" s="1381"/>
      <c r="JF79" s="1381"/>
      <c r="JG79" s="1381"/>
      <c r="JH79" s="1381"/>
      <c r="JI79" s="1381"/>
      <c r="JJ79" s="1381"/>
      <c r="JK79" s="1381"/>
      <c r="JL79" s="1381"/>
      <c r="JM79" s="1381"/>
      <c r="JN79" s="1381"/>
      <c r="JO79" s="1381"/>
      <c r="JP79" s="1381"/>
      <c r="JQ79" s="1415"/>
      <c r="JR79" s="351"/>
      <c r="JS79" s="1365" t="s">
        <v>2373</v>
      </c>
      <c r="JT79" s="1385" t="s">
        <v>2208</v>
      </c>
    </row>
    <row r="80" spans="1:280" ht="34.5" x14ac:dyDescent="0.25">
      <c r="A80" s="1357">
        <v>7</v>
      </c>
      <c r="B80" s="1387" t="str">
        <f t="shared" si="6"/>
        <v/>
      </c>
      <c r="C80" s="1359" t="s">
        <v>2374</v>
      </c>
      <c r="D80" s="1360" t="s">
        <v>2375</v>
      </c>
      <c r="E80" s="1381"/>
      <c r="F80" s="1381"/>
      <c r="G80" s="1381"/>
      <c r="H80" s="1381"/>
      <c r="I80" s="1381"/>
      <c r="J80" s="1381"/>
      <c r="K80" s="1381"/>
      <c r="L80" s="1381"/>
      <c r="M80" s="1381"/>
      <c r="N80" s="1381"/>
      <c r="O80" s="1381"/>
      <c r="P80" s="1381"/>
      <c r="Q80" s="1381"/>
      <c r="R80" s="1381"/>
      <c r="S80" s="1388" t="str">
        <f>"12/03/"&amp;Tax_year_end-27</f>
        <v>12/03/1999</v>
      </c>
      <c r="T80" s="1381"/>
      <c r="U80" s="1381"/>
      <c r="V80" s="1381"/>
      <c r="W80" s="1381"/>
      <c r="X80" s="1381"/>
      <c r="Y80" s="1381"/>
      <c r="Z80" s="1381"/>
      <c r="AA80" s="1381"/>
      <c r="AB80" s="1381"/>
      <c r="AC80" s="1381"/>
      <c r="AD80" s="1381"/>
      <c r="AE80" s="1381"/>
      <c r="AF80" s="1381"/>
      <c r="AG80" s="1381"/>
      <c r="AH80" s="1381"/>
      <c r="AI80" s="1381"/>
      <c r="AJ80" s="1381"/>
      <c r="AK80" s="1381"/>
      <c r="AL80" s="1381"/>
      <c r="AM80" s="1381"/>
      <c r="AN80" s="1381"/>
      <c r="AO80" s="1381"/>
      <c r="AP80" s="1381"/>
      <c r="AQ80" s="1381"/>
      <c r="AR80" s="1381"/>
      <c r="AS80" s="1381"/>
      <c r="AT80" s="1388" t="str">
        <f>"12/03/"&amp;Tax_year_end-27</f>
        <v>12/03/1999</v>
      </c>
      <c r="AU80" s="1381"/>
      <c r="AV80" s="1381"/>
      <c r="AW80" s="1381"/>
      <c r="AX80" s="1381"/>
      <c r="AY80" s="1381"/>
      <c r="AZ80" s="1381"/>
      <c r="BA80" s="1381"/>
      <c r="BB80" s="1381"/>
      <c r="BC80" s="1381"/>
      <c r="BD80" s="1381"/>
      <c r="BE80" s="1381"/>
      <c r="BF80" s="1381"/>
      <c r="BG80" s="1381"/>
      <c r="BH80" s="1381"/>
      <c r="BI80" s="1381"/>
      <c r="BJ80" s="1381"/>
      <c r="BK80" s="1381"/>
      <c r="BL80" s="1381"/>
      <c r="BM80" s="1381"/>
      <c r="BN80" s="1381"/>
      <c r="BO80" s="1381"/>
      <c r="BP80" s="1381"/>
      <c r="BQ80" s="1381"/>
      <c r="BR80" s="1381"/>
      <c r="BS80" s="1381"/>
      <c r="BT80" s="1381"/>
      <c r="BU80" s="1381"/>
      <c r="BV80" s="1381"/>
      <c r="BW80" s="1381"/>
      <c r="BX80" s="1381"/>
      <c r="BY80" s="1381"/>
      <c r="BZ80" s="1381"/>
      <c r="CA80" s="1381"/>
      <c r="CB80" s="1381"/>
      <c r="CC80" s="1381"/>
      <c r="CD80" s="1381"/>
      <c r="CE80" s="1381"/>
      <c r="CF80" s="1381"/>
      <c r="CG80" s="1381"/>
      <c r="CH80" s="1381"/>
      <c r="CI80" s="1381"/>
      <c r="CJ80" s="1381"/>
      <c r="CK80" s="1381"/>
      <c r="CL80" s="1381"/>
      <c r="CM80" s="1381"/>
      <c r="CN80" s="1381"/>
      <c r="CO80" s="1388" t="str">
        <f>"12/03/"&amp;Tax_year_end-27</f>
        <v>12/03/1999</v>
      </c>
      <c r="CP80" s="1381"/>
      <c r="CQ80" s="1381"/>
      <c r="CR80" s="1381"/>
      <c r="CS80" s="1381"/>
      <c r="CT80" s="1381"/>
      <c r="CU80" s="1381"/>
      <c r="CV80" s="1381"/>
      <c r="CW80" s="1381"/>
      <c r="CX80" s="1381"/>
      <c r="CY80" s="1381"/>
      <c r="CZ80" s="1381"/>
      <c r="DA80" s="1381"/>
      <c r="DB80" s="1381"/>
      <c r="DC80" s="1381"/>
      <c r="DD80" s="1381"/>
      <c r="DE80" s="1381"/>
      <c r="DF80" s="1381"/>
      <c r="DG80" s="1381"/>
      <c r="DH80" s="1381"/>
      <c r="DI80" s="1381"/>
      <c r="DJ80" s="1381"/>
      <c r="DK80" s="1381"/>
      <c r="DL80" s="1381"/>
      <c r="DM80" s="1381"/>
      <c r="DN80" s="1381"/>
      <c r="DO80" s="1381"/>
      <c r="DP80" s="1381"/>
      <c r="DQ80" s="1381"/>
      <c r="DR80" s="1381"/>
      <c r="DS80" s="1381"/>
      <c r="DT80" s="1381"/>
      <c r="DU80" s="1381"/>
      <c r="DV80" s="1381"/>
      <c r="DW80" s="1381"/>
      <c r="DX80" s="1381"/>
      <c r="DY80" s="1381"/>
      <c r="DZ80" s="1381"/>
      <c r="EA80" s="1381"/>
      <c r="EB80" s="1381"/>
      <c r="EC80" s="1381"/>
      <c r="ED80" s="1381"/>
      <c r="EE80" s="1381"/>
      <c r="EF80" s="1381"/>
      <c r="EG80" s="1381"/>
      <c r="EH80" s="1381"/>
      <c r="EI80" s="1381"/>
      <c r="EJ80" s="1381"/>
      <c r="EK80" s="1381"/>
      <c r="EL80" s="1381"/>
      <c r="EM80" s="1381"/>
      <c r="EN80" s="1381"/>
      <c r="EO80" s="1381"/>
      <c r="EP80" s="1381"/>
      <c r="EQ80" s="1381"/>
      <c r="ER80" s="1381"/>
      <c r="ES80" s="1381"/>
      <c r="ET80" s="1381"/>
      <c r="EU80" s="1381"/>
      <c r="EV80" s="1381"/>
      <c r="EW80" s="1381"/>
      <c r="EX80" s="1381"/>
      <c r="EY80" s="1381"/>
      <c r="EZ80" s="1381"/>
      <c r="FA80" s="1381"/>
      <c r="FB80" s="1381"/>
      <c r="FC80" s="1381"/>
      <c r="FD80" s="1381"/>
      <c r="FE80" s="1381"/>
      <c r="FF80" s="1381"/>
      <c r="FG80" s="1381"/>
      <c r="FH80" s="1381"/>
      <c r="FI80" s="1381"/>
      <c r="FJ80" s="1381"/>
      <c r="FK80" s="1381"/>
      <c r="FL80" s="1381"/>
      <c r="FM80" s="1381"/>
      <c r="FN80" s="1381"/>
      <c r="FO80" s="1381"/>
      <c r="FP80" s="1381"/>
      <c r="FQ80" s="1381"/>
      <c r="FR80" s="1381"/>
      <c r="FS80" s="1381"/>
      <c r="FT80" s="1381"/>
      <c r="FU80" s="1381"/>
      <c r="FV80" s="1381"/>
      <c r="FW80" s="1381"/>
      <c r="FX80" s="1381"/>
      <c r="FY80" s="1381"/>
      <c r="FZ80" s="1381"/>
      <c r="GA80" s="1381"/>
      <c r="GB80" s="1381"/>
      <c r="GC80" s="1381"/>
      <c r="GD80" s="1381"/>
      <c r="GE80" s="1381"/>
      <c r="GF80" s="1381"/>
      <c r="GG80" s="1381"/>
      <c r="GH80" s="1381"/>
      <c r="GI80" s="1381"/>
      <c r="GJ80" s="1381"/>
      <c r="GK80" s="1381"/>
      <c r="GL80" s="1381"/>
      <c r="GM80" s="1381"/>
      <c r="GN80" s="1381"/>
      <c r="GO80" s="1381"/>
      <c r="GP80" s="1381"/>
      <c r="GQ80" s="1381"/>
      <c r="GR80" s="1381"/>
      <c r="GS80" s="1381"/>
      <c r="GT80" s="1381"/>
      <c r="GU80" s="1381"/>
      <c r="GV80" s="1381"/>
      <c r="GW80" s="1381"/>
      <c r="GX80" s="1381"/>
      <c r="GY80" s="1381"/>
      <c r="GZ80" s="1381"/>
      <c r="HA80" s="1381"/>
      <c r="HB80" s="1381"/>
      <c r="HC80" s="1381"/>
      <c r="HD80" s="1381"/>
      <c r="HE80" s="1381"/>
      <c r="HF80" s="1381"/>
      <c r="HG80" s="1381"/>
      <c r="HH80" s="1381"/>
      <c r="HI80" s="1381"/>
      <c r="HJ80" s="1381"/>
      <c r="HK80" s="1381"/>
      <c r="HL80" s="1381"/>
      <c r="HM80" s="1381"/>
      <c r="HN80" s="1381"/>
      <c r="HO80" s="1381"/>
      <c r="HP80" s="1381"/>
      <c r="HQ80" s="1388" t="str">
        <f>"12/03/"&amp;Tax_year_end-27</f>
        <v>12/03/1999</v>
      </c>
      <c r="HR80" s="1381"/>
      <c r="HS80" s="1381"/>
      <c r="HT80" s="1381"/>
      <c r="HU80" s="1381"/>
      <c r="HV80" s="1381"/>
      <c r="HW80" s="1381"/>
      <c r="HX80" s="1381"/>
      <c r="HY80" s="1381"/>
      <c r="HZ80" s="1381"/>
      <c r="IA80" s="1381"/>
      <c r="IB80" s="1381"/>
      <c r="IC80" s="1381"/>
      <c r="ID80" s="1381"/>
      <c r="IE80" s="1381"/>
      <c r="IF80" s="1381"/>
      <c r="IG80" s="1381"/>
      <c r="IH80" s="1381"/>
      <c r="II80" s="1381"/>
      <c r="IJ80" s="1381"/>
      <c r="IK80" s="1381"/>
      <c r="IL80" s="1381"/>
      <c r="IM80" s="1381"/>
      <c r="IN80" s="1381"/>
      <c r="IO80" s="1381"/>
      <c r="IP80" s="1381"/>
      <c r="IQ80" s="1381"/>
      <c r="IR80" s="1381"/>
      <c r="IS80" s="1381"/>
      <c r="IT80" s="1381"/>
      <c r="IU80" s="1381"/>
      <c r="IV80" s="1381"/>
      <c r="IW80" s="1381"/>
      <c r="IX80" s="1381"/>
      <c r="IY80" s="1381"/>
      <c r="IZ80" s="1381"/>
      <c r="JA80" s="1381"/>
      <c r="JB80" s="1381"/>
      <c r="JC80" s="1381"/>
      <c r="JD80" s="1381"/>
      <c r="JE80" s="1381"/>
      <c r="JF80" s="1381"/>
      <c r="JG80" s="1381"/>
      <c r="JH80" s="1381"/>
      <c r="JI80" s="1381"/>
      <c r="JJ80" s="1381"/>
      <c r="JK80" s="1381"/>
      <c r="JL80" s="1381"/>
      <c r="JM80" s="1381"/>
      <c r="JN80" s="1381"/>
      <c r="JO80" s="1381"/>
      <c r="JP80" s="1381"/>
      <c r="JQ80" s="2488"/>
      <c r="JR80" s="351"/>
      <c r="JS80" s="1389" t="s">
        <v>2376</v>
      </c>
      <c r="JT80" s="1385" t="s">
        <v>2208</v>
      </c>
    </row>
    <row r="81" spans="1:280" ht="12.5" x14ac:dyDescent="0.25">
      <c r="A81" s="1357">
        <v>8</v>
      </c>
      <c r="B81" s="1387" t="str">
        <f t="shared" si="6"/>
        <v/>
      </c>
      <c r="C81" s="1359" t="s">
        <v>2377</v>
      </c>
      <c r="D81" s="1360" t="s">
        <v>2378</v>
      </c>
      <c r="E81" s="1381" t="s">
        <v>1707</v>
      </c>
      <c r="F81" s="1381"/>
      <c r="G81" s="1381" t="s">
        <v>1615</v>
      </c>
      <c r="H81" s="1381"/>
      <c r="I81" s="1381" t="s">
        <v>1615</v>
      </c>
      <c r="J81" s="1381" t="s">
        <v>1707</v>
      </c>
      <c r="K81" s="1381"/>
      <c r="L81" s="1381"/>
      <c r="M81" s="1381"/>
      <c r="N81" s="1381"/>
      <c r="O81" s="1381"/>
      <c r="P81" s="1381"/>
      <c r="Q81" s="1381"/>
      <c r="R81" s="1381"/>
      <c r="S81" s="1381" t="s">
        <v>1707</v>
      </c>
      <c r="T81" s="1381"/>
      <c r="U81" s="1381"/>
      <c r="V81" s="1381"/>
      <c r="W81" s="1381"/>
      <c r="X81" s="1381"/>
      <c r="Y81" s="1381"/>
      <c r="Z81" s="1381"/>
      <c r="AA81" s="1381" t="s">
        <v>1707</v>
      </c>
      <c r="AB81" s="1381"/>
      <c r="AC81" s="1381" t="s">
        <v>1615</v>
      </c>
      <c r="AD81" s="1381" t="s">
        <v>1615</v>
      </c>
      <c r="AE81" s="1381" t="s">
        <v>1615</v>
      </c>
      <c r="AF81" s="1381"/>
      <c r="AG81" s="1381"/>
      <c r="AH81" s="1381"/>
      <c r="AI81" s="1381"/>
      <c r="AJ81" s="1381"/>
      <c r="AK81" s="1381"/>
      <c r="AL81" s="1381"/>
      <c r="AM81" s="1381"/>
      <c r="AN81" s="1381"/>
      <c r="AO81" s="1381" t="s">
        <v>1615</v>
      </c>
      <c r="AP81" s="1381"/>
      <c r="AQ81" s="1381"/>
      <c r="AR81" s="1381"/>
      <c r="AS81" s="1381"/>
      <c r="AT81" s="1381" t="s">
        <v>1707</v>
      </c>
      <c r="AU81" s="1381" t="s">
        <v>1707</v>
      </c>
      <c r="AV81" s="1381" t="s">
        <v>1615</v>
      </c>
      <c r="AW81" s="1381"/>
      <c r="AX81" s="1381"/>
      <c r="AY81" s="1381"/>
      <c r="AZ81" s="1381" t="s">
        <v>1615</v>
      </c>
      <c r="BA81" s="1381"/>
      <c r="BB81" s="1381"/>
      <c r="BC81" s="1381"/>
      <c r="BD81" s="1381"/>
      <c r="BE81" s="1381"/>
      <c r="BF81" s="1381"/>
      <c r="BG81" s="1381"/>
      <c r="BH81" s="1381"/>
      <c r="BI81" s="1381"/>
      <c r="BJ81" s="1381"/>
      <c r="BK81" s="1381"/>
      <c r="BL81" s="1381"/>
      <c r="BM81" s="1381"/>
      <c r="BN81" s="1381"/>
      <c r="BO81" s="1381"/>
      <c r="BP81" s="1381"/>
      <c r="BQ81" s="1381"/>
      <c r="BR81" s="1381"/>
      <c r="BS81" s="1381"/>
      <c r="BT81" s="1381"/>
      <c r="BU81" s="1381"/>
      <c r="BV81" s="1381"/>
      <c r="BW81" s="1381"/>
      <c r="BX81" s="1381"/>
      <c r="BY81" s="1381"/>
      <c r="BZ81" s="1381"/>
      <c r="CA81" s="1381"/>
      <c r="CB81" s="1381"/>
      <c r="CC81" s="1381"/>
      <c r="CD81" s="1381"/>
      <c r="CE81" s="1381"/>
      <c r="CF81" s="1381"/>
      <c r="CG81" s="1381"/>
      <c r="CH81" s="1381"/>
      <c r="CI81" s="1381"/>
      <c r="CJ81" s="1381"/>
      <c r="CK81" s="1381"/>
      <c r="CL81" s="1381"/>
      <c r="CM81" s="1381"/>
      <c r="CN81" s="1381"/>
      <c r="CO81" s="1381" t="s">
        <v>1707</v>
      </c>
      <c r="CP81" s="1381"/>
      <c r="CQ81" s="1381"/>
      <c r="CR81" s="1381"/>
      <c r="CS81" s="1381"/>
      <c r="CT81" s="1381"/>
      <c r="CU81" s="1381"/>
      <c r="CV81" s="1381"/>
      <c r="CW81" s="1381"/>
      <c r="CX81" s="1381"/>
      <c r="CY81" s="1381"/>
      <c r="CZ81" s="1381"/>
      <c r="DA81" s="1381"/>
      <c r="DB81" s="1381"/>
      <c r="DC81" s="1381"/>
      <c r="DD81" s="1381"/>
      <c r="DE81" s="1381"/>
      <c r="DF81" s="1381"/>
      <c r="DG81" s="1381"/>
      <c r="DH81" s="1381"/>
      <c r="DI81" s="1381"/>
      <c r="DJ81" s="1381"/>
      <c r="DK81" s="1381"/>
      <c r="DL81" s="1381"/>
      <c r="DM81" s="1381"/>
      <c r="DN81" s="1381"/>
      <c r="DO81" s="1381"/>
      <c r="DP81" s="1381"/>
      <c r="DQ81" s="1381"/>
      <c r="DR81" s="1381"/>
      <c r="DS81" s="1381"/>
      <c r="DT81" s="1381"/>
      <c r="DU81" s="1381"/>
      <c r="DV81" s="1381"/>
      <c r="DW81" s="1381"/>
      <c r="DX81" s="1381"/>
      <c r="DY81" s="1381"/>
      <c r="DZ81" s="1381"/>
      <c r="EA81" s="1381"/>
      <c r="EB81" s="1381"/>
      <c r="EC81" s="1381"/>
      <c r="ED81" s="1381"/>
      <c r="EE81" s="1381"/>
      <c r="EF81" s="1381"/>
      <c r="EG81" s="1381"/>
      <c r="EH81" s="1381"/>
      <c r="EI81" s="1381"/>
      <c r="EJ81" s="1381"/>
      <c r="EK81" s="1381"/>
      <c r="EL81" s="1381"/>
      <c r="EM81" s="1381"/>
      <c r="EN81" s="1381"/>
      <c r="EO81" s="1381"/>
      <c r="EP81" s="1381"/>
      <c r="EQ81" s="1381"/>
      <c r="ER81" s="1381"/>
      <c r="ES81" s="1381"/>
      <c r="ET81" s="1381"/>
      <c r="EU81" s="1381"/>
      <c r="EV81" s="1381"/>
      <c r="EW81" s="1381"/>
      <c r="EX81" s="1381"/>
      <c r="EY81" s="1381"/>
      <c r="EZ81" s="1381"/>
      <c r="FA81" s="1381"/>
      <c r="FB81" s="1381"/>
      <c r="FC81" s="1381"/>
      <c r="FD81" s="1381"/>
      <c r="FE81" s="1381"/>
      <c r="FF81" s="1381"/>
      <c r="FG81" s="1381"/>
      <c r="FH81" s="1381"/>
      <c r="FI81" s="1381"/>
      <c r="FJ81" s="1381"/>
      <c r="FK81" s="1381"/>
      <c r="FL81" s="1381"/>
      <c r="FM81" s="1381"/>
      <c r="FN81" s="1381"/>
      <c r="FO81" s="1381"/>
      <c r="FP81" s="1381"/>
      <c r="FQ81" s="1381"/>
      <c r="FR81" s="1381"/>
      <c r="FS81" s="1381"/>
      <c r="FT81" s="1381"/>
      <c r="FU81" s="1381"/>
      <c r="FV81" s="1381"/>
      <c r="FW81" s="1381"/>
      <c r="FX81" s="1381"/>
      <c r="FY81" s="1381"/>
      <c r="FZ81" s="1381"/>
      <c r="GA81" s="1381"/>
      <c r="GB81" s="1381"/>
      <c r="GC81" s="1381"/>
      <c r="GD81" s="1381"/>
      <c r="GE81" s="1381"/>
      <c r="GF81" s="1381"/>
      <c r="GG81" s="1381"/>
      <c r="GH81" s="1381"/>
      <c r="GI81" s="1381"/>
      <c r="GJ81" s="1381"/>
      <c r="GK81" s="1381"/>
      <c r="GL81" s="1381"/>
      <c r="GM81" s="1381"/>
      <c r="GN81" s="1381"/>
      <c r="GO81" s="1381"/>
      <c r="GP81" s="1381"/>
      <c r="GQ81" s="1381"/>
      <c r="GR81" s="1381"/>
      <c r="GS81" s="1381"/>
      <c r="GT81" s="1381"/>
      <c r="GU81" s="1381"/>
      <c r="GV81" s="1381"/>
      <c r="GW81" s="1381"/>
      <c r="GX81" s="1381"/>
      <c r="GY81" s="1381"/>
      <c r="GZ81" s="1381"/>
      <c r="HA81" s="1381"/>
      <c r="HB81" s="1381"/>
      <c r="HC81" s="1381"/>
      <c r="HD81" s="1381"/>
      <c r="HE81" s="1381"/>
      <c r="HF81" s="1381"/>
      <c r="HG81" s="1381"/>
      <c r="HH81" s="1381"/>
      <c r="HI81" s="1381"/>
      <c r="HJ81" s="1381"/>
      <c r="HK81" s="1381"/>
      <c r="HL81" s="1381"/>
      <c r="HM81" s="1381"/>
      <c r="HN81" s="1381"/>
      <c r="HO81" s="1381"/>
      <c r="HP81" s="1381"/>
      <c r="HQ81" s="1381" t="s">
        <v>1707</v>
      </c>
      <c r="HR81" s="1381" t="s">
        <v>1615</v>
      </c>
      <c r="HS81" s="1381"/>
      <c r="HT81" s="1381"/>
      <c r="HU81" s="1381"/>
      <c r="HV81" s="1381"/>
      <c r="HW81" s="1381"/>
      <c r="HX81" s="1381"/>
      <c r="HY81" s="1381"/>
      <c r="HZ81" s="1381"/>
      <c r="IA81" s="1381"/>
      <c r="IB81" s="1381"/>
      <c r="IC81" s="1381"/>
      <c r="ID81" s="1381"/>
      <c r="IE81" s="1381"/>
      <c r="IF81" s="1381"/>
      <c r="IG81" s="1381"/>
      <c r="IH81" s="1381"/>
      <c r="II81" s="1381"/>
      <c r="IJ81" s="1381"/>
      <c r="IK81" s="1381"/>
      <c r="IL81" s="1381"/>
      <c r="IM81" s="1381" t="s">
        <v>1615</v>
      </c>
      <c r="IN81" s="1381" t="s">
        <v>1615</v>
      </c>
      <c r="IO81" s="1381"/>
      <c r="IP81" s="1381"/>
      <c r="IQ81" s="1381"/>
      <c r="IR81" s="1381"/>
      <c r="IS81" s="1381"/>
      <c r="IT81" s="1381"/>
      <c r="IU81" s="1381"/>
      <c r="IV81" s="1381"/>
      <c r="IW81" s="1381"/>
      <c r="IX81" s="1381"/>
      <c r="IY81" s="1381"/>
      <c r="IZ81" s="1381"/>
      <c r="JA81" s="1381"/>
      <c r="JB81" s="1381"/>
      <c r="JC81" s="1381"/>
      <c r="JD81" s="1381"/>
      <c r="JE81" s="1381"/>
      <c r="JF81" s="1381"/>
      <c r="JG81" s="1381"/>
      <c r="JH81" s="1381"/>
      <c r="JI81" s="1381"/>
      <c r="JJ81" s="1381"/>
      <c r="JK81" s="1381"/>
      <c r="JL81" s="1381"/>
      <c r="JM81" s="1381"/>
      <c r="JN81" s="1381"/>
      <c r="JO81" s="1381"/>
      <c r="JP81" s="1381"/>
      <c r="JQ81" s="2488"/>
      <c r="JR81" s="351"/>
      <c r="JS81" s="1365"/>
      <c r="JT81" s="1385" t="s">
        <v>2319</v>
      </c>
    </row>
    <row r="82" spans="1:280" ht="13" thickBot="1" x14ac:dyDescent="0.3">
      <c r="A82" s="1357">
        <v>9</v>
      </c>
      <c r="B82" s="1387" t="str">
        <f t="shared" si="6"/>
        <v/>
      </c>
      <c r="C82" s="705" t="s">
        <v>2379</v>
      </c>
      <c r="D82" s="698" t="s">
        <v>2380</v>
      </c>
      <c r="E82" s="712"/>
      <c r="F82" s="712" t="s">
        <v>1707</v>
      </c>
      <c r="G82" s="712" t="s">
        <v>1707</v>
      </c>
      <c r="H82" s="712"/>
      <c r="I82" s="712" t="s">
        <v>1707</v>
      </c>
      <c r="J82" s="712"/>
      <c r="K82" s="712"/>
      <c r="L82" s="712"/>
      <c r="M82" s="712"/>
      <c r="N82" s="712"/>
      <c r="O82" s="712"/>
      <c r="P82" s="712"/>
      <c r="Q82" s="712"/>
      <c r="R82" s="712"/>
      <c r="S82" s="712" t="s">
        <v>1615</v>
      </c>
      <c r="T82" s="712"/>
      <c r="U82" s="712"/>
      <c r="V82" s="712"/>
      <c r="W82" s="712"/>
      <c r="X82" s="712" t="s">
        <v>1707</v>
      </c>
      <c r="Y82" s="712"/>
      <c r="Z82" s="712"/>
      <c r="AA82" s="712" t="s">
        <v>1615</v>
      </c>
      <c r="AB82" s="712"/>
      <c r="AC82" s="712" t="s">
        <v>1707</v>
      </c>
      <c r="AD82" s="712" t="s">
        <v>1707</v>
      </c>
      <c r="AE82" s="712" t="s">
        <v>1707</v>
      </c>
      <c r="AF82" s="712"/>
      <c r="AG82" s="712"/>
      <c r="AH82" s="712"/>
      <c r="AI82" s="712"/>
      <c r="AJ82" s="712"/>
      <c r="AK82" s="712"/>
      <c r="AL82" s="712"/>
      <c r="AM82" s="712"/>
      <c r="AN82" s="712"/>
      <c r="AO82" s="712" t="s">
        <v>1707</v>
      </c>
      <c r="AP82" s="712"/>
      <c r="AQ82" s="712"/>
      <c r="AR82" s="712"/>
      <c r="AS82" s="712"/>
      <c r="AT82" s="712" t="s">
        <v>1615</v>
      </c>
      <c r="AU82" s="712" t="s">
        <v>1615</v>
      </c>
      <c r="AV82" s="712" t="s">
        <v>1707</v>
      </c>
      <c r="AW82" s="712"/>
      <c r="AX82" s="712"/>
      <c r="AY82" s="712"/>
      <c r="AZ82" s="712" t="s">
        <v>1707</v>
      </c>
      <c r="BA82" s="712"/>
      <c r="BB82" s="712"/>
      <c r="BC82" s="712"/>
      <c r="BD82" s="712"/>
      <c r="BE82" s="712"/>
      <c r="BF82" s="712"/>
      <c r="BG82" s="712"/>
      <c r="BH82" s="712"/>
      <c r="BI82" s="712"/>
      <c r="BJ82" s="712"/>
      <c r="BK82" s="712"/>
      <c r="BL82" s="712"/>
      <c r="BM82" s="712"/>
      <c r="BN82" s="712"/>
      <c r="BO82" s="712"/>
      <c r="BP82" s="712"/>
      <c r="BQ82" s="712"/>
      <c r="BR82" s="712"/>
      <c r="BS82" s="712"/>
      <c r="BT82" s="712"/>
      <c r="BU82" s="712"/>
      <c r="BV82" s="712"/>
      <c r="BW82" s="712"/>
      <c r="BX82" s="712"/>
      <c r="BY82" s="712"/>
      <c r="BZ82" s="712"/>
      <c r="CA82" s="712"/>
      <c r="CB82" s="712"/>
      <c r="CC82" s="712"/>
      <c r="CD82" s="712"/>
      <c r="CE82" s="712"/>
      <c r="CF82" s="712"/>
      <c r="CG82" s="712"/>
      <c r="CH82" s="712"/>
      <c r="CI82" s="712"/>
      <c r="CJ82" s="712"/>
      <c r="CK82" s="712"/>
      <c r="CL82" s="712"/>
      <c r="CM82" s="712"/>
      <c r="CN82" s="712"/>
      <c r="CO82" s="712" t="s">
        <v>1615</v>
      </c>
      <c r="CP82" s="712"/>
      <c r="CQ82" s="712"/>
      <c r="CR82" s="712"/>
      <c r="CS82" s="712"/>
      <c r="CT82" s="712"/>
      <c r="CU82" s="712"/>
      <c r="CV82" s="712"/>
      <c r="CW82" s="712"/>
      <c r="CX82" s="712"/>
      <c r="CY82" s="712"/>
      <c r="CZ82" s="712"/>
      <c r="DA82" s="712"/>
      <c r="DB82" s="712"/>
      <c r="DC82" s="712"/>
      <c r="DD82" s="712"/>
      <c r="DE82" s="712"/>
      <c r="DF82" s="712"/>
      <c r="DG82" s="712"/>
      <c r="DH82" s="712"/>
      <c r="DI82" s="712"/>
      <c r="DJ82" s="712"/>
      <c r="DK82" s="712"/>
      <c r="DL82" s="712"/>
      <c r="DM82" s="712"/>
      <c r="DN82" s="712"/>
      <c r="DO82" s="712"/>
      <c r="DP82" s="712"/>
      <c r="DQ82" s="712"/>
      <c r="DR82" s="712"/>
      <c r="DS82" s="712"/>
      <c r="DT82" s="712"/>
      <c r="DU82" s="712"/>
      <c r="DV82" s="712"/>
      <c r="DW82" s="712"/>
      <c r="DX82" s="712"/>
      <c r="DY82" s="712"/>
      <c r="DZ82" s="712"/>
      <c r="EA82" s="712"/>
      <c r="EB82" s="712"/>
      <c r="EC82" s="712"/>
      <c r="ED82" s="712"/>
      <c r="EE82" s="712"/>
      <c r="EF82" s="712"/>
      <c r="EG82" s="712"/>
      <c r="EH82" s="712"/>
      <c r="EI82" s="712"/>
      <c r="EJ82" s="712"/>
      <c r="EK82" s="712"/>
      <c r="EL82" s="712"/>
      <c r="EM82" s="712"/>
      <c r="EN82" s="712"/>
      <c r="EO82" s="712"/>
      <c r="EP82" s="712"/>
      <c r="EQ82" s="712"/>
      <c r="ER82" s="712"/>
      <c r="ES82" s="712"/>
      <c r="ET82" s="712"/>
      <c r="EU82" s="712"/>
      <c r="EV82" s="712"/>
      <c r="EW82" s="712"/>
      <c r="EX82" s="712"/>
      <c r="EY82" s="712"/>
      <c r="EZ82" s="712"/>
      <c r="FA82" s="712"/>
      <c r="FB82" s="712"/>
      <c r="FC82" s="712"/>
      <c r="FD82" s="712"/>
      <c r="FE82" s="712"/>
      <c r="FF82" s="712"/>
      <c r="FG82" s="712"/>
      <c r="FH82" s="712"/>
      <c r="FI82" s="712"/>
      <c r="FJ82" s="712"/>
      <c r="FK82" s="712"/>
      <c r="FL82" s="712"/>
      <c r="FM82" s="712"/>
      <c r="FN82" s="712"/>
      <c r="FO82" s="712"/>
      <c r="FP82" s="712"/>
      <c r="FQ82" s="712"/>
      <c r="FR82" s="712"/>
      <c r="FS82" s="712"/>
      <c r="FT82" s="712"/>
      <c r="FU82" s="712"/>
      <c r="FV82" s="712"/>
      <c r="FW82" s="712"/>
      <c r="FX82" s="712"/>
      <c r="FY82" s="712"/>
      <c r="FZ82" s="712"/>
      <c r="GA82" s="712"/>
      <c r="GB82" s="712"/>
      <c r="GC82" s="712"/>
      <c r="GD82" s="712"/>
      <c r="GE82" s="712"/>
      <c r="GF82" s="712"/>
      <c r="GG82" s="712"/>
      <c r="GH82" s="712"/>
      <c r="GI82" s="712"/>
      <c r="GJ82" s="712"/>
      <c r="GK82" s="712"/>
      <c r="GL82" s="712"/>
      <c r="GM82" s="712"/>
      <c r="GN82" s="712"/>
      <c r="GO82" s="712"/>
      <c r="GP82" s="712"/>
      <c r="GQ82" s="712"/>
      <c r="GR82" s="712"/>
      <c r="GS82" s="712"/>
      <c r="GT82" s="712"/>
      <c r="GU82" s="712"/>
      <c r="GV82" s="712"/>
      <c r="GW82" s="712"/>
      <c r="GX82" s="712"/>
      <c r="GY82" s="712"/>
      <c r="GZ82" s="712"/>
      <c r="HA82" s="712"/>
      <c r="HB82" s="712"/>
      <c r="HC82" s="712"/>
      <c r="HD82" s="712"/>
      <c r="HE82" s="712"/>
      <c r="HF82" s="712"/>
      <c r="HG82" s="712"/>
      <c r="HH82" s="712"/>
      <c r="HI82" s="712"/>
      <c r="HJ82" s="712"/>
      <c r="HK82" s="712"/>
      <c r="HL82" s="712"/>
      <c r="HM82" s="712"/>
      <c r="HN82" s="712"/>
      <c r="HO82" s="712"/>
      <c r="HP82" s="712"/>
      <c r="HQ82" s="712" t="s">
        <v>1615</v>
      </c>
      <c r="HR82" s="712" t="s">
        <v>1707</v>
      </c>
      <c r="HS82" s="712"/>
      <c r="HT82" s="712"/>
      <c r="HU82" s="712"/>
      <c r="HV82" s="712"/>
      <c r="HW82" s="712"/>
      <c r="HX82" s="712"/>
      <c r="HY82" s="712"/>
      <c r="HZ82" s="712"/>
      <c r="IA82" s="712"/>
      <c r="IB82" s="712"/>
      <c r="IC82" s="712"/>
      <c r="ID82" s="712"/>
      <c r="IE82" s="712"/>
      <c r="IF82" s="712"/>
      <c r="IG82" s="712"/>
      <c r="IH82" s="712"/>
      <c r="II82" s="712"/>
      <c r="IJ82" s="712"/>
      <c r="IK82" s="712"/>
      <c r="IL82" s="712"/>
      <c r="IM82" s="712" t="s">
        <v>1707</v>
      </c>
      <c r="IN82" s="712" t="s">
        <v>1707</v>
      </c>
      <c r="IO82" s="712"/>
      <c r="IP82" s="712"/>
      <c r="IQ82" s="712"/>
      <c r="IR82" s="712"/>
      <c r="IS82" s="712"/>
      <c r="IT82" s="712"/>
      <c r="IU82" s="712"/>
      <c r="IV82" s="712"/>
      <c r="IW82" s="712"/>
      <c r="IX82" s="712"/>
      <c r="IY82" s="712"/>
      <c r="IZ82" s="712"/>
      <c r="JA82" s="712"/>
      <c r="JB82" s="712"/>
      <c r="JC82" s="712"/>
      <c r="JD82" s="712"/>
      <c r="JE82" s="712"/>
      <c r="JF82" s="712"/>
      <c r="JG82" s="712"/>
      <c r="JH82" s="712"/>
      <c r="JI82" s="712"/>
      <c r="JJ82" s="712"/>
      <c r="JK82" s="712"/>
      <c r="JL82" s="712"/>
      <c r="JM82" s="712"/>
      <c r="JN82" s="712"/>
      <c r="JO82" s="712"/>
      <c r="JP82" s="712"/>
      <c r="JQ82" s="711"/>
      <c r="JR82" s="351"/>
      <c r="JS82" s="1365"/>
      <c r="JT82" s="1385" t="s">
        <v>2319</v>
      </c>
    </row>
    <row r="83" spans="1:280" ht="12" thickBot="1" x14ac:dyDescent="0.3">
      <c r="C83" s="261" t="s">
        <v>2381</v>
      </c>
      <c r="D83" s="137"/>
      <c r="G83" s="35"/>
      <c r="AU83" s="35"/>
    </row>
    <row r="84" spans="1:280" ht="12.5" x14ac:dyDescent="0.25">
      <c r="A84" s="1357" t="s">
        <v>2201</v>
      </c>
      <c r="B84" s="406" t="str">
        <f>"selected "&amp;FIN_Ind-1</f>
        <v>selected 0</v>
      </c>
      <c r="C84" s="287" t="s">
        <v>11</v>
      </c>
      <c r="D84" s="262"/>
      <c r="E84" s="418">
        <v>1</v>
      </c>
      <c r="F84" s="418">
        <v>2</v>
      </c>
      <c r="G84" s="418">
        <v>3</v>
      </c>
      <c r="H84" s="418">
        <v>4</v>
      </c>
      <c r="I84" s="418">
        <v>5</v>
      </c>
      <c r="J84" s="418">
        <v>6</v>
      </c>
      <c r="K84" s="418">
        <v>7</v>
      </c>
      <c r="L84" s="418">
        <v>8</v>
      </c>
      <c r="M84" s="418">
        <v>9</v>
      </c>
      <c r="N84" s="418">
        <v>10</v>
      </c>
      <c r="O84" s="418">
        <v>11</v>
      </c>
      <c r="P84" s="418">
        <v>12</v>
      </c>
      <c r="Q84" s="418">
        <v>13</v>
      </c>
      <c r="R84" s="418">
        <v>14</v>
      </c>
      <c r="S84" s="418">
        <v>15</v>
      </c>
      <c r="T84" s="418">
        <v>16</v>
      </c>
      <c r="U84" s="418">
        <v>17</v>
      </c>
      <c r="V84" s="418">
        <v>18</v>
      </c>
      <c r="W84" s="418">
        <v>19</v>
      </c>
      <c r="X84" s="418">
        <v>20</v>
      </c>
      <c r="Y84" s="418">
        <v>21</v>
      </c>
      <c r="Z84" s="418">
        <v>22</v>
      </c>
      <c r="AA84" s="418">
        <v>23</v>
      </c>
      <c r="AB84" s="418">
        <v>24</v>
      </c>
      <c r="AC84" s="418">
        <v>25</v>
      </c>
      <c r="AD84" s="418">
        <v>26</v>
      </c>
      <c r="AE84" s="418">
        <v>27</v>
      </c>
      <c r="AF84" s="418">
        <v>28</v>
      </c>
      <c r="AG84" s="418">
        <v>29</v>
      </c>
      <c r="AH84" s="418">
        <v>30</v>
      </c>
      <c r="AI84" s="418">
        <v>31</v>
      </c>
      <c r="AJ84" s="418">
        <v>32</v>
      </c>
      <c r="AK84" s="418">
        <v>33</v>
      </c>
      <c r="AL84" s="418">
        <v>34</v>
      </c>
      <c r="AM84" s="418">
        <v>35</v>
      </c>
      <c r="AN84" s="418">
        <v>36</v>
      </c>
      <c r="AO84" s="418">
        <v>37</v>
      </c>
      <c r="AP84" s="418">
        <v>38</v>
      </c>
      <c r="AQ84" s="418">
        <v>39</v>
      </c>
      <c r="AR84" s="418">
        <v>40</v>
      </c>
      <c r="AS84" s="418">
        <v>41</v>
      </c>
      <c r="AT84" s="418">
        <v>42</v>
      </c>
      <c r="AU84" s="418">
        <v>43</v>
      </c>
      <c r="AV84" s="418">
        <v>44</v>
      </c>
      <c r="AW84" s="418">
        <v>45</v>
      </c>
      <c r="AX84" s="418">
        <v>46</v>
      </c>
      <c r="AY84" s="418">
        <v>47</v>
      </c>
      <c r="AZ84" s="418">
        <v>48</v>
      </c>
      <c r="BA84" s="418">
        <v>49</v>
      </c>
      <c r="BB84" s="418">
        <v>50</v>
      </c>
      <c r="BC84" s="418">
        <v>51</v>
      </c>
      <c r="BD84" s="418">
        <v>52</v>
      </c>
      <c r="BE84" s="418">
        <v>53</v>
      </c>
      <c r="BF84" s="418">
        <v>54</v>
      </c>
      <c r="BG84" s="418">
        <v>55</v>
      </c>
      <c r="BH84" s="418">
        <v>56</v>
      </c>
      <c r="BI84" s="418">
        <v>57</v>
      </c>
      <c r="BJ84" s="418">
        <v>58</v>
      </c>
      <c r="BK84" s="418">
        <v>59</v>
      </c>
      <c r="BL84" s="418">
        <v>60</v>
      </c>
      <c r="BM84" s="418">
        <v>61</v>
      </c>
      <c r="BN84" s="418">
        <v>62</v>
      </c>
      <c r="BO84" s="418">
        <v>63</v>
      </c>
      <c r="BP84" s="418">
        <v>64</v>
      </c>
      <c r="BQ84" s="418">
        <v>65</v>
      </c>
      <c r="BR84" s="418">
        <v>66</v>
      </c>
      <c r="BS84" s="418">
        <v>67</v>
      </c>
      <c r="BT84" s="418">
        <v>68</v>
      </c>
      <c r="BU84" s="418">
        <v>69</v>
      </c>
      <c r="BV84" s="418">
        <v>70</v>
      </c>
      <c r="BW84" s="418">
        <v>71</v>
      </c>
      <c r="BX84" s="418">
        <v>72</v>
      </c>
      <c r="BY84" s="418">
        <v>73</v>
      </c>
      <c r="BZ84" s="418">
        <v>74</v>
      </c>
      <c r="CA84" s="418">
        <v>75</v>
      </c>
      <c r="CB84" s="418">
        <v>76</v>
      </c>
      <c r="CC84" s="418">
        <v>77</v>
      </c>
      <c r="CD84" s="418">
        <v>78</v>
      </c>
      <c r="CE84" s="418">
        <v>79</v>
      </c>
      <c r="CF84" s="418">
        <v>80</v>
      </c>
      <c r="CG84" s="418">
        <v>81</v>
      </c>
      <c r="CH84" s="418">
        <v>82</v>
      </c>
      <c r="CI84" s="418">
        <v>83</v>
      </c>
      <c r="CJ84" s="418">
        <v>84</v>
      </c>
      <c r="CK84" s="418">
        <v>85</v>
      </c>
      <c r="CL84" s="418">
        <v>86</v>
      </c>
      <c r="CM84" s="418">
        <v>87</v>
      </c>
      <c r="CN84" s="418">
        <v>88</v>
      </c>
      <c r="CO84" s="418">
        <v>89</v>
      </c>
      <c r="CP84" s="418">
        <v>90</v>
      </c>
      <c r="CQ84" s="418">
        <v>91</v>
      </c>
      <c r="CR84" s="418">
        <v>92</v>
      </c>
      <c r="CS84" s="418">
        <v>93</v>
      </c>
      <c r="CT84" s="418">
        <v>94</v>
      </c>
      <c r="CU84" s="418">
        <v>95</v>
      </c>
      <c r="CV84" s="418">
        <v>96</v>
      </c>
      <c r="CW84" s="418">
        <v>97</v>
      </c>
      <c r="CX84" s="418">
        <v>98</v>
      </c>
      <c r="CY84" s="418">
        <v>99</v>
      </c>
      <c r="CZ84" s="418">
        <v>100</v>
      </c>
      <c r="DA84" s="418">
        <v>101</v>
      </c>
      <c r="DB84" s="418">
        <v>102</v>
      </c>
      <c r="DC84" s="418">
        <v>103</v>
      </c>
      <c r="DD84" s="418">
        <v>104</v>
      </c>
      <c r="DE84" s="418">
        <v>105</v>
      </c>
      <c r="DF84" s="418">
        <v>106</v>
      </c>
      <c r="DG84" s="418">
        <v>107</v>
      </c>
      <c r="DH84" s="418">
        <v>108</v>
      </c>
      <c r="DI84" s="418">
        <v>109</v>
      </c>
      <c r="DJ84" s="418">
        <v>110</v>
      </c>
      <c r="DK84" s="418">
        <v>111</v>
      </c>
      <c r="DL84" s="418">
        <v>112</v>
      </c>
      <c r="DM84" s="418">
        <v>113</v>
      </c>
      <c r="DN84" s="418">
        <v>114</v>
      </c>
      <c r="DO84" s="418">
        <v>115</v>
      </c>
      <c r="DP84" s="418">
        <v>116</v>
      </c>
      <c r="DQ84" s="418">
        <v>117</v>
      </c>
      <c r="DR84" s="418">
        <v>118</v>
      </c>
      <c r="DS84" s="418">
        <v>119</v>
      </c>
      <c r="DT84" s="418">
        <v>120</v>
      </c>
      <c r="DU84" s="418">
        <v>121</v>
      </c>
      <c r="DV84" s="418">
        <v>122</v>
      </c>
      <c r="DW84" s="418">
        <v>123</v>
      </c>
      <c r="DX84" s="418">
        <v>124</v>
      </c>
      <c r="DY84" s="418">
        <v>125</v>
      </c>
      <c r="DZ84" s="418">
        <v>126</v>
      </c>
      <c r="EA84" s="418">
        <v>127</v>
      </c>
      <c r="EB84" s="418">
        <v>128</v>
      </c>
      <c r="EC84" s="418">
        <v>129</v>
      </c>
      <c r="ED84" s="418">
        <v>130</v>
      </c>
      <c r="EE84" s="418">
        <v>131</v>
      </c>
      <c r="EF84" s="418">
        <v>132</v>
      </c>
      <c r="EG84" s="418">
        <v>133</v>
      </c>
      <c r="EH84" s="418">
        <v>134</v>
      </c>
      <c r="EI84" s="418">
        <v>135</v>
      </c>
      <c r="EJ84" s="418">
        <v>136</v>
      </c>
      <c r="EK84" s="418">
        <v>137</v>
      </c>
      <c r="EL84" s="418">
        <v>138</v>
      </c>
      <c r="EM84" s="418">
        <v>139</v>
      </c>
      <c r="EN84" s="418">
        <v>140</v>
      </c>
      <c r="EO84" s="418">
        <v>141</v>
      </c>
      <c r="EP84" s="418">
        <v>142</v>
      </c>
      <c r="EQ84" s="418">
        <v>143</v>
      </c>
      <c r="ER84" s="418">
        <v>144</v>
      </c>
      <c r="ES84" s="418">
        <v>145</v>
      </c>
      <c r="ET84" s="418">
        <v>146</v>
      </c>
      <c r="EU84" s="418">
        <v>147</v>
      </c>
      <c r="EV84" s="418">
        <v>148</v>
      </c>
      <c r="EW84" s="418">
        <v>149</v>
      </c>
      <c r="EX84" s="418">
        <v>150</v>
      </c>
      <c r="EY84" s="418">
        <v>151</v>
      </c>
      <c r="EZ84" s="418">
        <v>152</v>
      </c>
      <c r="FA84" s="418">
        <v>153</v>
      </c>
      <c r="FB84" s="418">
        <v>154</v>
      </c>
      <c r="FC84" s="418">
        <v>155</v>
      </c>
      <c r="FD84" s="418">
        <v>156</v>
      </c>
      <c r="FE84" s="418">
        <v>157</v>
      </c>
      <c r="FF84" s="418">
        <v>158</v>
      </c>
      <c r="FG84" s="418">
        <v>159</v>
      </c>
      <c r="FH84" s="418">
        <v>160</v>
      </c>
      <c r="FI84" s="418">
        <v>161</v>
      </c>
      <c r="FJ84" s="418">
        <v>162</v>
      </c>
      <c r="FK84" s="418">
        <v>163</v>
      </c>
      <c r="FL84" s="418">
        <v>164</v>
      </c>
      <c r="FM84" s="418">
        <v>165</v>
      </c>
      <c r="FN84" s="418">
        <v>166</v>
      </c>
      <c r="FO84" s="418">
        <v>167</v>
      </c>
      <c r="FP84" s="418">
        <v>168</v>
      </c>
      <c r="FQ84" s="418">
        <v>169</v>
      </c>
      <c r="FR84" s="418">
        <v>170</v>
      </c>
      <c r="FS84" s="418">
        <v>171</v>
      </c>
      <c r="FT84" s="418">
        <v>172</v>
      </c>
      <c r="FU84" s="418">
        <v>173</v>
      </c>
      <c r="FV84" s="418">
        <v>174</v>
      </c>
      <c r="FW84" s="418">
        <v>175</v>
      </c>
      <c r="FX84" s="418">
        <v>176</v>
      </c>
      <c r="FY84" s="418">
        <v>177</v>
      </c>
      <c r="FZ84" s="418">
        <v>178</v>
      </c>
      <c r="GA84" s="418">
        <v>179</v>
      </c>
      <c r="GB84" s="418">
        <v>180</v>
      </c>
      <c r="GC84" s="418">
        <v>181</v>
      </c>
      <c r="GD84" s="418">
        <v>182</v>
      </c>
      <c r="GE84" s="418">
        <v>183</v>
      </c>
      <c r="GF84" s="418">
        <v>184</v>
      </c>
      <c r="GG84" s="418">
        <v>185</v>
      </c>
      <c r="GH84" s="418">
        <v>186</v>
      </c>
      <c r="GI84" s="418">
        <v>187</v>
      </c>
      <c r="GJ84" s="418">
        <v>188</v>
      </c>
      <c r="GK84" s="418">
        <v>189</v>
      </c>
      <c r="GL84" s="418">
        <v>190</v>
      </c>
      <c r="GM84" s="418">
        <v>191</v>
      </c>
      <c r="GN84" s="418">
        <v>192</v>
      </c>
      <c r="GO84" s="418">
        <v>193</v>
      </c>
      <c r="GP84" s="418">
        <v>194</v>
      </c>
      <c r="GQ84" s="418">
        <v>195</v>
      </c>
      <c r="GR84" s="418">
        <v>196</v>
      </c>
      <c r="GS84" s="418">
        <v>197</v>
      </c>
      <c r="GT84" s="418">
        <v>198</v>
      </c>
      <c r="GU84" s="418">
        <v>199</v>
      </c>
      <c r="GV84" s="418">
        <v>200</v>
      </c>
      <c r="GW84" s="418">
        <v>201</v>
      </c>
      <c r="GX84" s="418">
        <v>202</v>
      </c>
      <c r="GY84" s="418">
        <v>203</v>
      </c>
      <c r="GZ84" s="418">
        <v>204</v>
      </c>
      <c r="HA84" s="418">
        <v>205</v>
      </c>
      <c r="HB84" s="418">
        <v>206</v>
      </c>
      <c r="HC84" s="418">
        <v>207</v>
      </c>
      <c r="HD84" s="418">
        <v>208</v>
      </c>
      <c r="HE84" s="418">
        <v>209</v>
      </c>
      <c r="HF84" s="418">
        <v>210</v>
      </c>
      <c r="HG84" s="418">
        <v>211</v>
      </c>
      <c r="HH84" s="418">
        <v>212</v>
      </c>
      <c r="HI84" s="418">
        <v>213</v>
      </c>
      <c r="HJ84" s="418">
        <v>214</v>
      </c>
      <c r="HK84" s="418">
        <v>215</v>
      </c>
      <c r="HL84" s="418">
        <v>216</v>
      </c>
      <c r="HM84" s="418">
        <v>217</v>
      </c>
      <c r="HN84" s="418">
        <v>218</v>
      </c>
      <c r="HO84" s="418">
        <v>219</v>
      </c>
      <c r="HP84" s="418">
        <v>220</v>
      </c>
      <c r="HQ84" s="418">
        <v>221</v>
      </c>
      <c r="HR84" s="418">
        <v>222</v>
      </c>
      <c r="HS84" s="418">
        <v>223</v>
      </c>
      <c r="HT84" s="418">
        <v>224</v>
      </c>
      <c r="HU84" s="418">
        <v>225</v>
      </c>
      <c r="HV84" s="418">
        <v>226</v>
      </c>
      <c r="HW84" s="418">
        <v>227</v>
      </c>
      <c r="HX84" s="418">
        <v>228</v>
      </c>
      <c r="HY84" s="418">
        <v>229</v>
      </c>
      <c r="HZ84" s="418">
        <v>230</v>
      </c>
      <c r="IA84" s="418">
        <v>231</v>
      </c>
      <c r="IB84" s="418">
        <v>232</v>
      </c>
      <c r="IC84" s="418">
        <v>233</v>
      </c>
      <c r="ID84" s="418">
        <v>234</v>
      </c>
      <c r="IE84" s="418">
        <v>235</v>
      </c>
      <c r="IF84" s="418">
        <v>236</v>
      </c>
      <c r="IG84" s="418">
        <v>237</v>
      </c>
      <c r="IH84" s="418">
        <v>238</v>
      </c>
      <c r="II84" s="418">
        <v>239</v>
      </c>
      <c r="IJ84" s="418">
        <v>240</v>
      </c>
      <c r="IK84" s="418">
        <v>241</v>
      </c>
      <c r="IL84" s="418">
        <v>242</v>
      </c>
      <c r="IM84" s="418">
        <v>243</v>
      </c>
      <c r="IN84" s="418">
        <v>244</v>
      </c>
      <c r="IO84" s="418">
        <v>245</v>
      </c>
      <c r="IP84" s="418">
        <v>246</v>
      </c>
      <c r="IQ84" s="418">
        <v>247</v>
      </c>
      <c r="IR84" s="418">
        <v>248</v>
      </c>
      <c r="IS84" s="418">
        <v>249</v>
      </c>
      <c r="IT84" s="418">
        <v>250</v>
      </c>
      <c r="IU84" s="418">
        <v>251</v>
      </c>
      <c r="IV84" s="418">
        <v>252</v>
      </c>
      <c r="IW84" s="418">
        <v>253</v>
      </c>
      <c r="IX84" s="418">
        <v>254</v>
      </c>
      <c r="IY84" s="418">
        <v>255</v>
      </c>
      <c r="IZ84" s="418">
        <v>256</v>
      </c>
      <c r="JA84" s="418">
        <v>257</v>
      </c>
      <c r="JB84" s="418">
        <v>258</v>
      </c>
      <c r="JC84" s="418">
        <v>259</v>
      </c>
      <c r="JD84" s="418">
        <v>260</v>
      </c>
      <c r="JE84" s="418">
        <v>261</v>
      </c>
      <c r="JF84" s="418">
        <v>262</v>
      </c>
      <c r="JG84" s="418">
        <v>263</v>
      </c>
      <c r="JH84" s="418">
        <v>264</v>
      </c>
      <c r="JI84" s="418">
        <v>265</v>
      </c>
      <c r="JJ84" s="418">
        <v>266</v>
      </c>
      <c r="JK84" s="418">
        <v>267</v>
      </c>
      <c r="JL84" s="418">
        <v>268</v>
      </c>
      <c r="JM84" s="418">
        <v>269</v>
      </c>
      <c r="JN84" s="418">
        <v>270</v>
      </c>
      <c r="JO84" s="418">
        <v>271</v>
      </c>
      <c r="JP84" s="418">
        <v>272</v>
      </c>
      <c r="JQ84" s="418">
        <v>273</v>
      </c>
      <c r="JR84" s="351"/>
      <c r="JT84" s="1385" t="s">
        <v>2199</v>
      </c>
    </row>
    <row r="85" spans="1:280" x14ac:dyDescent="0.25">
      <c r="A85" s="1357">
        <v>2</v>
      </c>
      <c r="B85" s="1387" t="str">
        <f>IF(FIN_Ind&gt;1,IF(HLOOKUP(FIN_Ind-1,FIN_RANGE,A85)="","",HLOOKUP(FIN_Ind-1,FIN_RANGE,A85)),"")</f>
        <v/>
      </c>
      <c r="C85" s="1359" t="s">
        <v>2187</v>
      </c>
      <c r="D85" s="1360"/>
      <c r="E85" s="1390">
        <v>0</v>
      </c>
      <c r="F85" s="1390">
        <v>0</v>
      </c>
      <c r="G85" s="1390">
        <v>600</v>
      </c>
      <c r="H85" s="1390">
        <v>0</v>
      </c>
      <c r="I85" s="1390">
        <v>0</v>
      </c>
      <c r="J85" s="1390">
        <v>0</v>
      </c>
      <c r="K85" s="1390">
        <v>0</v>
      </c>
      <c r="L85" s="1390">
        <v>0</v>
      </c>
      <c r="M85" s="1390">
        <v>0</v>
      </c>
      <c r="N85" s="1390">
        <v>0</v>
      </c>
      <c r="O85" s="1390">
        <v>0</v>
      </c>
      <c r="P85" s="1390">
        <v>0</v>
      </c>
      <c r="Q85" s="1390">
        <v>617</v>
      </c>
      <c r="R85" s="1390">
        <v>0</v>
      </c>
      <c r="S85" s="1390">
        <v>0</v>
      </c>
      <c r="T85" s="1391">
        <v>0</v>
      </c>
      <c r="U85" s="1391">
        <v>0</v>
      </c>
      <c r="V85" s="1391">
        <v>0</v>
      </c>
      <c r="W85" s="1391">
        <v>0</v>
      </c>
      <c r="X85" s="1391">
        <v>0</v>
      </c>
      <c r="Y85" s="1391">
        <v>0</v>
      </c>
      <c r="Z85" s="1390">
        <v>0</v>
      </c>
      <c r="AA85" s="1391">
        <v>0</v>
      </c>
      <c r="AB85" s="1391">
        <v>0</v>
      </c>
      <c r="AC85" s="1391">
        <v>0</v>
      </c>
      <c r="AD85" s="1391">
        <v>0</v>
      </c>
      <c r="AE85" s="1390">
        <v>0</v>
      </c>
      <c r="AF85" s="1391">
        <v>0</v>
      </c>
      <c r="AG85" s="1391">
        <v>0</v>
      </c>
      <c r="AH85" s="1391">
        <v>0</v>
      </c>
      <c r="AI85" s="1390">
        <v>0</v>
      </c>
      <c r="AJ85" s="1390">
        <v>0</v>
      </c>
      <c r="AK85" s="1390">
        <v>0</v>
      </c>
      <c r="AL85" s="1390">
        <v>0</v>
      </c>
      <c r="AM85" s="1390">
        <v>0</v>
      </c>
      <c r="AN85" s="1390">
        <v>0</v>
      </c>
      <c r="AO85" s="1390">
        <v>0</v>
      </c>
      <c r="AP85" s="1390">
        <v>236</v>
      </c>
      <c r="AQ85" s="1390">
        <v>0</v>
      </c>
      <c r="AR85" s="1390">
        <v>0</v>
      </c>
      <c r="AS85" s="1390">
        <v>0</v>
      </c>
      <c r="AT85" s="1390">
        <v>0</v>
      </c>
      <c r="AU85" s="1390">
        <v>0</v>
      </c>
      <c r="AV85" s="1390">
        <v>0</v>
      </c>
      <c r="AW85" s="1390">
        <v>0</v>
      </c>
      <c r="AX85" s="1390">
        <v>0</v>
      </c>
      <c r="AY85" s="1390">
        <v>0</v>
      </c>
      <c r="AZ85" s="1390">
        <v>0</v>
      </c>
      <c r="BA85" s="1390">
        <v>671</v>
      </c>
      <c r="BB85" s="1390">
        <v>0</v>
      </c>
      <c r="BC85" s="1390">
        <v>0</v>
      </c>
      <c r="BD85" s="1390">
        <v>788</v>
      </c>
      <c r="BE85" s="1390">
        <v>0</v>
      </c>
      <c r="BF85" s="1390">
        <v>0</v>
      </c>
      <c r="BG85" s="1390">
        <v>0</v>
      </c>
      <c r="BH85" s="1390">
        <v>0</v>
      </c>
      <c r="BI85" s="1390">
        <v>0</v>
      </c>
      <c r="BJ85" s="1390">
        <v>0</v>
      </c>
      <c r="BK85" s="1390">
        <v>0</v>
      </c>
      <c r="BL85" s="1390">
        <v>0</v>
      </c>
      <c r="BM85" s="1390">
        <v>0</v>
      </c>
      <c r="BN85" s="1390">
        <v>0</v>
      </c>
      <c r="BO85" s="1390">
        <v>617</v>
      </c>
      <c r="BP85" s="1390">
        <v>0</v>
      </c>
      <c r="BQ85" s="1390">
        <v>0</v>
      </c>
      <c r="BR85" s="1390">
        <v>0</v>
      </c>
      <c r="BS85" s="1390">
        <v>0</v>
      </c>
      <c r="BT85" s="1390">
        <v>0</v>
      </c>
      <c r="BU85" s="1390">
        <v>0</v>
      </c>
      <c r="BV85" s="1390">
        <v>0</v>
      </c>
      <c r="BW85" s="1390">
        <v>0</v>
      </c>
      <c r="BX85" s="1390">
        <v>0</v>
      </c>
      <c r="BY85" s="1390">
        <v>0</v>
      </c>
      <c r="BZ85" s="1390">
        <v>0</v>
      </c>
      <c r="CA85" s="1390">
        <v>0</v>
      </c>
      <c r="CB85" s="1390">
        <v>0</v>
      </c>
      <c r="CC85" s="1390">
        <v>0</v>
      </c>
      <c r="CD85" s="1390">
        <v>0</v>
      </c>
      <c r="CE85" s="1390">
        <v>0</v>
      </c>
      <c r="CF85" s="1390">
        <v>0</v>
      </c>
      <c r="CG85" s="1390">
        <v>0</v>
      </c>
      <c r="CH85" s="1390">
        <v>0</v>
      </c>
      <c r="CI85" s="1390">
        <v>0</v>
      </c>
      <c r="CJ85" s="1390">
        <v>0</v>
      </c>
      <c r="CK85" s="1390">
        <v>865</v>
      </c>
      <c r="CL85" s="1390">
        <v>0</v>
      </c>
      <c r="CM85" s="1390">
        <v>0</v>
      </c>
      <c r="CN85" s="1390">
        <v>0</v>
      </c>
      <c r="CO85" s="1390">
        <v>0</v>
      </c>
      <c r="CP85" s="1390">
        <v>0</v>
      </c>
      <c r="CQ85" s="1390">
        <v>0</v>
      </c>
      <c r="CR85" s="1390">
        <v>0</v>
      </c>
      <c r="CS85" s="1390">
        <v>0</v>
      </c>
      <c r="CT85" s="1390">
        <v>289</v>
      </c>
      <c r="CU85" s="1390">
        <v>0</v>
      </c>
      <c r="CV85" s="1390">
        <v>0</v>
      </c>
      <c r="CW85" s="1390">
        <v>650.29</v>
      </c>
      <c r="CX85" s="1390">
        <v>0</v>
      </c>
      <c r="CY85" s="1390">
        <v>0</v>
      </c>
      <c r="CZ85" s="1390">
        <v>0</v>
      </c>
      <c r="DA85" s="1390">
        <v>0</v>
      </c>
      <c r="DB85" s="1390">
        <v>0</v>
      </c>
      <c r="DC85" s="1390">
        <v>0</v>
      </c>
      <c r="DD85" s="1390">
        <v>0</v>
      </c>
      <c r="DE85" s="1390">
        <v>0</v>
      </c>
      <c r="DF85" s="1390">
        <v>0</v>
      </c>
      <c r="DG85" s="1390">
        <v>0</v>
      </c>
      <c r="DH85" s="1390">
        <v>0</v>
      </c>
      <c r="DI85" s="1390">
        <v>0</v>
      </c>
      <c r="DJ85" s="1390">
        <v>0</v>
      </c>
      <c r="DK85" s="1390">
        <v>0</v>
      </c>
      <c r="DL85" s="1390">
        <v>0</v>
      </c>
      <c r="DM85" s="1390">
        <v>0</v>
      </c>
      <c r="DN85" s="1390">
        <v>0</v>
      </c>
      <c r="DO85" s="1390">
        <v>0</v>
      </c>
      <c r="DP85" s="1390">
        <v>0</v>
      </c>
      <c r="DQ85" s="1390">
        <v>0</v>
      </c>
      <c r="DR85" s="1390">
        <v>0</v>
      </c>
      <c r="DS85" s="1390">
        <v>0</v>
      </c>
      <c r="DT85" s="1390">
        <v>0</v>
      </c>
      <c r="DU85" s="1390">
        <v>0</v>
      </c>
      <c r="DV85" s="1390">
        <v>0</v>
      </c>
      <c r="DW85" s="1390">
        <v>0</v>
      </c>
      <c r="DX85" s="1390">
        <v>0</v>
      </c>
      <c r="DY85" s="1390">
        <v>0</v>
      </c>
      <c r="DZ85" s="1390">
        <v>0</v>
      </c>
      <c r="EA85" s="1390">
        <v>0</v>
      </c>
      <c r="EB85" s="1390">
        <v>0</v>
      </c>
      <c r="EC85" s="1390">
        <v>0</v>
      </c>
      <c r="ED85" s="1390">
        <v>0</v>
      </c>
      <c r="EE85" s="1390">
        <v>0</v>
      </c>
      <c r="EF85" s="1390">
        <v>0</v>
      </c>
      <c r="EG85" s="1390">
        <v>0</v>
      </c>
      <c r="EH85" s="1390">
        <v>467.5</v>
      </c>
      <c r="EI85" s="1390">
        <v>0</v>
      </c>
      <c r="EJ85" s="1390">
        <v>0</v>
      </c>
      <c r="EK85" s="1390">
        <v>0</v>
      </c>
      <c r="EL85" s="1390">
        <v>0</v>
      </c>
      <c r="EM85" s="1390">
        <v>0</v>
      </c>
      <c r="EN85" s="1390">
        <v>0</v>
      </c>
      <c r="EO85" s="1390">
        <v>0</v>
      </c>
      <c r="EP85" s="1390">
        <v>0</v>
      </c>
      <c r="EQ85" s="1390">
        <v>0</v>
      </c>
      <c r="ER85" s="1390">
        <v>0</v>
      </c>
      <c r="ES85" s="1390">
        <v>0</v>
      </c>
      <c r="ET85" s="1390">
        <v>0</v>
      </c>
      <c r="EU85" s="1390">
        <v>0</v>
      </c>
      <c r="EV85" s="1390">
        <v>0</v>
      </c>
      <c r="EW85" s="1390">
        <v>0</v>
      </c>
      <c r="EX85" s="1390">
        <v>0</v>
      </c>
      <c r="EY85" s="1390">
        <v>0</v>
      </c>
      <c r="EZ85" s="1390">
        <v>0</v>
      </c>
      <c r="FA85" s="1390">
        <v>0</v>
      </c>
      <c r="FB85" s="1390">
        <v>0</v>
      </c>
      <c r="FC85" s="1391">
        <v>0</v>
      </c>
      <c r="FD85" s="1391">
        <v>0</v>
      </c>
      <c r="FE85" s="1391">
        <v>0</v>
      </c>
      <c r="FF85" s="1391">
        <v>0</v>
      </c>
      <c r="FG85" s="1391">
        <v>0</v>
      </c>
      <c r="FH85" s="1391">
        <v>0</v>
      </c>
      <c r="FI85" s="1391">
        <v>0</v>
      </c>
      <c r="FJ85" s="1391">
        <v>0</v>
      </c>
      <c r="FK85" s="1391">
        <v>0</v>
      </c>
      <c r="FL85" s="1391">
        <v>0</v>
      </c>
      <c r="FM85" s="1391">
        <v>0</v>
      </c>
      <c r="FN85" s="1391">
        <v>0</v>
      </c>
      <c r="FO85" s="1391">
        <v>0</v>
      </c>
      <c r="FP85" s="1391">
        <v>0</v>
      </c>
      <c r="FQ85" s="1391">
        <v>0</v>
      </c>
      <c r="FR85" s="1391">
        <v>0</v>
      </c>
      <c r="FS85" s="1391">
        <v>0</v>
      </c>
      <c r="FT85" s="1391">
        <v>0</v>
      </c>
      <c r="FU85" s="1391">
        <v>0</v>
      </c>
      <c r="FV85" s="1391">
        <v>0</v>
      </c>
      <c r="FW85" s="1391">
        <v>0</v>
      </c>
      <c r="FX85" s="1391">
        <v>0</v>
      </c>
      <c r="FY85" s="1391">
        <v>0</v>
      </c>
      <c r="FZ85" s="1391">
        <v>0</v>
      </c>
      <c r="GA85" s="1391">
        <v>0</v>
      </c>
      <c r="GB85" s="1391">
        <v>0</v>
      </c>
      <c r="GC85" s="1390">
        <v>2500</v>
      </c>
      <c r="GD85" s="1390">
        <v>0</v>
      </c>
      <c r="GE85" s="1391">
        <v>0</v>
      </c>
      <c r="GF85" s="1391">
        <v>0</v>
      </c>
      <c r="GG85" s="1390">
        <v>0</v>
      </c>
      <c r="GH85" s="1390">
        <v>0</v>
      </c>
      <c r="GI85" s="1390">
        <v>0</v>
      </c>
      <c r="GJ85" s="1390">
        <v>0</v>
      </c>
      <c r="GK85" s="1391">
        <v>0</v>
      </c>
      <c r="GL85" s="1390">
        <v>0</v>
      </c>
      <c r="GM85" s="1391">
        <v>0</v>
      </c>
      <c r="GN85" s="1391">
        <v>0</v>
      </c>
      <c r="GO85" s="1391">
        <v>0</v>
      </c>
      <c r="GP85" s="1391">
        <v>0</v>
      </c>
      <c r="GQ85" s="1391">
        <v>0</v>
      </c>
      <c r="GR85" s="1391">
        <v>0</v>
      </c>
      <c r="GS85" s="1390">
        <v>0</v>
      </c>
      <c r="GT85" s="1390">
        <v>0</v>
      </c>
      <c r="GU85" s="1390">
        <v>0</v>
      </c>
      <c r="GV85" s="1390">
        <v>151</v>
      </c>
      <c r="GW85" s="1391">
        <v>0</v>
      </c>
      <c r="GX85" s="1391">
        <v>0</v>
      </c>
      <c r="GY85" s="1391">
        <v>0</v>
      </c>
      <c r="GZ85" s="1391">
        <v>0</v>
      </c>
      <c r="HA85" s="1391">
        <v>0</v>
      </c>
      <c r="HB85" s="1391">
        <v>0</v>
      </c>
      <c r="HC85" s="1391">
        <v>0</v>
      </c>
      <c r="HD85" s="1391">
        <v>0</v>
      </c>
      <c r="HE85" s="1391">
        <v>0</v>
      </c>
      <c r="HF85" s="1391">
        <v>0</v>
      </c>
      <c r="HG85" s="1391">
        <v>0</v>
      </c>
      <c r="HH85" s="1391">
        <v>0</v>
      </c>
      <c r="HI85" s="1391">
        <v>0</v>
      </c>
      <c r="HJ85" s="1391">
        <v>0</v>
      </c>
      <c r="HK85" s="1391">
        <v>0</v>
      </c>
      <c r="HL85" s="1391">
        <v>0</v>
      </c>
      <c r="HM85" s="1391">
        <v>0</v>
      </c>
      <c r="HN85" s="1390">
        <v>0</v>
      </c>
      <c r="HO85" s="1391">
        <v>0</v>
      </c>
      <c r="HP85" s="1391">
        <v>0</v>
      </c>
      <c r="HQ85" s="1391">
        <v>0</v>
      </c>
      <c r="HR85" s="1390">
        <v>0</v>
      </c>
      <c r="HS85" s="1391">
        <v>0</v>
      </c>
      <c r="HT85" s="1391">
        <v>0</v>
      </c>
      <c r="HU85" s="1391">
        <v>0</v>
      </c>
      <c r="HV85" s="1391">
        <v>0</v>
      </c>
      <c r="HW85" s="1391">
        <v>0</v>
      </c>
      <c r="HX85" s="1391">
        <v>0</v>
      </c>
      <c r="HY85" s="1391">
        <v>0</v>
      </c>
      <c r="HZ85" s="1391">
        <v>0</v>
      </c>
      <c r="IA85" s="1391">
        <v>0</v>
      </c>
      <c r="IB85" s="1391">
        <v>0</v>
      </c>
      <c r="IC85" s="1391">
        <v>0</v>
      </c>
      <c r="ID85" s="1391">
        <v>0</v>
      </c>
      <c r="IE85" s="1391">
        <v>0</v>
      </c>
      <c r="IF85" s="1391">
        <v>0</v>
      </c>
      <c r="IG85" s="1391">
        <v>0</v>
      </c>
      <c r="IH85" s="1391">
        <v>0</v>
      </c>
      <c r="II85" s="1391">
        <v>0</v>
      </c>
      <c r="IJ85" s="1391">
        <v>0</v>
      </c>
      <c r="IK85" s="1391">
        <v>0</v>
      </c>
      <c r="IL85" s="1391">
        <v>0</v>
      </c>
      <c r="IM85" s="1391">
        <v>0</v>
      </c>
      <c r="IN85" s="1391">
        <v>0</v>
      </c>
      <c r="IO85" s="1391">
        <v>0</v>
      </c>
      <c r="IP85" s="1391">
        <v>0</v>
      </c>
      <c r="IQ85" s="1391">
        <v>0</v>
      </c>
      <c r="IR85" s="1391">
        <v>0</v>
      </c>
      <c r="IS85" s="1391">
        <v>0</v>
      </c>
      <c r="IT85" s="1391">
        <v>0</v>
      </c>
      <c r="IU85" s="1391">
        <v>0</v>
      </c>
      <c r="IV85" s="1391">
        <v>0</v>
      </c>
      <c r="IW85" s="1391">
        <v>0</v>
      </c>
      <c r="IX85" s="1391">
        <v>0</v>
      </c>
      <c r="IY85" s="1391">
        <v>0</v>
      </c>
      <c r="IZ85" s="1391">
        <v>0</v>
      </c>
      <c r="JA85" s="1391">
        <v>0</v>
      </c>
      <c r="JB85" s="1391">
        <v>0</v>
      </c>
      <c r="JC85" s="1391">
        <v>0</v>
      </c>
      <c r="JD85" s="1391">
        <v>0</v>
      </c>
      <c r="JE85" s="1391">
        <v>0</v>
      </c>
      <c r="JF85" s="1391">
        <v>0</v>
      </c>
      <c r="JG85" s="1391">
        <v>0</v>
      </c>
      <c r="JH85" s="1391">
        <v>0</v>
      </c>
      <c r="JI85" s="1391">
        <v>0</v>
      </c>
      <c r="JJ85" s="1391">
        <v>78</v>
      </c>
      <c r="JK85" s="1391">
        <v>0</v>
      </c>
      <c r="JL85" s="1391">
        <v>0</v>
      </c>
      <c r="JM85" s="1391">
        <v>0</v>
      </c>
      <c r="JN85" s="1391">
        <v>0</v>
      </c>
      <c r="JO85" s="1391">
        <v>0</v>
      </c>
      <c r="JP85" s="1391">
        <v>0</v>
      </c>
      <c r="JQ85" s="1415"/>
      <c r="JR85" s="351"/>
      <c r="JS85" s="1365"/>
      <c r="JT85" s="1290"/>
    </row>
    <row r="86" spans="1:280" ht="12.5" x14ac:dyDescent="0.25">
      <c r="A86" s="1357">
        <v>3</v>
      </c>
      <c r="B86" s="1392" t="s">
        <v>1615</v>
      </c>
      <c r="C86" s="1359" t="s">
        <v>2382</v>
      </c>
      <c r="D86" s="1360"/>
      <c r="E86" s="1381"/>
      <c r="F86" s="1381"/>
      <c r="G86" s="1381"/>
      <c r="H86" s="1381"/>
      <c r="I86" s="1381"/>
      <c r="J86" s="1381"/>
      <c r="K86" s="1381"/>
      <c r="L86" s="1381"/>
      <c r="M86" s="1381"/>
      <c r="N86" s="1381"/>
      <c r="O86" s="1381"/>
      <c r="P86" s="1381"/>
      <c r="Q86" s="1381"/>
      <c r="R86" s="1381"/>
      <c r="S86" s="1381"/>
      <c r="T86" s="1381"/>
      <c r="U86" s="1381"/>
      <c r="V86" s="1381"/>
      <c r="W86" s="1381"/>
      <c r="X86" s="1381"/>
      <c r="Y86" s="1381"/>
      <c r="Z86" s="1381"/>
      <c r="AA86" s="1381"/>
      <c r="AB86" s="1381"/>
      <c r="AC86" s="1381"/>
      <c r="AD86" s="1381"/>
      <c r="AE86" s="1381"/>
      <c r="AF86" s="1381"/>
      <c r="AG86" s="1381"/>
      <c r="AH86" s="1381"/>
      <c r="AI86" s="1381"/>
      <c r="AJ86" s="1381"/>
      <c r="AK86" s="1381"/>
      <c r="AL86" s="1381"/>
      <c r="AM86" s="1381"/>
      <c r="AN86" s="1381"/>
      <c r="AO86" s="1381"/>
      <c r="AP86" s="1381"/>
      <c r="AQ86" s="1381"/>
      <c r="AR86" s="1381"/>
      <c r="AS86" s="1381"/>
      <c r="AT86" s="1381"/>
      <c r="AU86" s="1381"/>
      <c r="AV86" s="1381"/>
      <c r="AW86" s="1381"/>
      <c r="AX86" s="1381"/>
      <c r="AY86" s="1381"/>
      <c r="AZ86" s="1381"/>
      <c r="BA86" s="1381"/>
      <c r="BB86" s="1381"/>
      <c r="BC86" s="1381"/>
      <c r="BD86" s="1381"/>
      <c r="BE86" s="1381"/>
      <c r="BF86" s="1381"/>
      <c r="BG86" s="1381"/>
      <c r="BH86" s="1381"/>
      <c r="BI86" s="1381"/>
      <c r="BJ86" s="1381"/>
      <c r="BK86" s="1381"/>
      <c r="BL86" s="1381"/>
      <c r="BM86" s="1381"/>
      <c r="BN86" s="1381"/>
      <c r="BO86" s="1381"/>
      <c r="BP86" s="1381"/>
      <c r="BQ86" s="1381"/>
      <c r="BR86" s="1381"/>
      <c r="BS86" s="1381"/>
      <c r="BT86" s="1381"/>
      <c r="BU86" s="1381"/>
      <c r="BV86" s="1381"/>
      <c r="BW86" s="1381"/>
      <c r="BX86" s="1381"/>
      <c r="BY86" s="1381"/>
      <c r="BZ86" s="1381"/>
      <c r="CA86" s="1381"/>
      <c r="CB86" s="1381"/>
      <c r="CC86" s="1381"/>
      <c r="CD86" s="1381"/>
      <c r="CE86" s="1381"/>
      <c r="CF86" s="1381"/>
      <c r="CG86" s="1381"/>
      <c r="CH86" s="1381"/>
      <c r="CI86" s="1381"/>
      <c r="CJ86" s="1381"/>
      <c r="CK86" s="1381"/>
      <c r="CL86" s="1381"/>
      <c r="CM86" s="1381"/>
      <c r="CN86" s="1381"/>
      <c r="CO86" s="1381"/>
      <c r="CP86" s="1381"/>
      <c r="CQ86" s="1381"/>
      <c r="CR86" s="1381"/>
      <c r="CS86" s="1381"/>
      <c r="CT86" s="1381"/>
      <c r="CU86" s="1381"/>
      <c r="CV86" s="1381"/>
      <c r="CW86" s="1381"/>
      <c r="CX86" s="1381"/>
      <c r="CY86" s="1381"/>
      <c r="CZ86" s="1381"/>
      <c r="DA86" s="1381"/>
      <c r="DB86" s="1381"/>
      <c r="DC86" s="1381"/>
      <c r="DD86" s="1381"/>
      <c r="DE86" s="1381"/>
      <c r="DF86" s="1381"/>
      <c r="DG86" s="1381"/>
      <c r="DH86" s="1381"/>
      <c r="DI86" s="1381"/>
      <c r="DJ86" s="1381"/>
      <c r="DK86" s="1381"/>
      <c r="DL86" s="1381"/>
      <c r="DM86" s="1381"/>
      <c r="DN86" s="1381"/>
      <c r="DO86" s="1381"/>
      <c r="DP86" s="1381"/>
      <c r="DQ86" s="1381"/>
      <c r="DR86" s="1381"/>
      <c r="DS86" s="1381"/>
      <c r="DT86" s="1381"/>
      <c r="DU86" s="1381"/>
      <c r="DV86" s="1381"/>
      <c r="DW86" s="1381"/>
      <c r="DX86" s="1381"/>
      <c r="DY86" s="1381"/>
      <c r="DZ86" s="1381"/>
      <c r="EA86" s="1381"/>
      <c r="EB86" s="1381"/>
      <c r="EC86" s="1381"/>
      <c r="ED86" s="1381"/>
      <c r="EE86" s="1381"/>
      <c r="EF86" s="1381"/>
      <c r="EG86" s="1381"/>
      <c r="EH86" s="1381"/>
      <c r="EI86" s="1381"/>
      <c r="EJ86" s="1381"/>
      <c r="EK86" s="1381"/>
      <c r="EL86" s="1381"/>
      <c r="EM86" s="1381"/>
      <c r="EN86" s="1381"/>
      <c r="EO86" s="1381"/>
      <c r="EP86" s="1381"/>
      <c r="EQ86" s="1381"/>
      <c r="ER86" s="1381"/>
      <c r="ES86" s="1381"/>
      <c r="ET86" s="1381"/>
      <c r="EU86" s="1381"/>
      <c r="EV86" s="1381"/>
      <c r="EW86" s="1381"/>
      <c r="EX86" s="1381"/>
      <c r="EY86" s="1381"/>
      <c r="EZ86" s="1381"/>
      <c r="FA86" s="1381"/>
      <c r="FB86" s="1381"/>
      <c r="FC86" s="1381"/>
      <c r="FD86" s="1381"/>
      <c r="FE86" s="1381"/>
      <c r="FF86" s="1381"/>
      <c r="FG86" s="1381"/>
      <c r="FH86" s="1381"/>
      <c r="FI86" s="1381"/>
      <c r="FJ86" s="1381"/>
      <c r="FK86" s="1381"/>
      <c r="FL86" s="1381"/>
      <c r="FM86" s="1381"/>
      <c r="FN86" s="1381"/>
      <c r="FO86" s="1381"/>
      <c r="FP86" s="1381"/>
      <c r="FQ86" s="1381"/>
      <c r="FR86" s="1381"/>
      <c r="FS86" s="1381"/>
      <c r="FT86" s="1381"/>
      <c r="FU86" s="1381"/>
      <c r="FV86" s="1381"/>
      <c r="FW86" s="1381"/>
      <c r="FX86" s="1381"/>
      <c r="FY86" s="1381"/>
      <c r="FZ86" s="1381"/>
      <c r="GA86" s="1381"/>
      <c r="GB86" s="1381"/>
      <c r="GC86" s="1381"/>
      <c r="GD86" s="1381"/>
      <c r="GE86" s="1381"/>
      <c r="GF86" s="1381"/>
      <c r="GG86" s="1381"/>
      <c r="GH86" s="1381"/>
      <c r="GI86" s="1381"/>
      <c r="GJ86" s="1381"/>
      <c r="GK86" s="1381"/>
      <c r="GL86" s="1381"/>
      <c r="GM86" s="1381"/>
      <c r="GN86" s="1381"/>
      <c r="GO86" s="1381"/>
      <c r="GP86" s="1381"/>
      <c r="GQ86" s="1381"/>
      <c r="GR86" s="1381"/>
      <c r="GS86" s="1381"/>
      <c r="GT86" s="1381"/>
      <c r="GU86" s="1381"/>
      <c r="GV86" s="1381"/>
      <c r="GW86" s="1381"/>
      <c r="GX86" s="1381"/>
      <c r="GY86" s="1381"/>
      <c r="GZ86" s="1381"/>
      <c r="HA86" s="1381"/>
      <c r="HB86" s="1381"/>
      <c r="HC86" s="1381"/>
      <c r="HD86" s="1381"/>
      <c r="HE86" s="1381"/>
      <c r="HF86" s="1381"/>
      <c r="HG86" s="1381"/>
      <c r="HH86" s="1381"/>
      <c r="HI86" s="1381"/>
      <c r="HJ86" s="1381"/>
      <c r="HK86" s="1381"/>
      <c r="HL86" s="1381"/>
      <c r="HM86" s="1381"/>
      <c r="HN86" s="1381"/>
      <c r="HO86" s="1381"/>
      <c r="HP86" s="1381"/>
      <c r="HQ86" s="1381"/>
      <c r="HR86" s="1381"/>
      <c r="HS86" s="1381"/>
      <c r="HT86" s="1381"/>
      <c r="HU86" s="1381"/>
      <c r="HV86" s="1381"/>
      <c r="HW86" s="1381"/>
      <c r="HX86" s="1381"/>
      <c r="HY86" s="1381"/>
      <c r="HZ86" s="1381"/>
      <c r="IA86" s="1381"/>
      <c r="IB86" s="1381"/>
      <c r="IC86" s="1381"/>
      <c r="ID86" s="1381"/>
      <c r="IE86" s="1381"/>
      <c r="IF86" s="1381"/>
      <c r="IG86" s="1381"/>
      <c r="IH86" s="1381"/>
      <c r="II86" s="1381"/>
      <c r="IJ86" s="1381"/>
      <c r="IK86" s="1381"/>
      <c r="IL86" s="1381"/>
      <c r="IM86" s="1381"/>
      <c r="IN86" s="1381"/>
      <c r="IO86" s="1381"/>
      <c r="IP86" s="1381"/>
      <c r="IQ86" s="1381"/>
      <c r="IR86" s="1381"/>
      <c r="IS86" s="1381"/>
      <c r="IT86" s="1381"/>
      <c r="IU86" s="1381"/>
      <c r="IV86" s="1381"/>
      <c r="IW86" s="1381"/>
      <c r="IX86" s="1381"/>
      <c r="IY86" s="1381"/>
      <c r="IZ86" s="1381"/>
      <c r="JA86" s="1381"/>
      <c r="JB86" s="1381"/>
      <c r="JC86" s="1381"/>
      <c r="JD86" s="1381"/>
      <c r="JE86" s="1381"/>
      <c r="JF86" s="1381"/>
      <c r="JG86" s="1381"/>
      <c r="JH86" s="1381"/>
      <c r="JI86" s="1381"/>
      <c r="JJ86" s="1381"/>
      <c r="JK86" s="1381"/>
      <c r="JL86" s="1381"/>
      <c r="JM86" s="1381"/>
      <c r="JN86" s="1381"/>
      <c r="JO86" s="1381"/>
      <c r="JP86" s="1381"/>
      <c r="JQ86" s="1415"/>
      <c r="JR86" s="351"/>
      <c r="JS86" s="1365"/>
      <c r="JT86" s="1385"/>
    </row>
    <row r="87" spans="1:280" ht="12.5" x14ac:dyDescent="0.25">
      <c r="A87" s="1357">
        <v>4</v>
      </c>
      <c r="B87" s="1392" t="s">
        <v>1615</v>
      </c>
      <c r="C87" s="1359" t="s">
        <v>2383</v>
      </c>
      <c r="D87" s="1360"/>
      <c r="E87" s="1381"/>
      <c r="F87" s="1381"/>
      <c r="G87" s="1381"/>
      <c r="H87" s="1381"/>
      <c r="I87" s="1381"/>
      <c r="J87" s="1381"/>
      <c r="K87" s="1381"/>
      <c r="L87" s="1381"/>
      <c r="M87" s="1381"/>
      <c r="N87" s="1381"/>
      <c r="O87" s="1381"/>
      <c r="P87" s="1381"/>
      <c r="Q87" s="1381"/>
      <c r="R87" s="1381"/>
      <c r="S87" s="1381"/>
      <c r="T87" s="1381"/>
      <c r="U87" s="1381"/>
      <c r="V87" s="1381"/>
      <c r="W87" s="1381"/>
      <c r="X87" s="1381"/>
      <c r="Y87" s="1381"/>
      <c r="Z87" s="1381"/>
      <c r="AA87" s="1381"/>
      <c r="AB87" s="1381"/>
      <c r="AC87" s="1381"/>
      <c r="AD87" s="1381"/>
      <c r="AE87" s="1381"/>
      <c r="AF87" s="1381"/>
      <c r="AG87" s="1381"/>
      <c r="AH87" s="1381"/>
      <c r="AI87" s="1381"/>
      <c r="AJ87" s="1381"/>
      <c r="AK87" s="1381"/>
      <c r="AL87" s="1381"/>
      <c r="AM87" s="1381"/>
      <c r="AN87" s="1381"/>
      <c r="AO87" s="1381"/>
      <c r="AP87" s="1381"/>
      <c r="AQ87" s="1381"/>
      <c r="AR87" s="1381"/>
      <c r="AS87" s="1381"/>
      <c r="AT87" s="1381"/>
      <c r="AU87" s="1381"/>
      <c r="AV87" s="1381"/>
      <c r="AW87" s="1381"/>
      <c r="AX87" s="1381"/>
      <c r="AY87" s="1381"/>
      <c r="AZ87" s="1381"/>
      <c r="BA87" s="1381"/>
      <c r="BB87" s="1381"/>
      <c r="BC87" s="1381"/>
      <c r="BD87" s="1381"/>
      <c r="BE87" s="1381"/>
      <c r="BF87" s="1381"/>
      <c r="BG87" s="1381"/>
      <c r="BH87" s="1381"/>
      <c r="BI87" s="1381"/>
      <c r="BJ87" s="1381"/>
      <c r="BK87" s="1381"/>
      <c r="BL87" s="1381"/>
      <c r="BM87" s="1381"/>
      <c r="BN87" s="1381"/>
      <c r="BO87" s="1381"/>
      <c r="BP87" s="1381"/>
      <c r="BQ87" s="1381"/>
      <c r="BR87" s="1381"/>
      <c r="BS87" s="1381"/>
      <c r="BT87" s="1381"/>
      <c r="BU87" s="1381"/>
      <c r="BV87" s="1381"/>
      <c r="BW87" s="1381"/>
      <c r="BX87" s="1381"/>
      <c r="BY87" s="1381"/>
      <c r="BZ87" s="1381"/>
      <c r="CA87" s="1381"/>
      <c r="CB87" s="1381"/>
      <c r="CC87" s="1381"/>
      <c r="CD87" s="1381"/>
      <c r="CE87" s="1381"/>
      <c r="CF87" s="1381"/>
      <c r="CG87" s="1381"/>
      <c r="CH87" s="1381"/>
      <c r="CI87" s="1381"/>
      <c r="CJ87" s="1381"/>
      <c r="CK87" s="1381"/>
      <c r="CL87" s="1381"/>
      <c r="CM87" s="1381"/>
      <c r="CN87" s="1381"/>
      <c r="CO87" s="1381"/>
      <c r="CP87" s="1381"/>
      <c r="CQ87" s="1381"/>
      <c r="CR87" s="1381"/>
      <c r="CS87" s="1381"/>
      <c r="CT87" s="1381"/>
      <c r="CU87" s="1381"/>
      <c r="CV87" s="1381"/>
      <c r="CW87" s="1381"/>
      <c r="CX87" s="1381"/>
      <c r="CY87" s="1381"/>
      <c r="CZ87" s="1381"/>
      <c r="DA87" s="1381"/>
      <c r="DB87" s="1381"/>
      <c r="DC87" s="1381"/>
      <c r="DD87" s="1381"/>
      <c r="DE87" s="1381"/>
      <c r="DF87" s="1381"/>
      <c r="DG87" s="1381"/>
      <c r="DH87" s="1381"/>
      <c r="DI87" s="1381"/>
      <c r="DJ87" s="1381"/>
      <c r="DK87" s="1381"/>
      <c r="DL87" s="1381"/>
      <c r="DM87" s="1381"/>
      <c r="DN87" s="1381"/>
      <c r="DO87" s="1381"/>
      <c r="DP87" s="1381"/>
      <c r="DQ87" s="1381"/>
      <c r="DR87" s="1381"/>
      <c r="DS87" s="1381"/>
      <c r="DT87" s="1381"/>
      <c r="DU87" s="1381"/>
      <c r="DV87" s="1381"/>
      <c r="DW87" s="1381"/>
      <c r="DX87" s="1381"/>
      <c r="DY87" s="1381"/>
      <c r="DZ87" s="1381"/>
      <c r="EA87" s="1381"/>
      <c r="EB87" s="1381"/>
      <c r="EC87" s="1381"/>
      <c r="ED87" s="1381"/>
      <c r="EE87" s="1381"/>
      <c r="EF87" s="1381"/>
      <c r="EG87" s="1381"/>
      <c r="EH87" s="1381"/>
      <c r="EI87" s="1381"/>
      <c r="EJ87" s="1381"/>
      <c r="EK87" s="1381"/>
      <c r="EL87" s="1381"/>
      <c r="EM87" s="1381"/>
      <c r="EN87" s="1381"/>
      <c r="EO87" s="1381"/>
      <c r="EP87" s="1381"/>
      <c r="EQ87" s="1381"/>
      <c r="ER87" s="1381"/>
      <c r="ES87" s="1381"/>
      <c r="ET87" s="1381"/>
      <c r="EU87" s="1381"/>
      <c r="EV87" s="1381"/>
      <c r="EW87" s="1381"/>
      <c r="EX87" s="1381"/>
      <c r="EY87" s="1381"/>
      <c r="EZ87" s="1381"/>
      <c r="FA87" s="1381"/>
      <c r="FB87" s="1381"/>
      <c r="FC87" s="1381"/>
      <c r="FD87" s="1381"/>
      <c r="FE87" s="1381"/>
      <c r="FF87" s="1381"/>
      <c r="FG87" s="1381"/>
      <c r="FH87" s="1381"/>
      <c r="FI87" s="1381"/>
      <c r="FJ87" s="1381"/>
      <c r="FK87" s="1381"/>
      <c r="FL87" s="1381"/>
      <c r="FM87" s="1381"/>
      <c r="FN87" s="1381"/>
      <c r="FO87" s="1381"/>
      <c r="FP87" s="1381"/>
      <c r="FQ87" s="1381"/>
      <c r="FR87" s="1381"/>
      <c r="FS87" s="1381"/>
      <c r="FT87" s="1381"/>
      <c r="FU87" s="1381"/>
      <c r="FV87" s="1381"/>
      <c r="FW87" s="1381"/>
      <c r="FX87" s="1381"/>
      <c r="FY87" s="1381"/>
      <c r="FZ87" s="1381"/>
      <c r="GA87" s="1381"/>
      <c r="GB87" s="1381"/>
      <c r="GC87" s="1381"/>
      <c r="GD87" s="1381"/>
      <c r="GE87" s="1381"/>
      <c r="GF87" s="1381"/>
      <c r="GG87" s="1381"/>
      <c r="GH87" s="1381"/>
      <c r="GI87" s="1381"/>
      <c r="GJ87" s="1381"/>
      <c r="GK87" s="1381"/>
      <c r="GL87" s="1381"/>
      <c r="GM87" s="1381"/>
      <c r="GN87" s="1381"/>
      <c r="GO87" s="1381"/>
      <c r="GP87" s="1381"/>
      <c r="GQ87" s="1381"/>
      <c r="GR87" s="1381"/>
      <c r="GS87" s="1381"/>
      <c r="GT87" s="1381"/>
      <c r="GU87" s="1381"/>
      <c r="GV87" s="1381"/>
      <c r="GW87" s="1381"/>
      <c r="GX87" s="1381"/>
      <c r="GY87" s="1381"/>
      <c r="GZ87" s="1381"/>
      <c r="HA87" s="1381"/>
      <c r="HB87" s="1381"/>
      <c r="HC87" s="1381"/>
      <c r="HD87" s="1381"/>
      <c r="HE87" s="1381"/>
      <c r="HF87" s="1381"/>
      <c r="HG87" s="1381"/>
      <c r="HH87" s="1381"/>
      <c r="HI87" s="1381"/>
      <c r="HJ87" s="1381"/>
      <c r="HK87" s="1381"/>
      <c r="HL87" s="1381"/>
      <c r="HM87" s="1381"/>
      <c r="HN87" s="1381"/>
      <c r="HO87" s="1381"/>
      <c r="HP87" s="1381"/>
      <c r="HQ87" s="1381"/>
      <c r="HR87" s="1381"/>
      <c r="HS87" s="1381"/>
      <c r="HT87" s="1381"/>
      <c r="HU87" s="1381"/>
      <c r="HV87" s="1381"/>
      <c r="HW87" s="1381"/>
      <c r="HX87" s="1381"/>
      <c r="HY87" s="1381"/>
      <c r="HZ87" s="1381"/>
      <c r="IA87" s="1381"/>
      <c r="IB87" s="1381"/>
      <c r="IC87" s="1381"/>
      <c r="ID87" s="1381"/>
      <c r="IE87" s="1381"/>
      <c r="IF87" s="1381"/>
      <c r="IG87" s="1381"/>
      <c r="IH87" s="1381"/>
      <c r="II87" s="1381"/>
      <c r="IJ87" s="1381"/>
      <c r="IK87" s="1381"/>
      <c r="IL87" s="1381"/>
      <c r="IM87" s="1381"/>
      <c r="IN87" s="1381"/>
      <c r="IO87" s="1381"/>
      <c r="IP87" s="1381"/>
      <c r="IQ87" s="1381"/>
      <c r="IR87" s="1381"/>
      <c r="IS87" s="1381"/>
      <c r="IT87" s="1381"/>
      <c r="IU87" s="1381"/>
      <c r="IV87" s="1381"/>
      <c r="IW87" s="1381"/>
      <c r="IX87" s="1381"/>
      <c r="IY87" s="1381"/>
      <c r="IZ87" s="1381"/>
      <c r="JA87" s="1381"/>
      <c r="JB87" s="1381"/>
      <c r="JC87" s="1381"/>
      <c r="JD87" s="1381"/>
      <c r="JE87" s="1381"/>
      <c r="JF87" s="1381"/>
      <c r="JG87" s="1381"/>
      <c r="JH87" s="1381"/>
      <c r="JI87" s="1381"/>
      <c r="JJ87" s="1381"/>
      <c r="JK87" s="1381"/>
      <c r="JL87" s="1381"/>
      <c r="JM87" s="1381"/>
      <c r="JN87" s="1381"/>
      <c r="JO87" s="1381"/>
      <c r="JP87" s="1381"/>
      <c r="JQ87" s="1415"/>
      <c r="JR87" s="351"/>
      <c r="JS87" s="1365"/>
      <c r="JT87" s="1385"/>
    </row>
    <row r="88" spans="1:280" ht="12.5" x14ac:dyDescent="0.25">
      <c r="A88" s="1357">
        <v>5</v>
      </c>
      <c r="B88" s="1392"/>
      <c r="C88" s="1359" t="s">
        <v>2384</v>
      </c>
      <c r="D88" s="1360"/>
      <c r="E88" s="1381"/>
      <c r="F88" s="1381"/>
      <c r="G88" s="1381"/>
      <c r="H88" s="1381"/>
      <c r="I88" s="1381"/>
      <c r="J88" s="1381"/>
      <c r="K88" s="1381"/>
      <c r="L88" s="1381"/>
      <c r="M88" s="1381"/>
      <c r="N88" s="1381"/>
      <c r="O88" s="1381"/>
      <c r="P88" s="1381"/>
      <c r="Q88" s="1381"/>
      <c r="R88" s="1381"/>
      <c r="S88" s="1381"/>
      <c r="T88" s="1381"/>
      <c r="U88" s="1381"/>
      <c r="V88" s="1381"/>
      <c r="W88" s="1381"/>
      <c r="X88" s="1381"/>
      <c r="Y88" s="1381"/>
      <c r="Z88" s="1381"/>
      <c r="AA88" s="1381"/>
      <c r="AB88" s="1381"/>
      <c r="AC88" s="1381"/>
      <c r="AD88" s="1381"/>
      <c r="AE88" s="1381"/>
      <c r="AF88" s="1381"/>
      <c r="AG88" s="1381"/>
      <c r="AH88" s="1381"/>
      <c r="AI88" s="1381"/>
      <c r="AJ88" s="1381"/>
      <c r="AK88" s="1381"/>
      <c r="AL88" s="1381"/>
      <c r="AM88" s="1381"/>
      <c r="AN88" s="1381"/>
      <c r="AO88" s="1381"/>
      <c r="AP88" s="1381"/>
      <c r="AQ88" s="1381"/>
      <c r="AR88" s="1381"/>
      <c r="AS88" s="1381"/>
      <c r="AT88" s="1381"/>
      <c r="AU88" s="1381"/>
      <c r="AV88" s="1381"/>
      <c r="AW88" s="1381"/>
      <c r="AX88" s="1381"/>
      <c r="AY88" s="1381"/>
      <c r="AZ88" s="1381"/>
      <c r="BA88" s="1381"/>
      <c r="BB88" s="1381"/>
      <c r="BC88" s="1381"/>
      <c r="BD88" s="1381"/>
      <c r="BE88" s="1381"/>
      <c r="BF88" s="1381"/>
      <c r="BG88" s="1381"/>
      <c r="BH88" s="1381"/>
      <c r="BI88" s="1381"/>
      <c r="BJ88" s="1381"/>
      <c r="BK88" s="1381"/>
      <c r="BL88" s="1381"/>
      <c r="BM88" s="1381"/>
      <c r="BN88" s="1381"/>
      <c r="BO88" s="1381"/>
      <c r="BP88" s="1381"/>
      <c r="BQ88" s="1381"/>
      <c r="BR88" s="1381"/>
      <c r="BS88" s="1381"/>
      <c r="BT88" s="1381"/>
      <c r="BU88" s="1381"/>
      <c r="BV88" s="1381"/>
      <c r="BW88" s="1381"/>
      <c r="BX88" s="1381"/>
      <c r="BY88" s="1381"/>
      <c r="BZ88" s="1381"/>
      <c r="CA88" s="1381"/>
      <c r="CB88" s="1381"/>
      <c r="CC88" s="1381"/>
      <c r="CD88" s="1381"/>
      <c r="CE88" s="1381"/>
      <c r="CF88" s="1381"/>
      <c r="CG88" s="1381"/>
      <c r="CH88" s="1381"/>
      <c r="CI88" s="1381"/>
      <c r="CJ88" s="1381"/>
      <c r="CK88" s="1381"/>
      <c r="CL88" s="1381"/>
      <c r="CM88" s="1381"/>
      <c r="CN88" s="1381"/>
      <c r="CO88" s="1381"/>
      <c r="CP88" s="1381"/>
      <c r="CQ88" s="1381"/>
      <c r="CR88" s="1381"/>
      <c r="CS88" s="1381"/>
      <c r="CT88" s="1381"/>
      <c r="CU88" s="1381"/>
      <c r="CV88" s="1381"/>
      <c r="CW88" s="1381"/>
      <c r="CX88" s="1381"/>
      <c r="CY88" s="1381"/>
      <c r="CZ88" s="1381"/>
      <c r="DA88" s="1381"/>
      <c r="DB88" s="1381"/>
      <c r="DC88" s="1381"/>
      <c r="DD88" s="1381"/>
      <c r="DE88" s="1381"/>
      <c r="DF88" s="1381"/>
      <c r="DG88" s="1381"/>
      <c r="DH88" s="1381"/>
      <c r="DI88" s="1381"/>
      <c r="DJ88" s="1381"/>
      <c r="DK88" s="1381"/>
      <c r="DL88" s="1381"/>
      <c r="DM88" s="1381"/>
      <c r="DN88" s="1381"/>
      <c r="DO88" s="1381"/>
      <c r="DP88" s="1381"/>
      <c r="DQ88" s="1381"/>
      <c r="DR88" s="1381"/>
      <c r="DS88" s="1381"/>
      <c r="DT88" s="1381"/>
      <c r="DU88" s="1381"/>
      <c r="DV88" s="1381"/>
      <c r="DW88" s="1381"/>
      <c r="DX88" s="1381"/>
      <c r="DY88" s="1381"/>
      <c r="DZ88" s="1381"/>
      <c r="EA88" s="1381"/>
      <c r="EB88" s="1381"/>
      <c r="EC88" s="1381"/>
      <c r="ED88" s="1381"/>
      <c r="EE88" s="1381"/>
      <c r="EF88" s="1381"/>
      <c r="EG88" s="1381"/>
      <c r="EH88" s="1381"/>
      <c r="EI88" s="1381"/>
      <c r="EJ88" s="1381"/>
      <c r="EK88" s="1381"/>
      <c r="EL88" s="1381"/>
      <c r="EM88" s="1381"/>
      <c r="EN88" s="1381"/>
      <c r="EO88" s="1381"/>
      <c r="EP88" s="1381"/>
      <c r="EQ88" s="1381"/>
      <c r="ER88" s="1381"/>
      <c r="ES88" s="1381"/>
      <c r="ET88" s="1381"/>
      <c r="EU88" s="1381"/>
      <c r="EV88" s="1381"/>
      <c r="EW88" s="1381"/>
      <c r="EX88" s="1381"/>
      <c r="EY88" s="1381"/>
      <c r="EZ88" s="1381"/>
      <c r="FA88" s="1381"/>
      <c r="FB88" s="1381"/>
      <c r="FC88" s="1381"/>
      <c r="FD88" s="1381"/>
      <c r="FE88" s="1381"/>
      <c r="FF88" s="1381"/>
      <c r="FG88" s="1381"/>
      <c r="FH88" s="1381"/>
      <c r="FI88" s="1381"/>
      <c r="FJ88" s="1381"/>
      <c r="FK88" s="1381"/>
      <c r="FL88" s="1381"/>
      <c r="FM88" s="1381"/>
      <c r="FN88" s="1381"/>
      <c r="FO88" s="1381"/>
      <c r="FP88" s="1381"/>
      <c r="FQ88" s="1381"/>
      <c r="FR88" s="1381"/>
      <c r="FS88" s="1381"/>
      <c r="FT88" s="1381"/>
      <c r="FU88" s="1381"/>
      <c r="FV88" s="1381"/>
      <c r="FW88" s="1381"/>
      <c r="FX88" s="1381"/>
      <c r="FY88" s="1381"/>
      <c r="FZ88" s="1381"/>
      <c r="GA88" s="1381"/>
      <c r="GB88" s="1381"/>
      <c r="GC88" s="1381"/>
      <c r="GD88" s="1381"/>
      <c r="GE88" s="1381"/>
      <c r="GF88" s="1381"/>
      <c r="GG88" s="1381"/>
      <c r="GH88" s="1381"/>
      <c r="GI88" s="1381"/>
      <c r="GJ88" s="1381"/>
      <c r="GK88" s="1381"/>
      <c r="GL88" s="1381"/>
      <c r="GM88" s="1381"/>
      <c r="GN88" s="1381"/>
      <c r="GO88" s="1381"/>
      <c r="GP88" s="1381"/>
      <c r="GQ88" s="1381"/>
      <c r="GR88" s="1381"/>
      <c r="GS88" s="1381"/>
      <c r="GT88" s="1381"/>
      <c r="GU88" s="1381"/>
      <c r="GV88" s="1381"/>
      <c r="GW88" s="1381"/>
      <c r="GX88" s="1381"/>
      <c r="GY88" s="1381"/>
      <c r="GZ88" s="1381"/>
      <c r="HA88" s="1381"/>
      <c r="HB88" s="1381"/>
      <c r="HC88" s="1381"/>
      <c r="HD88" s="1381"/>
      <c r="HE88" s="1381"/>
      <c r="HF88" s="1381"/>
      <c r="HG88" s="1381"/>
      <c r="HH88" s="1381"/>
      <c r="HI88" s="1381"/>
      <c r="HJ88" s="1381"/>
      <c r="HK88" s="1381"/>
      <c r="HL88" s="1381"/>
      <c r="HM88" s="1381"/>
      <c r="HN88" s="1381"/>
      <c r="HO88" s="1381"/>
      <c r="HP88" s="1381"/>
      <c r="HQ88" s="1381"/>
      <c r="HR88" s="1381"/>
      <c r="HS88" s="1381"/>
      <c r="HT88" s="1381"/>
      <c r="HU88" s="1381"/>
      <c r="HV88" s="1381"/>
      <c r="HW88" s="1381"/>
      <c r="HX88" s="1381"/>
      <c r="HY88" s="1381"/>
      <c r="HZ88" s="1381"/>
      <c r="IA88" s="1381"/>
      <c r="IB88" s="1381"/>
      <c r="IC88" s="1381"/>
      <c r="ID88" s="1381"/>
      <c r="IE88" s="1381"/>
      <c r="IF88" s="1381"/>
      <c r="IG88" s="1381"/>
      <c r="IH88" s="1381"/>
      <c r="II88" s="1381"/>
      <c r="IJ88" s="1381"/>
      <c r="IK88" s="1381"/>
      <c r="IL88" s="1381"/>
      <c r="IM88" s="1381"/>
      <c r="IN88" s="1381"/>
      <c r="IO88" s="1381"/>
      <c r="IP88" s="1381"/>
      <c r="IQ88" s="1381"/>
      <c r="IR88" s="1381"/>
      <c r="IS88" s="1381"/>
      <c r="IT88" s="1381"/>
      <c r="IU88" s="1381"/>
      <c r="IV88" s="1381"/>
      <c r="IW88" s="1381"/>
      <c r="IX88" s="1381"/>
      <c r="IY88" s="1381"/>
      <c r="IZ88" s="1381"/>
      <c r="JA88" s="1381"/>
      <c r="JB88" s="1381"/>
      <c r="JC88" s="1381"/>
      <c r="JD88" s="1381"/>
      <c r="JE88" s="1381"/>
      <c r="JF88" s="1381"/>
      <c r="JG88" s="1381"/>
      <c r="JH88" s="1381"/>
      <c r="JI88" s="1381"/>
      <c r="JJ88" s="1381"/>
      <c r="JK88" s="1381"/>
      <c r="JL88" s="1381"/>
      <c r="JM88" s="1381"/>
      <c r="JN88" s="1381"/>
      <c r="JO88" s="1381"/>
      <c r="JP88" s="1381"/>
      <c r="JQ88" s="1415"/>
      <c r="JR88" s="351"/>
      <c r="JS88" s="1365"/>
      <c r="JT88" s="1385"/>
    </row>
    <row r="89" spans="1:280" ht="12.5" x14ac:dyDescent="0.25">
      <c r="A89" s="1357">
        <v>6</v>
      </c>
      <c r="B89" s="1392"/>
      <c r="C89" s="1359" t="s">
        <v>2385</v>
      </c>
      <c r="D89" s="1360"/>
      <c r="E89" s="1381"/>
      <c r="F89" s="1381"/>
      <c r="G89" s="1381"/>
      <c r="H89" s="1381"/>
      <c r="I89" s="1381"/>
      <c r="J89" s="1381"/>
      <c r="K89" s="1381"/>
      <c r="L89" s="1381"/>
      <c r="M89" s="1381"/>
      <c r="N89" s="1381"/>
      <c r="O89" s="1381"/>
      <c r="P89" s="1381"/>
      <c r="Q89" s="1381"/>
      <c r="R89" s="1381"/>
      <c r="S89" s="1381"/>
      <c r="T89" s="1381"/>
      <c r="U89" s="1381"/>
      <c r="V89" s="1381"/>
      <c r="W89" s="1381"/>
      <c r="X89" s="1381"/>
      <c r="Y89" s="1381"/>
      <c r="Z89" s="1381"/>
      <c r="AA89" s="1381"/>
      <c r="AB89" s="1381"/>
      <c r="AC89" s="1381"/>
      <c r="AD89" s="1381"/>
      <c r="AE89" s="1381"/>
      <c r="AF89" s="1381"/>
      <c r="AG89" s="1381"/>
      <c r="AH89" s="1381"/>
      <c r="AI89" s="1381"/>
      <c r="AJ89" s="1381"/>
      <c r="AK89" s="1381"/>
      <c r="AL89" s="1381"/>
      <c r="AM89" s="1381"/>
      <c r="AN89" s="1381"/>
      <c r="AO89" s="1381"/>
      <c r="AP89" s="1381"/>
      <c r="AQ89" s="1381"/>
      <c r="AR89" s="1381"/>
      <c r="AS89" s="1381"/>
      <c r="AT89" s="1393"/>
      <c r="AU89" s="1381"/>
      <c r="AV89" s="1381"/>
      <c r="AW89" s="1381"/>
      <c r="AX89" s="1381"/>
      <c r="AY89" s="1381"/>
      <c r="AZ89" s="1381"/>
      <c r="BA89" s="1381"/>
      <c r="BB89" s="1381"/>
      <c r="BC89" s="1381"/>
      <c r="BD89" s="1381"/>
      <c r="BE89" s="1381"/>
      <c r="BF89" s="1381"/>
      <c r="BG89" s="1381"/>
      <c r="BH89" s="1381"/>
      <c r="BI89" s="1381"/>
      <c r="BJ89" s="1381"/>
      <c r="BK89" s="1381"/>
      <c r="BL89" s="1381"/>
      <c r="BM89" s="1381"/>
      <c r="BN89" s="1381"/>
      <c r="BO89" s="1381"/>
      <c r="BP89" s="1381"/>
      <c r="BQ89" s="1381"/>
      <c r="BR89" s="1381"/>
      <c r="BS89" s="1381"/>
      <c r="BT89" s="1381"/>
      <c r="BU89" s="1381"/>
      <c r="BV89" s="1381"/>
      <c r="BW89" s="1381"/>
      <c r="BX89" s="1381"/>
      <c r="BY89" s="1381"/>
      <c r="BZ89" s="1381"/>
      <c r="CA89" s="1381"/>
      <c r="CB89" s="1381"/>
      <c r="CC89" s="1381"/>
      <c r="CD89" s="1381"/>
      <c r="CE89" s="1381"/>
      <c r="CF89" s="1381"/>
      <c r="CG89" s="1381"/>
      <c r="CH89" s="1381"/>
      <c r="CI89" s="1381"/>
      <c r="CJ89" s="1381"/>
      <c r="CK89" s="1381"/>
      <c r="CL89" s="1381"/>
      <c r="CM89" s="1381"/>
      <c r="CN89" s="1381"/>
      <c r="CO89" s="1393"/>
      <c r="CP89" s="1381"/>
      <c r="CQ89" s="1381"/>
      <c r="CR89" s="1381"/>
      <c r="CS89" s="1381"/>
      <c r="CT89" s="1381"/>
      <c r="CU89" s="1381"/>
      <c r="CV89" s="1381"/>
      <c r="CW89" s="1381"/>
      <c r="CX89" s="1381"/>
      <c r="CY89" s="1381"/>
      <c r="CZ89" s="1381"/>
      <c r="DA89" s="1381"/>
      <c r="DB89" s="1381"/>
      <c r="DC89" s="1381"/>
      <c r="DD89" s="1381"/>
      <c r="DE89" s="1381"/>
      <c r="DF89" s="1381"/>
      <c r="DG89" s="1381"/>
      <c r="DH89" s="1381"/>
      <c r="DI89" s="1381"/>
      <c r="DJ89" s="1381"/>
      <c r="DK89" s="1381"/>
      <c r="DL89" s="1381"/>
      <c r="DM89" s="1381"/>
      <c r="DN89" s="1381"/>
      <c r="DO89" s="1381"/>
      <c r="DP89" s="1381"/>
      <c r="DQ89" s="1381"/>
      <c r="DR89" s="1381"/>
      <c r="DS89" s="1381"/>
      <c r="DT89" s="1381"/>
      <c r="DU89" s="1381"/>
      <c r="DV89" s="1381"/>
      <c r="DW89" s="1381"/>
      <c r="DX89" s="1381"/>
      <c r="DY89" s="1381"/>
      <c r="DZ89" s="1381"/>
      <c r="EA89" s="1381"/>
      <c r="EB89" s="1381"/>
      <c r="EC89" s="1381"/>
      <c r="ED89" s="1381"/>
      <c r="EE89" s="1381"/>
      <c r="EF89" s="1381"/>
      <c r="EG89" s="1381"/>
      <c r="EH89" s="1381"/>
      <c r="EI89" s="1381"/>
      <c r="EJ89" s="1381"/>
      <c r="EK89" s="1381"/>
      <c r="EL89" s="1381"/>
      <c r="EM89" s="1381"/>
      <c r="EN89" s="1381"/>
      <c r="EO89" s="1381"/>
      <c r="EP89" s="1381"/>
      <c r="EQ89" s="1381"/>
      <c r="ER89" s="1381"/>
      <c r="ES89" s="1381"/>
      <c r="ET89" s="1381"/>
      <c r="EU89" s="1381"/>
      <c r="EV89" s="1381"/>
      <c r="EW89" s="1381"/>
      <c r="EX89" s="1381"/>
      <c r="EY89" s="1381"/>
      <c r="EZ89" s="1381"/>
      <c r="FA89" s="1381"/>
      <c r="FB89" s="1381"/>
      <c r="FC89" s="1381"/>
      <c r="FD89" s="1381"/>
      <c r="FE89" s="1381"/>
      <c r="FF89" s="1381"/>
      <c r="FG89" s="1381"/>
      <c r="FH89" s="1381"/>
      <c r="FI89" s="1381"/>
      <c r="FJ89" s="1381"/>
      <c r="FK89" s="1381"/>
      <c r="FL89" s="1381"/>
      <c r="FM89" s="1381"/>
      <c r="FN89" s="1381"/>
      <c r="FO89" s="1381"/>
      <c r="FP89" s="1381"/>
      <c r="FQ89" s="1381"/>
      <c r="FR89" s="1381"/>
      <c r="FS89" s="1381"/>
      <c r="FT89" s="1381"/>
      <c r="FU89" s="1381"/>
      <c r="FV89" s="1381"/>
      <c r="FW89" s="1381"/>
      <c r="FX89" s="1381"/>
      <c r="FY89" s="1381"/>
      <c r="FZ89" s="1381"/>
      <c r="GA89" s="1381"/>
      <c r="GB89" s="1381"/>
      <c r="GC89" s="1381"/>
      <c r="GD89" s="1381"/>
      <c r="GE89" s="1381"/>
      <c r="GF89" s="1381"/>
      <c r="GG89" s="1381"/>
      <c r="GH89" s="1381"/>
      <c r="GI89" s="1381"/>
      <c r="GJ89" s="1381"/>
      <c r="GK89" s="1381"/>
      <c r="GL89" s="1381"/>
      <c r="GM89" s="1381"/>
      <c r="GN89" s="1381"/>
      <c r="GO89" s="1381"/>
      <c r="GP89" s="1381"/>
      <c r="GQ89" s="1381"/>
      <c r="GR89" s="1381"/>
      <c r="GS89" s="1381"/>
      <c r="GT89" s="1381"/>
      <c r="GU89" s="1381"/>
      <c r="GV89" s="1381"/>
      <c r="GW89" s="1381"/>
      <c r="GX89" s="1381"/>
      <c r="GY89" s="1381"/>
      <c r="GZ89" s="1381"/>
      <c r="HA89" s="1381"/>
      <c r="HB89" s="1381"/>
      <c r="HC89" s="1381"/>
      <c r="HD89" s="1381"/>
      <c r="HE89" s="1381"/>
      <c r="HF89" s="1381"/>
      <c r="HG89" s="1381"/>
      <c r="HH89" s="1381"/>
      <c r="HI89" s="1381"/>
      <c r="HJ89" s="1381"/>
      <c r="HK89" s="1381"/>
      <c r="HL89" s="1381"/>
      <c r="HM89" s="1381"/>
      <c r="HN89" s="1381"/>
      <c r="HO89" s="1381"/>
      <c r="HP89" s="1381"/>
      <c r="HQ89" s="1388"/>
      <c r="HR89" s="1381"/>
      <c r="HS89" s="1381"/>
      <c r="HT89" s="1381"/>
      <c r="HU89" s="1381"/>
      <c r="HV89" s="1381"/>
      <c r="HW89" s="1381"/>
      <c r="HX89" s="1381"/>
      <c r="HY89" s="1381"/>
      <c r="HZ89" s="1381"/>
      <c r="IA89" s="1381"/>
      <c r="IB89" s="1381"/>
      <c r="IC89" s="1381"/>
      <c r="ID89" s="1381"/>
      <c r="IE89" s="1381"/>
      <c r="IF89" s="1381"/>
      <c r="IG89" s="1381"/>
      <c r="IH89" s="1381"/>
      <c r="II89" s="1381"/>
      <c r="IJ89" s="1381"/>
      <c r="IK89" s="1381"/>
      <c r="IL89" s="1381"/>
      <c r="IM89" s="1381"/>
      <c r="IN89" s="1381"/>
      <c r="IO89" s="1381"/>
      <c r="IP89" s="1381"/>
      <c r="IQ89" s="1381"/>
      <c r="IR89" s="1381"/>
      <c r="IS89" s="1381"/>
      <c r="IT89" s="1381"/>
      <c r="IU89" s="1381"/>
      <c r="IV89" s="1381"/>
      <c r="IW89" s="1381"/>
      <c r="IX89" s="1381"/>
      <c r="IY89" s="1381"/>
      <c r="IZ89" s="1381"/>
      <c r="JA89" s="1381"/>
      <c r="JB89" s="1381"/>
      <c r="JC89" s="1381"/>
      <c r="JD89" s="1381"/>
      <c r="JE89" s="1381"/>
      <c r="JF89" s="1381"/>
      <c r="JG89" s="1381"/>
      <c r="JH89" s="1381"/>
      <c r="JI89" s="1381"/>
      <c r="JJ89" s="1381"/>
      <c r="JK89" s="1381"/>
      <c r="JL89" s="1381"/>
      <c r="JM89" s="1381"/>
      <c r="JN89" s="1381"/>
      <c r="JO89" s="1381"/>
      <c r="JP89" s="1381"/>
      <c r="JQ89" s="1415"/>
      <c r="JR89" s="351"/>
      <c r="JS89" s="1365"/>
      <c r="JT89" s="1385"/>
    </row>
    <row r="90" spans="1:280" ht="12.5" x14ac:dyDescent="0.25">
      <c r="A90" s="1357">
        <v>7</v>
      </c>
      <c r="B90" s="1392"/>
      <c r="C90" s="1359" t="s">
        <v>2386</v>
      </c>
      <c r="D90" s="1360"/>
      <c r="E90" s="1381"/>
      <c r="F90" s="1381"/>
      <c r="G90" s="1381"/>
      <c r="H90" s="1381"/>
      <c r="I90" s="1381"/>
      <c r="J90" s="1381"/>
      <c r="K90" s="1381"/>
      <c r="L90" s="1381"/>
      <c r="M90" s="1381"/>
      <c r="N90" s="1381"/>
      <c r="O90" s="1381"/>
      <c r="P90" s="1381"/>
      <c r="Q90" s="1381"/>
      <c r="R90" s="1381"/>
      <c r="S90" s="1381"/>
      <c r="T90" s="1381"/>
      <c r="U90" s="1381"/>
      <c r="V90" s="1381"/>
      <c r="W90" s="1381"/>
      <c r="X90" s="1381"/>
      <c r="Y90" s="1381"/>
      <c r="Z90" s="1381"/>
      <c r="AA90" s="1381"/>
      <c r="AB90" s="1381"/>
      <c r="AC90" s="1381"/>
      <c r="AD90" s="1381"/>
      <c r="AE90" s="1381"/>
      <c r="AF90" s="1381"/>
      <c r="AG90" s="1381"/>
      <c r="AH90" s="1381"/>
      <c r="AI90" s="1381"/>
      <c r="AJ90" s="1381"/>
      <c r="AK90" s="1381"/>
      <c r="AL90" s="1381"/>
      <c r="AM90" s="1381"/>
      <c r="AN90" s="1381"/>
      <c r="AO90" s="1381"/>
      <c r="AP90" s="1381"/>
      <c r="AQ90" s="1381"/>
      <c r="AR90" s="1381"/>
      <c r="AS90" s="1381"/>
      <c r="AT90" s="1393"/>
      <c r="AU90" s="1381"/>
      <c r="AV90" s="1381"/>
      <c r="AW90" s="1381"/>
      <c r="AX90" s="1381"/>
      <c r="AY90" s="1381"/>
      <c r="AZ90" s="1381"/>
      <c r="BA90" s="1381"/>
      <c r="BB90" s="1381"/>
      <c r="BC90" s="1381"/>
      <c r="BD90" s="1381"/>
      <c r="BE90" s="1381"/>
      <c r="BF90" s="1381"/>
      <c r="BG90" s="1381"/>
      <c r="BH90" s="1381"/>
      <c r="BI90" s="1381"/>
      <c r="BJ90" s="1381"/>
      <c r="BK90" s="1381"/>
      <c r="BL90" s="1381"/>
      <c r="BM90" s="1381"/>
      <c r="BN90" s="1381"/>
      <c r="BO90" s="1381"/>
      <c r="BP90" s="1381"/>
      <c r="BQ90" s="1381"/>
      <c r="BR90" s="1381"/>
      <c r="BS90" s="1381"/>
      <c r="BT90" s="1381"/>
      <c r="BU90" s="1381"/>
      <c r="BV90" s="1381"/>
      <c r="BW90" s="1381"/>
      <c r="BX90" s="1381"/>
      <c r="BY90" s="1381"/>
      <c r="BZ90" s="1381"/>
      <c r="CA90" s="1381"/>
      <c r="CB90" s="1381"/>
      <c r="CC90" s="1381"/>
      <c r="CD90" s="1381"/>
      <c r="CE90" s="1381"/>
      <c r="CF90" s="1381"/>
      <c r="CG90" s="1381"/>
      <c r="CH90" s="1381"/>
      <c r="CI90" s="1381"/>
      <c r="CJ90" s="1381"/>
      <c r="CK90" s="1381"/>
      <c r="CL90" s="1381"/>
      <c r="CM90" s="1381"/>
      <c r="CN90" s="1381"/>
      <c r="CO90" s="1393"/>
      <c r="CP90" s="1381"/>
      <c r="CQ90" s="1381"/>
      <c r="CR90" s="1381"/>
      <c r="CS90" s="1381"/>
      <c r="CT90" s="1381"/>
      <c r="CU90" s="1381"/>
      <c r="CV90" s="1381"/>
      <c r="CW90" s="1381"/>
      <c r="CX90" s="1381"/>
      <c r="CY90" s="1381"/>
      <c r="CZ90" s="1381"/>
      <c r="DA90" s="1381"/>
      <c r="DB90" s="1381"/>
      <c r="DC90" s="1381"/>
      <c r="DD90" s="1381"/>
      <c r="DE90" s="1381"/>
      <c r="DF90" s="1381"/>
      <c r="DG90" s="1381"/>
      <c r="DH90" s="1381"/>
      <c r="DI90" s="1381"/>
      <c r="DJ90" s="1381"/>
      <c r="DK90" s="1381"/>
      <c r="DL90" s="1381"/>
      <c r="DM90" s="1381"/>
      <c r="DN90" s="1381"/>
      <c r="DO90" s="1381"/>
      <c r="DP90" s="1381"/>
      <c r="DQ90" s="1381"/>
      <c r="DR90" s="1381"/>
      <c r="DS90" s="1381"/>
      <c r="DT90" s="1381"/>
      <c r="DU90" s="1381"/>
      <c r="DV90" s="1381"/>
      <c r="DW90" s="1381"/>
      <c r="DX90" s="1381"/>
      <c r="DY90" s="1381"/>
      <c r="DZ90" s="1381"/>
      <c r="EA90" s="1381"/>
      <c r="EB90" s="1381"/>
      <c r="EC90" s="1381"/>
      <c r="ED90" s="1381"/>
      <c r="EE90" s="1381"/>
      <c r="EF90" s="1381"/>
      <c r="EG90" s="1381"/>
      <c r="EH90" s="1381"/>
      <c r="EI90" s="1381"/>
      <c r="EJ90" s="1381"/>
      <c r="EK90" s="1381"/>
      <c r="EL90" s="1381"/>
      <c r="EM90" s="1381"/>
      <c r="EN90" s="1381"/>
      <c r="EO90" s="1381"/>
      <c r="EP90" s="1381"/>
      <c r="EQ90" s="1381"/>
      <c r="ER90" s="1381"/>
      <c r="ES90" s="1381"/>
      <c r="ET90" s="1381"/>
      <c r="EU90" s="1381"/>
      <c r="EV90" s="1381"/>
      <c r="EW90" s="1381"/>
      <c r="EX90" s="1381"/>
      <c r="EY90" s="1381"/>
      <c r="EZ90" s="1381"/>
      <c r="FA90" s="1381"/>
      <c r="FB90" s="1381"/>
      <c r="FC90" s="1381"/>
      <c r="FD90" s="1381"/>
      <c r="FE90" s="1381"/>
      <c r="FF90" s="1381"/>
      <c r="FG90" s="1381"/>
      <c r="FH90" s="1381"/>
      <c r="FI90" s="1381"/>
      <c r="FJ90" s="1381"/>
      <c r="FK90" s="1381"/>
      <c r="FL90" s="1381"/>
      <c r="FM90" s="1381"/>
      <c r="FN90" s="1381"/>
      <c r="FO90" s="1381"/>
      <c r="FP90" s="1381"/>
      <c r="FQ90" s="1381"/>
      <c r="FR90" s="1381"/>
      <c r="FS90" s="1381"/>
      <c r="FT90" s="1381"/>
      <c r="FU90" s="1381"/>
      <c r="FV90" s="1381"/>
      <c r="FW90" s="1381"/>
      <c r="FX90" s="1381"/>
      <c r="FY90" s="1381"/>
      <c r="FZ90" s="1381"/>
      <c r="GA90" s="1381"/>
      <c r="GB90" s="1381"/>
      <c r="GC90" s="1381"/>
      <c r="GD90" s="1381"/>
      <c r="GE90" s="1381"/>
      <c r="GF90" s="1381"/>
      <c r="GG90" s="1381"/>
      <c r="GH90" s="1381"/>
      <c r="GI90" s="1381"/>
      <c r="GJ90" s="1381"/>
      <c r="GK90" s="1381"/>
      <c r="GL90" s="1381"/>
      <c r="GM90" s="1381"/>
      <c r="GN90" s="1381"/>
      <c r="GO90" s="1381"/>
      <c r="GP90" s="1381"/>
      <c r="GQ90" s="1381"/>
      <c r="GR90" s="1381"/>
      <c r="GS90" s="1381"/>
      <c r="GT90" s="1381"/>
      <c r="GU90" s="1381"/>
      <c r="GV90" s="1381"/>
      <c r="GW90" s="1381"/>
      <c r="GX90" s="1381"/>
      <c r="GY90" s="1381"/>
      <c r="GZ90" s="1381"/>
      <c r="HA90" s="1381"/>
      <c r="HB90" s="1381"/>
      <c r="HC90" s="1381"/>
      <c r="HD90" s="1381"/>
      <c r="HE90" s="1381"/>
      <c r="HF90" s="1381"/>
      <c r="HG90" s="1381"/>
      <c r="HH90" s="1381"/>
      <c r="HI90" s="1381"/>
      <c r="HJ90" s="1381"/>
      <c r="HK90" s="1381"/>
      <c r="HL90" s="1381"/>
      <c r="HM90" s="1381"/>
      <c r="HN90" s="1381"/>
      <c r="HO90" s="1381"/>
      <c r="HP90" s="1381"/>
      <c r="HQ90" s="1388"/>
      <c r="HR90" s="1381"/>
      <c r="HS90" s="1381"/>
      <c r="HT90" s="1381"/>
      <c r="HU90" s="1381"/>
      <c r="HV90" s="1381"/>
      <c r="HW90" s="1381"/>
      <c r="HX90" s="1381"/>
      <c r="HY90" s="1381"/>
      <c r="HZ90" s="1381"/>
      <c r="IA90" s="1381"/>
      <c r="IB90" s="1381"/>
      <c r="IC90" s="1381"/>
      <c r="ID90" s="1381"/>
      <c r="IE90" s="1381"/>
      <c r="IF90" s="1381"/>
      <c r="IG90" s="1381"/>
      <c r="IH90" s="1381"/>
      <c r="II90" s="1381"/>
      <c r="IJ90" s="1381"/>
      <c r="IK90" s="1381"/>
      <c r="IL90" s="1381"/>
      <c r="IM90" s="1381"/>
      <c r="IN90" s="1381"/>
      <c r="IO90" s="1381"/>
      <c r="IP90" s="1381"/>
      <c r="IQ90" s="1381"/>
      <c r="IR90" s="1381"/>
      <c r="IS90" s="1381"/>
      <c r="IT90" s="1381"/>
      <c r="IU90" s="1381"/>
      <c r="IV90" s="1381"/>
      <c r="IW90" s="1381"/>
      <c r="IX90" s="1381"/>
      <c r="IY90" s="1381"/>
      <c r="IZ90" s="1381"/>
      <c r="JA90" s="1381"/>
      <c r="JB90" s="1381"/>
      <c r="JC90" s="1381"/>
      <c r="JD90" s="1381"/>
      <c r="JE90" s="1381"/>
      <c r="JF90" s="1381"/>
      <c r="JG90" s="1381"/>
      <c r="JH90" s="1381"/>
      <c r="JI90" s="1381"/>
      <c r="JJ90" s="1381"/>
      <c r="JK90" s="1381"/>
      <c r="JL90" s="1381"/>
      <c r="JM90" s="1381"/>
      <c r="JN90" s="1381"/>
      <c r="JO90" s="1381"/>
      <c r="JP90" s="1381"/>
      <c r="JQ90" s="2488"/>
      <c r="JR90" s="351"/>
      <c r="JS90" s="1389"/>
      <c r="JT90" s="1385"/>
    </row>
    <row r="91" spans="1:280" ht="12.5" x14ac:dyDescent="0.25">
      <c r="A91" s="1357">
        <v>8</v>
      </c>
      <c r="B91" s="1392"/>
      <c r="C91" s="1359" t="s">
        <v>2387</v>
      </c>
      <c r="D91" s="1360"/>
      <c r="E91" s="1381"/>
      <c r="F91" s="1381"/>
      <c r="G91" s="1381"/>
      <c r="H91" s="1381"/>
      <c r="I91" s="1381"/>
      <c r="J91" s="1381"/>
      <c r="K91" s="1381"/>
      <c r="L91" s="1381"/>
      <c r="M91" s="1381"/>
      <c r="N91" s="1381"/>
      <c r="O91" s="1381"/>
      <c r="P91" s="1381"/>
      <c r="Q91" s="1381"/>
      <c r="R91" s="1381"/>
      <c r="S91" s="1381"/>
      <c r="T91" s="1381"/>
      <c r="U91" s="1381"/>
      <c r="V91" s="1381"/>
      <c r="W91" s="1381"/>
      <c r="X91" s="1381"/>
      <c r="Y91" s="1381"/>
      <c r="Z91" s="1381"/>
      <c r="AA91" s="1381"/>
      <c r="AB91" s="1381"/>
      <c r="AC91" s="1381"/>
      <c r="AD91" s="1381"/>
      <c r="AE91" s="1381"/>
      <c r="AF91" s="1381"/>
      <c r="AG91" s="1381"/>
      <c r="AH91" s="1381"/>
      <c r="AI91" s="1381"/>
      <c r="AJ91" s="1381"/>
      <c r="AK91" s="1381"/>
      <c r="AL91" s="1381"/>
      <c r="AM91" s="1381"/>
      <c r="AN91" s="1381"/>
      <c r="AO91" s="1381"/>
      <c r="AP91" s="1381"/>
      <c r="AQ91" s="1381"/>
      <c r="AR91" s="1381"/>
      <c r="AS91" s="1381"/>
      <c r="AT91" s="1393"/>
      <c r="AU91" s="1381"/>
      <c r="AV91" s="1381"/>
      <c r="AW91" s="1381"/>
      <c r="AX91" s="1381"/>
      <c r="AY91" s="1381"/>
      <c r="AZ91" s="1381"/>
      <c r="BA91" s="1381"/>
      <c r="BB91" s="1381"/>
      <c r="BC91" s="1381"/>
      <c r="BD91" s="1381"/>
      <c r="BE91" s="1381"/>
      <c r="BF91" s="1381"/>
      <c r="BG91" s="1381"/>
      <c r="BH91" s="1381"/>
      <c r="BI91" s="1381"/>
      <c r="BJ91" s="1381"/>
      <c r="BK91" s="1381"/>
      <c r="BL91" s="1381"/>
      <c r="BM91" s="1381"/>
      <c r="BN91" s="1381"/>
      <c r="BO91" s="1381"/>
      <c r="BP91" s="1381"/>
      <c r="BQ91" s="1381"/>
      <c r="BR91" s="1381"/>
      <c r="BS91" s="1381"/>
      <c r="BT91" s="1381"/>
      <c r="BU91" s="1381"/>
      <c r="BV91" s="1381"/>
      <c r="BW91" s="1381"/>
      <c r="BX91" s="1381"/>
      <c r="BY91" s="1381"/>
      <c r="BZ91" s="1381"/>
      <c r="CA91" s="1381"/>
      <c r="CB91" s="1381"/>
      <c r="CC91" s="1381"/>
      <c r="CD91" s="1381"/>
      <c r="CE91" s="1381"/>
      <c r="CF91" s="1381"/>
      <c r="CG91" s="1381"/>
      <c r="CH91" s="1381"/>
      <c r="CI91" s="1381"/>
      <c r="CJ91" s="1381"/>
      <c r="CK91" s="1381"/>
      <c r="CL91" s="1381"/>
      <c r="CM91" s="1381"/>
      <c r="CN91" s="1381"/>
      <c r="CO91" s="1393"/>
      <c r="CP91" s="1381"/>
      <c r="CQ91" s="1381"/>
      <c r="CR91" s="1381"/>
      <c r="CS91" s="1381"/>
      <c r="CT91" s="1381"/>
      <c r="CU91" s="1381"/>
      <c r="CV91" s="1381"/>
      <c r="CW91" s="1381"/>
      <c r="CX91" s="1381"/>
      <c r="CY91" s="1381"/>
      <c r="CZ91" s="1381"/>
      <c r="DA91" s="1381"/>
      <c r="DB91" s="1381"/>
      <c r="DC91" s="1381"/>
      <c r="DD91" s="1381"/>
      <c r="DE91" s="1381"/>
      <c r="DF91" s="1381"/>
      <c r="DG91" s="1381"/>
      <c r="DH91" s="1381"/>
      <c r="DI91" s="1381"/>
      <c r="DJ91" s="1381"/>
      <c r="DK91" s="1381"/>
      <c r="DL91" s="1381"/>
      <c r="DM91" s="1381"/>
      <c r="DN91" s="1381"/>
      <c r="DO91" s="1381"/>
      <c r="DP91" s="1381"/>
      <c r="DQ91" s="1381"/>
      <c r="DR91" s="1381"/>
      <c r="DS91" s="1381"/>
      <c r="DT91" s="1381"/>
      <c r="DU91" s="1381"/>
      <c r="DV91" s="1381"/>
      <c r="DW91" s="1381"/>
      <c r="DX91" s="1381"/>
      <c r="DY91" s="1381"/>
      <c r="DZ91" s="1381"/>
      <c r="EA91" s="1381"/>
      <c r="EB91" s="1381"/>
      <c r="EC91" s="1381"/>
      <c r="ED91" s="1381"/>
      <c r="EE91" s="1381"/>
      <c r="EF91" s="1381"/>
      <c r="EG91" s="1381"/>
      <c r="EH91" s="1381"/>
      <c r="EI91" s="1381"/>
      <c r="EJ91" s="1381"/>
      <c r="EK91" s="1381"/>
      <c r="EL91" s="1381"/>
      <c r="EM91" s="1381"/>
      <c r="EN91" s="1381"/>
      <c r="EO91" s="1381"/>
      <c r="EP91" s="1381"/>
      <c r="EQ91" s="1381"/>
      <c r="ER91" s="1381"/>
      <c r="ES91" s="1381"/>
      <c r="ET91" s="1381"/>
      <c r="EU91" s="1381"/>
      <c r="EV91" s="1381"/>
      <c r="EW91" s="1381"/>
      <c r="EX91" s="1381"/>
      <c r="EY91" s="1381"/>
      <c r="EZ91" s="1381"/>
      <c r="FA91" s="1381"/>
      <c r="FB91" s="1381"/>
      <c r="FC91" s="1381"/>
      <c r="FD91" s="1381"/>
      <c r="FE91" s="1381"/>
      <c r="FF91" s="1381"/>
      <c r="FG91" s="1381"/>
      <c r="FH91" s="1381"/>
      <c r="FI91" s="1381"/>
      <c r="FJ91" s="1381"/>
      <c r="FK91" s="1381"/>
      <c r="FL91" s="1381"/>
      <c r="FM91" s="1381"/>
      <c r="FN91" s="1381"/>
      <c r="FO91" s="1381"/>
      <c r="FP91" s="1381"/>
      <c r="FQ91" s="1381"/>
      <c r="FR91" s="1381"/>
      <c r="FS91" s="1381"/>
      <c r="FT91" s="1381"/>
      <c r="FU91" s="1381"/>
      <c r="FV91" s="1381"/>
      <c r="FW91" s="1381"/>
      <c r="FX91" s="1381"/>
      <c r="FY91" s="1381"/>
      <c r="FZ91" s="1381"/>
      <c r="GA91" s="1381"/>
      <c r="GB91" s="1381"/>
      <c r="GC91" s="1381"/>
      <c r="GD91" s="1381"/>
      <c r="GE91" s="1381"/>
      <c r="GF91" s="1381"/>
      <c r="GG91" s="1381"/>
      <c r="GH91" s="1381"/>
      <c r="GI91" s="1381"/>
      <c r="GJ91" s="1381"/>
      <c r="GK91" s="1381"/>
      <c r="GL91" s="1381"/>
      <c r="GM91" s="1381"/>
      <c r="GN91" s="1381"/>
      <c r="GO91" s="1381"/>
      <c r="GP91" s="1381"/>
      <c r="GQ91" s="1381"/>
      <c r="GR91" s="1381"/>
      <c r="GS91" s="1381"/>
      <c r="GT91" s="1381"/>
      <c r="GU91" s="1381"/>
      <c r="GV91" s="1381"/>
      <c r="GW91" s="1381"/>
      <c r="GX91" s="1381"/>
      <c r="GY91" s="1381"/>
      <c r="GZ91" s="1381"/>
      <c r="HA91" s="1381"/>
      <c r="HB91" s="1381"/>
      <c r="HC91" s="1381"/>
      <c r="HD91" s="1381"/>
      <c r="HE91" s="1381"/>
      <c r="HF91" s="1381"/>
      <c r="HG91" s="1381"/>
      <c r="HH91" s="1381"/>
      <c r="HI91" s="1381"/>
      <c r="HJ91" s="1381"/>
      <c r="HK91" s="1381"/>
      <c r="HL91" s="1381"/>
      <c r="HM91" s="1381"/>
      <c r="HN91" s="1381"/>
      <c r="HO91" s="1381"/>
      <c r="HP91" s="1381"/>
      <c r="HQ91" s="1388"/>
      <c r="HR91" s="1381"/>
      <c r="HS91" s="1381"/>
      <c r="HT91" s="1381"/>
      <c r="HU91" s="1381"/>
      <c r="HV91" s="1381"/>
      <c r="HW91" s="1381"/>
      <c r="HX91" s="1381"/>
      <c r="HY91" s="1381"/>
      <c r="HZ91" s="1381"/>
      <c r="IA91" s="1381"/>
      <c r="IB91" s="1381"/>
      <c r="IC91" s="1381"/>
      <c r="ID91" s="1381"/>
      <c r="IE91" s="1381"/>
      <c r="IF91" s="1381"/>
      <c r="IG91" s="1381"/>
      <c r="IH91" s="1381"/>
      <c r="II91" s="1381"/>
      <c r="IJ91" s="1381"/>
      <c r="IK91" s="1381"/>
      <c r="IL91" s="1381"/>
      <c r="IM91" s="1381"/>
      <c r="IN91" s="1381"/>
      <c r="IO91" s="1381"/>
      <c r="IP91" s="1381"/>
      <c r="IQ91" s="1381"/>
      <c r="IR91" s="1381"/>
      <c r="IS91" s="1381"/>
      <c r="IT91" s="1381"/>
      <c r="IU91" s="1381"/>
      <c r="IV91" s="1381"/>
      <c r="IW91" s="1381"/>
      <c r="IX91" s="1381"/>
      <c r="IY91" s="1381"/>
      <c r="IZ91" s="1381"/>
      <c r="JA91" s="1381"/>
      <c r="JB91" s="1381"/>
      <c r="JC91" s="1381"/>
      <c r="JD91" s="1381"/>
      <c r="JE91" s="1381"/>
      <c r="JF91" s="1381"/>
      <c r="JG91" s="1381"/>
      <c r="JH91" s="1381"/>
      <c r="JI91" s="1381"/>
      <c r="JJ91" s="1381"/>
      <c r="JK91" s="1381"/>
      <c r="JL91" s="1381"/>
      <c r="JM91" s="1381"/>
      <c r="JN91" s="1381"/>
      <c r="JO91" s="1381"/>
      <c r="JP91" s="1381"/>
      <c r="JQ91" s="2488"/>
      <c r="JR91" s="351"/>
      <c r="JS91" s="1389"/>
      <c r="JT91" s="1385"/>
    </row>
    <row r="92" spans="1:280" ht="12.5" x14ac:dyDescent="0.25">
      <c r="A92" s="1357">
        <v>9</v>
      </c>
      <c r="B92" s="1392"/>
      <c r="C92" s="1359" t="s">
        <v>2388</v>
      </c>
      <c r="D92" s="1360"/>
      <c r="E92" s="1381"/>
      <c r="F92" s="1381"/>
      <c r="G92" s="1381"/>
      <c r="H92" s="1381"/>
      <c r="I92" s="1381"/>
      <c r="J92" s="1381"/>
      <c r="K92" s="1381"/>
      <c r="L92" s="1381"/>
      <c r="M92" s="1381"/>
      <c r="N92" s="1381"/>
      <c r="O92" s="1381"/>
      <c r="P92" s="1381"/>
      <c r="Q92" s="1381"/>
      <c r="R92" s="1381"/>
      <c r="S92" s="1381"/>
      <c r="T92" s="1381"/>
      <c r="U92" s="1381"/>
      <c r="V92" s="1381"/>
      <c r="W92" s="1381"/>
      <c r="X92" s="1381"/>
      <c r="Y92" s="1381"/>
      <c r="Z92" s="1381"/>
      <c r="AA92" s="1381"/>
      <c r="AB92" s="1381"/>
      <c r="AC92" s="1381"/>
      <c r="AD92" s="1381"/>
      <c r="AE92" s="1381"/>
      <c r="AF92" s="1381"/>
      <c r="AG92" s="1381"/>
      <c r="AH92" s="1381"/>
      <c r="AI92" s="1381"/>
      <c r="AJ92" s="1381"/>
      <c r="AK92" s="1381"/>
      <c r="AL92" s="1381"/>
      <c r="AM92" s="1381"/>
      <c r="AN92" s="1381"/>
      <c r="AO92" s="1381"/>
      <c r="AP92" s="1381"/>
      <c r="AQ92" s="1381"/>
      <c r="AR92" s="1381"/>
      <c r="AS92" s="1381"/>
      <c r="AT92" s="1393"/>
      <c r="AU92" s="1381"/>
      <c r="AV92" s="1381"/>
      <c r="AW92" s="1381"/>
      <c r="AX92" s="1381"/>
      <c r="AY92" s="1381"/>
      <c r="AZ92" s="1381"/>
      <c r="BA92" s="1381"/>
      <c r="BB92" s="1381"/>
      <c r="BC92" s="1381"/>
      <c r="BD92" s="1381"/>
      <c r="BE92" s="1381"/>
      <c r="BF92" s="1381"/>
      <c r="BG92" s="1381"/>
      <c r="BH92" s="1381"/>
      <c r="BI92" s="1381"/>
      <c r="BJ92" s="1381"/>
      <c r="BK92" s="1381"/>
      <c r="BL92" s="1381"/>
      <c r="BM92" s="1381"/>
      <c r="BN92" s="1381"/>
      <c r="BO92" s="1381"/>
      <c r="BP92" s="1381"/>
      <c r="BQ92" s="1381"/>
      <c r="BR92" s="1381"/>
      <c r="BS92" s="1381"/>
      <c r="BT92" s="1381"/>
      <c r="BU92" s="1381"/>
      <c r="BV92" s="1381"/>
      <c r="BW92" s="1381"/>
      <c r="BX92" s="1381"/>
      <c r="BY92" s="1381"/>
      <c r="BZ92" s="1381"/>
      <c r="CA92" s="1381"/>
      <c r="CB92" s="1381"/>
      <c r="CC92" s="1381"/>
      <c r="CD92" s="1381"/>
      <c r="CE92" s="1381"/>
      <c r="CF92" s="1381"/>
      <c r="CG92" s="1381"/>
      <c r="CH92" s="1381"/>
      <c r="CI92" s="1381"/>
      <c r="CJ92" s="1381"/>
      <c r="CK92" s="1381"/>
      <c r="CL92" s="1381"/>
      <c r="CM92" s="1381"/>
      <c r="CN92" s="1381"/>
      <c r="CO92" s="1393"/>
      <c r="CP92" s="1381"/>
      <c r="CQ92" s="1381"/>
      <c r="CR92" s="1381"/>
      <c r="CS92" s="1381"/>
      <c r="CT92" s="1381"/>
      <c r="CU92" s="1381"/>
      <c r="CV92" s="1381"/>
      <c r="CW92" s="1381"/>
      <c r="CX92" s="1381"/>
      <c r="CY92" s="1381"/>
      <c r="CZ92" s="1381"/>
      <c r="DA92" s="1381"/>
      <c r="DB92" s="1381"/>
      <c r="DC92" s="1381"/>
      <c r="DD92" s="1381"/>
      <c r="DE92" s="1381"/>
      <c r="DF92" s="1381"/>
      <c r="DG92" s="1381"/>
      <c r="DH92" s="1381"/>
      <c r="DI92" s="1381"/>
      <c r="DJ92" s="1381"/>
      <c r="DK92" s="1381"/>
      <c r="DL92" s="1381"/>
      <c r="DM92" s="1381"/>
      <c r="DN92" s="1381"/>
      <c r="DO92" s="1381"/>
      <c r="DP92" s="1381"/>
      <c r="DQ92" s="1381"/>
      <c r="DR92" s="1381"/>
      <c r="DS92" s="1381"/>
      <c r="DT92" s="1381"/>
      <c r="DU92" s="1381"/>
      <c r="DV92" s="1381"/>
      <c r="DW92" s="1381"/>
      <c r="DX92" s="1381"/>
      <c r="DY92" s="1381"/>
      <c r="DZ92" s="1381"/>
      <c r="EA92" s="1381"/>
      <c r="EB92" s="1381"/>
      <c r="EC92" s="1381"/>
      <c r="ED92" s="1381"/>
      <c r="EE92" s="1381"/>
      <c r="EF92" s="1381"/>
      <c r="EG92" s="1381"/>
      <c r="EH92" s="1381"/>
      <c r="EI92" s="1381"/>
      <c r="EJ92" s="1381"/>
      <c r="EK92" s="1381"/>
      <c r="EL92" s="1381"/>
      <c r="EM92" s="1381"/>
      <c r="EN92" s="1381"/>
      <c r="EO92" s="1381"/>
      <c r="EP92" s="1381"/>
      <c r="EQ92" s="1381"/>
      <c r="ER92" s="1381"/>
      <c r="ES92" s="1381"/>
      <c r="ET92" s="1381"/>
      <c r="EU92" s="1381"/>
      <c r="EV92" s="1381"/>
      <c r="EW92" s="1381"/>
      <c r="EX92" s="1381"/>
      <c r="EY92" s="1381"/>
      <c r="EZ92" s="1381"/>
      <c r="FA92" s="1381"/>
      <c r="FB92" s="1381"/>
      <c r="FC92" s="1381"/>
      <c r="FD92" s="1381"/>
      <c r="FE92" s="1381"/>
      <c r="FF92" s="1381"/>
      <c r="FG92" s="1381"/>
      <c r="FH92" s="1381"/>
      <c r="FI92" s="1381"/>
      <c r="FJ92" s="1381"/>
      <c r="FK92" s="1381"/>
      <c r="FL92" s="1381"/>
      <c r="FM92" s="1381"/>
      <c r="FN92" s="1381"/>
      <c r="FO92" s="1381"/>
      <c r="FP92" s="1381"/>
      <c r="FQ92" s="1381"/>
      <c r="FR92" s="1381"/>
      <c r="FS92" s="1381"/>
      <c r="FT92" s="1381"/>
      <c r="FU92" s="1381"/>
      <c r="FV92" s="1381"/>
      <c r="FW92" s="1381"/>
      <c r="FX92" s="1381"/>
      <c r="FY92" s="1381"/>
      <c r="FZ92" s="1381"/>
      <c r="GA92" s="1381"/>
      <c r="GB92" s="1381"/>
      <c r="GC92" s="1381"/>
      <c r="GD92" s="1381"/>
      <c r="GE92" s="1381"/>
      <c r="GF92" s="1381"/>
      <c r="GG92" s="1381"/>
      <c r="GH92" s="1381"/>
      <c r="GI92" s="1381"/>
      <c r="GJ92" s="1381"/>
      <c r="GK92" s="1381"/>
      <c r="GL92" s="1381"/>
      <c r="GM92" s="1381"/>
      <c r="GN92" s="1381"/>
      <c r="GO92" s="1381"/>
      <c r="GP92" s="1381"/>
      <c r="GQ92" s="1381"/>
      <c r="GR92" s="1381"/>
      <c r="GS92" s="1381"/>
      <c r="GT92" s="1381"/>
      <c r="GU92" s="1381"/>
      <c r="GV92" s="1381"/>
      <c r="GW92" s="1381"/>
      <c r="GX92" s="1381"/>
      <c r="GY92" s="1381"/>
      <c r="GZ92" s="1381"/>
      <c r="HA92" s="1381"/>
      <c r="HB92" s="1381"/>
      <c r="HC92" s="1381"/>
      <c r="HD92" s="1381"/>
      <c r="HE92" s="1381"/>
      <c r="HF92" s="1381"/>
      <c r="HG92" s="1381"/>
      <c r="HH92" s="1381"/>
      <c r="HI92" s="1381"/>
      <c r="HJ92" s="1381"/>
      <c r="HK92" s="1381"/>
      <c r="HL92" s="1381"/>
      <c r="HM92" s="1381"/>
      <c r="HN92" s="1381"/>
      <c r="HO92" s="1381"/>
      <c r="HP92" s="1381"/>
      <c r="HQ92" s="1388"/>
      <c r="HR92" s="1381"/>
      <c r="HS92" s="1381"/>
      <c r="HT92" s="1381"/>
      <c r="HU92" s="1381"/>
      <c r="HV92" s="1381"/>
      <c r="HW92" s="1381"/>
      <c r="HX92" s="1381"/>
      <c r="HY92" s="1381"/>
      <c r="HZ92" s="1381"/>
      <c r="IA92" s="1381"/>
      <c r="IB92" s="1381"/>
      <c r="IC92" s="1381"/>
      <c r="ID92" s="1381"/>
      <c r="IE92" s="1381"/>
      <c r="IF92" s="1381"/>
      <c r="IG92" s="1381"/>
      <c r="IH92" s="1381"/>
      <c r="II92" s="1381"/>
      <c r="IJ92" s="1381"/>
      <c r="IK92" s="1381"/>
      <c r="IL92" s="1381"/>
      <c r="IM92" s="1381"/>
      <c r="IN92" s="1381"/>
      <c r="IO92" s="1381"/>
      <c r="IP92" s="1381"/>
      <c r="IQ92" s="1381"/>
      <c r="IR92" s="1381"/>
      <c r="IS92" s="1381"/>
      <c r="IT92" s="1381"/>
      <c r="IU92" s="1381"/>
      <c r="IV92" s="1381"/>
      <c r="IW92" s="1381"/>
      <c r="IX92" s="1381"/>
      <c r="IY92" s="1381"/>
      <c r="IZ92" s="1381"/>
      <c r="JA92" s="1381"/>
      <c r="JB92" s="1381"/>
      <c r="JC92" s="1381"/>
      <c r="JD92" s="1381"/>
      <c r="JE92" s="1381"/>
      <c r="JF92" s="1381"/>
      <c r="JG92" s="1381"/>
      <c r="JH92" s="1381"/>
      <c r="JI92" s="1381"/>
      <c r="JJ92" s="1381"/>
      <c r="JK92" s="1381"/>
      <c r="JL92" s="1381"/>
      <c r="JM92" s="1381"/>
      <c r="JN92" s="1381"/>
      <c r="JO92" s="1381"/>
      <c r="JP92" s="1381"/>
      <c r="JQ92" s="2488"/>
      <c r="JR92" s="351"/>
      <c r="JS92" s="1389"/>
      <c r="JT92" s="1385"/>
    </row>
    <row r="93" spans="1:280" ht="12.5" x14ac:dyDescent="0.25">
      <c r="A93" s="1357">
        <v>10</v>
      </c>
      <c r="B93" s="1392" t="s">
        <v>1615</v>
      </c>
      <c r="C93" s="1359" t="s">
        <v>2389</v>
      </c>
      <c r="D93" s="1360"/>
      <c r="E93" s="1381"/>
      <c r="F93" s="1381"/>
      <c r="G93" s="1381"/>
      <c r="H93" s="1381"/>
      <c r="I93" s="1381"/>
      <c r="J93" s="1381"/>
      <c r="K93" s="1381"/>
      <c r="L93" s="1381"/>
      <c r="M93" s="1381"/>
      <c r="N93" s="1381"/>
      <c r="O93" s="1381"/>
      <c r="P93" s="1381"/>
      <c r="Q93" s="1381"/>
      <c r="R93" s="1381"/>
      <c r="S93" s="1381"/>
      <c r="T93" s="1381"/>
      <c r="U93" s="1381"/>
      <c r="V93" s="1381"/>
      <c r="W93" s="1381"/>
      <c r="X93" s="1381"/>
      <c r="Y93" s="1381"/>
      <c r="Z93" s="1381"/>
      <c r="AA93" s="1381"/>
      <c r="AB93" s="1381"/>
      <c r="AC93" s="1381"/>
      <c r="AD93" s="1381"/>
      <c r="AE93" s="1381"/>
      <c r="AF93" s="1381"/>
      <c r="AG93" s="1381"/>
      <c r="AH93" s="1381"/>
      <c r="AI93" s="1381"/>
      <c r="AJ93" s="1381"/>
      <c r="AK93" s="1381"/>
      <c r="AL93" s="1381"/>
      <c r="AM93" s="1381"/>
      <c r="AN93" s="1381"/>
      <c r="AO93" s="1381"/>
      <c r="AP93" s="1381"/>
      <c r="AQ93" s="1381"/>
      <c r="AR93" s="1381"/>
      <c r="AS93" s="1381"/>
      <c r="AT93" s="1393"/>
      <c r="AU93" s="1381"/>
      <c r="AV93" s="1381"/>
      <c r="AW93" s="1381"/>
      <c r="AX93" s="1381"/>
      <c r="AY93" s="1381"/>
      <c r="AZ93" s="1381"/>
      <c r="BA93" s="1381"/>
      <c r="BB93" s="1381"/>
      <c r="BC93" s="1381"/>
      <c r="BD93" s="1381"/>
      <c r="BE93" s="1381"/>
      <c r="BF93" s="1381"/>
      <c r="BG93" s="1381"/>
      <c r="BH93" s="1381"/>
      <c r="BI93" s="1381"/>
      <c r="BJ93" s="1381"/>
      <c r="BK93" s="1381"/>
      <c r="BL93" s="1381"/>
      <c r="BM93" s="1381"/>
      <c r="BN93" s="1381"/>
      <c r="BO93" s="1381"/>
      <c r="BP93" s="1381"/>
      <c r="BQ93" s="1381"/>
      <c r="BR93" s="1381"/>
      <c r="BS93" s="1381"/>
      <c r="BT93" s="1381"/>
      <c r="BU93" s="1381"/>
      <c r="BV93" s="1381"/>
      <c r="BW93" s="1381"/>
      <c r="BX93" s="1381"/>
      <c r="BY93" s="1381"/>
      <c r="BZ93" s="1381"/>
      <c r="CA93" s="1381"/>
      <c r="CB93" s="1381"/>
      <c r="CC93" s="1381"/>
      <c r="CD93" s="1381"/>
      <c r="CE93" s="1381"/>
      <c r="CF93" s="1381"/>
      <c r="CG93" s="1381"/>
      <c r="CH93" s="1381"/>
      <c r="CI93" s="1381"/>
      <c r="CJ93" s="1381"/>
      <c r="CK93" s="1381"/>
      <c r="CL93" s="1381"/>
      <c r="CM93" s="1381"/>
      <c r="CN93" s="1381"/>
      <c r="CO93" s="1393"/>
      <c r="CP93" s="1381"/>
      <c r="CQ93" s="1381"/>
      <c r="CR93" s="1381"/>
      <c r="CS93" s="1381"/>
      <c r="CT93" s="1381"/>
      <c r="CU93" s="1381"/>
      <c r="CV93" s="1381"/>
      <c r="CW93" s="1381"/>
      <c r="CX93" s="1381"/>
      <c r="CY93" s="1381"/>
      <c r="CZ93" s="1381"/>
      <c r="DA93" s="1381"/>
      <c r="DB93" s="1381"/>
      <c r="DC93" s="1381"/>
      <c r="DD93" s="1381"/>
      <c r="DE93" s="1381"/>
      <c r="DF93" s="1381"/>
      <c r="DG93" s="1381"/>
      <c r="DH93" s="1381"/>
      <c r="DI93" s="1381"/>
      <c r="DJ93" s="1381"/>
      <c r="DK93" s="1381"/>
      <c r="DL93" s="1381"/>
      <c r="DM93" s="1381"/>
      <c r="DN93" s="1381"/>
      <c r="DO93" s="1381"/>
      <c r="DP93" s="1381"/>
      <c r="DQ93" s="1381"/>
      <c r="DR93" s="1381"/>
      <c r="DS93" s="1381"/>
      <c r="DT93" s="1381"/>
      <c r="DU93" s="1381"/>
      <c r="DV93" s="1381"/>
      <c r="DW93" s="1381"/>
      <c r="DX93" s="1381"/>
      <c r="DY93" s="1381"/>
      <c r="DZ93" s="1381"/>
      <c r="EA93" s="1381"/>
      <c r="EB93" s="1381"/>
      <c r="EC93" s="1381"/>
      <c r="ED93" s="1381"/>
      <c r="EE93" s="1381"/>
      <c r="EF93" s="1381"/>
      <c r="EG93" s="1381"/>
      <c r="EH93" s="1381"/>
      <c r="EI93" s="1381"/>
      <c r="EJ93" s="1381"/>
      <c r="EK93" s="1381"/>
      <c r="EL93" s="1381"/>
      <c r="EM93" s="1381"/>
      <c r="EN93" s="1381"/>
      <c r="EO93" s="1381"/>
      <c r="EP93" s="1381"/>
      <c r="EQ93" s="1381"/>
      <c r="ER93" s="1381"/>
      <c r="ES93" s="1381"/>
      <c r="ET93" s="1381"/>
      <c r="EU93" s="1381"/>
      <c r="EV93" s="1381"/>
      <c r="EW93" s="1381"/>
      <c r="EX93" s="1381"/>
      <c r="EY93" s="1381"/>
      <c r="EZ93" s="1381"/>
      <c r="FA93" s="1381"/>
      <c r="FB93" s="1381"/>
      <c r="FC93" s="1381"/>
      <c r="FD93" s="1381"/>
      <c r="FE93" s="1381"/>
      <c r="FF93" s="1381"/>
      <c r="FG93" s="1381"/>
      <c r="FH93" s="1381"/>
      <c r="FI93" s="1381"/>
      <c r="FJ93" s="1381"/>
      <c r="FK93" s="1381"/>
      <c r="FL93" s="1381"/>
      <c r="FM93" s="1381"/>
      <c r="FN93" s="1381"/>
      <c r="FO93" s="1381"/>
      <c r="FP93" s="1381"/>
      <c r="FQ93" s="1381"/>
      <c r="FR93" s="1381"/>
      <c r="FS93" s="1381"/>
      <c r="FT93" s="1381"/>
      <c r="FU93" s="1381"/>
      <c r="FV93" s="1381"/>
      <c r="FW93" s="1381"/>
      <c r="FX93" s="1381"/>
      <c r="FY93" s="1381"/>
      <c r="FZ93" s="1381"/>
      <c r="GA93" s="1381"/>
      <c r="GB93" s="1381"/>
      <c r="GC93" s="1381"/>
      <c r="GD93" s="1381"/>
      <c r="GE93" s="1381"/>
      <c r="GF93" s="1381"/>
      <c r="GG93" s="1381"/>
      <c r="GH93" s="1381"/>
      <c r="GI93" s="1381"/>
      <c r="GJ93" s="1381"/>
      <c r="GK93" s="1381"/>
      <c r="GL93" s="1381"/>
      <c r="GM93" s="1381"/>
      <c r="GN93" s="1381"/>
      <c r="GO93" s="1381"/>
      <c r="GP93" s="1381"/>
      <c r="GQ93" s="1381"/>
      <c r="GR93" s="1381"/>
      <c r="GS93" s="1381"/>
      <c r="GT93" s="1381"/>
      <c r="GU93" s="1381"/>
      <c r="GV93" s="1381"/>
      <c r="GW93" s="1381"/>
      <c r="GX93" s="1381"/>
      <c r="GY93" s="1381"/>
      <c r="GZ93" s="1381"/>
      <c r="HA93" s="1381"/>
      <c r="HB93" s="1381"/>
      <c r="HC93" s="1381"/>
      <c r="HD93" s="1381"/>
      <c r="HE93" s="1381"/>
      <c r="HF93" s="1381"/>
      <c r="HG93" s="1381"/>
      <c r="HH93" s="1381"/>
      <c r="HI93" s="1381"/>
      <c r="HJ93" s="1381"/>
      <c r="HK93" s="1381"/>
      <c r="HL93" s="1381"/>
      <c r="HM93" s="1381"/>
      <c r="HN93" s="1381"/>
      <c r="HO93" s="1381"/>
      <c r="HP93" s="1381"/>
      <c r="HQ93" s="1388"/>
      <c r="HR93" s="1381"/>
      <c r="HS93" s="1381"/>
      <c r="HT93" s="1381"/>
      <c r="HU93" s="1381"/>
      <c r="HV93" s="1381"/>
      <c r="HW93" s="1381"/>
      <c r="HX93" s="1381"/>
      <c r="HY93" s="1381"/>
      <c r="HZ93" s="1381"/>
      <c r="IA93" s="1381"/>
      <c r="IB93" s="1381"/>
      <c r="IC93" s="1381"/>
      <c r="ID93" s="1381"/>
      <c r="IE93" s="1381"/>
      <c r="IF93" s="1381"/>
      <c r="IG93" s="1381"/>
      <c r="IH93" s="1381"/>
      <c r="II93" s="1381"/>
      <c r="IJ93" s="1381"/>
      <c r="IK93" s="1381"/>
      <c r="IL93" s="1381"/>
      <c r="IM93" s="1381"/>
      <c r="IN93" s="1381"/>
      <c r="IO93" s="1381"/>
      <c r="IP93" s="1381"/>
      <c r="IQ93" s="1381"/>
      <c r="IR93" s="1381"/>
      <c r="IS93" s="1381"/>
      <c r="IT93" s="1381"/>
      <c r="IU93" s="1381"/>
      <c r="IV93" s="1381"/>
      <c r="IW93" s="1381"/>
      <c r="IX93" s="1381"/>
      <c r="IY93" s="1381"/>
      <c r="IZ93" s="1381"/>
      <c r="JA93" s="1381"/>
      <c r="JB93" s="1381"/>
      <c r="JC93" s="1381"/>
      <c r="JD93" s="1381"/>
      <c r="JE93" s="1381"/>
      <c r="JF93" s="1381"/>
      <c r="JG93" s="1381"/>
      <c r="JH93" s="1381"/>
      <c r="JI93" s="1381"/>
      <c r="JJ93" s="1381"/>
      <c r="JK93" s="1381"/>
      <c r="JL93" s="1381"/>
      <c r="JM93" s="1381"/>
      <c r="JN93" s="1381"/>
      <c r="JO93" s="1381"/>
      <c r="JP93" s="1381"/>
      <c r="JQ93" s="2488"/>
      <c r="JR93" s="351"/>
      <c r="JS93" s="1389"/>
      <c r="JT93" s="1385"/>
    </row>
    <row r="94" spans="1:280" ht="12.5" x14ac:dyDescent="0.25">
      <c r="A94" s="1357">
        <v>11</v>
      </c>
      <c r="B94" s="1392" t="s">
        <v>1615</v>
      </c>
      <c r="C94" s="1359" t="s">
        <v>2390</v>
      </c>
      <c r="D94" s="1360"/>
      <c r="E94" s="1381"/>
      <c r="F94" s="1381"/>
      <c r="G94" s="1381"/>
      <c r="H94" s="1381"/>
      <c r="I94" s="1381"/>
      <c r="J94" s="1381"/>
      <c r="K94" s="1381"/>
      <c r="L94" s="1381"/>
      <c r="M94" s="1381"/>
      <c r="N94" s="1381"/>
      <c r="O94" s="1381"/>
      <c r="P94" s="1381"/>
      <c r="Q94" s="1381"/>
      <c r="R94" s="1381"/>
      <c r="S94" s="1381"/>
      <c r="T94" s="1381"/>
      <c r="U94" s="1381"/>
      <c r="V94" s="1381"/>
      <c r="W94" s="1381"/>
      <c r="X94" s="1381"/>
      <c r="Y94" s="1381"/>
      <c r="Z94" s="1381"/>
      <c r="AA94" s="1381"/>
      <c r="AB94" s="1381"/>
      <c r="AC94" s="1381"/>
      <c r="AD94" s="1381"/>
      <c r="AE94" s="1381"/>
      <c r="AF94" s="1381"/>
      <c r="AG94" s="1381"/>
      <c r="AH94" s="1381"/>
      <c r="AI94" s="1381"/>
      <c r="AJ94" s="1381"/>
      <c r="AK94" s="1381"/>
      <c r="AL94" s="1381"/>
      <c r="AM94" s="1381"/>
      <c r="AN94" s="1381"/>
      <c r="AO94" s="1381"/>
      <c r="AP94" s="1381"/>
      <c r="AQ94" s="1381"/>
      <c r="AR94" s="1381"/>
      <c r="AS94" s="1381"/>
      <c r="AT94" s="1393"/>
      <c r="AU94" s="1381"/>
      <c r="AV94" s="1381"/>
      <c r="AW94" s="1381"/>
      <c r="AX94" s="1381"/>
      <c r="AY94" s="1381"/>
      <c r="AZ94" s="1381"/>
      <c r="BA94" s="1381"/>
      <c r="BB94" s="1381"/>
      <c r="BC94" s="1381"/>
      <c r="BD94" s="1381"/>
      <c r="BE94" s="1381"/>
      <c r="BF94" s="1381"/>
      <c r="BG94" s="1381"/>
      <c r="BH94" s="1381"/>
      <c r="BI94" s="1381"/>
      <c r="BJ94" s="1381"/>
      <c r="BK94" s="1381"/>
      <c r="BL94" s="1381"/>
      <c r="BM94" s="1381"/>
      <c r="BN94" s="1381"/>
      <c r="BO94" s="1381"/>
      <c r="BP94" s="1381"/>
      <c r="BQ94" s="1381"/>
      <c r="BR94" s="1381"/>
      <c r="BS94" s="1381"/>
      <c r="BT94" s="1381"/>
      <c r="BU94" s="1381"/>
      <c r="BV94" s="1381"/>
      <c r="BW94" s="1381"/>
      <c r="BX94" s="1381"/>
      <c r="BY94" s="1381"/>
      <c r="BZ94" s="1381"/>
      <c r="CA94" s="1381"/>
      <c r="CB94" s="1381"/>
      <c r="CC94" s="1381"/>
      <c r="CD94" s="1381"/>
      <c r="CE94" s="1381"/>
      <c r="CF94" s="1381"/>
      <c r="CG94" s="1381"/>
      <c r="CH94" s="1381"/>
      <c r="CI94" s="1381"/>
      <c r="CJ94" s="1381"/>
      <c r="CK94" s="1381"/>
      <c r="CL94" s="1381"/>
      <c r="CM94" s="1381"/>
      <c r="CN94" s="1381"/>
      <c r="CO94" s="1393"/>
      <c r="CP94" s="1381"/>
      <c r="CQ94" s="1381"/>
      <c r="CR94" s="1381"/>
      <c r="CS94" s="1381"/>
      <c r="CT94" s="1381"/>
      <c r="CU94" s="1381"/>
      <c r="CV94" s="1381"/>
      <c r="CW94" s="1381"/>
      <c r="CX94" s="1381"/>
      <c r="CY94" s="1381"/>
      <c r="CZ94" s="1381"/>
      <c r="DA94" s="1381"/>
      <c r="DB94" s="1381"/>
      <c r="DC94" s="1381"/>
      <c r="DD94" s="1381"/>
      <c r="DE94" s="1381"/>
      <c r="DF94" s="1381"/>
      <c r="DG94" s="1381"/>
      <c r="DH94" s="1381"/>
      <c r="DI94" s="1381"/>
      <c r="DJ94" s="1381"/>
      <c r="DK94" s="1381"/>
      <c r="DL94" s="1381"/>
      <c r="DM94" s="1381"/>
      <c r="DN94" s="1381"/>
      <c r="DO94" s="1381"/>
      <c r="DP94" s="1381"/>
      <c r="DQ94" s="1381"/>
      <c r="DR94" s="1381"/>
      <c r="DS94" s="1381"/>
      <c r="DT94" s="1381"/>
      <c r="DU94" s="1381"/>
      <c r="DV94" s="1381"/>
      <c r="DW94" s="1381"/>
      <c r="DX94" s="1381"/>
      <c r="DY94" s="1381"/>
      <c r="DZ94" s="1381"/>
      <c r="EA94" s="1381"/>
      <c r="EB94" s="1381"/>
      <c r="EC94" s="1381"/>
      <c r="ED94" s="1381"/>
      <c r="EE94" s="1381"/>
      <c r="EF94" s="1381"/>
      <c r="EG94" s="1381"/>
      <c r="EH94" s="1381"/>
      <c r="EI94" s="1381"/>
      <c r="EJ94" s="1381"/>
      <c r="EK94" s="1381"/>
      <c r="EL94" s="1381"/>
      <c r="EM94" s="1381"/>
      <c r="EN94" s="1381"/>
      <c r="EO94" s="1381"/>
      <c r="EP94" s="1381"/>
      <c r="EQ94" s="1381"/>
      <c r="ER94" s="1381"/>
      <c r="ES94" s="1381"/>
      <c r="ET94" s="1381"/>
      <c r="EU94" s="1381"/>
      <c r="EV94" s="1381"/>
      <c r="EW94" s="1381"/>
      <c r="EX94" s="1381"/>
      <c r="EY94" s="1381"/>
      <c r="EZ94" s="1381"/>
      <c r="FA94" s="1381"/>
      <c r="FB94" s="1381"/>
      <c r="FC94" s="1381"/>
      <c r="FD94" s="1381"/>
      <c r="FE94" s="1381"/>
      <c r="FF94" s="1381"/>
      <c r="FG94" s="1381"/>
      <c r="FH94" s="1381"/>
      <c r="FI94" s="1381"/>
      <c r="FJ94" s="1381"/>
      <c r="FK94" s="1381"/>
      <c r="FL94" s="1381"/>
      <c r="FM94" s="1381"/>
      <c r="FN94" s="1381"/>
      <c r="FO94" s="1381"/>
      <c r="FP94" s="1381"/>
      <c r="FQ94" s="1381"/>
      <c r="FR94" s="1381"/>
      <c r="FS94" s="1381"/>
      <c r="FT94" s="1381"/>
      <c r="FU94" s="1381"/>
      <c r="FV94" s="1381"/>
      <c r="FW94" s="1381"/>
      <c r="FX94" s="1381"/>
      <c r="FY94" s="1381"/>
      <c r="FZ94" s="1381"/>
      <c r="GA94" s="1381"/>
      <c r="GB94" s="1381"/>
      <c r="GC94" s="1381"/>
      <c r="GD94" s="1381"/>
      <c r="GE94" s="1381"/>
      <c r="GF94" s="1381"/>
      <c r="GG94" s="1381"/>
      <c r="GH94" s="1381"/>
      <c r="GI94" s="1381"/>
      <c r="GJ94" s="1381"/>
      <c r="GK94" s="1381"/>
      <c r="GL94" s="1381"/>
      <c r="GM94" s="1381"/>
      <c r="GN94" s="1381"/>
      <c r="GO94" s="1381"/>
      <c r="GP94" s="1381"/>
      <c r="GQ94" s="1381"/>
      <c r="GR94" s="1381"/>
      <c r="GS94" s="1381"/>
      <c r="GT94" s="1381"/>
      <c r="GU94" s="1381"/>
      <c r="GV94" s="1381"/>
      <c r="GW94" s="1381"/>
      <c r="GX94" s="1381"/>
      <c r="GY94" s="1381"/>
      <c r="GZ94" s="1381"/>
      <c r="HA94" s="1381"/>
      <c r="HB94" s="1381"/>
      <c r="HC94" s="1381"/>
      <c r="HD94" s="1381"/>
      <c r="HE94" s="1381"/>
      <c r="HF94" s="1381"/>
      <c r="HG94" s="1381"/>
      <c r="HH94" s="1381"/>
      <c r="HI94" s="1381"/>
      <c r="HJ94" s="1381"/>
      <c r="HK94" s="1381"/>
      <c r="HL94" s="1381"/>
      <c r="HM94" s="1381"/>
      <c r="HN94" s="1381"/>
      <c r="HO94" s="1381"/>
      <c r="HP94" s="1381"/>
      <c r="HQ94" s="1388"/>
      <c r="HR94" s="1381"/>
      <c r="HS94" s="1381"/>
      <c r="HT94" s="1381"/>
      <c r="HU94" s="1381"/>
      <c r="HV94" s="1381"/>
      <c r="HW94" s="1381"/>
      <c r="HX94" s="1381"/>
      <c r="HY94" s="1381"/>
      <c r="HZ94" s="1381"/>
      <c r="IA94" s="1381"/>
      <c r="IB94" s="1381"/>
      <c r="IC94" s="1381"/>
      <c r="ID94" s="1381"/>
      <c r="IE94" s="1381"/>
      <c r="IF94" s="1381"/>
      <c r="IG94" s="1381"/>
      <c r="IH94" s="1381"/>
      <c r="II94" s="1381"/>
      <c r="IJ94" s="1381"/>
      <c r="IK94" s="1381"/>
      <c r="IL94" s="1381"/>
      <c r="IM94" s="1381"/>
      <c r="IN94" s="1381"/>
      <c r="IO94" s="1381"/>
      <c r="IP94" s="1381"/>
      <c r="IQ94" s="1381"/>
      <c r="IR94" s="1381"/>
      <c r="IS94" s="1381"/>
      <c r="IT94" s="1381"/>
      <c r="IU94" s="1381"/>
      <c r="IV94" s="1381"/>
      <c r="IW94" s="1381"/>
      <c r="IX94" s="1381"/>
      <c r="IY94" s="1381"/>
      <c r="IZ94" s="1381"/>
      <c r="JA94" s="1381"/>
      <c r="JB94" s="1381"/>
      <c r="JC94" s="1381"/>
      <c r="JD94" s="1381"/>
      <c r="JE94" s="1381"/>
      <c r="JF94" s="1381"/>
      <c r="JG94" s="1381"/>
      <c r="JH94" s="1381"/>
      <c r="JI94" s="1381"/>
      <c r="JJ94" s="1381"/>
      <c r="JK94" s="1381"/>
      <c r="JL94" s="1381"/>
      <c r="JM94" s="1381"/>
      <c r="JN94" s="1381"/>
      <c r="JO94" s="1381"/>
      <c r="JP94" s="1381"/>
      <c r="JQ94" s="2488"/>
      <c r="JR94" s="351"/>
      <c r="JS94" s="1389"/>
      <c r="JT94" s="1385"/>
    </row>
    <row r="95" spans="1:280" ht="12.5" x14ac:dyDescent="0.25">
      <c r="A95" s="1357">
        <v>12</v>
      </c>
      <c r="B95" s="1392" t="s">
        <v>1615</v>
      </c>
      <c r="C95" s="1359" t="s">
        <v>2391</v>
      </c>
      <c r="D95" s="1360"/>
      <c r="E95" s="1381"/>
      <c r="F95" s="1381"/>
      <c r="G95" s="1381"/>
      <c r="H95" s="1381"/>
      <c r="I95" s="1381"/>
      <c r="J95" s="1381"/>
      <c r="K95" s="1381"/>
      <c r="L95" s="1381"/>
      <c r="M95" s="1381"/>
      <c r="N95" s="1381"/>
      <c r="O95" s="1381"/>
      <c r="P95" s="1381"/>
      <c r="Q95" s="1381"/>
      <c r="R95" s="1381"/>
      <c r="S95" s="1381"/>
      <c r="T95" s="1381"/>
      <c r="U95" s="1381"/>
      <c r="V95" s="1381"/>
      <c r="W95" s="1381"/>
      <c r="X95" s="1381"/>
      <c r="Y95" s="1381"/>
      <c r="Z95" s="1381"/>
      <c r="AA95" s="1381"/>
      <c r="AB95" s="1381"/>
      <c r="AC95" s="1381"/>
      <c r="AD95" s="1381"/>
      <c r="AE95" s="1381"/>
      <c r="AF95" s="1381"/>
      <c r="AG95" s="1381"/>
      <c r="AH95" s="1381"/>
      <c r="AI95" s="1381"/>
      <c r="AJ95" s="1381"/>
      <c r="AK95" s="1381"/>
      <c r="AL95" s="1381"/>
      <c r="AM95" s="1381"/>
      <c r="AN95" s="1381"/>
      <c r="AO95" s="1381"/>
      <c r="AP95" s="1381"/>
      <c r="AQ95" s="1381"/>
      <c r="AR95" s="1381"/>
      <c r="AS95" s="1381"/>
      <c r="AT95" s="1393"/>
      <c r="AU95" s="1381"/>
      <c r="AV95" s="1381"/>
      <c r="AW95" s="1381"/>
      <c r="AX95" s="1381"/>
      <c r="AY95" s="1381"/>
      <c r="AZ95" s="1381"/>
      <c r="BA95" s="1381"/>
      <c r="BB95" s="1381"/>
      <c r="BC95" s="1381"/>
      <c r="BD95" s="1381"/>
      <c r="BE95" s="1381"/>
      <c r="BF95" s="1381"/>
      <c r="BG95" s="1381"/>
      <c r="BH95" s="1381"/>
      <c r="BI95" s="1381"/>
      <c r="BJ95" s="1381"/>
      <c r="BK95" s="1381"/>
      <c r="BL95" s="1381"/>
      <c r="BM95" s="1381"/>
      <c r="BN95" s="1381"/>
      <c r="BO95" s="1381"/>
      <c r="BP95" s="1381"/>
      <c r="BQ95" s="1381"/>
      <c r="BR95" s="1381"/>
      <c r="BS95" s="1381"/>
      <c r="BT95" s="1381"/>
      <c r="BU95" s="1381"/>
      <c r="BV95" s="1381"/>
      <c r="BW95" s="1381"/>
      <c r="BX95" s="1381"/>
      <c r="BY95" s="1381"/>
      <c r="BZ95" s="1381"/>
      <c r="CA95" s="1381"/>
      <c r="CB95" s="1381"/>
      <c r="CC95" s="1381"/>
      <c r="CD95" s="1381"/>
      <c r="CE95" s="1381"/>
      <c r="CF95" s="1381"/>
      <c r="CG95" s="1381"/>
      <c r="CH95" s="1381"/>
      <c r="CI95" s="1381"/>
      <c r="CJ95" s="1381"/>
      <c r="CK95" s="1381"/>
      <c r="CL95" s="1381"/>
      <c r="CM95" s="1381"/>
      <c r="CN95" s="1381"/>
      <c r="CO95" s="1393"/>
      <c r="CP95" s="1381"/>
      <c r="CQ95" s="1381"/>
      <c r="CR95" s="1381"/>
      <c r="CS95" s="1381"/>
      <c r="CT95" s="1381"/>
      <c r="CU95" s="1381"/>
      <c r="CV95" s="1381"/>
      <c r="CW95" s="1381"/>
      <c r="CX95" s="1381"/>
      <c r="CY95" s="1381"/>
      <c r="CZ95" s="1381"/>
      <c r="DA95" s="1381"/>
      <c r="DB95" s="1381"/>
      <c r="DC95" s="1381"/>
      <c r="DD95" s="1381"/>
      <c r="DE95" s="1381"/>
      <c r="DF95" s="1381"/>
      <c r="DG95" s="1381"/>
      <c r="DH95" s="1381"/>
      <c r="DI95" s="1381"/>
      <c r="DJ95" s="1381"/>
      <c r="DK95" s="1381"/>
      <c r="DL95" s="1381"/>
      <c r="DM95" s="1381"/>
      <c r="DN95" s="1381"/>
      <c r="DO95" s="1381"/>
      <c r="DP95" s="1381"/>
      <c r="DQ95" s="1381"/>
      <c r="DR95" s="1381"/>
      <c r="DS95" s="1381"/>
      <c r="DT95" s="1381"/>
      <c r="DU95" s="1381"/>
      <c r="DV95" s="1381"/>
      <c r="DW95" s="1381"/>
      <c r="DX95" s="1381"/>
      <c r="DY95" s="1381"/>
      <c r="DZ95" s="1381"/>
      <c r="EA95" s="1381"/>
      <c r="EB95" s="1381"/>
      <c r="EC95" s="1381"/>
      <c r="ED95" s="1381"/>
      <c r="EE95" s="1381"/>
      <c r="EF95" s="1381"/>
      <c r="EG95" s="1381"/>
      <c r="EH95" s="1381"/>
      <c r="EI95" s="1381"/>
      <c r="EJ95" s="1381"/>
      <c r="EK95" s="1381"/>
      <c r="EL95" s="1381"/>
      <c r="EM95" s="1381"/>
      <c r="EN95" s="1381"/>
      <c r="EO95" s="1381"/>
      <c r="EP95" s="1381"/>
      <c r="EQ95" s="1381"/>
      <c r="ER95" s="1381"/>
      <c r="ES95" s="1381"/>
      <c r="ET95" s="1381"/>
      <c r="EU95" s="1381"/>
      <c r="EV95" s="1381"/>
      <c r="EW95" s="1381"/>
      <c r="EX95" s="1381"/>
      <c r="EY95" s="1381"/>
      <c r="EZ95" s="1381"/>
      <c r="FA95" s="1381"/>
      <c r="FB95" s="1381"/>
      <c r="FC95" s="1381"/>
      <c r="FD95" s="1381"/>
      <c r="FE95" s="1381"/>
      <c r="FF95" s="1381"/>
      <c r="FG95" s="1381"/>
      <c r="FH95" s="1381"/>
      <c r="FI95" s="1381"/>
      <c r="FJ95" s="1381"/>
      <c r="FK95" s="1381"/>
      <c r="FL95" s="1381"/>
      <c r="FM95" s="1381"/>
      <c r="FN95" s="1381"/>
      <c r="FO95" s="1381"/>
      <c r="FP95" s="1381"/>
      <c r="FQ95" s="1381"/>
      <c r="FR95" s="1381"/>
      <c r="FS95" s="1381"/>
      <c r="FT95" s="1381"/>
      <c r="FU95" s="1381"/>
      <c r="FV95" s="1381"/>
      <c r="FW95" s="1381"/>
      <c r="FX95" s="1381"/>
      <c r="FY95" s="1381"/>
      <c r="FZ95" s="1381"/>
      <c r="GA95" s="1381"/>
      <c r="GB95" s="1381"/>
      <c r="GC95" s="1381"/>
      <c r="GD95" s="1381"/>
      <c r="GE95" s="1381"/>
      <c r="GF95" s="1381"/>
      <c r="GG95" s="1381"/>
      <c r="GH95" s="1381"/>
      <c r="GI95" s="1381"/>
      <c r="GJ95" s="1381"/>
      <c r="GK95" s="1381"/>
      <c r="GL95" s="1381"/>
      <c r="GM95" s="1381"/>
      <c r="GN95" s="1381"/>
      <c r="GO95" s="1381"/>
      <c r="GP95" s="1381"/>
      <c r="GQ95" s="1381"/>
      <c r="GR95" s="1381"/>
      <c r="GS95" s="1381"/>
      <c r="GT95" s="1381"/>
      <c r="GU95" s="1381"/>
      <c r="GV95" s="1381"/>
      <c r="GW95" s="1381"/>
      <c r="GX95" s="1381"/>
      <c r="GY95" s="1381"/>
      <c r="GZ95" s="1381"/>
      <c r="HA95" s="1381"/>
      <c r="HB95" s="1381"/>
      <c r="HC95" s="1381"/>
      <c r="HD95" s="1381"/>
      <c r="HE95" s="1381"/>
      <c r="HF95" s="1381"/>
      <c r="HG95" s="1381"/>
      <c r="HH95" s="1381"/>
      <c r="HI95" s="1381"/>
      <c r="HJ95" s="1381"/>
      <c r="HK95" s="1381"/>
      <c r="HL95" s="1381"/>
      <c r="HM95" s="1381"/>
      <c r="HN95" s="1381"/>
      <c r="HO95" s="1381"/>
      <c r="HP95" s="1381"/>
      <c r="HQ95" s="1388"/>
      <c r="HR95" s="1381"/>
      <c r="HS95" s="1381"/>
      <c r="HT95" s="1381"/>
      <c r="HU95" s="1381"/>
      <c r="HV95" s="1381"/>
      <c r="HW95" s="1381"/>
      <c r="HX95" s="1381"/>
      <c r="HY95" s="1381"/>
      <c r="HZ95" s="1381"/>
      <c r="IA95" s="1381"/>
      <c r="IB95" s="1381"/>
      <c r="IC95" s="1381"/>
      <c r="ID95" s="1381"/>
      <c r="IE95" s="1381"/>
      <c r="IF95" s="1381"/>
      <c r="IG95" s="1381"/>
      <c r="IH95" s="1381"/>
      <c r="II95" s="1381"/>
      <c r="IJ95" s="1381"/>
      <c r="IK95" s="1381"/>
      <c r="IL95" s="1381"/>
      <c r="IM95" s="1381"/>
      <c r="IN95" s="1381"/>
      <c r="IO95" s="1381"/>
      <c r="IP95" s="1381"/>
      <c r="IQ95" s="1381"/>
      <c r="IR95" s="1381"/>
      <c r="IS95" s="1381"/>
      <c r="IT95" s="1381"/>
      <c r="IU95" s="1381"/>
      <c r="IV95" s="1381"/>
      <c r="IW95" s="1381"/>
      <c r="IX95" s="1381"/>
      <c r="IY95" s="1381"/>
      <c r="IZ95" s="1381"/>
      <c r="JA95" s="1381"/>
      <c r="JB95" s="1381"/>
      <c r="JC95" s="1381"/>
      <c r="JD95" s="1381"/>
      <c r="JE95" s="1381"/>
      <c r="JF95" s="1381"/>
      <c r="JG95" s="1381"/>
      <c r="JH95" s="1381"/>
      <c r="JI95" s="1381"/>
      <c r="JJ95" s="1381"/>
      <c r="JK95" s="1381"/>
      <c r="JL95" s="1381"/>
      <c r="JM95" s="1381"/>
      <c r="JN95" s="1381"/>
      <c r="JO95" s="1381"/>
      <c r="JP95" s="1381"/>
      <c r="JQ95" s="2488"/>
      <c r="JR95" s="351"/>
      <c r="JS95" s="1389"/>
      <c r="JT95" s="1385"/>
    </row>
    <row r="96" spans="1:280" ht="12.5" x14ac:dyDescent="0.25">
      <c r="A96" s="1357">
        <v>13</v>
      </c>
      <c r="B96" s="1392"/>
      <c r="C96" s="1359" t="s">
        <v>2392</v>
      </c>
      <c r="D96" s="1360"/>
      <c r="E96" s="1381"/>
      <c r="F96" s="1381"/>
      <c r="G96" s="1381"/>
      <c r="H96" s="1381"/>
      <c r="I96" s="1381"/>
      <c r="J96" s="1381"/>
      <c r="K96" s="1381"/>
      <c r="L96" s="1381"/>
      <c r="M96" s="1381"/>
      <c r="N96" s="1381"/>
      <c r="O96" s="1381"/>
      <c r="P96" s="1381"/>
      <c r="Q96" s="1381"/>
      <c r="R96" s="1381"/>
      <c r="S96" s="1381"/>
      <c r="T96" s="1381"/>
      <c r="U96" s="1381"/>
      <c r="V96" s="1381"/>
      <c r="W96" s="1381"/>
      <c r="X96" s="1381"/>
      <c r="Y96" s="1381"/>
      <c r="Z96" s="1381"/>
      <c r="AA96" s="1381"/>
      <c r="AB96" s="1381"/>
      <c r="AC96" s="1381"/>
      <c r="AD96" s="1381"/>
      <c r="AE96" s="1381"/>
      <c r="AF96" s="1381"/>
      <c r="AG96" s="1381"/>
      <c r="AH96" s="1381"/>
      <c r="AI96" s="1381"/>
      <c r="AJ96" s="1381"/>
      <c r="AK96" s="1381"/>
      <c r="AL96" s="1381"/>
      <c r="AM96" s="1381"/>
      <c r="AN96" s="1381"/>
      <c r="AO96" s="1381"/>
      <c r="AP96" s="1381"/>
      <c r="AQ96" s="1381"/>
      <c r="AR96" s="1381"/>
      <c r="AS96" s="1381"/>
      <c r="AT96" s="1393"/>
      <c r="AU96" s="1381"/>
      <c r="AV96" s="1381"/>
      <c r="AW96" s="1381"/>
      <c r="AX96" s="1381"/>
      <c r="AY96" s="1381"/>
      <c r="AZ96" s="1381"/>
      <c r="BA96" s="1381"/>
      <c r="BB96" s="1381"/>
      <c r="BC96" s="1381"/>
      <c r="BD96" s="1381"/>
      <c r="BE96" s="1381"/>
      <c r="BF96" s="1381"/>
      <c r="BG96" s="1381"/>
      <c r="BH96" s="1381"/>
      <c r="BI96" s="1381"/>
      <c r="BJ96" s="1381"/>
      <c r="BK96" s="1381"/>
      <c r="BL96" s="1381"/>
      <c r="BM96" s="1381"/>
      <c r="BN96" s="1381"/>
      <c r="BO96" s="1381"/>
      <c r="BP96" s="1381"/>
      <c r="BQ96" s="1381"/>
      <c r="BR96" s="1381"/>
      <c r="BS96" s="1381"/>
      <c r="BT96" s="1381"/>
      <c r="BU96" s="1381"/>
      <c r="BV96" s="1381"/>
      <c r="BW96" s="1381"/>
      <c r="BX96" s="1381"/>
      <c r="BY96" s="1381"/>
      <c r="BZ96" s="1381"/>
      <c r="CA96" s="1381"/>
      <c r="CB96" s="1381"/>
      <c r="CC96" s="1381"/>
      <c r="CD96" s="1381"/>
      <c r="CE96" s="1381"/>
      <c r="CF96" s="1381"/>
      <c r="CG96" s="1381"/>
      <c r="CH96" s="1381"/>
      <c r="CI96" s="1381"/>
      <c r="CJ96" s="1381"/>
      <c r="CK96" s="1381"/>
      <c r="CL96" s="1381"/>
      <c r="CM96" s="1381"/>
      <c r="CN96" s="1381"/>
      <c r="CO96" s="1393"/>
      <c r="CP96" s="1381"/>
      <c r="CQ96" s="1381"/>
      <c r="CR96" s="1381"/>
      <c r="CS96" s="1381"/>
      <c r="CT96" s="1381"/>
      <c r="CU96" s="1381"/>
      <c r="CV96" s="1381"/>
      <c r="CW96" s="1381"/>
      <c r="CX96" s="1381"/>
      <c r="CY96" s="1381"/>
      <c r="CZ96" s="1381"/>
      <c r="DA96" s="1381"/>
      <c r="DB96" s="1381"/>
      <c r="DC96" s="1381"/>
      <c r="DD96" s="1381"/>
      <c r="DE96" s="1381"/>
      <c r="DF96" s="1381"/>
      <c r="DG96" s="1381"/>
      <c r="DH96" s="1381"/>
      <c r="DI96" s="1381"/>
      <c r="DJ96" s="1381"/>
      <c r="DK96" s="1381"/>
      <c r="DL96" s="1381"/>
      <c r="DM96" s="1381"/>
      <c r="DN96" s="1381"/>
      <c r="DO96" s="1381"/>
      <c r="DP96" s="1381"/>
      <c r="DQ96" s="1381"/>
      <c r="DR96" s="1381"/>
      <c r="DS96" s="1381"/>
      <c r="DT96" s="1381"/>
      <c r="DU96" s="1381"/>
      <c r="DV96" s="1381"/>
      <c r="DW96" s="1381"/>
      <c r="DX96" s="1381"/>
      <c r="DY96" s="1381"/>
      <c r="DZ96" s="1381"/>
      <c r="EA96" s="1381"/>
      <c r="EB96" s="1381"/>
      <c r="EC96" s="1381"/>
      <c r="ED96" s="1381"/>
      <c r="EE96" s="1381"/>
      <c r="EF96" s="1381"/>
      <c r="EG96" s="1381"/>
      <c r="EH96" s="1381"/>
      <c r="EI96" s="1381"/>
      <c r="EJ96" s="1381"/>
      <c r="EK96" s="1381"/>
      <c r="EL96" s="1381"/>
      <c r="EM96" s="1381"/>
      <c r="EN96" s="1381"/>
      <c r="EO96" s="1381"/>
      <c r="EP96" s="1381"/>
      <c r="EQ96" s="1381"/>
      <c r="ER96" s="1381"/>
      <c r="ES96" s="1381"/>
      <c r="ET96" s="1381"/>
      <c r="EU96" s="1381"/>
      <c r="EV96" s="1381"/>
      <c r="EW96" s="1381"/>
      <c r="EX96" s="1381"/>
      <c r="EY96" s="1381"/>
      <c r="EZ96" s="1381"/>
      <c r="FA96" s="1381"/>
      <c r="FB96" s="1381"/>
      <c r="FC96" s="1381"/>
      <c r="FD96" s="1381"/>
      <c r="FE96" s="1381"/>
      <c r="FF96" s="1381"/>
      <c r="FG96" s="1381"/>
      <c r="FH96" s="1381"/>
      <c r="FI96" s="1381"/>
      <c r="FJ96" s="1381"/>
      <c r="FK96" s="1381"/>
      <c r="FL96" s="1381"/>
      <c r="FM96" s="1381"/>
      <c r="FN96" s="1381"/>
      <c r="FO96" s="1381"/>
      <c r="FP96" s="1381"/>
      <c r="FQ96" s="1381"/>
      <c r="FR96" s="1381"/>
      <c r="FS96" s="1381"/>
      <c r="FT96" s="1381"/>
      <c r="FU96" s="1381"/>
      <c r="FV96" s="1381"/>
      <c r="FW96" s="1381"/>
      <c r="FX96" s="1381"/>
      <c r="FY96" s="1381"/>
      <c r="FZ96" s="1381"/>
      <c r="GA96" s="1381"/>
      <c r="GB96" s="1381"/>
      <c r="GC96" s="1381"/>
      <c r="GD96" s="1381"/>
      <c r="GE96" s="1381"/>
      <c r="GF96" s="1381"/>
      <c r="GG96" s="1381"/>
      <c r="GH96" s="1381"/>
      <c r="GI96" s="1381"/>
      <c r="GJ96" s="1381"/>
      <c r="GK96" s="1381"/>
      <c r="GL96" s="1381"/>
      <c r="GM96" s="1381"/>
      <c r="GN96" s="1381"/>
      <c r="GO96" s="1381"/>
      <c r="GP96" s="1381"/>
      <c r="GQ96" s="1381"/>
      <c r="GR96" s="1381"/>
      <c r="GS96" s="1381"/>
      <c r="GT96" s="1381"/>
      <c r="GU96" s="1381"/>
      <c r="GV96" s="1381"/>
      <c r="GW96" s="1381"/>
      <c r="GX96" s="1381"/>
      <c r="GY96" s="1381"/>
      <c r="GZ96" s="1381"/>
      <c r="HA96" s="1381"/>
      <c r="HB96" s="1381"/>
      <c r="HC96" s="1381"/>
      <c r="HD96" s="1381"/>
      <c r="HE96" s="1381"/>
      <c r="HF96" s="1381"/>
      <c r="HG96" s="1381"/>
      <c r="HH96" s="1381"/>
      <c r="HI96" s="1381"/>
      <c r="HJ96" s="1381"/>
      <c r="HK96" s="1381"/>
      <c r="HL96" s="1381"/>
      <c r="HM96" s="1381"/>
      <c r="HN96" s="1381"/>
      <c r="HO96" s="1381"/>
      <c r="HP96" s="1381"/>
      <c r="HQ96" s="1388"/>
      <c r="HR96" s="1381"/>
      <c r="HS96" s="1381"/>
      <c r="HT96" s="1381"/>
      <c r="HU96" s="1381"/>
      <c r="HV96" s="1381"/>
      <c r="HW96" s="1381"/>
      <c r="HX96" s="1381"/>
      <c r="HY96" s="1381"/>
      <c r="HZ96" s="1381"/>
      <c r="IA96" s="1381"/>
      <c r="IB96" s="1381"/>
      <c r="IC96" s="1381"/>
      <c r="ID96" s="1381"/>
      <c r="IE96" s="1381"/>
      <c r="IF96" s="1381"/>
      <c r="IG96" s="1381"/>
      <c r="IH96" s="1381"/>
      <c r="II96" s="1381"/>
      <c r="IJ96" s="1381"/>
      <c r="IK96" s="1381"/>
      <c r="IL96" s="1381"/>
      <c r="IM96" s="1381"/>
      <c r="IN96" s="1381"/>
      <c r="IO96" s="1381"/>
      <c r="IP96" s="1381"/>
      <c r="IQ96" s="1381"/>
      <c r="IR96" s="1381"/>
      <c r="IS96" s="1381"/>
      <c r="IT96" s="1381"/>
      <c r="IU96" s="1381"/>
      <c r="IV96" s="1381"/>
      <c r="IW96" s="1381"/>
      <c r="IX96" s="1381"/>
      <c r="IY96" s="1381"/>
      <c r="IZ96" s="1381"/>
      <c r="JA96" s="1381"/>
      <c r="JB96" s="1381"/>
      <c r="JC96" s="1381"/>
      <c r="JD96" s="1381"/>
      <c r="JE96" s="1381"/>
      <c r="JF96" s="1381"/>
      <c r="JG96" s="1381"/>
      <c r="JH96" s="1381"/>
      <c r="JI96" s="1381"/>
      <c r="JJ96" s="1381"/>
      <c r="JK96" s="1381"/>
      <c r="JL96" s="1381"/>
      <c r="JM96" s="1381"/>
      <c r="JN96" s="1381"/>
      <c r="JO96" s="1381"/>
      <c r="JP96" s="1381"/>
      <c r="JQ96" s="2488"/>
      <c r="JR96" s="351"/>
      <c r="JS96" s="1389"/>
      <c r="JT96" s="1385"/>
    </row>
    <row r="97" spans="1:280" ht="12.5" x14ac:dyDescent="0.25">
      <c r="A97" s="1357">
        <v>14</v>
      </c>
      <c r="B97" s="1392"/>
      <c r="C97" s="1359" t="s">
        <v>2393</v>
      </c>
      <c r="D97" s="1360"/>
      <c r="E97" s="1381"/>
      <c r="F97" s="1381"/>
      <c r="G97" s="1381"/>
      <c r="H97" s="1381"/>
      <c r="I97" s="1381"/>
      <c r="J97" s="1381"/>
      <c r="K97" s="1381"/>
      <c r="L97" s="1381"/>
      <c r="M97" s="1381"/>
      <c r="N97" s="1381"/>
      <c r="O97" s="1381"/>
      <c r="P97" s="1381"/>
      <c r="Q97" s="1381"/>
      <c r="R97" s="1381"/>
      <c r="S97" s="1381"/>
      <c r="T97" s="1381"/>
      <c r="U97" s="1381"/>
      <c r="V97" s="1381"/>
      <c r="W97" s="1381"/>
      <c r="X97" s="1381"/>
      <c r="Y97" s="1381"/>
      <c r="Z97" s="1381"/>
      <c r="AA97" s="1381"/>
      <c r="AB97" s="1381"/>
      <c r="AC97" s="1381"/>
      <c r="AD97" s="1381"/>
      <c r="AE97" s="1381"/>
      <c r="AF97" s="1381"/>
      <c r="AG97" s="1381"/>
      <c r="AH97" s="1381"/>
      <c r="AI97" s="1381"/>
      <c r="AJ97" s="1381"/>
      <c r="AK97" s="1381"/>
      <c r="AL97" s="1381"/>
      <c r="AM97" s="1381"/>
      <c r="AN97" s="1381"/>
      <c r="AO97" s="1381"/>
      <c r="AP97" s="1381"/>
      <c r="AQ97" s="1381"/>
      <c r="AR97" s="1381"/>
      <c r="AS97" s="1381"/>
      <c r="AT97" s="1393"/>
      <c r="AU97" s="1381"/>
      <c r="AV97" s="1381"/>
      <c r="AW97" s="1381"/>
      <c r="AX97" s="1381"/>
      <c r="AY97" s="1381"/>
      <c r="AZ97" s="1381"/>
      <c r="BA97" s="1381"/>
      <c r="BB97" s="1381"/>
      <c r="BC97" s="1381"/>
      <c r="BD97" s="1381"/>
      <c r="BE97" s="1381"/>
      <c r="BF97" s="1381"/>
      <c r="BG97" s="1381"/>
      <c r="BH97" s="1381"/>
      <c r="BI97" s="1381"/>
      <c r="BJ97" s="1381"/>
      <c r="BK97" s="1381"/>
      <c r="BL97" s="1381"/>
      <c r="BM97" s="1381"/>
      <c r="BN97" s="1381"/>
      <c r="BO97" s="1381"/>
      <c r="BP97" s="1381"/>
      <c r="BQ97" s="1381"/>
      <c r="BR97" s="1381"/>
      <c r="BS97" s="1381"/>
      <c r="BT97" s="1381"/>
      <c r="BU97" s="1381"/>
      <c r="BV97" s="1381"/>
      <c r="BW97" s="1381"/>
      <c r="BX97" s="1381"/>
      <c r="BY97" s="1381"/>
      <c r="BZ97" s="1381"/>
      <c r="CA97" s="1381"/>
      <c r="CB97" s="1381"/>
      <c r="CC97" s="1381"/>
      <c r="CD97" s="1381"/>
      <c r="CE97" s="1381"/>
      <c r="CF97" s="1381"/>
      <c r="CG97" s="1381"/>
      <c r="CH97" s="1381"/>
      <c r="CI97" s="1381"/>
      <c r="CJ97" s="1381"/>
      <c r="CK97" s="1381"/>
      <c r="CL97" s="1381"/>
      <c r="CM97" s="1381"/>
      <c r="CN97" s="1381"/>
      <c r="CO97" s="1393"/>
      <c r="CP97" s="1381"/>
      <c r="CQ97" s="1381"/>
      <c r="CR97" s="1381"/>
      <c r="CS97" s="1381"/>
      <c r="CT97" s="1381"/>
      <c r="CU97" s="1381"/>
      <c r="CV97" s="1381"/>
      <c r="CW97" s="1381"/>
      <c r="CX97" s="1381"/>
      <c r="CY97" s="1381"/>
      <c r="CZ97" s="1381"/>
      <c r="DA97" s="1381"/>
      <c r="DB97" s="1381"/>
      <c r="DC97" s="1381"/>
      <c r="DD97" s="1381"/>
      <c r="DE97" s="1381"/>
      <c r="DF97" s="1381"/>
      <c r="DG97" s="1381"/>
      <c r="DH97" s="1381"/>
      <c r="DI97" s="1381"/>
      <c r="DJ97" s="1381"/>
      <c r="DK97" s="1381"/>
      <c r="DL97" s="1381"/>
      <c r="DM97" s="1381"/>
      <c r="DN97" s="1381"/>
      <c r="DO97" s="1381"/>
      <c r="DP97" s="1381"/>
      <c r="DQ97" s="1381"/>
      <c r="DR97" s="1381"/>
      <c r="DS97" s="1381"/>
      <c r="DT97" s="1381"/>
      <c r="DU97" s="1381"/>
      <c r="DV97" s="1381"/>
      <c r="DW97" s="1381"/>
      <c r="DX97" s="1381"/>
      <c r="DY97" s="1381"/>
      <c r="DZ97" s="1381"/>
      <c r="EA97" s="1381"/>
      <c r="EB97" s="1381"/>
      <c r="EC97" s="1381"/>
      <c r="ED97" s="1381"/>
      <c r="EE97" s="1381"/>
      <c r="EF97" s="1381"/>
      <c r="EG97" s="1381"/>
      <c r="EH97" s="1381"/>
      <c r="EI97" s="1381"/>
      <c r="EJ97" s="1381"/>
      <c r="EK97" s="1381"/>
      <c r="EL97" s="1381"/>
      <c r="EM97" s="1381"/>
      <c r="EN97" s="1381"/>
      <c r="EO97" s="1381"/>
      <c r="EP97" s="1381"/>
      <c r="EQ97" s="1381"/>
      <c r="ER97" s="1381"/>
      <c r="ES97" s="1381"/>
      <c r="ET97" s="1381"/>
      <c r="EU97" s="1381"/>
      <c r="EV97" s="1381"/>
      <c r="EW97" s="1381"/>
      <c r="EX97" s="1381"/>
      <c r="EY97" s="1381"/>
      <c r="EZ97" s="1381"/>
      <c r="FA97" s="1381"/>
      <c r="FB97" s="1381"/>
      <c r="FC97" s="1381"/>
      <c r="FD97" s="1381"/>
      <c r="FE97" s="1381"/>
      <c r="FF97" s="1381"/>
      <c r="FG97" s="1381"/>
      <c r="FH97" s="1381"/>
      <c r="FI97" s="1381"/>
      <c r="FJ97" s="1381"/>
      <c r="FK97" s="1381"/>
      <c r="FL97" s="1381"/>
      <c r="FM97" s="1381"/>
      <c r="FN97" s="1381"/>
      <c r="FO97" s="1381"/>
      <c r="FP97" s="1381"/>
      <c r="FQ97" s="1381"/>
      <c r="FR97" s="1381"/>
      <c r="FS97" s="1381"/>
      <c r="FT97" s="1381"/>
      <c r="FU97" s="1381"/>
      <c r="FV97" s="1381"/>
      <c r="FW97" s="1381"/>
      <c r="FX97" s="1381"/>
      <c r="FY97" s="1381"/>
      <c r="FZ97" s="1381"/>
      <c r="GA97" s="1381"/>
      <c r="GB97" s="1381"/>
      <c r="GC97" s="1381"/>
      <c r="GD97" s="1381"/>
      <c r="GE97" s="1381"/>
      <c r="GF97" s="1381"/>
      <c r="GG97" s="1381"/>
      <c r="GH97" s="1381"/>
      <c r="GI97" s="1381"/>
      <c r="GJ97" s="1381"/>
      <c r="GK97" s="1381"/>
      <c r="GL97" s="1381"/>
      <c r="GM97" s="1381"/>
      <c r="GN97" s="1381"/>
      <c r="GO97" s="1381"/>
      <c r="GP97" s="1381"/>
      <c r="GQ97" s="1381"/>
      <c r="GR97" s="1381"/>
      <c r="GS97" s="1381"/>
      <c r="GT97" s="1381"/>
      <c r="GU97" s="1381"/>
      <c r="GV97" s="1381"/>
      <c r="GW97" s="1381"/>
      <c r="GX97" s="1381"/>
      <c r="GY97" s="1381"/>
      <c r="GZ97" s="1381"/>
      <c r="HA97" s="1381"/>
      <c r="HB97" s="1381"/>
      <c r="HC97" s="1381"/>
      <c r="HD97" s="1381"/>
      <c r="HE97" s="1381"/>
      <c r="HF97" s="1381"/>
      <c r="HG97" s="1381"/>
      <c r="HH97" s="1381"/>
      <c r="HI97" s="1381"/>
      <c r="HJ97" s="1381"/>
      <c r="HK97" s="1381"/>
      <c r="HL97" s="1381"/>
      <c r="HM97" s="1381"/>
      <c r="HN97" s="1381"/>
      <c r="HO97" s="1381"/>
      <c r="HP97" s="1381"/>
      <c r="HQ97" s="1388"/>
      <c r="HR97" s="1381"/>
      <c r="HS97" s="1381"/>
      <c r="HT97" s="1381"/>
      <c r="HU97" s="1381"/>
      <c r="HV97" s="1381"/>
      <c r="HW97" s="1381"/>
      <c r="HX97" s="1381"/>
      <c r="HY97" s="1381"/>
      <c r="HZ97" s="1381"/>
      <c r="IA97" s="1381"/>
      <c r="IB97" s="1381"/>
      <c r="IC97" s="1381"/>
      <c r="ID97" s="1381"/>
      <c r="IE97" s="1381"/>
      <c r="IF97" s="1381"/>
      <c r="IG97" s="1381"/>
      <c r="IH97" s="1381"/>
      <c r="II97" s="1381"/>
      <c r="IJ97" s="1381"/>
      <c r="IK97" s="1381"/>
      <c r="IL97" s="1381"/>
      <c r="IM97" s="1381"/>
      <c r="IN97" s="1381"/>
      <c r="IO97" s="1381"/>
      <c r="IP97" s="1381"/>
      <c r="IQ97" s="1381"/>
      <c r="IR97" s="1381"/>
      <c r="IS97" s="1381"/>
      <c r="IT97" s="1381"/>
      <c r="IU97" s="1381"/>
      <c r="IV97" s="1381"/>
      <c r="IW97" s="1381"/>
      <c r="IX97" s="1381"/>
      <c r="IY97" s="1381"/>
      <c r="IZ97" s="1381"/>
      <c r="JA97" s="1381"/>
      <c r="JB97" s="1381"/>
      <c r="JC97" s="1381"/>
      <c r="JD97" s="1381"/>
      <c r="JE97" s="1381"/>
      <c r="JF97" s="1381"/>
      <c r="JG97" s="1381"/>
      <c r="JH97" s="1381"/>
      <c r="JI97" s="1381"/>
      <c r="JJ97" s="1381"/>
      <c r="JK97" s="1381"/>
      <c r="JL97" s="1381"/>
      <c r="JM97" s="1381"/>
      <c r="JN97" s="1381"/>
      <c r="JO97" s="1381"/>
      <c r="JP97" s="1381"/>
      <c r="JQ97" s="2488"/>
      <c r="JR97" s="351"/>
      <c r="JS97" s="1389"/>
      <c r="JT97" s="1385"/>
    </row>
    <row r="98" spans="1:280" ht="12.5" x14ac:dyDescent="0.25">
      <c r="A98" s="1357">
        <v>15</v>
      </c>
      <c r="B98" s="1392"/>
      <c r="C98" s="1359" t="s">
        <v>2394</v>
      </c>
      <c r="D98" s="1360"/>
      <c r="E98" s="1381"/>
      <c r="F98" s="1381"/>
      <c r="G98" s="1381"/>
      <c r="H98" s="1381"/>
      <c r="I98" s="1381"/>
      <c r="J98" s="1381"/>
      <c r="K98" s="1381"/>
      <c r="L98" s="1381"/>
      <c r="M98" s="1381"/>
      <c r="N98" s="1381"/>
      <c r="O98" s="1381"/>
      <c r="P98" s="1381"/>
      <c r="Q98" s="1381"/>
      <c r="R98" s="1381"/>
      <c r="S98" s="1381"/>
      <c r="T98" s="1381"/>
      <c r="U98" s="1381"/>
      <c r="V98" s="1381"/>
      <c r="W98" s="1381"/>
      <c r="X98" s="1381"/>
      <c r="Y98" s="1381"/>
      <c r="Z98" s="1381"/>
      <c r="AA98" s="1381"/>
      <c r="AB98" s="1381"/>
      <c r="AC98" s="1381"/>
      <c r="AD98" s="1381"/>
      <c r="AE98" s="1381"/>
      <c r="AF98" s="1381"/>
      <c r="AG98" s="1381"/>
      <c r="AH98" s="1381"/>
      <c r="AI98" s="1381"/>
      <c r="AJ98" s="1381"/>
      <c r="AK98" s="1381"/>
      <c r="AL98" s="1381"/>
      <c r="AM98" s="1381"/>
      <c r="AN98" s="1381"/>
      <c r="AO98" s="1381"/>
      <c r="AP98" s="1381"/>
      <c r="AQ98" s="1381"/>
      <c r="AR98" s="1381"/>
      <c r="AS98" s="1381"/>
      <c r="AT98" s="1393"/>
      <c r="AU98" s="1381"/>
      <c r="AV98" s="1381"/>
      <c r="AW98" s="1381"/>
      <c r="AX98" s="1381"/>
      <c r="AY98" s="1381"/>
      <c r="AZ98" s="1381"/>
      <c r="BA98" s="1381"/>
      <c r="BB98" s="1381"/>
      <c r="BC98" s="1381"/>
      <c r="BD98" s="1381"/>
      <c r="BE98" s="1381"/>
      <c r="BF98" s="1381"/>
      <c r="BG98" s="1381"/>
      <c r="BH98" s="1381"/>
      <c r="BI98" s="1381"/>
      <c r="BJ98" s="1381"/>
      <c r="BK98" s="1381"/>
      <c r="BL98" s="1381"/>
      <c r="BM98" s="1381"/>
      <c r="BN98" s="1381"/>
      <c r="BO98" s="1381"/>
      <c r="BP98" s="1381"/>
      <c r="BQ98" s="1381"/>
      <c r="BR98" s="1381"/>
      <c r="BS98" s="1381"/>
      <c r="BT98" s="1381"/>
      <c r="BU98" s="1381"/>
      <c r="BV98" s="1381"/>
      <c r="BW98" s="1381"/>
      <c r="BX98" s="1381"/>
      <c r="BY98" s="1381"/>
      <c r="BZ98" s="1381"/>
      <c r="CA98" s="1381"/>
      <c r="CB98" s="1381"/>
      <c r="CC98" s="1381"/>
      <c r="CD98" s="1381"/>
      <c r="CE98" s="1381"/>
      <c r="CF98" s="1381"/>
      <c r="CG98" s="1381"/>
      <c r="CH98" s="1381"/>
      <c r="CI98" s="1381"/>
      <c r="CJ98" s="1381"/>
      <c r="CK98" s="1381"/>
      <c r="CL98" s="1381"/>
      <c r="CM98" s="1381"/>
      <c r="CN98" s="1381"/>
      <c r="CO98" s="1393"/>
      <c r="CP98" s="1381"/>
      <c r="CQ98" s="1381"/>
      <c r="CR98" s="1381"/>
      <c r="CS98" s="1381"/>
      <c r="CT98" s="1381"/>
      <c r="CU98" s="1381"/>
      <c r="CV98" s="1381"/>
      <c r="CW98" s="1381"/>
      <c r="CX98" s="1381"/>
      <c r="CY98" s="1381"/>
      <c r="CZ98" s="1381"/>
      <c r="DA98" s="1381"/>
      <c r="DB98" s="1381"/>
      <c r="DC98" s="1381"/>
      <c r="DD98" s="1381"/>
      <c r="DE98" s="1381"/>
      <c r="DF98" s="1381"/>
      <c r="DG98" s="1381"/>
      <c r="DH98" s="1381"/>
      <c r="DI98" s="1381"/>
      <c r="DJ98" s="1381"/>
      <c r="DK98" s="1381"/>
      <c r="DL98" s="1381"/>
      <c r="DM98" s="1381"/>
      <c r="DN98" s="1381"/>
      <c r="DO98" s="1381"/>
      <c r="DP98" s="1381"/>
      <c r="DQ98" s="1381"/>
      <c r="DR98" s="1381"/>
      <c r="DS98" s="1381"/>
      <c r="DT98" s="1381"/>
      <c r="DU98" s="1381"/>
      <c r="DV98" s="1381"/>
      <c r="DW98" s="1381"/>
      <c r="DX98" s="1381"/>
      <c r="DY98" s="1381"/>
      <c r="DZ98" s="1381"/>
      <c r="EA98" s="1381"/>
      <c r="EB98" s="1381"/>
      <c r="EC98" s="1381"/>
      <c r="ED98" s="1381"/>
      <c r="EE98" s="1381"/>
      <c r="EF98" s="1381"/>
      <c r="EG98" s="1381"/>
      <c r="EH98" s="1381"/>
      <c r="EI98" s="1381"/>
      <c r="EJ98" s="1381"/>
      <c r="EK98" s="1381"/>
      <c r="EL98" s="1381"/>
      <c r="EM98" s="1381"/>
      <c r="EN98" s="1381"/>
      <c r="EO98" s="1381"/>
      <c r="EP98" s="1381"/>
      <c r="EQ98" s="1381"/>
      <c r="ER98" s="1381"/>
      <c r="ES98" s="1381"/>
      <c r="ET98" s="1381"/>
      <c r="EU98" s="1381"/>
      <c r="EV98" s="1381"/>
      <c r="EW98" s="1381"/>
      <c r="EX98" s="1381"/>
      <c r="EY98" s="1381"/>
      <c r="EZ98" s="1381"/>
      <c r="FA98" s="1381"/>
      <c r="FB98" s="1381"/>
      <c r="FC98" s="1381"/>
      <c r="FD98" s="1381"/>
      <c r="FE98" s="1381"/>
      <c r="FF98" s="1381"/>
      <c r="FG98" s="1381"/>
      <c r="FH98" s="1381"/>
      <c r="FI98" s="1381"/>
      <c r="FJ98" s="1381"/>
      <c r="FK98" s="1381"/>
      <c r="FL98" s="1381"/>
      <c r="FM98" s="1381"/>
      <c r="FN98" s="1381"/>
      <c r="FO98" s="1381"/>
      <c r="FP98" s="1381"/>
      <c r="FQ98" s="1381"/>
      <c r="FR98" s="1381"/>
      <c r="FS98" s="1381"/>
      <c r="FT98" s="1381"/>
      <c r="FU98" s="1381"/>
      <c r="FV98" s="1381"/>
      <c r="FW98" s="1381"/>
      <c r="FX98" s="1381"/>
      <c r="FY98" s="1381"/>
      <c r="FZ98" s="1381"/>
      <c r="GA98" s="1381"/>
      <c r="GB98" s="1381"/>
      <c r="GC98" s="1381"/>
      <c r="GD98" s="1381"/>
      <c r="GE98" s="1381"/>
      <c r="GF98" s="1381"/>
      <c r="GG98" s="1381"/>
      <c r="GH98" s="1381"/>
      <c r="GI98" s="1381"/>
      <c r="GJ98" s="1381"/>
      <c r="GK98" s="1381"/>
      <c r="GL98" s="1381"/>
      <c r="GM98" s="1381"/>
      <c r="GN98" s="1381"/>
      <c r="GO98" s="1381"/>
      <c r="GP98" s="1381"/>
      <c r="GQ98" s="1381"/>
      <c r="GR98" s="1381"/>
      <c r="GS98" s="1381"/>
      <c r="GT98" s="1381"/>
      <c r="GU98" s="1381"/>
      <c r="GV98" s="1381"/>
      <c r="GW98" s="1381"/>
      <c r="GX98" s="1381"/>
      <c r="GY98" s="1381"/>
      <c r="GZ98" s="1381"/>
      <c r="HA98" s="1381"/>
      <c r="HB98" s="1381"/>
      <c r="HC98" s="1381"/>
      <c r="HD98" s="1381"/>
      <c r="HE98" s="1381"/>
      <c r="HF98" s="1381"/>
      <c r="HG98" s="1381"/>
      <c r="HH98" s="1381"/>
      <c r="HI98" s="1381"/>
      <c r="HJ98" s="1381"/>
      <c r="HK98" s="1381"/>
      <c r="HL98" s="1381"/>
      <c r="HM98" s="1381"/>
      <c r="HN98" s="1381"/>
      <c r="HO98" s="1381"/>
      <c r="HP98" s="1381"/>
      <c r="HQ98" s="1388"/>
      <c r="HR98" s="1381"/>
      <c r="HS98" s="1381"/>
      <c r="HT98" s="1381"/>
      <c r="HU98" s="1381"/>
      <c r="HV98" s="1381"/>
      <c r="HW98" s="1381"/>
      <c r="HX98" s="1381"/>
      <c r="HY98" s="1381"/>
      <c r="HZ98" s="1381"/>
      <c r="IA98" s="1381"/>
      <c r="IB98" s="1381"/>
      <c r="IC98" s="1381"/>
      <c r="ID98" s="1381"/>
      <c r="IE98" s="1381"/>
      <c r="IF98" s="1381"/>
      <c r="IG98" s="1381"/>
      <c r="IH98" s="1381"/>
      <c r="II98" s="1381"/>
      <c r="IJ98" s="1381"/>
      <c r="IK98" s="1381"/>
      <c r="IL98" s="1381"/>
      <c r="IM98" s="1381"/>
      <c r="IN98" s="1381"/>
      <c r="IO98" s="1381"/>
      <c r="IP98" s="1381"/>
      <c r="IQ98" s="1381"/>
      <c r="IR98" s="1381"/>
      <c r="IS98" s="1381"/>
      <c r="IT98" s="1381"/>
      <c r="IU98" s="1381"/>
      <c r="IV98" s="1381"/>
      <c r="IW98" s="1381"/>
      <c r="IX98" s="1381"/>
      <c r="IY98" s="1381"/>
      <c r="IZ98" s="1381"/>
      <c r="JA98" s="1381"/>
      <c r="JB98" s="1381"/>
      <c r="JC98" s="1381"/>
      <c r="JD98" s="1381"/>
      <c r="JE98" s="1381"/>
      <c r="JF98" s="1381"/>
      <c r="JG98" s="1381"/>
      <c r="JH98" s="1381"/>
      <c r="JI98" s="1381"/>
      <c r="JJ98" s="1381"/>
      <c r="JK98" s="1381"/>
      <c r="JL98" s="1381"/>
      <c r="JM98" s="1381"/>
      <c r="JN98" s="1381"/>
      <c r="JO98" s="1381"/>
      <c r="JP98" s="1381"/>
      <c r="JQ98" s="2488"/>
      <c r="JR98" s="351"/>
      <c r="JS98" s="1389"/>
      <c r="JT98" s="1385"/>
    </row>
    <row r="99" spans="1:280" ht="12.5" x14ac:dyDescent="0.25">
      <c r="A99" s="1357">
        <v>16</v>
      </c>
      <c r="B99" s="1392"/>
      <c r="C99" s="1359" t="s">
        <v>2395</v>
      </c>
      <c r="D99" s="1360"/>
      <c r="E99" s="1381"/>
      <c r="F99" s="1381"/>
      <c r="G99" s="1381"/>
      <c r="H99" s="1381"/>
      <c r="I99" s="1381"/>
      <c r="J99" s="1381"/>
      <c r="K99" s="1381"/>
      <c r="L99" s="1381"/>
      <c r="M99" s="1381"/>
      <c r="N99" s="1381"/>
      <c r="O99" s="1381"/>
      <c r="P99" s="1381"/>
      <c r="Q99" s="1381"/>
      <c r="R99" s="1381"/>
      <c r="S99" s="1381"/>
      <c r="T99" s="1381"/>
      <c r="U99" s="1381"/>
      <c r="V99" s="1381"/>
      <c r="W99" s="1381"/>
      <c r="X99" s="1381"/>
      <c r="Y99" s="1381"/>
      <c r="Z99" s="1381"/>
      <c r="AA99" s="1381"/>
      <c r="AB99" s="1381"/>
      <c r="AC99" s="1381"/>
      <c r="AD99" s="1381"/>
      <c r="AE99" s="1381"/>
      <c r="AF99" s="1381"/>
      <c r="AG99" s="1381"/>
      <c r="AH99" s="1381"/>
      <c r="AI99" s="1381"/>
      <c r="AJ99" s="1381"/>
      <c r="AK99" s="1381"/>
      <c r="AL99" s="1381"/>
      <c r="AM99" s="1381"/>
      <c r="AN99" s="1381"/>
      <c r="AO99" s="1381"/>
      <c r="AP99" s="1381"/>
      <c r="AQ99" s="1381"/>
      <c r="AR99" s="1381"/>
      <c r="AS99" s="1381"/>
      <c r="AT99" s="1393"/>
      <c r="AU99" s="1381"/>
      <c r="AV99" s="1381"/>
      <c r="AW99" s="1381"/>
      <c r="AX99" s="1381"/>
      <c r="AY99" s="1381"/>
      <c r="AZ99" s="1381"/>
      <c r="BA99" s="1381"/>
      <c r="BB99" s="1381"/>
      <c r="BC99" s="1381"/>
      <c r="BD99" s="1381"/>
      <c r="BE99" s="1381"/>
      <c r="BF99" s="1381"/>
      <c r="BG99" s="1381"/>
      <c r="BH99" s="1381"/>
      <c r="BI99" s="1381"/>
      <c r="BJ99" s="1381"/>
      <c r="BK99" s="1381"/>
      <c r="BL99" s="1381"/>
      <c r="BM99" s="1381"/>
      <c r="BN99" s="1381"/>
      <c r="BO99" s="1381"/>
      <c r="BP99" s="1381"/>
      <c r="BQ99" s="1381"/>
      <c r="BR99" s="1381"/>
      <c r="BS99" s="1381"/>
      <c r="BT99" s="1381"/>
      <c r="BU99" s="1381"/>
      <c r="BV99" s="1381"/>
      <c r="BW99" s="1381"/>
      <c r="BX99" s="1381"/>
      <c r="BY99" s="1381"/>
      <c r="BZ99" s="1381"/>
      <c r="CA99" s="1381"/>
      <c r="CB99" s="1381"/>
      <c r="CC99" s="1381"/>
      <c r="CD99" s="1381"/>
      <c r="CE99" s="1381"/>
      <c r="CF99" s="1381"/>
      <c r="CG99" s="1381"/>
      <c r="CH99" s="1381"/>
      <c r="CI99" s="1381"/>
      <c r="CJ99" s="1381"/>
      <c r="CK99" s="1381"/>
      <c r="CL99" s="1381"/>
      <c r="CM99" s="1381"/>
      <c r="CN99" s="1381"/>
      <c r="CO99" s="1393"/>
      <c r="CP99" s="1381"/>
      <c r="CQ99" s="1381"/>
      <c r="CR99" s="1381"/>
      <c r="CS99" s="1381"/>
      <c r="CT99" s="1381"/>
      <c r="CU99" s="1381"/>
      <c r="CV99" s="1381"/>
      <c r="CW99" s="1381"/>
      <c r="CX99" s="1381"/>
      <c r="CY99" s="1381"/>
      <c r="CZ99" s="1381"/>
      <c r="DA99" s="1381"/>
      <c r="DB99" s="1381"/>
      <c r="DC99" s="1381"/>
      <c r="DD99" s="1381"/>
      <c r="DE99" s="1381"/>
      <c r="DF99" s="1381"/>
      <c r="DG99" s="1381"/>
      <c r="DH99" s="1381"/>
      <c r="DI99" s="1381"/>
      <c r="DJ99" s="1381"/>
      <c r="DK99" s="1381"/>
      <c r="DL99" s="1381"/>
      <c r="DM99" s="1381"/>
      <c r="DN99" s="1381"/>
      <c r="DO99" s="1381"/>
      <c r="DP99" s="1381"/>
      <c r="DQ99" s="1381"/>
      <c r="DR99" s="1381"/>
      <c r="DS99" s="1381"/>
      <c r="DT99" s="1381"/>
      <c r="DU99" s="1381"/>
      <c r="DV99" s="1381"/>
      <c r="DW99" s="1381"/>
      <c r="DX99" s="1381"/>
      <c r="DY99" s="1381"/>
      <c r="DZ99" s="1381"/>
      <c r="EA99" s="1381"/>
      <c r="EB99" s="1381"/>
      <c r="EC99" s="1381"/>
      <c r="ED99" s="1381"/>
      <c r="EE99" s="1381"/>
      <c r="EF99" s="1381"/>
      <c r="EG99" s="1381"/>
      <c r="EH99" s="1381"/>
      <c r="EI99" s="1381"/>
      <c r="EJ99" s="1381"/>
      <c r="EK99" s="1381"/>
      <c r="EL99" s="1381"/>
      <c r="EM99" s="1381"/>
      <c r="EN99" s="1381"/>
      <c r="EO99" s="1381"/>
      <c r="EP99" s="1381"/>
      <c r="EQ99" s="1381"/>
      <c r="ER99" s="1381"/>
      <c r="ES99" s="1381"/>
      <c r="ET99" s="1381"/>
      <c r="EU99" s="1381"/>
      <c r="EV99" s="1381"/>
      <c r="EW99" s="1381"/>
      <c r="EX99" s="1381"/>
      <c r="EY99" s="1381"/>
      <c r="EZ99" s="1381"/>
      <c r="FA99" s="1381"/>
      <c r="FB99" s="1381"/>
      <c r="FC99" s="1381"/>
      <c r="FD99" s="1381"/>
      <c r="FE99" s="1381"/>
      <c r="FF99" s="1381"/>
      <c r="FG99" s="1381"/>
      <c r="FH99" s="1381"/>
      <c r="FI99" s="1381"/>
      <c r="FJ99" s="1381"/>
      <c r="FK99" s="1381"/>
      <c r="FL99" s="1381"/>
      <c r="FM99" s="1381"/>
      <c r="FN99" s="1381"/>
      <c r="FO99" s="1381"/>
      <c r="FP99" s="1381"/>
      <c r="FQ99" s="1381"/>
      <c r="FR99" s="1381"/>
      <c r="FS99" s="1381"/>
      <c r="FT99" s="1381"/>
      <c r="FU99" s="1381"/>
      <c r="FV99" s="1381"/>
      <c r="FW99" s="1381"/>
      <c r="FX99" s="1381"/>
      <c r="FY99" s="1381"/>
      <c r="FZ99" s="1381"/>
      <c r="GA99" s="1381"/>
      <c r="GB99" s="1381"/>
      <c r="GC99" s="1381"/>
      <c r="GD99" s="1381"/>
      <c r="GE99" s="1381"/>
      <c r="GF99" s="1381"/>
      <c r="GG99" s="1381"/>
      <c r="GH99" s="1381"/>
      <c r="GI99" s="1381"/>
      <c r="GJ99" s="1381"/>
      <c r="GK99" s="1381"/>
      <c r="GL99" s="1381"/>
      <c r="GM99" s="1381"/>
      <c r="GN99" s="1381"/>
      <c r="GO99" s="1381"/>
      <c r="GP99" s="1381"/>
      <c r="GQ99" s="1381"/>
      <c r="GR99" s="1381"/>
      <c r="GS99" s="1381"/>
      <c r="GT99" s="1381"/>
      <c r="GU99" s="1381"/>
      <c r="GV99" s="1381"/>
      <c r="GW99" s="1381"/>
      <c r="GX99" s="1381"/>
      <c r="GY99" s="1381"/>
      <c r="GZ99" s="1381"/>
      <c r="HA99" s="1381"/>
      <c r="HB99" s="1381"/>
      <c r="HC99" s="1381"/>
      <c r="HD99" s="1381"/>
      <c r="HE99" s="1381"/>
      <c r="HF99" s="1381"/>
      <c r="HG99" s="1381"/>
      <c r="HH99" s="1381"/>
      <c r="HI99" s="1381"/>
      <c r="HJ99" s="1381"/>
      <c r="HK99" s="1381"/>
      <c r="HL99" s="1381"/>
      <c r="HM99" s="1381"/>
      <c r="HN99" s="1381"/>
      <c r="HO99" s="1381"/>
      <c r="HP99" s="1381"/>
      <c r="HQ99" s="1388"/>
      <c r="HR99" s="1381"/>
      <c r="HS99" s="1381"/>
      <c r="HT99" s="1381"/>
      <c r="HU99" s="1381"/>
      <c r="HV99" s="1381"/>
      <c r="HW99" s="1381"/>
      <c r="HX99" s="1381"/>
      <c r="HY99" s="1381"/>
      <c r="HZ99" s="1381"/>
      <c r="IA99" s="1381"/>
      <c r="IB99" s="1381"/>
      <c r="IC99" s="1381"/>
      <c r="ID99" s="1381"/>
      <c r="IE99" s="1381"/>
      <c r="IF99" s="1381"/>
      <c r="IG99" s="1381"/>
      <c r="IH99" s="1381"/>
      <c r="II99" s="1381"/>
      <c r="IJ99" s="1381"/>
      <c r="IK99" s="1381"/>
      <c r="IL99" s="1381"/>
      <c r="IM99" s="1381"/>
      <c r="IN99" s="1381"/>
      <c r="IO99" s="1381"/>
      <c r="IP99" s="1381"/>
      <c r="IQ99" s="1381"/>
      <c r="IR99" s="1381"/>
      <c r="IS99" s="1381"/>
      <c r="IT99" s="1381"/>
      <c r="IU99" s="1381"/>
      <c r="IV99" s="1381"/>
      <c r="IW99" s="1381"/>
      <c r="IX99" s="1381"/>
      <c r="IY99" s="1381"/>
      <c r="IZ99" s="1381"/>
      <c r="JA99" s="1381"/>
      <c r="JB99" s="1381"/>
      <c r="JC99" s="1381"/>
      <c r="JD99" s="1381"/>
      <c r="JE99" s="1381"/>
      <c r="JF99" s="1381"/>
      <c r="JG99" s="1381"/>
      <c r="JH99" s="1381"/>
      <c r="JI99" s="1381"/>
      <c r="JJ99" s="1381"/>
      <c r="JK99" s="1381"/>
      <c r="JL99" s="1381"/>
      <c r="JM99" s="1381"/>
      <c r="JN99" s="1381"/>
      <c r="JO99" s="1381"/>
      <c r="JP99" s="1381"/>
      <c r="JQ99" s="2488"/>
      <c r="JR99" s="351"/>
      <c r="JS99" s="1389"/>
      <c r="JT99" s="1385"/>
    </row>
    <row r="100" spans="1:280" ht="12.5" x14ac:dyDescent="0.25">
      <c r="A100" s="1357">
        <v>17</v>
      </c>
      <c r="B100" s="1392"/>
      <c r="C100" s="1359" t="s">
        <v>2396</v>
      </c>
      <c r="D100" s="1360"/>
      <c r="E100" s="1381"/>
      <c r="F100" s="1381"/>
      <c r="G100" s="1381"/>
      <c r="H100" s="1381"/>
      <c r="I100" s="1381"/>
      <c r="J100" s="1381"/>
      <c r="K100" s="1381"/>
      <c r="L100" s="1381"/>
      <c r="M100" s="1381"/>
      <c r="N100" s="1381"/>
      <c r="O100" s="1381"/>
      <c r="P100" s="1381"/>
      <c r="Q100" s="1381"/>
      <c r="R100" s="1381"/>
      <c r="S100" s="1381"/>
      <c r="T100" s="1381"/>
      <c r="U100" s="1381"/>
      <c r="V100" s="1381"/>
      <c r="W100" s="1381"/>
      <c r="X100" s="1381"/>
      <c r="Y100" s="1381"/>
      <c r="Z100" s="1381"/>
      <c r="AA100" s="1381"/>
      <c r="AB100" s="1381"/>
      <c r="AC100" s="1381"/>
      <c r="AD100" s="1381"/>
      <c r="AE100" s="1381"/>
      <c r="AF100" s="1381"/>
      <c r="AG100" s="1381"/>
      <c r="AH100" s="1381"/>
      <c r="AI100" s="1381"/>
      <c r="AJ100" s="1381"/>
      <c r="AK100" s="1381"/>
      <c r="AL100" s="1381"/>
      <c r="AM100" s="1381"/>
      <c r="AN100" s="1381"/>
      <c r="AO100" s="1381"/>
      <c r="AP100" s="1381"/>
      <c r="AQ100" s="1381"/>
      <c r="AR100" s="1381"/>
      <c r="AS100" s="1381"/>
      <c r="AT100" s="1381"/>
      <c r="AU100" s="1381"/>
      <c r="AV100" s="1381"/>
      <c r="AW100" s="1381"/>
      <c r="AX100" s="1381"/>
      <c r="AY100" s="1381"/>
      <c r="AZ100" s="1381"/>
      <c r="BA100" s="1381"/>
      <c r="BB100" s="1381"/>
      <c r="BC100" s="1381"/>
      <c r="BD100" s="1381"/>
      <c r="BE100" s="1381"/>
      <c r="BF100" s="1381"/>
      <c r="BG100" s="1381"/>
      <c r="BH100" s="1381"/>
      <c r="BI100" s="1381"/>
      <c r="BJ100" s="1381"/>
      <c r="BK100" s="1381"/>
      <c r="BL100" s="1381"/>
      <c r="BM100" s="1381"/>
      <c r="BN100" s="1381"/>
      <c r="BO100" s="1381"/>
      <c r="BP100" s="1381"/>
      <c r="BQ100" s="1381"/>
      <c r="BR100" s="1381"/>
      <c r="BS100" s="1381"/>
      <c r="BT100" s="1381"/>
      <c r="BU100" s="1381"/>
      <c r="BV100" s="1381"/>
      <c r="BW100" s="1381"/>
      <c r="BX100" s="1381"/>
      <c r="BY100" s="1381"/>
      <c r="BZ100" s="1381"/>
      <c r="CA100" s="1381"/>
      <c r="CB100" s="1381"/>
      <c r="CC100" s="1381"/>
      <c r="CD100" s="1381"/>
      <c r="CE100" s="1381"/>
      <c r="CF100" s="1381"/>
      <c r="CG100" s="1381"/>
      <c r="CH100" s="1381"/>
      <c r="CI100" s="1381"/>
      <c r="CJ100" s="1381"/>
      <c r="CK100" s="1381"/>
      <c r="CL100" s="1381"/>
      <c r="CM100" s="1381"/>
      <c r="CN100" s="1381"/>
      <c r="CO100" s="1381"/>
      <c r="CP100" s="1381"/>
      <c r="CQ100" s="1381"/>
      <c r="CR100" s="1381"/>
      <c r="CS100" s="1381"/>
      <c r="CT100" s="1381"/>
      <c r="CU100" s="1381"/>
      <c r="CV100" s="1381"/>
      <c r="CW100" s="1381"/>
      <c r="CX100" s="1381"/>
      <c r="CY100" s="1381"/>
      <c r="CZ100" s="1381"/>
      <c r="DA100" s="1381"/>
      <c r="DB100" s="1381"/>
      <c r="DC100" s="1381"/>
      <c r="DD100" s="1381"/>
      <c r="DE100" s="1381"/>
      <c r="DF100" s="1381"/>
      <c r="DG100" s="1381"/>
      <c r="DH100" s="1381"/>
      <c r="DI100" s="1381"/>
      <c r="DJ100" s="1381"/>
      <c r="DK100" s="1381"/>
      <c r="DL100" s="1381"/>
      <c r="DM100" s="1381"/>
      <c r="DN100" s="1381"/>
      <c r="DO100" s="1381"/>
      <c r="DP100" s="1381"/>
      <c r="DQ100" s="1381"/>
      <c r="DR100" s="1381"/>
      <c r="DS100" s="1381"/>
      <c r="DT100" s="1381"/>
      <c r="DU100" s="1381"/>
      <c r="DV100" s="1381"/>
      <c r="DW100" s="1381"/>
      <c r="DX100" s="1381"/>
      <c r="DY100" s="1381"/>
      <c r="DZ100" s="1381"/>
      <c r="EA100" s="1381"/>
      <c r="EB100" s="1381"/>
      <c r="EC100" s="1381"/>
      <c r="ED100" s="1381"/>
      <c r="EE100" s="1381"/>
      <c r="EF100" s="1381"/>
      <c r="EG100" s="1381"/>
      <c r="EH100" s="1381"/>
      <c r="EI100" s="1381"/>
      <c r="EJ100" s="1381"/>
      <c r="EK100" s="1381"/>
      <c r="EL100" s="1381"/>
      <c r="EM100" s="1381"/>
      <c r="EN100" s="1381"/>
      <c r="EO100" s="1381"/>
      <c r="EP100" s="1381"/>
      <c r="EQ100" s="1381"/>
      <c r="ER100" s="1381"/>
      <c r="ES100" s="1381"/>
      <c r="ET100" s="1381"/>
      <c r="EU100" s="1381"/>
      <c r="EV100" s="1381"/>
      <c r="EW100" s="1381"/>
      <c r="EX100" s="1381"/>
      <c r="EY100" s="1381"/>
      <c r="EZ100" s="1381"/>
      <c r="FA100" s="1381"/>
      <c r="FB100" s="1381"/>
      <c r="FC100" s="1381"/>
      <c r="FD100" s="1381"/>
      <c r="FE100" s="1381"/>
      <c r="FF100" s="1381"/>
      <c r="FG100" s="1381"/>
      <c r="FH100" s="1381"/>
      <c r="FI100" s="1381"/>
      <c r="FJ100" s="1381"/>
      <c r="FK100" s="1381"/>
      <c r="FL100" s="1381"/>
      <c r="FM100" s="1381"/>
      <c r="FN100" s="1381"/>
      <c r="FO100" s="1381"/>
      <c r="FP100" s="1381"/>
      <c r="FQ100" s="1381"/>
      <c r="FR100" s="1381"/>
      <c r="FS100" s="1381"/>
      <c r="FT100" s="1381"/>
      <c r="FU100" s="1381"/>
      <c r="FV100" s="1381"/>
      <c r="FW100" s="1381"/>
      <c r="FX100" s="1381"/>
      <c r="FY100" s="1381"/>
      <c r="FZ100" s="1381"/>
      <c r="GA100" s="1381"/>
      <c r="GB100" s="1381"/>
      <c r="GC100" s="1381"/>
      <c r="GD100" s="1381"/>
      <c r="GE100" s="1381"/>
      <c r="GF100" s="1381"/>
      <c r="GG100" s="1381"/>
      <c r="GH100" s="1381"/>
      <c r="GI100" s="1381"/>
      <c r="GJ100" s="1381"/>
      <c r="GK100" s="1381"/>
      <c r="GL100" s="1381"/>
      <c r="GM100" s="1381"/>
      <c r="GN100" s="1381"/>
      <c r="GO100" s="1381"/>
      <c r="GP100" s="1381"/>
      <c r="GQ100" s="1381"/>
      <c r="GR100" s="1381"/>
      <c r="GS100" s="1381"/>
      <c r="GT100" s="1381"/>
      <c r="GU100" s="1381"/>
      <c r="GV100" s="1381"/>
      <c r="GW100" s="1381"/>
      <c r="GX100" s="1381"/>
      <c r="GY100" s="1381"/>
      <c r="GZ100" s="1381"/>
      <c r="HA100" s="1381"/>
      <c r="HB100" s="1381"/>
      <c r="HC100" s="1381"/>
      <c r="HD100" s="1381"/>
      <c r="HE100" s="1381"/>
      <c r="HF100" s="1381"/>
      <c r="HG100" s="1381"/>
      <c r="HH100" s="1381"/>
      <c r="HI100" s="1381"/>
      <c r="HJ100" s="1381"/>
      <c r="HK100" s="1381"/>
      <c r="HL100" s="1381"/>
      <c r="HM100" s="1381"/>
      <c r="HN100" s="1381"/>
      <c r="HO100" s="1381"/>
      <c r="HP100" s="1381"/>
      <c r="HQ100" s="1381"/>
      <c r="HR100" s="1381"/>
      <c r="HS100" s="1381"/>
      <c r="HT100" s="1381"/>
      <c r="HU100" s="1381"/>
      <c r="HV100" s="1381"/>
      <c r="HW100" s="1381"/>
      <c r="HX100" s="1381"/>
      <c r="HY100" s="1381"/>
      <c r="HZ100" s="1381"/>
      <c r="IA100" s="1381"/>
      <c r="IB100" s="1381"/>
      <c r="IC100" s="1381"/>
      <c r="ID100" s="1381"/>
      <c r="IE100" s="1381"/>
      <c r="IF100" s="1381"/>
      <c r="IG100" s="1381"/>
      <c r="IH100" s="1381"/>
      <c r="II100" s="1381"/>
      <c r="IJ100" s="1381"/>
      <c r="IK100" s="1381"/>
      <c r="IL100" s="1381"/>
      <c r="IM100" s="1381"/>
      <c r="IN100" s="1381"/>
      <c r="IO100" s="1381"/>
      <c r="IP100" s="1381"/>
      <c r="IQ100" s="1381"/>
      <c r="IR100" s="1381"/>
      <c r="IS100" s="1381"/>
      <c r="IT100" s="1381"/>
      <c r="IU100" s="1381"/>
      <c r="IV100" s="1381"/>
      <c r="IW100" s="1381"/>
      <c r="IX100" s="1381"/>
      <c r="IY100" s="1381"/>
      <c r="IZ100" s="1381"/>
      <c r="JA100" s="1381"/>
      <c r="JB100" s="1381"/>
      <c r="JC100" s="1381"/>
      <c r="JD100" s="1381"/>
      <c r="JE100" s="1381"/>
      <c r="JF100" s="1381"/>
      <c r="JG100" s="1381"/>
      <c r="JH100" s="1381"/>
      <c r="JI100" s="1381"/>
      <c r="JJ100" s="1381"/>
      <c r="JK100" s="1381"/>
      <c r="JL100" s="1381"/>
      <c r="JM100" s="1381"/>
      <c r="JN100" s="1381"/>
      <c r="JO100" s="1381"/>
      <c r="JP100" s="1381"/>
      <c r="JQ100" s="2488"/>
      <c r="JR100" s="351"/>
      <c r="JS100" s="1365"/>
      <c r="JT100" s="1385"/>
    </row>
    <row r="101" spans="1:280" ht="12.5" x14ac:dyDescent="0.25">
      <c r="A101" s="1357">
        <v>18</v>
      </c>
      <c r="B101" s="1392"/>
      <c r="C101" s="1359" t="s">
        <v>2397</v>
      </c>
      <c r="D101" s="1394"/>
      <c r="E101" s="1763"/>
      <c r="F101" s="1763"/>
      <c r="G101" s="1763"/>
      <c r="H101" s="1763"/>
      <c r="I101" s="1763"/>
      <c r="J101" s="1763"/>
      <c r="K101" s="1763"/>
      <c r="L101" s="1763"/>
      <c r="M101" s="1763"/>
      <c r="N101" s="1763"/>
      <c r="O101" s="1763"/>
      <c r="P101" s="1763"/>
      <c r="Q101" s="1763"/>
      <c r="R101" s="1763"/>
      <c r="S101" s="1763"/>
      <c r="T101" s="1763"/>
      <c r="U101" s="1763"/>
      <c r="V101" s="1763"/>
      <c r="W101" s="1763"/>
      <c r="X101" s="1763"/>
      <c r="Y101" s="1763"/>
      <c r="Z101" s="1763"/>
      <c r="AA101" s="1763"/>
      <c r="AB101" s="1763"/>
      <c r="AC101" s="1763"/>
      <c r="AD101" s="1763"/>
      <c r="AE101" s="1763"/>
      <c r="AF101" s="1763"/>
      <c r="AG101" s="1763"/>
      <c r="AH101" s="1763"/>
      <c r="AI101" s="1763"/>
      <c r="AJ101" s="1763"/>
      <c r="AK101" s="1763"/>
      <c r="AL101" s="1763"/>
      <c r="AM101" s="1763"/>
      <c r="AN101" s="1763"/>
      <c r="AO101" s="1763"/>
      <c r="AP101" s="1763"/>
      <c r="AQ101" s="1763"/>
      <c r="AR101" s="1763"/>
      <c r="AS101" s="1763"/>
      <c r="AT101" s="1763"/>
      <c r="AU101" s="1763"/>
      <c r="AV101" s="1763"/>
      <c r="AW101" s="1763"/>
      <c r="AX101" s="1763"/>
      <c r="AY101" s="1763"/>
      <c r="AZ101" s="1763"/>
      <c r="BA101" s="1763"/>
      <c r="BB101" s="1763"/>
      <c r="BC101" s="1763"/>
      <c r="BD101" s="1763"/>
      <c r="BE101" s="1763"/>
      <c r="BF101" s="1763"/>
      <c r="BG101" s="1763"/>
      <c r="BH101" s="1763"/>
      <c r="BI101" s="1763"/>
      <c r="BJ101" s="1763"/>
      <c r="BK101" s="1763"/>
      <c r="BL101" s="1763"/>
      <c r="BM101" s="1763"/>
      <c r="BN101" s="1763"/>
      <c r="BO101" s="1763"/>
      <c r="BP101" s="1763"/>
      <c r="BQ101" s="1763"/>
      <c r="BR101" s="1763"/>
      <c r="BS101" s="1763"/>
      <c r="BT101" s="1763"/>
      <c r="BU101" s="1763"/>
      <c r="BV101" s="1763"/>
      <c r="BW101" s="1763"/>
      <c r="BX101" s="1763"/>
      <c r="BY101" s="1763"/>
      <c r="BZ101" s="1763"/>
      <c r="CA101" s="1763"/>
      <c r="CB101" s="1763"/>
      <c r="CC101" s="1763"/>
      <c r="CD101" s="1763"/>
      <c r="CE101" s="1763"/>
      <c r="CF101" s="1763"/>
      <c r="CG101" s="1763"/>
      <c r="CH101" s="1763"/>
      <c r="CI101" s="1763"/>
      <c r="CJ101" s="1763"/>
      <c r="CK101" s="1763"/>
      <c r="CL101" s="1763"/>
      <c r="CM101" s="1763"/>
      <c r="CN101" s="1763"/>
      <c r="CO101" s="1763"/>
      <c r="CP101" s="1763"/>
      <c r="CQ101" s="1763"/>
      <c r="CR101" s="1763"/>
      <c r="CS101" s="1763"/>
      <c r="CT101" s="1763"/>
      <c r="CU101" s="1763"/>
      <c r="CV101" s="1763"/>
      <c r="CW101" s="1763"/>
      <c r="CX101" s="1763"/>
      <c r="CY101" s="1763"/>
      <c r="CZ101" s="1763"/>
      <c r="DA101" s="1763"/>
      <c r="DB101" s="1763"/>
      <c r="DC101" s="1763"/>
      <c r="DD101" s="1763"/>
      <c r="DE101" s="1763"/>
      <c r="DF101" s="1763"/>
      <c r="DG101" s="1763"/>
      <c r="DH101" s="1763"/>
      <c r="DI101" s="1763"/>
      <c r="DJ101" s="1763"/>
      <c r="DK101" s="1763"/>
      <c r="DL101" s="1763"/>
      <c r="DM101" s="1763"/>
      <c r="DN101" s="1763"/>
      <c r="DO101" s="1763"/>
      <c r="DP101" s="1763"/>
      <c r="DQ101" s="1763"/>
      <c r="DR101" s="1763"/>
      <c r="DS101" s="1763"/>
      <c r="DT101" s="1763"/>
      <c r="DU101" s="1763"/>
      <c r="DV101" s="1763"/>
      <c r="DW101" s="1763"/>
      <c r="DX101" s="1763"/>
      <c r="DY101" s="1763"/>
      <c r="DZ101" s="1763"/>
      <c r="EA101" s="1763"/>
      <c r="EB101" s="1763"/>
      <c r="EC101" s="1763"/>
      <c r="ED101" s="1763"/>
      <c r="EE101" s="1763"/>
      <c r="EF101" s="1763"/>
      <c r="EG101" s="1763"/>
      <c r="EH101" s="1763"/>
      <c r="EI101" s="1763"/>
      <c r="EJ101" s="1763"/>
      <c r="EK101" s="1763"/>
      <c r="EL101" s="1763"/>
      <c r="EM101" s="1763"/>
      <c r="EN101" s="1763"/>
      <c r="EO101" s="1763"/>
      <c r="EP101" s="1763"/>
      <c r="EQ101" s="1763"/>
      <c r="ER101" s="1763"/>
      <c r="ES101" s="1763"/>
      <c r="ET101" s="1763"/>
      <c r="EU101" s="1763"/>
      <c r="EV101" s="1763"/>
      <c r="EW101" s="1763"/>
      <c r="EX101" s="1763"/>
      <c r="EY101" s="1763"/>
      <c r="EZ101" s="1763"/>
      <c r="FA101" s="1763"/>
      <c r="FB101" s="1763"/>
      <c r="FC101" s="1763"/>
      <c r="FD101" s="1763"/>
      <c r="FE101" s="1763"/>
      <c r="FF101" s="1763"/>
      <c r="FG101" s="1763"/>
      <c r="FH101" s="1763"/>
      <c r="FI101" s="1763"/>
      <c r="FJ101" s="1763"/>
      <c r="FK101" s="1763"/>
      <c r="FL101" s="1763"/>
      <c r="FM101" s="1763"/>
      <c r="FN101" s="1763"/>
      <c r="FO101" s="1763"/>
      <c r="FP101" s="1763"/>
      <c r="FQ101" s="1763"/>
      <c r="FR101" s="1763"/>
      <c r="FS101" s="1763"/>
      <c r="FT101" s="1763"/>
      <c r="FU101" s="1763"/>
      <c r="FV101" s="1763"/>
      <c r="FW101" s="1763"/>
      <c r="FX101" s="1763"/>
      <c r="FY101" s="1763"/>
      <c r="FZ101" s="1763"/>
      <c r="GA101" s="1763"/>
      <c r="GB101" s="1763"/>
      <c r="GC101" s="1763"/>
      <c r="GD101" s="1763"/>
      <c r="GE101" s="1763"/>
      <c r="GF101" s="1763"/>
      <c r="GG101" s="1763"/>
      <c r="GH101" s="1763"/>
      <c r="GI101" s="1763"/>
      <c r="GJ101" s="1763"/>
      <c r="GK101" s="1763"/>
      <c r="GL101" s="1763"/>
      <c r="GM101" s="1763"/>
      <c r="GN101" s="1763"/>
      <c r="GO101" s="1763"/>
      <c r="GP101" s="1763"/>
      <c r="GQ101" s="1763"/>
      <c r="GR101" s="1763"/>
      <c r="GS101" s="1763"/>
      <c r="GT101" s="1763"/>
      <c r="GU101" s="1763"/>
      <c r="GV101" s="1763"/>
      <c r="GW101" s="1763"/>
      <c r="GX101" s="1763"/>
      <c r="GY101" s="1763"/>
      <c r="GZ101" s="1763"/>
      <c r="HA101" s="1763"/>
      <c r="HB101" s="1763"/>
      <c r="HC101" s="1763"/>
      <c r="HD101" s="1763"/>
      <c r="HE101" s="1763"/>
      <c r="HF101" s="1763"/>
      <c r="HG101" s="1763"/>
      <c r="HH101" s="1763"/>
      <c r="HI101" s="1763"/>
      <c r="HJ101" s="1763"/>
      <c r="HK101" s="1763"/>
      <c r="HL101" s="1763"/>
      <c r="HM101" s="1763"/>
      <c r="HN101" s="1763"/>
      <c r="HO101" s="1763"/>
      <c r="HP101" s="1763"/>
      <c r="HQ101" s="1763"/>
      <c r="HR101" s="1763"/>
      <c r="HS101" s="1763"/>
      <c r="HT101" s="1763"/>
      <c r="HU101" s="1763"/>
      <c r="HV101" s="1763"/>
      <c r="HW101" s="1763"/>
      <c r="HX101" s="1763"/>
      <c r="HY101" s="1763"/>
      <c r="HZ101" s="1763"/>
      <c r="IA101" s="1763"/>
      <c r="IB101" s="1763"/>
      <c r="IC101" s="1763"/>
      <c r="ID101" s="1763"/>
      <c r="IE101" s="1763"/>
      <c r="IF101" s="1763"/>
      <c r="IG101" s="1763"/>
      <c r="IH101" s="1763"/>
      <c r="II101" s="1763"/>
      <c r="IJ101" s="1763"/>
      <c r="IK101" s="1763"/>
      <c r="IL101" s="1763"/>
      <c r="IM101" s="1763"/>
      <c r="IN101" s="1763"/>
      <c r="IO101" s="1763"/>
      <c r="IP101" s="1763"/>
      <c r="IQ101" s="1763"/>
      <c r="IR101" s="1763"/>
      <c r="IS101" s="1763"/>
      <c r="IT101" s="1763"/>
      <c r="IU101" s="1763"/>
      <c r="IV101" s="1763"/>
      <c r="IW101" s="1763"/>
      <c r="IX101" s="1763"/>
      <c r="IY101" s="1763"/>
      <c r="IZ101" s="1763"/>
      <c r="JA101" s="1763"/>
      <c r="JB101" s="1763"/>
      <c r="JC101" s="1763"/>
      <c r="JD101" s="1763"/>
      <c r="JE101" s="1763"/>
      <c r="JF101" s="1763"/>
      <c r="JG101" s="1763"/>
      <c r="JH101" s="1763"/>
      <c r="JI101" s="1763"/>
      <c r="JJ101" s="1763"/>
      <c r="JK101" s="1763"/>
      <c r="JL101" s="1763"/>
      <c r="JM101" s="1763"/>
      <c r="JN101" s="1763"/>
      <c r="JO101" s="1763"/>
      <c r="JP101" s="1763"/>
      <c r="JQ101" s="2498"/>
      <c r="JR101" s="351"/>
      <c r="JS101" s="1365"/>
      <c r="JT101" s="1385"/>
    </row>
    <row r="102" spans="1:280" ht="12.5" x14ac:dyDescent="0.25">
      <c r="A102" s="1357">
        <v>19</v>
      </c>
      <c r="B102" s="1392"/>
      <c r="C102" s="1359" t="s">
        <v>2398</v>
      </c>
      <c r="D102" s="1394"/>
      <c r="E102" s="1763"/>
      <c r="F102" s="1763"/>
      <c r="G102" s="1763"/>
      <c r="H102" s="1763"/>
      <c r="I102" s="1763"/>
      <c r="J102" s="1763"/>
      <c r="K102" s="1763"/>
      <c r="L102" s="1763"/>
      <c r="M102" s="1763"/>
      <c r="N102" s="1763"/>
      <c r="O102" s="1763"/>
      <c r="P102" s="1763"/>
      <c r="Q102" s="1763"/>
      <c r="R102" s="1763"/>
      <c r="S102" s="1763"/>
      <c r="T102" s="1763"/>
      <c r="U102" s="1763"/>
      <c r="V102" s="1763"/>
      <c r="W102" s="1763"/>
      <c r="X102" s="1763"/>
      <c r="Y102" s="1763"/>
      <c r="Z102" s="1763"/>
      <c r="AA102" s="1763"/>
      <c r="AB102" s="1763"/>
      <c r="AC102" s="1763"/>
      <c r="AD102" s="1763"/>
      <c r="AE102" s="1763"/>
      <c r="AF102" s="1763"/>
      <c r="AG102" s="1763"/>
      <c r="AH102" s="1763"/>
      <c r="AI102" s="1763"/>
      <c r="AJ102" s="1763"/>
      <c r="AK102" s="1763"/>
      <c r="AL102" s="1763"/>
      <c r="AM102" s="1763"/>
      <c r="AN102" s="1763"/>
      <c r="AO102" s="1763"/>
      <c r="AP102" s="1763"/>
      <c r="AQ102" s="1763"/>
      <c r="AR102" s="1763"/>
      <c r="AS102" s="1763"/>
      <c r="AT102" s="1763"/>
      <c r="AU102" s="1763"/>
      <c r="AV102" s="1763"/>
      <c r="AW102" s="1763"/>
      <c r="AX102" s="1763"/>
      <c r="AY102" s="1763"/>
      <c r="AZ102" s="1763"/>
      <c r="BA102" s="1763"/>
      <c r="BB102" s="1763"/>
      <c r="BC102" s="1763"/>
      <c r="BD102" s="1763"/>
      <c r="BE102" s="1763"/>
      <c r="BF102" s="1763"/>
      <c r="BG102" s="1763"/>
      <c r="BH102" s="1763"/>
      <c r="BI102" s="1763"/>
      <c r="BJ102" s="1763"/>
      <c r="BK102" s="1763"/>
      <c r="BL102" s="1763"/>
      <c r="BM102" s="1763"/>
      <c r="BN102" s="1763"/>
      <c r="BO102" s="1763"/>
      <c r="BP102" s="1763"/>
      <c r="BQ102" s="1763"/>
      <c r="BR102" s="1763"/>
      <c r="BS102" s="1763"/>
      <c r="BT102" s="1763"/>
      <c r="BU102" s="1763"/>
      <c r="BV102" s="1763"/>
      <c r="BW102" s="1763"/>
      <c r="BX102" s="1763"/>
      <c r="BY102" s="1763"/>
      <c r="BZ102" s="1763"/>
      <c r="CA102" s="1763"/>
      <c r="CB102" s="1763"/>
      <c r="CC102" s="1763"/>
      <c r="CD102" s="1763"/>
      <c r="CE102" s="1763"/>
      <c r="CF102" s="1763"/>
      <c r="CG102" s="1763"/>
      <c r="CH102" s="1763"/>
      <c r="CI102" s="1763"/>
      <c r="CJ102" s="1763"/>
      <c r="CK102" s="1763"/>
      <c r="CL102" s="1763"/>
      <c r="CM102" s="1763"/>
      <c r="CN102" s="1763"/>
      <c r="CO102" s="1763"/>
      <c r="CP102" s="1763"/>
      <c r="CQ102" s="1763"/>
      <c r="CR102" s="1763"/>
      <c r="CS102" s="1763"/>
      <c r="CT102" s="1763"/>
      <c r="CU102" s="1763"/>
      <c r="CV102" s="1763"/>
      <c r="CW102" s="1763"/>
      <c r="CX102" s="1763"/>
      <c r="CY102" s="1763"/>
      <c r="CZ102" s="1763"/>
      <c r="DA102" s="1763"/>
      <c r="DB102" s="1763"/>
      <c r="DC102" s="1763"/>
      <c r="DD102" s="1763"/>
      <c r="DE102" s="1763"/>
      <c r="DF102" s="1763"/>
      <c r="DG102" s="1763"/>
      <c r="DH102" s="1763"/>
      <c r="DI102" s="1763"/>
      <c r="DJ102" s="1763"/>
      <c r="DK102" s="1763"/>
      <c r="DL102" s="1763"/>
      <c r="DM102" s="1763"/>
      <c r="DN102" s="1763"/>
      <c r="DO102" s="1763"/>
      <c r="DP102" s="1763"/>
      <c r="DQ102" s="1763"/>
      <c r="DR102" s="1763"/>
      <c r="DS102" s="1763"/>
      <c r="DT102" s="1763"/>
      <c r="DU102" s="1763"/>
      <c r="DV102" s="1763"/>
      <c r="DW102" s="1763"/>
      <c r="DX102" s="1763"/>
      <c r="DY102" s="1763"/>
      <c r="DZ102" s="1763"/>
      <c r="EA102" s="1763"/>
      <c r="EB102" s="1763"/>
      <c r="EC102" s="1763"/>
      <c r="ED102" s="1763"/>
      <c r="EE102" s="1763"/>
      <c r="EF102" s="1763"/>
      <c r="EG102" s="1763"/>
      <c r="EH102" s="1763"/>
      <c r="EI102" s="1763"/>
      <c r="EJ102" s="1763"/>
      <c r="EK102" s="1763"/>
      <c r="EL102" s="1763"/>
      <c r="EM102" s="1763"/>
      <c r="EN102" s="1763"/>
      <c r="EO102" s="1763"/>
      <c r="EP102" s="1763"/>
      <c r="EQ102" s="1763"/>
      <c r="ER102" s="1763"/>
      <c r="ES102" s="1763"/>
      <c r="ET102" s="1763"/>
      <c r="EU102" s="1763"/>
      <c r="EV102" s="1763"/>
      <c r="EW102" s="1763"/>
      <c r="EX102" s="1763"/>
      <c r="EY102" s="1763"/>
      <c r="EZ102" s="1763"/>
      <c r="FA102" s="1763"/>
      <c r="FB102" s="1763"/>
      <c r="FC102" s="1763"/>
      <c r="FD102" s="1763"/>
      <c r="FE102" s="1763"/>
      <c r="FF102" s="1763"/>
      <c r="FG102" s="1763"/>
      <c r="FH102" s="1763"/>
      <c r="FI102" s="1763"/>
      <c r="FJ102" s="1763"/>
      <c r="FK102" s="1763"/>
      <c r="FL102" s="1763"/>
      <c r="FM102" s="1763"/>
      <c r="FN102" s="1763"/>
      <c r="FO102" s="1763"/>
      <c r="FP102" s="1763"/>
      <c r="FQ102" s="1763"/>
      <c r="FR102" s="1763"/>
      <c r="FS102" s="1763"/>
      <c r="FT102" s="1763"/>
      <c r="FU102" s="1763"/>
      <c r="FV102" s="1763"/>
      <c r="FW102" s="1763"/>
      <c r="FX102" s="1763"/>
      <c r="FY102" s="1763"/>
      <c r="FZ102" s="1763"/>
      <c r="GA102" s="1763"/>
      <c r="GB102" s="1763"/>
      <c r="GC102" s="1763"/>
      <c r="GD102" s="1763"/>
      <c r="GE102" s="1763"/>
      <c r="GF102" s="1763"/>
      <c r="GG102" s="1763"/>
      <c r="GH102" s="1763"/>
      <c r="GI102" s="1763"/>
      <c r="GJ102" s="1763"/>
      <c r="GK102" s="1763"/>
      <c r="GL102" s="1763"/>
      <c r="GM102" s="1763"/>
      <c r="GN102" s="1763"/>
      <c r="GO102" s="1763"/>
      <c r="GP102" s="1763"/>
      <c r="GQ102" s="1763"/>
      <c r="GR102" s="1763"/>
      <c r="GS102" s="1763"/>
      <c r="GT102" s="1763"/>
      <c r="GU102" s="1763"/>
      <c r="GV102" s="1763"/>
      <c r="GW102" s="1763"/>
      <c r="GX102" s="1763"/>
      <c r="GY102" s="1763"/>
      <c r="GZ102" s="1763"/>
      <c r="HA102" s="1763"/>
      <c r="HB102" s="1763"/>
      <c r="HC102" s="1763"/>
      <c r="HD102" s="1763"/>
      <c r="HE102" s="1763"/>
      <c r="HF102" s="1763"/>
      <c r="HG102" s="1763"/>
      <c r="HH102" s="1763"/>
      <c r="HI102" s="1763"/>
      <c r="HJ102" s="1763"/>
      <c r="HK102" s="1763"/>
      <c r="HL102" s="1763"/>
      <c r="HM102" s="1763"/>
      <c r="HN102" s="1763"/>
      <c r="HO102" s="1763"/>
      <c r="HP102" s="1763"/>
      <c r="HQ102" s="1763"/>
      <c r="HR102" s="1763"/>
      <c r="HS102" s="1763"/>
      <c r="HT102" s="1763"/>
      <c r="HU102" s="1763"/>
      <c r="HV102" s="1763"/>
      <c r="HW102" s="1763"/>
      <c r="HX102" s="1763"/>
      <c r="HY102" s="1763"/>
      <c r="HZ102" s="1763"/>
      <c r="IA102" s="1763"/>
      <c r="IB102" s="1763"/>
      <c r="IC102" s="1763"/>
      <c r="ID102" s="1763"/>
      <c r="IE102" s="1763"/>
      <c r="IF102" s="1763"/>
      <c r="IG102" s="1763"/>
      <c r="IH102" s="1763"/>
      <c r="II102" s="1763"/>
      <c r="IJ102" s="1763"/>
      <c r="IK102" s="1763"/>
      <c r="IL102" s="1763"/>
      <c r="IM102" s="1763"/>
      <c r="IN102" s="1763"/>
      <c r="IO102" s="1763"/>
      <c r="IP102" s="1763"/>
      <c r="IQ102" s="1763"/>
      <c r="IR102" s="1763"/>
      <c r="IS102" s="1763"/>
      <c r="IT102" s="1763"/>
      <c r="IU102" s="1763"/>
      <c r="IV102" s="1763"/>
      <c r="IW102" s="1763"/>
      <c r="IX102" s="1763"/>
      <c r="IY102" s="1763"/>
      <c r="IZ102" s="1763"/>
      <c r="JA102" s="1763"/>
      <c r="JB102" s="1763"/>
      <c r="JC102" s="1763"/>
      <c r="JD102" s="1763"/>
      <c r="JE102" s="1763"/>
      <c r="JF102" s="1763"/>
      <c r="JG102" s="1763"/>
      <c r="JH102" s="1763"/>
      <c r="JI102" s="1763"/>
      <c r="JJ102" s="1763"/>
      <c r="JK102" s="1763"/>
      <c r="JL102" s="1763"/>
      <c r="JM102" s="1763"/>
      <c r="JN102" s="1763"/>
      <c r="JO102" s="1763"/>
      <c r="JP102" s="1763"/>
      <c r="JQ102" s="2498"/>
      <c r="JR102" s="351"/>
      <c r="JS102" s="1365"/>
      <c r="JT102" s="1385"/>
    </row>
    <row r="103" spans="1:280" ht="12.5" x14ac:dyDescent="0.25">
      <c r="A103" s="1357">
        <v>20</v>
      </c>
      <c r="B103" s="1392" t="s">
        <v>1693</v>
      </c>
      <c r="C103" s="1359" t="s">
        <v>2399</v>
      </c>
      <c r="D103" s="1394"/>
      <c r="E103" s="1763"/>
      <c r="F103" s="1763"/>
      <c r="G103" s="1763"/>
      <c r="H103" s="1763"/>
      <c r="I103" s="1763"/>
      <c r="J103" s="1763"/>
      <c r="K103" s="1763"/>
      <c r="L103" s="1763"/>
      <c r="M103" s="1763"/>
      <c r="N103" s="1763"/>
      <c r="O103" s="1763"/>
      <c r="P103" s="1763"/>
      <c r="Q103" s="1763"/>
      <c r="R103" s="1763"/>
      <c r="S103" s="1763"/>
      <c r="T103" s="1763"/>
      <c r="U103" s="1763"/>
      <c r="V103" s="1763"/>
      <c r="W103" s="1763"/>
      <c r="X103" s="1763"/>
      <c r="Y103" s="1763"/>
      <c r="Z103" s="1763"/>
      <c r="AA103" s="1763"/>
      <c r="AB103" s="1763"/>
      <c r="AC103" s="1763"/>
      <c r="AD103" s="1763"/>
      <c r="AE103" s="1763"/>
      <c r="AF103" s="1763"/>
      <c r="AG103" s="1763"/>
      <c r="AH103" s="1763"/>
      <c r="AI103" s="1763"/>
      <c r="AJ103" s="1763"/>
      <c r="AK103" s="1763"/>
      <c r="AL103" s="1763"/>
      <c r="AM103" s="1763"/>
      <c r="AN103" s="1763"/>
      <c r="AO103" s="1763"/>
      <c r="AP103" s="1763"/>
      <c r="AQ103" s="1763"/>
      <c r="AR103" s="1763"/>
      <c r="AS103" s="1763"/>
      <c r="AT103" s="1763"/>
      <c r="AU103" s="1763"/>
      <c r="AV103" s="1763"/>
      <c r="AW103" s="1763"/>
      <c r="AX103" s="1763"/>
      <c r="AY103" s="1763"/>
      <c r="AZ103" s="1763"/>
      <c r="BA103" s="1763"/>
      <c r="BB103" s="1763"/>
      <c r="BC103" s="1763"/>
      <c r="BD103" s="1763"/>
      <c r="BE103" s="1763"/>
      <c r="BF103" s="1763"/>
      <c r="BG103" s="1763"/>
      <c r="BH103" s="1763"/>
      <c r="BI103" s="1763"/>
      <c r="BJ103" s="1763"/>
      <c r="BK103" s="1763"/>
      <c r="BL103" s="1763"/>
      <c r="BM103" s="1763"/>
      <c r="BN103" s="1763"/>
      <c r="BO103" s="1763"/>
      <c r="BP103" s="1763"/>
      <c r="BQ103" s="1763"/>
      <c r="BR103" s="1763"/>
      <c r="BS103" s="1763"/>
      <c r="BT103" s="1763"/>
      <c r="BU103" s="1763"/>
      <c r="BV103" s="1763"/>
      <c r="BW103" s="1763"/>
      <c r="BX103" s="1763"/>
      <c r="BY103" s="1763"/>
      <c r="BZ103" s="1763"/>
      <c r="CA103" s="1763"/>
      <c r="CB103" s="1763"/>
      <c r="CC103" s="1763"/>
      <c r="CD103" s="1763"/>
      <c r="CE103" s="1763"/>
      <c r="CF103" s="1763"/>
      <c r="CG103" s="1763"/>
      <c r="CH103" s="1763"/>
      <c r="CI103" s="1763"/>
      <c r="CJ103" s="1763"/>
      <c r="CK103" s="1763"/>
      <c r="CL103" s="1763"/>
      <c r="CM103" s="1763"/>
      <c r="CN103" s="1763"/>
      <c r="CO103" s="1763"/>
      <c r="CP103" s="1763"/>
      <c r="CQ103" s="1763"/>
      <c r="CR103" s="1763"/>
      <c r="CS103" s="1763"/>
      <c r="CT103" s="1763"/>
      <c r="CU103" s="1763"/>
      <c r="CV103" s="1763"/>
      <c r="CW103" s="1763"/>
      <c r="CX103" s="1763"/>
      <c r="CY103" s="1763"/>
      <c r="CZ103" s="1763"/>
      <c r="DA103" s="1763"/>
      <c r="DB103" s="1763"/>
      <c r="DC103" s="1763"/>
      <c r="DD103" s="1763"/>
      <c r="DE103" s="1763"/>
      <c r="DF103" s="1763"/>
      <c r="DG103" s="1763"/>
      <c r="DH103" s="1763"/>
      <c r="DI103" s="1763"/>
      <c r="DJ103" s="1763"/>
      <c r="DK103" s="1763"/>
      <c r="DL103" s="1763"/>
      <c r="DM103" s="1763"/>
      <c r="DN103" s="1763"/>
      <c r="DO103" s="1763"/>
      <c r="DP103" s="1763"/>
      <c r="DQ103" s="1763"/>
      <c r="DR103" s="1763"/>
      <c r="DS103" s="1763"/>
      <c r="DT103" s="1763"/>
      <c r="DU103" s="1763"/>
      <c r="DV103" s="1763"/>
      <c r="DW103" s="1763"/>
      <c r="DX103" s="1763"/>
      <c r="DY103" s="1763"/>
      <c r="DZ103" s="1763"/>
      <c r="EA103" s="1763"/>
      <c r="EB103" s="1763"/>
      <c r="EC103" s="1763"/>
      <c r="ED103" s="1763"/>
      <c r="EE103" s="1763"/>
      <c r="EF103" s="1763"/>
      <c r="EG103" s="1763"/>
      <c r="EH103" s="1763"/>
      <c r="EI103" s="1763"/>
      <c r="EJ103" s="1763"/>
      <c r="EK103" s="1763"/>
      <c r="EL103" s="1763"/>
      <c r="EM103" s="1763"/>
      <c r="EN103" s="1763"/>
      <c r="EO103" s="1763"/>
      <c r="EP103" s="1763"/>
      <c r="EQ103" s="1763"/>
      <c r="ER103" s="1763"/>
      <c r="ES103" s="1763"/>
      <c r="ET103" s="1763"/>
      <c r="EU103" s="1763"/>
      <c r="EV103" s="1763"/>
      <c r="EW103" s="1763"/>
      <c r="EX103" s="1763"/>
      <c r="EY103" s="1763"/>
      <c r="EZ103" s="1763"/>
      <c r="FA103" s="1763"/>
      <c r="FB103" s="1763"/>
      <c r="FC103" s="1763"/>
      <c r="FD103" s="1763"/>
      <c r="FE103" s="1763"/>
      <c r="FF103" s="1763"/>
      <c r="FG103" s="1763"/>
      <c r="FH103" s="1763"/>
      <c r="FI103" s="1763"/>
      <c r="FJ103" s="1763"/>
      <c r="FK103" s="1763"/>
      <c r="FL103" s="1763"/>
      <c r="FM103" s="1763"/>
      <c r="FN103" s="1763"/>
      <c r="FO103" s="1763"/>
      <c r="FP103" s="1763"/>
      <c r="FQ103" s="1763"/>
      <c r="FR103" s="1763"/>
      <c r="FS103" s="1763"/>
      <c r="FT103" s="1763"/>
      <c r="FU103" s="1763"/>
      <c r="FV103" s="1763"/>
      <c r="FW103" s="1763"/>
      <c r="FX103" s="1763"/>
      <c r="FY103" s="1763"/>
      <c r="FZ103" s="1763"/>
      <c r="GA103" s="1763"/>
      <c r="GB103" s="1763"/>
      <c r="GC103" s="1763"/>
      <c r="GD103" s="1763"/>
      <c r="GE103" s="1763"/>
      <c r="GF103" s="1763"/>
      <c r="GG103" s="1763"/>
      <c r="GH103" s="1763"/>
      <c r="GI103" s="1763"/>
      <c r="GJ103" s="1763"/>
      <c r="GK103" s="1763"/>
      <c r="GL103" s="1763"/>
      <c r="GM103" s="1763"/>
      <c r="GN103" s="1763"/>
      <c r="GO103" s="1763"/>
      <c r="GP103" s="1763"/>
      <c r="GQ103" s="1763"/>
      <c r="GR103" s="1763"/>
      <c r="GS103" s="1763"/>
      <c r="GT103" s="1763"/>
      <c r="GU103" s="1763"/>
      <c r="GV103" s="1763"/>
      <c r="GW103" s="1763"/>
      <c r="GX103" s="1763"/>
      <c r="GY103" s="1763"/>
      <c r="GZ103" s="1763"/>
      <c r="HA103" s="1763"/>
      <c r="HB103" s="1763"/>
      <c r="HC103" s="1763"/>
      <c r="HD103" s="1763"/>
      <c r="HE103" s="1763"/>
      <c r="HF103" s="1763"/>
      <c r="HG103" s="1763"/>
      <c r="HH103" s="1763"/>
      <c r="HI103" s="1763"/>
      <c r="HJ103" s="1763"/>
      <c r="HK103" s="1763"/>
      <c r="HL103" s="1763"/>
      <c r="HM103" s="1763"/>
      <c r="HN103" s="1763"/>
      <c r="HO103" s="1763"/>
      <c r="HP103" s="1763"/>
      <c r="HQ103" s="1763"/>
      <c r="HR103" s="1763"/>
      <c r="HS103" s="1763"/>
      <c r="HT103" s="1763"/>
      <c r="HU103" s="1763"/>
      <c r="HV103" s="1763"/>
      <c r="HW103" s="1763"/>
      <c r="HX103" s="1763"/>
      <c r="HY103" s="1763"/>
      <c r="HZ103" s="1763"/>
      <c r="IA103" s="1763"/>
      <c r="IB103" s="1763"/>
      <c r="IC103" s="1763"/>
      <c r="ID103" s="1763"/>
      <c r="IE103" s="1763"/>
      <c r="IF103" s="1763"/>
      <c r="IG103" s="1763"/>
      <c r="IH103" s="1763"/>
      <c r="II103" s="1763"/>
      <c r="IJ103" s="1763"/>
      <c r="IK103" s="1763"/>
      <c r="IL103" s="1763"/>
      <c r="IM103" s="1763"/>
      <c r="IN103" s="1763"/>
      <c r="IO103" s="1763"/>
      <c r="IP103" s="1763"/>
      <c r="IQ103" s="1763"/>
      <c r="IR103" s="1763"/>
      <c r="IS103" s="1763"/>
      <c r="IT103" s="1763"/>
      <c r="IU103" s="1763"/>
      <c r="IV103" s="1763"/>
      <c r="IW103" s="1763"/>
      <c r="IX103" s="1763"/>
      <c r="IY103" s="1763"/>
      <c r="IZ103" s="1763"/>
      <c r="JA103" s="1763"/>
      <c r="JB103" s="1763"/>
      <c r="JC103" s="1763"/>
      <c r="JD103" s="1763"/>
      <c r="JE103" s="1763"/>
      <c r="JF103" s="1763"/>
      <c r="JG103" s="1763"/>
      <c r="JH103" s="1763"/>
      <c r="JI103" s="1763"/>
      <c r="JJ103" s="1763"/>
      <c r="JK103" s="1763"/>
      <c r="JL103" s="1763"/>
      <c r="JM103" s="1763"/>
      <c r="JN103" s="1763"/>
      <c r="JO103" s="1763"/>
      <c r="JP103" s="1763"/>
      <c r="JQ103" s="2498"/>
      <c r="JR103" s="351"/>
      <c r="JS103" s="1365"/>
      <c r="JT103" s="1385"/>
    </row>
    <row r="104" spans="1:280" ht="12.5" x14ac:dyDescent="0.25">
      <c r="A104" s="1357">
        <v>21</v>
      </c>
      <c r="B104" s="1392"/>
      <c r="C104" s="1359" t="s">
        <v>2400</v>
      </c>
      <c r="D104" s="1394"/>
      <c r="E104" s="1763"/>
      <c r="F104" s="1763"/>
      <c r="G104" s="1763"/>
      <c r="H104" s="1763"/>
      <c r="I104" s="1763"/>
      <c r="J104" s="1763"/>
      <c r="K104" s="1763"/>
      <c r="L104" s="1763"/>
      <c r="M104" s="1763"/>
      <c r="N104" s="1763"/>
      <c r="O104" s="1763"/>
      <c r="P104" s="1763"/>
      <c r="Q104" s="1763"/>
      <c r="R104" s="1763"/>
      <c r="S104" s="1763"/>
      <c r="T104" s="1763"/>
      <c r="U104" s="1763"/>
      <c r="V104" s="1763"/>
      <c r="W104" s="1763"/>
      <c r="X104" s="1763"/>
      <c r="Y104" s="1763"/>
      <c r="Z104" s="1763"/>
      <c r="AA104" s="1763"/>
      <c r="AB104" s="1763"/>
      <c r="AC104" s="1763"/>
      <c r="AD104" s="1763"/>
      <c r="AE104" s="1763"/>
      <c r="AF104" s="1763"/>
      <c r="AG104" s="1763"/>
      <c r="AH104" s="1763"/>
      <c r="AI104" s="1763"/>
      <c r="AJ104" s="1763"/>
      <c r="AK104" s="1763"/>
      <c r="AL104" s="1763"/>
      <c r="AM104" s="1763"/>
      <c r="AN104" s="1763"/>
      <c r="AO104" s="1763"/>
      <c r="AP104" s="1763"/>
      <c r="AQ104" s="1763"/>
      <c r="AR104" s="1763"/>
      <c r="AS104" s="1763"/>
      <c r="AT104" s="1763"/>
      <c r="AU104" s="1763"/>
      <c r="AV104" s="1763"/>
      <c r="AW104" s="1763"/>
      <c r="AX104" s="1763"/>
      <c r="AY104" s="1763"/>
      <c r="AZ104" s="1763"/>
      <c r="BA104" s="1763"/>
      <c r="BB104" s="1763"/>
      <c r="BC104" s="1763"/>
      <c r="BD104" s="1763"/>
      <c r="BE104" s="1763"/>
      <c r="BF104" s="1763"/>
      <c r="BG104" s="1763"/>
      <c r="BH104" s="1763"/>
      <c r="BI104" s="1763"/>
      <c r="BJ104" s="1763"/>
      <c r="BK104" s="1763"/>
      <c r="BL104" s="1763"/>
      <c r="BM104" s="1763"/>
      <c r="BN104" s="1763"/>
      <c r="BO104" s="1763"/>
      <c r="BP104" s="1763"/>
      <c r="BQ104" s="1763"/>
      <c r="BR104" s="1763"/>
      <c r="BS104" s="1763"/>
      <c r="BT104" s="1763"/>
      <c r="BU104" s="1763"/>
      <c r="BV104" s="1763"/>
      <c r="BW104" s="1763"/>
      <c r="BX104" s="1763"/>
      <c r="BY104" s="1763"/>
      <c r="BZ104" s="1763"/>
      <c r="CA104" s="1763"/>
      <c r="CB104" s="1763"/>
      <c r="CC104" s="1763"/>
      <c r="CD104" s="1763"/>
      <c r="CE104" s="1763"/>
      <c r="CF104" s="1763"/>
      <c r="CG104" s="1763"/>
      <c r="CH104" s="1763"/>
      <c r="CI104" s="1763"/>
      <c r="CJ104" s="1763"/>
      <c r="CK104" s="1763"/>
      <c r="CL104" s="1763"/>
      <c r="CM104" s="1763"/>
      <c r="CN104" s="1763"/>
      <c r="CO104" s="1763"/>
      <c r="CP104" s="1763"/>
      <c r="CQ104" s="1763"/>
      <c r="CR104" s="1763"/>
      <c r="CS104" s="1763"/>
      <c r="CT104" s="1763"/>
      <c r="CU104" s="1763"/>
      <c r="CV104" s="1763"/>
      <c r="CW104" s="1763"/>
      <c r="CX104" s="1763"/>
      <c r="CY104" s="1763"/>
      <c r="CZ104" s="1763"/>
      <c r="DA104" s="1763"/>
      <c r="DB104" s="1763"/>
      <c r="DC104" s="1763"/>
      <c r="DD104" s="1763"/>
      <c r="DE104" s="1763"/>
      <c r="DF104" s="1763"/>
      <c r="DG104" s="1763"/>
      <c r="DH104" s="1763"/>
      <c r="DI104" s="1763"/>
      <c r="DJ104" s="1763"/>
      <c r="DK104" s="1763"/>
      <c r="DL104" s="1763"/>
      <c r="DM104" s="1763"/>
      <c r="DN104" s="1763"/>
      <c r="DO104" s="1763"/>
      <c r="DP104" s="1763"/>
      <c r="DQ104" s="1763"/>
      <c r="DR104" s="1763"/>
      <c r="DS104" s="1763"/>
      <c r="DT104" s="1763"/>
      <c r="DU104" s="1763"/>
      <c r="DV104" s="1763"/>
      <c r="DW104" s="1763"/>
      <c r="DX104" s="1763"/>
      <c r="DY104" s="1763"/>
      <c r="DZ104" s="1763"/>
      <c r="EA104" s="1763"/>
      <c r="EB104" s="1763"/>
      <c r="EC104" s="1763"/>
      <c r="ED104" s="1763"/>
      <c r="EE104" s="1763"/>
      <c r="EF104" s="1763"/>
      <c r="EG104" s="1763"/>
      <c r="EH104" s="1763"/>
      <c r="EI104" s="1763"/>
      <c r="EJ104" s="1763"/>
      <c r="EK104" s="1763"/>
      <c r="EL104" s="1763"/>
      <c r="EM104" s="1763"/>
      <c r="EN104" s="1763"/>
      <c r="EO104" s="1763"/>
      <c r="EP104" s="1763"/>
      <c r="EQ104" s="1763"/>
      <c r="ER104" s="1763"/>
      <c r="ES104" s="1763"/>
      <c r="ET104" s="1763"/>
      <c r="EU104" s="1763"/>
      <c r="EV104" s="1763"/>
      <c r="EW104" s="1763"/>
      <c r="EX104" s="1763"/>
      <c r="EY104" s="1763"/>
      <c r="EZ104" s="1763"/>
      <c r="FA104" s="1763"/>
      <c r="FB104" s="1763"/>
      <c r="FC104" s="1763"/>
      <c r="FD104" s="1763"/>
      <c r="FE104" s="1763"/>
      <c r="FF104" s="1763"/>
      <c r="FG104" s="1763"/>
      <c r="FH104" s="1763"/>
      <c r="FI104" s="1763"/>
      <c r="FJ104" s="1763"/>
      <c r="FK104" s="1763"/>
      <c r="FL104" s="1763"/>
      <c r="FM104" s="1763"/>
      <c r="FN104" s="1763"/>
      <c r="FO104" s="1763"/>
      <c r="FP104" s="1763"/>
      <c r="FQ104" s="1763"/>
      <c r="FR104" s="1763"/>
      <c r="FS104" s="1763"/>
      <c r="FT104" s="1763"/>
      <c r="FU104" s="1763"/>
      <c r="FV104" s="1763"/>
      <c r="FW104" s="1763"/>
      <c r="FX104" s="1763"/>
      <c r="FY104" s="1763"/>
      <c r="FZ104" s="1763"/>
      <c r="GA104" s="1763"/>
      <c r="GB104" s="1763"/>
      <c r="GC104" s="1763"/>
      <c r="GD104" s="1763"/>
      <c r="GE104" s="1763"/>
      <c r="GF104" s="1763"/>
      <c r="GG104" s="1763"/>
      <c r="GH104" s="1763"/>
      <c r="GI104" s="1763"/>
      <c r="GJ104" s="1763"/>
      <c r="GK104" s="1763"/>
      <c r="GL104" s="1763"/>
      <c r="GM104" s="1763"/>
      <c r="GN104" s="1763"/>
      <c r="GO104" s="1763"/>
      <c r="GP104" s="1763"/>
      <c r="GQ104" s="1763"/>
      <c r="GR104" s="1763"/>
      <c r="GS104" s="1763"/>
      <c r="GT104" s="1763"/>
      <c r="GU104" s="1763"/>
      <c r="GV104" s="1763"/>
      <c r="GW104" s="1763"/>
      <c r="GX104" s="1763"/>
      <c r="GY104" s="1763"/>
      <c r="GZ104" s="1763"/>
      <c r="HA104" s="1763"/>
      <c r="HB104" s="1763"/>
      <c r="HC104" s="1763"/>
      <c r="HD104" s="1763"/>
      <c r="HE104" s="1763"/>
      <c r="HF104" s="1763"/>
      <c r="HG104" s="1763"/>
      <c r="HH104" s="1763"/>
      <c r="HI104" s="1763"/>
      <c r="HJ104" s="1763"/>
      <c r="HK104" s="1763"/>
      <c r="HL104" s="1763"/>
      <c r="HM104" s="1763"/>
      <c r="HN104" s="1763"/>
      <c r="HO104" s="1763"/>
      <c r="HP104" s="1763"/>
      <c r="HQ104" s="1763"/>
      <c r="HR104" s="1763"/>
      <c r="HS104" s="1763"/>
      <c r="HT104" s="1763"/>
      <c r="HU104" s="1763"/>
      <c r="HV104" s="1763"/>
      <c r="HW104" s="1763"/>
      <c r="HX104" s="1763"/>
      <c r="HY104" s="1763"/>
      <c r="HZ104" s="1763"/>
      <c r="IA104" s="1763"/>
      <c r="IB104" s="1763"/>
      <c r="IC104" s="1763"/>
      <c r="ID104" s="1763"/>
      <c r="IE104" s="1763"/>
      <c r="IF104" s="1763"/>
      <c r="IG104" s="1763"/>
      <c r="IH104" s="1763"/>
      <c r="II104" s="1763"/>
      <c r="IJ104" s="1763"/>
      <c r="IK104" s="1763"/>
      <c r="IL104" s="1763"/>
      <c r="IM104" s="1763"/>
      <c r="IN104" s="1763"/>
      <c r="IO104" s="1763"/>
      <c r="IP104" s="1763"/>
      <c r="IQ104" s="1763"/>
      <c r="IR104" s="1763"/>
      <c r="IS104" s="1763"/>
      <c r="IT104" s="1763"/>
      <c r="IU104" s="1763"/>
      <c r="IV104" s="1763"/>
      <c r="IW104" s="1763"/>
      <c r="IX104" s="1763"/>
      <c r="IY104" s="1763"/>
      <c r="IZ104" s="1763"/>
      <c r="JA104" s="1763"/>
      <c r="JB104" s="1763"/>
      <c r="JC104" s="1763"/>
      <c r="JD104" s="1763"/>
      <c r="JE104" s="1763"/>
      <c r="JF104" s="1763"/>
      <c r="JG104" s="1763"/>
      <c r="JH104" s="1763"/>
      <c r="JI104" s="1763"/>
      <c r="JJ104" s="1763"/>
      <c r="JK104" s="1763"/>
      <c r="JL104" s="1763"/>
      <c r="JM104" s="1763"/>
      <c r="JN104" s="1763"/>
      <c r="JO104" s="1763"/>
      <c r="JP104" s="1763"/>
      <c r="JQ104" s="2498"/>
      <c r="JR104" s="351"/>
      <c r="JS104" s="1365"/>
      <c r="JT104" s="1385"/>
    </row>
    <row r="105" spans="1:280" ht="12.5" x14ac:dyDescent="0.25">
      <c r="A105" s="1357">
        <v>22</v>
      </c>
      <c r="B105" s="1392"/>
      <c r="C105" s="1359" t="s">
        <v>2401</v>
      </c>
      <c r="D105" s="1394"/>
      <c r="E105" s="1763"/>
      <c r="F105" s="1763"/>
      <c r="G105" s="1763"/>
      <c r="H105" s="1763"/>
      <c r="I105" s="1763"/>
      <c r="J105" s="1763"/>
      <c r="K105" s="1763"/>
      <c r="L105" s="1763"/>
      <c r="M105" s="1763"/>
      <c r="N105" s="1763"/>
      <c r="O105" s="1763"/>
      <c r="P105" s="1763"/>
      <c r="Q105" s="1763"/>
      <c r="R105" s="1763"/>
      <c r="S105" s="1763"/>
      <c r="T105" s="1763"/>
      <c r="U105" s="1763"/>
      <c r="V105" s="1763"/>
      <c r="W105" s="1763"/>
      <c r="X105" s="1763"/>
      <c r="Y105" s="1763"/>
      <c r="Z105" s="1763"/>
      <c r="AA105" s="1763"/>
      <c r="AB105" s="1763"/>
      <c r="AC105" s="1763"/>
      <c r="AD105" s="1763"/>
      <c r="AE105" s="1763"/>
      <c r="AF105" s="1763"/>
      <c r="AG105" s="1763"/>
      <c r="AH105" s="1763"/>
      <c r="AI105" s="1763"/>
      <c r="AJ105" s="1763"/>
      <c r="AK105" s="1763"/>
      <c r="AL105" s="1763"/>
      <c r="AM105" s="1763"/>
      <c r="AN105" s="1763"/>
      <c r="AO105" s="1763"/>
      <c r="AP105" s="1763"/>
      <c r="AQ105" s="1763"/>
      <c r="AR105" s="1763"/>
      <c r="AS105" s="1763"/>
      <c r="AT105" s="1763"/>
      <c r="AU105" s="1763"/>
      <c r="AV105" s="1763"/>
      <c r="AW105" s="1763"/>
      <c r="AX105" s="1763"/>
      <c r="AY105" s="1763"/>
      <c r="AZ105" s="1763"/>
      <c r="BA105" s="1763"/>
      <c r="BB105" s="1763"/>
      <c r="BC105" s="1763"/>
      <c r="BD105" s="1763"/>
      <c r="BE105" s="1763"/>
      <c r="BF105" s="1763"/>
      <c r="BG105" s="1763"/>
      <c r="BH105" s="1763"/>
      <c r="BI105" s="1763"/>
      <c r="BJ105" s="1763"/>
      <c r="BK105" s="1763"/>
      <c r="BL105" s="1763"/>
      <c r="BM105" s="1763"/>
      <c r="BN105" s="1763"/>
      <c r="BO105" s="1763"/>
      <c r="BP105" s="1763"/>
      <c r="BQ105" s="1763"/>
      <c r="BR105" s="1763"/>
      <c r="BS105" s="1763"/>
      <c r="BT105" s="1763"/>
      <c r="BU105" s="1763"/>
      <c r="BV105" s="1763"/>
      <c r="BW105" s="1763"/>
      <c r="BX105" s="1763"/>
      <c r="BY105" s="1763"/>
      <c r="BZ105" s="1763"/>
      <c r="CA105" s="1763"/>
      <c r="CB105" s="1763"/>
      <c r="CC105" s="1763"/>
      <c r="CD105" s="1763"/>
      <c r="CE105" s="1763"/>
      <c r="CF105" s="1763"/>
      <c r="CG105" s="1763"/>
      <c r="CH105" s="1763"/>
      <c r="CI105" s="1763"/>
      <c r="CJ105" s="1763"/>
      <c r="CK105" s="1763"/>
      <c r="CL105" s="1763"/>
      <c r="CM105" s="1763"/>
      <c r="CN105" s="1763"/>
      <c r="CO105" s="1763"/>
      <c r="CP105" s="1763"/>
      <c r="CQ105" s="1763"/>
      <c r="CR105" s="1763"/>
      <c r="CS105" s="1763"/>
      <c r="CT105" s="1763"/>
      <c r="CU105" s="1763"/>
      <c r="CV105" s="1763"/>
      <c r="CW105" s="1763"/>
      <c r="CX105" s="1763"/>
      <c r="CY105" s="1763"/>
      <c r="CZ105" s="1763"/>
      <c r="DA105" s="1763"/>
      <c r="DB105" s="1763"/>
      <c r="DC105" s="1763"/>
      <c r="DD105" s="1763"/>
      <c r="DE105" s="1763"/>
      <c r="DF105" s="1763"/>
      <c r="DG105" s="1763"/>
      <c r="DH105" s="1763"/>
      <c r="DI105" s="1763"/>
      <c r="DJ105" s="1763"/>
      <c r="DK105" s="1763"/>
      <c r="DL105" s="1763"/>
      <c r="DM105" s="1763"/>
      <c r="DN105" s="1763"/>
      <c r="DO105" s="1763"/>
      <c r="DP105" s="1763"/>
      <c r="DQ105" s="1763"/>
      <c r="DR105" s="1763"/>
      <c r="DS105" s="1763"/>
      <c r="DT105" s="1763"/>
      <c r="DU105" s="1763"/>
      <c r="DV105" s="1763"/>
      <c r="DW105" s="1763"/>
      <c r="DX105" s="1763"/>
      <c r="DY105" s="1763"/>
      <c r="DZ105" s="1763"/>
      <c r="EA105" s="1763"/>
      <c r="EB105" s="1763"/>
      <c r="EC105" s="1763"/>
      <c r="ED105" s="1763"/>
      <c r="EE105" s="1763"/>
      <c r="EF105" s="1763"/>
      <c r="EG105" s="1763"/>
      <c r="EH105" s="1763"/>
      <c r="EI105" s="1763"/>
      <c r="EJ105" s="1763"/>
      <c r="EK105" s="1763"/>
      <c r="EL105" s="1763"/>
      <c r="EM105" s="1763"/>
      <c r="EN105" s="1763"/>
      <c r="EO105" s="1763"/>
      <c r="EP105" s="1763"/>
      <c r="EQ105" s="1763"/>
      <c r="ER105" s="1763"/>
      <c r="ES105" s="1763"/>
      <c r="ET105" s="1763"/>
      <c r="EU105" s="1763"/>
      <c r="EV105" s="1763"/>
      <c r="EW105" s="1763"/>
      <c r="EX105" s="1763"/>
      <c r="EY105" s="1763"/>
      <c r="EZ105" s="1763"/>
      <c r="FA105" s="1763"/>
      <c r="FB105" s="1763"/>
      <c r="FC105" s="1763"/>
      <c r="FD105" s="1763"/>
      <c r="FE105" s="1763"/>
      <c r="FF105" s="1763"/>
      <c r="FG105" s="1763"/>
      <c r="FH105" s="1763"/>
      <c r="FI105" s="1763"/>
      <c r="FJ105" s="1763"/>
      <c r="FK105" s="1763"/>
      <c r="FL105" s="1763"/>
      <c r="FM105" s="1763"/>
      <c r="FN105" s="1763"/>
      <c r="FO105" s="1763"/>
      <c r="FP105" s="1763"/>
      <c r="FQ105" s="1763"/>
      <c r="FR105" s="1763"/>
      <c r="FS105" s="1763"/>
      <c r="FT105" s="1763"/>
      <c r="FU105" s="1763"/>
      <c r="FV105" s="1763"/>
      <c r="FW105" s="1763"/>
      <c r="FX105" s="1763"/>
      <c r="FY105" s="1763"/>
      <c r="FZ105" s="1763"/>
      <c r="GA105" s="1763"/>
      <c r="GB105" s="1763"/>
      <c r="GC105" s="1763"/>
      <c r="GD105" s="1763"/>
      <c r="GE105" s="1763"/>
      <c r="GF105" s="1763"/>
      <c r="GG105" s="1763"/>
      <c r="GH105" s="1763"/>
      <c r="GI105" s="1763"/>
      <c r="GJ105" s="1763"/>
      <c r="GK105" s="1763"/>
      <c r="GL105" s="1763"/>
      <c r="GM105" s="1763"/>
      <c r="GN105" s="1763"/>
      <c r="GO105" s="1763"/>
      <c r="GP105" s="1763"/>
      <c r="GQ105" s="1763"/>
      <c r="GR105" s="1763"/>
      <c r="GS105" s="1763"/>
      <c r="GT105" s="1763"/>
      <c r="GU105" s="1763"/>
      <c r="GV105" s="1763"/>
      <c r="GW105" s="1763"/>
      <c r="GX105" s="1763"/>
      <c r="GY105" s="1763"/>
      <c r="GZ105" s="1763"/>
      <c r="HA105" s="1763"/>
      <c r="HB105" s="1763"/>
      <c r="HC105" s="1763"/>
      <c r="HD105" s="1763"/>
      <c r="HE105" s="1763"/>
      <c r="HF105" s="1763"/>
      <c r="HG105" s="1763"/>
      <c r="HH105" s="1763"/>
      <c r="HI105" s="1763"/>
      <c r="HJ105" s="1763"/>
      <c r="HK105" s="1763"/>
      <c r="HL105" s="1763"/>
      <c r="HM105" s="1763"/>
      <c r="HN105" s="1763"/>
      <c r="HO105" s="1763"/>
      <c r="HP105" s="1763"/>
      <c r="HQ105" s="1763"/>
      <c r="HR105" s="1763"/>
      <c r="HS105" s="1763"/>
      <c r="HT105" s="1763"/>
      <c r="HU105" s="1763"/>
      <c r="HV105" s="1763"/>
      <c r="HW105" s="1763"/>
      <c r="HX105" s="1763"/>
      <c r="HY105" s="1763"/>
      <c r="HZ105" s="1763"/>
      <c r="IA105" s="1763"/>
      <c r="IB105" s="1763"/>
      <c r="IC105" s="1763"/>
      <c r="ID105" s="1763"/>
      <c r="IE105" s="1763"/>
      <c r="IF105" s="1763"/>
      <c r="IG105" s="1763"/>
      <c r="IH105" s="1763"/>
      <c r="II105" s="1763"/>
      <c r="IJ105" s="1763"/>
      <c r="IK105" s="1763"/>
      <c r="IL105" s="1763"/>
      <c r="IM105" s="1763"/>
      <c r="IN105" s="1763"/>
      <c r="IO105" s="1763"/>
      <c r="IP105" s="1763"/>
      <c r="IQ105" s="1763"/>
      <c r="IR105" s="1763"/>
      <c r="IS105" s="1763"/>
      <c r="IT105" s="1763"/>
      <c r="IU105" s="1763"/>
      <c r="IV105" s="1763"/>
      <c r="IW105" s="1763"/>
      <c r="IX105" s="1763"/>
      <c r="IY105" s="1763"/>
      <c r="IZ105" s="1763"/>
      <c r="JA105" s="1763"/>
      <c r="JB105" s="1763"/>
      <c r="JC105" s="1763"/>
      <c r="JD105" s="1763"/>
      <c r="JE105" s="1763"/>
      <c r="JF105" s="1763"/>
      <c r="JG105" s="1763"/>
      <c r="JH105" s="1763"/>
      <c r="JI105" s="1763"/>
      <c r="JJ105" s="1763"/>
      <c r="JK105" s="1763"/>
      <c r="JL105" s="1763"/>
      <c r="JM105" s="1763"/>
      <c r="JN105" s="1763"/>
      <c r="JO105" s="1763"/>
      <c r="JP105" s="1763"/>
      <c r="JQ105" s="2498"/>
      <c r="JR105" s="351"/>
      <c r="JS105" s="1365"/>
      <c r="JT105" s="1385"/>
    </row>
    <row r="106" spans="1:280" ht="12.5" x14ac:dyDescent="0.25">
      <c r="A106" s="1357">
        <v>23</v>
      </c>
      <c r="B106" s="1392" t="s">
        <v>1707</v>
      </c>
      <c r="C106" s="1359" t="s">
        <v>2402</v>
      </c>
      <c r="D106" s="1394"/>
      <c r="E106" s="1763"/>
      <c r="F106" s="1763"/>
      <c r="G106" s="1763"/>
      <c r="H106" s="1763"/>
      <c r="I106" s="1763"/>
      <c r="J106" s="1763"/>
      <c r="K106" s="1763"/>
      <c r="L106" s="1763"/>
      <c r="M106" s="1763"/>
      <c r="N106" s="1763"/>
      <c r="O106" s="1763"/>
      <c r="P106" s="1763"/>
      <c r="Q106" s="1763"/>
      <c r="R106" s="1763"/>
      <c r="S106" s="1763"/>
      <c r="T106" s="1763"/>
      <c r="U106" s="1763"/>
      <c r="V106" s="1763"/>
      <c r="W106" s="1763"/>
      <c r="X106" s="1763"/>
      <c r="Y106" s="1763"/>
      <c r="Z106" s="1763"/>
      <c r="AA106" s="1763"/>
      <c r="AB106" s="1763"/>
      <c r="AC106" s="1763"/>
      <c r="AD106" s="1763"/>
      <c r="AE106" s="1763"/>
      <c r="AF106" s="1763"/>
      <c r="AG106" s="1763"/>
      <c r="AH106" s="1763"/>
      <c r="AI106" s="1763"/>
      <c r="AJ106" s="1763"/>
      <c r="AK106" s="1763"/>
      <c r="AL106" s="1763"/>
      <c r="AM106" s="1763"/>
      <c r="AN106" s="1763"/>
      <c r="AO106" s="1763"/>
      <c r="AP106" s="1763"/>
      <c r="AQ106" s="1763"/>
      <c r="AR106" s="1763"/>
      <c r="AS106" s="1763"/>
      <c r="AT106" s="1763"/>
      <c r="AU106" s="1763"/>
      <c r="AV106" s="1763"/>
      <c r="AW106" s="1763"/>
      <c r="AX106" s="1763"/>
      <c r="AY106" s="1763"/>
      <c r="AZ106" s="1763"/>
      <c r="BA106" s="1763"/>
      <c r="BB106" s="1763"/>
      <c r="BC106" s="1763"/>
      <c r="BD106" s="1763"/>
      <c r="BE106" s="1763"/>
      <c r="BF106" s="1763"/>
      <c r="BG106" s="1763"/>
      <c r="BH106" s="1763"/>
      <c r="BI106" s="1763"/>
      <c r="BJ106" s="1763"/>
      <c r="BK106" s="1763"/>
      <c r="BL106" s="1763"/>
      <c r="BM106" s="1763"/>
      <c r="BN106" s="1763"/>
      <c r="BO106" s="1763"/>
      <c r="BP106" s="1763"/>
      <c r="BQ106" s="1763"/>
      <c r="BR106" s="1763"/>
      <c r="BS106" s="1763"/>
      <c r="BT106" s="1763"/>
      <c r="BU106" s="1763"/>
      <c r="BV106" s="1763"/>
      <c r="BW106" s="1763"/>
      <c r="BX106" s="1763"/>
      <c r="BY106" s="1763"/>
      <c r="BZ106" s="1763"/>
      <c r="CA106" s="1763"/>
      <c r="CB106" s="1763"/>
      <c r="CC106" s="1763"/>
      <c r="CD106" s="1763"/>
      <c r="CE106" s="1763"/>
      <c r="CF106" s="1763"/>
      <c r="CG106" s="1763"/>
      <c r="CH106" s="1763"/>
      <c r="CI106" s="1763"/>
      <c r="CJ106" s="1763"/>
      <c r="CK106" s="1763"/>
      <c r="CL106" s="1763"/>
      <c r="CM106" s="1763"/>
      <c r="CN106" s="1763"/>
      <c r="CO106" s="1763"/>
      <c r="CP106" s="1763"/>
      <c r="CQ106" s="1763"/>
      <c r="CR106" s="1763"/>
      <c r="CS106" s="1763"/>
      <c r="CT106" s="1763"/>
      <c r="CU106" s="1763"/>
      <c r="CV106" s="1763"/>
      <c r="CW106" s="1763"/>
      <c r="CX106" s="1763"/>
      <c r="CY106" s="1763"/>
      <c r="CZ106" s="1763"/>
      <c r="DA106" s="1763"/>
      <c r="DB106" s="1763"/>
      <c r="DC106" s="1763"/>
      <c r="DD106" s="1763"/>
      <c r="DE106" s="1763"/>
      <c r="DF106" s="1763"/>
      <c r="DG106" s="1763"/>
      <c r="DH106" s="1763"/>
      <c r="DI106" s="1763"/>
      <c r="DJ106" s="1763"/>
      <c r="DK106" s="1763"/>
      <c r="DL106" s="1763"/>
      <c r="DM106" s="1763"/>
      <c r="DN106" s="1763"/>
      <c r="DO106" s="1763"/>
      <c r="DP106" s="1763"/>
      <c r="DQ106" s="1763"/>
      <c r="DR106" s="1763"/>
      <c r="DS106" s="1763"/>
      <c r="DT106" s="1763"/>
      <c r="DU106" s="1763"/>
      <c r="DV106" s="1763"/>
      <c r="DW106" s="1763"/>
      <c r="DX106" s="1763"/>
      <c r="DY106" s="1763"/>
      <c r="DZ106" s="1763"/>
      <c r="EA106" s="1763"/>
      <c r="EB106" s="1763"/>
      <c r="EC106" s="1763"/>
      <c r="ED106" s="1763"/>
      <c r="EE106" s="1763"/>
      <c r="EF106" s="1763"/>
      <c r="EG106" s="1763"/>
      <c r="EH106" s="1763"/>
      <c r="EI106" s="1763"/>
      <c r="EJ106" s="1763"/>
      <c r="EK106" s="1763"/>
      <c r="EL106" s="1763"/>
      <c r="EM106" s="1763"/>
      <c r="EN106" s="1763"/>
      <c r="EO106" s="1763"/>
      <c r="EP106" s="1763"/>
      <c r="EQ106" s="1763"/>
      <c r="ER106" s="1763"/>
      <c r="ES106" s="1763"/>
      <c r="ET106" s="1763"/>
      <c r="EU106" s="1763"/>
      <c r="EV106" s="1763"/>
      <c r="EW106" s="1763"/>
      <c r="EX106" s="1763"/>
      <c r="EY106" s="1763"/>
      <c r="EZ106" s="1763"/>
      <c r="FA106" s="1763"/>
      <c r="FB106" s="1763"/>
      <c r="FC106" s="1763"/>
      <c r="FD106" s="1763"/>
      <c r="FE106" s="1763"/>
      <c r="FF106" s="1763"/>
      <c r="FG106" s="1763"/>
      <c r="FH106" s="1763"/>
      <c r="FI106" s="1763"/>
      <c r="FJ106" s="1763"/>
      <c r="FK106" s="1763"/>
      <c r="FL106" s="1763"/>
      <c r="FM106" s="1763"/>
      <c r="FN106" s="1763"/>
      <c r="FO106" s="1763"/>
      <c r="FP106" s="1763"/>
      <c r="FQ106" s="1763"/>
      <c r="FR106" s="1763"/>
      <c r="FS106" s="1763"/>
      <c r="FT106" s="1763"/>
      <c r="FU106" s="1763"/>
      <c r="FV106" s="1763"/>
      <c r="FW106" s="1763"/>
      <c r="FX106" s="1763"/>
      <c r="FY106" s="1763"/>
      <c r="FZ106" s="1763"/>
      <c r="GA106" s="1763"/>
      <c r="GB106" s="1763"/>
      <c r="GC106" s="1763"/>
      <c r="GD106" s="1763"/>
      <c r="GE106" s="1763"/>
      <c r="GF106" s="1763"/>
      <c r="GG106" s="1763"/>
      <c r="GH106" s="1763"/>
      <c r="GI106" s="1763"/>
      <c r="GJ106" s="1763"/>
      <c r="GK106" s="1763"/>
      <c r="GL106" s="1763"/>
      <c r="GM106" s="1763"/>
      <c r="GN106" s="1763"/>
      <c r="GO106" s="1763"/>
      <c r="GP106" s="1763"/>
      <c r="GQ106" s="1763"/>
      <c r="GR106" s="1763"/>
      <c r="GS106" s="1763"/>
      <c r="GT106" s="1763"/>
      <c r="GU106" s="1763"/>
      <c r="GV106" s="1763"/>
      <c r="GW106" s="1763"/>
      <c r="GX106" s="1763"/>
      <c r="GY106" s="1763"/>
      <c r="GZ106" s="1763"/>
      <c r="HA106" s="1763"/>
      <c r="HB106" s="1763"/>
      <c r="HC106" s="1763"/>
      <c r="HD106" s="1763"/>
      <c r="HE106" s="1763"/>
      <c r="HF106" s="1763"/>
      <c r="HG106" s="1763"/>
      <c r="HH106" s="1763"/>
      <c r="HI106" s="1763"/>
      <c r="HJ106" s="1763"/>
      <c r="HK106" s="1763"/>
      <c r="HL106" s="1763"/>
      <c r="HM106" s="1763"/>
      <c r="HN106" s="1763"/>
      <c r="HO106" s="1763"/>
      <c r="HP106" s="1763"/>
      <c r="HQ106" s="1763"/>
      <c r="HR106" s="1763"/>
      <c r="HS106" s="1763"/>
      <c r="HT106" s="1763"/>
      <c r="HU106" s="1763"/>
      <c r="HV106" s="1763"/>
      <c r="HW106" s="1763"/>
      <c r="HX106" s="1763"/>
      <c r="HY106" s="1763"/>
      <c r="HZ106" s="1763"/>
      <c r="IA106" s="1763"/>
      <c r="IB106" s="1763"/>
      <c r="IC106" s="1763"/>
      <c r="ID106" s="1763"/>
      <c r="IE106" s="1763"/>
      <c r="IF106" s="1763"/>
      <c r="IG106" s="1763"/>
      <c r="IH106" s="1763"/>
      <c r="II106" s="1763"/>
      <c r="IJ106" s="1763"/>
      <c r="IK106" s="1763"/>
      <c r="IL106" s="1763"/>
      <c r="IM106" s="1763"/>
      <c r="IN106" s="1763"/>
      <c r="IO106" s="1763"/>
      <c r="IP106" s="1763"/>
      <c r="IQ106" s="1763"/>
      <c r="IR106" s="1763"/>
      <c r="IS106" s="1763"/>
      <c r="IT106" s="1763"/>
      <c r="IU106" s="1763"/>
      <c r="IV106" s="1763"/>
      <c r="IW106" s="1763"/>
      <c r="IX106" s="1763"/>
      <c r="IY106" s="1763"/>
      <c r="IZ106" s="1763"/>
      <c r="JA106" s="1763"/>
      <c r="JB106" s="1763"/>
      <c r="JC106" s="1763"/>
      <c r="JD106" s="1763"/>
      <c r="JE106" s="1763"/>
      <c r="JF106" s="1763"/>
      <c r="JG106" s="1763"/>
      <c r="JH106" s="1763"/>
      <c r="JI106" s="1763"/>
      <c r="JJ106" s="1763"/>
      <c r="JK106" s="1763"/>
      <c r="JL106" s="1763"/>
      <c r="JM106" s="1763"/>
      <c r="JN106" s="1763"/>
      <c r="JO106" s="1763"/>
      <c r="JP106" s="1763"/>
      <c r="JQ106" s="2498"/>
      <c r="JR106" s="351"/>
      <c r="JS106" s="1365"/>
      <c r="JT106" s="1385"/>
    </row>
    <row r="107" spans="1:280" ht="12.5" x14ac:dyDescent="0.25">
      <c r="A107" s="1357">
        <v>24</v>
      </c>
      <c r="B107" s="1392"/>
      <c r="C107" s="1359" t="s">
        <v>2403</v>
      </c>
      <c r="D107" s="1394"/>
      <c r="E107" s="1763"/>
      <c r="F107" s="1763"/>
      <c r="G107" s="1763"/>
      <c r="H107" s="1763"/>
      <c r="I107" s="1763"/>
      <c r="J107" s="1763"/>
      <c r="K107" s="1763"/>
      <c r="L107" s="1763"/>
      <c r="M107" s="1763"/>
      <c r="N107" s="1763"/>
      <c r="O107" s="1763"/>
      <c r="P107" s="1763"/>
      <c r="Q107" s="1763"/>
      <c r="R107" s="1763"/>
      <c r="S107" s="1763"/>
      <c r="T107" s="1763"/>
      <c r="U107" s="1763"/>
      <c r="V107" s="1763"/>
      <c r="W107" s="1763"/>
      <c r="X107" s="1763"/>
      <c r="Y107" s="1763"/>
      <c r="Z107" s="1763"/>
      <c r="AA107" s="1763"/>
      <c r="AB107" s="1763"/>
      <c r="AC107" s="1763"/>
      <c r="AD107" s="1763"/>
      <c r="AE107" s="1763"/>
      <c r="AF107" s="1763"/>
      <c r="AG107" s="1763"/>
      <c r="AH107" s="1763"/>
      <c r="AI107" s="1763"/>
      <c r="AJ107" s="1763"/>
      <c r="AK107" s="1763"/>
      <c r="AL107" s="1763"/>
      <c r="AM107" s="1763"/>
      <c r="AN107" s="1763"/>
      <c r="AO107" s="1763"/>
      <c r="AP107" s="1763"/>
      <c r="AQ107" s="1763"/>
      <c r="AR107" s="1763"/>
      <c r="AS107" s="1763"/>
      <c r="AT107" s="1763"/>
      <c r="AU107" s="1763"/>
      <c r="AV107" s="1763"/>
      <c r="AW107" s="1763"/>
      <c r="AX107" s="1763"/>
      <c r="AY107" s="1763"/>
      <c r="AZ107" s="1763"/>
      <c r="BA107" s="1763"/>
      <c r="BB107" s="1763"/>
      <c r="BC107" s="1763"/>
      <c r="BD107" s="1763"/>
      <c r="BE107" s="1763"/>
      <c r="BF107" s="1763"/>
      <c r="BG107" s="1763"/>
      <c r="BH107" s="1763"/>
      <c r="BI107" s="1763"/>
      <c r="BJ107" s="1763"/>
      <c r="BK107" s="1763"/>
      <c r="BL107" s="1763"/>
      <c r="BM107" s="1763"/>
      <c r="BN107" s="1763"/>
      <c r="BO107" s="1763"/>
      <c r="BP107" s="1763"/>
      <c r="BQ107" s="1763"/>
      <c r="BR107" s="1763"/>
      <c r="BS107" s="1763"/>
      <c r="BT107" s="1763"/>
      <c r="BU107" s="1763"/>
      <c r="BV107" s="1763"/>
      <c r="BW107" s="1763"/>
      <c r="BX107" s="1763"/>
      <c r="BY107" s="1763"/>
      <c r="BZ107" s="1763"/>
      <c r="CA107" s="1763"/>
      <c r="CB107" s="1763"/>
      <c r="CC107" s="1763"/>
      <c r="CD107" s="1763"/>
      <c r="CE107" s="1763"/>
      <c r="CF107" s="1763"/>
      <c r="CG107" s="1763"/>
      <c r="CH107" s="1763"/>
      <c r="CI107" s="1763"/>
      <c r="CJ107" s="1763"/>
      <c r="CK107" s="1763"/>
      <c r="CL107" s="1763"/>
      <c r="CM107" s="1763"/>
      <c r="CN107" s="1763"/>
      <c r="CO107" s="1763"/>
      <c r="CP107" s="1763"/>
      <c r="CQ107" s="1763"/>
      <c r="CR107" s="1763"/>
      <c r="CS107" s="1763"/>
      <c r="CT107" s="1763"/>
      <c r="CU107" s="1763"/>
      <c r="CV107" s="1763"/>
      <c r="CW107" s="1763"/>
      <c r="CX107" s="1763"/>
      <c r="CY107" s="1763"/>
      <c r="CZ107" s="1763"/>
      <c r="DA107" s="1763"/>
      <c r="DB107" s="1763"/>
      <c r="DC107" s="1763"/>
      <c r="DD107" s="1763"/>
      <c r="DE107" s="1763"/>
      <c r="DF107" s="1763"/>
      <c r="DG107" s="1763"/>
      <c r="DH107" s="1763"/>
      <c r="DI107" s="1763"/>
      <c r="DJ107" s="1763"/>
      <c r="DK107" s="1763"/>
      <c r="DL107" s="1763"/>
      <c r="DM107" s="1763"/>
      <c r="DN107" s="1763"/>
      <c r="DO107" s="1763"/>
      <c r="DP107" s="1763"/>
      <c r="DQ107" s="1763"/>
      <c r="DR107" s="1763"/>
      <c r="DS107" s="1763"/>
      <c r="DT107" s="1763"/>
      <c r="DU107" s="1763"/>
      <c r="DV107" s="1763"/>
      <c r="DW107" s="1763"/>
      <c r="DX107" s="1763"/>
      <c r="DY107" s="1763"/>
      <c r="DZ107" s="1763"/>
      <c r="EA107" s="1763"/>
      <c r="EB107" s="1763"/>
      <c r="EC107" s="1763"/>
      <c r="ED107" s="1763"/>
      <c r="EE107" s="1763"/>
      <c r="EF107" s="1763"/>
      <c r="EG107" s="1763"/>
      <c r="EH107" s="1763"/>
      <c r="EI107" s="1763"/>
      <c r="EJ107" s="1763"/>
      <c r="EK107" s="1763"/>
      <c r="EL107" s="1763"/>
      <c r="EM107" s="1763"/>
      <c r="EN107" s="1763"/>
      <c r="EO107" s="1763"/>
      <c r="EP107" s="1763"/>
      <c r="EQ107" s="1763"/>
      <c r="ER107" s="1763"/>
      <c r="ES107" s="1763"/>
      <c r="ET107" s="1763"/>
      <c r="EU107" s="1763"/>
      <c r="EV107" s="1763"/>
      <c r="EW107" s="1763"/>
      <c r="EX107" s="1763"/>
      <c r="EY107" s="1763"/>
      <c r="EZ107" s="1763"/>
      <c r="FA107" s="1763"/>
      <c r="FB107" s="1763"/>
      <c r="FC107" s="1763"/>
      <c r="FD107" s="1763"/>
      <c r="FE107" s="1763"/>
      <c r="FF107" s="1763"/>
      <c r="FG107" s="1763"/>
      <c r="FH107" s="1763"/>
      <c r="FI107" s="1763"/>
      <c r="FJ107" s="1763"/>
      <c r="FK107" s="1763"/>
      <c r="FL107" s="1763"/>
      <c r="FM107" s="1763"/>
      <c r="FN107" s="1763"/>
      <c r="FO107" s="1763"/>
      <c r="FP107" s="1763"/>
      <c r="FQ107" s="1763"/>
      <c r="FR107" s="1763"/>
      <c r="FS107" s="1763"/>
      <c r="FT107" s="1763"/>
      <c r="FU107" s="1763"/>
      <c r="FV107" s="1763"/>
      <c r="FW107" s="1763"/>
      <c r="FX107" s="1763"/>
      <c r="FY107" s="1763"/>
      <c r="FZ107" s="1763"/>
      <c r="GA107" s="1763"/>
      <c r="GB107" s="1763"/>
      <c r="GC107" s="1763"/>
      <c r="GD107" s="1763"/>
      <c r="GE107" s="1763"/>
      <c r="GF107" s="1763"/>
      <c r="GG107" s="1763"/>
      <c r="GH107" s="1763"/>
      <c r="GI107" s="1763"/>
      <c r="GJ107" s="1763"/>
      <c r="GK107" s="1763"/>
      <c r="GL107" s="1763"/>
      <c r="GM107" s="1763"/>
      <c r="GN107" s="1763"/>
      <c r="GO107" s="1763"/>
      <c r="GP107" s="1763"/>
      <c r="GQ107" s="1763"/>
      <c r="GR107" s="1763"/>
      <c r="GS107" s="1763"/>
      <c r="GT107" s="1763"/>
      <c r="GU107" s="1763"/>
      <c r="GV107" s="1763"/>
      <c r="GW107" s="1763"/>
      <c r="GX107" s="1763"/>
      <c r="GY107" s="1763"/>
      <c r="GZ107" s="1763"/>
      <c r="HA107" s="1763"/>
      <c r="HB107" s="1763"/>
      <c r="HC107" s="1763"/>
      <c r="HD107" s="1763"/>
      <c r="HE107" s="1763"/>
      <c r="HF107" s="1763"/>
      <c r="HG107" s="1763"/>
      <c r="HH107" s="1763"/>
      <c r="HI107" s="1763"/>
      <c r="HJ107" s="1763"/>
      <c r="HK107" s="1763"/>
      <c r="HL107" s="1763"/>
      <c r="HM107" s="1763"/>
      <c r="HN107" s="1763"/>
      <c r="HO107" s="1763"/>
      <c r="HP107" s="1763"/>
      <c r="HQ107" s="1763"/>
      <c r="HR107" s="1763"/>
      <c r="HS107" s="1763"/>
      <c r="HT107" s="1763"/>
      <c r="HU107" s="1763"/>
      <c r="HV107" s="1763"/>
      <c r="HW107" s="1763"/>
      <c r="HX107" s="1763"/>
      <c r="HY107" s="1763"/>
      <c r="HZ107" s="1763"/>
      <c r="IA107" s="1763"/>
      <c r="IB107" s="1763"/>
      <c r="IC107" s="1763"/>
      <c r="ID107" s="1763"/>
      <c r="IE107" s="1763"/>
      <c r="IF107" s="1763"/>
      <c r="IG107" s="1763"/>
      <c r="IH107" s="1763"/>
      <c r="II107" s="1763"/>
      <c r="IJ107" s="1763"/>
      <c r="IK107" s="1763"/>
      <c r="IL107" s="1763"/>
      <c r="IM107" s="1763"/>
      <c r="IN107" s="1763"/>
      <c r="IO107" s="1763"/>
      <c r="IP107" s="1763"/>
      <c r="IQ107" s="1763"/>
      <c r="IR107" s="1763"/>
      <c r="IS107" s="1763"/>
      <c r="IT107" s="1763"/>
      <c r="IU107" s="1763"/>
      <c r="IV107" s="1763"/>
      <c r="IW107" s="1763"/>
      <c r="IX107" s="1763"/>
      <c r="IY107" s="1763"/>
      <c r="IZ107" s="1763"/>
      <c r="JA107" s="1763"/>
      <c r="JB107" s="1763"/>
      <c r="JC107" s="1763"/>
      <c r="JD107" s="1763"/>
      <c r="JE107" s="1763"/>
      <c r="JF107" s="1763"/>
      <c r="JG107" s="1763"/>
      <c r="JH107" s="1763"/>
      <c r="JI107" s="1763"/>
      <c r="JJ107" s="1763"/>
      <c r="JK107" s="1763"/>
      <c r="JL107" s="1763"/>
      <c r="JM107" s="1763"/>
      <c r="JN107" s="1763"/>
      <c r="JO107" s="1763"/>
      <c r="JP107" s="1763"/>
      <c r="JQ107" s="2498"/>
      <c r="JR107" s="351"/>
      <c r="JS107" s="1365"/>
      <c r="JT107" s="1385"/>
    </row>
    <row r="108" spans="1:280" ht="12.5" x14ac:dyDescent="0.25">
      <c r="A108" s="1357">
        <v>25</v>
      </c>
      <c r="B108" s="1392"/>
      <c r="C108" s="1359" t="s">
        <v>2404</v>
      </c>
      <c r="D108" s="1394"/>
      <c r="E108" s="1763"/>
      <c r="F108" s="1763"/>
      <c r="G108" s="1763"/>
      <c r="H108" s="1763"/>
      <c r="I108" s="1763"/>
      <c r="J108" s="1763"/>
      <c r="K108" s="1763"/>
      <c r="L108" s="1763"/>
      <c r="M108" s="1763"/>
      <c r="N108" s="1763"/>
      <c r="O108" s="1763"/>
      <c r="P108" s="1763"/>
      <c r="Q108" s="1763"/>
      <c r="R108" s="1763"/>
      <c r="S108" s="1763"/>
      <c r="T108" s="1763"/>
      <c r="U108" s="1763"/>
      <c r="V108" s="1763"/>
      <c r="W108" s="1763"/>
      <c r="X108" s="1763"/>
      <c r="Y108" s="1763"/>
      <c r="Z108" s="1763"/>
      <c r="AA108" s="1763"/>
      <c r="AB108" s="1763"/>
      <c r="AC108" s="1763"/>
      <c r="AD108" s="1763"/>
      <c r="AE108" s="1763"/>
      <c r="AF108" s="1763"/>
      <c r="AG108" s="1763"/>
      <c r="AH108" s="1763"/>
      <c r="AI108" s="1763"/>
      <c r="AJ108" s="1763"/>
      <c r="AK108" s="1763"/>
      <c r="AL108" s="1763"/>
      <c r="AM108" s="1763"/>
      <c r="AN108" s="1763"/>
      <c r="AO108" s="1763"/>
      <c r="AP108" s="1763"/>
      <c r="AQ108" s="1763"/>
      <c r="AR108" s="1763"/>
      <c r="AS108" s="1763"/>
      <c r="AT108" s="1763"/>
      <c r="AU108" s="1763"/>
      <c r="AV108" s="1763"/>
      <c r="AW108" s="1763"/>
      <c r="AX108" s="1763"/>
      <c r="AY108" s="1763"/>
      <c r="AZ108" s="1763"/>
      <c r="BA108" s="1763"/>
      <c r="BB108" s="1763"/>
      <c r="BC108" s="1763"/>
      <c r="BD108" s="1763"/>
      <c r="BE108" s="1763"/>
      <c r="BF108" s="1763"/>
      <c r="BG108" s="1763"/>
      <c r="BH108" s="1763"/>
      <c r="BI108" s="1763"/>
      <c r="BJ108" s="1763"/>
      <c r="BK108" s="1763"/>
      <c r="BL108" s="1763"/>
      <c r="BM108" s="1763"/>
      <c r="BN108" s="1763"/>
      <c r="BO108" s="1763"/>
      <c r="BP108" s="1763"/>
      <c r="BQ108" s="1763"/>
      <c r="BR108" s="1763"/>
      <c r="BS108" s="1763"/>
      <c r="BT108" s="1763"/>
      <c r="BU108" s="1763"/>
      <c r="BV108" s="1763"/>
      <c r="BW108" s="1763"/>
      <c r="BX108" s="1763"/>
      <c r="BY108" s="1763"/>
      <c r="BZ108" s="1763"/>
      <c r="CA108" s="1763"/>
      <c r="CB108" s="1763"/>
      <c r="CC108" s="1763"/>
      <c r="CD108" s="1763"/>
      <c r="CE108" s="1763"/>
      <c r="CF108" s="1763"/>
      <c r="CG108" s="1763"/>
      <c r="CH108" s="1763"/>
      <c r="CI108" s="1763"/>
      <c r="CJ108" s="1763"/>
      <c r="CK108" s="1763"/>
      <c r="CL108" s="1763"/>
      <c r="CM108" s="1763"/>
      <c r="CN108" s="1763"/>
      <c r="CO108" s="1763"/>
      <c r="CP108" s="1763"/>
      <c r="CQ108" s="1763"/>
      <c r="CR108" s="1763"/>
      <c r="CS108" s="1763"/>
      <c r="CT108" s="1763"/>
      <c r="CU108" s="1763"/>
      <c r="CV108" s="1763"/>
      <c r="CW108" s="1763"/>
      <c r="CX108" s="1763"/>
      <c r="CY108" s="1763"/>
      <c r="CZ108" s="1763"/>
      <c r="DA108" s="1763"/>
      <c r="DB108" s="1763"/>
      <c r="DC108" s="1763"/>
      <c r="DD108" s="1763"/>
      <c r="DE108" s="1763"/>
      <c r="DF108" s="1763"/>
      <c r="DG108" s="1763"/>
      <c r="DH108" s="1763"/>
      <c r="DI108" s="1763"/>
      <c r="DJ108" s="1763"/>
      <c r="DK108" s="1763"/>
      <c r="DL108" s="1763"/>
      <c r="DM108" s="1763"/>
      <c r="DN108" s="1763"/>
      <c r="DO108" s="1763"/>
      <c r="DP108" s="1763"/>
      <c r="DQ108" s="1763"/>
      <c r="DR108" s="1763"/>
      <c r="DS108" s="1763"/>
      <c r="DT108" s="1763"/>
      <c r="DU108" s="1763"/>
      <c r="DV108" s="1763"/>
      <c r="DW108" s="1763"/>
      <c r="DX108" s="1763"/>
      <c r="DY108" s="1763"/>
      <c r="DZ108" s="1763"/>
      <c r="EA108" s="1763"/>
      <c r="EB108" s="1763"/>
      <c r="EC108" s="1763"/>
      <c r="ED108" s="1763"/>
      <c r="EE108" s="1763"/>
      <c r="EF108" s="1763"/>
      <c r="EG108" s="1763"/>
      <c r="EH108" s="1763"/>
      <c r="EI108" s="1763"/>
      <c r="EJ108" s="1763"/>
      <c r="EK108" s="1763"/>
      <c r="EL108" s="1763"/>
      <c r="EM108" s="1763"/>
      <c r="EN108" s="1763"/>
      <c r="EO108" s="1763"/>
      <c r="EP108" s="1763"/>
      <c r="EQ108" s="1763"/>
      <c r="ER108" s="1763"/>
      <c r="ES108" s="1763"/>
      <c r="ET108" s="1763"/>
      <c r="EU108" s="1763"/>
      <c r="EV108" s="1763"/>
      <c r="EW108" s="1763"/>
      <c r="EX108" s="1763"/>
      <c r="EY108" s="1763"/>
      <c r="EZ108" s="1763"/>
      <c r="FA108" s="1763"/>
      <c r="FB108" s="1763"/>
      <c r="FC108" s="1763"/>
      <c r="FD108" s="1763"/>
      <c r="FE108" s="1763"/>
      <c r="FF108" s="1763"/>
      <c r="FG108" s="1763"/>
      <c r="FH108" s="1763"/>
      <c r="FI108" s="1763"/>
      <c r="FJ108" s="1763"/>
      <c r="FK108" s="1763"/>
      <c r="FL108" s="1763"/>
      <c r="FM108" s="1763"/>
      <c r="FN108" s="1763"/>
      <c r="FO108" s="1763"/>
      <c r="FP108" s="1763"/>
      <c r="FQ108" s="1763"/>
      <c r="FR108" s="1763"/>
      <c r="FS108" s="1763"/>
      <c r="FT108" s="1763"/>
      <c r="FU108" s="1763"/>
      <c r="FV108" s="1763"/>
      <c r="FW108" s="1763"/>
      <c r="FX108" s="1763"/>
      <c r="FY108" s="1763"/>
      <c r="FZ108" s="1763"/>
      <c r="GA108" s="1763"/>
      <c r="GB108" s="1763"/>
      <c r="GC108" s="1763"/>
      <c r="GD108" s="1763"/>
      <c r="GE108" s="1763"/>
      <c r="GF108" s="1763"/>
      <c r="GG108" s="1763"/>
      <c r="GH108" s="1763"/>
      <c r="GI108" s="1763"/>
      <c r="GJ108" s="1763"/>
      <c r="GK108" s="1763"/>
      <c r="GL108" s="1763"/>
      <c r="GM108" s="1763"/>
      <c r="GN108" s="1763"/>
      <c r="GO108" s="1763"/>
      <c r="GP108" s="1763"/>
      <c r="GQ108" s="1763"/>
      <c r="GR108" s="1763"/>
      <c r="GS108" s="1763"/>
      <c r="GT108" s="1763"/>
      <c r="GU108" s="1763"/>
      <c r="GV108" s="1763"/>
      <c r="GW108" s="1763"/>
      <c r="GX108" s="1763"/>
      <c r="GY108" s="1763"/>
      <c r="GZ108" s="1763"/>
      <c r="HA108" s="1763"/>
      <c r="HB108" s="1763"/>
      <c r="HC108" s="1763"/>
      <c r="HD108" s="1763"/>
      <c r="HE108" s="1763"/>
      <c r="HF108" s="1763"/>
      <c r="HG108" s="1763"/>
      <c r="HH108" s="1763"/>
      <c r="HI108" s="1763"/>
      <c r="HJ108" s="1763"/>
      <c r="HK108" s="1763"/>
      <c r="HL108" s="1763"/>
      <c r="HM108" s="1763"/>
      <c r="HN108" s="1763"/>
      <c r="HO108" s="1763"/>
      <c r="HP108" s="1763"/>
      <c r="HQ108" s="1763"/>
      <c r="HR108" s="1763"/>
      <c r="HS108" s="1763"/>
      <c r="HT108" s="1763"/>
      <c r="HU108" s="1763"/>
      <c r="HV108" s="1763"/>
      <c r="HW108" s="1763"/>
      <c r="HX108" s="1763"/>
      <c r="HY108" s="1763"/>
      <c r="HZ108" s="1763"/>
      <c r="IA108" s="1763"/>
      <c r="IB108" s="1763"/>
      <c r="IC108" s="1763"/>
      <c r="ID108" s="1763"/>
      <c r="IE108" s="1763"/>
      <c r="IF108" s="1763"/>
      <c r="IG108" s="1763"/>
      <c r="IH108" s="1763"/>
      <c r="II108" s="1763"/>
      <c r="IJ108" s="1763"/>
      <c r="IK108" s="1763"/>
      <c r="IL108" s="1763"/>
      <c r="IM108" s="1763"/>
      <c r="IN108" s="1763"/>
      <c r="IO108" s="1763"/>
      <c r="IP108" s="1763"/>
      <c r="IQ108" s="1763"/>
      <c r="IR108" s="1763"/>
      <c r="IS108" s="1763"/>
      <c r="IT108" s="1763"/>
      <c r="IU108" s="1763"/>
      <c r="IV108" s="1763"/>
      <c r="IW108" s="1763"/>
      <c r="IX108" s="1763"/>
      <c r="IY108" s="1763"/>
      <c r="IZ108" s="1763"/>
      <c r="JA108" s="1763"/>
      <c r="JB108" s="1763"/>
      <c r="JC108" s="1763"/>
      <c r="JD108" s="1763"/>
      <c r="JE108" s="1763"/>
      <c r="JF108" s="1763"/>
      <c r="JG108" s="1763"/>
      <c r="JH108" s="1763"/>
      <c r="JI108" s="1763"/>
      <c r="JJ108" s="1763"/>
      <c r="JK108" s="1763"/>
      <c r="JL108" s="1763"/>
      <c r="JM108" s="1763"/>
      <c r="JN108" s="1763"/>
      <c r="JO108" s="1763"/>
      <c r="JP108" s="1763"/>
      <c r="JQ108" s="2498"/>
      <c r="JR108" s="351"/>
      <c r="JS108" s="1365"/>
      <c r="JT108" s="1385"/>
    </row>
    <row r="109" spans="1:280" ht="12.5" x14ac:dyDescent="0.25">
      <c r="A109" s="1357">
        <v>26</v>
      </c>
      <c r="B109" s="1392"/>
      <c r="C109" s="1359" t="s">
        <v>2405</v>
      </c>
      <c r="D109" s="1394"/>
      <c r="E109" s="1763"/>
      <c r="F109" s="1763"/>
      <c r="G109" s="1763"/>
      <c r="H109" s="1763"/>
      <c r="I109" s="1763"/>
      <c r="J109" s="1763"/>
      <c r="K109" s="1763"/>
      <c r="L109" s="1763"/>
      <c r="M109" s="1763"/>
      <c r="N109" s="1763"/>
      <c r="O109" s="1763"/>
      <c r="P109" s="1763"/>
      <c r="Q109" s="1763"/>
      <c r="R109" s="1763"/>
      <c r="S109" s="1763"/>
      <c r="T109" s="1763"/>
      <c r="U109" s="1763"/>
      <c r="V109" s="1763"/>
      <c r="W109" s="1763"/>
      <c r="X109" s="1763"/>
      <c r="Y109" s="1763"/>
      <c r="Z109" s="1763"/>
      <c r="AA109" s="1763"/>
      <c r="AB109" s="1763"/>
      <c r="AC109" s="1763"/>
      <c r="AD109" s="1763"/>
      <c r="AE109" s="1763"/>
      <c r="AF109" s="1763"/>
      <c r="AG109" s="1763"/>
      <c r="AH109" s="1763"/>
      <c r="AI109" s="1763"/>
      <c r="AJ109" s="1763"/>
      <c r="AK109" s="1763"/>
      <c r="AL109" s="1763"/>
      <c r="AM109" s="1763"/>
      <c r="AN109" s="1763"/>
      <c r="AO109" s="1763"/>
      <c r="AP109" s="1763"/>
      <c r="AQ109" s="1763"/>
      <c r="AR109" s="1763"/>
      <c r="AS109" s="1763"/>
      <c r="AT109" s="1763"/>
      <c r="AU109" s="1763"/>
      <c r="AV109" s="1763"/>
      <c r="AW109" s="1763"/>
      <c r="AX109" s="1763"/>
      <c r="AY109" s="1763"/>
      <c r="AZ109" s="1763"/>
      <c r="BA109" s="1763"/>
      <c r="BB109" s="1763"/>
      <c r="BC109" s="1763"/>
      <c r="BD109" s="1763"/>
      <c r="BE109" s="1763"/>
      <c r="BF109" s="1763"/>
      <c r="BG109" s="1763"/>
      <c r="BH109" s="1763"/>
      <c r="BI109" s="1763"/>
      <c r="BJ109" s="1763"/>
      <c r="BK109" s="1763"/>
      <c r="BL109" s="1763"/>
      <c r="BM109" s="1763"/>
      <c r="BN109" s="1763"/>
      <c r="BO109" s="1763"/>
      <c r="BP109" s="1763"/>
      <c r="BQ109" s="1763"/>
      <c r="BR109" s="1763"/>
      <c r="BS109" s="1763"/>
      <c r="BT109" s="1763"/>
      <c r="BU109" s="1763"/>
      <c r="BV109" s="1763"/>
      <c r="BW109" s="1763"/>
      <c r="BX109" s="1763"/>
      <c r="BY109" s="1763"/>
      <c r="BZ109" s="1763"/>
      <c r="CA109" s="1763"/>
      <c r="CB109" s="1763"/>
      <c r="CC109" s="1763"/>
      <c r="CD109" s="1763"/>
      <c r="CE109" s="1763"/>
      <c r="CF109" s="1763"/>
      <c r="CG109" s="1763"/>
      <c r="CH109" s="1763"/>
      <c r="CI109" s="1763"/>
      <c r="CJ109" s="1763"/>
      <c r="CK109" s="1763"/>
      <c r="CL109" s="1763"/>
      <c r="CM109" s="1763"/>
      <c r="CN109" s="1763"/>
      <c r="CO109" s="1763"/>
      <c r="CP109" s="1763"/>
      <c r="CQ109" s="1763"/>
      <c r="CR109" s="1763"/>
      <c r="CS109" s="1763"/>
      <c r="CT109" s="1763"/>
      <c r="CU109" s="1763"/>
      <c r="CV109" s="1763"/>
      <c r="CW109" s="1763"/>
      <c r="CX109" s="1763"/>
      <c r="CY109" s="1763"/>
      <c r="CZ109" s="1763"/>
      <c r="DA109" s="1763"/>
      <c r="DB109" s="1763"/>
      <c r="DC109" s="1763"/>
      <c r="DD109" s="1763"/>
      <c r="DE109" s="1763"/>
      <c r="DF109" s="1763"/>
      <c r="DG109" s="1763"/>
      <c r="DH109" s="1763"/>
      <c r="DI109" s="1763"/>
      <c r="DJ109" s="1763"/>
      <c r="DK109" s="1763"/>
      <c r="DL109" s="1763"/>
      <c r="DM109" s="1763"/>
      <c r="DN109" s="1763"/>
      <c r="DO109" s="1763"/>
      <c r="DP109" s="1763"/>
      <c r="DQ109" s="1763"/>
      <c r="DR109" s="1763"/>
      <c r="DS109" s="1763"/>
      <c r="DT109" s="1763"/>
      <c r="DU109" s="1763"/>
      <c r="DV109" s="1763"/>
      <c r="DW109" s="1763"/>
      <c r="DX109" s="1763"/>
      <c r="DY109" s="1763"/>
      <c r="DZ109" s="1763"/>
      <c r="EA109" s="1763"/>
      <c r="EB109" s="1763"/>
      <c r="EC109" s="1763"/>
      <c r="ED109" s="1763"/>
      <c r="EE109" s="1763"/>
      <c r="EF109" s="1763"/>
      <c r="EG109" s="1763"/>
      <c r="EH109" s="1763"/>
      <c r="EI109" s="1763"/>
      <c r="EJ109" s="1763"/>
      <c r="EK109" s="1763"/>
      <c r="EL109" s="1763"/>
      <c r="EM109" s="1763"/>
      <c r="EN109" s="1763"/>
      <c r="EO109" s="1763"/>
      <c r="EP109" s="1763"/>
      <c r="EQ109" s="1763"/>
      <c r="ER109" s="1763"/>
      <c r="ES109" s="1763"/>
      <c r="ET109" s="1763"/>
      <c r="EU109" s="1763"/>
      <c r="EV109" s="1763"/>
      <c r="EW109" s="1763"/>
      <c r="EX109" s="1763"/>
      <c r="EY109" s="1763"/>
      <c r="EZ109" s="1763"/>
      <c r="FA109" s="1763"/>
      <c r="FB109" s="1763"/>
      <c r="FC109" s="1763"/>
      <c r="FD109" s="1763"/>
      <c r="FE109" s="1763"/>
      <c r="FF109" s="1763"/>
      <c r="FG109" s="1763"/>
      <c r="FH109" s="1763"/>
      <c r="FI109" s="1763"/>
      <c r="FJ109" s="1763"/>
      <c r="FK109" s="1763"/>
      <c r="FL109" s="1763"/>
      <c r="FM109" s="1763"/>
      <c r="FN109" s="1763"/>
      <c r="FO109" s="1763"/>
      <c r="FP109" s="1763"/>
      <c r="FQ109" s="1763"/>
      <c r="FR109" s="1763"/>
      <c r="FS109" s="1763"/>
      <c r="FT109" s="1763"/>
      <c r="FU109" s="1763"/>
      <c r="FV109" s="1763"/>
      <c r="FW109" s="1763"/>
      <c r="FX109" s="1763"/>
      <c r="FY109" s="1763"/>
      <c r="FZ109" s="1763"/>
      <c r="GA109" s="1763"/>
      <c r="GB109" s="1763"/>
      <c r="GC109" s="1763"/>
      <c r="GD109" s="1763"/>
      <c r="GE109" s="1763"/>
      <c r="GF109" s="1763"/>
      <c r="GG109" s="1763"/>
      <c r="GH109" s="1763"/>
      <c r="GI109" s="1763"/>
      <c r="GJ109" s="1763"/>
      <c r="GK109" s="1763"/>
      <c r="GL109" s="1763"/>
      <c r="GM109" s="1763"/>
      <c r="GN109" s="1763"/>
      <c r="GO109" s="1763"/>
      <c r="GP109" s="1763"/>
      <c r="GQ109" s="1763"/>
      <c r="GR109" s="1763"/>
      <c r="GS109" s="1763"/>
      <c r="GT109" s="1763"/>
      <c r="GU109" s="1763"/>
      <c r="GV109" s="1763"/>
      <c r="GW109" s="1763"/>
      <c r="GX109" s="1763"/>
      <c r="GY109" s="1763"/>
      <c r="GZ109" s="1763"/>
      <c r="HA109" s="1763"/>
      <c r="HB109" s="1763"/>
      <c r="HC109" s="1763"/>
      <c r="HD109" s="1763"/>
      <c r="HE109" s="1763"/>
      <c r="HF109" s="1763"/>
      <c r="HG109" s="1763"/>
      <c r="HH109" s="1763"/>
      <c r="HI109" s="1763"/>
      <c r="HJ109" s="1763"/>
      <c r="HK109" s="1763"/>
      <c r="HL109" s="1763"/>
      <c r="HM109" s="1763"/>
      <c r="HN109" s="1763"/>
      <c r="HO109" s="1763"/>
      <c r="HP109" s="1763"/>
      <c r="HQ109" s="1763"/>
      <c r="HR109" s="1763"/>
      <c r="HS109" s="1763"/>
      <c r="HT109" s="1763"/>
      <c r="HU109" s="1763"/>
      <c r="HV109" s="1763"/>
      <c r="HW109" s="1763"/>
      <c r="HX109" s="1763"/>
      <c r="HY109" s="1763"/>
      <c r="HZ109" s="1763"/>
      <c r="IA109" s="1763"/>
      <c r="IB109" s="1763"/>
      <c r="IC109" s="1763"/>
      <c r="ID109" s="1763"/>
      <c r="IE109" s="1763"/>
      <c r="IF109" s="1763"/>
      <c r="IG109" s="1763"/>
      <c r="IH109" s="1763"/>
      <c r="II109" s="1763"/>
      <c r="IJ109" s="1763"/>
      <c r="IK109" s="1763"/>
      <c r="IL109" s="1763"/>
      <c r="IM109" s="1763"/>
      <c r="IN109" s="1763"/>
      <c r="IO109" s="1763"/>
      <c r="IP109" s="1763"/>
      <c r="IQ109" s="1763"/>
      <c r="IR109" s="1763"/>
      <c r="IS109" s="1763"/>
      <c r="IT109" s="1763"/>
      <c r="IU109" s="1763"/>
      <c r="IV109" s="1763"/>
      <c r="IW109" s="1763"/>
      <c r="IX109" s="1763"/>
      <c r="IY109" s="1763"/>
      <c r="IZ109" s="1763"/>
      <c r="JA109" s="1763"/>
      <c r="JB109" s="1763"/>
      <c r="JC109" s="1763"/>
      <c r="JD109" s="1763"/>
      <c r="JE109" s="1763"/>
      <c r="JF109" s="1763"/>
      <c r="JG109" s="1763"/>
      <c r="JH109" s="1763"/>
      <c r="JI109" s="1763"/>
      <c r="JJ109" s="1763"/>
      <c r="JK109" s="1763"/>
      <c r="JL109" s="1763"/>
      <c r="JM109" s="1763"/>
      <c r="JN109" s="1763"/>
      <c r="JO109" s="1763"/>
      <c r="JP109" s="1763"/>
      <c r="JQ109" s="2498"/>
      <c r="JR109" s="351"/>
      <c r="JS109" s="1365"/>
      <c r="JT109" s="1385"/>
    </row>
    <row r="110" spans="1:280" ht="13" thickBot="1" x14ac:dyDescent="0.3">
      <c r="A110" s="1357">
        <v>27</v>
      </c>
      <c r="B110" s="1392"/>
      <c r="C110" s="705" t="s">
        <v>2406</v>
      </c>
      <c r="D110" s="698"/>
      <c r="E110" s="712"/>
      <c r="F110" s="712"/>
      <c r="G110" s="712"/>
      <c r="H110" s="712"/>
      <c r="I110" s="712"/>
      <c r="J110" s="712"/>
      <c r="K110" s="712"/>
      <c r="L110" s="712"/>
      <c r="M110" s="712"/>
      <c r="N110" s="712"/>
      <c r="O110" s="712"/>
      <c r="P110" s="712"/>
      <c r="Q110" s="712"/>
      <c r="R110" s="712"/>
      <c r="S110" s="712"/>
      <c r="T110" s="712"/>
      <c r="U110" s="712"/>
      <c r="V110" s="712"/>
      <c r="W110" s="712"/>
      <c r="X110" s="712"/>
      <c r="Y110" s="712"/>
      <c r="Z110" s="712"/>
      <c r="AA110" s="712"/>
      <c r="AB110" s="712"/>
      <c r="AC110" s="712"/>
      <c r="AD110" s="712"/>
      <c r="AE110" s="712"/>
      <c r="AF110" s="712"/>
      <c r="AG110" s="712"/>
      <c r="AH110" s="712"/>
      <c r="AI110" s="712"/>
      <c r="AJ110" s="712"/>
      <c r="AK110" s="712"/>
      <c r="AL110" s="712"/>
      <c r="AM110" s="712"/>
      <c r="AN110" s="712"/>
      <c r="AO110" s="712"/>
      <c r="AP110" s="712"/>
      <c r="AQ110" s="712"/>
      <c r="AR110" s="712"/>
      <c r="AS110" s="712"/>
      <c r="AT110" s="712"/>
      <c r="AU110" s="712"/>
      <c r="AV110" s="712"/>
      <c r="AW110" s="712"/>
      <c r="AX110" s="712"/>
      <c r="AY110" s="712"/>
      <c r="AZ110" s="712"/>
      <c r="BA110" s="712"/>
      <c r="BB110" s="712"/>
      <c r="BC110" s="712"/>
      <c r="BD110" s="712"/>
      <c r="BE110" s="712"/>
      <c r="BF110" s="712"/>
      <c r="BG110" s="712"/>
      <c r="BH110" s="712"/>
      <c r="BI110" s="712"/>
      <c r="BJ110" s="712"/>
      <c r="BK110" s="712"/>
      <c r="BL110" s="712"/>
      <c r="BM110" s="712"/>
      <c r="BN110" s="712"/>
      <c r="BO110" s="712"/>
      <c r="BP110" s="712"/>
      <c r="BQ110" s="712"/>
      <c r="BR110" s="712"/>
      <c r="BS110" s="712"/>
      <c r="BT110" s="712"/>
      <c r="BU110" s="712"/>
      <c r="BV110" s="712"/>
      <c r="BW110" s="712"/>
      <c r="BX110" s="712"/>
      <c r="BY110" s="712"/>
      <c r="BZ110" s="712"/>
      <c r="CA110" s="712"/>
      <c r="CB110" s="712"/>
      <c r="CC110" s="712"/>
      <c r="CD110" s="712"/>
      <c r="CE110" s="712"/>
      <c r="CF110" s="712"/>
      <c r="CG110" s="712"/>
      <c r="CH110" s="712"/>
      <c r="CI110" s="712"/>
      <c r="CJ110" s="712"/>
      <c r="CK110" s="712"/>
      <c r="CL110" s="712"/>
      <c r="CM110" s="712"/>
      <c r="CN110" s="712"/>
      <c r="CO110" s="712"/>
      <c r="CP110" s="712"/>
      <c r="CQ110" s="712"/>
      <c r="CR110" s="712"/>
      <c r="CS110" s="712"/>
      <c r="CT110" s="712"/>
      <c r="CU110" s="712"/>
      <c r="CV110" s="712"/>
      <c r="CW110" s="712"/>
      <c r="CX110" s="712"/>
      <c r="CY110" s="712"/>
      <c r="CZ110" s="712"/>
      <c r="DA110" s="712"/>
      <c r="DB110" s="712"/>
      <c r="DC110" s="712"/>
      <c r="DD110" s="712"/>
      <c r="DE110" s="712"/>
      <c r="DF110" s="712"/>
      <c r="DG110" s="712"/>
      <c r="DH110" s="712"/>
      <c r="DI110" s="712"/>
      <c r="DJ110" s="712"/>
      <c r="DK110" s="712"/>
      <c r="DL110" s="712"/>
      <c r="DM110" s="712"/>
      <c r="DN110" s="712"/>
      <c r="DO110" s="712"/>
      <c r="DP110" s="712"/>
      <c r="DQ110" s="712"/>
      <c r="DR110" s="712"/>
      <c r="DS110" s="712"/>
      <c r="DT110" s="712"/>
      <c r="DU110" s="712"/>
      <c r="DV110" s="712"/>
      <c r="DW110" s="712"/>
      <c r="DX110" s="712"/>
      <c r="DY110" s="712"/>
      <c r="DZ110" s="712"/>
      <c r="EA110" s="712"/>
      <c r="EB110" s="712"/>
      <c r="EC110" s="712"/>
      <c r="ED110" s="712"/>
      <c r="EE110" s="712"/>
      <c r="EF110" s="712"/>
      <c r="EG110" s="712"/>
      <c r="EH110" s="712"/>
      <c r="EI110" s="712"/>
      <c r="EJ110" s="712"/>
      <c r="EK110" s="712"/>
      <c r="EL110" s="712"/>
      <c r="EM110" s="712"/>
      <c r="EN110" s="712"/>
      <c r="EO110" s="712"/>
      <c r="EP110" s="712"/>
      <c r="EQ110" s="712"/>
      <c r="ER110" s="712"/>
      <c r="ES110" s="712"/>
      <c r="ET110" s="712"/>
      <c r="EU110" s="712"/>
      <c r="EV110" s="712"/>
      <c r="EW110" s="712"/>
      <c r="EX110" s="712"/>
      <c r="EY110" s="712"/>
      <c r="EZ110" s="712"/>
      <c r="FA110" s="712"/>
      <c r="FB110" s="712"/>
      <c r="FC110" s="712"/>
      <c r="FD110" s="712"/>
      <c r="FE110" s="712"/>
      <c r="FF110" s="712"/>
      <c r="FG110" s="712"/>
      <c r="FH110" s="712"/>
      <c r="FI110" s="712"/>
      <c r="FJ110" s="712"/>
      <c r="FK110" s="712"/>
      <c r="FL110" s="712"/>
      <c r="FM110" s="712"/>
      <c r="FN110" s="712"/>
      <c r="FO110" s="712"/>
      <c r="FP110" s="712"/>
      <c r="FQ110" s="712"/>
      <c r="FR110" s="712"/>
      <c r="FS110" s="712"/>
      <c r="FT110" s="712"/>
      <c r="FU110" s="712"/>
      <c r="FV110" s="712"/>
      <c r="FW110" s="712"/>
      <c r="FX110" s="712"/>
      <c r="FY110" s="712"/>
      <c r="FZ110" s="712"/>
      <c r="GA110" s="712"/>
      <c r="GB110" s="712"/>
      <c r="GC110" s="712"/>
      <c r="GD110" s="712"/>
      <c r="GE110" s="712"/>
      <c r="GF110" s="712"/>
      <c r="GG110" s="712"/>
      <c r="GH110" s="712"/>
      <c r="GI110" s="712"/>
      <c r="GJ110" s="712"/>
      <c r="GK110" s="712"/>
      <c r="GL110" s="712"/>
      <c r="GM110" s="712"/>
      <c r="GN110" s="712"/>
      <c r="GO110" s="712"/>
      <c r="GP110" s="712"/>
      <c r="GQ110" s="712"/>
      <c r="GR110" s="712"/>
      <c r="GS110" s="712"/>
      <c r="GT110" s="712"/>
      <c r="GU110" s="712"/>
      <c r="GV110" s="712"/>
      <c r="GW110" s="712"/>
      <c r="GX110" s="712"/>
      <c r="GY110" s="712"/>
      <c r="GZ110" s="712"/>
      <c r="HA110" s="712"/>
      <c r="HB110" s="712"/>
      <c r="HC110" s="712"/>
      <c r="HD110" s="712"/>
      <c r="HE110" s="712"/>
      <c r="HF110" s="712"/>
      <c r="HG110" s="712"/>
      <c r="HH110" s="712"/>
      <c r="HI110" s="712"/>
      <c r="HJ110" s="712"/>
      <c r="HK110" s="712"/>
      <c r="HL110" s="712"/>
      <c r="HM110" s="712"/>
      <c r="HN110" s="712"/>
      <c r="HO110" s="712"/>
      <c r="HP110" s="712"/>
      <c r="HQ110" s="712"/>
      <c r="HR110" s="712"/>
      <c r="HS110" s="712"/>
      <c r="HT110" s="712"/>
      <c r="HU110" s="712"/>
      <c r="HV110" s="712"/>
      <c r="HW110" s="712"/>
      <c r="HX110" s="712"/>
      <c r="HY110" s="712"/>
      <c r="HZ110" s="712"/>
      <c r="IA110" s="712"/>
      <c r="IB110" s="712"/>
      <c r="IC110" s="712"/>
      <c r="ID110" s="712"/>
      <c r="IE110" s="712"/>
      <c r="IF110" s="712"/>
      <c r="IG110" s="712"/>
      <c r="IH110" s="712"/>
      <c r="II110" s="712"/>
      <c r="IJ110" s="712"/>
      <c r="IK110" s="712"/>
      <c r="IL110" s="712"/>
      <c r="IM110" s="712"/>
      <c r="IN110" s="712"/>
      <c r="IO110" s="712"/>
      <c r="IP110" s="712"/>
      <c r="IQ110" s="712"/>
      <c r="IR110" s="712"/>
      <c r="IS110" s="712"/>
      <c r="IT110" s="712"/>
      <c r="IU110" s="712"/>
      <c r="IV110" s="712"/>
      <c r="IW110" s="712"/>
      <c r="IX110" s="712"/>
      <c r="IY110" s="712"/>
      <c r="IZ110" s="712"/>
      <c r="JA110" s="712"/>
      <c r="JB110" s="712"/>
      <c r="JC110" s="712"/>
      <c r="JD110" s="712"/>
      <c r="JE110" s="712"/>
      <c r="JF110" s="712"/>
      <c r="JG110" s="712"/>
      <c r="JH110" s="712"/>
      <c r="JI110" s="712"/>
      <c r="JJ110" s="712"/>
      <c r="JK110" s="712"/>
      <c r="JL110" s="712"/>
      <c r="JM110" s="712"/>
      <c r="JN110" s="712"/>
      <c r="JO110" s="712"/>
      <c r="JP110" s="712"/>
      <c r="JQ110" s="711"/>
      <c r="JR110" s="351"/>
      <c r="JS110" s="1365"/>
      <c r="JT110" s="1385"/>
    </row>
  </sheetData>
  <phoneticPr fontId="58" type="noConversion"/>
  <dataValidations count="1">
    <dataValidation type="list" allowBlank="1" showInputMessage="1" showErrorMessage="1" sqref="JT60:JT64 JT12:JT18 JT21:JT29 JT32:JT36 JT39:JT43 JT46:JT51 JT54:JT57 JT67:JT72 JT76:JT82 JT86:JT110 JT4:JT9" xr:uid="{00000000-0002-0000-0900-000000000000}">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oddFooter>&amp;C&amp;1#&amp;"Calibri"&amp;10&amp;K000000OFFICIAL-SENSITIVE</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S105"/>
  <sheetViews>
    <sheetView showGridLines="0" zoomScaleNormal="100" workbookViewId="0">
      <pane xSplit="4" ySplit="1" topLeftCell="GW15" activePane="bottomRight" state="frozen"/>
      <selection pane="topRight" activeCell="I74" sqref="I74"/>
      <selection pane="bottomLeft" activeCell="I74" sqref="I74"/>
      <selection pane="bottomRight" activeCell="D37" sqref="D37"/>
    </sheetView>
  </sheetViews>
  <sheetFormatPr defaultColWidth="9.1796875" defaultRowHeight="11.5" x14ac:dyDescent="0.25"/>
  <cols>
    <col min="1" max="1" width="3.81640625" style="259" bestFit="1" customWidth="1"/>
    <col min="2" max="2" width="10.54296875" style="8" customWidth="1"/>
    <col min="3" max="3" width="11.81640625" style="12" customWidth="1"/>
    <col min="4" max="4" width="46" style="8" customWidth="1"/>
    <col min="5" max="5" width="10.1796875" style="8" bestFit="1" customWidth="1"/>
    <col min="6" max="6" width="10.453125" style="8" customWidth="1"/>
    <col min="7" max="7" width="10.1796875" style="8" customWidth="1"/>
    <col min="8" max="8" width="10.1796875" style="8" bestFit="1" customWidth="1"/>
    <col min="9" max="9" width="9.54296875" style="8" bestFit="1" customWidth="1"/>
    <col min="10" max="11" width="10.54296875" style="8" customWidth="1"/>
    <col min="12" max="13" width="11.1796875" style="8" bestFit="1" customWidth="1"/>
    <col min="14" max="14" width="10" style="8" bestFit="1" customWidth="1"/>
    <col min="15" max="15" width="10" style="8" customWidth="1"/>
    <col min="16" max="16" width="10" style="8" bestFit="1" customWidth="1"/>
    <col min="17" max="97" width="10" style="8" customWidth="1"/>
    <col min="98" max="98" width="13" style="8" customWidth="1"/>
    <col min="99" max="156" width="10" style="8" customWidth="1"/>
    <col min="157" max="157" width="13.453125" style="8" customWidth="1"/>
    <col min="158" max="189" width="10" style="8" customWidth="1"/>
    <col min="190" max="190" width="10.54296875" style="8" customWidth="1"/>
    <col min="191" max="191" width="10" style="8" customWidth="1"/>
    <col min="192" max="192" width="11" style="8" bestFit="1" customWidth="1"/>
    <col min="193" max="261" width="10" style="8" customWidth="1"/>
    <col min="262" max="262" width="12.81640625" style="8" customWidth="1"/>
    <col min="263" max="277" width="10" style="8" customWidth="1"/>
    <col min="278" max="278" width="2.1796875" style="8" customWidth="1"/>
    <col min="279" max="279" width="47.453125" style="8" customWidth="1"/>
    <col min="280" max="16384" width="9.1796875" style="8"/>
  </cols>
  <sheetData>
    <row r="1" spans="1:279" ht="12.5" x14ac:dyDescent="0.25">
      <c r="E1" s="1355">
        <v>1</v>
      </c>
      <c r="F1" s="1355">
        <v>2</v>
      </c>
      <c r="G1" s="1355">
        <v>3</v>
      </c>
      <c r="H1" s="1355">
        <v>4</v>
      </c>
      <c r="I1" s="1355">
        <v>5</v>
      </c>
      <c r="J1" s="1355">
        <v>6</v>
      </c>
      <c r="K1" s="1355">
        <v>7</v>
      </c>
      <c r="L1" s="1355">
        <v>8</v>
      </c>
      <c r="M1" s="1355">
        <v>9</v>
      </c>
      <c r="N1" s="1355">
        <v>10</v>
      </c>
      <c r="O1" s="1355">
        <v>11</v>
      </c>
      <c r="P1" s="1355">
        <v>12</v>
      </c>
      <c r="Q1" s="1355">
        <v>13</v>
      </c>
      <c r="R1" s="1355">
        <v>14</v>
      </c>
      <c r="S1" s="1355">
        <v>15</v>
      </c>
      <c r="T1" s="1355">
        <v>16</v>
      </c>
      <c r="U1" s="1355">
        <v>17</v>
      </c>
      <c r="V1" s="1355">
        <v>18</v>
      </c>
      <c r="W1" s="1355">
        <v>19</v>
      </c>
      <c r="X1" s="1355">
        <v>20</v>
      </c>
      <c r="Y1" s="1355">
        <v>21</v>
      </c>
      <c r="Z1" s="1355">
        <v>22</v>
      </c>
      <c r="AA1" s="1355">
        <v>23</v>
      </c>
      <c r="AB1" s="1355">
        <v>24</v>
      </c>
      <c r="AC1" s="1355">
        <v>25</v>
      </c>
      <c r="AD1" s="1355">
        <v>26</v>
      </c>
      <c r="AE1" s="1355">
        <v>27</v>
      </c>
      <c r="AF1" s="1355">
        <v>28</v>
      </c>
      <c r="AG1" s="1355">
        <v>29</v>
      </c>
      <c r="AH1" s="1355">
        <v>30</v>
      </c>
      <c r="AI1" s="1355">
        <v>31</v>
      </c>
      <c r="AJ1" s="1355">
        <v>32</v>
      </c>
      <c r="AK1" s="1355">
        <v>33</v>
      </c>
      <c r="AL1" s="1355">
        <v>34</v>
      </c>
      <c r="AM1" s="1355">
        <v>35</v>
      </c>
      <c r="AN1" s="1355">
        <v>36</v>
      </c>
      <c r="AO1" s="1355">
        <v>37</v>
      </c>
      <c r="AP1" s="1355">
        <v>38</v>
      </c>
      <c r="AQ1" s="1355">
        <v>39</v>
      </c>
      <c r="AR1" s="1355">
        <v>40</v>
      </c>
      <c r="AS1" s="1355">
        <v>41</v>
      </c>
      <c r="AT1" s="1355">
        <v>42</v>
      </c>
      <c r="AU1" s="1355">
        <v>43</v>
      </c>
      <c r="AV1" s="1355">
        <v>44</v>
      </c>
      <c r="AW1" s="1355">
        <v>45</v>
      </c>
      <c r="AX1" s="1355">
        <v>46</v>
      </c>
      <c r="AY1" s="1355">
        <v>47</v>
      </c>
      <c r="AZ1" s="1355">
        <v>48</v>
      </c>
      <c r="BA1" s="1355">
        <v>49</v>
      </c>
      <c r="BB1" s="1355">
        <v>50</v>
      </c>
      <c r="BC1" s="1355">
        <v>51</v>
      </c>
      <c r="BD1" s="1355">
        <v>52</v>
      </c>
      <c r="BE1" s="1355">
        <v>53</v>
      </c>
      <c r="BF1" s="1355">
        <v>54</v>
      </c>
      <c r="BG1" s="1355">
        <v>55</v>
      </c>
      <c r="BH1" s="1355">
        <v>56</v>
      </c>
      <c r="BI1" s="1355">
        <v>57</v>
      </c>
      <c r="BJ1" s="1355">
        <v>58</v>
      </c>
      <c r="BK1" s="1355">
        <v>59</v>
      </c>
      <c r="BL1" s="1355">
        <v>60</v>
      </c>
      <c r="BM1" s="1355">
        <v>61</v>
      </c>
      <c r="BN1" s="1355">
        <v>62</v>
      </c>
      <c r="BO1" s="1355">
        <v>63</v>
      </c>
      <c r="BP1" s="1355">
        <v>64</v>
      </c>
      <c r="BQ1" s="1355">
        <v>65</v>
      </c>
      <c r="BR1" s="1355">
        <v>66</v>
      </c>
      <c r="BS1" s="1355">
        <v>67</v>
      </c>
      <c r="BT1" s="1355">
        <v>68</v>
      </c>
      <c r="BU1" s="1355">
        <v>69</v>
      </c>
      <c r="BV1" s="1355">
        <v>70</v>
      </c>
      <c r="BW1" s="1355">
        <v>71</v>
      </c>
      <c r="BX1" s="1355">
        <v>72</v>
      </c>
      <c r="BY1" s="1355">
        <v>73</v>
      </c>
      <c r="BZ1" s="1355">
        <v>74</v>
      </c>
      <c r="CA1" s="1355">
        <v>75</v>
      </c>
      <c r="CB1" s="1355">
        <v>76</v>
      </c>
      <c r="CC1" s="1355">
        <v>77</v>
      </c>
      <c r="CD1" s="1355">
        <v>78</v>
      </c>
      <c r="CE1" s="1355">
        <v>79</v>
      </c>
      <c r="CF1" s="1355">
        <v>80</v>
      </c>
      <c r="CG1" s="1355">
        <v>81</v>
      </c>
      <c r="CH1" s="1355">
        <v>82</v>
      </c>
      <c r="CI1" s="1355">
        <v>83</v>
      </c>
      <c r="CJ1" s="1355">
        <v>84</v>
      </c>
      <c r="CK1" s="1355">
        <v>85</v>
      </c>
      <c r="CL1" s="1355">
        <v>86</v>
      </c>
      <c r="CM1" s="1355">
        <v>87</v>
      </c>
      <c r="CN1" s="1355">
        <v>88</v>
      </c>
      <c r="CO1" s="1355">
        <v>89</v>
      </c>
      <c r="CP1" s="1355">
        <v>90</v>
      </c>
      <c r="CQ1" s="1355">
        <v>91</v>
      </c>
      <c r="CR1" s="1355">
        <v>92</v>
      </c>
      <c r="CS1" s="1355">
        <v>93</v>
      </c>
      <c r="CT1" s="1355">
        <v>94</v>
      </c>
      <c r="CU1" s="1355">
        <v>95</v>
      </c>
      <c r="CV1" s="1355">
        <v>96</v>
      </c>
      <c r="CW1" s="1355">
        <v>97</v>
      </c>
      <c r="CX1" s="1355">
        <v>98</v>
      </c>
      <c r="CY1" s="1355">
        <v>99</v>
      </c>
      <c r="CZ1" s="1355">
        <v>100</v>
      </c>
      <c r="DA1" s="1355">
        <v>101</v>
      </c>
      <c r="DB1" s="1355">
        <v>102</v>
      </c>
      <c r="DC1" s="1355">
        <v>103</v>
      </c>
      <c r="DD1" s="1355">
        <v>104</v>
      </c>
      <c r="DE1" s="1355">
        <v>105</v>
      </c>
      <c r="DF1" s="1355">
        <v>106</v>
      </c>
      <c r="DG1" s="1355">
        <v>107</v>
      </c>
      <c r="DH1" s="1355">
        <v>108</v>
      </c>
      <c r="DI1" s="1355">
        <v>109</v>
      </c>
      <c r="DJ1" s="1355">
        <v>110</v>
      </c>
      <c r="DK1" s="1355">
        <v>111</v>
      </c>
      <c r="DL1" s="1355">
        <v>112</v>
      </c>
      <c r="DM1" s="1355">
        <v>113</v>
      </c>
      <c r="DN1" s="1355">
        <v>114</v>
      </c>
      <c r="DO1" s="1355">
        <v>115</v>
      </c>
      <c r="DP1" s="1355">
        <v>116</v>
      </c>
      <c r="DQ1" s="1355">
        <v>117</v>
      </c>
      <c r="DR1" s="1355">
        <v>118</v>
      </c>
      <c r="DS1" s="1355">
        <v>119</v>
      </c>
      <c r="DT1" s="1355">
        <v>120</v>
      </c>
      <c r="DU1" s="1355">
        <v>121</v>
      </c>
      <c r="DV1" s="1355">
        <v>122</v>
      </c>
      <c r="DW1" s="1355">
        <v>123</v>
      </c>
      <c r="DX1" s="1355">
        <v>124</v>
      </c>
      <c r="DY1" s="1355">
        <v>125</v>
      </c>
      <c r="DZ1" s="1355">
        <v>126</v>
      </c>
      <c r="EA1" s="1355">
        <v>127</v>
      </c>
      <c r="EB1" s="1355">
        <v>128</v>
      </c>
      <c r="EC1" s="1355">
        <v>129</v>
      </c>
      <c r="ED1" s="1355">
        <v>130</v>
      </c>
      <c r="EE1" s="1355">
        <v>131</v>
      </c>
      <c r="EF1" s="1355">
        <v>132</v>
      </c>
      <c r="EG1" s="1355">
        <v>133</v>
      </c>
      <c r="EH1" s="1355">
        <v>134</v>
      </c>
      <c r="EI1" s="1355">
        <v>135</v>
      </c>
      <c r="EJ1" s="1355">
        <v>136</v>
      </c>
      <c r="EK1" s="1355">
        <v>137</v>
      </c>
      <c r="EL1" s="1355">
        <v>138</v>
      </c>
      <c r="EM1" s="1355">
        <v>139</v>
      </c>
      <c r="EN1" s="1355">
        <v>140</v>
      </c>
      <c r="EO1" s="1355">
        <v>141</v>
      </c>
      <c r="EP1" s="1355">
        <v>142</v>
      </c>
      <c r="EQ1" s="1355">
        <v>143</v>
      </c>
      <c r="ER1" s="1355">
        <v>144</v>
      </c>
      <c r="ES1" s="1355">
        <v>145</v>
      </c>
      <c r="ET1" s="1355">
        <v>146</v>
      </c>
      <c r="EU1" s="1355">
        <v>147</v>
      </c>
      <c r="EV1" s="1355">
        <v>148</v>
      </c>
      <c r="EW1" s="1355">
        <v>149</v>
      </c>
      <c r="EX1" s="1355">
        <v>150</v>
      </c>
      <c r="EY1" s="1355">
        <v>151</v>
      </c>
      <c r="EZ1" s="1355">
        <v>152</v>
      </c>
      <c r="FA1" s="1355">
        <v>153</v>
      </c>
      <c r="FB1" s="1355">
        <v>154</v>
      </c>
      <c r="FC1" s="1355">
        <v>155</v>
      </c>
      <c r="FD1" s="1355">
        <v>156</v>
      </c>
      <c r="FE1" s="1355">
        <v>157</v>
      </c>
      <c r="FF1" s="1355">
        <v>158</v>
      </c>
      <c r="FG1" s="1355">
        <v>159</v>
      </c>
      <c r="FH1" s="1355">
        <v>160</v>
      </c>
      <c r="FI1" s="1355">
        <v>161</v>
      </c>
      <c r="FJ1" s="1355">
        <v>162</v>
      </c>
      <c r="FK1" s="1355">
        <v>163</v>
      </c>
      <c r="FL1" s="1355">
        <v>164</v>
      </c>
      <c r="FM1" s="1355">
        <v>165</v>
      </c>
      <c r="FN1" s="1355">
        <v>166</v>
      </c>
      <c r="FO1" s="1355">
        <v>167</v>
      </c>
      <c r="FP1" s="1355">
        <v>168</v>
      </c>
      <c r="FQ1" s="1355">
        <v>169</v>
      </c>
      <c r="FR1" s="1355">
        <v>170</v>
      </c>
      <c r="FS1" s="1355">
        <v>171</v>
      </c>
      <c r="FT1" s="1355">
        <v>172</v>
      </c>
      <c r="FU1" s="1355">
        <v>173</v>
      </c>
      <c r="FV1" s="1355">
        <v>174</v>
      </c>
      <c r="FW1" s="1355">
        <v>175</v>
      </c>
      <c r="FX1" s="1355">
        <v>176</v>
      </c>
      <c r="FY1" s="1355">
        <v>177</v>
      </c>
      <c r="FZ1" s="1355">
        <v>178</v>
      </c>
      <c r="GA1" s="1355">
        <v>179</v>
      </c>
      <c r="GB1" s="1355">
        <v>180</v>
      </c>
      <c r="GC1" s="1355">
        <v>181</v>
      </c>
      <c r="GD1" s="1355">
        <v>182</v>
      </c>
      <c r="GE1" s="1355">
        <v>183</v>
      </c>
      <c r="GF1" s="1355">
        <v>184</v>
      </c>
      <c r="GG1" s="1355">
        <v>185</v>
      </c>
      <c r="GH1" s="1355">
        <v>186</v>
      </c>
      <c r="GI1" s="1355">
        <v>187</v>
      </c>
      <c r="GJ1" s="1355">
        <v>188</v>
      </c>
      <c r="GK1" s="1355">
        <v>189</v>
      </c>
      <c r="GL1" s="1355">
        <v>190</v>
      </c>
      <c r="GM1" s="1355">
        <v>191</v>
      </c>
      <c r="GN1" s="1355">
        <v>192</v>
      </c>
      <c r="GO1" s="1355">
        <v>193</v>
      </c>
      <c r="GP1" s="1355">
        <v>194</v>
      </c>
      <c r="GQ1" s="1355">
        <v>195</v>
      </c>
      <c r="GR1" s="1355">
        <v>196</v>
      </c>
      <c r="GS1" s="1355">
        <v>197</v>
      </c>
      <c r="GT1" s="1355">
        <v>198</v>
      </c>
      <c r="GU1" s="1355">
        <v>199</v>
      </c>
      <c r="GV1" s="1355">
        <v>200</v>
      </c>
      <c r="GW1" s="1355">
        <v>201</v>
      </c>
      <c r="GX1" s="1355">
        <v>202</v>
      </c>
      <c r="GY1" s="1355">
        <v>203</v>
      </c>
      <c r="GZ1" s="1355">
        <v>204</v>
      </c>
      <c r="HA1" s="1355">
        <v>205</v>
      </c>
      <c r="HB1" s="1355">
        <v>206</v>
      </c>
      <c r="HC1" s="1355">
        <v>207</v>
      </c>
      <c r="HD1" s="1355">
        <v>208</v>
      </c>
      <c r="HE1" s="1355">
        <v>209</v>
      </c>
      <c r="HF1" s="1355">
        <v>210</v>
      </c>
      <c r="HG1" s="1355">
        <v>211</v>
      </c>
      <c r="HH1" s="1355">
        <v>212</v>
      </c>
      <c r="HI1" s="1355">
        <v>213</v>
      </c>
      <c r="HJ1" s="1355">
        <v>214</v>
      </c>
      <c r="HK1" s="1355">
        <v>215</v>
      </c>
      <c r="HL1" s="1355">
        <v>216</v>
      </c>
      <c r="HM1" s="1355">
        <v>217</v>
      </c>
      <c r="HN1" s="1355">
        <v>218</v>
      </c>
      <c r="HO1" s="1355">
        <v>219</v>
      </c>
      <c r="HP1" s="1355">
        <v>220</v>
      </c>
      <c r="HQ1" s="1355">
        <v>221</v>
      </c>
      <c r="HR1" s="1355">
        <v>222</v>
      </c>
      <c r="HS1" s="1355">
        <v>223</v>
      </c>
      <c r="HT1" s="1355">
        <v>224</v>
      </c>
      <c r="HU1" s="1355">
        <v>225</v>
      </c>
      <c r="HV1" s="1355">
        <v>226</v>
      </c>
      <c r="HW1" s="1355">
        <v>227</v>
      </c>
      <c r="HX1" s="1355">
        <v>228</v>
      </c>
      <c r="HY1" s="1355">
        <v>229</v>
      </c>
      <c r="HZ1" s="1355">
        <v>230</v>
      </c>
      <c r="IA1" s="1355">
        <v>231</v>
      </c>
      <c r="IB1" s="1355">
        <v>232</v>
      </c>
      <c r="IC1" s="1355">
        <v>233</v>
      </c>
      <c r="ID1" s="1355">
        <v>234</v>
      </c>
      <c r="IE1" s="1355">
        <v>235</v>
      </c>
      <c r="IF1" s="1355">
        <v>236</v>
      </c>
      <c r="IG1" s="1355">
        <v>237</v>
      </c>
      <c r="IH1" s="1355">
        <v>238</v>
      </c>
      <c r="II1" s="1355">
        <v>239</v>
      </c>
      <c r="IJ1" s="1355">
        <v>240</v>
      </c>
      <c r="IK1" s="1355">
        <v>241</v>
      </c>
      <c r="IL1" s="1355">
        <v>242</v>
      </c>
      <c r="IM1" s="1355">
        <v>243</v>
      </c>
      <c r="IN1" s="1355">
        <v>244</v>
      </c>
      <c r="IO1" s="1355">
        <v>245</v>
      </c>
      <c r="IP1" s="1355">
        <v>246</v>
      </c>
      <c r="IQ1" s="1355">
        <v>247</v>
      </c>
      <c r="IR1" s="1355">
        <v>248</v>
      </c>
      <c r="IS1" s="1355">
        <v>249</v>
      </c>
      <c r="IT1" s="1355">
        <v>250</v>
      </c>
      <c r="IU1" s="1355">
        <v>251</v>
      </c>
      <c r="IV1" s="1355">
        <v>252</v>
      </c>
      <c r="IW1" s="1355">
        <v>253</v>
      </c>
      <c r="IX1" s="1355">
        <v>254</v>
      </c>
      <c r="IY1" s="1355">
        <v>255</v>
      </c>
      <c r="IZ1" s="1355">
        <v>256</v>
      </c>
      <c r="JA1" s="1355">
        <v>257</v>
      </c>
      <c r="JB1" s="1355">
        <v>258</v>
      </c>
      <c r="JC1" s="1355">
        <v>259</v>
      </c>
      <c r="JD1" s="1355">
        <v>260</v>
      </c>
      <c r="JE1" s="1355">
        <v>261</v>
      </c>
      <c r="JF1" s="1355">
        <v>262</v>
      </c>
      <c r="JG1" s="1355">
        <v>263</v>
      </c>
      <c r="JH1" s="1355">
        <v>264</v>
      </c>
      <c r="JI1" s="1355">
        <v>265</v>
      </c>
      <c r="JJ1" s="1355">
        <v>266</v>
      </c>
      <c r="JK1" s="1355">
        <v>267</v>
      </c>
      <c r="JL1" s="1355">
        <v>268</v>
      </c>
      <c r="JM1" s="1355">
        <v>269</v>
      </c>
      <c r="JN1" s="1355">
        <v>270</v>
      </c>
      <c r="JO1" s="1355">
        <v>271</v>
      </c>
      <c r="JP1" s="1355">
        <v>272</v>
      </c>
      <c r="JQ1" s="1355">
        <v>273</v>
      </c>
      <c r="JR1" s="351"/>
      <c r="JS1" s="1470" t="s">
        <v>2198</v>
      </c>
    </row>
    <row r="2" spans="1:279" ht="12" thickBot="1" x14ac:dyDescent="0.3">
      <c r="C2" s="261" t="s">
        <v>2407</v>
      </c>
      <c r="D2" s="137"/>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row>
    <row r="3" spans="1:279" ht="12.5" x14ac:dyDescent="0.25">
      <c r="A3" s="1367" t="s">
        <v>2201</v>
      </c>
      <c r="B3" s="585" t="s">
        <v>2408</v>
      </c>
      <c r="C3" s="287" t="s">
        <v>12</v>
      </c>
      <c r="D3" s="262"/>
      <c r="E3" s="418">
        <v>1</v>
      </c>
      <c r="F3" s="418">
        <v>2</v>
      </c>
      <c r="G3" s="418">
        <v>3</v>
      </c>
      <c r="H3" s="418">
        <v>4</v>
      </c>
      <c r="I3" s="418">
        <v>5</v>
      </c>
      <c r="J3" s="418">
        <v>6</v>
      </c>
      <c r="K3" s="418">
        <v>7</v>
      </c>
      <c r="L3" s="418">
        <v>8</v>
      </c>
      <c r="M3" s="418">
        <v>9</v>
      </c>
      <c r="N3" s="1355">
        <v>10</v>
      </c>
      <c r="O3" s="1355">
        <v>11</v>
      </c>
      <c r="P3" s="1355">
        <v>12</v>
      </c>
      <c r="Q3" s="1355">
        <v>13</v>
      </c>
      <c r="R3" s="1355">
        <v>14</v>
      </c>
      <c r="S3" s="1355">
        <v>15</v>
      </c>
      <c r="T3" s="1355">
        <v>16</v>
      </c>
      <c r="U3" s="1355">
        <v>17</v>
      </c>
      <c r="V3" s="1355">
        <v>18</v>
      </c>
      <c r="W3" s="1355">
        <v>19</v>
      </c>
      <c r="X3" s="1355">
        <v>20</v>
      </c>
      <c r="Y3" s="1355">
        <v>21</v>
      </c>
      <c r="Z3" s="1355">
        <v>22</v>
      </c>
      <c r="AA3" s="1355">
        <v>23</v>
      </c>
      <c r="AB3" s="1355">
        <v>24</v>
      </c>
      <c r="AC3" s="1355">
        <v>25</v>
      </c>
      <c r="AD3" s="1355">
        <v>26</v>
      </c>
      <c r="AE3" s="1355">
        <v>27</v>
      </c>
      <c r="AF3" s="1355">
        <v>28</v>
      </c>
      <c r="AG3" s="1355">
        <v>29</v>
      </c>
      <c r="AH3" s="1355">
        <v>30</v>
      </c>
      <c r="AI3" s="418">
        <v>31</v>
      </c>
      <c r="AJ3" s="418">
        <v>32</v>
      </c>
      <c r="AK3" s="418">
        <v>33</v>
      </c>
      <c r="AL3" s="418">
        <v>34</v>
      </c>
      <c r="AM3" s="418">
        <v>35</v>
      </c>
      <c r="AN3" s="418">
        <v>36</v>
      </c>
      <c r="AO3" s="418">
        <v>37</v>
      </c>
      <c r="AP3" s="418">
        <v>38</v>
      </c>
      <c r="AQ3" s="418">
        <v>39</v>
      </c>
      <c r="AR3" s="418">
        <v>40</v>
      </c>
      <c r="AS3" s="418">
        <v>41</v>
      </c>
      <c r="AT3" s="418">
        <v>42</v>
      </c>
      <c r="AU3" s="418">
        <v>43</v>
      </c>
      <c r="AV3" s="418">
        <v>44</v>
      </c>
      <c r="AW3" s="418">
        <v>45</v>
      </c>
      <c r="AX3" s="418">
        <v>46</v>
      </c>
      <c r="AY3" s="418">
        <v>47</v>
      </c>
      <c r="AZ3" s="418">
        <v>48</v>
      </c>
      <c r="BA3" s="418">
        <v>49</v>
      </c>
      <c r="BB3" s="418">
        <v>50</v>
      </c>
      <c r="BC3" s="418">
        <v>51</v>
      </c>
      <c r="BD3" s="418">
        <v>52</v>
      </c>
      <c r="BE3" s="418">
        <v>53</v>
      </c>
      <c r="BF3" s="418">
        <v>54</v>
      </c>
      <c r="BG3" s="418">
        <v>55</v>
      </c>
      <c r="BH3" s="418">
        <v>56</v>
      </c>
      <c r="BI3" s="418">
        <v>57</v>
      </c>
      <c r="BJ3" s="418">
        <v>58</v>
      </c>
      <c r="BK3" s="418">
        <v>59</v>
      </c>
      <c r="BL3" s="418">
        <v>60</v>
      </c>
      <c r="BM3" s="418">
        <v>61</v>
      </c>
      <c r="BN3" s="418">
        <v>62</v>
      </c>
      <c r="BO3" s="418">
        <v>63</v>
      </c>
      <c r="BP3" s="418">
        <v>64</v>
      </c>
      <c r="BQ3" s="418">
        <v>65</v>
      </c>
      <c r="BR3" s="418">
        <v>66</v>
      </c>
      <c r="BS3" s="418">
        <v>67</v>
      </c>
      <c r="BT3" s="418">
        <v>68</v>
      </c>
      <c r="BU3" s="418">
        <v>69</v>
      </c>
      <c r="BV3" s="418">
        <v>70</v>
      </c>
      <c r="BW3" s="418">
        <v>71</v>
      </c>
      <c r="BX3" s="418">
        <v>72</v>
      </c>
      <c r="BY3" s="418">
        <v>73</v>
      </c>
      <c r="BZ3" s="418">
        <v>74</v>
      </c>
      <c r="CA3" s="418">
        <v>75</v>
      </c>
      <c r="CB3" s="418">
        <v>76</v>
      </c>
      <c r="CC3" s="418">
        <v>77</v>
      </c>
      <c r="CD3" s="418">
        <v>78</v>
      </c>
      <c r="CE3" s="418">
        <v>79</v>
      </c>
      <c r="CF3" s="418">
        <v>80</v>
      </c>
      <c r="CG3" s="418">
        <v>81</v>
      </c>
      <c r="CH3" s="418">
        <v>82</v>
      </c>
      <c r="CI3" s="418">
        <v>83</v>
      </c>
      <c r="CJ3" s="418">
        <v>84</v>
      </c>
      <c r="CK3" s="418">
        <v>85</v>
      </c>
      <c r="CL3" s="418">
        <v>86</v>
      </c>
      <c r="CM3" s="418">
        <v>87</v>
      </c>
      <c r="CN3" s="418">
        <v>88</v>
      </c>
      <c r="CO3" s="418">
        <v>89</v>
      </c>
      <c r="CP3" s="418">
        <v>90</v>
      </c>
      <c r="CQ3" s="418">
        <v>91</v>
      </c>
      <c r="CR3" s="418">
        <v>92</v>
      </c>
      <c r="CS3" s="418">
        <v>93</v>
      </c>
      <c r="CT3" s="418">
        <v>94</v>
      </c>
      <c r="CU3" s="418">
        <v>95</v>
      </c>
      <c r="CV3" s="418">
        <v>96</v>
      </c>
      <c r="CW3" s="418">
        <v>97</v>
      </c>
      <c r="CX3" s="418">
        <v>98</v>
      </c>
      <c r="CY3" s="418">
        <v>99</v>
      </c>
      <c r="CZ3" s="418">
        <v>100</v>
      </c>
      <c r="DA3" s="418">
        <v>101</v>
      </c>
      <c r="DB3" s="418">
        <v>102</v>
      </c>
      <c r="DC3" s="418">
        <v>103</v>
      </c>
      <c r="DD3" s="418">
        <v>104</v>
      </c>
      <c r="DE3" s="418">
        <v>105</v>
      </c>
      <c r="DF3" s="418">
        <v>106</v>
      </c>
      <c r="DG3" s="418">
        <v>107</v>
      </c>
      <c r="DH3" s="418">
        <v>108</v>
      </c>
      <c r="DI3" s="418">
        <v>109</v>
      </c>
      <c r="DJ3" s="418">
        <v>110</v>
      </c>
      <c r="DK3" s="418">
        <v>111</v>
      </c>
      <c r="DL3" s="418">
        <v>112</v>
      </c>
      <c r="DM3" s="418">
        <v>113</v>
      </c>
      <c r="DN3" s="418">
        <v>114</v>
      </c>
      <c r="DO3" s="418">
        <v>115</v>
      </c>
      <c r="DP3" s="418">
        <v>116</v>
      </c>
      <c r="DQ3" s="418">
        <v>117</v>
      </c>
      <c r="DR3" s="418">
        <v>118</v>
      </c>
      <c r="DS3" s="418">
        <v>119</v>
      </c>
      <c r="DT3" s="418">
        <v>120</v>
      </c>
      <c r="DU3" s="418">
        <v>121</v>
      </c>
      <c r="DV3" s="418">
        <v>122</v>
      </c>
      <c r="DW3" s="418">
        <v>123</v>
      </c>
      <c r="DX3" s="418">
        <v>124</v>
      </c>
      <c r="DY3" s="418">
        <v>125</v>
      </c>
      <c r="DZ3" s="418">
        <v>126</v>
      </c>
      <c r="EA3" s="418">
        <v>127</v>
      </c>
      <c r="EB3" s="418">
        <v>128</v>
      </c>
      <c r="EC3" s="418">
        <v>129</v>
      </c>
      <c r="ED3" s="418">
        <v>130</v>
      </c>
      <c r="EE3" s="418">
        <v>131</v>
      </c>
      <c r="EF3" s="418">
        <v>132</v>
      </c>
      <c r="EG3" s="418">
        <v>133</v>
      </c>
      <c r="EH3" s="418">
        <v>134</v>
      </c>
      <c r="EI3" s="418">
        <v>135</v>
      </c>
      <c r="EJ3" s="418">
        <v>136</v>
      </c>
      <c r="EK3" s="418">
        <v>137</v>
      </c>
      <c r="EL3" s="418">
        <v>138</v>
      </c>
      <c r="EM3" s="418">
        <v>139</v>
      </c>
      <c r="EN3" s="418">
        <v>140</v>
      </c>
      <c r="EO3" s="418">
        <v>141</v>
      </c>
      <c r="EP3" s="418">
        <v>142</v>
      </c>
      <c r="EQ3" s="418">
        <v>143</v>
      </c>
      <c r="ER3" s="418">
        <v>144</v>
      </c>
      <c r="ES3" s="418">
        <v>145</v>
      </c>
      <c r="ET3" s="418">
        <v>146</v>
      </c>
      <c r="EU3" s="418">
        <v>147</v>
      </c>
      <c r="EV3" s="418">
        <v>148</v>
      </c>
      <c r="EW3" s="418">
        <v>149</v>
      </c>
      <c r="EX3" s="418">
        <v>150</v>
      </c>
      <c r="EY3" s="418">
        <v>151</v>
      </c>
      <c r="EZ3" s="418">
        <v>152</v>
      </c>
      <c r="FA3" s="418">
        <v>153</v>
      </c>
      <c r="FB3" s="418">
        <v>154</v>
      </c>
      <c r="FC3" s="418">
        <v>155</v>
      </c>
      <c r="FD3" s="418">
        <v>156</v>
      </c>
      <c r="FE3" s="418">
        <v>157</v>
      </c>
      <c r="FF3" s="418">
        <v>158</v>
      </c>
      <c r="FG3" s="418">
        <v>159</v>
      </c>
      <c r="FH3" s="418">
        <v>160</v>
      </c>
      <c r="FI3" s="418">
        <v>161</v>
      </c>
      <c r="FJ3" s="418">
        <v>162</v>
      </c>
      <c r="FK3" s="418">
        <v>163</v>
      </c>
      <c r="FL3" s="418">
        <v>164</v>
      </c>
      <c r="FM3" s="418">
        <v>165</v>
      </c>
      <c r="FN3" s="418">
        <v>166</v>
      </c>
      <c r="FO3" s="418">
        <v>167</v>
      </c>
      <c r="FP3" s="418">
        <v>168</v>
      </c>
      <c r="FQ3" s="418">
        <v>169</v>
      </c>
      <c r="FR3" s="418">
        <v>170</v>
      </c>
      <c r="FS3" s="418">
        <v>171</v>
      </c>
      <c r="FT3" s="418">
        <v>172</v>
      </c>
      <c r="FU3" s="418">
        <v>173</v>
      </c>
      <c r="FV3" s="418">
        <v>174</v>
      </c>
      <c r="FW3" s="418">
        <v>175</v>
      </c>
      <c r="FX3" s="418">
        <v>176</v>
      </c>
      <c r="FY3" s="418">
        <v>177</v>
      </c>
      <c r="FZ3" s="418">
        <v>178</v>
      </c>
      <c r="GA3" s="418">
        <v>179</v>
      </c>
      <c r="GB3" s="418">
        <v>180</v>
      </c>
      <c r="GC3" s="418">
        <v>181</v>
      </c>
      <c r="GD3" s="418">
        <v>182</v>
      </c>
      <c r="GE3" s="418">
        <v>183</v>
      </c>
      <c r="GF3" s="418">
        <v>184</v>
      </c>
      <c r="GG3" s="418">
        <v>185</v>
      </c>
      <c r="GH3" s="418">
        <v>186</v>
      </c>
      <c r="GI3" s="418">
        <v>187</v>
      </c>
      <c r="GJ3" s="418">
        <v>188</v>
      </c>
      <c r="GK3" s="418">
        <v>189</v>
      </c>
      <c r="GL3" s="418">
        <v>190</v>
      </c>
      <c r="GM3" s="418">
        <v>191</v>
      </c>
      <c r="GN3" s="418">
        <v>192</v>
      </c>
      <c r="GO3" s="418">
        <v>193</v>
      </c>
      <c r="GP3" s="418">
        <v>194</v>
      </c>
      <c r="GQ3" s="418">
        <v>195</v>
      </c>
      <c r="GR3" s="418">
        <v>196</v>
      </c>
      <c r="GS3" s="418">
        <v>197</v>
      </c>
      <c r="GT3" s="418">
        <v>198</v>
      </c>
      <c r="GU3" s="418">
        <v>199</v>
      </c>
      <c r="GV3" s="418">
        <v>200</v>
      </c>
      <c r="GW3" s="418">
        <v>201</v>
      </c>
      <c r="GX3" s="418">
        <v>202</v>
      </c>
      <c r="GY3" s="418">
        <v>203</v>
      </c>
      <c r="GZ3" s="418">
        <v>204</v>
      </c>
      <c r="HA3" s="418">
        <v>205</v>
      </c>
      <c r="HB3" s="418">
        <v>206</v>
      </c>
      <c r="HC3" s="418">
        <v>207</v>
      </c>
      <c r="HD3" s="418">
        <v>208</v>
      </c>
      <c r="HE3" s="418">
        <v>209</v>
      </c>
      <c r="HF3" s="418">
        <v>210</v>
      </c>
      <c r="HG3" s="418">
        <v>211</v>
      </c>
      <c r="HH3" s="418">
        <v>212</v>
      </c>
      <c r="HI3" s="418">
        <v>213</v>
      </c>
      <c r="HJ3" s="418">
        <v>214</v>
      </c>
      <c r="HK3" s="418">
        <v>215</v>
      </c>
      <c r="HL3" s="418">
        <v>216</v>
      </c>
      <c r="HM3" s="418">
        <v>217</v>
      </c>
      <c r="HN3" s="418">
        <v>218</v>
      </c>
      <c r="HO3" s="418">
        <v>219</v>
      </c>
      <c r="HP3" s="418">
        <v>220</v>
      </c>
      <c r="HQ3" s="418">
        <v>221</v>
      </c>
      <c r="HR3" s="418">
        <v>222</v>
      </c>
      <c r="HS3" s="418">
        <v>223</v>
      </c>
      <c r="HT3" s="418">
        <v>224</v>
      </c>
      <c r="HU3" s="418">
        <v>225</v>
      </c>
      <c r="HV3" s="418">
        <v>226</v>
      </c>
      <c r="HW3" s="418">
        <v>227</v>
      </c>
      <c r="HX3" s="418">
        <v>228</v>
      </c>
      <c r="HY3" s="418">
        <v>229</v>
      </c>
      <c r="HZ3" s="418">
        <v>230</v>
      </c>
      <c r="IA3" s="418">
        <v>231</v>
      </c>
      <c r="IB3" s="418">
        <v>232</v>
      </c>
      <c r="IC3" s="418">
        <v>233</v>
      </c>
      <c r="ID3" s="418">
        <v>234</v>
      </c>
      <c r="IE3" s="418">
        <v>235</v>
      </c>
      <c r="IF3" s="418">
        <v>236</v>
      </c>
      <c r="IG3" s="418">
        <v>237</v>
      </c>
      <c r="IH3" s="418">
        <v>238</v>
      </c>
      <c r="II3" s="418">
        <v>239</v>
      </c>
      <c r="IJ3" s="418">
        <v>240</v>
      </c>
      <c r="IK3" s="418">
        <v>241</v>
      </c>
      <c r="IL3" s="418">
        <v>242</v>
      </c>
      <c r="IM3" s="418">
        <v>243</v>
      </c>
      <c r="IN3" s="418">
        <v>244</v>
      </c>
      <c r="IO3" s="418">
        <v>245</v>
      </c>
      <c r="IP3" s="418">
        <v>246</v>
      </c>
      <c r="IQ3" s="418">
        <v>247</v>
      </c>
      <c r="IR3" s="418">
        <v>248</v>
      </c>
      <c r="IS3" s="418">
        <v>249</v>
      </c>
      <c r="IT3" s="418">
        <v>250</v>
      </c>
      <c r="IU3" s="418">
        <v>251</v>
      </c>
      <c r="IV3" s="418">
        <v>252</v>
      </c>
      <c r="IW3" s="418">
        <v>253</v>
      </c>
      <c r="IX3" s="418">
        <v>254</v>
      </c>
      <c r="IY3" s="418">
        <v>255</v>
      </c>
      <c r="IZ3" s="418">
        <v>256</v>
      </c>
      <c r="JA3" s="418">
        <v>257</v>
      </c>
      <c r="JB3" s="418">
        <v>258</v>
      </c>
      <c r="JC3" s="418">
        <v>259</v>
      </c>
      <c r="JD3" s="418">
        <v>260</v>
      </c>
      <c r="JE3" s="418">
        <v>261</v>
      </c>
      <c r="JF3" s="418">
        <v>262</v>
      </c>
      <c r="JG3" s="418">
        <v>263</v>
      </c>
      <c r="JH3" s="418">
        <v>264</v>
      </c>
      <c r="JI3" s="418">
        <v>265</v>
      </c>
      <c r="JJ3" s="418">
        <v>266</v>
      </c>
      <c r="JK3" s="418">
        <v>267</v>
      </c>
      <c r="JL3" s="418">
        <v>268</v>
      </c>
      <c r="JM3" s="418">
        <v>269</v>
      </c>
      <c r="JN3" s="418">
        <v>270</v>
      </c>
      <c r="JO3" s="418">
        <v>271</v>
      </c>
      <c r="JP3" s="418">
        <v>272</v>
      </c>
      <c r="JQ3" s="418">
        <v>273</v>
      </c>
      <c r="JR3" s="351"/>
      <c r="JS3" s="1470" t="s">
        <v>2198</v>
      </c>
    </row>
    <row r="4" spans="1:279" x14ac:dyDescent="0.25">
      <c r="A4" s="1367">
        <v>2</v>
      </c>
      <c r="B4" s="1368" t="str">
        <f>IF(AOI_A_IND&gt;1,IF(HLOOKUP(AOI_A_IND-1,AOI_A_RANGE,A4)="","",HLOOKUP(AOI_A_IND-1,AOI_A_RANGE,A4)),"")</f>
        <v/>
      </c>
      <c r="C4" s="1359" t="s">
        <v>2409</v>
      </c>
      <c r="D4" s="1360" t="s">
        <v>2410</v>
      </c>
      <c r="E4" s="1395"/>
      <c r="F4" s="1395"/>
      <c r="G4" s="1395"/>
      <c r="H4" s="1395"/>
      <c r="I4" s="1395"/>
      <c r="J4" s="1395"/>
      <c r="K4" s="1395"/>
      <c r="L4" s="1396">
        <f t="shared" ref="L4:O4" si="0">L6-L5</f>
        <v>0</v>
      </c>
      <c r="M4" s="1396">
        <f t="shared" si="0"/>
        <v>0</v>
      </c>
      <c r="N4" s="1396">
        <f t="shared" si="0"/>
        <v>0</v>
      </c>
      <c r="O4" s="1396">
        <f t="shared" si="0"/>
        <v>0</v>
      </c>
      <c r="P4" s="1397"/>
      <c r="Q4" s="1397"/>
      <c r="R4" s="1397"/>
      <c r="S4" s="1397"/>
      <c r="T4" s="1397"/>
      <c r="U4" s="1397"/>
      <c r="V4" s="1397"/>
      <c r="W4" s="1397"/>
      <c r="X4" s="1397"/>
      <c r="Y4" s="1397"/>
      <c r="Z4" s="1397"/>
      <c r="AA4" s="1397"/>
      <c r="AB4" s="1397"/>
      <c r="AC4" s="1397"/>
      <c r="AD4" s="1397"/>
      <c r="AE4" s="1397"/>
      <c r="AF4" s="1397"/>
      <c r="AG4" s="1397"/>
      <c r="AH4" s="1397"/>
      <c r="AI4" s="1397"/>
      <c r="AJ4" s="1397"/>
      <c r="AK4" s="1397"/>
      <c r="AL4" s="1397"/>
      <c r="AM4" s="1397"/>
      <c r="AN4" s="1397"/>
      <c r="AO4" s="1397"/>
      <c r="AP4" s="1397"/>
      <c r="AQ4" s="1397"/>
      <c r="AR4" s="1397"/>
      <c r="AS4" s="1397"/>
      <c r="AT4" s="1397"/>
      <c r="AU4" s="1397"/>
      <c r="AV4" s="1397"/>
      <c r="AW4" s="1397"/>
      <c r="AX4" s="1397"/>
      <c r="AY4" s="1397"/>
      <c r="AZ4" s="1397"/>
      <c r="BA4" s="1397"/>
      <c r="BB4" s="1397"/>
      <c r="BC4" s="1397"/>
      <c r="BD4" s="1397">
        <f>BD6-BD5</f>
        <v>4139.3100000000004</v>
      </c>
      <c r="BE4" s="1397"/>
      <c r="BF4" s="1397"/>
      <c r="BG4" s="1397"/>
      <c r="BH4" s="1397"/>
      <c r="BI4" s="1397"/>
      <c r="BJ4" s="1397"/>
      <c r="BK4" s="1397"/>
      <c r="BL4" s="1397"/>
      <c r="BM4" s="1397"/>
      <c r="BN4" s="1397"/>
      <c r="BO4" s="1397"/>
      <c r="BP4" s="1397"/>
      <c r="BQ4" s="1397"/>
      <c r="BR4" s="1397"/>
      <c r="BS4" s="1397"/>
      <c r="BT4" s="1397"/>
      <c r="BU4" s="1398">
        <f>BU6-BU5</f>
        <v>20024</v>
      </c>
      <c r="BV4" s="1397"/>
      <c r="BW4" s="1397"/>
      <c r="BX4" s="1397"/>
      <c r="BY4" s="1397"/>
      <c r="BZ4" s="1397"/>
      <c r="CA4" s="1397"/>
      <c r="CB4" s="1397"/>
      <c r="CC4" s="1397"/>
      <c r="CD4" s="1397"/>
      <c r="CE4" s="1397"/>
      <c r="CF4" s="1397"/>
      <c r="CG4" s="1397"/>
      <c r="CH4" s="1397"/>
      <c r="CI4" s="1397">
        <f>CI6-CI5</f>
        <v>4139.3100000000004</v>
      </c>
      <c r="CJ4" s="1397"/>
      <c r="CK4" s="1397"/>
      <c r="CL4" s="1397"/>
      <c r="CM4" s="1397"/>
      <c r="CN4" s="1397"/>
      <c r="CO4" s="1397"/>
      <c r="CP4" s="1397"/>
      <c r="CQ4" s="1397"/>
      <c r="CR4" s="1397"/>
      <c r="CS4" s="1397"/>
      <c r="CT4" s="1397"/>
      <c r="CU4" s="1397">
        <f>CU6-CU5</f>
        <v>768</v>
      </c>
      <c r="CV4" s="1398">
        <v>610</v>
      </c>
      <c r="CW4" s="1397">
        <f>CW6-CW5</f>
        <v>4139.3100000000004</v>
      </c>
      <c r="CX4" s="1397">
        <f>CX6-CX5</f>
        <v>421.2</v>
      </c>
      <c r="CY4" s="1397"/>
      <c r="CZ4" s="1397"/>
      <c r="DA4" s="1397"/>
      <c r="DB4" s="1397"/>
      <c r="DC4" s="1397"/>
      <c r="DD4" s="1397"/>
      <c r="DE4" s="1397"/>
      <c r="DF4" s="1397"/>
      <c r="DG4" s="1397"/>
      <c r="DH4" s="1397">
        <f>DH6-DH5</f>
        <v>4139.3100000000004</v>
      </c>
      <c r="DI4" s="1397"/>
      <c r="DJ4" s="1397"/>
      <c r="DK4" s="1397"/>
      <c r="DL4" s="1397"/>
      <c r="DM4" s="1397"/>
      <c r="DN4" s="1397"/>
      <c r="DO4" s="1397"/>
      <c r="DP4" s="1397"/>
      <c r="DQ4" s="1397"/>
      <c r="DR4" s="1397"/>
      <c r="DS4" s="1397"/>
      <c r="DT4" s="1397"/>
      <c r="DU4" s="1397"/>
      <c r="DV4" s="1397"/>
      <c r="DW4" s="1398">
        <v>1415</v>
      </c>
      <c r="DX4" s="1397"/>
      <c r="DY4" s="1397"/>
      <c r="DZ4" s="1397"/>
      <c r="EA4" s="1397"/>
      <c r="EB4" s="1397"/>
      <c r="EC4" s="1397"/>
      <c r="ED4" s="1397"/>
      <c r="EE4" s="1397"/>
      <c r="EF4" s="1397"/>
      <c r="EG4" s="1397"/>
      <c r="EH4" s="1397"/>
      <c r="EI4" s="1397"/>
      <c r="EJ4" s="1397"/>
      <c r="EK4" s="1397"/>
      <c r="EL4" s="1397"/>
      <c r="EM4" s="1397"/>
      <c r="EN4" s="1397"/>
      <c r="EO4" s="1397"/>
      <c r="EP4" s="1397"/>
      <c r="EQ4" s="1397"/>
      <c r="ER4" s="1397"/>
      <c r="ES4" s="1397"/>
      <c r="ET4" s="1397"/>
      <c r="EU4" s="1397"/>
      <c r="EV4" s="1397"/>
      <c r="EW4" s="1397"/>
      <c r="EX4" s="1397"/>
      <c r="EY4" s="1397"/>
      <c r="EZ4" s="1398">
        <v>237</v>
      </c>
      <c r="FA4" s="1397"/>
      <c r="FB4" s="1397"/>
      <c r="FC4" s="1397"/>
      <c r="FD4" s="1397"/>
      <c r="FE4" s="1397"/>
      <c r="FF4" s="1397"/>
      <c r="FG4" s="1397"/>
      <c r="FH4" s="1397"/>
      <c r="FI4" s="1397"/>
      <c r="FJ4" s="1397"/>
      <c r="FK4" s="1397"/>
      <c r="FL4" s="1397"/>
      <c r="FM4" s="1397"/>
      <c r="FN4" s="1397"/>
      <c r="FO4" s="1397"/>
      <c r="FP4" s="1397"/>
      <c r="FQ4" s="1397"/>
      <c r="FR4" s="1397"/>
      <c r="FS4" s="1397"/>
      <c r="FT4" s="1397"/>
      <c r="FU4" s="1397"/>
      <c r="FV4" s="1397"/>
      <c r="FW4" s="1397"/>
      <c r="FX4" s="1397"/>
      <c r="FY4" s="1397"/>
      <c r="FZ4" s="1397"/>
      <c r="GA4" s="1397"/>
      <c r="GB4" s="1397"/>
      <c r="GC4" s="1397"/>
      <c r="GD4" s="1397"/>
      <c r="GE4" s="1397"/>
      <c r="GF4" s="1397"/>
      <c r="GG4" s="1397"/>
      <c r="GH4" s="1397"/>
      <c r="GI4" s="1397"/>
      <c r="GJ4" s="1397"/>
      <c r="GK4" s="1397"/>
      <c r="GL4" s="1397">
        <f>GL6-GL5</f>
        <v>4139.3100000000004</v>
      </c>
      <c r="GM4" s="1397">
        <f>GM6-GM5</f>
        <v>4139.3100000000004</v>
      </c>
      <c r="GN4" s="1397"/>
      <c r="GO4" s="1397"/>
      <c r="GP4" s="1397"/>
      <c r="GQ4" s="1397"/>
      <c r="GR4" s="1397"/>
      <c r="GS4" s="1397"/>
      <c r="GT4" s="1397">
        <f>GT6-GT5</f>
        <v>768</v>
      </c>
      <c r="GU4" s="1397"/>
      <c r="GV4" s="1397"/>
      <c r="GW4" s="1397"/>
      <c r="GX4" s="1397"/>
      <c r="GY4" s="1397"/>
      <c r="GZ4" s="1397"/>
      <c r="HA4" s="1397"/>
      <c r="HB4" s="1397"/>
      <c r="HC4" s="1397"/>
      <c r="HD4" s="1397"/>
      <c r="HE4" s="1397"/>
      <c r="HF4" s="1397"/>
      <c r="HG4" s="1397"/>
      <c r="HH4" s="1397"/>
      <c r="HI4" s="1397"/>
      <c r="HJ4" s="1397"/>
      <c r="HK4" s="1398">
        <v>400</v>
      </c>
      <c r="HL4" s="1397"/>
      <c r="HM4" s="1397"/>
      <c r="HN4" s="1397">
        <v>0</v>
      </c>
      <c r="HO4" s="1397"/>
      <c r="HP4" s="1397"/>
      <c r="HQ4" s="1397"/>
      <c r="HR4" s="1397"/>
      <c r="HS4" s="1397"/>
      <c r="HT4" s="1397"/>
      <c r="HU4" s="1397"/>
      <c r="HV4" s="1397"/>
      <c r="HW4" s="1397"/>
      <c r="HX4" s="1397"/>
      <c r="HY4" s="1397"/>
      <c r="HZ4" s="1397"/>
      <c r="IA4" s="1397"/>
      <c r="IB4" s="1397"/>
      <c r="IC4" s="1397"/>
      <c r="ID4" s="1397"/>
      <c r="IE4" s="1397"/>
      <c r="IF4" s="1398">
        <v>990</v>
      </c>
      <c r="IG4" s="1397"/>
      <c r="IH4" s="1397">
        <v>0</v>
      </c>
      <c r="II4" s="1397"/>
      <c r="IJ4" s="1397"/>
      <c r="IK4" s="1397"/>
      <c r="IL4" s="1397"/>
      <c r="IM4" s="1397"/>
      <c r="IN4" s="1397"/>
      <c r="IO4" s="1397"/>
      <c r="IP4" s="1397"/>
      <c r="IQ4" s="1397"/>
      <c r="IR4" s="1397"/>
      <c r="IS4" s="1397"/>
      <c r="IT4" s="1397"/>
      <c r="IU4" s="1397"/>
      <c r="IV4" s="1397"/>
      <c r="IW4" s="1397"/>
      <c r="IX4" s="1397"/>
      <c r="IY4" s="1397"/>
      <c r="IZ4" s="1397"/>
      <c r="JA4" s="1397"/>
      <c r="JB4" s="1397"/>
      <c r="JC4" s="1397"/>
      <c r="JD4" s="1397"/>
      <c r="JE4" s="1397"/>
      <c r="JF4" s="1397"/>
      <c r="JG4" s="1397"/>
      <c r="JH4" s="1397"/>
      <c r="JI4" s="1397"/>
      <c r="JJ4" s="1397"/>
      <c r="JK4" s="1398">
        <v>600</v>
      </c>
      <c r="JL4" s="1397"/>
      <c r="JM4" s="1397"/>
      <c r="JN4" s="1397"/>
      <c r="JO4" s="1397"/>
      <c r="JP4" s="1397"/>
      <c r="JQ4" s="1399"/>
      <c r="JR4" s="351"/>
      <c r="JS4" s="1400"/>
    </row>
    <row r="5" spans="1:279" x14ac:dyDescent="0.25">
      <c r="A5" s="1367">
        <v>3</v>
      </c>
      <c r="B5" s="1368" t="str">
        <f>IF(AOI_A_IND&gt;1,IF(HLOOKUP(AOI_A_IND-1,AOI_A_RANGE,A5)="","",HLOOKUP(AOI_A_IND-1,AOI_A_RANGE,A5)),"")</f>
        <v/>
      </c>
      <c r="C5" s="1359" t="s">
        <v>2411</v>
      </c>
      <c r="D5" s="1360" t="s">
        <v>2412</v>
      </c>
      <c r="E5" s="2499"/>
      <c r="F5" s="2499"/>
      <c r="G5" s="2499"/>
      <c r="H5" s="1395"/>
      <c r="I5" s="1395"/>
      <c r="J5" s="1395"/>
      <c r="K5" s="1395"/>
      <c r="L5" s="1777">
        <f t="shared" ref="E5:O6" si="1">L6*BR_rate</f>
        <v>0</v>
      </c>
      <c r="M5" s="1777">
        <f t="shared" si="1"/>
        <v>0</v>
      </c>
      <c r="N5" s="1777">
        <f t="shared" si="1"/>
        <v>0</v>
      </c>
      <c r="O5" s="1777">
        <f t="shared" si="1"/>
        <v>0</v>
      </c>
      <c r="P5" s="2482"/>
      <c r="Q5" s="2482"/>
      <c r="R5" s="2482"/>
      <c r="S5" s="2482"/>
      <c r="T5" s="2482"/>
      <c r="U5" s="2482"/>
      <c r="V5" s="2482"/>
      <c r="W5" s="2482"/>
      <c r="X5" s="2482"/>
      <c r="Y5" s="2482"/>
      <c r="Z5" s="2482"/>
      <c r="AA5" s="2482"/>
      <c r="AB5" s="2482"/>
      <c r="AC5" s="2482"/>
      <c r="AD5" s="2482"/>
      <c r="AE5" s="2482"/>
      <c r="AF5" s="2482"/>
      <c r="AG5" s="2482"/>
      <c r="AH5" s="2482"/>
      <c r="AI5" s="2482"/>
      <c r="AJ5" s="2482"/>
      <c r="AK5" s="2482"/>
      <c r="AL5" s="2482"/>
      <c r="AM5" s="2482"/>
      <c r="AN5" s="2482"/>
      <c r="AO5" s="2482"/>
      <c r="AP5" s="2482"/>
      <c r="AQ5" s="2482"/>
      <c r="AR5" s="2482"/>
      <c r="AS5" s="2482"/>
      <c r="AT5" s="2482"/>
      <c r="AU5" s="2482"/>
      <c r="AV5" s="2482"/>
      <c r="AW5" s="2482"/>
      <c r="AX5" s="2482"/>
      <c r="AY5" s="2482"/>
      <c r="AZ5" s="2482"/>
      <c r="BA5" s="2482"/>
      <c r="BB5" s="2482"/>
      <c r="BC5" s="2482"/>
      <c r="BD5" s="2482">
        <f>TRUNC(BD6*BR_rate+0.009,2)</f>
        <v>1034.83</v>
      </c>
      <c r="BE5" s="2482"/>
      <c r="BF5" s="2482"/>
      <c r="BG5" s="2482"/>
      <c r="BH5" s="2482"/>
      <c r="BI5" s="2482"/>
      <c r="BJ5" s="2482"/>
      <c r="BK5" s="2482"/>
      <c r="BL5" s="2482"/>
      <c r="BM5" s="2482"/>
      <c r="BN5" s="2482"/>
      <c r="BO5" s="2482"/>
      <c r="BP5" s="2482"/>
      <c r="BQ5" s="2482"/>
      <c r="BR5" s="2482"/>
      <c r="BS5" s="2482"/>
      <c r="BT5" s="2482"/>
      <c r="BU5" s="1773">
        <f>BU6*BR_rate</f>
        <v>5006</v>
      </c>
      <c r="BV5" s="2482"/>
      <c r="BW5" s="2482"/>
      <c r="BX5" s="2482"/>
      <c r="BY5" s="2482"/>
      <c r="BZ5" s="2482"/>
      <c r="CA5" s="2482"/>
      <c r="CB5" s="2482"/>
      <c r="CC5" s="2482"/>
      <c r="CD5" s="2482"/>
      <c r="CE5" s="2482"/>
      <c r="CF5" s="2482"/>
      <c r="CG5" s="2482"/>
      <c r="CH5" s="2482"/>
      <c r="CI5" s="2482">
        <f>TRUNC(CI6*BR_rate+0.009,2)</f>
        <v>1034.83</v>
      </c>
      <c r="CJ5" s="2482"/>
      <c r="CK5" s="2482"/>
      <c r="CL5" s="2482"/>
      <c r="CM5" s="2482"/>
      <c r="CN5" s="2482"/>
      <c r="CO5" s="2482"/>
      <c r="CP5" s="2482"/>
      <c r="CQ5" s="2482"/>
      <c r="CR5" s="2482"/>
      <c r="CS5" s="2482"/>
      <c r="CT5" s="2482"/>
      <c r="CU5" s="2482">
        <f>TRUNC(CU6*BR_rate+0.009,2)</f>
        <v>192</v>
      </c>
      <c r="CV5" s="1773">
        <v>215</v>
      </c>
      <c r="CW5" s="2482">
        <f>TRUNC(CW6*BR_rate+0.009,2)</f>
        <v>1034.83</v>
      </c>
      <c r="CX5" s="2482">
        <f>TRUNC(CX6*BR_rate+0.009,2)</f>
        <v>105.3</v>
      </c>
      <c r="CY5" s="2482"/>
      <c r="CZ5" s="2482"/>
      <c r="DA5" s="2482"/>
      <c r="DB5" s="2482"/>
      <c r="DC5" s="2482"/>
      <c r="DD5" s="2482"/>
      <c r="DE5" s="2482"/>
      <c r="DF5" s="2482"/>
      <c r="DG5" s="2482"/>
      <c r="DH5" s="2482">
        <f>TRUNC(DH6*BR_rate+0.009,2)</f>
        <v>1034.83</v>
      </c>
      <c r="DI5" s="2482"/>
      <c r="DJ5" s="2482"/>
      <c r="DK5" s="2482"/>
      <c r="DL5" s="2482"/>
      <c r="DM5" s="2482"/>
      <c r="DN5" s="2482"/>
      <c r="DO5" s="2482"/>
      <c r="DP5" s="2482"/>
      <c r="DQ5" s="2482"/>
      <c r="DR5" s="2482"/>
      <c r="DS5" s="2482"/>
      <c r="DT5" s="2482"/>
      <c r="DU5" s="2482"/>
      <c r="DV5" s="2482"/>
      <c r="DW5" s="2482"/>
      <c r="DX5" s="2482"/>
      <c r="DY5" s="1773">
        <v>5.83</v>
      </c>
      <c r="DZ5" s="2482"/>
      <c r="EA5" s="2482"/>
      <c r="EB5" s="2482"/>
      <c r="EC5" s="2482"/>
      <c r="ED5" s="2482"/>
      <c r="EE5" s="2482"/>
      <c r="EF5" s="2482"/>
      <c r="EG5" s="2482"/>
      <c r="EH5" s="2482"/>
      <c r="EI5" s="2482"/>
      <c r="EJ5" s="2482"/>
      <c r="EK5" s="2482"/>
      <c r="EL5" s="2482"/>
      <c r="EM5" s="2482"/>
      <c r="EN5" s="2482"/>
      <c r="EO5" s="2482"/>
      <c r="EP5" s="2482"/>
      <c r="EQ5" s="2482"/>
      <c r="ER5" s="2482"/>
      <c r="ES5" s="2482"/>
      <c r="ET5" s="2482"/>
      <c r="EU5" s="2482"/>
      <c r="EV5" s="2482"/>
      <c r="EW5" s="2482"/>
      <c r="EX5" s="2482"/>
      <c r="EY5" s="2482"/>
      <c r="EZ5" s="1773">
        <v>60</v>
      </c>
      <c r="FA5" s="2482"/>
      <c r="FB5" s="2482"/>
      <c r="FC5" s="2482"/>
      <c r="FD5" s="2482"/>
      <c r="FE5" s="2482"/>
      <c r="FF5" s="2482"/>
      <c r="FG5" s="2482"/>
      <c r="FH5" s="2482"/>
      <c r="FI5" s="2482"/>
      <c r="FJ5" s="2482"/>
      <c r="FK5" s="2482"/>
      <c r="FL5" s="2482"/>
      <c r="FM5" s="2482"/>
      <c r="FN5" s="2482"/>
      <c r="FO5" s="2482"/>
      <c r="FP5" s="2482"/>
      <c r="FQ5" s="2482"/>
      <c r="FR5" s="2482"/>
      <c r="FS5" s="2482"/>
      <c r="FT5" s="2482"/>
      <c r="FU5" s="2482"/>
      <c r="FV5" s="2482"/>
      <c r="FW5" s="2482"/>
      <c r="FX5" s="2482"/>
      <c r="FY5" s="2482"/>
      <c r="FZ5" s="2482"/>
      <c r="GA5" s="2482"/>
      <c r="GB5" s="2482"/>
      <c r="GC5" s="2482"/>
      <c r="GD5" s="2482"/>
      <c r="GE5" s="2482"/>
      <c r="GF5" s="2482"/>
      <c r="GG5" s="2482"/>
      <c r="GH5" s="2482"/>
      <c r="GI5" s="2482"/>
      <c r="GJ5" s="2482"/>
      <c r="GK5" s="2482"/>
      <c r="GL5" s="2482">
        <f>TRUNC(GL6*BR_rate+0.009,2)</f>
        <v>1034.83</v>
      </c>
      <c r="GM5" s="2482">
        <f>TRUNC(GM6*BR_rate+0.009,2)</f>
        <v>1034.83</v>
      </c>
      <c r="GN5" s="2482"/>
      <c r="GO5" s="2482"/>
      <c r="GP5" s="2482"/>
      <c r="GQ5" s="2482"/>
      <c r="GR5" s="2482"/>
      <c r="GS5" s="2482"/>
      <c r="GT5" s="2482">
        <f>TRUNC(GT6*BR_rate+0.009,2)</f>
        <v>192</v>
      </c>
      <c r="GU5" s="2482"/>
      <c r="GV5" s="2482"/>
      <c r="GW5" s="2482"/>
      <c r="GX5" s="2482"/>
      <c r="GY5" s="2482"/>
      <c r="GZ5" s="2482"/>
      <c r="HA5" s="2482"/>
      <c r="HB5" s="2482"/>
      <c r="HC5" s="2482"/>
      <c r="HD5" s="2482"/>
      <c r="HE5" s="2482"/>
      <c r="HF5" s="2482"/>
      <c r="HG5" s="2482"/>
      <c r="HH5" s="2482"/>
      <c r="HI5" s="2482"/>
      <c r="HJ5" s="2482"/>
      <c r="HK5" s="1773">
        <v>101</v>
      </c>
      <c r="HL5" s="2482"/>
      <c r="HM5" s="2482"/>
      <c r="HN5" s="2482">
        <v>0</v>
      </c>
      <c r="HO5" s="2482"/>
      <c r="HP5" s="2482"/>
      <c r="HQ5" s="2482"/>
      <c r="HR5" s="2482"/>
      <c r="HS5" s="2482"/>
      <c r="HT5" s="2482"/>
      <c r="HU5" s="2482"/>
      <c r="HV5" s="2482"/>
      <c r="HW5" s="2482"/>
      <c r="HX5" s="2482"/>
      <c r="HY5" s="2482"/>
      <c r="HZ5" s="2482"/>
      <c r="IA5" s="2482"/>
      <c r="IB5" s="2482"/>
      <c r="IC5" s="2482"/>
      <c r="ID5" s="2482"/>
      <c r="IE5" s="2482"/>
      <c r="IF5" s="1773">
        <v>197</v>
      </c>
      <c r="IG5" s="2482"/>
      <c r="IH5" s="2482">
        <v>0</v>
      </c>
      <c r="II5" s="2482"/>
      <c r="IJ5" s="2482"/>
      <c r="IK5" s="2482"/>
      <c r="IL5" s="2482"/>
      <c r="IM5" s="2482"/>
      <c r="IN5" s="2482"/>
      <c r="IO5" s="2482"/>
      <c r="IP5" s="2482"/>
      <c r="IQ5" s="2482"/>
      <c r="IR5" s="2482"/>
      <c r="IS5" s="2482"/>
      <c r="IT5" s="2482"/>
      <c r="IU5" s="2482"/>
      <c r="IV5" s="2482"/>
      <c r="IW5" s="2482"/>
      <c r="IX5" s="2482"/>
      <c r="IY5" s="2482"/>
      <c r="IZ5" s="2482"/>
      <c r="JA5" s="2482"/>
      <c r="JB5" s="2482"/>
      <c r="JC5" s="2482"/>
      <c r="JD5" s="2482"/>
      <c r="JE5" s="2482"/>
      <c r="JF5" s="2482"/>
      <c r="JG5" s="2482"/>
      <c r="JH5" s="2482"/>
      <c r="JI5" s="2482"/>
      <c r="JJ5" s="2482"/>
      <c r="JK5" s="1773">
        <v>150</v>
      </c>
      <c r="JL5" s="2482"/>
      <c r="JM5" s="2482"/>
      <c r="JN5" s="2482"/>
      <c r="JO5" s="2482"/>
      <c r="JP5" s="2482"/>
      <c r="JQ5" s="2483"/>
      <c r="JR5" s="351"/>
      <c r="JS5" s="1400"/>
    </row>
    <row r="6" spans="1:279" ht="12" thickBot="1" x14ac:dyDescent="0.3">
      <c r="A6" s="1367">
        <v>4</v>
      </c>
      <c r="B6" s="1368" t="str">
        <f>IF(AOI_A_IND&gt;1,IF(HLOOKUP(AOI_A_IND-1,AOI_A_RANGE,A6)="","",HLOOKUP(AOI_A_IND-1,AOI_A_RANGE,A6)),"")</f>
        <v/>
      </c>
      <c r="C6" s="705" t="s">
        <v>2413</v>
      </c>
      <c r="D6" s="698" t="s">
        <v>2414</v>
      </c>
      <c r="E6" s="2500">
        <f t="shared" si="1"/>
        <v>0</v>
      </c>
      <c r="F6" s="2500">
        <f t="shared" si="1"/>
        <v>0</v>
      </c>
      <c r="G6" s="2500">
        <f t="shared" si="1"/>
        <v>0</v>
      </c>
      <c r="H6" s="2500">
        <f t="shared" si="1"/>
        <v>0</v>
      </c>
      <c r="I6" s="2500">
        <f t="shared" si="1"/>
        <v>0</v>
      </c>
      <c r="J6" s="2500">
        <f t="shared" si="1"/>
        <v>0</v>
      </c>
      <c r="K6" s="2500">
        <f t="shared" si="1"/>
        <v>0</v>
      </c>
      <c r="L6" s="2500">
        <f t="shared" si="1"/>
        <v>0</v>
      </c>
      <c r="M6" s="2500">
        <f t="shared" si="1"/>
        <v>0</v>
      </c>
      <c r="N6" s="2500">
        <f t="shared" si="1"/>
        <v>0</v>
      </c>
      <c r="O6" s="2500">
        <f t="shared" si="1"/>
        <v>0</v>
      </c>
      <c r="P6" s="2501"/>
      <c r="Q6" s="2501"/>
      <c r="R6" s="2501"/>
      <c r="S6" s="2501"/>
      <c r="T6" s="2501"/>
      <c r="U6" s="2501"/>
      <c r="V6" s="2501"/>
      <c r="W6" s="2501"/>
      <c r="X6" s="2501"/>
      <c r="Y6" s="2501"/>
      <c r="Z6" s="2501"/>
      <c r="AA6" s="2501"/>
      <c r="AB6" s="2501"/>
      <c r="AC6" s="2501"/>
      <c r="AD6" s="2501"/>
      <c r="AE6" s="2501"/>
      <c r="AF6" s="2501"/>
      <c r="AG6" s="2501"/>
      <c r="AH6" s="2501"/>
      <c r="AI6" s="2501"/>
      <c r="AJ6" s="2501"/>
      <c r="AK6" s="2501"/>
      <c r="AL6" s="2501"/>
      <c r="AM6" s="2501"/>
      <c r="AN6" s="2501"/>
      <c r="AO6" s="2501"/>
      <c r="AP6" s="2501"/>
      <c r="AQ6" s="2501"/>
      <c r="AR6" s="2501"/>
      <c r="AS6" s="2501"/>
      <c r="AT6" s="2501"/>
      <c r="AU6" s="2501"/>
      <c r="AV6" s="2501"/>
      <c r="AW6" s="2501"/>
      <c r="AX6" s="2501"/>
      <c r="AY6" s="2501"/>
      <c r="AZ6" s="2501"/>
      <c r="BA6" s="2501"/>
      <c r="BB6" s="2501"/>
      <c r="BC6" s="2501"/>
      <c r="BD6" s="2501">
        <v>5174.1400000000003</v>
      </c>
      <c r="BE6" s="2501"/>
      <c r="BF6" s="2501"/>
      <c r="BG6" s="2501"/>
      <c r="BH6" s="2501"/>
      <c r="BI6" s="2501"/>
      <c r="BJ6" s="2501"/>
      <c r="BK6" s="2501"/>
      <c r="BL6" s="2501"/>
      <c r="BM6" s="2501"/>
      <c r="BN6" s="2501"/>
      <c r="BO6" s="2501"/>
      <c r="BP6" s="2501"/>
      <c r="BQ6" s="2501"/>
      <c r="BR6" s="2501"/>
      <c r="BS6" s="2501"/>
      <c r="BT6" s="2501"/>
      <c r="BU6" s="2502">
        <v>25030</v>
      </c>
      <c r="BV6" s="2501"/>
      <c r="BW6" s="2501"/>
      <c r="BX6" s="2501"/>
      <c r="BY6" s="2501"/>
      <c r="BZ6" s="2501"/>
      <c r="CA6" s="2501"/>
      <c r="CB6" s="2501"/>
      <c r="CC6" s="2501"/>
      <c r="CD6" s="2501"/>
      <c r="CE6" s="2501"/>
      <c r="CF6" s="2501"/>
      <c r="CG6" s="2501"/>
      <c r="CH6" s="2501"/>
      <c r="CI6" s="2501">
        <v>5174.1400000000003</v>
      </c>
      <c r="CJ6" s="2501"/>
      <c r="CK6" s="2501"/>
      <c r="CL6" s="2501"/>
      <c r="CM6" s="2501"/>
      <c r="CN6" s="2501"/>
      <c r="CO6" s="2501"/>
      <c r="CP6" s="2501"/>
      <c r="CQ6" s="2501"/>
      <c r="CR6" s="2501"/>
      <c r="CS6" s="2501"/>
      <c r="CT6" s="2501"/>
      <c r="CU6" s="2501">
        <v>960</v>
      </c>
      <c r="CV6" s="2502">
        <v>1540</v>
      </c>
      <c r="CW6" s="2501">
        <v>5174.1400000000003</v>
      </c>
      <c r="CX6" s="2501">
        <v>526.5</v>
      </c>
      <c r="CY6" s="2501"/>
      <c r="CZ6" s="2501"/>
      <c r="DA6" s="2501"/>
      <c r="DB6" s="2501"/>
      <c r="DC6" s="2501"/>
      <c r="DD6" s="2501"/>
      <c r="DE6" s="2501"/>
      <c r="DF6" s="2501"/>
      <c r="DG6" s="2501"/>
      <c r="DH6" s="2501">
        <v>5174.1400000000003</v>
      </c>
      <c r="DI6" s="2501"/>
      <c r="DJ6" s="2501"/>
      <c r="DK6" s="2501"/>
      <c r="DL6" s="2501"/>
      <c r="DM6" s="2501"/>
      <c r="DN6" s="2501"/>
      <c r="DO6" s="2501"/>
      <c r="DP6" s="2501"/>
      <c r="DQ6" s="2501"/>
      <c r="DR6" s="2501"/>
      <c r="DS6" s="2501"/>
      <c r="DT6" s="2501"/>
      <c r="DU6" s="2501"/>
      <c r="DV6" s="2501"/>
      <c r="DW6" s="2502">
        <v>1415</v>
      </c>
      <c r="DX6" s="2501"/>
      <c r="DY6" s="2502">
        <v>2451.79</v>
      </c>
      <c r="DZ6" s="2501"/>
      <c r="EA6" s="2501"/>
      <c r="EB6" s="2501"/>
      <c r="EC6" s="2501"/>
      <c r="ED6" s="2501">
        <v>43</v>
      </c>
      <c r="EE6" s="2501"/>
      <c r="EF6" s="2501"/>
      <c r="EG6" s="2501"/>
      <c r="EH6" s="2501"/>
      <c r="EI6" s="2501"/>
      <c r="EJ6" s="2501"/>
      <c r="EK6" s="2501"/>
      <c r="EL6" s="2501"/>
      <c r="EM6" s="2502">
        <v>30</v>
      </c>
      <c r="EN6" s="2501"/>
      <c r="EO6" s="2502">
        <v>2021.72</v>
      </c>
      <c r="EP6" s="2501"/>
      <c r="EQ6" s="2501"/>
      <c r="ER6" s="2501">
        <v>396</v>
      </c>
      <c r="ES6" s="2501"/>
      <c r="ET6" s="2501"/>
      <c r="EU6" s="2501"/>
      <c r="EV6" s="2501"/>
      <c r="EW6" s="2501"/>
      <c r="EX6" s="2501"/>
      <c r="EY6" s="2501"/>
      <c r="EZ6" s="2502">
        <v>297</v>
      </c>
      <c r="FA6" s="2501"/>
      <c r="FB6" s="2501"/>
      <c r="FC6" s="2501">
        <v>407</v>
      </c>
      <c r="FD6" s="2501"/>
      <c r="FE6" s="2501"/>
      <c r="FF6" s="2501"/>
      <c r="FG6" s="2501"/>
      <c r="FH6" s="2501"/>
      <c r="FI6" s="2501"/>
      <c r="FJ6" s="2502">
        <v>447</v>
      </c>
      <c r="FK6" s="2501"/>
      <c r="FL6" s="2501"/>
      <c r="FM6" s="2501"/>
      <c r="FN6" s="2501"/>
      <c r="FO6" s="2501"/>
      <c r="FP6" s="2501"/>
      <c r="FQ6" s="2501"/>
      <c r="FR6" s="2501"/>
      <c r="FS6" s="2501"/>
      <c r="FT6" s="2501"/>
      <c r="FU6" s="2501"/>
      <c r="FV6" s="2501"/>
      <c r="FW6" s="2501"/>
      <c r="FX6" s="2501"/>
      <c r="FY6" s="2501"/>
      <c r="FZ6" s="2501"/>
      <c r="GA6" s="2501"/>
      <c r="GB6" s="2501"/>
      <c r="GC6" s="2501"/>
      <c r="GD6" s="2501"/>
      <c r="GE6" s="2501"/>
      <c r="GF6" s="2501"/>
      <c r="GG6" s="2501"/>
      <c r="GH6" s="2501"/>
      <c r="GI6" s="2501"/>
      <c r="GJ6" s="2501"/>
      <c r="GK6" s="2501"/>
      <c r="GL6" s="2501">
        <v>5174.1400000000003</v>
      </c>
      <c r="GM6" s="2501">
        <v>5174.1400000000003</v>
      </c>
      <c r="GN6" s="2501"/>
      <c r="GO6" s="2501"/>
      <c r="GP6" s="2501"/>
      <c r="GQ6" s="2501"/>
      <c r="GR6" s="2501"/>
      <c r="GS6" s="2501"/>
      <c r="GT6" s="2501">
        <v>960</v>
      </c>
      <c r="GU6" s="2501"/>
      <c r="GV6" s="2501"/>
      <c r="GW6" s="2501"/>
      <c r="GX6" s="2501"/>
      <c r="GY6" s="2501"/>
      <c r="GZ6" s="2501"/>
      <c r="HA6" s="2501"/>
      <c r="HB6" s="2501"/>
      <c r="HC6" s="2501"/>
      <c r="HD6" s="2501"/>
      <c r="HE6" s="2501"/>
      <c r="HF6" s="2501"/>
      <c r="HG6" s="2501"/>
      <c r="HH6" s="2501"/>
      <c r="HI6" s="2501"/>
      <c r="HJ6" s="2501"/>
      <c r="HK6" s="2502">
        <v>4179</v>
      </c>
      <c r="HL6" s="2501"/>
      <c r="HM6" s="2501"/>
      <c r="HN6" s="2501">
        <v>85023</v>
      </c>
      <c r="HO6" s="2501"/>
      <c r="HP6" s="2501"/>
      <c r="HQ6" s="2501"/>
      <c r="HR6" s="2501"/>
      <c r="HS6" s="2501"/>
      <c r="HT6" s="2501"/>
      <c r="HU6" s="2501"/>
      <c r="HV6" s="2501"/>
      <c r="HW6" s="2501"/>
      <c r="HX6" s="2501"/>
      <c r="HY6" s="2501"/>
      <c r="HZ6" s="2501"/>
      <c r="IA6" s="2501"/>
      <c r="IB6" s="2501"/>
      <c r="IC6" s="2501"/>
      <c r="ID6" s="2501"/>
      <c r="IE6" s="2501"/>
      <c r="IF6" s="2502">
        <v>1239</v>
      </c>
      <c r="IG6" s="2501"/>
      <c r="IH6" s="2501">
        <v>1364</v>
      </c>
      <c r="II6" s="2501"/>
      <c r="IJ6" s="2501"/>
      <c r="IK6" s="2501"/>
      <c r="IL6" s="2501"/>
      <c r="IM6" s="2501"/>
      <c r="IN6" s="2501"/>
      <c r="IO6" s="2501"/>
      <c r="IP6" s="2501"/>
      <c r="IQ6" s="2501"/>
      <c r="IR6" s="2501"/>
      <c r="IS6" s="2501"/>
      <c r="IT6" s="2501"/>
      <c r="IU6" s="2501"/>
      <c r="IV6" s="2501"/>
      <c r="IW6" s="2502">
        <v>1562.5</v>
      </c>
      <c r="IX6" s="2502">
        <v>3068</v>
      </c>
      <c r="IY6" s="2501"/>
      <c r="IZ6" s="2501"/>
      <c r="JA6" s="2501"/>
      <c r="JB6" s="2501"/>
      <c r="JC6" s="2501"/>
      <c r="JD6" s="2501"/>
      <c r="JE6" s="2501"/>
      <c r="JF6" s="2501"/>
      <c r="JG6" s="2501"/>
      <c r="JH6" s="2501"/>
      <c r="JI6" s="2502">
        <v>1508</v>
      </c>
      <c r="JJ6" s="2502">
        <v>4446</v>
      </c>
      <c r="JK6" s="2502">
        <v>750</v>
      </c>
      <c r="JL6" s="2501"/>
      <c r="JM6" s="2501"/>
      <c r="JN6" s="2501"/>
      <c r="JO6" s="2501"/>
      <c r="JP6" s="2501"/>
      <c r="JQ6" s="2503"/>
      <c r="JR6" s="351"/>
      <c r="JS6" s="1400"/>
    </row>
    <row r="7" spans="1:279" x14ac:dyDescent="0.25">
      <c r="C7" s="261"/>
      <c r="D7" s="137"/>
      <c r="E7" s="35"/>
      <c r="F7" s="35"/>
      <c r="G7" s="35"/>
      <c r="H7" s="35"/>
      <c r="I7" s="35"/>
      <c r="J7" s="35"/>
      <c r="K7" s="35"/>
      <c r="JS7" s="1"/>
    </row>
    <row r="8" spans="1:279" ht="12" thickBot="1" x14ac:dyDescent="0.3">
      <c r="C8" s="261" t="s">
        <v>2415</v>
      </c>
      <c r="D8" s="137"/>
      <c r="E8" s="35"/>
      <c r="F8" s="35"/>
      <c r="G8" s="35"/>
      <c r="H8" s="35"/>
      <c r="I8" s="35"/>
      <c r="J8" s="35"/>
      <c r="K8" s="35"/>
      <c r="JS8" s="1"/>
    </row>
    <row r="9" spans="1:279" x14ac:dyDescent="0.25">
      <c r="A9" s="1367" t="s">
        <v>2201</v>
      </c>
      <c r="B9" s="585" t="s">
        <v>2408</v>
      </c>
      <c r="C9" s="287" t="s">
        <v>13</v>
      </c>
      <c r="D9" s="262"/>
      <c r="E9" s="418">
        <v>1</v>
      </c>
      <c r="F9" s="418">
        <v>2</v>
      </c>
      <c r="G9" s="418">
        <v>3</v>
      </c>
      <c r="H9" s="418">
        <v>4</v>
      </c>
      <c r="I9" s="418">
        <v>5</v>
      </c>
      <c r="J9" s="418">
        <v>6</v>
      </c>
      <c r="K9" s="418">
        <v>7</v>
      </c>
      <c r="L9" s="418">
        <v>8</v>
      </c>
      <c r="M9" s="418">
        <v>9</v>
      </c>
      <c r="N9" s="1355">
        <v>10</v>
      </c>
      <c r="O9" s="1355">
        <v>11</v>
      </c>
      <c r="P9" s="1355">
        <v>12</v>
      </c>
      <c r="Q9" s="1355">
        <v>13</v>
      </c>
      <c r="R9" s="1355">
        <v>14</v>
      </c>
      <c r="S9" s="1355">
        <v>15</v>
      </c>
      <c r="T9" s="1355">
        <v>16</v>
      </c>
      <c r="U9" s="1355">
        <v>17</v>
      </c>
      <c r="V9" s="1355">
        <v>18</v>
      </c>
      <c r="W9" s="1355">
        <v>19</v>
      </c>
      <c r="X9" s="1355">
        <v>20</v>
      </c>
      <c r="Y9" s="1355">
        <v>21</v>
      </c>
      <c r="Z9" s="1355">
        <v>22</v>
      </c>
      <c r="AA9" s="1355">
        <v>23</v>
      </c>
      <c r="AB9" s="1355">
        <v>24</v>
      </c>
      <c r="AC9" s="1355">
        <v>25</v>
      </c>
      <c r="AD9" s="1355">
        <v>26</v>
      </c>
      <c r="AE9" s="1355">
        <v>27</v>
      </c>
      <c r="AF9" s="1355">
        <v>28</v>
      </c>
      <c r="AG9" s="1355">
        <v>29</v>
      </c>
      <c r="AH9" s="1355">
        <v>30</v>
      </c>
      <c r="AI9" s="418">
        <v>31</v>
      </c>
      <c r="AJ9" s="418">
        <v>32</v>
      </c>
      <c r="AK9" s="418">
        <v>33</v>
      </c>
      <c r="AL9" s="418">
        <v>34</v>
      </c>
      <c r="AM9" s="418">
        <v>35</v>
      </c>
      <c r="AN9" s="418">
        <v>36</v>
      </c>
      <c r="AO9" s="418">
        <v>37</v>
      </c>
      <c r="AP9" s="418">
        <v>38</v>
      </c>
      <c r="AQ9" s="418">
        <v>39</v>
      </c>
      <c r="AR9" s="418">
        <v>40</v>
      </c>
      <c r="AS9" s="418">
        <v>41</v>
      </c>
      <c r="AT9" s="418">
        <v>42</v>
      </c>
      <c r="AU9" s="418">
        <v>43</v>
      </c>
      <c r="AV9" s="418">
        <v>44</v>
      </c>
      <c r="AW9" s="418">
        <v>45</v>
      </c>
      <c r="AX9" s="418">
        <v>46</v>
      </c>
      <c r="AY9" s="418">
        <v>47</v>
      </c>
      <c r="AZ9" s="418">
        <v>48</v>
      </c>
      <c r="BA9" s="418">
        <v>49</v>
      </c>
      <c r="BB9" s="418">
        <v>50</v>
      </c>
      <c r="BC9" s="418">
        <v>51</v>
      </c>
      <c r="BD9" s="418">
        <v>52</v>
      </c>
      <c r="BE9" s="418">
        <v>53</v>
      </c>
      <c r="BF9" s="418">
        <v>54</v>
      </c>
      <c r="BG9" s="418">
        <v>55</v>
      </c>
      <c r="BH9" s="418">
        <v>56</v>
      </c>
      <c r="BI9" s="418">
        <v>57</v>
      </c>
      <c r="BJ9" s="418">
        <v>58</v>
      </c>
      <c r="BK9" s="418">
        <v>59</v>
      </c>
      <c r="BL9" s="418">
        <v>60</v>
      </c>
      <c r="BM9" s="418">
        <v>61</v>
      </c>
      <c r="BN9" s="418">
        <v>62</v>
      </c>
      <c r="BO9" s="418">
        <v>63</v>
      </c>
      <c r="BP9" s="418">
        <v>64</v>
      </c>
      <c r="BQ9" s="418">
        <v>65</v>
      </c>
      <c r="BR9" s="418">
        <v>66</v>
      </c>
      <c r="BS9" s="418">
        <v>67</v>
      </c>
      <c r="BT9" s="418">
        <v>68</v>
      </c>
      <c r="BU9" s="418">
        <v>69</v>
      </c>
      <c r="BV9" s="418">
        <v>70</v>
      </c>
      <c r="BW9" s="418">
        <v>71</v>
      </c>
      <c r="BX9" s="418">
        <v>72</v>
      </c>
      <c r="BY9" s="418">
        <v>73</v>
      </c>
      <c r="BZ9" s="418">
        <v>74</v>
      </c>
      <c r="CA9" s="418">
        <v>75</v>
      </c>
      <c r="CB9" s="418">
        <v>76</v>
      </c>
      <c r="CC9" s="418">
        <v>77</v>
      </c>
      <c r="CD9" s="418">
        <v>78</v>
      </c>
      <c r="CE9" s="418">
        <v>79</v>
      </c>
      <c r="CF9" s="418">
        <v>80</v>
      </c>
      <c r="CG9" s="418">
        <v>81</v>
      </c>
      <c r="CH9" s="418">
        <v>82</v>
      </c>
      <c r="CI9" s="418">
        <v>83</v>
      </c>
      <c r="CJ9" s="418">
        <v>84</v>
      </c>
      <c r="CK9" s="418">
        <v>85</v>
      </c>
      <c r="CL9" s="418">
        <v>86</v>
      </c>
      <c r="CM9" s="418">
        <v>87</v>
      </c>
      <c r="CN9" s="418">
        <v>88</v>
      </c>
      <c r="CO9" s="418">
        <v>89</v>
      </c>
      <c r="CP9" s="418">
        <v>90</v>
      </c>
      <c r="CQ9" s="418">
        <v>91</v>
      </c>
      <c r="CR9" s="418">
        <v>92</v>
      </c>
      <c r="CS9" s="418">
        <v>93</v>
      </c>
      <c r="CT9" s="418">
        <v>94</v>
      </c>
      <c r="CU9" s="418">
        <v>95</v>
      </c>
      <c r="CV9" s="418">
        <v>96</v>
      </c>
      <c r="CW9" s="418">
        <v>97</v>
      </c>
      <c r="CX9" s="418">
        <v>98</v>
      </c>
      <c r="CY9" s="418">
        <v>99</v>
      </c>
      <c r="CZ9" s="418">
        <v>100</v>
      </c>
      <c r="DA9" s="418">
        <v>101</v>
      </c>
      <c r="DB9" s="418">
        <v>102</v>
      </c>
      <c r="DC9" s="418">
        <v>103</v>
      </c>
      <c r="DD9" s="418">
        <v>104</v>
      </c>
      <c r="DE9" s="418">
        <v>105</v>
      </c>
      <c r="DF9" s="418">
        <v>106</v>
      </c>
      <c r="DG9" s="418">
        <v>107</v>
      </c>
      <c r="DH9" s="418">
        <v>108</v>
      </c>
      <c r="DI9" s="418">
        <v>109</v>
      </c>
      <c r="DJ9" s="418">
        <v>110</v>
      </c>
      <c r="DK9" s="418">
        <v>111</v>
      </c>
      <c r="DL9" s="418">
        <v>112</v>
      </c>
      <c r="DM9" s="418">
        <v>113</v>
      </c>
      <c r="DN9" s="418">
        <v>114</v>
      </c>
      <c r="DO9" s="418">
        <v>115</v>
      </c>
      <c r="DP9" s="418">
        <v>116</v>
      </c>
      <c r="DQ9" s="418">
        <v>117</v>
      </c>
      <c r="DR9" s="418">
        <v>118</v>
      </c>
      <c r="DS9" s="418">
        <v>119</v>
      </c>
      <c r="DT9" s="418">
        <v>120</v>
      </c>
      <c r="DU9" s="418">
        <v>121</v>
      </c>
      <c r="DV9" s="418">
        <v>122</v>
      </c>
      <c r="DW9" s="418">
        <v>123</v>
      </c>
      <c r="DX9" s="418">
        <v>124</v>
      </c>
      <c r="DY9" s="418">
        <v>125</v>
      </c>
      <c r="DZ9" s="418">
        <v>126</v>
      </c>
      <c r="EA9" s="418">
        <v>127</v>
      </c>
      <c r="EB9" s="418">
        <v>128</v>
      </c>
      <c r="EC9" s="418">
        <v>129</v>
      </c>
      <c r="ED9" s="418">
        <v>130</v>
      </c>
      <c r="EE9" s="418">
        <v>131</v>
      </c>
      <c r="EF9" s="418">
        <v>132</v>
      </c>
      <c r="EG9" s="418">
        <v>133</v>
      </c>
      <c r="EH9" s="418">
        <v>134</v>
      </c>
      <c r="EI9" s="418">
        <v>135</v>
      </c>
      <c r="EJ9" s="418">
        <v>136</v>
      </c>
      <c r="EK9" s="418">
        <v>137</v>
      </c>
      <c r="EL9" s="418">
        <v>138</v>
      </c>
      <c r="EM9" s="418">
        <v>139</v>
      </c>
      <c r="EN9" s="418">
        <v>140</v>
      </c>
      <c r="EO9" s="418">
        <v>141</v>
      </c>
      <c r="EP9" s="418">
        <v>142</v>
      </c>
      <c r="EQ9" s="418">
        <v>143</v>
      </c>
      <c r="ER9" s="418">
        <v>144</v>
      </c>
      <c r="ES9" s="418">
        <v>145</v>
      </c>
      <c r="ET9" s="418">
        <v>146</v>
      </c>
      <c r="EU9" s="418">
        <v>147</v>
      </c>
      <c r="EV9" s="418">
        <v>148</v>
      </c>
      <c r="EW9" s="418">
        <v>149</v>
      </c>
      <c r="EX9" s="418">
        <v>150</v>
      </c>
      <c r="EY9" s="418">
        <v>151</v>
      </c>
      <c r="EZ9" s="418">
        <v>152</v>
      </c>
      <c r="FA9" s="418">
        <v>153</v>
      </c>
      <c r="FB9" s="418">
        <v>154</v>
      </c>
      <c r="FC9" s="418">
        <v>155</v>
      </c>
      <c r="FD9" s="418">
        <v>156</v>
      </c>
      <c r="FE9" s="418">
        <v>157</v>
      </c>
      <c r="FF9" s="418">
        <v>158</v>
      </c>
      <c r="FG9" s="418">
        <v>159</v>
      </c>
      <c r="FH9" s="418">
        <v>160</v>
      </c>
      <c r="FI9" s="418">
        <v>161</v>
      </c>
      <c r="FJ9" s="418">
        <v>162</v>
      </c>
      <c r="FK9" s="418">
        <v>163</v>
      </c>
      <c r="FL9" s="418">
        <v>164</v>
      </c>
      <c r="FM9" s="418">
        <v>165</v>
      </c>
      <c r="FN9" s="418">
        <v>166</v>
      </c>
      <c r="FO9" s="418">
        <v>167</v>
      </c>
      <c r="FP9" s="418">
        <v>168</v>
      </c>
      <c r="FQ9" s="418">
        <v>169</v>
      </c>
      <c r="FR9" s="418">
        <v>170</v>
      </c>
      <c r="FS9" s="418">
        <v>171</v>
      </c>
      <c r="FT9" s="418">
        <v>172</v>
      </c>
      <c r="FU9" s="418">
        <v>173</v>
      </c>
      <c r="FV9" s="418">
        <v>174</v>
      </c>
      <c r="FW9" s="418">
        <v>175</v>
      </c>
      <c r="FX9" s="418">
        <v>176</v>
      </c>
      <c r="FY9" s="418">
        <v>177</v>
      </c>
      <c r="FZ9" s="418">
        <v>178</v>
      </c>
      <c r="GA9" s="418">
        <v>179</v>
      </c>
      <c r="GB9" s="418">
        <v>180</v>
      </c>
      <c r="GC9" s="418">
        <v>181</v>
      </c>
      <c r="GD9" s="418">
        <v>182</v>
      </c>
      <c r="GE9" s="418">
        <v>183</v>
      </c>
      <c r="GF9" s="418">
        <v>184</v>
      </c>
      <c r="GG9" s="418">
        <v>185</v>
      </c>
      <c r="GH9" s="418">
        <v>186</v>
      </c>
      <c r="GI9" s="418">
        <v>187</v>
      </c>
      <c r="GJ9" s="418">
        <v>188</v>
      </c>
      <c r="GK9" s="418">
        <v>189</v>
      </c>
      <c r="GL9" s="418">
        <v>190</v>
      </c>
      <c r="GM9" s="418">
        <v>191</v>
      </c>
      <c r="GN9" s="418">
        <v>192</v>
      </c>
      <c r="GO9" s="418">
        <v>193</v>
      </c>
      <c r="GP9" s="418">
        <v>194</v>
      </c>
      <c r="GQ9" s="418">
        <v>195</v>
      </c>
      <c r="GR9" s="418">
        <v>196</v>
      </c>
      <c r="GS9" s="418">
        <v>197</v>
      </c>
      <c r="GT9" s="418">
        <v>198</v>
      </c>
      <c r="GU9" s="418">
        <v>199</v>
      </c>
      <c r="GV9" s="418">
        <v>200</v>
      </c>
      <c r="GW9" s="418">
        <v>201</v>
      </c>
      <c r="GX9" s="418">
        <v>202</v>
      </c>
      <c r="GY9" s="418">
        <v>203</v>
      </c>
      <c r="GZ9" s="418">
        <v>204</v>
      </c>
      <c r="HA9" s="418">
        <v>205</v>
      </c>
      <c r="HB9" s="418">
        <v>206</v>
      </c>
      <c r="HC9" s="418">
        <v>207</v>
      </c>
      <c r="HD9" s="418">
        <v>208</v>
      </c>
      <c r="HE9" s="418">
        <v>209</v>
      </c>
      <c r="HF9" s="418">
        <v>210</v>
      </c>
      <c r="HG9" s="418">
        <v>211</v>
      </c>
      <c r="HH9" s="418">
        <v>212</v>
      </c>
      <c r="HI9" s="418">
        <v>213</v>
      </c>
      <c r="HJ9" s="418">
        <v>214</v>
      </c>
      <c r="HK9" s="418">
        <v>215</v>
      </c>
      <c r="HL9" s="418">
        <v>216</v>
      </c>
      <c r="HM9" s="418">
        <v>217</v>
      </c>
      <c r="HN9" s="418">
        <v>218</v>
      </c>
      <c r="HO9" s="418">
        <v>219</v>
      </c>
      <c r="HP9" s="418">
        <v>220</v>
      </c>
      <c r="HQ9" s="418">
        <v>221</v>
      </c>
      <c r="HR9" s="418">
        <v>222</v>
      </c>
      <c r="HS9" s="418">
        <v>223</v>
      </c>
      <c r="HT9" s="418">
        <v>224</v>
      </c>
      <c r="HU9" s="418">
        <v>225</v>
      </c>
      <c r="HV9" s="418">
        <v>226</v>
      </c>
      <c r="HW9" s="418">
        <v>227</v>
      </c>
      <c r="HX9" s="418">
        <v>228</v>
      </c>
      <c r="HY9" s="418">
        <v>229</v>
      </c>
      <c r="HZ9" s="418">
        <v>230</v>
      </c>
      <c r="IA9" s="418">
        <v>231</v>
      </c>
      <c r="IB9" s="418">
        <v>232</v>
      </c>
      <c r="IC9" s="418">
        <v>233</v>
      </c>
      <c r="ID9" s="418">
        <v>234</v>
      </c>
      <c r="IE9" s="418">
        <v>235</v>
      </c>
      <c r="IF9" s="418">
        <v>236</v>
      </c>
      <c r="IG9" s="418">
        <v>237</v>
      </c>
      <c r="IH9" s="418">
        <v>238</v>
      </c>
      <c r="II9" s="418">
        <v>239</v>
      </c>
      <c r="IJ9" s="418">
        <v>240</v>
      </c>
      <c r="IK9" s="418">
        <v>241</v>
      </c>
      <c r="IL9" s="418">
        <v>242</v>
      </c>
      <c r="IM9" s="418">
        <v>243</v>
      </c>
      <c r="IN9" s="418">
        <v>244</v>
      </c>
      <c r="IO9" s="418">
        <v>245</v>
      </c>
      <c r="IP9" s="418">
        <v>246</v>
      </c>
      <c r="IQ9" s="418">
        <v>247</v>
      </c>
      <c r="IR9" s="418">
        <v>248</v>
      </c>
      <c r="IS9" s="418">
        <v>249</v>
      </c>
      <c r="IT9" s="418">
        <v>250</v>
      </c>
      <c r="IU9" s="418">
        <v>251</v>
      </c>
      <c r="IV9" s="418">
        <v>252</v>
      </c>
      <c r="IW9" s="418">
        <v>253</v>
      </c>
      <c r="IX9" s="418">
        <v>254</v>
      </c>
      <c r="IY9" s="418">
        <v>255</v>
      </c>
      <c r="IZ9" s="418">
        <v>256</v>
      </c>
      <c r="JA9" s="418">
        <v>257</v>
      </c>
      <c r="JB9" s="418">
        <v>258</v>
      </c>
      <c r="JC9" s="418">
        <v>259</v>
      </c>
      <c r="JD9" s="418">
        <v>260</v>
      </c>
      <c r="JE9" s="418">
        <v>261</v>
      </c>
      <c r="JF9" s="418">
        <v>262</v>
      </c>
      <c r="JG9" s="418">
        <v>263</v>
      </c>
      <c r="JH9" s="418">
        <v>264</v>
      </c>
      <c r="JI9" s="418">
        <v>265</v>
      </c>
      <c r="JJ9" s="418">
        <v>266</v>
      </c>
      <c r="JK9" s="418">
        <v>267</v>
      </c>
      <c r="JL9" s="418">
        <v>268</v>
      </c>
      <c r="JM9" s="418">
        <v>269</v>
      </c>
      <c r="JN9" s="418">
        <v>270</v>
      </c>
      <c r="JO9" s="418">
        <v>271</v>
      </c>
      <c r="JP9" s="418">
        <v>272</v>
      </c>
      <c r="JQ9" s="418">
        <v>273</v>
      </c>
      <c r="JR9" s="351"/>
      <c r="JS9" s="1400"/>
    </row>
    <row r="10" spans="1:279" x14ac:dyDescent="0.25">
      <c r="A10" s="1367">
        <v>2</v>
      </c>
      <c r="B10" s="1368" t="str">
        <f t="shared" ref="B10:B17" si="2">IF(AOI_B_IND&gt;1,IF(HLOOKUP(AOI_B_IND-1,AOI_B_RANGE,A10)="","",HLOOKUP(AOI_B_IND-1,AOI_B_RANGE,A10)),"")</f>
        <v/>
      </c>
      <c r="C10" s="1359" t="s">
        <v>2416</v>
      </c>
      <c r="D10" s="1360" t="s">
        <v>2417</v>
      </c>
      <c r="E10" s="1378"/>
      <c r="F10" s="1378"/>
      <c r="G10" s="1378"/>
      <c r="H10" s="1378"/>
      <c r="I10" s="1378"/>
      <c r="J10" s="1378"/>
      <c r="K10" s="1378"/>
      <c r="L10" s="1378"/>
      <c r="M10" s="1378"/>
      <c r="N10" s="1378"/>
      <c r="O10" s="1378"/>
      <c r="P10" s="2477"/>
      <c r="Q10" s="2477"/>
      <c r="R10" s="2477"/>
      <c r="S10" s="2477"/>
      <c r="T10" s="2477"/>
      <c r="U10" s="2477"/>
      <c r="V10" s="2477"/>
      <c r="W10" s="2477"/>
      <c r="X10" s="2477"/>
      <c r="Y10" s="2477"/>
      <c r="Z10" s="2477"/>
      <c r="AA10" s="2477"/>
      <c r="AB10" s="2477"/>
      <c r="AC10" s="2477"/>
      <c r="AD10" s="2477"/>
      <c r="AE10" s="2477"/>
      <c r="AF10" s="2477"/>
      <c r="AG10" s="2477"/>
      <c r="AH10" s="2477"/>
      <c r="AI10" s="2477"/>
      <c r="AJ10" s="2477"/>
      <c r="AK10" s="2477"/>
      <c r="AL10" s="2477"/>
      <c r="AM10" s="2477"/>
      <c r="AN10" s="2477"/>
      <c r="AO10" s="2477"/>
      <c r="AP10" s="2477"/>
      <c r="AQ10" s="2477"/>
      <c r="AR10" s="1424"/>
      <c r="AS10" s="2477">
        <v>120000</v>
      </c>
      <c r="AT10" s="2477"/>
      <c r="AU10" s="2477"/>
      <c r="AV10" s="2477"/>
      <c r="AW10" s="2477">
        <v>5800</v>
      </c>
      <c r="AX10" s="2477"/>
      <c r="AY10" s="2477"/>
      <c r="AZ10" s="2477"/>
      <c r="BA10" s="2477"/>
      <c r="BB10" s="2477"/>
      <c r="BC10" s="2477"/>
      <c r="BD10" s="2477">
        <v>10000</v>
      </c>
      <c r="BE10" s="2477"/>
      <c r="BF10" s="2477"/>
      <c r="BG10" s="1380"/>
      <c r="BH10" s="2477">
        <v>43250</v>
      </c>
      <c r="BI10" s="2477"/>
      <c r="BJ10" s="2477"/>
      <c r="BK10" s="2477"/>
      <c r="BL10" s="2477">
        <v>10000</v>
      </c>
      <c r="BM10" s="2477"/>
      <c r="BN10" s="2477"/>
      <c r="BO10" s="2477"/>
      <c r="BP10" s="2477"/>
      <c r="BQ10" s="2477"/>
      <c r="BR10" s="2477"/>
      <c r="BS10" s="2477"/>
      <c r="BT10" s="2477"/>
      <c r="BU10" s="2477"/>
      <c r="BV10" s="2477"/>
      <c r="BW10" s="2477"/>
      <c r="BX10" s="2477"/>
      <c r="BY10" s="2477"/>
      <c r="BZ10" s="2477"/>
      <c r="CA10" s="2477"/>
      <c r="CB10" s="2477"/>
      <c r="CC10" s="2477">
        <v>4213</v>
      </c>
      <c r="CD10" s="2477"/>
      <c r="CE10" s="2477"/>
      <c r="CF10" s="2477"/>
      <c r="CG10" s="2477"/>
      <c r="CH10" s="2477"/>
      <c r="CI10" s="2477"/>
      <c r="CJ10" s="2477">
        <v>4213</v>
      </c>
      <c r="CK10" s="2477"/>
      <c r="CL10" s="2477"/>
      <c r="CM10" s="2477"/>
      <c r="CN10" s="2477"/>
      <c r="CO10" s="2477"/>
      <c r="CP10" s="2477"/>
      <c r="CQ10" s="2477"/>
      <c r="CR10" s="2477"/>
      <c r="CS10" s="2477"/>
      <c r="CT10" s="1380">
        <v>89000</v>
      </c>
      <c r="CU10" s="2477"/>
      <c r="CV10" s="2477"/>
      <c r="CW10" s="2477"/>
      <c r="CX10" s="1380">
        <v>5322</v>
      </c>
      <c r="CY10" s="2477"/>
      <c r="CZ10" s="2477"/>
      <c r="DA10" s="2477">
        <v>10000</v>
      </c>
      <c r="DB10" s="2477"/>
      <c r="DC10" s="2477"/>
      <c r="DD10" s="2477">
        <v>5800</v>
      </c>
      <c r="DE10" s="2477">
        <v>4213</v>
      </c>
      <c r="DF10" s="2477">
        <v>10000</v>
      </c>
      <c r="DG10" s="2477"/>
      <c r="DH10" s="1424">
        <v>95000</v>
      </c>
      <c r="DI10" s="2477"/>
      <c r="DJ10" s="2477"/>
      <c r="DK10" s="2477"/>
      <c r="DL10" s="2477"/>
      <c r="DM10" s="2477"/>
      <c r="DN10" s="2477"/>
      <c r="DO10" s="2477"/>
      <c r="DP10" s="2477">
        <v>120000</v>
      </c>
      <c r="DQ10" s="2477">
        <v>132000</v>
      </c>
      <c r="DR10" s="2477"/>
      <c r="DS10" s="2477"/>
      <c r="DT10" s="2477"/>
      <c r="DU10" s="2477"/>
      <c r="DV10" s="2477"/>
      <c r="DW10" s="2477"/>
      <c r="DX10" s="2477"/>
      <c r="DY10" s="2477"/>
      <c r="DZ10" s="2477"/>
      <c r="EA10" s="2477"/>
      <c r="EB10" s="2477"/>
      <c r="EC10" s="2477"/>
      <c r="ED10" s="2477"/>
      <c r="EE10" s="2477"/>
      <c r="EF10" s="2477"/>
      <c r="EG10" s="2477"/>
      <c r="EH10" s="2477"/>
      <c r="EI10" s="2477"/>
      <c r="EJ10" s="2477">
        <v>4213</v>
      </c>
      <c r="EK10" s="2477"/>
      <c r="EL10" s="2477"/>
      <c r="EM10" s="2477"/>
      <c r="EN10" s="2477"/>
      <c r="EO10" s="2477"/>
      <c r="EP10" s="2477"/>
      <c r="EQ10" s="2477"/>
      <c r="ER10" s="2477"/>
      <c r="ES10" s="2477"/>
      <c r="ET10" s="2477">
        <v>10000</v>
      </c>
      <c r="EU10" s="2477"/>
      <c r="EV10" s="2477"/>
      <c r="EW10" s="2477"/>
      <c r="EX10" s="2477"/>
      <c r="EY10" s="2477"/>
      <c r="EZ10" s="1380">
        <v>500</v>
      </c>
      <c r="FA10" s="2477"/>
      <c r="FB10" s="2477"/>
      <c r="FC10" s="2477"/>
      <c r="FD10" s="2477"/>
      <c r="FE10" s="2477"/>
      <c r="FF10" s="2477"/>
      <c r="FG10" s="2477"/>
      <c r="FH10" s="2477"/>
      <c r="FI10" s="2477"/>
      <c r="FJ10" s="2477"/>
      <c r="FK10" s="2477"/>
      <c r="FL10" s="2477">
        <v>100000</v>
      </c>
      <c r="FM10" s="1380"/>
      <c r="FN10" s="2477"/>
      <c r="FO10" s="2477"/>
      <c r="FP10" s="2477"/>
      <c r="FQ10" s="2477"/>
      <c r="FR10" s="2477">
        <v>120000</v>
      </c>
      <c r="FS10" s="2477">
        <v>10000</v>
      </c>
      <c r="FT10" s="2477"/>
      <c r="FU10" s="2477"/>
      <c r="FV10" s="2477"/>
      <c r="FW10" s="1424">
        <v>135000</v>
      </c>
      <c r="FX10" s="2477"/>
      <c r="FY10" s="2477"/>
      <c r="FZ10" s="2477"/>
      <c r="GA10" s="2477"/>
      <c r="GB10" s="2477"/>
      <c r="GC10" s="2477"/>
      <c r="GD10" s="2477"/>
      <c r="GE10" s="2477"/>
      <c r="GF10" s="2477"/>
      <c r="GG10" s="2477">
        <v>10000</v>
      </c>
      <c r="GH10" s="2477"/>
      <c r="GI10" s="2477"/>
      <c r="GJ10" s="2477"/>
      <c r="GK10" s="2477"/>
      <c r="GL10" s="2477"/>
      <c r="GM10" s="1380">
        <v>20000</v>
      </c>
      <c r="GN10" s="2477"/>
      <c r="GO10" s="2477"/>
      <c r="GP10" s="2477"/>
      <c r="GQ10" s="2477"/>
      <c r="GR10" s="2477"/>
      <c r="GS10" s="2477"/>
      <c r="GT10" s="2477"/>
      <c r="GU10" s="2477">
        <v>5800</v>
      </c>
      <c r="GV10" s="2477"/>
      <c r="GW10" s="2477"/>
      <c r="GX10" s="2477"/>
      <c r="GY10" s="2477"/>
      <c r="GZ10" s="2477"/>
      <c r="HA10" s="2477"/>
      <c r="HB10" s="2477"/>
      <c r="HC10" s="2477"/>
      <c r="HD10" s="1380">
        <v>10000</v>
      </c>
      <c r="HE10" s="2477"/>
      <c r="HF10" s="2477"/>
      <c r="HG10" s="2477"/>
      <c r="HH10" s="2477"/>
      <c r="HI10" s="2477"/>
      <c r="HJ10" s="2477"/>
      <c r="HK10" s="2477"/>
      <c r="HL10" s="2477"/>
      <c r="HM10" s="2477"/>
      <c r="HN10" s="2477"/>
      <c r="HO10" s="2477"/>
      <c r="HP10" s="2477"/>
      <c r="HQ10" s="2477"/>
      <c r="HR10" s="2477"/>
      <c r="HS10" s="2477"/>
      <c r="HT10" s="2477"/>
      <c r="HU10" s="2477"/>
      <c r="HV10" s="2477"/>
      <c r="HW10" s="2477"/>
      <c r="HX10" s="2477"/>
      <c r="HY10" s="2477"/>
      <c r="HZ10" s="2477"/>
      <c r="IA10" s="2477">
        <f>BR_band+19867</f>
        <v>57567</v>
      </c>
      <c r="IB10" s="2477"/>
      <c r="IC10" s="2477"/>
      <c r="ID10" s="2477"/>
      <c r="IE10" s="2477"/>
      <c r="IF10" s="2477"/>
      <c r="IG10" s="2477"/>
      <c r="IH10" s="2477"/>
      <c r="II10" s="2477"/>
      <c r="IJ10" s="2477">
        <v>10000</v>
      </c>
      <c r="IK10" s="2477"/>
      <c r="IL10" s="2477"/>
      <c r="IM10" s="1380">
        <v>2000</v>
      </c>
      <c r="IN10" s="2477"/>
      <c r="IO10" s="2477"/>
      <c r="IP10" s="2477"/>
      <c r="IQ10" s="2477"/>
      <c r="IR10" s="2477">
        <v>28777</v>
      </c>
      <c r="IS10" s="2477"/>
      <c r="IT10" s="2477"/>
      <c r="IU10" s="2477"/>
      <c r="IV10" s="2477"/>
      <c r="IW10" s="2477"/>
      <c r="IX10" s="2477"/>
      <c r="IY10" s="2477"/>
      <c r="IZ10" s="2477"/>
      <c r="JA10" s="2477"/>
      <c r="JB10" s="2477"/>
      <c r="JC10" s="2477"/>
      <c r="JD10" s="2477"/>
      <c r="JE10" s="2477"/>
      <c r="JF10" s="2477"/>
      <c r="JG10" s="1424">
        <v>110000</v>
      </c>
      <c r="JH10" s="2477"/>
      <c r="JI10" s="2477"/>
      <c r="JJ10" s="2477"/>
      <c r="JK10" s="2477"/>
      <c r="JL10" s="2477"/>
      <c r="JM10" s="2477"/>
      <c r="JN10" s="2477"/>
      <c r="JO10" s="2477"/>
      <c r="JP10" s="2477"/>
      <c r="JQ10" s="2484"/>
      <c r="JR10" s="351"/>
      <c r="JS10" s="1400"/>
    </row>
    <row r="11" spans="1:279" ht="20" x14ac:dyDescent="0.25">
      <c r="A11" s="1367">
        <v>3</v>
      </c>
      <c r="B11" s="1368" t="str">
        <f t="shared" si="2"/>
        <v/>
      </c>
      <c r="C11" s="1359" t="s">
        <v>2418</v>
      </c>
      <c r="D11" s="1360" t="s">
        <v>2419</v>
      </c>
      <c r="E11" s="1272"/>
      <c r="F11" s="1381"/>
      <c r="G11" s="1381"/>
      <c r="H11" s="1381"/>
      <c r="I11" s="1381"/>
      <c r="J11" s="1381"/>
      <c r="K11" s="1381"/>
      <c r="L11" s="1381"/>
      <c r="M11" s="1381"/>
      <c r="N11" s="1381"/>
      <c r="O11" s="1381"/>
      <c r="P11" s="1414"/>
      <c r="Q11" s="1414"/>
      <c r="R11" s="1414"/>
      <c r="S11" s="1414"/>
      <c r="T11" s="1414"/>
      <c r="U11" s="1414"/>
      <c r="V11" s="1414"/>
      <c r="W11" s="1414"/>
      <c r="X11" s="1414"/>
      <c r="Y11" s="1414"/>
      <c r="Z11" s="1414"/>
      <c r="AA11" s="1414"/>
      <c r="AB11" s="1414"/>
      <c r="AC11" s="1414"/>
      <c r="AD11" s="1414"/>
      <c r="AE11" s="1414"/>
      <c r="AF11" s="1414"/>
      <c r="AG11" s="1414"/>
      <c r="AH11" s="1414"/>
      <c r="AI11" s="1414"/>
      <c r="AJ11" s="1414"/>
      <c r="AK11" s="1414"/>
      <c r="AL11" s="1414"/>
      <c r="AM11" s="1414"/>
      <c r="AN11" s="1414"/>
      <c r="AO11" s="1414"/>
      <c r="AP11" s="1414"/>
      <c r="AQ11" s="1414"/>
      <c r="AR11" s="1414"/>
      <c r="AS11" s="1414">
        <v>2</v>
      </c>
      <c r="AT11" s="1414"/>
      <c r="AU11" s="1414"/>
      <c r="AV11" s="1414"/>
      <c r="AW11" s="1414">
        <v>2</v>
      </c>
      <c r="AX11" s="1414"/>
      <c r="AY11" s="1414"/>
      <c r="AZ11" s="1414"/>
      <c r="BA11" s="1414"/>
      <c r="BB11" s="1414"/>
      <c r="BC11" s="1414"/>
      <c r="BD11" s="1414">
        <v>4</v>
      </c>
      <c r="BE11" s="1414"/>
      <c r="BF11" s="1414"/>
      <c r="BG11" s="1464"/>
      <c r="BH11" s="1414">
        <v>20</v>
      </c>
      <c r="BI11" s="1414"/>
      <c r="BJ11" s="1414"/>
      <c r="BK11" s="1414"/>
      <c r="BL11" s="1414">
        <v>4</v>
      </c>
      <c r="BM11" s="1414"/>
      <c r="BN11" s="1414"/>
      <c r="BO11" s="1414"/>
      <c r="BP11" s="1414"/>
      <c r="BQ11" s="1414"/>
      <c r="BR11" s="1414"/>
      <c r="BS11" s="1414"/>
      <c r="BT11" s="1414"/>
      <c r="BU11" s="1414"/>
      <c r="BV11" s="1414"/>
      <c r="BW11" s="1414"/>
      <c r="BX11" s="1414"/>
      <c r="BY11" s="1414"/>
      <c r="BZ11" s="1414"/>
      <c r="CA11" s="1414"/>
      <c r="CB11" s="1414"/>
      <c r="CC11" s="1414">
        <v>4</v>
      </c>
      <c r="CD11" s="1414"/>
      <c r="CE11" s="1414"/>
      <c r="CF11" s="1414"/>
      <c r="CG11" s="1414"/>
      <c r="CH11" s="1414"/>
      <c r="CI11" s="1414"/>
      <c r="CJ11" s="1414">
        <v>4</v>
      </c>
      <c r="CK11" s="1414"/>
      <c r="CL11" s="1414"/>
      <c r="CM11" s="1414"/>
      <c r="CN11" s="1414"/>
      <c r="CO11" s="1414"/>
      <c r="CP11" s="1414"/>
      <c r="CQ11" s="1414"/>
      <c r="CR11" s="1414"/>
      <c r="CS11" s="1414"/>
      <c r="CT11" s="1414">
        <v>2</v>
      </c>
      <c r="CU11" s="1414"/>
      <c r="CV11" s="1414"/>
      <c r="CW11" s="1414"/>
      <c r="CX11" s="1464">
        <v>7</v>
      </c>
      <c r="CY11" s="1414"/>
      <c r="CZ11" s="1414"/>
      <c r="DA11" s="1414">
        <v>4</v>
      </c>
      <c r="DB11" s="1414"/>
      <c r="DC11" s="1414"/>
      <c r="DD11" s="1414">
        <v>2</v>
      </c>
      <c r="DE11" s="1414">
        <v>4</v>
      </c>
      <c r="DF11" s="1414">
        <v>4</v>
      </c>
      <c r="DG11" s="1414"/>
      <c r="DH11" s="1414">
        <v>2</v>
      </c>
      <c r="DI11" s="1414"/>
      <c r="DJ11" s="1414"/>
      <c r="DK11" s="1414"/>
      <c r="DL11" s="1414"/>
      <c r="DM11" s="1414"/>
      <c r="DN11" s="1414"/>
      <c r="DO11" s="1414"/>
      <c r="DP11" s="1414">
        <v>3</v>
      </c>
      <c r="DQ11" s="1414">
        <v>3</v>
      </c>
      <c r="DR11" s="1414"/>
      <c r="DS11" s="1414"/>
      <c r="DT11" s="1414"/>
      <c r="DU11" s="1414"/>
      <c r="DV11" s="1414"/>
      <c r="DW11" s="1414"/>
      <c r="DX11" s="1414"/>
      <c r="DY11" s="1414"/>
      <c r="DZ11" s="1414"/>
      <c r="EA11" s="1414"/>
      <c r="EB11" s="1414"/>
      <c r="EC11" s="1414"/>
      <c r="ED11" s="1414"/>
      <c r="EE11" s="1414"/>
      <c r="EF11" s="1414"/>
      <c r="EG11" s="1414"/>
      <c r="EH11" s="1414"/>
      <c r="EI11" s="1414"/>
      <c r="EJ11" s="1414">
        <v>4</v>
      </c>
      <c r="EK11" s="1414"/>
      <c r="EL11" s="1414"/>
      <c r="EM11" s="1414"/>
      <c r="EN11" s="1414"/>
      <c r="EO11" s="1414"/>
      <c r="EP11" s="1414"/>
      <c r="EQ11" s="1414"/>
      <c r="ER11" s="1414"/>
      <c r="ES11" s="1414"/>
      <c r="ET11" s="1414">
        <v>4</v>
      </c>
      <c r="EU11" s="1414"/>
      <c r="EV11" s="1414"/>
      <c r="EW11" s="1414"/>
      <c r="EX11" s="1414"/>
      <c r="EY11" s="1414"/>
      <c r="EZ11" s="1464">
        <v>1</v>
      </c>
      <c r="FA11" s="1414"/>
      <c r="FB11" s="1414"/>
      <c r="FC11" s="1414"/>
      <c r="FD11" s="1414"/>
      <c r="FE11" s="1414"/>
      <c r="FF11" s="1414"/>
      <c r="FG11" s="1414"/>
      <c r="FH11" s="1414"/>
      <c r="FI11" s="1414"/>
      <c r="FJ11" s="1414"/>
      <c r="FK11" s="1414"/>
      <c r="FL11" s="1414">
        <v>5</v>
      </c>
      <c r="FM11" s="1464"/>
      <c r="FN11" s="1414"/>
      <c r="FO11" s="1414"/>
      <c r="FP11" s="1414"/>
      <c r="FQ11" s="1414"/>
      <c r="FR11" s="1414">
        <v>2</v>
      </c>
      <c r="FS11" s="1414">
        <v>4</v>
      </c>
      <c r="FT11" s="1414"/>
      <c r="FU11" s="1414"/>
      <c r="FV11" s="1414"/>
      <c r="FW11" s="1414">
        <v>3</v>
      </c>
      <c r="FX11" s="1414"/>
      <c r="FY11" s="1414"/>
      <c r="FZ11" s="1414"/>
      <c r="GA11" s="1414"/>
      <c r="GB11" s="1414"/>
      <c r="GC11" s="1414"/>
      <c r="GD11" s="1414"/>
      <c r="GE11" s="1414"/>
      <c r="GF11" s="1414"/>
      <c r="GG11" s="1414">
        <v>4</v>
      </c>
      <c r="GH11" s="1414"/>
      <c r="GI11" s="1414"/>
      <c r="GJ11" s="1414"/>
      <c r="GK11" s="1414"/>
      <c r="GL11" s="1414"/>
      <c r="GM11" s="1464">
        <v>1</v>
      </c>
      <c r="GN11" s="1414"/>
      <c r="GO11" s="1414"/>
      <c r="GP11" s="1414"/>
      <c r="GQ11" s="1414"/>
      <c r="GR11" s="1414"/>
      <c r="GS11" s="1414"/>
      <c r="GT11" s="1414"/>
      <c r="GU11" s="1414">
        <v>2</v>
      </c>
      <c r="GV11" s="1414"/>
      <c r="GW11" s="1414"/>
      <c r="GX11" s="1414"/>
      <c r="GY11" s="1414"/>
      <c r="GZ11" s="1414"/>
      <c r="HA11" s="1414"/>
      <c r="HB11" s="1414"/>
      <c r="HC11" s="1414"/>
      <c r="HD11" s="1464">
        <v>1</v>
      </c>
      <c r="HE11" s="1414"/>
      <c r="HF11" s="1414"/>
      <c r="HG11" s="1414"/>
      <c r="HH11" s="1414"/>
      <c r="HI11" s="1414"/>
      <c r="HJ11" s="1414"/>
      <c r="HK11" s="1414"/>
      <c r="HL11" s="1414"/>
      <c r="HM11" s="1414"/>
      <c r="HN11" s="1414"/>
      <c r="HO11" s="1414"/>
      <c r="HP11" s="1414"/>
      <c r="HQ11" s="1414"/>
      <c r="HR11" s="1414"/>
      <c r="HS11" s="1414"/>
      <c r="HT11" s="1414"/>
      <c r="HU11" s="1414"/>
      <c r="HV11" s="1414"/>
      <c r="HW11" s="1414"/>
      <c r="HX11" s="1414"/>
      <c r="HY11" s="1414"/>
      <c r="HZ11" s="1414"/>
      <c r="IA11" s="1414">
        <v>10</v>
      </c>
      <c r="IB11" s="1414"/>
      <c r="IC11" s="1414"/>
      <c r="ID11" s="1414"/>
      <c r="IE11" s="1414"/>
      <c r="IF11" s="1414"/>
      <c r="IG11" s="1414"/>
      <c r="IH11" s="1414"/>
      <c r="II11" s="1414"/>
      <c r="IJ11" s="1414">
        <v>1</v>
      </c>
      <c r="IK11" s="1414"/>
      <c r="IL11" s="1414"/>
      <c r="IM11" s="1464">
        <v>1</v>
      </c>
      <c r="IN11" s="1414"/>
      <c r="IO11" s="1414"/>
      <c r="IP11" s="1414"/>
      <c r="IQ11" s="1414"/>
      <c r="IR11" s="1414">
        <v>7</v>
      </c>
      <c r="IS11" s="1414"/>
      <c r="IT11" s="1414"/>
      <c r="IU11" s="1414"/>
      <c r="IV11" s="1414"/>
      <c r="IW11" s="1414"/>
      <c r="IX11" s="1414"/>
      <c r="IY11" s="1414"/>
      <c r="IZ11" s="1414"/>
      <c r="JA11" s="1414"/>
      <c r="JB11" s="1414"/>
      <c r="JC11" s="1414"/>
      <c r="JD11" s="1414"/>
      <c r="JE11" s="1414"/>
      <c r="JF11" s="1414"/>
      <c r="JG11" s="1414">
        <v>4</v>
      </c>
      <c r="JH11" s="1414"/>
      <c r="JI11" s="1414"/>
      <c r="JJ11" s="1414"/>
      <c r="JK11" s="1414"/>
      <c r="JL11" s="1414"/>
      <c r="JM11" s="1414"/>
      <c r="JN11" s="1414"/>
      <c r="JO11" s="1414"/>
      <c r="JP11" s="1414"/>
      <c r="JQ11" s="1415"/>
      <c r="JR11" s="351"/>
      <c r="JS11" s="1400" t="s">
        <v>2420</v>
      </c>
    </row>
    <row r="12" spans="1:279" x14ac:dyDescent="0.25">
      <c r="A12" s="1367">
        <v>4</v>
      </c>
      <c r="B12" s="1368" t="str">
        <f t="shared" si="2"/>
        <v/>
      </c>
      <c r="C12" s="1359" t="s">
        <v>2421</v>
      </c>
      <c r="D12" s="1360" t="s">
        <v>2422</v>
      </c>
      <c r="E12" s="1378"/>
      <c r="F12" s="1378"/>
      <c r="G12" s="1378"/>
      <c r="H12" s="1378"/>
      <c r="I12" s="1378"/>
      <c r="J12" s="1378"/>
      <c r="K12" s="1378"/>
      <c r="L12" s="1378"/>
      <c r="M12" s="1378"/>
      <c r="N12" s="1378"/>
      <c r="O12" s="1378"/>
      <c r="P12" s="2477"/>
      <c r="Q12" s="2477"/>
      <c r="R12" s="2477"/>
      <c r="S12" s="2477"/>
      <c r="T12" s="2477"/>
      <c r="U12" s="2477"/>
      <c r="V12" s="2477"/>
      <c r="W12" s="2477"/>
      <c r="X12" s="2477"/>
      <c r="Y12" s="2477"/>
      <c r="Z12" s="2477"/>
      <c r="AA12" s="2477"/>
      <c r="AB12" s="2477"/>
      <c r="AC12" s="2477"/>
      <c r="AD12" s="2477"/>
      <c r="AE12" s="2477"/>
      <c r="AF12" s="2477"/>
      <c r="AG12" s="2477"/>
      <c r="AH12" s="2477"/>
      <c r="AI12" s="2477"/>
      <c r="AJ12" s="2477"/>
      <c r="AK12" s="2477"/>
      <c r="AL12" s="2477"/>
      <c r="AM12" s="2477"/>
      <c r="AN12" s="2477"/>
      <c r="AO12" s="2477"/>
      <c r="AP12" s="2477"/>
      <c r="AQ12" s="2477"/>
      <c r="AR12" s="2477"/>
      <c r="AS12" s="2477"/>
      <c r="AT12" s="2477"/>
      <c r="AU12" s="2477"/>
      <c r="AV12" s="2477"/>
      <c r="AW12" s="2477">
        <v>5715</v>
      </c>
      <c r="AX12" s="2477"/>
      <c r="AY12" s="2477"/>
      <c r="AZ12" s="2477"/>
      <c r="BA12" s="2477"/>
      <c r="BB12" s="2477"/>
      <c r="BC12" s="2477"/>
      <c r="BD12" s="2477"/>
      <c r="BE12" s="2477"/>
      <c r="BF12" s="2477"/>
      <c r="BG12" s="1424"/>
      <c r="BH12" s="2477"/>
      <c r="BI12" s="2477"/>
      <c r="BJ12" s="2477"/>
      <c r="BK12" s="2477"/>
      <c r="BL12" s="2477"/>
      <c r="BM12" s="2477">
        <v>10000</v>
      </c>
      <c r="BN12" s="2477"/>
      <c r="BO12" s="2477"/>
      <c r="BP12" s="2477"/>
      <c r="BQ12" s="2477"/>
      <c r="BR12" s="2477"/>
      <c r="BS12" s="2477"/>
      <c r="BT12" s="2477"/>
      <c r="BU12" s="2477"/>
      <c r="BV12" s="2477"/>
      <c r="BW12" s="2477"/>
      <c r="BX12" s="2477"/>
      <c r="BY12" s="2477"/>
      <c r="BZ12" s="2477"/>
      <c r="CA12" s="2477"/>
      <c r="CB12" s="2477"/>
      <c r="CC12" s="2477"/>
      <c r="CD12" s="2477"/>
      <c r="CE12" s="2477"/>
      <c r="CF12" s="2477"/>
      <c r="CG12" s="2477"/>
      <c r="CH12" s="2477"/>
      <c r="CI12" s="2477"/>
      <c r="CJ12" s="2477"/>
      <c r="CK12" s="2477"/>
      <c r="CL12" s="2477"/>
      <c r="CM12" s="2477"/>
      <c r="CN12" s="2477"/>
      <c r="CO12" s="2477"/>
      <c r="CP12" s="2477"/>
      <c r="CQ12" s="2477"/>
      <c r="CR12" s="2477"/>
      <c r="CS12" s="2477"/>
      <c r="CT12" s="2477"/>
      <c r="CU12" s="2477"/>
      <c r="CV12" s="2477"/>
      <c r="CW12" s="2477"/>
      <c r="CX12" s="2477"/>
      <c r="CY12" s="2477"/>
      <c r="CZ12" s="2477"/>
      <c r="DA12" s="2477"/>
      <c r="DB12" s="2477"/>
      <c r="DC12" s="2477"/>
      <c r="DD12" s="2477">
        <v>5715</v>
      </c>
      <c r="DE12" s="2477"/>
      <c r="DF12" s="2477"/>
      <c r="DG12" s="2477"/>
      <c r="DH12" s="2477"/>
      <c r="DI12" s="2477"/>
      <c r="DJ12" s="2477"/>
      <c r="DK12" s="2477"/>
      <c r="DL12" s="2477"/>
      <c r="DM12" s="2477"/>
      <c r="DN12" s="2477"/>
      <c r="DO12" s="2477"/>
      <c r="DP12" s="2477"/>
      <c r="DQ12" s="2477"/>
      <c r="DR12" s="2477"/>
      <c r="DS12" s="2477"/>
      <c r="DT12" s="2477"/>
      <c r="DU12" s="2477"/>
      <c r="DV12" s="2477"/>
      <c r="DW12" s="2477"/>
      <c r="DX12" s="2477"/>
      <c r="DY12" s="2477"/>
      <c r="DZ12" s="2477"/>
      <c r="EA12" s="2477"/>
      <c r="EB12" s="2477"/>
      <c r="EC12" s="2477"/>
      <c r="ED12" s="2477"/>
      <c r="EE12" s="2477"/>
      <c r="EF12" s="2477"/>
      <c r="EG12" s="2477"/>
      <c r="EH12" s="2477"/>
      <c r="EI12" s="2477"/>
      <c r="EJ12" s="2477"/>
      <c r="EK12" s="2477"/>
      <c r="EL12" s="2477"/>
      <c r="EM12" s="2477"/>
      <c r="EN12" s="2477"/>
      <c r="EO12" s="2477"/>
      <c r="EP12" s="2477"/>
      <c r="EQ12" s="2477"/>
      <c r="ER12" s="2477"/>
      <c r="ES12" s="2477"/>
      <c r="ET12" s="2477"/>
      <c r="EU12" s="2477"/>
      <c r="EV12" s="2477"/>
      <c r="EW12" s="2477"/>
      <c r="EX12" s="2477"/>
      <c r="EY12" s="2477"/>
      <c r="EZ12" s="2477"/>
      <c r="FA12" s="2477"/>
      <c r="FB12" s="2477"/>
      <c r="FC12" s="2477"/>
      <c r="FD12" s="2477"/>
      <c r="FE12" s="2477"/>
      <c r="FF12" s="2477"/>
      <c r="FG12" s="2477"/>
      <c r="FH12" s="2477"/>
      <c r="FI12" s="2477"/>
      <c r="FJ12" s="2477"/>
      <c r="FK12" s="2477"/>
      <c r="FL12" s="2477"/>
      <c r="FM12" s="2477"/>
      <c r="FN12" s="2477"/>
      <c r="FO12" s="2477"/>
      <c r="FP12" s="2477"/>
      <c r="FQ12" s="2477"/>
      <c r="FR12" s="2477"/>
      <c r="FS12" s="2477"/>
      <c r="FT12" s="2477"/>
      <c r="FU12" s="2477"/>
      <c r="FV12" s="2477"/>
      <c r="FW12" s="2477"/>
      <c r="FX12" s="2477"/>
      <c r="FY12" s="2477"/>
      <c r="FZ12" s="2477"/>
      <c r="GA12" s="2477"/>
      <c r="GB12" s="2477"/>
      <c r="GC12" s="2477"/>
      <c r="GD12" s="2477"/>
      <c r="GE12" s="2477">
        <v>10000</v>
      </c>
      <c r="GF12" s="2477"/>
      <c r="GG12" s="2477"/>
      <c r="GH12" s="2477"/>
      <c r="GI12" s="2477"/>
      <c r="GJ12" s="2477"/>
      <c r="GK12" s="2477"/>
      <c r="GL12" s="2477"/>
      <c r="GM12" s="2477"/>
      <c r="GN12" s="2477"/>
      <c r="GO12" s="2477"/>
      <c r="GP12" s="2477"/>
      <c r="GQ12" s="2477"/>
      <c r="GR12" s="2477"/>
      <c r="GS12" s="2477"/>
      <c r="GT12" s="2477"/>
      <c r="GU12" s="2477">
        <v>5715</v>
      </c>
      <c r="GV12" s="2477"/>
      <c r="GW12" s="2477">
        <v>10000</v>
      </c>
      <c r="GX12" s="2477"/>
      <c r="GY12" s="2477"/>
      <c r="GZ12" s="2477"/>
      <c r="HA12" s="2477"/>
      <c r="HB12" s="2477"/>
      <c r="HC12" s="2477"/>
      <c r="HD12" s="2477"/>
      <c r="HE12" s="2477"/>
      <c r="HF12" s="2477"/>
      <c r="HG12" s="2477"/>
      <c r="HH12" s="2477"/>
      <c r="HI12" s="2477"/>
      <c r="HJ12" s="2477"/>
      <c r="HK12" s="2477"/>
      <c r="HL12" s="2477"/>
      <c r="HM12" s="2477"/>
      <c r="HN12" s="2477"/>
      <c r="HO12" s="2477"/>
      <c r="HP12" s="2477"/>
      <c r="HQ12" s="2477"/>
      <c r="HR12" s="2477"/>
      <c r="HS12" s="2477"/>
      <c r="HT12" s="2477"/>
      <c r="HU12" s="2477"/>
      <c r="HV12" s="2477"/>
      <c r="HW12" s="2477"/>
      <c r="HX12" s="2477"/>
      <c r="HY12" s="2477"/>
      <c r="HZ12" s="2477"/>
      <c r="IA12" s="2477"/>
      <c r="IB12" s="2477"/>
      <c r="IC12" s="2477"/>
      <c r="ID12" s="2477"/>
      <c r="IE12" s="2477"/>
      <c r="IF12" s="2477"/>
      <c r="IG12" s="2477"/>
      <c r="IH12" s="2477"/>
      <c r="II12" s="2477"/>
      <c r="IJ12" s="2477">
        <v>10000</v>
      </c>
      <c r="IK12" s="2477"/>
      <c r="IL12" s="2477"/>
      <c r="IM12" s="2477"/>
      <c r="IN12" s="2477"/>
      <c r="IO12" s="2477"/>
      <c r="IP12" s="2477"/>
      <c r="IQ12" s="2477"/>
      <c r="IR12" s="2477"/>
      <c r="IS12" s="2477"/>
      <c r="IT12" s="2477"/>
      <c r="IU12" s="2477"/>
      <c r="IV12" s="2477"/>
      <c r="IW12" s="2477"/>
      <c r="IX12" s="2477"/>
      <c r="IY12" s="2477"/>
      <c r="IZ12" s="2477"/>
      <c r="JA12" s="2477"/>
      <c r="JB12" s="2477"/>
      <c r="JC12" s="2477"/>
      <c r="JD12" s="2477"/>
      <c r="JE12" s="2477"/>
      <c r="JF12" s="2477"/>
      <c r="JG12" s="2477"/>
      <c r="JH12" s="2477"/>
      <c r="JI12" s="2477"/>
      <c r="JJ12" s="2477"/>
      <c r="JK12" s="2477"/>
      <c r="JL12" s="2477"/>
      <c r="JM12" s="2477"/>
      <c r="JN12" s="2477"/>
      <c r="JO12" s="2477"/>
      <c r="JP12" s="2477"/>
      <c r="JQ12" s="2484"/>
      <c r="JR12" s="351"/>
      <c r="JS12" s="1400"/>
    </row>
    <row r="13" spans="1:279" ht="20" x14ac:dyDescent="0.25">
      <c r="A13" s="1367">
        <v>5</v>
      </c>
      <c r="B13" s="1368" t="str">
        <f t="shared" si="2"/>
        <v/>
      </c>
      <c r="C13" s="1359" t="s">
        <v>2423</v>
      </c>
      <c r="D13" s="1360" t="s">
        <v>2419</v>
      </c>
      <c r="E13" s="1381"/>
      <c r="F13" s="1381"/>
      <c r="G13" s="1381"/>
      <c r="H13" s="1381"/>
      <c r="I13" s="1381"/>
      <c r="J13" s="1381"/>
      <c r="K13" s="1381"/>
      <c r="L13" s="1381"/>
      <c r="M13" s="1381"/>
      <c r="N13" s="1381"/>
      <c r="O13" s="1381"/>
      <c r="P13" s="1414"/>
      <c r="Q13" s="1414"/>
      <c r="R13" s="1414"/>
      <c r="S13" s="1414"/>
      <c r="T13" s="1414"/>
      <c r="U13" s="1414"/>
      <c r="V13" s="1414"/>
      <c r="W13" s="1414"/>
      <c r="X13" s="1414"/>
      <c r="Y13" s="1414"/>
      <c r="Z13" s="1414"/>
      <c r="AA13" s="1414"/>
      <c r="AB13" s="1414"/>
      <c r="AC13" s="1414"/>
      <c r="AD13" s="1414"/>
      <c r="AE13" s="1414"/>
      <c r="AF13" s="1414"/>
      <c r="AG13" s="1414"/>
      <c r="AH13" s="1414"/>
      <c r="AI13" s="1414"/>
      <c r="AJ13" s="1414"/>
      <c r="AK13" s="1414"/>
      <c r="AL13" s="1414"/>
      <c r="AM13" s="1414"/>
      <c r="AN13" s="1414"/>
      <c r="AO13" s="1414"/>
      <c r="AP13" s="1414"/>
      <c r="AQ13" s="1414"/>
      <c r="AR13" s="1414"/>
      <c r="AS13" s="1414"/>
      <c r="AT13" s="1414"/>
      <c r="AU13" s="1414"/>
      <c r="AV13" s="1414"/>
      <c r="AW13" s="1414">
        <v>5</v>
      </c>
      <c r="AX13" s="1414"/>
      <c r="AY13" s="1414"/>
      <c r="AZ13" s="1414"/>
      <c r="BA13" s="1414"/>
      <c r="BB13" s="1414"/>
      <c r="BC13" s="1414"/>
      <c r="BD13" s="1414"/>
      <c r="BE13" s="1414"/>
      <c r="BF13" s="1414"/>
      <c r="BG13" s="1414"/>
      <c r="BH13" s="1414"/>
      <c r="BI13" s="1414"/>
      <c r="BJ13" s="1414"/>
      <c r="BK13" s="1414"/>
      <c r="BL13" s="1414"/>
      <c r="BM13" s="1414">
        <v>5</v>
      </c>
      <c r="BN13" s="1414"/>
      <c r="BO13" s="1414"/>
      <c r="BP13" s="1414"/>
      <c r="BQ13" s="1414"/>
      <c r="BR13" s="1414"/>
      <c r="BS13" s="1414"/>
      <c r="BT13" s="1414"/>
      <c r="BU13" s="1414"/>
      <c r="BV13" s="1414"/>
      <c r="BW13" s="1414"/>
      <c r="BX13" s="1414"/>
      <c r="BY13" s="1414"/>
      <c r="BZ13" s="1414"/>
      <c r="CA13" s="1414"/>
      <c r="CB13" s="1414"/>
      <c r="CC13" s="1414"/>
      <c r="CD13" s="1414"/>
      <c r="CE13" s="1414"/>
      <c r="CF13" s="1414"/>
      <c r="CG13" s="1414"/>
      <c r="CH13" s="1414"/>
      <c r="CI13" s="1414"/>
      <c r="CJ13" s="1414"/>
      <c r="CK13" s="1414"/>
      <c r="CL13" s="1414"/>
      <c r="CM13" s="1414"/>
      <c r="CN13" s="1414"/>
      <c r="CO13" s="1414"/>
      <c r="CP13" s="1414"/>
      <c r="CQ13" s="1414"/>
      <c r="CR13" s="1414"/>
      <c r="CS13" s="1414"/>
      <c r="CT13" s="1414"/>
      <c r="CU13" s="1414"/>
      <c r="CV13" s="1414"/>
      <c r="CW13" s="1414"/>
      <c r="CX13" s="1414"/>
      <c r="CY13" s="1414"/>
      <c r="CZ13" s="1414"/>
      <c r="DA13" s="1414"/>
      <c r="DB13" s="1414"/>
      <c r="DC13" s="1414"/>
      <c r="DD13" s="1414">
        <v>5</v>
      </c>
      <c r="DE13" s="1414"/>
      <c r="DF13" s="1414"/>
      <c r="DG13" s="1414"/>
      <c r="DH13" s="1414"/>
      <c r="DI13" s="1414"/>
      <c r="DJ13" s="1414"/>
      <c r="DK13" s="1414"/>
      <c r="DL13" s="1414"/>
      <c r="DM13" s="1414"/>
      <c r="DN13" s="1414"/>
      <c r="DO13" s="1414"/>
      <c r="DP13" s="1414"/>
      <c r="DQ13" s="1414"/>
      <c r="DR13" s="1414"/>
      <c r="DS13" s="1414"/>
      <c r="DT13" s="1414"/>
      <c r="DU13" s="1414"/>
      <c r="DV13" s="1414"/>
      <c r="DW13" s="1414"/>
      <c r="DX13" s="1414"/>
      <c r="DY13" s="1414"/>
      <c r="DZ13" s="1414"/>
      <c r="EA13" s="1414"/>
      <c r="EB13" s="1414"/>
      <c r="EC13" s="1414"/>
      <c r="ED13" s="1414"/>
      <c r="EE13" s="1414"/>
      <c r="EF13" s="1414"/>
      <c r="EG13" s="1414"/>
      <c r="EH13" s="1414"/>
      <c r="EI13" s="1414"/>
      <c r="EJ13" s="1414"/>
      <c r="EK13" s="1414"/>
      <c r="EL13" s="1414"/>
      <c r="EM13" s="1414"/>
      <c r="EN13" s="1414"/>
      <c r="EO13" s="1414"/>
      <c r="EP13" s="1414"/>
      <c r="EQ13" s="1414"/>
      <c r="ER13" s="1414"/>
      <c r="ES13" s="1414"/>
      <c r="ET13" s="1414"/>
      <c r="EU13" s="1414"/>
      <c r="EV13" s="1414"/>
      <c r="EW13" s="1414"/>
      <c r="EX13" s="1414"/>
      <c r="EY13" s="1414"/>
      <c r="EZ13" s="1414"/>
      <c r="FA13" s="1414"/>
      <c r="FB13" s="1414"/>
      <c r="FC13" s="1414"/>
      <c r="FD13" s="1414"/>
      <c r="FE13" s="1414"/>
      <c r="FF13" s="1414"/>
      <c r="FG13" s="1414"/>
      <c r="FH13" s="1414"/>
      <c r="FI13" s="1414"/>
      <c r="FJ13" s="1414"/>
      <c r="FK13" s="1414"/>
      <c r="FL13" s="1414"/>
      <c r="FM13" s="1414"/>
      <c r="FN13" s="1414"/>
      <c r="FO13" s="1414"/>
      <c r="FP13" s="1414"/>
      <c r="FQ13" s="1414"/>
      <c r="FR13" s="1414"/>
      <c r="FS13" s="1414"/>
      <c r="FT13" s="1414"/>
      <c r="FU13" s="1414"/>
      <c r="FV13" s="1414"/>
      <c r="FW13" s="1414"/>
      <c r="FX13" s="1414"/>
      <c r="FY13" s="1414"/>
      <c r="FZ13" s="1414"/>
      <c r="GA13" s="1414"/>
      <c r="GB13" s="1414"/>
      <c r="GC13" s="1414"/>
      <c r="GD13" s="1414"/>
      <c r="GE13" s="1414">
        <v>5</v>
      </c>
      <c r="GF13" s="1414"/>
      <c r="GG13" s="1414"/>
      <c r="GH13" s="1414"/>
      <c r="GI13" s="1414"/>
      <c r="GJ13" s="1414"/>
      <c r="GK13" s="1414"/>
      <c r="GL13" s="1414"/>
      <c r="GM13" s="1414"/>
      <c r="GN13" s="1414"/>
      <c r="GO13" s="1414"/>
      <c r="GP13" s="1414"/>
      <c r="GQ13" s="1414"/>
      <c r="GR13" s="1414"/>
      <c r="GS13" s="1414"/>
      <c r="GT13" s="1414"/>
      <c r="GU13" s="1414">
        <v>5</v>
      </c>
      <c r="GV13" s="1414"/>
      <c r="GW13" s="1414">
        <v>5</v>
      </c>
      <c r="GX13" s="1414"/>
      <c r="GY13" s="1414"/>
      <c r="GZ13" s="1414"/>
      <c r="HA13" s="1414"/>
      <c r="HB13" s="1414"/>
      <c r="HC13" s="1414"/>
      <c r="HD13" s="1414"/>
      <c r="HE13" s="1414"/>
      <c r="HF13" s="1414"/>
      <c r="HG13" s="1414"/>
      <c r="HH13" s="1414"/>
      <c r="HI13" s="1414"/>
      <c r="HJ13" s="1414"/>
      <c r="HK13" s="1414"/>
      <c r="HL13" s="1414"/>
      <c r="HM13" s="1414"/>
      <c r="HN13" s="1414"/>
      <c r="HO13" s="1414"/>
      <c r="HP13" s="1414"/>
      <c r="HQ13" s="1414"/>
      <c r="HR13" s="1414"/>
      <c r="HS13" s="1414"/>
      <c r="HT13" s="1414"/>
      <c r="HU13" s="1414"/>
      <c r="HV13" s="1414"/>
      <c r="HW13" s="1414"/>
      <c r="HX13" s="1414"/>
      <c r="HY13" s="1414"/>
      <c r="HZ13" s="1414"/>
      <c r="IA13" s="1414"/>
      <c r="IB13" s="1414"/>
      <c r="IC13" s="1414"/>
      <c r="ID13" s="1414"/>
      <c r="IE13" s="1414"/>
      <c r="IF13" s="1414"/>
      <c r="IG13" s="1414"/>
      <c r="IH13" s="1414"/>
      <c r="II13" s="1414"/>
      <c r="IJ13" s="1414">
        <v>1</v>
      </c>
      <c r="IK13" s="1414"/>
      <c r="IL13" s="1414"/>
      <c r="IM13" s="1414"/>
      <c r="IN13" s="1414"/>
      <c r="IO13" s="1414"/>
      <c r="IP13" s="1414"/>
      <c r="IQ13" s="1414"/>
      <c r="IR13" s="1414"/>
      <c r="IS13" s="1414"/>
      <c r="IT13" s="1414"/>
      <c r="IU13" s="1414"/>
      <c r="IV13" s="1414"/>
      <c r="IW13" s="1414"/>
      <c r="IX13" s="1414"/>
      <c r="IY13" s="1414"/>
      <c r="IZ13" s="1414"/>
      <c r="JA13" s="1414"/>
      <c r="JB13" s="1414"/>
      <c r="JC13" s="1414"/>
      <c r="JD13" s="1414"/>
      <c r="JE13" s="1414"/>
      <c r="JF13" s="1414"/>
      <c r="JG13" s="1414"/>
      <c r="JH13" s="1414"/>
      <c r="JI13" s="1414"/>
      <c r="JJ13" s="1414"/>
      <c r="JK13" s="1414"/>
      <c r="JL13" s="1414"/>
      <c r="JM13" s="1414"/>
      <c r="JN13" s="1414"/>
      <c r="JO13" s="1414"/>
      <c r="JP13" s="1414"/>
      <c r="JQ13" s="1415"/>
      <c r="JR13" s="351"/>
      <c r="JS13" s="1400" t="s">
        <v>2420</v>
      </c>
    </row>
    <row r="14" spans="1:279" x14ac:dyDescent="0.25">
      <c r="A14" s="1367">
        <v>6</v>
      </c>
      <c r="B14" s="1368" t="str">
        <f t="shared" si="2"/>
        <v/>
      </c>
      <c r="C14" s="1359" t="s">
        <v>2424</v>
      </c>
      <c r="D14" s="1360" t="s">
        <v>2425</v>
      </c>
      <c r="E14" s="1390"/>
      <c r="F14" s="1390"/>
      <c r="G14" s="1390"/>
      <c r="H14" s="1390"/>
      <c r="I14" s="1272"/>
      <c r="J14" s="1390"/>
      <c r="K14" s="1390"/>
      <c r="L14" s="1390"/>
      <c r="M14" s="1390"/>
      <c r="N14" s="1390"/>
      <c r="O14" s="1390"/>
      <c r="P14" s="1402"/>
      <c r="Q14" s="1402"/>
      <c r="R14" s="1402"/>
      <c r="S14" s="1402"/>
      <c r="T14" s="1402"/>
      <c r="U14" s="1402"/>
      <c r="V14" s="1402"/>
      <c r="W14" s="1402"/>
      <c r="X14" s="1402"/>
      <c r="Y14" s="1402"/>
      <c r="Z14" s="1402"/>
      <c r="AA14" s="1402"/>
      <c r="AB14" s="1402"/>
      <c r="AC14" s="1402"/>
      <c r="AD14" s="1402"/>
      <c r="AE14" s="1402"/>
      <c r="AF14" s="1402"/>
      <c r="AG14" s="1402"/>
      <c r="AH14" s="1402"/>
      <c r="AI14" s="1402"/>
      <c r="AJ14" s="1402"/>
      <c r="AK14" s="1402"/>
      <c r="AL14" s="1402"/>
      <c r="AM14" s="1402"/>
      <c r="AN14" s="1402"/>
      <c r="AO14" s="1402"/>
      <c r="AP14" s="1402"/>
      <c r="AQ14" s="1402"/>
      <c r="AR14" s="1402"/>
      <c r="AS14" s="1402"/>
      <c r="AT14" s="1402"/>
      <c r="AU14" s="1402"/>
      <c r="AV14" s="1402"/>
      <c r="AW14" s="1402"/>
      <c r="AX14" s="1402"/>
      <c r="AY14" s="1402"/>
      <c r="AZ14" s="1402"/>
      <c r="BA14" s="1402"/>
      <c r="BB14" s="1402"/>
      <c r="BC14" s="1402"/>
      <c r="BD14" s="1402"/>
      <c r="BE14" s="1402"/>
      <c r="BF14" s="1402"/>
      <c r="BG14" s="1402"/>
      <c r="BH14" s="1402"/>
      <c r="BI14" s="1402"/>
      <c r="BJ14" s="1402"/>
      <c r="BK14" s="1402"/>
      <c r="BL14" s="1402"/>
      <c r="BM14" s="1402"/>
      <c r="BN14" s="1402"/>
      <c r="BO14" s="1402"/>
      <c r="BP14" s="1402"/>
      <c r="BQ14" s="1402"/>
      <c r="BR14" s="1402"/>
      <c r="BS14" s="1402"/>
      <c r="BT14" s="1402"/>
      <c r="BU14" s="1402"/>
      <c r="BV14" s="1402"/>
      <c r="BW14" s="1402"/>
      <c r="BX14" s="1402"/>
      <c r="BY14" s="1402"/>
      <c r="BZ14" s="1402"/>
      <c r="CA14" s="1402"/>
      <c r="CB14" s="1402"/>
      <c r="CC14" s="1402"/>
      <c r="CD14" s="1402"/>
      <c r="CE14" s="1402"/>
      <c r="CF14" s="1402"/>
      <c r="CG14" s="1402"/>
      <c r="CH14" s="1402"/>
      <c r="CI14" s="1402"/>
      <c r="CJ14" s="1402"/>
      <c r="CK14" s="1402"/>
      <c r="CL14" s="1402"/>
      <c r="CM14" s="1402"/>
      <c r="CN14" s="1402"/>
      <c r="CO14" s="1402"/>
      <c r="CP14" s="1402"/>
      <c r="CQ14" s="1402"/>
      <c r="CR14" s="1402"/>
      <c r="CS14" s="1402"/>
      <c r="CT14" s="1402"/>
      <c r="CU14" s="1402"/>
      <c r="CV14" s="1402"/>
      <c r="CW14" s="1402"/>
      <c r="CX14" s="1402"/>
      <c r="CY14" s="1402"/>
      <c r="CZ14" s="1402"/>
      <c r="DA14" s="1402"/>
      <c r="DB14" s="1402"/>
      <c r="DC14" s="1398">
        <v>4500</v>
      </c>
      <c r="DD14" s="1402"/>
      <c r="DE14" s="1402"/>
      <c r="DF14" s="1402"/>
      <c r="DG14" s="1402">
        <v>2000</v>
      </c>
      <c r="DH14" s="1402"/>
      <c r="DI14" s="1402"/>
      <c r="DJ14" s="1402"/>
      <c r="DK14" s="1402"/>
      <c r="DL14" s="1402"/>
      <c r="DM14" s="1402"/>
      <c r="DN14" s="1402"/>
      <c r="DO14" s="1402"/>
      <c r="DP14" s="1402"/>
      <c r="DQ14" s="1402"/>
      <c r="DR14" s="1402"/>
      <c r="DS14" s="1402"/>
      <c r="DT14" s="1402"/>
      <c r="DU14" s="1402"/>
      <c r="DV14" s="1402"/>
      <c r="DW14" s="1402"/>
      <c r="DX14" s="1402"/>
      <c r="DY14" s="1402"/>
      <c r="DZ14" s="1402"/>
      <c r="EA14" s="1402"/>
      <c r="EB14" s="1402"/>
      <c r="EC14" s="1402"/>
      <c r="ED14" s="1402"/>
      <c r="EE14" s="1402"/>
      <c r="EF14" s="1402"/>
      <c r="EG14" s="1402"/>
      <c r="EH14" s="1402"/>
      <c r="EI14" s="1402"/>
      <c r="EJ14" s="1402"/>
      <c r="EK14" s="1402"/>
      <c r="EL14" s="1402"/>
      <c r="EM14" s="1402"/>
      <c r="EN14" s="1402"/>
      <c r="EO14" s="1402"/>
      <c r="EP14" s="1402"/>
      <c r="EQ14" s="1402"/>
      <c r="ER14" s="1402"/>
      <c r="ES14" s="1402"/>
      <c r="ET14" s="1402"/>
      <c r="EU14" s="1402"/>
      <c r="EV14" s="1402"/>
      <c r="EW14" s="1402"/>
      <c r="EX14" s="1402"/>
      <c r="EY14" s="1402"/>
      <c r="EZ14" s="1402"/>
      <c r="FA14" s="1402"/>
      <c r="FB14" s="1402"/>
      <c r="FC14" s="1402"/>
      <c r="FD14" s="1402"/>
      <c r="FE14" s="1402"/>
      <c r="FF14" s="1402"/>
      <c r="FG14" s="1402"/>
      <c r="FH14" s="1402"/>
      <c r="FI14" s="1402"/>
      <c r="FJ14" s="1402"/>
      <c r="FK14" s="1402"/>
      <c r="FL14" s="1402"/>
      <c r="FM14" s="1402"/>
      <c r="FN14" s="1402"/>
      <c r="FO14" s="1402"/>
      <c r="FP14" s="1402"/>
      <c r="FQ14" s="1402"/>
      <c r="FR14" s="1402"/>
      <c r="FS14" s="1402"/>
      <c r="FT14" s="1402"/>
      <c r="FU14" s="1402"/>
      <c r="FV14" s="1402"/>
      <c r="FW14" s="1402"/>
      <c r="FX14" s="1402"/>
      <c r="FY14" s="1402"/>
      <c r="FZ14" s="1402"/>
      <c r="GA14" s="1402"/>
      <c r="GB14" s="1402"/>
      <c r="GC14" s="1402"/>
      <c r="GD14" s="1402"/>
      <c r="GE14" s="1402"/>
      <c r="GF14" s="1402"/>
      <c r="GG14" s="1402"/>
      <c r="GH14" s="1402"/>
      <c r="GI14" s="1402"/>
      <c r="GJ14" s="1398">
        <v>3800</v>
      </c>
      <c r="GK14" s="1402"/>
      <c r="GL14" s="1402"/>
      <c r="GM14" s="1402"/>
      <c r="GN14" s="1402"/>
      <c r="GO14" s="1402"/>
      <c r="GP14" s="1402"/>
      <c r="GQ14" s="1402"/>
      <c r="GR14" s="1402"/>
      <c r="GS14" s="1402"/>
      <c r="GT14" s="1402"/>
      <c r="GU14" s="1402"/>
      <c r="GV14" s="1402"/>
      <c r="GW14" s="1402"/>
      <c r="GX14" s="1402"/>
      <c r="GY14" s="1402"/>
      <c r="GZ14" s="1402"/>
      <c r="HA14" s="1402"/>
      <c r="HB14" s="1402"/>
      <c r="HC14" s="1402"/>
      <c r="HD14" s="1402"/>
      <c r="HE14" s="1402"/>
      <c r="HF14" s="1402"/>
      <c r="HG14" s="1402"/>
      <c r="HH14" s="1402"/>
      <c r="HI14" s="1402"/>
      <c r="HJ14" s="1402"/>
      <c r="HK14" s="1402"/>
      <c r="HL14" s="1402"/>
      <c r="HM14" s="1402"/>
      <c r="HN14" s="1402"/>
      <c r="HO14" s="1402"/>
      <c r="HP14" s="1402"/>
      <c r="HQ14" s="1402"/>
      <c r="HR14" s="1402"/>
      <c r="HS14" s="1402"/>
      <c r="HT14" s="1402"/>
      <c r="HU14" s="1402"/>
      <c r="HV14" s="1402"/>
      <c r="HW14" s="1402"/>
      <c r="HX14" s="1402"/>
      <c r="HY14" s="1402"/>
      <c r="HZ14" s="1402"/>
      <c r="IA14" s="1402"/>
      <c r="IB14" s="1402"/>
      <c r="IC14" s="1402"/>
      <c r="ID14" s="1402"/>
      <c r="IE14" s="1402"/>
      <c r="IF14" s="1402"/>
      <c r="IG14" s="1402"/>
      <c r="IH14" s="1402"/>
      <c r="II14" s="1402"/>
      <c r="IJ14" s="1402"/>
      <c r="IK14" s="1402"/>
      <c r="IL14" s="1402"/>
      <c r="IM14" s="1402"/>
      <c r="IN14" s="1402"/>
      <c r="IO14" s="1402"/>
      <c r="IP14" s="1402"/>
      <c r="IQ14" s="1402"/>
      <c r="IR14" s="1402">
        <v>28777</v>
      </c>
      <c r="IS14" s="1402"/>
      <c r="IT14" s="1402"/>
      <c r="IU14" s="1402"/>
      <c r="IV14" s="1402"/>
      <c r="IW14" s="1402"/>
      <c r="IX14" s="1402"/>
      <c r="IY14" s="1402"/>
      <c r="IZ14" s="1402"/>
      <c r="JA14" s="1402"/>
      <c r="JB14" s="1402"/>
      <c r="JC14" s="1402"/>
      <c r="JD14" s="1402"/>
      <c r="JE14" s="1402"/>
      <c r="JF14" s="1402"/>
      <c r="JG14" s="1402"/>
      <c r="JH14" s="1402"/>
      <c r="JI14" s="1402"/>
      <c r="JJ14" s="1402"/>
      <c r="JK14" s="1402"/>
      <c r="JL14" s="1402"/>
      <c r="JM14" s="1402"/>
      <c r="JN14" s="1402"/>
      <c r="JO14" s="1402"/>
      <c r="JP14" s="1402"/>
      <c r="JQ14" s="1403"/>
      <c r="JR14" s="351"/>
      <c r="JS14" s="1400"/>
    </row>
    <row r="15" spans="1:279" ht="20" x14ac:dyDescent="0.25">
      <c r="A15" s="1367">
        <v>7</v>
      </c>
      <c r="B15" s="1368" t="str">
        <f t="shared" si="2"/>
        <v/>
      </c>
      <c r="C15" s="1359" t="s">
        <v>2426</v>
      </c>
      <c r="D15" s="1360" t="s">
        <v>2427</v>
      </c>
      <c r="E15" s="1381"/>
      <c r="F15" s="1381"/>
      <c r="G15" s="1381"/>
      <c r="H15" s="1381"/>
      <c r="I15" s="1272"/>
      <c r="J15" s="1381"/>
      <c r="K15" s="1381"/>
      <c r="L15" s="1381"/>
      <c r="M15" s="1381"/>
      <c r="N15" s="1381"/>
      <c r="O15" s="1381"/>
      <c r="P15" s="1414"/>
      <c r="Q15" s="1414"/>
      <c r="R15" s="1414"/>
      <c r="S15" s="1414"/>
      <c r="T15" s="1414"/>
      <c r="U15" s="1414"/>
      <c r="V15" s="1414"/>
      <c r="W15" s="1414"/>
      <c r="X15" s="1414"/>
      <c r="Y15" s="1414"/>
      <c r="Z15" s="1414"/>
      <c r="AA15" s="1414"/>
      <c r="AB15" s="1414"/>
      <c r="AC15" s="1414"/>
      <c r="AD15" s="1414"/>
      <c r="AE15" s="1414"/>
      <c r="AF15" s="1414"/>
      <c r="AG15" s="1414"/>
      <c r="AH15" s="1414"/>
      <c r="AI15" s="1414"/>
      <c r="AJ15" s="1414"/>
      <c r="AK15" s="1414"/>
      <c r="AL15" s="1414"/>
      <c r="AM15" s="1414"/>
      <c r="AN15" s="1414"/>
      <c r="AO15" s="1414"/>
      <c r="AP15" s="1414"/>
      <c r="AQ15" s="1414"/>
      <c r="AR15" s="1414"/>
      <c r="AS15" s="1414"/>
      <c r="AT15" s="1414"/>
      <c r="AU15" s="1414"/>
      <c r="AV15" s="1414"/>
      <c r="AW15" s="1414"/>
      <c r="AX15" s="1414"/>
      <c r="AY15" s="1414"/>
      <c r="AZ15" s="1414"/>
      <c r="BA15" s="1414"/>
      <c r="BB15" s="1414"/>
      <c r="BC15" s="1414"/>
      <c r="BD15" s="1414"/>
      <c r="BE15" s="1414"/>
      <c r="BF15" s="1414"/>
      <c r="BG15" s="1414"/>
      <c r="BH15" s="1414"/>
      <c r="BI15" s="1414"/>
      <c r="BJ15" s="1414"/>
      <c r="BK15" s="1414"/>
      <c r="BL15" s="1414"/>
      <c r="BM15" s="1414"/>
      <c r="BN15" s="1414"/>
      <c r="BO15" s="1414"/>
      <c r="BP15" s="1414"/>
      <c r="BQ15" s="1414"/>
      <c r="BR15" s="1414"/>
      <c r="BS15" s="1414"/>
      <c r="BT15" s="1414"/>
      <c r="BU15" s="1414"/>
      <c r="BV15" s="1414"/>
      <c r="BW15" s="1414"/>
      <c r="BX15" s="1414"/>
      <c r="BY15" s="1414"/>
      <c r="BZ15" s="1414"/>
      <c r="CA15" s="1414"/>
      <c r="CB15" s="1414"/>
      <c r="CC15" s="1414"/>
      <c r="CD15" s="1414"/>
      <c r="CE15" s="1414"/>
      <c r="CF15" s="1414"/>
      <c r="CG15" s="1414"/>
      <c r="CH15" s="1414"/>
      <c r="CI15" s="1414"/>
      <c r="CJ15" s="1414"/>
      <c r="CK15" s="1414"/>
      <c r="CL15" s="1414"/>
      <c r="CM15" s="1414"/>
      <c r="CN15" s="1414"/>
      <c r="CO15" s="1414"/>
      <c r="CP15" s="1414"/>
      <c r="CQ15" s="1414"/>
      <c r="CR15" s="1414"/>
      <c r="CS15" s="1414"/>
      <c r="CT15" s="1414"/>
      <c r="CU15" s="1414"/>
      <c r="CV15" s="1414"/>
      <c r="CW15" s="1414"/>
      <c r="CX15" s="1414"/>
      <c r="CY15" s="1414"/>
      <c r="CZ15" s="1414"/>
      <c r="DA15" s="1414"/>
      <c r="DB15" s="1414"/>
      <c r="DC15" s="1414">
        <v>2</v>
      </c>
      <c r="DD15" s="1414"/>
      <c r="DE15" s="1414"/>
      <c r="DF15" s="1414"/>
      <c r="DG15" s="1414">
        <v>2</v>
      </c>
      <c r="DH15" s="1414"/>
      <c r="DI15" s="1414"/>
      <c r="DJ15" s="1414"/>
      <c r="DK15" s="1414"/>
      <c r="DL15" s="1414"/>
      <c r="DM15" s="1414"/>
      <c r="DN15" s="1414"/>
      <c r="DO15" s="1414"/>
      <c r="DP15" s="1414"/>
      <c r="DQ15" s="1414"/>
      <c r="DR15" s="1414"/>
      <c r="DS15" s="1414"/>
      <c r="DT15" s="1414"/>
      <c r="DU15" s="1414"/>
      <c r="DV15" s="1414"/>
      <c r="DW15" s="1414"/>
      <c r="DX15" s="1414"/>
      <c r="DY15" s="1414"/>
      <c r="DZ15" s="1414"/>
      <c r="EA15" s="1414"/>
      <c r="EB15" s="1414"/>
      <c r="EC15" s="1414"/>
      <c r="ED15" s="1414"/>
      <c r="EE15" s="1414"/>
      <c r="EF15" s="1414"/>
      <c r="EG15" s="1414"/>
      <c r="EH15" s="1414"/>
      <c r="EI15" s="1414"/>
      <c r="EJ15" s="1414"/>
      <c r="EK15" s="1414"/>
      <c r="EL15" s="1414"/>
      <c r="EM15" s="1414"/>
      <c r="EN15" s="1414"/>
      <c r="EO15" s="1414"/>
      <c r="EP15" s="1414"/>
      <c r="EQ15" s="1414"/>
      <c r="ER15" s="1414"/>
      <c r="ES15" s="1414"/>
      <c r="ET15" s="1414"/>
      <c r="EU15" s="1414"/>
      <c r="EV15" s="1414"/>
      <c r="EW15" s="1414"/>
      <c r="EX15" s="1414"/>
      <c r="EY15" s="1414"/>
      <c r="EZ15" s="1414"/>
      <c r="FA15" s="1414"/>
      <c r="FB15" s="1414"/>
      <c r="FC15" s="1414"/>
      <c r="FD15" s="1414"/>
      <c r="FE15" s="1414"/>
      <c r="FF15" s="1414"/>
      <c r="FG15" s="1414"/>
      <c r="FH15" s="1414"/>
      <c r="FI15" s="1414"/>
      <c r="FJ15" s="1414"/>
      <c r="FK15" s="1414"/>
      <c r="FL15" s="1414"/>
      <c r="FM15" s="1414"/>
      <c r="FN15" s="1414"/>
      <c r="FO15" s="1414"/>
      <c r="FP15" s="1414"/>
      <c r="FQ15" s="1414"/>
      <c r="FR15" s="1414"/>
      <c r="FS15" s="1414"/>
      <c r="FT15" s="1414"/>
      <c r="FU15" s="1414"/>
      <c r="FV15" s="1414"/>
      <c r="FW15" s="1414"/>
      <c r="FX15" s="1414"/>
      <c r="FY15" s="1414"/>
      <c r="FZ15" s="1414"/>
      <c r="GA15" s="1414"/>
      <c r="GB15" s="1414"/>
      <c r="GC15" s="1414"/>
      <c r="GD15" s="1414"/>
      <c r="GE15" s="1414"/>
      <c r="GF15" s="1414"/>
      <c r="GG15" s="1414"/>
      <c r="GH15" s="1414"/>
      <c r="GI15" s="1414"/>
      <c r="GJ15" s="1414">
        <v>2</v>
      </c>
      <c r="GK15" s="1414"/>
      <c r="GL15" s="1414"/>
      <c r="GM15" s="1414"/>
      <c r="GN15" s="1414"/>
      <c r="GO15" s="1414"/>
      <c r="GP15" s="1414"/>
      <c r="GQ15" s="1414"/>
      <c r="GR15" s="1414"/>
      <c r="GS15" s="1414"/>
      <c r="GT15" s="1414"/>
      <c r="GU15" s="1414"/>
      <c r="GV15" s="1414"/>
      <c r="GW15" s="1414"/>
      <c r="GX15" s="1414"/>
      <c r="GY15" s="1414"/>
      <c r="GZ15" s="1414"/>
      <c r="HA15" s="1414"/>
      <c r="HB15" s="1414"/>
      <c r="HC15" s="1414"/>
      <c r="HD15" s="1414"/>
      <c r="HE15" s="1414"/>
      <c r="HF15" s="1414"/>
      <c r="HG15" s="1414"/>
      <c r="HH15" s="1414"/>
      <c r="HI15" s="1414"/>
      <c r="HJ15" s="1414"/>
      <c r="HK15" s="1414"/>
      <c r="HL15" s="1414"/>
      <c r="HM15" s="1414"/>
      <c r="HN15" s="1414"/>
      <c r="HO15" s="1414"/>
      <c r="HP15" s="1414"/>
      <c r="HQ15" s="1414"/>
      <c r="HR15" s="1414"/>
      <c r="HS15" s="1414"/>
      <c r="HT15" s="1414"/>
      <c r="HU15" s="1414"/>
      <c r="HV15" s="1414"/>
      <c r="HW15" s="1414"/>
      <c r="HX15" s="1414"/>
      <c r="HY15" s="1414"/>
      <c r="HZ15" s="1414"/>
      <c r="IA15" s="1414"/>
      <c r="IB15" s="1414"/>
      <c r="IC15" s="1414"/>
      <c r="ID15" s="1414"/>
      <c r="IE15" s="1414"/>
      <c r="IF15" s="1414"/>
      <c r="IG15" s="1414"/>
      <c r="IH15" s="1414"/>
      <c r="II15" s="1414"/>
      <c r="IJ15" s="1414"/>
      <c r="IK15" s="1414"/>
      <c r="IL15" s="1414"/>
      <c r="IM15" s="1414"/>
      <c r="IN15" s="1414"/>
      <c r="IO15" s="1414"/>
      <c r="IP15" s="1414"/>
      <c r="IQ15" s="1414"/>
      <c r="IR15" s="1414">
        <v>7</v>
      </c>
      <c r="IS15" s="1414"/>
      <c r="IT15" s="1414"/>
      <c r="IU15" s="1414"/>
      <c r="IV15" s="1414"/>
      <c r="IW15" s="1414"/>
      <c r="IX15" s="1414"/>
      <c r="IY15" s="1414"/>
      <c r="IZ15" s="1414"/>
      <c r="JA15" s="1414"/>
      <c r="JB15" s="1414"/>
      <c r="JC15" s="1414"/>
      <c r="JD15" s="1414"/>
      <c r="JE15" s="1414"/>
      <c r="JF15" s="1414"/>
      <c r="JG15" s="1414"/>
      <c r="JH15" s="1414"/>
      <c r="JI15" s="1414"/>
      <c r="JJ15" s="1414"/>
      <c r="JK15" s="1414"/>
      <c r="JL15" s="1414"/>
      <c r="JM15" s="1414"/>
      <c r="JN15" s="1414"/>
      <c r="JO15" s="1414"/>
      <c r="JP15" s="1414"/>
      <c r="JQ15" s="1415"/>
      <c r="JR15" s="351"/>
      <c r="JS15" s="1400" t="s">
        <v>2420</v>
      </c>
    </row>
    <row r="16" spans="1:279" x14ac:dyDescent="0.25">
      <c r="A16" s="1367">
        <v>8</v>
      </c>
      <c r="B16" s="1368" t="str">
        <f t="shared" si="2"/>
        <v/>
      </c>
      <c r="C16" s="1359" t="s">
        <v>2428</v>
      </c>
      <c r="D16" s="1360" t="s">
        <v>2429</v>
      </c>
      <c r="E16" s="1777"/>
      <c r="F16" s="1777"/>
      <c r="G16" s="1777"/>
      <c r="H16" s="1777"/>
      <c r="I16" s="1777"/>
      <c r="J16" s="1777"/>
      <c r="K16" s="1777"/>
      <c r="L16" s="1777"/>
      <c r="M16" s="1777"/>
      <c r="N16" s="1777"/>
      <c r="O16" s="1777"/>
      <c r="P16" s="2482"/>
      <c r="Q16" s="2482"/>
      <c r="R16" s="2482"/>
      <c r="S16" s="2482"/>
      <c r="T16" s="2482"/>
      <c r="U16" s="2482"/>
      <c r="V16" s="2482"/>
      <c r="W16" s="2482"/>
      <c r="X16" s="2482"/>
      <c r="Y16" s="2482"/>
      <c r="Z16" s="2482"/>
      <c r="AA16" s="2482"/>
      <c r="AB16" s="2482"/>
      <c r="AC16" s="2482"/>
      <c r="AD16" s="2482"/>
      <c r="AE16" s="2482"/>
      <c r="AF16" s="2482"/>
      <c r="AG16" s="2482"/>
      <c r="AH16" s="2482"/>
      <c r="AI16" s="2482"/>
      <c r="AJ16" s="2482"/>
      <c r="AK16" s="2482"/>
      <c r="AL16" s="2482"/>
      <c r="AM16" s="2482"/>
      <c r="AN16" s="2482"/>
      <c r="AO16" s="2482"/>
      <c r="AP16" s="2482"/>
      <c r="AQ16" s="2482"/>
      <c r="AR16" s="2482"/>
      <c r="AS16" s="2482"/>
      <c r="AT16" s="2482"/>
      <c r="AU16" s="2482"/>
      <c r="AV16" s="2482"/>
      <c r="AW16" s="2482"/>
      <c r="AX16" s="2482"/>
      <c r="AY16" s="2482"/>
      <c r="AZ16" s="2482"/>
      <c r="BA16" s="2482"/>
      <c r="BB16" s="2482"/>
      <c r="BC16" s="2482"/>
      <c r="BD16" s="2482"/>
      <c r="BE16" s="2482"/>
      <c r="BF16" s="2482"/>
      <c r="BG16" s="2482"/>
      <c r="BH16" s="2482"/>
      <c r="BI16" s="2482"/>
      <c r="BJ16" s="2482"/>
      <c r="BK16" s="2482"/>
      <c r="BL16" s="2482"/>
      <c r="BM16" s="2482"/>
      <c r="BN16" s="2482"/>
      <c r="BO16" s="2482"/>
      <c r="BP16" s="2482"/>
      <c r="BQ16" s="2482"/>
      <c r="BR16" s="2482"/>
      <c r="BS16" s="2482"/>
      <c r="BT16" s="2482"/>
      <c r="BU16" s="2482"/>
      <c r="BV16" s="2482"/>
      <c r="BW16" s="2482"/>
      <c r="BX16" s="2482"/>
      <c r="BY16" s="2482"/>
      <c r="BZ16" s="2482"/>
      <c r="CA16" s="2482"/>
      <c r="CB16" s="2482"/>
      <c r="CC16" s="2482"/>
      <c r="CD16" s="2482"/>
      <c r="CE16" s="2482"/>
      <c r="CF16" s="2482"/>
      <c r="CG16" s="2482"/>
      <c r="CH16" s="2482"/>
      <c r="CI16" s="2482"/>
      <c r="CJ16" s="2482"/>
      <c r="CK16" s="2482"/>
      <c r="CL16" s="2482"/>
      <c r="CM16" s="2482"/>
      <c r="CN16" s="2482"/>
      <c r="CO16" s="2482"/>
      <c r="CP16" s="2482"/>
      <c r="CQ16" s="2482"/>
      <c r="CR16" s="2482"/>
      <c r="CS16" s="2482"/>
      <c r="CT16" s="2482"/>
      <c r="CU16" s="2482"/>
      <c r="CV16" s="2482"/>
      <c r="CW16" s="2482"/>
      <c r="CX16" s="2482"/>
      <c r="CY16" s="2482"/>
      <c r="CZ16" s="2482"/>
      <c r="DA16" s="2482"/>
      <c r="DB16" s="2482"/>
      <c r="DC16" s="1773">
        <f>DC14*BR_rate</f>
        <v>900</v>
      </c>
      <c r="DD16" s="2482"/>
      <c r="DE16" s="2482"/>
      <c r="DF16" s="2482"/>
      <c r="DG16" s="2482">
        <f>DG14*BR_rate</f>
        <v>400</v>
      </c>
      <c r="DH16" s="2482"/>
      <c r="DI16" s="2482"/>
      <c r="DJ16" s="2482"/>
      <c r="DK16" s="2482"/>
      <c r="DL16" s="2482"/>
      <c r="DM16" s="2482"/>
      <c r="DN16" s="2482"/>
      <c r="DO16" s="2482"/>
      <c r="DP16" s="2482"/>
      <c r="DQ16" s="2482"/>
      <c r="DR16" s="2482"/>
      <c r="DS16" s="2482"/>
      <c r="DT16" s="2482"/>
      <c r="DU16" s="2482"/>
      <c r="DV16" s="2482"/>
      <c r="DW16" s="2482"/>
      <c r="DX16" s="2482"/>
      <c r="DY16" s="2482"/>
      <c r="DZ16" s="2482"/>
      <c r="EA16" s="2482"/>
      <c r="EB16" s="2482"/>
      <c r="EC16" s="2482"/>
      <c r="ED16" s="2482"/>
      <c r="EE16" s="2482"/>
      <c r="EF16" s="2482"/>
      <c r="EG16" s="2482"/>
      <c r="EH16" s="2482"/>
      <c r="EI16" s="2482"/>
      <c r="EJ16" s="2482"/>
      <c r="EK16" s="2482"/>
      <c r="EL16" s="2482"/>
      <c r="EM16" s="2482"/>
      <c r="EN16" s="2482"/>
      <c r="EO16" s="2482"/>
      <c r="EP16" s="2482"/>
      <c r="EQ16" s="2482"/>
      <c r="ER16" s="2482"/>
      <c r="ES16" s="2482"/>
      <c r="ET16" s="2482"/>
      <c r="EU16" s="2482"/>
      <c r="EV16" s="2482"/>
      <c r="EW16" s="2482"/>
      <c r="EX16" s="2482"/>
      <c r="EY16" s="2482"/>
      <c r="EZ16" s="2482"/>
      <c r="FA16" s="2482"/>
      <c r="FB16" s="2482"/>
      <c r="FC16" s="2482"/>
      <c r="FD16" s="2482"/>
      <c r="FE16" s="2482"/>
      <c r="FF16" s="2482"/>
      <c r="FG16" s="2482"/>
      <c r="FH16" s="2482"/>
      <c r="FI16" s="2482"/>
      <c r="FJ16" s="2482"/>
      <c r="FK16" s="2482"/>
      <c r="FL16" s="2482"/>
      <c r="FM16" s="2482"/>
      <c r="FN16" s="2482"/>
      <c r="FO16" s="2482"/>
      <c r="FP16" s="2482"/>
      <c r="FQ16" s="2482"/>
      <c r="FR16" s="2482"/>
      <c r="FS16" s="2482"/>
      <c r="FT16" s="2482"/>
      <c r="FU16" s="2482"/>
      <c r="FV16" s="2482"/>
      <c r="FW16" s="2482"/>
      <c r="FX16" s="2482"/>
      <c r="FY16" s="2482"/>
      <c r="FZ16" s="2482"/>
      <c r="GA16" s="2482"/>
      <c r="GB16" s="2482"/>
      <c r="GC16" s="2482"/>
      <c r="GD16" s="2482"/>
      <c r="GE16" s="2482"/>
      <c r="GF16" s="2482"/>
      <c r="GG16" s="2482"/>
      <c r="GH16" s="2482"/>
      <c r="GI16" s="2482"/>
      <c r="GJ16" s="2482">
        <f>GJ14*BR_rate</f>
        <v>760</v>
      </c>
      <c r="GK16" s="2482"/>
      <c r="GL16" s="2482"/>
      <c r="GM16" s="2482"/>
      <c r="GN16" s="2482"/>
      <c r="GO16" s="2482"/>
      <c r="GP16" s="2482"/>
      <c r="GQ16" s="2482"/>
      <c r="GR16" s="2482"/>
      <c r="GS16" s="2482"/>
      <c r="GT16" s="2482"/>
      <c r="GU16" s="2482"/>
      <c r="GV16" s="2482"/>
      <c r="GW16" s="2482"/>
      <c r="GX16" s="2482"/>
      <c r="GY16" s="2482"/>
      <c r="GZ16" s="2482"/>
      <c r="HA16" s="2482"/>
      <c r="HB16" s="2482"/>
      <c r="HC16" s="2482"/>
      <c r="HD16" s="2482"/>
      <c r="HE16" s="2482"/>
      <c r="HF16" s="2482"/>
      <c r="HG16" s="2482"/>
      <c r="HH16" s="2482"/>
      <c r="HI16" s="2482"/>
      <c r="HJ16" s="2482"/>
      <c r="HK16" s="2482"/>
      <c r="HL16" s="2482"/>
      <c r="HM16" s="2482"/>
      <c r="HN16" s="2482"/>
      <c r="HO16" s="2482"/>
      <c r="HP16" s="2482"/>
      <c r="HQ16" s="2482"/>
      <c r="HR16" s="2482"/>
      <c r="HS16" s="2482"/>
      <c r="HT16" s="2482"/>
      <c r="HU16" s="2482"/>
      <c r="HV16" s="2482"/>
      <c r="HW16" s="2482"/>
      <c r="HX16" s="2482"/>
      <c r="HY16" s="2482"/>
      <c r="HZ16" s="2482"/>
      <c r="IA16" s="2482"/>
      <c r="IB16" s="2482"/>
      <c r="IC16" s="2482"/>
      <c r="ID16" s="2482"/>
      <c r="IE16" s="2482"/>
      <c r="IF16" s="2482"/>
      <c r="IG16" s="2482"/>
      <c r="IH16" s="2482"/>
      <c r="II16" s="2482"/>
      <c r="IJ16" s="2482"/>
      <c r="IK16" s="2482"/>
      <c r="IL16" s="2482"/>
      <c r="IM16" s="2482"/>
      <c r="IN16" s="2482"/>
      <c r="IO16" s="2482"/>
      <c r="IP16" s="2482"/>
      <c r="IQ16" s="2482"/>
      <c r="IR16" s="2482">
        <f>IR14*BR_rate</f>
        <v>5755.4000000000005</v>
      </c>
      <c r="IS16" s="2482"/>
      <c r="IT16" s="2482"/>
      <c r="IU16" s="2482"/>
      <c r="IV16" s="2482"/>
      <c r="IW16" s="2482"/>
      <c r="IX16" s="2482"/>
      <c r="IY16" s="2482"/>
      <c r="IZ16" s="2482"/>
      <c r="JA16" s="2482"/>
      <c r="JB16" s="2482"/>
      <c r="JC16" s="2482"/>
      <c r="JD16" s="2482"/>
      <c r="JE16" s="2482"/>
      <c r="JF16" s="2482"/>
      <c r="JG16" s="2482"/>
      <c r="JH16" s="2482"/>
      <c r="JI16" s="2482"/>
      <c r="JJ16" s="2482"/>
      <c r="JK16" s="2482"/>
      <c r="JL16" s="2482"/>
      <c r="JM16" s="2482"/>
      <c r="JN16" s="2482"/>
      <c r="JO16" s="2482"/>
      <c r="JP16" s="2482"/>
      <c r="JQ16" s="2483"/>
      <c r="JR16" s="351"/>
      <c r="JS16" s="1400"/>
    </row>
    <row r="17" spans="1:279" ht="12" thickBot="1" x14ac:dyDescent="0.3">
      <c r="A17" s="1367">
        <v>9</v>
      </c>
      <c r="B17" s="1368" t="str">
        <f t="shared" si="2"/>
        <v/>
      </c>
      <c r="C17" s="705" t="s">
        <v>2430</v>
      </c>
      <c r="D17" s="698" t="s">
        <v>2431</v>
      </c>
      <c r="E17" s="2432"/>
      <c r="F17" s="2432"/>
      <c r="G17" s="2432"/>
      <c r="H17" s="2432"/>
      <c r="I17" s="2432"/>
      <c r="J17" s="2432"/>
      <c r="K17" s="2432"/>
      <c r="L17" s="2432"/>
      <c r="M17" s="2432"/>
      <c r="N17" s="2432"/>
      <c r="O17" s="2432"/>
      <c r="P17" s="2504"/>
      <c r="Q17" s="2504"/>
      <c r="R17" s="2504"/>
      <c r="S17" s="2504"/>
      <c r="T17" s="2504"/>
      <c r="U17" s="2504"/>
      <c r="V17" s="2504"/>
      <c r="W17" s="2504"/>
      <c r="X17" s="2504"/>
      <c r="Y17" s="2504"/>
      <c r="Z17" s="2504"/>
      <c r="AA17" s="2504"/>
      <c r="AB17" s="2504"/>
      <c r="AC17" s="2504"/>
      <c r="AD17" s="2504"/>
      <c r="AE17" s="2504"/>
      <c r="AF17" s="2504"/>
      <c r="AG17" s="2504"/>
      <c r="AH17" s="2504"/>
      <c r="AI17" s="2504"/>
      <c r="AJ17" s="2504"/>
      <c r="AK17" s="2504"/>
      <c r="AL17" s="2504"/>
      <c r="AM17" s="2504"/>
      <c r="AN17" s="2504"/>
      <c r="AO17" s="2504"/>
      <c r="AP17" s="2504"/>
      <c r="AQ17" s="2504"/>
      <c r="AR17" s="2504"/>
      <c r="AS17" s="2504"/>
      <c r="AT17" s="2504"/>
      <c r="AU17" s="2504"/>
      <c r="AV17" s="2504"/>
      <c r="AW17" s="2504"/>
      <c r="AX17" s="2504"/>
      <c r="AY17" s="2504"/>
      <c r="AZ17" s="2504"/>
      <c r="BA17" s="2504"/>
      <c r="BB17" s="2504"/>
      <c r="BC17" s="2504"/>
      <c r="BD17" s="2504"/>
      <c r="BE17" s="2504"/>
      <c r="BF17" s="2504"/>
      <c r="BG17" s="2504"/>
      <c r="BH17" s="2504"/>
      <c r="BI17" s="2504"/>
      <c r="BJ17" s="2504"/>
      <c r="BK17" s="2504"/>
      <c r="BL17" s="2504"/>
      <c r="BM17" s="2504"/>
      <c r="BN17" s="2504"/>
      <c r="BO17" s="2504">
        <v>14755</v>
      </c>
      <c r="BP17" s="2504"/>
      <c r="BQ17" s="2504"/>
      <c r="BR17" s="2504"/>
      <c r="BS17" s="2504"/>
      <c r="BT17" s="2504"/>
      <c r="BU17" s="2504"/>
      <c r="BV17" s="2504"/>
      <c r="BW17" s="2504"/>
      <c r="BX17" s="2504"/>
      <c r="BY17" s="2504"/>
      <c r="BZ17" s="2504"/>
      <c r="CA17" s="2504"/>
      <c r="CB17" s="2504"/>
      <c r="CC17" s="2504"/>
      <c r="CD17" s="2504"/>
      <c r="CE17" s="2504"/>
      <c r="CF17" s="2504"/>
      <c r="CG17" s="2504"/>
      <c r="CH17" s="2504"/>
      <c r="CI17" s="2504"/>
      <c r="CJ17" s="2504"/>
      <c r="CK17" s="2504"/>
      <c r="CL17" s="2504"/>
      <c r="CM17" s="2504"/>
      <c r="CN17" s="2504"/>
      <c r="CO17" s="2504"/>
      <c r="CP17" s="2504"/>
      <c r="CQ17" s="2504"/>
      <c r="CR17" s="2504">
        <v>33000</v>
      </c>
      <c r="CS17" s="2504">
        <v>33000</v>
      </c>
      <c r="CT17" s="2504"/>
      <c r="CU17" s="2504"/>
      <c r="CV17" s="2504"/>
      <c r="CW17" s="2504"/>
      <c r="CX17" s="2504"/>
      <c r="CY17" s="2504">
        <v>33000</v>
      </c>
      <c r="CZ17" s="2504"/>
      <c r="DA17" s="2504"/>
      <c r="DB17" s="2504"/>
      <c r="DC17" s="2504"/>
      <c r="DD17" s="2504"/>
      <c r="DE17" s="2504"/>
      <c r="DF17" s="2504"/>
      <c r="DG17" s="2504"/>
      <c r="DH17" s="2504"/>
      <c r="DI17" s="2504"/>
      <c r="DJ17" s="2504"/>
      <c r="DK17" s="2504"/>
      <c r="DL17" s="2504"/>
      <c r="DM17" s="2504"/>
      <c r="DN17" s="2504"/>
      <c r="DO17" s="2504"/>
      <c r="DP17" s="2504"/>
      <c r="DQ17" s="2504"/>
      <c r="DR17" s="2504"/>
      <c r="DS17" s="2504"/>
      <c r="DT17" s="2504"/>
      <c r="DU17" s="2504"/>
      <c r="DV17" s="2504"/>
      <c r="DW17" s="2504"/>
      <c r="DX17" s="2504"/>
      <c r="DY17" s="2504"/>
      <c r="DZ17" s="2504"/>
      <c r="EA17" s="2504"/>
      <c r="EB17" s="2504"/>
      <c r="EC17" s="2504"/>
      <c r="ED17" s="2504"/>
      <c r="EE17" s="2504"/>
      <c r="EF17" s="2504"/>
      <c r="EG17" s="2504"/>
      <c r="EH17" s="2504"/>
      <c r="EI17" s="2504"/>
      <c r="EJ17" s="2504"/>
      <c r="EK17" s="2504"/>
      <c r="EL17" s="2504"/>
      <c r="EM17" s="2504"/>
      <c r="EN17" s="2504"/>
      <c r="EO17" s="2504"/>
      <c r="EP17" s="2504"/>
      <c r="EQ17" s="2504"/>
      <c r="ER17" s="2504"/>
      <c r="ES17" s="2504"/>
      <c r="ET17" s="2504"/>
      <c r="EU17" s="2504"/>
      <c r="EV17" s="2504"/>
      <c r="EW17" s="2504"/>
      <c r="EX17" s="2504"/>
      <c r="EY17" s="2504"/>
      <c r="EZ17" s="2504"/>
      <c r="FA17" s="2504"/>
      <c r="FB17" s="2504"/>
      <c r="FC17" s="2504"/>
      <c r="FD17" s="2504"/>
      <c r="FE17" s="2504"/>
      <c r="FF17" s="2504"/>
      <c r="FG17" s="2504"/>
      <c r="FH17" s="2504"/>
      <c r="FI17" s="2504"/>
      <c r="FJ17" s="2504"/>
      <c r="FK17" s="2504"/>
      <c r="FL17" s="2504"/>
      <c r="FM17" s="2504"/>
      <c r="FN17" s="2504">
        <v>33000</v>
      </c>
      <c r="FO17" s="2504">
        <v>33000</v>
      </c>
      <c r="FP17" s="2504"/>
      <c r="FQ17" s="2504"/>
      <c r="FR17" s="2504"/>
      <c r="FS17" s="2504"/>
      <c r="FT17" s="2504"/>
      <c r="FU17" s="2504"/>
      <c r="FV17" s="2504"/>
      <c r="FW17" s="2504"/>
      <c r="FX17" s="2504"/>
      <c r="FY17" s="2504"/>
      <c r="FZ17" s="2504"/>
      <c r="GA17" s="2504"/>
      <c r="GB17" s="2504"/>
      <c r="GC17" s="2504"/>
      <c r="GD17" s="2504"/>
      <c r="GE17" s="2504"/>
      <c r="GF17" s="2504"/>
      <c r="GG17" s="2504"/>
      <c r="GH17" s="2504"/>
      <c r="GI17" s="2504"/>
      <c r="GJ17" s="2504"/>
      <c r="GK17" s="2504"/>
      <c r="GL17" s="2504"/>
      <c r="GM17" s="2504"/>
      <c r="GN17" s="2504"/>
      <c r="GO17" s="2504"/>
      <c r="GP17" s="2504"/>
      <c r="GQ17" s="2504"/>
      <c r="GR17" s="2504"/>
      <c r="GS17" s="2504"/>
      <c r="GT17" s="2504"/>
      <c r="GU17" s="2504"/>
      <c r="GV17" s="2504"/>
      <c r="GW17" s="2504"/>
      <c r="GX17" s="2504"/>
      <c r="GY17" s="2504"/>
      <c r="GZ17" s="2504"/>
      <c r="HA17" s="2504"/>
      <c r="HB17" s="2504"/>
      <c r="HC17" s="2504"/>
      <c r="HD17" s="2504"/>
      <c r="HE17" s="2504"/>
      <c r="HF17" s="2504"/>
      <c r="HG17" s="2504"/>
      <c r="HH17" s="2504"/>
      <c r="HI17" s="2504"/>
      <c r="HJ17" s="2504"/>
      <c r="HK17" s="2504"/>
      <c r="HL17" s="2504"/>
      <c r="HM17" s="2504"/>
      <c r="HN17" s="2504"/>
      <c r="HO17" s="2504"/>
      <c r="HP17" s="2504"/>
      <c r="HQ17" s="2504"/>
      <c r="HR17" s="2504"/>
      <c r="HS17" s="2504"/>
      <c r="HT17" s="2504"/>
      <c r="HU17" s="2504"/>
      <c r="HV17" s="2504"/>
      <c r="HW17" s="2504"/>
      <c r="HX17" s="2504"/>
      <c r="HY17" s="2504"/>
      <c r="HZ17" s="2504"/>
      <c r="IA17" s="2504"/>
      <c r="IB17" s="2504"/>
      <c r="IC17" s="2504"/>
      <c r="ID17" s="2504"/>
      <c r="IE17" s="2504"/>
      <c r="IF17" s="2504"/>
      <c r="IG17" s="2504"/>
      <c r="IH17" s="2504"/>
      <c r="II17" s="2504"/>
      <c r="IJ17" s="2504"/>
      <c r="IK17" s="2504"/>
      <c r="IL17" s="2504"/>
      <c r="IM17" s="2504"/>
      <c r="IN17" s="2504"/>
      <c r="IO17" s="2504"/>
      <c r="IP17" s="2504"/>
      <c r="IQ17" s="2504"/>
      <c r="IR17" s="2504"/>
      <c r="IS17" s="2504"/>
      <c r="IT17" s="2504"/>
      <c r="IU17" s="2504"/>
      <c r="IV17" s="2504"/>
      <c r="IW17" s="2504"/>
      <c r="IX17" s="2504"/>
      <c r="IY17" s="2504"/>
      <c r="IZ17" s="2504"/>
      <c r="JA17" s="2504">
        <v>14755</v>
      </c>
      <c r="JB17" s="2504">
        <v>14755</v>
      </c>
      <c r="JC17" s="2504">
        <v>14755</v>
      </c>
      <c r="JD17" s="2504"/>
      <c r="JE17" s="2504"/>
      <c r="JF17" s="2504"/>
      <c r="JG17" s="2504"/>
      <c r="JH17" s="2504"/>
      <c r="JI17" s="2504"/>
      <c r="JJ17" s="2504"/>
      <c r="JK17" s="2504"/>
      <c r="JL17" s="2504"/>
      <c r="JM17" s="2504"/>
      <c r="JN17" s="2504"/>
      <c r="JO17" s="2504"/>
      <c r="JP17" s="2504"/>
      <c r="JQ17" s="2505"/>
      <c r="JR17" s="351"/>
      <c r="JS17" s="1400"/>
    </row>
    <row r="18" spans="1:279" x14ac:dyDescent="0.25">
      <c r="C18" s="261"/>
      <c r="D18" s="137"/>
      <c r="E18" s="35"/>
      <c r="F18" s="35"/>
      <c r="G18" s="35"/>
      <c r="H18" s="35"/>
      <c r="I18" s="35"/>
      <c r="J18" s="35"/>
      <c r="K18" s="35"/>
      <c r="JS18" s="1"/>
    </row>
    <row r="19" spans="1:279" ht="12" thickBot="1" x14ac:dyDescent="0.3">
      <c r="C19" s="261" t="s">
        <v>2432</v>
      </c>
      <c r="D19" s="137"/>
      <c r="E19" s="35"/>
      <c r="F19" s="35"/>
      <c r="G19" s="35"/>
      <c r="H19" s="35"/>
      <c r="I19" s="35"/>
      <c r="J19" s="35"/>
      <c r="K19" s="35"/>
      <c r="JS19" s="1"/>
    </row>
    <row r="20" spans="1:279" x14ac:dyDescent="0.25">
      <c r="A20" s="1367" t="s">
        <v>2201</v>
      </c>
      <c r="B20" s="585" t="s">
        <v>2408</v>
      </c>
      <c r="C20" s="287" t="s">
        <v>14</v>
      </c>
      <c r="D20" s="262"/>
      <c r="E20" s="418">
        <v>1</v>
      </c>
      <c r="F20" s="418">
        <v>2</v>
      </c>
      <c r="G20" s="418">
        <v>3</v>
      </c>
      <c r="H20" s="418">
        <v>4</v>
      </c>
      <c r="I20" s="418">
        <v>5</v>
      </c>
      <c r="J20" s="418">
        <v>6</v>
      </c>
      <c r="K20" s="418">
        <v>7</v>
      </c>
      <c r="L20" s="418">
        <v>8</v>
      </c>
      <c r="M20" s="418">
        <v>9</v>
      </c>
      <c r="N20" s="418">
        <v>10</v>
      </c>
      <c r="O20" s="418">
        <v>11</v>
      </c>
      <c r="P20" s="418">
        <v>12</v>
      </c>
      <c r="Q20" s="418">
        <v>13</v>
      </c>
      <c r="R20" s="418">
        <v>14</v>
      </c>
      <c r="S20" s="418">
        <v>15</v>
      </c>
      <c r="T20" s="418">
        <v>16</v>
      </c>
      <c r="U20" s="418">
        <v>17</v>
      </c>
      <c r="V20" s="418">
        <v>18</v>
      </c>
      <c r="W20" s="418">
        <v>19</v>
      </c>
      <c r="X20" s="418">
        <v>20</v>
      </c>
      <c r="Y20" s="418">
        <v>21</v>
      </c>
      <c r="Z20" s="418">
        <v>22</v>
      </c>
      <c r="AA20" s="418">
        <v>23</v>
      </c>
      <c r="AB20" s="418">
        <v>24</v>
      </c>
      <c r="AC20" s="418">
        <v>25</v>
      </c>
      <c r="AD20" s="418">
        <v>26</v>
      </c>
      <c r="AE20" s="418">
        <v>27</v>
      </c>
      <c r="AF20" s="418">
        <v>28</v>
      </c>
      <c r="AG20" s="418">
        <v>29</v>
      </c>
      <c r="AH20" s="418">
        <v>30</v>
      </c>
      <c r="AI20" s="418">
        <v>31</v>
      </c>
      <c r="AJ20" s="418">
        <v>32</v>
      </c>
      <c r="AK20" s="418">
        <v>33</v>
      </c>
      <c r="AL20" s="418">
        <v>34</v>
      </c>
      <c r="AM20" s="418">
        <v>35</v>
      </c>
      <c r="AN20" s="418">
        <v>36</v>
      </c>
      <c r="AO20" s="418">
        <v>37</v>
      </c>
      <c r="AP20" s="418">
        <v>38</v>
      </c>
      <c r="AQ20" s="418">
        <v>39</v>
      </c>
      <c r="AR20" s="418">
        <v>40</v>
      </c>
      <c r="AS20" s="418">
        <v>41</v>
      </c>
      <c r="AT20" s="418">
        <v>42</v>
      </c>
      <c r="AU20" s="418">
        <v>43</v>
      </c>
      <c r="AV20" s="418">
        <v>44</v>
      </c>
      <c r="AW20" s="418">
        <v>45</v>
      </c>
      <c r="AX20" s="418">
        <v>46</v>
      </c>
      <c r="AY20" s="418">
        <v>47</v>
      </c>
      <c r="AZ20" s="418">
        <v>48</v>
      </c>
      <c r="BA20" s="418">
        <v>49</v>
      </c>
      <c r="BB20" s="418">
        <v>50</v>
      </c>
      <c r="BC20" s="418">
        <v>51</v>
      </c>
      <c r="BD20" s="418">
        <v>52</v>
      </c>
      <c r="BE20" s="418">
        <v>53</v>
      </c>
      <c r="BF20" s="418">
        <v>54</v>
      </c>
      <c r="BG20" s="418">
        <v>55</v>
      </c>
      <c r="BH20" s="418">
        <v>56</v>
      </c>
      <c r="BI20" s="418">
        <v>57</v>
      </c>
      <c r="BJ20" s="418">
        <v>58</v>
      </c>
      <c r="BK20" s="418">
        <v>59</v>
      </c>
      <c r="BL20" s="418">
        <v>60</v>
      </c>
      <c r="BM20" s="418">
        <v>61</v>
      </c>
      <c r="BN20" s="418">
        <v>62</v>
      </c>
      <c r="BO20" s="418">
        <v>63</v>
      </c>
      <c r="BP20" s="418">
        <v>64</v>
      </c>
      <c r="BQ20" s="418">
        <v>65</v>
      </c>
      <c r="BR20" s="418">
        <v>66</v>
      </c>
      <c r="BS20" s="418">
        <v>67</v>
      </c>
      <c r="BT20" s="418">
        <v>68</v>
      </c>
      <c r="BU20" s="418">
        <v>69</v>
      </c>
      <c r="BV20" s="418">
        <v>70</v>
      </c>
      <c r="BW20" s="418">
        <v>71</v>
      </c>
      <c r="BX20" s="418">
        <v>72</v>
      </c>
      <c r="BY20" s="418">
        <v>73</v>
      </c>
      <c r="BZ20" s="418">
        <v>74</v>
      </c>
      <c r="CA20" s="418">
        <v>75</v>
      </c>
      <c r="CB20" s="418">
        <v>76</v>
      </c>
      <c r="CC20" s="418">
        <v>77</v>
      </c>
      <c r="CD20" s="418">
        <v>78</v>
      </c>
      <c r="CE20" s="418">
        <v>79</v>
      </c>
      <c r="CF20" s="418">
        <v>80</v>
      </c>
      <c r="CG20" s="418">
        <v>81</v>
      </c>
      <c r="CH20" s="418">
        <v>82</v>
      </c>
      <c r="CI20" s="418">
        <v>83</v>
      </c>
      <c r="CJ20" s="418">
        <v>84</v>
      </c>
      <c r="CK20" s="418">
        <v>85</v>
      </c>
      <c r="CL20" s="418">
        <v>86</v>
      </c>
      <c r="CM20" s="418">
        <v>87</v>
      </c>
      <c r="CN20" s="418">
        <v>88</v>
      </c>
      <c r="CO20" s="418">
        <v>89</v>
      </c>
      <c r="CP20" s="418">
        <v>90</v>
      </c>
      <c r="CQ20" s="418">
        <v>91</v>
      </c>
      <c r="CR20" s="418">
        <v>92</v>
      </c>
      <c r="CS20" s="418">
        <v>93</v>
      </c>
      <c r="CT20" s="418">
        <v>94</v>
      </c>
      <c r="CU20" s="418">
        <v>95</v>
      </c>
      <c r="CV20" s="418">
        <v>96</v>
      </c>
      <c r="CW20" s="418">
        <v>97</v>
      </c>
      <c r="CX20" s="418">
        <v>98</v>
      </c>
      <c r="CY20" s="418">
        <v>99</v>
      </c>
      <c r="CZ20" s="418">
        <v>100</v>
      </c>
      <c r="DA20" s="418">
        <v>101</v>
      </c>
      <c r="DB20" s="418">
        <v>102</v>
      </c>
      <c r="DC20" s="418">
        <v>103</v>
      </c>
      <c r="DD20" s="418">
        <v>104</v>
      </c>
      <c r="DE20" s="418">
        <v>105</v>
      </c>
      <c r="DF20" s="418">
        <v>106</v>
      </c>
      <c r="DG20" s="418">
        <v>107</v>
      </c>
      <c r="DH20" s="418">
        <v>108</v>
      </c>
      <c r="DI20" s="418">
        <v>109</v>
      </c>
      <c r="DJ20" s="418">
        <v>110</v>
      </c>
      <c r="DK20" s="418">
        <v>111</v>
      </c>
      <c r="DL20" s="418">
        <v>112</v>
      </c>
      <c r="DM20" s="418">
        <v>113</v>
      </c>
      <c r="DN20" s="418">
        <v>114</v>
      </c>
      <c r="DO20" s="418">
        <v>115</v>
      </c>
      <c r="DP20" s="418">
        <v>116</v>
      </c>
      <c r="DQ20" s="418">
        <v>117</v>
      </c>
      <c r="DR20" s="418">
        <v>118</v>
      </c>
      <c r="DS20" s="418">
        <v>119</v>
      </c>
      <c r="DT20" s="418">
        <v>120</v>
      </c>
      <c r="DU20" s="418">
        <v>121</v>
      </c>
      <c r="DV20" s="418">
        <v>122</v>
      </c>
      <c r="DW20" s="418">
        <v>123</v>
      </c>
      <c r="DX20" s="418">
        <v>124</v>
      </c>
      <c r="DY20" s="418">
        <v>125</v>
      </c>
      <c r="DZ20" s="418">
        <v>126</v>
      </c>
      <c r="EA20" s="418">
        <v>127</v>
      </c>
      <c r="EB20" s="418">
        <v>128</v>
      </c>
      <c r="EC20" s="418">
        <v>129</v>
      </c>
      <c r="ED20" s="418">
        <v>130</v>
      </c>
      <c r="EE20" s="418">
        <v>131</v>
      </c>
      <c r="EF20" s="418">
        <v>132</v>
      </c>
      <c r="EG20" s="418">
        <v>133</v>
      </c>
      <c r="EH20" s="418">
        <v>134</v>
      </c>
      <c r="EI20" s="418">
        <v>135</v>
      </c>
      <c r="EJ20" s="418">
        <v>136</v>
      </c>
      <c r="EK20" s="418">
        <v>137</v>
      </c>
      <c r="EL20" s="418">
        <v>138</v>
      </c>
      <c r="EM20" s="418">
        <v>139</v>
      </c>
      <c r="EN20" s="418">
        <v>140</v>
      </c>
      <c r="EO20" s="418">
        <v>141</v>
      </c>
      <c r="EP20" s="418">
        <v>142</v>
      </c>
      <c r="EQ20" s="418">
        <v>143</v>
      </c>
      <c r="ER20" s="418">
        <v>144</v>
      </c>
      <c r="ES20" s="418">
        <v>145</v>
      </c>
      <c r="ET20" s="418">
        <v>146</v>
      </c>
      <c r="EU20" s="418">
        <v>147</v>
      </c>
      <c r="EV20" s="418">
        <v>148</v>
      </c>
      <c r="EW20" s="418">
        <v>149</v>
      </c>
      <c r="EX20" s="418">
        <v>150</v>
      </c>
      <c r="EY20" s="418">
        <v>151</v>
      </c>
      <c r="EZ20" s="418">
        <v>152</v>
      </c>
      <c r="FA20" s="418">
        <v>153</v>
      </c>
      <c r="FB20" s="418">
        <v>154</v>
      </c>
      <c r="FC20" s="418">
        <v>155</v>
      </c>
      <c r="FD20" s="418">
        <v>156</v>
      </c>
      <c r="FE20" s="418">
        <v>157</v>
      </c>
      <c r="FF20" s="418">
        <v>158</v>
      </c>
      <c r="FG20" s="418">
        <v>159</v>
      </c>
      <c r="FH20" s="418">
        <v>160</v>
      </c>
      <c r="FI20" s="418">
        <v>161</v>
      </c>
      <c r="FJ20" s="418">
        <v>162</v>
      </c>
      <c r="FK20" s="418">
        <v>163</v>
      </c>
      <c r="FL20" s="418">
        <v>164</v>
      </c>
      <c r="FM20" s="418">
        <v>165</v>
      </c>
      <c r="FN20" s="418">
        <v>166</v>
      </c>
      <c r="FO20" s="418">
        <v>167</v>
      </c>
      <c r="FP20" s="418">
        <v>168</v>
      </c>
      <c r="FQ20" s="418">
        <v>169</v>
      </c>
      <c r="FR20" s="418">
        <v>170</v>
      </c>
      <c r="FS20" s="418">
        <v>171</v>
      </c>
      <c r="FT20" s="418">
        <v>172</v>
      </c>
      <c r="FU20" s="418">
        <v>173</v>
      </c>
      <c r="FV20" s="418">
        <v>174</v>
      </c>
      <c r="FW20" s="418">
        <v>175</v>
      </c>
      <c r="FX20" s="418">
        <v>176</v>
      </c>
      <c r="FY20" s="418">
        <v>177</v>
      </c>
      <c r="FZ20" s="418">
        <v>178</v>
      </c>
      <c r="GA20" s="418">
        <v>179</v>
      </c>
      <c r="GB20" s="418">
        <v>180</v>
      </c>
      <c r="GC20" s="418">
        <v>181</v>
      </c>
      <c r="GD20" s="418">
        <v>182</v>
      </c>
      <c r="GE20" s="418">
        <v>183</v>
      </c>
      <c r="GF20" s="418">
        <v>184</v>
      </c>
      <c r="GG20" s="418">
        <v>185</v>
      </c>
      <c r="GH20" s="418">
        <v>186</v>
      </c>
      <c r="GI20" s="418">
        <v>187</v>
      </c>
      <c r="GJ20" s="418">
        <v>188</v>
      </c>
      <c r="GK20" s="418">
        <v>189</v>
      </c>
      <c r="GL20" s="418">
        <v>190</v>
      </c>
      <c r="GM20" s="418">
        <v>191</v>
      </c>
      <c r="GN20" s="418">
        <v>192</v>
      </c>
      <c r="GO20" s="418">
        <v>193</v>
      </c>
      <c r="GP20" s="418">
        <v>194</v>
      </c>
      <c r="GQ20" s="418">
        <v>195</v>
      </c>
      <c r="GR20" s="418">
        <v>196</v>
      </c>
      <c r="GS20" s="418">
        <v>197</v>
      </c>
      <c r="GT20" s="418">
        <v>198</v>
      </c>
      <c r="GU20" s="418">
        <v>199</v>
      </c>
      <c r="GV20" s="418">
        <v>200</v>
      </c>
      <c r="GW20" s="418">
        <v>201</v>
      </c>
      <c r="GX20" s="418">
        <v>202</v>
      </c>
      <c r="GY20" s="418">
        <v>203</v>
      </c>
      <c r="GZ20" s="418">
        <v>204</v>
      </c>
      <c r="HA20" s="418">
        <v>205</v>
      </c>
      <c r="HB20" s="418">
        <v>206</v>
      </c>
      <c r="HC20" s="418">
        <v>207</v>
      </c>
      <c r="HD20" s="418">
        <v>208</v>
      </c>
      <c r="HE20" s="418">
        <v>209</v>
      </c>
      <c r="HF20" s="418">
        <v>210</v>
      </c>
      <c r="HG20" s="418">
        <v>211</v>
      </c>
      <c r="HH20" s="418">
        <v>212</v>
      </c>
      <c r="HI20" s="418">
        <v>213</v>
      </c>
      <c r="HJ20" s="418">
        <v>214</v>
      </c>
      <c r="HK20" s="418">
        <v>215</v>
      </c>
      <c r="HL20" s="418">
        <v>216</v>
      </c>
      <c r="HM20" s="418">
        <v>217</v>
      </c>
      <c r="HN20" s="418">
        <v>218</v>
      </c>
      <c r="HO20" s="418">
        <v>219</v>
      </c>
      <c r="HP20" s="418">
        <v>220</v>
      </c>
      <c r="HQ20" s="418">
        <v>221</v>
      </c>
      <c r="HR20" s="418">
        <v>222</v>
      </c>
      <c r="HS20" s="418">
        <v>223</v>
      </c>
      <c r="HT20" s="418">
        <v>224</v>
      </c>
      <c r="HU20" s="418">
        <v>225</v>
      </c>
      <c r="HV20" s="418">
        <v>226</v>
      </c>
      <c r="HW20" s="418">
        <v>227</v>
      </c>
      <c r="HX20" s="418">
        <v>228</v>
      </c>
      <c r="HY20" s="418">
        <v>229</v>
      </c>
      <c r="HZ20" s="418">
        <v>230</v>
      </c>
      <c r="IA20" s="418">
        <v>231</v>
      </c>
      <c r="IB20" s="418">
        <v>232</v>
      </c>
      <c r="IC20" s="418">
        <v>233</v>
      </c>
      <c r="ID20" s="418">
        <v>234</v>
      </c>
      <c r="IE20" s="418">
        <v>235</v>
      </c>
      <c r="IF20" s="418">
        <v>236</v>
      </c>
      <c r="IG20" s="418">
        <v>237</v>
      </c>
      <c r="IH20" s="418">
        <v>238</v>
      </c>
      <c r="II20" s="418">
        <v>239</v>
      </c>
      <c r="IJ20" s="418">
        <v>240</v>
      </c>
      <c r="IK20" s="418">
        <v>241</v>
      </c>
      <c r="IL20" s="418">
        <v>242</v>
      </c>
      <c r="IM20" s="418">
        <v>243</v>
      </c>
      <c r="IN20" s="418">
        <v>244</v>
      </c>
      <c r="IO20" s="418">
        <v>245</v>
      </c>
      <c r="IP20" s="418">
        <v>246</v>
      </c>
      <c r="IQ20" s="418">
        <v>247</v>
      </c>
      <c r="IR20" s="418">
        <v>248</v>
      </c>
      <c r="IS20" s="418">
        <v>249</v>
      </c>
      <c r="IT20" s="418">
        <v>250</v>
      </c>
      <c r="IU20" s="418">
        <v>251</v>
      </c>
      <c r="IV20" s="418">
        <v>252</v>
      </c>
      <c r="IW20" s="418">
        <v>253</v>
      </c>
      <c r="IX20" s="418">
        <v>254</v>
      </c>
      <c r="IY20" s="418">
        <v>255</v>
      </c>
      <c r="IZ20" s="418">
        <v>256</v>
      </c>
      <c r="JA20" s="418">
        <v>257</v>
      </c>
      <c r="JB20" s="418">
        <v>258</v>
      </c>
      <c r="JC20" s="418">
        <v>259</v>
      </c>
      <c r="JD20" s="418">
        <v>260</v>
      </c>
      <c r="JE20" s="418">
        <v>261</v>
      </c>
      <c r="JF20" s="418">
        <v>262</v>
      </c>
      <c r="JG20" s="418">
        <v>263</v>
      </c>
      <c r="JH20" s="418">
        <v>264</v>
      </c>
      <c r="JI20" s="418">
        <v>265</v>
      </c>
      <c r="JJ20" s="418">
        <v>266</v>
      </c>
      <c r="JK20" s="418">
        <v>267</v>
      </c>
      <c r="JL20" s="418">
        <v>268</v>
      </c>
      <c r="JM20" s="418">
        <v>269</v>
      </c>
      <c r="JN20" s="418">
        <v>270</v>
      </c>
      <c r="JO20" s="418">
        <v>271</v>
      </c>
      <c r="JP20" s="418">
        <v>272</v>
      </c>
      <c r="JQ20" s="418">
        <v>273</v>
      </c>
      <c r="JR20" s="351"/>
      <c r="JS20" s="1400"/>
    </row>
    <row r="21" spans="1:279" x14ac:dyDescent="0.25">
      <c r="A21" s="1367">
        <v>2</v>
      </c>
      <c r="B21" s="1386" t="str">
        <f>IF(AOI_C_IND&gt;1,IF(HLOOKUP(AOI_C_IND-1,AOI_C_RANGE,A21)="","",HLOOKUP(AOI_C_IND-1,AOI_C_RANGE,A21)),"")</f>
        <v/>
      </c>
      <c r="C21" s="795" t="s">
        <v>2433</v>
      </c>
      <c r="D21" s="1401" t="s">
        <v>1485</v>
      </c>
      <c r="E21" s="1420"/>
      <c r="F21" s="2506"/>
      <c r="G21" s="1420"/>
      <c r="H21" s="1420"/>
      <c r="I21" s="1420"/>
      <c r="J21" s="1390"/>
      <c r="K21" s="1390"/>
      <c r="L21" s="1390"/>
      <c r="M21" s="1390"/>
      <c r="N21" s="1390"/>
      <c r="O21" s="1390"/>
      <c r="P21" s="1390"/>
      <c r="Q21" s="1390"/>
      <c r="R21" s="1390"/>
      <c r="S21" s="1390"/>
      <c r="T21" s="1390"/>
      <c r="U21" s="1390"/>
      <c r="V21" s="1390"/>
      <c r="W21" s="1390"/>
      <c r="X21" s="1390"/>
      <c r="Y21" s="1390"/>
      <c r="Z21" s="1390"/>
      <c r="AA21" s="1390"/>
      <c r="AB21" s="1390"/>
      <c r="AC21" s="1390"/>
      <c r="AD21" s="1390"/>
      <c r="AE21" s="1390"/>
      <c r="AF21" s="1390"/>
      <c r="AG21" s="1390"/>
      <c r="AH21" s="1390"/>
      <c r="AI21" s="1390"/>
      <c r="AJ21" s="1390"/>
      <c r="AK21" s="1390"/>
      <c r="AL21" s="1390"/>
      <c r="AM21" s="1390"/>
      <c r="AN21" s="1390"/>
      <c r="AO21" s="1390"/>
      <c r="AP21" s="1390"/>
      <c r="AQ21" s="1390"/>
      <c r="AR21" s="1390"/>
      <c r="AS21" s="1390"/>
      <c r="AT21" s="1390"/>
      <c r="AU21" s="1390"/>
      <c r="AV21" s="1390"/>
      <c r="AW21" s="1390"/>
      <c r="AX21" s="1390"/>
      <c r="AY21" s="1390"/>
      <c r="AZ21" s="1390"/>
      <c r="BA21" s="1390"/>
      <c r="BB21" s="1390"/>
      <c r="BC21" s="1390"/>
      <c r="BD21" s="1390">
        <v>817</v>
      </c>
      <c r="BE21" s="1390"/>
      <c r="BF21" s="1390"/>
      <c r="BG21" s="1390"/>
      <c r="BH21" s="1390"/>
      <c r="BI21" s="1390"/>
      <c r="BJ21" s="1390"/>
      <c r="BK21" s="1390"/>
      <c r="BL21" s="1390"/>
      <c r="BM21" s="1390"/>
      <c r="BN21" s="1390"/>
      <c r="BO21" s="1390"/>
      <c r="BP21" s="1390"/>
      <c r="BQ21" s="1390"/>
      <c r="BR21" s="1390"/>
      <c r="BS21" s="1390">
        <v>3065.99</v>
      </c>
      <c r="BT21" s="1390"/>
      <c r="BU21" s="1390"/>
      <c r="BV21" s="1390"/>
      <c r="BW21" s="1390"/>
      <c r="BX21" s="1390"/>
      <c r="BY21" s="1390"/>
      <c r="BZ21" s="1390"/>
      <c r="CA21" s="1390"/>
      <c r="CB21" s="1390"/>
      <c r="CC21" s="1390"/>
      <c r="CD21" s="1390"/>
      <c r="CE21" s="1390"/>
      <c r="CF21" s="1390"/>
      <c r="CG21" s="1390"/>
      <c r="CH21" s="1390"/>
      <c r="CI21" s="1390"/>
      <c r="CJ21" s="1390"/>
      <c r="CK21" s="1390"/>
      <c r="CL21" s="1390"/>
      <c r="CM21" s="1390"/>
      <c r="CN21" s="1390"/>
      <c r="CO21" s="1390"/>
      <c r="CP21" s="1390"/>
      <c r="CQ21" s="1390"/>
      <c r="CR21" s="1390"/>
      <c r="CS21" s="1390"/>
      <c r="CT21" s="1390">
        <v>490.5</v>
      </c>
      <c r="CU21" s="1390">
        <v>208</v>
      </c>
      <c r="CV21" s="1390">
        <v>490.5</v>
      </c>
      <c r="CW21" s="1390"/>
      <c r="CX21" s="1390"/>
      <c r="CY21" s="1390"/>
      <c r="CZ21" s="1390"/>
      <c r="DA21" s="1390">
        <v>817</v>
      </c>
      <c r="DB21" s="1390"/>
      <c r="DC21" s="1390"/>
      <c r="DD21" s="1390"/>
      <c r="DE21" s="1390"/>
      <c r="DF21" s="1390"/>
      <c r="DG21" s="1390"/>
      <c r="DH21" s="1390">
        <v>490.5</v>
      </c>
      <c r="DI21" s="1390">
        <v>490.5</v>
      </c>
      <c r="DJ21" s="1390"/>
      <c r="DK21" s="1390"/>
      <c r="DL21" s="1390"/>
      <c r="DM21" s="1390"/>
      <c r="DN21" s="1390"/>
      <c r="DO21" s="1390"/>
      <c r="DP21" s="1390"/>
      <c r="DQ21" s="1390"/>
      <c r="DR21" s="1390"/>
      <c r="DS21" s="1390"/>
      <c r="DT21" s="1390"/>
      <c r="DU21" s="1390"/>
      <c r="DV21" s="1390"/>
      <c r="DW21" s="1390"/>
      <c r="DX21" s="1390"/>
      <c r="DY21" s="1390"/>
      <c r="DZ21" s="1390"/>
      <c r="EA21" s="1390"/>
      <c r="EB21" s="1390"/>
      <c r="EC21" s="1390"/>
      <c r="ED21" s="1390"/>
      <c r="EE21" s="1390"/>
      <c r="EF21" s="1390"/>
      <c r="EG21" s="1390"/>
      <c r="EH21" s="1390"/>
      <c r="EI21" s="1390"/>
      <c r="EJ21" s="1390"/>
      <c r="EK21" s="1390"/>
      <c r="EL21" s="1390"/>
      <c r="EM21" s="1390"/>
      <c r="EN21" s="1390"/>
      <c r="EO21" s="1390"/>
      <c r="EP21" s="1390"/>
      <c r="EQ21" s="1390"/>
      <c r="ER21" s="1390"/>
      <c r="ES21" s="1390"/>
      <c r="ET21" s="1390"/>
      <c r="EU21" s="1390"/>
      <c r="EV21" s="1390"/>
      <c r="EW21" s="1390"/>
      <c r="EX21" s="1390"/>
      <c r="EY21" s="1390"/>
      <c r="EZ21" s="1390"/>
      <c r="FA21" s="1390"/>
      <c r="FB21" s="1390"/>
      <c r="FC21" s="1390"/>
      <c r="FD21" s="1390"/>
      <c r="FE21" s="1390"/>
      <c r="FF21" s="1390"/>
      <c r="FG21" s="1390"/>
      <c r="FH21" s="1390"/>
      <c r="FI21" s="1390"/>
      <c r="FJ21" s="1390"/>
      <c r="FK21" s="1390"/>
      <c r="FL21" s="1390"/>
      <c r="FM21" s="1390"/>
      <c r="FN21" s="1390"/>
      <c r="FO21" s="1390"/>
      <c r="FP21" s="1390"/>
      <c r="FQ21" s="1390"/>
      <c r="FR21" s="1390"/>
      <c r="FS21" s="1390"/>
      <c r="FT21" s="1390">
        <v>3065.99</v>
      </c>
      <c r="FU21" s="1390"/>
      <c r="FV21" s="1390"/>
      <c r="FW21" s="1390"/>
      <c r="FX21" s="1390"/>
      <c r="FY21" s="1390"/>
      <c r="FZ21" s="1390"/>
      <c r="GA21" s="1390"/>
      <c r="GB21" s="1390"/>
      <c r="GC21" s="1390"/>
      <c r="GD21" s="1390"/>
      <c r="GE21" s="1390"/>
      <c r="GF21" s="1390"/>
      <c r="GG21" s="1390"/>
      <c r="GH21" s="1390">
        <v>3065.99</v>
      </c>
      <c r="GI21" s="1390"/>
      <c r="GJ21" s="1404">
        <v>1004</v>
      </c>
      <c r="GK21" s="1390"/>
      <c r="GL21" s="1390"/>
      <c r="GM21" s="1390"/>
      <c r="GN21" s="1390"/>
      <c r="GO21" s="1390"/>
      <c r="GP21" s="1390"/>
      <c r="GQ21" s="1390"/>
      <c r="GR21" s="1390"/>
      <c r="GS21" s="1390"/>
      <c r="GT21" s="1390"/>
      <c r="GU21" s="1390">
        <v>3065.99</v>
      </c>
      <c r="GV21" s="1390"/>
      <c r="GW21" s="1404">
        <v>3910</v>
      </c>
      <c r="GX21" s="1390"/>
      <c r="GY21" s="1390"/>
      <c r="GZ21" s="1390"/>
      <c r="HA21" s="1390"/>
      <c r="HB21" s="1390"/>
      <c r="HC21" s="1390"/>
      <c r="HD21" s="1390"/>
      <c r="HE21" s="1390"/>
      <c r="HF21" s="1390"/>
      <c r="HG21" s="1390"/>
      <c r="HH21" s="1390"/>
      <c r="HI21" s="1390"/>
      <c r="HJ21" s="1390"/>
      <c r="HK21" s="1390"/>
      <c r="HL21" s="1390"/>
      <c r="HM21" s="1390"/>
      <c r="HN21" s="1390"/>
      <c r="HO21" s="1390"/>
      <c r="HP21" s="1390"/>
      <c r="HQ21" s="1390"/>
      <c r="HR21" s="1390"/>
      <c r="HS21" s="1390"/>
      <c r="HT21" s="1390"/>
      <c r="HU21" s="1390"/>
      <c r="HV21" s="1390"/>
      <c r="HW21" s="1390"/>
      <c r="HX21" s="1390"/>
      <c r="HY21" s="1390"/>
      <c r="HZ21" s="1390"/>
      <c r="IA21" s="1404">
        <v>353</v>
      </c>
      <c r="IB21" s="1390"/>
      <c r="IC21" s="1390"/>
      <c r="ID21" s="1390"/>
      <c r="IE21" s="1390"/>
      <c r="IF21" s="1390"/>
      <c r="IG21" s="1390"/>
      <c r="IH21" s="1390"/>
      <c r="II21" s="1390"/>
      <c r="IJ21" s="1390"/>
      <c r="IK21" s="1390"/>
      <c r="IL21" s="1390"/>
      <c r="IM21" s="1390"/>
      <c r="IN21" s="1390"/>
      <c r="IO21" s="1390"/>
      <c r="IP21" s="1390"/>
      <c r="IQ21" s="1402"/>
      <c r="IR21" s="1402"/>
      <c r="IS21" s="1390"/>
      <c r="IT21" s="1402"/>
      <c r="IU21" s="1390"/>
      <c r="IV21" s="1390"/>
      <c r="IW21" s="1390"/>
      <c r="IX21" s="1390"/>
      <c r="IY21" s="1390"/>
      <c r="IZ21" s="1390"/>
      <c r="JA21" s="1390"/>
      <c r="JB21" s="1390"/>
      <c r="JC21" s="1390"/>
      <c r="JD21" s="1390">
        <v>490.5</v>
      </c>
      <c r="JE21" s="1390"/>
      <c r="JF21" s="1390"/>
      <c r="JG21" s="1390"/>
      <c r="JH21" s="1390"/>
      <c r="JI21" s="1402"/>
      <c r="JJ21" s="1390"/>
      <c r="JK21" s="1402"/>
      <c r="JL21" s="1402"/>
      <c r="JM21" s="1402"/>
      <c r="JN21" s="1402"/>
      <c r="JO21" s="1402"/>
      <c r="JP21" s="1402"/>
      <c r="JQ21" s="1403"/>
      <c r="JR21" s="351"/>
      <c r="JS21" s="1400"/>
    </row>
    <row r="22" spans="1:279" x14ac:dyDescent="0.25">
      <c r="A22" s="1367">
        <v>3</v>
      </c>
      <c r="B22" s="1386" t="str">
        <f>IF(AOI_C_IND&gt;1,IF(HLOOKUP(AOI_C_IND-1,AOI_C_RANGE,A22)="","",HLOOKUP(AOI_C_IND-1,AOI_C_RANGE,A22)),"")</f>
        <v/>
      </c>
      <c r="C22" s="1359" t="s">
        <v>2434</v>
      </c>
      <c r="D22" s="1401" t="s">
        <v>2435</v>
      </c>
      <c r="E22" s="1390"/>
      <c r="F22" s="1390"/>
      <c r="G22" s="1390"/>
      <c r="H22" s="1390"/>
      <c r="I22" s="1390"/>
      <c r="J22" s="1381"/>
      <c r="K22" s="1381"/>
      <c r="L22" s="1381"/>
      <c r="M22" s="1381"/>
      <c r="N22" s="1381"/>
      <c r="O22" s="1381"/>
      <c r="P22" s="1381"/>
      <c r="Q22" s="1381"/>
      <c r="R22" s="1381"/>
      <c r="S22" s="1381"/>
      <c r="T22" s="1381"/>
      <c r="U22" s="1381"/>
      <c r="V22" s="1381"/>
      <c r="W22" s="1381"/>
      <c r="X22" s="1381"/>
      <c r="Y22" s="1381"/>
      <c r="Z22" s="1381"/>
      <c r="AA22" s="1381"/>
      <c r="AB22" s="1381"/>
      <c r="AC22" s="1381"/>
      <c r="AD22" s="1381"/>
      <c r="AE22" s="1381"/>
      <c r="AF22" s="1381"/>
      <c r="AG22" s="1381"/>
      <c r="AH22" s="1381"/>
      <c r="AI22" s="1381"/>
      <c r="AJ22" s="1381"/>
      <c r="AK22" s="1381"/>
      <c r="AL22" s="1381"/>
      <c r="AM22" s="1381"/>
      <c r="AN22" s="1381"/>
      <c r="AO22" s="1381"/>
      <c r="AP22" s="1381"/>
      <c r="AQ22" s="1381"/>
      <c r="AR22" s="1381"/>
      <c r="AS22" s="1381"/>
      <c r="AT22" s="1381"/>
      <c r="AU22" s="1381"/>
      <c r="AV22" s="1381"/>
      <c r="AW22" s="1381"/>
      <c r="AX22" s="1381"/>
      <c r="AY22" s="1381"/>
      <c r="AZ22" s="1381"/>
      <c r="BA22" s="1381"/>
      <c r="BB22" s="1381"/>
      <c r="BC22" s="1381"/>
      <c r="BD22" s="1381">
        <v>276</v>
      </c>
      <c r="BE22" s="1381"/>
      <c r="BF22" s="1381"/>
      <c r="BG22" s="1381"/>
      <c r="BH22" s="1381"/>
      <c r="BI22" s="1381"/>
      <c r="BJ22" s="1381"/>
      <c r="BK22" s="1381"/>
      <c r="BL22" s="1381"/>
      <c r="BM22" s="1381"/>
      <c r="BN22" s="1381"/>
      <c r="BO22" s="1381"/>
      <c r="BP22" s="1381"/>
      <c r="BQ22" s="1381"/>
      <c r="BR22" s="1381"/>
      <c r="BS22" s="1381"/>
      <c r="BT22" s="1381"/>
      <c r="BU22" s="1381"/>
      <c r="BV22" s="1381"/>
      <c r="BW22" s="1381"/>
      <c r="BX22" s="1381"/>
      <c r="BY22" s="1381"/>
      <c r="BZ22" s="1381"/>
      <c r="CA22" s="1381"/>
      <c r="CB22" s="1381"/>
      <c r="CC22" s="1381"/>
      <c r="CD22" s="1381"/>
      <c r="CE22" s="1381"/>
      <c r="CF22" s="1381"/>
      <c r="CG22" s="1381"/>
      <c r="CH22" s="1381"/>
      <c r="CI22" s="1381"/>
      <c r="CJ22" s="1381"/>
      <c r="CK22" s="1381"/>
      <c r="CL22" s="1381"/>
      <c r="CM22" s="1381"/>
      <c r="CN22" s="1381"/>
      <c r="CO22" s="1381"/>
      <c r="CP22" s="1381"/>
      <c r="CQ22" s="1381"/>
      <c r="CR22" s="1381"/>
      <c r="CS22" s="1381"/>
      <c r="CT22" s="1381"/>
      <c r="CU22" s="1381"/>
      <c r="CV22" s="1381"/>
      <c r="CW22" s="1381"/>
      <c r="CX22" s="1381"/>
      <c r="CY22" s="1381"/>
      <c r="CZ22" s="1381"/>
      <c r="DA22" s="1381">
        <v>276</v>
      </c>
      <c r="DB22" s="1381"/>
      <c r="DC22" s="1381"/>
      <c r="DD22" s="1381"/>
      <c r="DE22" s="1381"/>
      <c r="DF22" s="1381"/>
      <c r="DG22" s="1381"/>
      <c r="DH22" s="1381"/>
      <c r="DI22" s="1381"/>
      <c r="DJ22" s="1381"/>
      <c r="DK22" s="1381"/>
      <c r="DL22" s="1381"/>
      <c r="DM22" s="1381"/>
      <c r="DN22" s="1381"/>
      <c r="DO22" s="1381"/>
      <c r="DP22" s="1381"/>
      <c r="DQ22" s="1381"/>
      <c r="DR22" s="1381"/>
      <c r="DS22" s="1381"/>
      <c r="DT22" s="1381"/>
      <c r="DU22" s="1381"/>
      <c r="DV22" s="1381"/>
      <c r="DW22" s="1381"/>
      <c r="DX22" s="1381"/>
      <c r="DY22" s="1381">
        <v>118</v>
      </c>
      <c r="DZ22" s="1381"/>
      <c r="EA22" s="1381"/>
      <c r="EB22" s="1381"/>
      <c r="EC22" s="1381"/>
      <c r="ED22" s="1381"/>
      <c r="EE22" s="1381"/>
      <c r="EF22" s="1381"/>
      <c r="EG22" s="1381"/>
      <c r="EH22" s="1381"/>
      <c r="EI22" s="1381"/>
      <c r="EJ22" s="1381"/>
      <c r="EK22" s="1381"/>
      <c r="EL22" s="1381"/>
      <c r="EM22" s="1381"/>
      <c r="EN22" s="1381"/>
      <c r="EO22" s="1381"/>
      <c r="EP22" s="1381"/>
      <c r="EQ22" s="1381"/>
      <c r="ER22" s="1381"/>
      <c r="ES22" s="1381"/>
      <c r="ET22" s="1381"/>
      <c r="EU22" s="1381"/>
      <c r="EV22" s="1381"/>
      <c r="EW22" s="1381"/>
      <c r="EX22" s="1381"/>
      <c r="EY22" s="1381"/>
      <c r="EZ22" s="1381"/>
      <c r="FA22" s="1381"/>
      <c r="FB22" s="1381"/>
      <c r="FC22" s="1381"/>
      <c r="FD22" s="1381"/>
      <c r="FE22" s="1381"/>
      <c r="FF22" s="1381"/>
      <c r="FG22" s="1381"/>
      <c r="FH22" s="1381"/>
      <c r="FI22" s="1381"/>
      <c r="FJ22" s="1381"/>
      <c r="FK22" s="1381"/>
      <c r="FL22" s="1381"/>
      <c r="FM22" s="1381"/>
      <c r="FN22" s="1381"/>
      <c r="FO22" s="1381"/>
      <c r="FP22" s="1381"/>
      <c r="FQ22" s="1381"/>
      <c r="FR22" s="1381"/>
      <c r="FS22" s="1381"/>
      <c r="FT22" s="1381"/>
      <c r="FU22" s="1381">
        <v>11977</v>
      </c>
      <c r="FV22" s="1381"/>
      <c r="FW22" s="1381"/>
      <c r="FX22" s="1381"/>
      <c r="FY22" s="1381"/>
      <c r="FZ22" s="1381"/>
      <c r="GA22" s="1381"/>
      <c r="GB22" s="1381"/>
      <c r="GC22" s="1381"/>
      <c r="GD22" s="1381"/>
      <c r="GE22" s="1381"/>
      <c r="GF22" s="1381"/>
      <c r="GG22" s="1381"/>
      <c r="GH22" s="1381"/>
      <c r="GI22" s="1381"/>
      <c r="GJ22" s="1382">
        <v>193</v>
      </c>
      <c r="GK22" s="1381"/>
      <c r="GL22" s="1381"/>
      <c r="GM22" s="1381"/>
      <c r="GN22" s="1381"/>
      <c r="GO22" s="1381"/>
      <c r="GP22" s="1381"/>
      <c r="GQ22" s="1381"/>
      <c r="GR22" s="1381"/>
      <c r="GS22" s="1381"/>
      <c r="GT22" s="1381"/>
      <c r="GU22" s="1381"/>
      <c r="GV22" s="1381"/>
      <c r="GW22" s="1381"/>
      <c r="GX22" s="1381"/>
      <c r="GY22" s="1381"/>
      <c r="GZ22" s="1381"/>
      <c r="HA22" s="1381"/>
      <c r="HB22" s="1381"/>
      <c r="HC22" s="1381"/>
      <c r="HD22" s="1381"/>
      <c r="HE22" s="1381"/>
      <c r="HF22" s="1381"/>
      <c r="HG22" s="1381"/>
      <c r="HH22" s="1381"/>
      <c r="HI22" s="1381"/>
      <c r="HJ22" s="1381"/>
      <c r="HK22" s="1381"/>
      <c r="HL22" s="1381"/>
      <c r="HM22" s="1381"/>
      <c r="HN22" s="1381"/>
      <c r="HO22" s="1381"/>
      <c r="HP22" s="1381"/>
      <c r="HQ22" s="1381"/>
      <c r="HR22" s="1381"/>
      <c r="HS22" s="1381"/>
      <c r="HT22" s="1381"/>
      <c r="HU22" s="1381"/>
      <c r="HV22" s="1381"/>
      <c r="HW22" s="1381"/>
      <c r="HX22" s="1381"/>
      <c r="HY22" s="1381"/>
      <c r="HZ22" s="1381"/>
      <c r="IA22" s="1381"/>
      <c r="IB22" s="1381"/>
      <c r="IC22" s="1381"/>
      <c r="ID22" s="1381"/>
      <c r="IE22" s="1381"/>
      <c r="IF22" s="1381"/>
      <c r="IG22" s="1381"/>
      <c r="IH22" s="1381"/>
      <c r="II22" s="1381"/>
      <c r="IJ22" s="1381"/>
      <c r="IK22" s="1381"/>
      <c r="IL22" s="1381"/>
      <c r="IM22" s="1381"/>
      <c r="IN22" s="1381"/>
      <c r="IO22" s="1381"/>
      <c r="IP22" s="1381"/>
      <c r="IQ22" s="1414"/>
      <c r="IR22" s="1414"/>
      <c r="IS22" s="1381"/>
      <c r="IT22" s="1414">
        <v>131003</v>
      </c>
      <c r="IU22" s="1381"/>
      <c r="IV22" s="1381"/>
      <c r="IW22" s="1381"/>
      <c r="IX22" s="1381"/>
      <c r="IY22" s="1381"/>
      <c r="IZ22" s="1381"/>
      <c r="JA22" s="1381"/>
      <c r="JB22" s="1381"/>
      <c r="JC22" s="1381"/>
      <c r="JD22" s="1381"/>
      <c r="JE22" s="1381"/>
      <c r="JF22" s="1381"/>
      <c r="JG22" s="1381"/>
      <c r="JH22" s="1381"/>
      <c r="JI22" s="1414"/>
      <c r="JJ22" s="1381"/>
      <c r="JK22" s="1414"/>
      <c r="JL22" s="1414"/>
      <c r="JM22" s="1414"/>
      <c r="JN22" s="1414"/>
      <c r="JO22" s="1414"/>
      <c r="JP22" s="1414"/>
      <c r="JQ22" s="1415"/>
      <c r="JR22" s="351"/>
      <c r="JS22" s="1400"/>
    </row>
    <row r="23" spans="1:279" x14ac:dyDescent="0.25">
      <c r="A23" s="1367">
        <v>4</v>
      </c>
      <c r="B23" s="1386" t="str">
        <f>IF(AOI_C_IND&gt;1,IF(HLOOKUP(AOI_C_IND-1,AOI_C_RANGE,A23)="","",HLOOKUP(AOI_C_IND-1,AOI_C_RANGE,A23)),"")</f>
        <v/>
      </c>
      <c r="C23" s="1359" t="s">
        <v>2436</v>
      </c>
      <c r="D23" s="1401" t="s">
        <v>2437</v>
      </c>
      <c r="E23" s="1390"/>
      <c r="F23" s="1390"/>
      <c r="G23" s="1390"/>
      <c r="H23" s="1390"/>
      <c r="I23" s="1390"/>
      <c r="J23" s="1381"/>
      <c r="K23" s="1381"/>
      <c r="L23" s="1381"/>
      <c r="M23" s="1381"/>
      <c r="N23" s="1381"/>
      <c r="O23" s="1381"/>
      <c r="P23" s="1381"/>
      <c r="Q23" s="1381"/>
      <c r="R23" s="1381"/>
      <c r="S23" s="1381"/>
      <c r="T23" s="1381"/>
      <c r="U23" s="1381"/>
      <c r="V23" s="1381"/>
      <c r="W23" s="1381"/>
      <c r="X23" s="1381"/>
      <c r="Y23" s="1381"/>
      <c r="Z23" s="1381"/>
      <c r="AA23" s="1381"/>
      <c r="AB23" s="1381"/>
      <c r="AC23" s="1381"/>
      <c r="AD23" s="1381"/>
      <c r="AE23" s="1381"/>
      <c r="AF23" s="1381"/>
      <c r="AG23" s="1381"/>
      <c r="AH23" s="1381"/>
      <c r="AI23" s="1381"/>
      <c r="AJ23" s="1381"/>
      <c r="AK23" s="1381"/>
      <c r="AL23" s="1381"/>
      <c r="AM23" s="1381"/>
      <c r="AN23" s="1381"/>
      <c r="AO23" s="1381"/>
      <c r="AP23" s="1381"/>
      <c r="AQ23" s="1381"/>
      <c r="AR23" s="1381"/>
      <c r="AS23" s="1381"/>
      <c r="AT23" s="1381"/>
      <c r="AU23" s="1381"/>
      <c r="AV23" s="1381"/>
      <c r="AW23" s="1381"/>
      <c r="AX23" s="1381"/>
      <c r="AY23" s="1381"/>
      <c r="AZ23" s="1381"/>
      <c r="BA23" s="1381"/>
      <c r="BB23" s="1381"/>
      <c r="BC23" s="1381"/>
      <c r="BD23" s="1381"/>
      <c r="BE23" s="1381"/>
      <c r="BF23" s="1381"/>
      <c r="BG23" s="1381"/>
      <c r="BH23" s="1381"/>
      <c r="BI23" s="1381"/>
      <c r="BJ23" s="1381"/>
      <c r="BK23" s="1381"/>
      <c r="BL23" s="1381"/>
      <c r="BM23" s="1381"/>
      <c r="BN23" s="1381"/>
      <c r="BO23" s="1381"/>
      <c r="BP23" s="1381"/>
      <c r="BQ23" s="1381"/>
      <c r="BR23" s="1381"/>
      <c r="BS23" s="1381"/>
      <c r="BT23" s="1381"/>
      <c r="BU23" s="1381"/>
      <c r="BV23" s="1381"/>
      <c r="BW23" s="1381"/>
      <c r="BX23" s="1381"/>
      <c r="BY23" s="1381"/>
      <c r="BZ23" s="1381"/>
      <c r="CA23" s="1381"/>
      <c r="CB23" s="1381"/>
      <c r="CC23" s="1381"/>
      <c r="CD23" s="1381"/>
      <c r="CE23" s="1381"/>
      <c r="CF23" s="1381"/>
      <c r="CG23" s="1381"/>
      <c r="CH23" s="1381"/>
      <c r="CI23" s="1381"/>
      <c r="CJ23" s="1381"/>
      <c r="CK23" s="1381"/>
      <c r="CL23" s="1381"/>
      <c r="CM23" s="1381"/>
      <c r="CN23" s="1381"/>
      <c r="CO23" s="1381"/>
      <c r="CP23" s="1381"/>
      <c r="CQ23" s="1381"/>
      <c r="CR23" s="1381"/>
      <c r="CS23" s="1381"/>
      <c r="CT23" s="1381"/>
      <c r="CU23" s="1381"/>
      <c r="CV23" s="1381"/>
      <c r="CW23" s="1381"/>
      <c r="CX23" s="1381"/>
      <c r="CY23" s="1381"/>
      <c r="CZ23" s="1381"/>
      <c r="DA23" s="1381"/>
      <c r="DB23" s="1381"/>
      <c r="DC23" s="1381"/>
      <c r="DD23" s="1381"/>
      <c r="DE23" s="1381"/>
      <c r="DF23" s="1381"/>
      <c r="DG23" s="1381"/>
      <c r="DH23" s="1381"/>
      <c r="DI23" s="1381"/>
      <c r="DJ23" s="1381"/>
      <c r="DK23" s="1381"/>
      <c r="DL23" s="1381"/>
      <c r="DM23" s="1381"/>
      <c r="DN23" s="1381"/>
      <c r="DO23" s="1381"/>
      <c r="DP23" s="1381"/>
      <c r="DQ23" s="1381"/>
      <c r="DR23" s="1381"/>
      <c r="DS23" s="1381"/>
      <c r="DT23" s="1381"/>
      <c r="DU23" s="1381"/>
      <c r="DV23" s="1381"/>
      <c r="DW23" s="1381"/>
      <c r="DX23" s="1381"/>
      <c r="DY23" s="1381"/>
      <c r="DZ23" s="1381"/>
      <c r="EA23" s="1381"/>
      <c r="EB23" s="1381"/>
      <c r="EC23" s="1381"/>
      <c r="ED23" s="1381"/>
      <c r="EE23" s="1381"/>
      <c r="EF23" s="1381"/>
      <c r="EG23" s="1381"/>
      <c r="EH23" s="1381"/>
      <c r="EI23" s="1381"/>
      <c r="EJ23" s="1381"/>
      <c r="EK23" s="1381"/>
      <c r="EL23" s="1381"/>
      <c r="EM23" s="1381"/>
      <c r="EN23" s="1381"/>
      <c r="EO23" s="1381"/>
      <c r="EP23" s="1381"/>
      <c r="EQ23" s="1381"/>
      <c r="ER23" s="1381"/>
      <c r="ES23" s="1381"/>
      <c r="ET23" s="1381"/>
      <c r="EU23" s="1381"/>
      <c r="EV23" s="1381"/>
      <c r="EW23" s="1381"/>
      <c r="EX23" s="1381"/>
      <c r="EY23" s="1381"/>
      <c r="EZ23" s="1381"/>
      <c r="FA23" s="1381"/>
      <c r="FB23" s="1381"/>
      <c r="FC23" s="1381"/>
      <c r="FD23" s="1381"/>
      <c r="FE23" s="1381"/>
      <c r="FF23" s="1381"/>
      <c r="FG23" s="1381"/>
      <c r="FH23" s="1381"/>
      <c r="FI23" s="1381"/>
      <c r="FJ23" s="1381"/>
      <c r="FK23" s="1381"/>
      <c r="FL23" s="1381"/>
      <c r="FM23" s="1381"/>
      <c r="FN23" s="1381"/>
      <c r="FO23" s="1381"/>
      <c r="FP23" s="1381"/>
      <c r="FQ23" s="1381"/>
      <c r="FR23" s="1381"/>
      <c r="FS23" s="1381"/>
      <c r="FT23" s="1381"/>
      <c r="FU23" s="1381">
        <v>2739</v>
      </c>
      <c r="FV23" s="1381"/>
      <c r="FW23" s="1381"/>
      <c r="FX23" s="1381"/>
      <c r="FY23" s="1381"/>
      <c r="FZ23" s="1381"/>
      <c r="GA23" s="1381"/>
      <c r="GB23" s="1381"/>
      <c r="GC23" s="1381"/>
      <c r="GD23" s="1381"/>
      <c r="GE23" s="1381"/>
      <c r="GF23" s="1381"/>
      <c r="GG23" s="1381"/>
      <c r="GH23" s="1381"/>
      <c r="GI23" s="1381"/>
      <c r="GJ23" s="1381"/>
      <c r="GK23" s="1381"/>
      <c r="GL23" s="1381"/>
      <c r="GM23" s="1381"/>
      <c r="GN23" s="1381"/>
      <c r="GO23" s="1381"/>
      <c r="GP23" s="1381"/>
      <c r="GQ23" s="1381"/>
      <c r="GR23" s="1381"/>
      <c r="GS23" s="1381"/>
      <c r="GT23" s="1381"/>
      <c r="GU23" s="1381"/>
      <c r="GV23" s="1381"/>
      <c r="GW23" s="1381"/>
      <c r="GX23" s="1381"/>
      <c r="GY23" s="1381"/>
      <c r="GZ23" s="1381"/>
      <c r="HA23" s="1381"/>
      <c r="HB23" s="1381"/>
      <c r="HC23" s="1381"/>
      <c r="HD23" s="1381"/>
      <c r="HE23" s="1381"/>
      <c r="HF23" s="1381"/>
      <c r="HG23" s="1381"/>
      <c r="HH23" s="1381"/>
      <c r="HI23" s="1381"/>
      <c r="HJ23" s="1381"/>
      <c r="HK23" s="1381"/>
      <c r="HL23" s="1381"/>
      <c r="HM23" s="1381"/>
      <c r="HN23" s="1381"/>
      <c r="HO23" s="1381"/>
      <c r="HP23" s="1381"/>
      <c r="HQ23" s="1381"/>
      <c r="HR23" s="1381"/>
      <c r="HS23" s="1381"/>
      <c r="HT23" s="1381"/>
      <c r="HU23" s="1381"/>
      <c r="HV23" s="1381"/>
      <c r="HW23" s="1381"/>
      <c r="HX23" s="1381"/>
      <c r="HY23" s="1381"/>
      <c r="HZ23" s="1381"/>
      <c r="IA23" s="1381"/>
      <c r="IB23" s="1381"/>
      <c r="IC23" s="1381"/>
      <c r="ID23" s="1381"/>
      <c r="IE23" s="1381"/>
      <c r="IF23" s="1381"/>
      <c r="IG23" s="1381"/>
      <c r="IH23" s="1381"/>
      <c r="II23" s="1381"/>
      <c r="IJ23" s="1381"/>
      <c r="IK23" s="1381"/>
      <c r="IL23" s="1381"/>
      <c r="IM23" s="1381"/>
      <c r="IN23" s="1381"/>
      <c r="IO23" s="1381"/>
      <c r="IP23" s="1381"/>
      <c r="IQ23" s="1414"/>
      <c r="IR23" s="1414"/>
      <c r="IS23" s="1381"/>
      <c r="IT23" s="1414">
        <v>39700</v>
      </c>
      <c r="IU23" s="1381"/>
      <c r="IV23" s="1381"/>
      <c r="IW23" s="1381"/>
      <c r="IX23" s="1381"/>
      <c r="IY23" s="1381"/>
      <c r="IZ23" s="1381"/>
      <c r="JA23" s="1381"/>
      <c r="JB23" s="1381"/>
      <c r="JC23" s="1381"/>
      <c r="JD23" s="1381"/>
      <c r="JE23" s="1381"/>
      <c r="JF23" s="1381"/>
      <c r="JG23" s="1381"/>
      <c r="JH23" s="1381"/>
      <c r="JI23" s="1414"/>
      <c r="JJ23" s="1381"/>
      <c r="JK23" s="1414"/>
      <c r="JL23" s="1414"/>
      <c r="JM23" s="1414"/>
      <c r="JN23" s="1414"/>
      <c r="JO23" s="1414"/>
      <c r="JP23" s="1414"/>
      <c r="JQ23" s="1415"/>
      <c r="JR23" s="351"/>
      <c r="JS23" s="1400"/>
    </row>
    <row r="24" spans="1:279" x14ac:dyDescent="0.25">
      <c r="A24" s="1367">
        <v>5</v>
      </c>
      <c r="B24" s="1386" t="str">
        <f>IF(AOI_C_IND&gt;1,IF(HLOOKUP(AOI_C_IND-1,AOI_C_RANGE,A24)="","",HLOOKUP(AOI_C_IND-1,AOI_C_RANGE,A24)),"")</f>
        <v/>
      </c>
      <c r="C24" s="1359" t="s">
        <v>2438</v>
      </c>
      <c r="D24" s="1360" t="s">
        <v>2439</v>
      </c>
      <c r="E24" s="1390"/>
      <c r="F24" s="1390"/>
      <c r="G24" s="1390"/>
      <c r="H24" s="1390"/>
      <c r="I24" s="1390"/>
      <c r="J24" s="1390"/>
      <c r="K24" s="1390"/>
      <c r="L24" s="1390"/>
      <c r="M24" s="1390"/>
      <c r="N24" s="1390"/>
      <c r="O24" s="1390"/>
      <c r="P24" s="1390"/>
      <c r="Q24" s="1390"/>
      <c r="R24" s="1390"/>
      <c r="S24" s="1390"/>
      <c r="T24" s="1390"/>
      <c r="U24" s="1390"/>
      <c r="V24" s="1390"/>
      <c r="W24" s="1390"/>
      <c r="X24" s="1390"/>
      <c r="Y24" s="1390"/>
      <c r="Z24" s="1390"/>
      <c r="AA24" s="1390"/>
      <c r="AB24" s="1390"/>
      <c r="AC24" s="1390"/>
      <c r="AD24" s="1390"/>
      <c r="AE24" s="1390"/>
      <c r="AF24" s="1390"/>
      <c r="AG24" s="1390"/>
      <c r="AH24" s="1390"/>
      <c r="AI24" s="1390"/>
      <c r="AJ24" s="1390"/>
      <c r="AK24" s="1390"/>
      <c r="AL24" s="1390"/>
      <c r="AM24" s="1390"/>
      <c r="AN24" s="1390"/>
      <c r="AO24" s="1390"/>
      <c r="AP24" s="1390"/>
      <c r="AQ24" s="1390"/>
      <c r="AR24" s="1390"/>
      <c r="AS24" s="1390"/>
      <c r="AT24" s="1390"/>
      <c r="AU24" s="1390"/>
      <c r="AV24" s="1390"/>
      <c r="AW24" s="1390"/>
      <c r="AX24" s="1390"/>
      <c r="AY24" s="1390"/>
      <c r="AZ24" s="1390"/>
      <c r="BA24" s="1390"/>
      <c r="BB24" s="1390"/>
      <c r="BC24" s="1390"/>
      <c r="BD24" s="1390"/>
      <c r="BE24" s="1390"/>
      <c r="BF24" s="1390"/>
      <c r="BG24" s="1390"/>
      <c r="BH24" s="1390"/>
      <c r="BI24" s="1390"/>
      <c r="BJ24" s="1390"/>
      <c r="BK24" s="1390"/>
      <c r="BL24" s="1390"/>
      <c r="BM24" s="1390"/>
      <c r="BN24" s="1390"/>
      <c r="BO24" s="1390"/>
      <c r="BP24" s="1390"/>
      <c r="BQ24" s="1390"/>
      <c r="BR24" s="1390"/>
      <c r="BS24" s="1390"/>
      <c r="BT24" s="1390"/>
      <c r="BU24" s="1390"/>
      <c r="BV24" s="1390"/>
      <c r="BW24" s="1390"/>
      <c r="BX24" s="1390"/>
      <c r="BY24" s="1390"/>
      <c r="BZ24" s="1390"/>
      <c r="CA24" s="1390"/>
      <c r="CB24" s="1390"/>
      <c r="CC24" s="1390"/>
      <c r="CD24" s="1390"/>
      <c r="CE24" s="1390"/>
      <c r="CF24" s="1390"/>
      <c r="CG24" s="1390"/>
      <c r="CH24" s="1390"/>
      <c r="CI24" s="1390"/>
      <c r="CJ24" s="1390"/>
      <c r="CK24" s="1390"/>
      <c r="CL24" s="1390"/>
      <c r="CM24" s="1390"/>
      <c r="CN24" s="1390"/>
      <c r="CO24" s="1390"/>
      <c r="CP24" s="1390"/>
      <c r="CQ24" s="1390"/>
      <c r="CR24" s="1390"/>
      <c r="CS24" s="1390"/>
      <c r="CT24" s="1390"/>
      <c r="CU24" s="1390"/>
      <c r="CV24" s="1390"/>
      <c r="CW24" s="1390"/>
      <c r="CX24" s="1390"/>
      <c r="CY24" s="1390"/>
      <c r="CZ24" s="1390"/>
      <c r="DA24" s="1390"/>
      <c r="DB24" s="1390"/>
      <c r="DC24" s="1390"/>
      <c r="DD24" s="1390"/>
      <c r="DE24" s="1390"/>
      <c r="DF24" s="1390"/>
      <c r="DG24" s="1390"/>
      <c r="DH24" s="1390"/>
      <c r="DI24" s="1390"/>
      <c r="DJ24" s="1390"/>
      <c r="DK24" s="1390"/>
      <c r="DL24" s="1390"/>
      <c r="DM24" s="1390"/>
      <c r="DN24" s="1390"/>
      <c r="DO24" s="1390"/>
      <c r="DP24" s="1390"/>
      <c r="DQ24" s="1390"/>
      <c r="DR24" s="1390"/>
      <c r="DS24" s="1390"/>
      <c r="DT24" s="1390"/>
      <c r="DU24" s="1390"/>
      <c r="DV24" s="1390"/>
      <c r="DW24" s="1390"/>
      <c r="DX24" s="1390"/>
      <c r="DY24" s="1390"/>
      <c r="DZ24" s="1390"/>
      <c r="EA24" s="1390"/>
      <c r="EB24" s="1390"/>
      <c r="EC24" s="1390"/>
      <c r="ED24" s="1390"/>
      <c r="EE24" s="1390"/>
      <c r="EF24" s="1390"/>
      <c r="EG24" s="1390"/>
      <c r="EH24" s="1390"/>
      <c r="EI24" s="1390"/>
      <c r="EJ24" s="1390"/>
      <c r="EK24" s="1390"/>
      <c r="EL24" s="1390"/>
      <c r="EM24" s="1390"/>
      <c r="EN24" s="1390"/>
      <c r="EO24" s="1390"/>
      <c r="EP24" s="1390"/>
      <c r="EQ24" s="1390"/>
      <c r="ER24" s="1390"/>
      <c r="ES24" s="1390"/>
      <c r="ET24" s="1390"/>
      <c r="EU24" s="1390"/>
      <c r="EV24" s="1390"/>
      <c r="EW24" s="1390"/>
      <c r="EX24" s="1390"/>
      <c r="EY24" s="1390"/>
      <c r="EZ24" s="1390"/>
      <c r="FA24" s="1390"/>
      <c r="FB24" s="1390"/>
      <c r="FC24" s="1390"/>
      <c r="FD24" s="1390"/>
      <c r="FE24" s="1390"/>
      <c r="FF24" s="1390"/>
      <c r="FG24" s="1390"/>
      <c r="FH24" s="1390"/>
      <c r="FI24" s="1390"/>
      <c r="FJ24" s="1390"/>
      <c r="FK24" s="1390"/>
      <c r="FL24" s="1390"/>
      <c r="FM24" s="1390"/>
      <c r="FN24" s="1390"/>
      <c r="FO24" s="1390"/>
      <c r="FP24" s="1390"/>
      <c r="FQ24" s="1390"/>
      <c r="FR24" s="1390"/>
      <c r="FS24" s="1390"/>
      <c r="FT24" s="1390"/>
      <c r="FU24" s="1390"/>
      <c r="FV24" s="1390"/>
      <c r="FW24" s="1390"/>
      <c r="FX24" s="1390"/>
      <c r="FY24" s="2507">
        <v>500</v>
      </c>
      <c r="FZ24" s="1390"/>
      <c r="GA24" s="1390"/>
      <c r="GB24" s="1390"/>
      <c r="GC24" s="1390"/>
      <c r="GD24" s="1390"/>
      <c r="GE24" s="1390"/>
      <c r="GF24" s="1390"/>
      <c r="GG24" s="1390"/>
      <c r="GH24" s="1390"/>
      <c r="GI24" s="1390"/>
      <c r="GJ24" s="1390"/>
      <c r="GK24" s="1390"/>
      <c r="GL24" s="1390"/>
      <c r="GM24" s="1390"/>
      <c r="GN24" s="1390"/>
      <c r="GO24" s="1390"/>
      <c r="GP24" s="1390"/>
      <c r="GQ24" s="1390"/>
      <c r="GR24" s="1390">
        <v>750</v>
      </c>
      <c r="GS24" s="1390"/>
      <c r="GT24" s="1390"/>
      <c r="GU24" s="1390"/>
      <c r="GV24" s="1390"/>
      <c r="GW24" s="1390"/>
      <c r="GX24" s="1390"/>
      <c r="GY24" s="1390"/>
      <c r="GZ24" s="1390"/>
      <c r="HA24" s="1390"/>
      <c r="HB24" s="1390"/>
      <c r="HC24" s="1390"/>
      <c r="HD24" s="1390"/>
      <c r="HE24" s="1390"/>
      <c r="HF24" s="1390"/>
      <c r="HG24" s="1390"/>
      <c r="HH24" s="1390"/>
      <c r="HI24" s="1390"/>
      <c r="HJ24" s="1390"/>
      <c r="HK24" s="1390"/>
      <c r="HL24" s="1390"/>
      <c r="HM24" s="1390"/>
      <c r="HN24" s="1390"/>
      <c r="HO24" s="1390"/>
      <c r="HP24" s="1390"/>
      <c r="HQ24" s="1390"/>
      <c r="HR24" s="1390"/>
      <c r="HS24" s="1390"/>
      <c r="HT24" s="1390"/>
      <c r="HU24" s="1390"/>
      <c r="HV24" s="1390"/>
      <c r="HW24" s="1390"/>
      <c r="HX24" s="1390"/>
      <c r="HY24" s="1390"/>
      <c r="HZ24" s="1390"/>
      <c r="IA24" s="1390"/>
      <c r="IB24" s="1390"/>
      <c r="IC24" s="1390"/>
      <c r="ID24" s="1390"/>
      <c r="IE24" s="1390"/>
      <c r="IF24" s="1390"/>
      <c r="IG24" s="1390"/>
      <c r="IH24" s="1390"/>
      <c r="II24" s="1390"/>
      <c r="IJ24" s="1390"/>
      <c r="IK24" s="1390"/>
      <c r="IL24" s="1390"/>
      <c r="IM24" s="1390"/>
      <c r="IN24" s="1390"/>
      <c r="IO24" s="1390"/>
      <c r="IP24" s="1390"/>
      <c r="IQ24" s="1402"/>
      <c r="IR24" s="1402"/>
      <c r="IS24" s="1390"/>
      <c r="IT24" s="1402"/>
      <c r="IU24" s="1390"/>
      <c r="IV24" s="1390"/>
      <c r="IW24" s="1390"/>
      <c r="IX24" s="1390"/>
      <c r="IY24" s="1390"/>
      <c r="IZ24" s="1390"/>
      <c r="JA24" s="1390"/>
      <c r="JB24" s="1390"/>
      <c r="JC24" s="1390"/>
      <c r="JD24" s="1390"/>
      <c r="JE24" s="1390"/>
      <c r="JF24" s="1390"/>
      <c r="JG24" s="1390"/>
      <c r="JH24" s="1390"/>
      <c r="JI24" s="1402"/>
      <c r="JJ24" s="1390"/>
      <c r="JK24" s="1402"/>
      <c r="JL24" s="1402"/>
      <c r="JM24" s="1402"/>
      <c r="JN24" s="1402"/>
      <c r="JO24" s="1402"/>
      <c r="JP24" s="1402"/>
      <c r="JQ24" s="1403"/>
      <c r="JR24" s="351"/>
      <c r="JS24" s="1400"/>
    </row>
    <row r="25" spans="1:279" ht="20.5" thickBot="1" x14ac:dyDescent="0.3">
      <c r="A25" s="1367">
        <v>6</v>
      </c>
      <c r="B25" s="1386" t="str">
        <f>IF(AOI_C_IND&gt;1,IF(HLOOKUP(AOI_C_IND-1,AOI_C_RANGE,A25)="","",HLOOKUP(AOI_C_IND-1,AOI_C_RANGE,A25)),"")</f>
        <v/>
      </c>
      <c r="C25" s="705" t="s">
        <v>2440</v>
      </c>
      <c r="D25" s="698" t="s">
        <v>2441</v>
      </c>
      <c r="E25" s="714"/>
      <c r="F25" s="714"/>
      <c r="G25" s="714"/>
      <c r="H25" s="714"/>
      <c r="I25" s="714"/>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2"/>
      <c r="AN25" s="712"/>
      <c r="AO25" s="712"/>
      <c r="AP25" s="712"/>
      <c r="AQ25" s="712"/>
      <c r="AR25" s="712"/>
      <c r="AS25" s="712"/>
      <c r="AT25" s="712"/>
      <c r="AU25" s="712"/>
      <c r="AV25" s="712"/>
      <c r="AW25" s="712"/>
      <c r="AX25" s="712"/>
      <c r="AY25" s="712"/>
      <c r="AZ25" s="712"/>
      <c r="BA25" s="712"/>
      <c r="BB25" s="712"/>
      <c r="BC25" s="712"/>
      <c r="BD25" s="712"/>
      <c r="BE25" s="712"/>
      <c r="BF25" s="712"/>
      <c r="BG25" s="712"/>
      <c r="BH25" s="712"/>
      <c r="BI25" s="712"/>
      <c r="BJ25" s="712"/>
      <c r="BK25" s="712"/>
      <c r="BL25" s="712"/>
      <c r="BM25" s="712"/>
      <c r="BN25" s="712"/>
      <c r="BO25" s="712"/>
      <c r="BP25" s="712"/>
      <c r="BQ25" s="712"/>
      <c r="BR25" s="712"/>
      <c r="BS25" s="712"/>
      <c r="BT25" s="712"/>
      <c r="BU25" s="712"/>
      <c r="BV25" s="712"/>
      <c r="BW25" s="712"/>
      <c r="BX25" s="712"/>
      <c r="BY25" s="712"/>
      <c r="BZ25" s="712"/>
      <c r="CA25" s="712"/>
      <c r="CB25" s="712"/>
      <c r="CC25" s="712"/>
      <c r="CD25" s="712"/>
      <c r="CE25" s="712"/>
      <c r="CF25" s="712"/>
      <c r="CG25" s="712"/>
      <c r="CH25" s="712"/>
      <c r="CI25" s="712"/>
      <c r="CJ25" s="712"/>
      <c r="CK25" s="712"/>
      <c r="CL25" s="712"/>
      <c r="CM25" s="712"/>
      <c r="CN25" s="712"/>
      <c r="CO25" s="712"/>
      <c r="CP25" s="712"/>
      <c r="CQ25" s="712"/>
      <c r="CR25" s="712"/>
      <c r="CS25" s="712"/>
      <c r="CT25" s="712"/>
      <c r="CU25" s="712"/>
      <c r="CV25" s="712"/>
      <c r="CW25" s="712"/>
      <c r="CX25" s="712"/>
      <c r="CY25" s="712"/>
      <c r="CZ25" s="712"/>
      <c r="DA25" s="712"/>
      <c r="DB25" s="712"/>
      <c r="DC25" s="712"/>
      <c r="DD25" s="712"/>
      <c r="DE25" s="712"/>
      <c r="DF25" s="712"/>
      <c r="DG25" s="712"/>
      <c r="DH25" s="712"/>
      <c r="DI25" s="712"/>
      <c r="DJ25" s="712"/>
      <c r="DK25" s="712"/>
      <c r="DL25" s="712"/>
      <c r="DM25" s="712"/>
      <c r="DN25" s="712"/>
      <c r="DO25" s="712"/>
      <c r="DP25" s="712"/>
      <c r="DQ25" s="712"/>
      <c r="DR25" s="712"/>
      <c r="DS25" s="712"/>
      <c r="DT25" s="712"/>
      <c r="DU25" s="712"/>
      <c r="DV25" s="712"/>
      <c r="DW25" s="712"/>
      <c r="DX25" s="712"/>
      <c r="DY25" s="712"/>
      <c r="DZ25" s="712"/>
      <c r="EA25" s="712"/>
      <c r="EB25" s="712"/>
      <c r="EC25" s="712"/>
      <c r="ED25" s="712"/>
      <c r="EE25" s="712"/>
      <c r="EF25" s="712"/>
      <c r="EG25" s="712"/>
      <c r="EH25" s="712"/>
      <c r="EI25" s="712"/>
      <c r="EJ25" s="712"/>
      <c r="EK25" s="712"/>
      <c r="EL25" s="712"/>
      <c r="EM25" s="712"/>
      <c r="EN25" s="712"/>
      <c r="EO25" s="712"/>
      <c r="EP25" s="712"/>
      <c r="EQ25" s="712"/>
      <c r="ER25" s="712"/>
      <c r="ES25" s="712"/>
      <c r="ET25" s="712"/>
      <c r="EU25" s="712"/>
      <c r="EV25" s="712"/>
      <c r="EW25" s="712"/>
      <c r="EX25" s="712"/>
      <c r="EY25" s="712"/>
      <c r="EZ25" s="712"/>
      <c r="FA25" s="712"/>
      <c r="FB25" s="712"/>
      <c r="FC25" s="712"/>
      <c r="FD25" s="712"/>
      <c r="FE25" s="712"/>
      <c r="FF25" s="712"/>
      <c r="FG25" s="712"/>
      <c r="FH25" s="712"/>
      <c r="FI25" s="712"/>
      <c r="FJ25" s="712"/>
      <c r="FK25" s="712"/>
      <c r="FL25" s="712"/>
      <c r="FM25" s="712"/>
      <c r="FN25" s="712"/>
      <c r="FO25" s="712"/>
      <c r="FP25" s="712"/>
      <c r="FQ25" s="712"/>
      <c r="FR25" s="712"/>
      <c r="FS25" s="712"/>
      <c r="FT25" s="712"/>
      <c r="FU25" s="712"/>
      <c r="FV25" s="712"/>
      <c r="FW25" s="712"/>
      <c r="FX25" s="712"/>
      <c r="FY25" s="712" t="s">
        <v>2442</v>
      </c>
      <c r="FZ25" s="712"/>
      <c r="GA25" s="712"/>
      <c r="GB25" s="712"/>
      <c r="GC25" s="712"/>
      <c r="GD25" s="712"/>
      <c r="GE25" s="712"/>
      <c r="GF25" s="712"/>
      <c r="GG25" s="712"/>
      <c r="GH25" s="712"/>
      <c r="GI25" s="712"/>
      <c r="GJ25" s="712"/>
      <c r="GK25" s="712"/>
      <c r="GL25" s="712"/>
      <c r="GM25" s="712"/>
      <c r="GN25" s="712"/>
      <c r="GO25" s="712"/>
      <c r="GP25" s="712"/>
      <c r="GQ25" s="712"/>
      <c r="GR25" s="712" t="s">
        <v>2442</v>
      </c>
      <c r="GS25" s="712"/>
      <c r="GT25" s="712"/>
      <c r="GU25" s="712"/>
      <c r="GV25" s="712"/>
      <c r="GW25" s="712"/>
      <c r="GX25" s="712"/>
      <c r="GY25" s="712"/>
      <c r="GZ25" s="712"/>
      <c r="HA25" s="712"/>
      <c r="HB25" s="712"/>
      <c r="HC25" s="712"/>
      <c r="HD25" s="712"/>
      <c r="HE25" s="712"/>
      <c r="HF25" s="712"/>
      <c r="HG25" s="712"/>
      <c r="HH25" s="712"/>
      <c r="HI25" s="712"/>
      <c r="HJ25" s="712"/>
      <c r="HK25" s="712"/>
      <c r="HL25" s="712"/>
      <c r="HM25" s="712"/>
      <c r="HN25" s="712"/>
      <c r="HO25" s="712"/>
      <c r="HP25" s="712"/>
      <c r="HQ25" s="712"/>
      <c r="HR25" s="712"/>
      <c r="HS25" s="712"/>
      <c r="HT25" s="712"/>
      <c r="HU25" s="712"/>
      <c r="HV25" s="712"/>
      <c r="HW25" s="712"/>
      <c r="HX25" s="712"/>
      <c r="HY25" s="712"/>
      <c r="HZ25" s="712"/>
      <c r="IA25" s="712"/>
      <c r="IB25" s="712"/>
      <c r="IC25" s="712"/>
      <c r="ID25" s="712"/>
      <c r="IE25" s="712"/>
      <c r="IF25" s="712"/>
      <c r="IG25" s="712"/>
      <c r="IH25" s="712"/>
      <c r="II25" s="712"/>
      <c r="IJ25" s="712"/>
      <c r="IK25" s="712"/>
      <c r="IL25" s="712"/>
      <c r="IM25" s="712"/>
      <c r="IN25" s="712"/>
      <c r="IO25" s="712"/>
      <c r="IP25" s="712"/>
      <c r="IQ25" s="718"/>
      <c r="IR25" s="718"/>
      <c r="IS25" s="712"/>
      <c r="IT25" s="718"/>
      <c r="IU25" s="712"/>
      <c r="IV25" s="712"/>
      <c r="IW25" s="712"/>
      <c r="IX25" s="712"/>
      <c r="IY25" s="712"/>
      <c r="IZ25" s="712"/>
      <c r="JA25" s="712"/>
      <c r="JB25" s="712"/>
      <c r="JC25" s="712"/>
      <c r="JD25" s="712"/>
      <c r="JE25" s="712"/>
      <c r="JF25" s="712"/>
      <c r="JG25" s="712"/>
      <c r="JH25" s="712"/>
      <c r="JI25" s="718"/>
      <c r="JJ25" s="712"/>
      <c r="JK25" s="718"/>
      <c r="JL25" s="718"/>
      <c r="JM25" s="718"/>
      <c r="JN25" s="718"/>
      <c r="JO25" s="718"/>
      <c r="JP25" s="718"/>
      <c r="JQ25" s="719"/>
      <c r="JR25" s="351"/>
      <c r="JS25" s="1400" t="s">
        <v>2443</v>
      </c>
    </row>
    <row r="26" spans="1:279" x14ac:dyDescent="0.25">
      <c r="C26" s="261"/>
      <c r="D26" s="137"/>
      <c r="JS26" s="1"/>
    </row>
    <row r="27" spans="1:279" ht="12" thickBot="1" x14ac:dyDescent="0.3">
      <c r="C27" s="261" t="s">
        <v>2444</v>
      </c>
      <c r="D27" s="137"/>
      <c r="JS27" s="1"/>
    </row>
    <row r="28" spans="1:279" x14ac:dyDescent="0.25">
      <c r="A28" s="1367" t="s">
        <v>2201</v>
      </c>
      <c r="B28" s="585" t="s">
        <v>2408</v>
      </c>
      <c r="C28" s="287" t="s">
        <v>15</v>
      </c>
      <c r="D28" s="262"/>
      <c r="E28" s="418">
        <v>1</v>
      </c>
      <c r="F28" s="418">
        <v>2</v>
      </c>
      <c r="G28" s="418">
        <v>3</v>
      </c>
      <c r="H28" s="418">
        <v>4</v>
      </c>
      <c r="I28" s="418">
        <v>5</v>
      </c>
      <c r="J28" s="418">
        <v>6</v>
      </c>
      <c r="K28" s="418">
        <v>7</v>
      </c>
      <c r="L28" s="418">
        <v>8</v>
      </c>
      <c r="M28" s="418">
        <v>9</v>
      </c>
      <c r="N28" s="418">
        <v>10</v>
      </c>
      <c r="O28" s="418">
        <v>11</v>
      </c>
      <c r="P28" s="418">
        <v>12</v>
      </c>
      <c r="Q28" s="418">
        <v>13</v>
      </c>
      <c r="R28" s="418">
        <v>14</v>
      </c>
      <c r="S28" s="418">
        <v>15</v>
      </c>
      <c r="T28" s="418">
        <v>16</v>
      </c>
      <c r="U28" s="418">
        <v>17</v>
      </c>
      <c r="V28" s="418">
        <v>18</v>
      </c>
      <c r="W28" s="418">
        <v>19</v>
      </c>
      <c r="X28" s="418">
        <v>20</v>
      </c>
      <c r="Y28" s="418">
        <v>21</v>
      </c>
      <c r="Z28" s="418">
        <v>22</v>
      </c>
      <c r="AA28" s="418">
        <v>23</v>
      </c>
      <c r="AB28" s="418">
        <v>24</v>
      </c>
      <c r="AC28" s="418">
        <v>25</v>
      </c>
      <c r="AD28" s="418">
        <v>26</v>
      </c>
      <c r="AE28" s="418">
        <v>27</v>
      </c>
      <c r="AF28" s="418">
        <v>28</v>
      </c>
      <c r="AG28" s="418">
        <v>29</v>
      </c>
      <c r="AH28" s="418">
        <v>30</v>
      </c>
      <c r="AI28" s="418">
        <v>31</v>
      </c>
      <c r="AJ28" s="418">
        <v>32</v>
      </c>
      <c r="AK28" s="418">
        <v>33</v>
      </c>
      <c r="AL28" s="418">
        <v>34</v>
      </c>
      <c r="AM28" s="418">
        <v>35</v>
      </c>
      <c r="AN28" s="418">
        <v>36</v>
      </c>
      <c r="AO28" s="418">
        <v>37</v>
      </c>
      <c r="AP28" s="418">
        <v>38</v>
      </c>
      <c r="AQ28" s="418">
        <v>39</v>
      </c>
      <c r="AR28" s="418">
        <v>40</v>
      </c>
      <c r="AS28" s="418">
        <v>41</v>
      </c>
      <c r="AT28" s="418">
        <v>42</v>
      </c>
      <c r="AU28" s="418">
        <v>43</v>
      </c>
      <c r="AV28" s="418">
        <v>44</v>
      </c>
      <c r="AW28" s="418">
        <v>45</v>
      </c>
      <c r="AX28" s="418">
        <v>46</v>
      </c>
      <c r="AY28" s="418">
        <v>47</v>
      </c>
      <c r="AZ28" s="418">
        <v>48</v>
      </c>
      <c r="BA28" s="418">
        <v>49</v>
      </c>
      <c r="BB28" s="418">
        <v>50</v>
      </c>
      <c r="BC28" s="418">
        <v>51</v>
      </c>
      <c r="BD28" s="418">
        <v>52</v>
      </c>
      <c r="BE28" s="418">
        <v>53</v>
      </c>
      <c r="BF28" s="418">
        <v>54</v>
      </c>
      <c r="BG28" s="418">
        <v>55</v>
      </c>
      <c r="BH28" s="418">
        <v>56</v>
      </c>
      <c r="BI28" s="418">
        <v>57</v>
      </c>
      <c r="BJ28" s="418">
        <v>58</v>
      </c>
      <c r="BK28" s="418">
        <v>59</v>
      </c>
      <c r="BL28" s="418">
        <v>60</v>
      </c>
      <c r="BM28" s="418">
        <v>61</v>
      </c>
      <c r="BN28" s="418">
        <v>62</v>
      </c>
      <c r="BO28" s="418">
        <v>63</v>
      </c>
      <c r="BP28" s="418">
        <v>64</v>
      </c>
      <c r="BQ28" s="418">
        <v>65</v>
      </c>
      <c r="BR28" s="418">
        <v>66</v>
      </c>
      <c r="BS28" s="418">
        <v>67</v>
      </c>
      <c r="BT28" s="418">
        <v>68</v>
      </c>
      <c r="BU28" s="418">
        <v>69</v>
      </c>
      <c r="BV28" s="418">
        <v>70</v>
      </c>
      <c r="BW28" s="418">
        <v>71</v>
      </c>
      <c r="BX28" s="418">
        <v>72</v>
      </c>
      <c r="BY28" s="418">
        <v>73</v>
      </c>
      <c r="BZ28" s="418">
        <v>74</v>
      </c>
      <c r="CA28" s="418">
        <v>75</v>
      </c>
      <c r="CB28" s="418">
        <v>76</v>
      </c>
      <c r="CC28" s="418">
        <v>77</v>
      </c>
      <c r="CD28" s="418">
        <v>78</v>
      </c>
      <c r="CE28" s="418">
        <v>79</v>
      </c>
      <c r="CF28" s="418">
        <v>80</v>
      </c>
      <c r="CG28" s="418">
        <v>81</v>
      </c>
      <c r="CH28" s="418">
        <v>82</v>
      </c>
      <c r="CI28" s="418">
        <v>83</v>
      </c>
      <c r="CJ28" s="418">
        <v>84</v>
      </c>
      <c r="CK28" s="418">
        <v>85</v>
      </c>
      <c r="CL28" s="418">
        <v>86</v>
      </c>
      <c r="CM28" s="418">
        <v>87</v>
      </c>
      <c r="CN28" s="418">
        <v>88</v>
      </c>
      <c r="CO28" s="418">
        <v>89</v>
      </c>
      <c r="CP28" s="418">
        <v>90</v>
      </c>
      <c r="CQ28" s="418">
        <v>91</v>
      </c>
      <c r="CR28" s="418">
        <v>92</v>
      </c>
      <c r="CS28" s="418">
        <v>93</v>
      </c>
      <c r="CT28" s="418">
        <v>94</v>
      </c>
      <c r="CU28" s="418">
        <v>95</v>
      </c>
      <c r="CV28" s="418">
        <v>96</v>
      </c>
      <c r="CW28" s="418">
        <v>97</v>
      </c>
      <c r="CX28" s="418">
        <v>98</v>
      </c>
      <c r="CY28" s="418">
        <v>99</v>
      </c>
      <c r="CZ28" s="418">
        <v>100</v>
      </c>
      <c r="DA28" s="418">
        <v>101</v>
      </c>
      <c r="DB28" s="418">
        <v>102</v>
      </c>
      <c r="DC28" s="418">
        <v>103</v>
      </c>
      <c r="DD28" s="418">
        <v>104</v>
      </c>
      <c r="DE28" s="418">
        <v>105</v>
      </c>
      <c r="DF28" s="418">
        <v>106</v>
      </c>
      <c r="DG28" s="418">
        <v>107</v>
      </c>
      <c r="DH28" s="418">
        <v>108</v>
      </c>
      <c r="DI28" s="418">
        <v>109</v>
      </c>
      <c r="DJ28" s="418">
        <v>110</v>
      </c>
      <c r="DK28" s="418">
        <v>111</v>
      </c>
      <c r="DL28" s="418">
        <v>112</v>
      </c>
      <c r="DM28" s="418">
        <v>113</v>
      </c>
      <c r="DN28" s="418">
        <v>114</v>
      </c>
      <c r="DO28" s="418">
        <v>115</v>
      </c>
      <c r="DP28" s="418">
        <v>116</v>
      </c>
      <c r="DQ28" s="418">
        <v>117</v>
      </c>
      <c r="DR28" s="418">
        <v>118</v>
      </c>
      <c r="DS28" s="418">
        <v>119</v>
      </c>
      <c r="DT28" s="418">
        <v>120</v>
      </c>
      <c r="DU28" s="418">
        <v>121</v>
      </c>
      <c r="DV28" s="418">
        <v>122</v>
      </c>
      <c r="DW28" s="418">
        <v>123</v>
      </c>
      <c r="DX28" s="418">
        <v>124</v>
      </c>
      <c r="DY28" s="418">
        <v>125</v>
      </c>
      <c r="DZ28" s="418">
        <v>126</v>
      </c>
      <c r="EA28" s="418">
        <v>127</v>
      </c>
      <c r="EB28" s="418">
        <v>128</v>
      </c>
      <c r="EC28" s="418">
        <v>129</v>
      </c>
      <c r="ED28" s="418">
        <v>130</v>
      </c>
      <c r="EE28" s="418">
        <v>131</v>
      </c>
      <c r="EF28" s="418">
        <v>132</v>
      </c>
      <c r="EG28" s="418">
        <v>133</v>
      </c>
      <c r="EH28" s="418">
        <v>134</v>
      </c>
      <c r="EI28" s="418">
        <v>135</v>
      </c>
      <c r="EJ28" s="418">
        <v>136</v>
      </c>
      <c r="EK28" s="418">
        <v>137</v>
      </c>
      <c r="EL28" s="418">
        <v>138</v>
      </c>
      <c r="EM28" s="418">
        <v>139</v>
      </c>
      <c r="EN28" s="418">
        <v>140</v>
      </c>
      <c r="EO28" s="418">
        <v>141</v>
      </c>
      <c r="EP28" s="418">
        <v>142</v>
      </c>
      <c r="EQ28" s="418">
        <v>143</v>
      </c>
      <c r="ER28" s="418">
        <v>144</v>
      </c>
      <c r="ES28" s="418">
        <v>145</v>
      </c>
      <c r="ET28" s="418">
        <v>146</v>
      </c>
      <c r="EU28" s="418">
        <v>147</v>
      </c>
      <c r="EV28" s="418">
        <v>148</v>
      </c>
      <c r="EW28" s="418">
        <v>149</v>
      </c>
      <c r="EX28" s="418">
        <v>150</v>
      </c>
      <c r="EY28" s="418">
        <v>151</v>
      </c>
      <c r="EZ28" s="418">
        <v>152</v>
      </c>
      <c r="FA28" s="418">
        <v>153</v>
      </c>
      <c r="FB28" s="418">
        <v>154</v>
      </c>
      <c r="FC28" s="418">
        <v>155</v>
      </c>
      <c r="FD28" s="418">
        <v>156</v>
      </c>
      <c r="FE28" s="418">
        <v>157</v>
      </c>
      <c r="FF28" s="418">
        <v>158</v>
      </c>
      <c r="FG28" s="418">
        <v>159</v>
      </c>
      <c r="FH28" s="418">
        <v>160</v>
      </c>
      <c r="FI28" s="418">
        <v>161</v>
      </c>
      <c r="FJ28" s="418">
        <v>162</v>
      </c>
      <c r="FK28" s="418">
        <v>163</v>
      </c>
      <c r="FL28" s="418">
        <v>164</v>
      </c>
      <c r="FM28" s="418">
        <v>165</v>
      </c>
      <c r="FN28" s="418">
        <v>166</v>
      </c>
      <c r="FO28" s="418">
        <v>167</v>
      </c>
      <c r="FP28" s="418">
        <v>168</v>
      </c>
      <c r="FQ28" s="418">
        <v>169</v>
      </c>
      <c r="FR28" s="418">
        <v>170</v>
      </c>
      <c r="FS28" s="418">
        <v>171</v>
      </c>
      <c r="FT28" s="418">
        <v>172</v>
      </c>
      <c r="FU28" s="418">
        <v>173</v>
      </c>
      <c r="FV28" s="418">
        <v>174</v>
      </c>
      <c r="FW28" s="418">
        <v>175</v>
      </c>
      <c r="FX28" s="418">
        <v>176</v>
      </c>
      <c r="FY28" s="418">
        <v>177</v>
      </c>
      <c r="FZ28" s="418">
        <v>178</v>
      </c>
      <c r="GA28" s="418">
        <v>179</v>
      </c>
      <c r="GB28" s="418">
        <v>180</v>
      </c>
      <c r="GC28" s="418">
        <v>181</v>
      </c>
      <c r="GD28" s="418">
        <v>182</v>
      </c>
      <c r="GE28" s="418">
        <v>183</v>
      </c>
      <c r="GF28" s="418">
        <v>184</v>
      </c>
      <c r="GG28" s="418">
        <v>185</v>
      </c>
      <c r="GH28" s="418">
        <v>186</v>
      </c>
      <c r="GI28" s="418">
        <v>187</v>
      </c>
      <c r="GJ28" s="418">
        <v>188</v>
      </c>
      <c r="GK28" s="418">
        <v>189</v>
      </c>
      <c r="GL28" s="418">
        <v>190</v>
      </c>
      <c r="GM28" s="418">
        <v>191</v>
      </c>
      <c r="GN28" s="418">
        <v>192</v>
      </c>
      <c r="GO28" s="418">
        <v>193</v>
      </c>
      <c r="GP28" s="418">
        <v>194</v>
      </c>
      <c r="GQ28" s="418">
        <v>195</v>
      </c>
      <c r="GR28" s="418">
        <v>196</v>
      </c>
      <c r="GS28" s="418">
        <v>197</v>
      </c>
      <c r="GT28" s="418">
        <v>198</v>
      </c>
      <c r="GU28" s="418">
        <v>199</v>
      </c>
      <c r="GV28" s="418">
        <v>200</v>
      </c>
      <c r="GW28" s="418">
        <v>201</v>
      </c>
      <c r="GX28" s="418">
        <v>202</v>
      </c>
      <c r="GY28" s="418">
        <v>203</v>
      </c>
      <c r="GZ28" s="418">
        <v>204</v>
      </c>
      <c r="HA28" s="418">
        <v>205</v>
      </c>
      <c r="HB28" s="418">
        <v>206</v>
      </c>
      <c r="HC28" s="418">
        <v>207</v>
      </c>
      <c r="HD28" s="418">
        <v>208</v>
      </c>
      <c r="HE28" s="418">
        <v>209</v>
      </c>
      <c r="HF28" s="418">
        <v>210</v>
      </c>
      <c r="HG28" s="418">
        <v>211</v>
      </c>
      <c r="HH28" s="418">
        <v>212</v>
      </c>
      <c r="HI28" s="418">
        <v>213</v>
      </c>
      <c r="HJ28" s="418">
        <v>214</v>
      </c>
      <c r="HK28" s="418">
        <v>215</v>
      </c>
      <c r="HL28" s="418">
        <v>216</v>
      </c>
      <c r="HM28" s="418">
        <v>217</v>
      </c>
      <c r="HN28" s="418">
        <v>218</v>
      </c>
      <c r="HO28" s="418">
        <v>219</v>
      </c>
      <c r="HP28" s="418">
        <v>220</v>
      </c>
      <c r="HQ28" s="418">
        <v>221</v>
      </c>
      <c r="HR28" s="418">
        <v>222</v>
      </c>
      <c r="HS28" s="418">
        <v>223</v>
      </c>
      <c r="HT28" s="418">
        <v>224</v>
      </c>
      <c r="HU28" s="418">
        <v>225</v>
      </c>
      <c r="HV28" s="418">
        <v>226</v>
      </c>
      <c r="HW28" s="418">
        <v>227</v>
      </c>
      <c r="HX28" s="418">
        <v>228</v>
      </c>
      <c r="HY28" s="418">
        <v>229</v>
      </c>
      <c r="HZ28" s="418">
        <v>230</v>
      </c>
      <c r="IA28" s="418">
        <v>231</v>
      </c>
      <c r="IB28" s="418">
        <v>232</v>
      </c>
      <c r="IC28" s="418">
        <v>233</v>
      </c>
      <c r="ID28" s="418">
        <v>234</v>
      </c>
      <c r="IE28" s="418">
        <v>235</v>
      </c>
      <c r="IF28" s="418">
        <v>236</v>
      </c>
      <c r="IG28" s="418">
        <v>237</v>
      </c>
      <c r="IH28" s="418">
        <v>238</v>
      </c>
      <c r="II28" s="418">
        <v>239</v>
      </c>
      <c r="IJ28" s="418">
        <v>240</v>
      </c>
      <c r="IK28" s="418">
        <v>241</v>
      </c>
      <c r="IL28" s="418">
        <v>242</v>
      </c>
      <c r="IM28" s="418">
        <v>243</v>
      </c>
      <c r="IN28" s="418">
        <v>244</v>
      </c>
      <c r="IO28" s="418">
        <v>245</v>
      </c>
      <c r="IP28" s="418">
        <v>246</v>
      </c>
      <c r="IQ28" s="418">
        <v>247</v>
      </c>
      <c r="IR28" s="418">
        <v>248</v>
      </c>
      <c r="IS28" s="418">
        <v>249</v>
      </c>
      <c r="IT28" s="418">
        <v>250</v>
      </c>
      <c r="IU28" s="418">
        <v>251</v>
      </c>
      <c r="IV28" s="418">
        <v>252</v>
      </c>
      <c r="IW28" s="418">
        <v>253</v>
      </c>
      <c r="IX28" s="418">
        <v>254</v>
      </c>
      <c r="IY28" s="418">
        <v>255</v>
      </c>
      <c r="IZ28" s="418">
        <v>256</v>
      </c>
      <c r="JA28" s="418">
        <v>257</v>
      </c>
      <c r="JB28" s="418">
        <v>258</v>
      </c>
      <c r="JC28" s="418">
        <v>259</v>
      </c>
      <c r="JD28" s="418">
        <v>260</v>
      </c>
      <c r="JE28" s="418">
        <v>261</v>
      </c>
      <c r="JF28" s="418">
        <v>262</v>
      </c>
      <c r="JG28" s="418">
        <v>263</v>
      </c>
      <c r="JH28" s="418">
        <v>264</v>
      </c>
      <c r="JI28" s="418">
        <v>265</v>
      </c>
      <c r="JJ28" s="418">
        <v>266</v>
      </c>
      <c r="JK28" s="418">
        <v>267</v>
      </c>
      <c r="JL28" s="418">
        <v>268</v>
      </c>
      <c r="JM28" s="418">
        <v>269</v>
      </c>
      <c r="JN28" s="418">
        <v>270</v>
      </c>
      <c r="JO28" s="418">
        <v>271</v>
      </c>
      <c r="JP28" s="418">
        <v>272</v>
      </c>
      <c r="JQ28" s="418">
        <v>273</v>
      </c>
      <c r="JR28" s="351"/>
      <c r="JS28" s="1400"/>
    </row>
    <row r="29" spans="1:279" ht="12" thickBot="1" x14ac:dyDescent="0.3">
      <c r="A29" s="1367">
        <v>2</v>
      </c>
      <c r="B29" s="1370" t="str">
        <f>IF(ASE_A_IND&gt;1,IF(HLOOKUP(ASE_A_IND-1,ASE_A_RANGE,A29)="","",HLOOKUP(ASE_A_IND-1,ASE_A_RANGE,A29)),"")</f>
        <v/>
      </c>
      <c r="C29" s="705" t="s">
        <v>2445</v>
      </c>
      <c r="D29" s="698" t="s">
        <v>2446</v>
      </c>
      <c r="E29" s="2508"/>
      <c r="F29" s="2508"/>
      <c r="G29" s="2508"/>
      <c r="H29" s="2508"/>
      <c r="I29" s="2508"/>
      <c r="J29" s="2508"/>
      <c r="K29" s="2508"/>
      <c r="L29" s="2508"/>
      <c r="M29" s="2508"/>
      <c r="N29" s="2508"/>
      <c r="O29" s="2508"/>
      <c r="P29" s="2508"/>
      <c r="Q29" s="2508"/>
      <c r="R29" s="2508"/>
      <c r="S29" s="2508"/>
      <c r="T29" s="2508"/>
      <c r="U29" s="2508"/>
      <c r="V29" s="2508"/>
      <c r="W29" s="2508"/>
      <c r="X29" s="2508"/>
      <c r="Y29" s="2508"/>
      <c r="Z29" s="2508"/>
      <c r="AA29" s="2508"/>
      <c r="AB29" s="2508"/>
      <c r="AC29" s="2508"/>
      <c r="AD29" s="2508"/>
      <c r="AE29" s="2508"/>
      <c r="AF29" s="2508"/>
      <c r="AG29" s="2508"/>
      <c r="AH29" s="2508"/>
      <c r="AI29" s="2508"/>
      <c r="AJ29" s="2508"/>
      <c r="AK29" s="2508"/>
      <c r="AL29" s="2508"/>
      <c r="AM29" s="2508"/>
      <c r="AN29" s="2508"/>
      <c r="AO29" s="2508"/>
      <c r="AP29" s="2508"/>
      <c r="AQ29" s="2508"/>
      <c r="AR29" s="2508"/>
      <c r="AS29" s="2508"/>
      <c r="AT29" s="2508"/>
      <c r="AU29" s="2508"/>
      <c r="AV29" s="2508"/>
      <c r="AW29" s="2508"/>
      <c r="AX29" s="2508"/>
      <c r="AY29" s="2508"/>
      <c r="AZ29" s="2508"/>
      <c r="BA29" s="2508">
        <v>3020</v>
      </c>
      <c r="BB29" s="2508"/>
      <c r="BC29" s="2508"/>
      <c r="BD29" s="2508">
        <v>6250</v>
      </c>
      <c r="BE29" s="2508"/>
      <c r="BF29" s="2508"/>
      <c r="BG29" s="2508"/>
      <c r="BH29" s="2508"/>
      <c r="BI29" s="2508"/>
      <c r="BJ29" s="2508"/>
      <c r="BK29" s="2508"/>
      <c r="BL29" s="2508"/>
      <c r="BM29" s="2508"/>
      <c r="BN29" s="2508"/>
      <c r="BO29" s="2508"/>
      <c r="BP29" s="2508"/>
      <c r="BQ29" s="2508"/>
      <c r="BR29" s="2508"/>
      <c r="BS29" s="2508"/>
      <c r="BT29" s="2508"/>
      <c r="BU29" s="2508"/>
      <c r="BV29" s="2508"/>
      <c r="BW29" s="2508"/>
      <c r="BX29" s="2508"/>
      <c r="BY29" s="2508"/>
      <c r="BZ29" s="2508"/>
      <c r="CA29" s="2508"/>
      <c r="CB29" s="2508"/>
      <c r="CC29" s="2508"/>
      <c r="CD29" s="2508"/>
      <c r="CE29" s="2508"/>
      <c r="CF29" s="2508"/>
      <c r="CG29" s="2508"/>
      <c r="CH29" s="2508"/>
      <c r="CI29" s="2508"/>
      <c r="CJ29" s="2508"/>
      <c r="CK29" s="2508"/>
      <c r="CL29" s="2508"/>
      <c r="CM29" s="2508"/>
      <c r="CN29" s="2508"/>
      <c r="CO29" s="2508"/>
      <c r="CP29" s="2508"/>
      <c r="CQ29" s="2508"/>
      <c r="CR29" s="2508"/>
      <c r="CS29" s="2508"/>
      <c r="CT29" s="2508"/>
      <c r="CU29" s="2508"/>
      <c r="CV29" s="2508"/>
      <c r="CW29" s="2508"/>
      <c r="CX29" s="2508"/>
      <c r="CY29" s="2508"/>
      <c r="CZ29" s="2508"/>
      <c r="DA29" s="2508"/>
      <c r="DB29" s="2508"/>
      <c r="DC29" s="2508"/>
      <c r="DD29" s="2508"/>
      <c r="DE29" s="2508"/>
      <c r="DF29" s="2508"/>
      <c r="DG29" s="2508"/>
      <c r="DH29" s="2508"/>
      <c r="DI29" s="2508"/>
      <c r="DJ29" s="2508"/>
      <c r="DK29" s="2508"/>
      <c r="DL29" s="2508"/>
      <c r="DM29" s="2508"/>
      <c r="DN29" s="2508">
        <v>3020</v>
      </c>
      <c r="DO29" s="2508"/>
      <c r="DP29" s="2508"/>
      <c r="DQ29" s="2508"/>
      <c r="DR29" s="2508"/>
      <c r="DS29" s="2508"/>
      <c r="DT29" s="2508"/>
      <c r="DU29" s="2508"/>
      <c r="DV29" s="2508">
        <v>2275</v>
      </c>
      <c r="DW29" s="2508"/>
      <c r="DX29" s="2508"/>
      <c r="DY29" s="2508"/>
      <c r="DZ29" s="2509"/>
      <c r="EA29" s="2508"/>
      <c r="EB29" s="2508"/>
      <c r="EC29" s="2508"/>
      <c r="ED29" s="2508"/>
      <c r="EE29" s="2508"/>
      <c r="EF29" s="2508"/>
      <c r="EG29" s="2508"/>
      <c r="EH29" s="2508"/>
      <c r="EI29" s="2508"/>
      <c r="EJ29" s="2508"/>
      <c r="EK29" s="2508"/>
      <c r="EL29" s="2508"/>
      <c r="EM29" s="2508"/>
      <c r="EN29" s="2508"/>
      <c r="EO29" s="2508"/>
      <c r="EP29" s="2508"/>
      <c r="EQ29" s="2508"/>
      <c r="ER29" s="2508"/>
      <c r="ES29" s="2508"/>
      <c r="ET29" s="2508"/>
      <c r="EU29" s="2508"/>
      <c r="EV29" s="2508"/>
      <c r="EW29" s="2508"/>
      <c r="EX29" s="2508"/>
      <c r="EY29" s="2508"/>
      <c r="EZ29" s="2508"/>
      <c r="FA29" s="2508"/>
      <c r="FB29" s="2508"/>
      <c r="FC29" s="2508"/>
      <c r="FD29" s="2508"/>
      <c r="FE29" s="2508"/>
      <c r="FF29" s="2508"/>
      <c r="FG29" s="2508"/>
      <c r="FH29" s="2508"/>
      <c r="FI29" s="2508"/>
      <c r="FJ29" s="2508"/>
      <c r="FK29" s="2508"/>
      <c r="FL29" s="2508"/>
      <c r="FM29" s="2508"/>
      <c r="FN29" s="2508"/>
      <c r="FO29" s="2508"/>
      <c r="FP29" s="2508"/>
      <c r="FQ29" s="2508"/>
      <c r="FR29" s="2508"/>
      <c r="FS29" s="2508"/>
      <c r="FT29" s="2508"/>
      <c r="FU29" s="2508"/>
      <c r="FV29" s="2508"/>
      <c r="FW29" s="2508"/>
      <c r="FX29" s="2508"/>
      <c r="FY29" s="2508"/>
      <c r="FZ29" s="2508"/>
      <c r="GA29" s="2508"/>
      <c r="GB29" s="2508"/>
      <c r="GC29" s="2508"/>
      <c r="GD29" s="2508"/>
      <c r="GE29" s="2508"/>
      <c r="GF29" s="2508"/>
      <c r="GG29" s="2508"/>
      <c r="GH29" s="2508"/>
      <c r="GI29" s="2508"/>
      <c r="GJ29" s="2508"/>
      <c r="GK29" s="2508"/>
      <c r="GL29" s="2508"/>
      <c r="GM29" s="2508"/>
      <c r="GN29" s="2508"/>
      <c r="GO29" s="2508"/>
      <c r="GP29" s="2508"/>
      <c r="GQ29" s="2508"/>
      <c r="GR29" s="2508"/>
      <c r="GS29" s="2508"/>
      <c r="GT29" s="2508"/>
      <c r="GU29" s="2508"/>
      <c r="GV29" s="2508"/>
      <c r="GW29" s="2508"/>
      <c r="GX29" s="2508"/>
      <c r="GY29" s="2508"/>
      <c r="GZ29" s="2508"/>
      <c r="HA29" s="2508"/>
      <c r="HB29" s="2508"/>
      <c r="HC29" s="2508"/>
      <c r="HD29" s="2508"/>
      <c r="HE29" s="2508"/>
      <c r="HF29" s="2508"/>
      <c r="HG29" s="2508"/>
      <c r="HH29" s="2508"/>
      <c r="HI29" s="2508"/>
      <c r="HJ29" s="2508"/>
      <c r="HK29" s="2508"/>
      <c r="HL29" s="2508"/>
      <c r="HM29" s="2508"/>
      <c r="HN29" s="2508"/>
      <c r="HO29" s="2508"/>
      <c r="HP29" s="2508"/>
      <c r="HQ29" s="2508"/>
      <c r="HR29" s="2509">
        <v>22</v>
      </c>
      <c r="HS29" s="2508"/>
      <c r="HT29" s="2508"/>
      <c r="HU29" s="2508"/>
      <c r="HV29" s="2508"/>
      <c r="HW29" s="2508"/>
      <c r="HX29" s="2508"/>
      <c r="HY29" s="2508"/>
      <c r="HZ29" s="2508"/>
      <c r="IA29" s="2508"/>
      <c r="IB29" s="2508"/>
      <c r="IC29" s="2508"/>
      <c r="ID29" s="2508"/>
      <c r="IE29" s="2508"/>
      <c r="IF29" s="2508"/>
      <c r="IG29" s="2508"/>
      <c r="IH29" s="2508"/>
      <c r="II29" s="2508"/>
      <c r="IJ29" s="2508"/>
      <c r="IK29" s="2508"/>
      <c r="IL29" s="2509">
        <v>12860</v>
      </c>
      <c r="IM29" s="2508"/>
      <c r="IN29" s="2508"/>
      <c r="IO29" s="2508"/>
      <c r="IP29" s="2508"/>
      <c r="IQ29" s="2510"/>
      <c r="IR29" s="2510"/>
      <c r="IS29" s="2508"/>
      <c r="IT29" s="2510"/>
      <c r="IU29" s="2508"/>
      <c r="IV29" s="2508"/>
      <c r="IW29" s="2508"/>
      <c r="IX29" s="2508"/>
      <c r="IY29" s="2508"/>
      <c r="IZ29" s="2508">
        <v>6250</v>
      </c>
      <c r="JA29" s="2508"/>
      <c r="JB29" s="2508"/>
      <c r="JC29" s="2508"/>
      <c r="JD29" s="2508"/>
      <c r="JE29" s="2508"/>
      <c r="JF29" s="2508"/>
      <c r="JG29" s="2508"/>
      <c r="JH29" s="2508"/>
      <c r="JI29" s="2510"/>
      <c r="JJ29" s="2508"/>
      <c r="JK29" s="2510"/>
      <c r="JL29" s="2510"/>
      <c r="JM29" s="2510"/>
      <c r="JN29" s="2510"/>
      <c r="JO29" s="2510"/>
      <c r="JP29" s="2510"/>
      <c r="JQ29" s="2511"/>
      <c r="JR29" s="351"/>
      <c r="JS29" s="1400"/>
    </row>
    <row r="30" spans="1:279" x14ac:dyDescent="0.25">
      <c r="C30" s="261" t="s">
        <v>2447</v>
      </c>
      <c r="D30" s="137" t="s">
        <v>2448</v>
      </c>
      <c r="JS30" s="1"/>
    </row>
    <row r="31" spans="1:279" ht="12" thickBot="1" x14ac:dyDescent="0.3">
      <c r="C31" s="261" t="s">
        <v>2449</v>
      </c>
      <c r="D31" s="137"/>
      <c r="JS31" s="1"/>
    </row>
    <row r="32" spans="1:279" x14ac:dyDescent="0.25">
      <c r="A32" s="1367" t="s">
        <v>2201</v>
      </c>
      <c r="B32" s="585" t="s">
        <v>2408</v>
      </c>
      <c r="C32" s="287" t="s">
        <v>16</v>
      </c>
      <c r="D32" s="262"/>
      <c r="E32" s="418">
        <v>1</v>
      </c>
      <c r="F32" s="447">
        <v>2</v>
      </c>
      <c r="G32" s="418">
        <v>3</v>
      </c>
      <c r="H32" s="418">
        <v>4</v>
      </c>
      <c r="I32" s="418">
        <v>5</v>
      </c>
      <c r="J32" s="418">
        <v>6</v>
      </c>
      <c r="K32" s="418">
        <v>7</v>
      </c>
      <c r="L32" s="418">
        <v>8</v>
      </c>
      <c r="M32" s="418">
        <v>9</v>
      </c>
      <c r="N32" s="418">
        <v>10</v>
      </c>
      <c r="O32" s="418">
        <v>11</v>
      </c>
      <c r="P32" s="418">
        <v>12</v>
      </c>
      <c r="Q32" s="418">
        <v>13</v>
      </c>
      <c r="R32" s="418">
        <v>14</v>
      </c>
      <c r="S32" s="418">
        <v>15</v>
      </c>
      <c r="T32" s="418">
        <v>16</v>
      </c>
      <c r="U32" s="418">
        <v>17</v>
      </c>
      <c r="V32" s="418">
        <v>18</v>
      </c>
      <c r="W32" s="418">
        <v>19</v>
      </c>
      <c r="X32" s="418">
        <v>20</v>
      </c>
      <c r="Y32" s="418">
        <v>21</v>
      </c>
      <c r="Z32" s="418">
        <v>22</v>
      </c>
      <c r="AA32" s="418">
        <v>23</v>
      </c>
      <c r="AB32" s="418">
        <v>24</v>
      </c>
      <c r="AC32" s="418">
        <v>25</v>
      </c>
      <c r="AD32" s="418">
        <v>26</v>
      </c>
      <c r="AE32" s="418">
        <v>27</v>
      </c>
      <c r="AF32" s="418">
        <v>28</v>
      </c>
      <c r="AG32" s="418">
        <v>29</v>
      </c>
      <c r="AH32" s="418">
        <v>30</v>
      </c>
      <c r="AI32" s="418">
        <v>31</v>
      </c>
      <c r="AJ32" s="418">
        <v>32</v>
      </c>
      <c r="AK32" s="418">
        <v>33</v>
      </c>
      <c r="AL32" s="418">
        <v>34</v>
      </c>
      <c r="AM32" s="418">
        <v>35</v>
      </c>
      <c r="AN32" s="418">
        <v>36</v>
      </c>
      <c r="AO32" s="418">
        <v>37</v>
      </c>
      <c r="AP32" s="418">
        <v>38</v>
      </c>
      <c r="AQ32" s="418">
        <v>39</v>
      </c>
      <c r="AR32" s="418">
        <v>40</v>
      </c>
      <c r="AS32" s="418">
        <v>41</v>
      </c>
      <c r="AT32" s="418">
        <v>42</v>
      </c>
      <c r="AU32" s="418">
        <v>43</v>
      </c>
      <c r="AV32" s="418">
        <v>44</v>
      </c>
      <c r="AW32" s="418">
        <v>45</v>
      </c>
      <c r="AX32" s="418">
        <v>46</v>
      </c>
      <c r="AY32" s="418">
        <v>47</v>
      </c>
      <c r="AZ32" s="418">
        <v>48</v>
      </c>
      <c r="BA32" s="418">
        <v>49</v>
      </c>
      <c r="BB32" s="418">
        <v>50</v>
      </c>
      <c r="BC32" s="418">
        <v>51</v>
      </c>
      <c r="BD32" s="418">
        <v>52</v>
      </c>
      <c r="BE32" s="418">
        <v>53</v>
      </c>
      <c r="BF32" s="418">
        <v>54</v>
      </c>
      <c r="BG32" s="418">
        <v>55</v>
      </c>
      <c r="BH32" s="418">
        <v>56</v>
      </c>
      <c r="BI32" s="418">
        <v>57</v>
      </c>
      <c r="BJ32" s="418">
        <v>58</v>
      </c>
      <c r="BK32" s="418">
        <v>59</v>
      </c>
      <c r="BL32" s="418">
        <v>60</v>
      </c>
      <c r="BM32" s="418">
        <v>61</v>
      </c>
      <c r="BN32" s="418">
        <v>62</v>
      </c>
      <c r="BO32" s="418">
        <v>63</v>
      </c>
      <c r="BP32" s="418">
        <v>64</v>
      </c>
      <c r="BQ32" s="418">
        <v>65</v>
      </c>
      <c r="BR32" s="418">
        <v>66</v>
      </c>
      <c r="BS32" s="418">
        <v>67</v>
      </c>
      <c r="BT32" s="418">
        <v>68</v>
      </c>
      <c r="BU32" s="418">
        <v>69</v>
      </c>
      <c r="BV32" s="418">
        <v>70</v>
      </c>
      <c r="BW32" s="418">
        <v>71</v>
      </c>
      <c r="BX32" s="418">
        <v>72</v>
      </c>
      <c r="BY32" s="418">
        <v>73</v>
      </c>
      <c r="BZ32" s="418">
        <v>74</v>
      </c>
      <c r="CA32" s="418">
        <v>75</v>
      </c>
      <c r="CB32" s="418">
        <v>76</v>
      </c>
      <c r="CC32" s="418">
        <v>77</v>
      </c>
      <c r="CD32" s="418">
        <v>78</v>
      </c>
      <c r="CE32" s="418">
        <v>79</v>
      </c>
      <c r="CF32" s="418">
        <v>80</v>
      </c>
      <c r="CG32" s="418">
        <v>81</v>
      </c>
      <c r="CH32" s="418">
        <v>82</v>
      </c>
      <c r="CI32" s="418">
        <v>83</v>
      </c>
      <c r="CJ32" s="418">
        <v>84</v>
      </c>
      <c r="CK32" s="418">
        <v>85</v>
      </c>
      <c r="CL32" s="418">
        <v>86</v>
      </c>
      <c r="CM32" s="418">
        <v>87</v>
      </c>
      <c r="CN32" s="418">
        <v>88</v>
      </c>
      <c r="CO32" s="418">
        <v>89</v>
      </c>
      <c r="CP32" s="418">
        <v>90</v>
      </c>
      <c r="CQ32" s="418">
        <v>91</v>
      </c>
      <c r="CR32" s="418">
        <v>92</v>
      </c>
      <c r="CS32" s="418">
        <v>93</v>
      </c>
      <c r="CT32" s="418">
        <v>94</v>
      </c>
      <c r="CU32" s="418">
        <v>95</v>
      </c>
      <c r="CV32" s="418">
        <v>96</v>
      </c>
      <c r="CW32" s="418">
        <v>97</v>
      </c>
      <c r="CX32" s="418">
        <v>98</v>
      </c>
      <c r="CY32" s="418">
        <v>99</v>
      </c>
      <c r="CZ32" s="418">
        <v>100</v>
      </c>
      <c r="DA32" s="418">
        <v>101</v>
      </c>
      <c r="DB32" s="418">
        <v>102</v>
      </c>
      <c r="DC32" s="418">
        <v>103</v>
      </c>
      <c r="DD32" s="418">
        <v>104</v>
      </c>
      <c r="DE32" s="418">
        <v>105</v>
      </c>
      <c r="DF32" s="418">
        <v>106</v>
      </c>
      <c r="DG32" s="418">
        <v>107</v>
      </c>
      <c r="DH32" s="418">
        <v>108</v>
      </c>
      <c r="DI32" s="418">
        <v>109</v>
      </c>
      <c r="DJ32" s="418">
        <v>110</v>
      </c>
      <c r="DK32" s="418">
        <v>111</v>
      </c>
      <c r="DL32" s="418">
        <v>112</v>
      </c>
      <c r="DM32" s="418">
        <v>113</v>
      </c>
      <c r="DN32" s="418">
        <v>114</v>
      </c>
      <c r="DO32" s="418">
        <v>115</v>
      </c>
      <c r="DP32" s="418">
        <v>116</v>
      </c>
      <c r="DQ32" s="418">
        <v>117</v>
      </c>
      <c r="DR32" s="418">
        <v>118</v>
      </c>
      <c r="DS32" s="418">
        <v>119</v>
      </c>
      <c r="DT32" s="418">
        <v>120</v>
      </c>
      <c r="DU32" s="418">
        <v>121</v>
      </c>
      <c r="DV32" s="418">
        <v>122</v>
      </c>
      <c r="DW32" s="418">
        <v>123</v>
      </c>
      <c r="DX32" s="418">
        <v>124</v>
      </c>
      <c r="DY32" s="418">
        <v>125</v>
      </c>
      <c r="DZ32" s="418">
        <v>126</v>
      </c>
      <c r="EA32" s="418">
        <v>127</v>
      </c>
      <c r="EB32" s="418">
        <v>128</v>
      </c>
      <c r="EC32" s="418">
        <v>129</v>
      </c>
      <c r="ED32" s="418">
        <v>130</v>
      </c>
      <c r="EE32" s="418">
        <v>131</v>
      </c>
      <c r="EF32" s="418">
        <v>132</v>
      </c>
      <c r="EG32" s="418">
        <v>133</v>
      </c>
      <c r="EH32" s="418">
        <v>134</v>
      </c>
      <c r="EI32" s="418">
        <v>135</v>
      </c>
      <c r="EJ32" s="418">
        <v>136</v>
      </c>
      <c r="EK32" s="418">
        <v>137</v>
      </c>
      <c r="EL32" s="418">
        <v>138</v>
      </c>
      <c r="EM32" s="418">
        <v>139</v>
      </c>
      <c r="EN32" s="418">
        <v>140</v>
      </c>
      <c r="EO32" s="418">
        <v>141</v>
      </c>
      <c r="EP32" s="418">
        <v>142</v>
      </c>
      <c r="EQ32" s="418">
        <v>143</v>
      </c>
      <c r="ER32" s="418">
        <v>144</v>
      </c>
      <c r="ES32" s="418">
        <v>145</v>
      </c>
      <c r="ET32" s="418">
        <v>146</v>
      </c>
      <c r="EU32" s="418">
        <v>147</v>
      </c>
      <c r="EV32" s="418">
        <v>148</v>
      </c>
      <c r="EW32" s="418">
        <v>149</v>
      </c>
      <c r="EX32" s="418">
        <v>150</v>
      </c>
      <c r="EY32" s="418">
        <v>151</v>
      </c>
      <c r="EZ32" s="418">
        <v>152</v>
      </c>
      <c r="FA32" s="418">
        <v>153</v>
      </c>
      <c r="FB32" s="418">
        <v>154</v>
      </c>
      <c r="FC32" s="418">
        <v>155</v>
      </c>
      <c r="FD32" s="418">
        <v>156</v>
      </c>
      <c r="FE32" s="418">
        <v>157</v>
      </c>
      <c r="FF32" s="418">
        <v>158</v>
      </c>
      <c r="FG32" s="418">
        <v>159</v>
      </c>
      <c r="FH32" s="418">
        <v>160</v>
      </c>
      <c r="FI32" s="418">
        <v>161</v>
      </c>
      <c r="FJ32" s="418">
        <v>162</v>
      </c>
      <c r="FK32" s="418">
        <v>163</v>
      </c>
      <c r="FL32" s="418">
        <v>164</v>
      </c>
      <c r="FM32" s="418">
        <v>165</v>
      </c>
      <c r="FN32" s="418">
        <v>166</v>
      </c>
      <c r="FO32" s="418">
        <v>167</v>
      </c>
      <c r="FP32" s="418">
        <v>168</v>
      </c>
      <c r="FQ32" s="418">
        <v>169</v>
      </c>
      <c r="FR32" s="418">
        <v>170</v>
      </c>
      <c r="FS32" s="418">
        <v>171</v>
      </c>
      <c r="FT32" s="418">
        <v>172</v>
      </c>
      <c r="FU32" s="418">
        <v>173</v>
      </c>
      <c r="FV32" s="418">
        <v>174</v>
      </c>
      <c r="FW32" s="418">
        <v>175</v>
      </c>
      <c r="FX32" s="418">
        <v>176</v>
      </c>
      <c r="FY32" s="418">
        <v>177</v>
      </c>
      <c r="FZ32" s="418">
        <v>178</v>
      </c>
      <c r="GA32" s="418">
        <v>179</v>
      </c>
      <c r="GB32" s="418">
        <v>180</v>
      </c>
      <c r="GC32" s="418">
        <v>181</v>
      </c>
      <c r="GD32" s="418">
        <v>182</v>
      </c>
      <c r="GE32" s="418">
        <v>183</v>
      </c>
      <c r="GF32" s="418">
        <v>184</v>
      </c>
      <c r="GG32" s="418">
        <v>185</v>
      </c>
      <c r="GH32" s="418">
        <v>186</v>
      </c>
      <c r="GI32" s="418">
        <v>187</v>
      </c>
      <c r="GJ32" s="418">
        <v>188</v>
      </c>
      <c r="GK32" s="418">
        <v>189</v>
      </c>
      <c r="GL32" s="418">
        <v>190</v>
      </c>
      <c r="GM32" s="418">
        <v>191</v>
      </c>
      <c r="GN32" s="418">
        <v>192</v>
      </c>
      <c r="GO32" s="418">
        <v>193</v>
      </c>
      <c r="GP32" s="418">
        <v>194</v>
      </c>
      <c r="GQ32" s="418">
        <v>195</v>
      </c>
      <c r="GR32" s="418">
        <v>196</v>
      </c>
      <c r="GS32" s="418">
        <v>197</v>
      </c>
      <c r="GT32" s="418">
        <v>198</v>
      </c>
      <c r="GU32" s="418">
        <v>199</v>
      </c>
      <c r="GV32" s="418">
        <v>200</v>
      </c>
      <c r="GW32" s="418">
        <v>201</v>
      </c>
      <c r="GX32" s="418">
        <v>202</v>
      </c>
      <c r="GY32" s="418">
        <v>203</v>
      </c>
      <c r="GZ32" s="418">
        <v>204</v>
      </c>
      <c r="HA32" s="418">
        <v>205</v>
      </c>
      <c r="HB32" s="418">
        <v>206</v>
      </c>
      <c r="HC32" s="418">
        <v>207</v>
      </c>
      <c r="HD32" s="418">
        <v>208</v>
      </c>
      <c r="HE32" s="418">
        <v>209</v>
      </c>
      <c r="HF32" s="418">
        <v>210</v>
      </c>
      <c r="HG32" s="418">
        <v>211</v>
      </c>
      <c r="HH32" s="418">
        <v>212</v>
      </c>
      <c r="HI32" s="418">
        <v>213</v>
      </c>
      <c r="HJ32" s="418">
        <v>214</v>
      </c>
      <c r="HK32" s="418">
        <v>215</v>
      </c>
      <c r="HL32" s="418">
        <v>216</v>
      </c>
      <c r="HM32" s="418">
        <v>217</v>
      </c>
      <c r="HN32" s="418">
        <v>218</v>
      </c>
      <c r="HO32" s="418">
        <v>219</v>
      </c>
      <c r="HP32" s="418">
        <v>220</v>
      </c>
      <c r="HQ32" s="418">
        <v>221</v>
      </c>
      <c r="HR32" s="418">
        <v>222</v>
      </c>
      <c r="HS32" s="418">
        <v>223</v>
      </c>
      <c r="HT32" s="418">
        <v>224</v>
      </c>
      <c r="HU32" s="418">
        <v>225</v>
      </c>
      <c r="HV32" s="418">
        <v>226</v>
      </c>
      <c r="HW32" s="418">
        <v>227</v>
      </c>
      <c r="HX32" s="418">
        <v>228</v>
      </c>
      <c r="HY32" s="418">
        <v>229</v>
      </c>
      <c r="HZ32" s="418">
        <v>230</v>
      </c>
      <c r="IA32" s="418">
        <v>231</v>
      </c>
      <c r="IB32" s="418">
        <v>232</v>
      </c>
      <c r="IC32" s="418">
        <v>233</v>
      </c>
      <c r="ID32" s="418">
        <v>234</v>
      </c>
      <c r="IE32" s="418">
        <v>235</v>
      </c>
      <c r="IF32" s="418">
        <v>236</v>
      </c>
      <c r="IG32" s="418">
        <v>237</v>
      </c>
      <c r="IH32" s="418">
        <v>238</v>
      </c>
      <c r="II32" s="418">
        <v>239</v>
      </c>
      <c r="IJ32" s="418">
        <v>240</v>
      </c>
      <c r="IK32" s="418">
        <v>241</v>
      </c>
      <c r="IL32" s="418">
        <v>242</v>
      </c>
      <c r="IM32" s="418">
        <v>243</v>
      </c>
      <c r="IN32" s="418">
        <v>244</v>
      </c>
      <c r="IO32" s="418">
        <v>245</v>
      </c>
      <c r="IP32" s="418">
        <v>246</v>
      </c>
      <c r="IQ32" s="418">
        <v>247</v>
      </c>
      <c r="IR32" s="418">
        <v>248</v>
      </c>
      <c r="IS32" s="418">
        <v>249</v>
      </c>
      <c r="IT32" s="418">
        <v>250</v>
      </c>
      <c r="IU32" s="418">
        <v>251</v>
      </c>
      <c r="IV32" s="418">
        <v>252</v>
      </c>
      <c r="IW32" s="418">
        <v>253</v>
      </c>
      <c r="IX32" s="418">
        <v>254</v>
      </c>
      <c r="IY32" s="418">
        <v>255</v>
      </c>
      <c r="IZ32" s="418">
        <v>256</v>
      </c>
      <c r="JA32" s="418">
        <v>257</v>
      </c>
      <c r="JB32" s="418">
        <v>258</v>
      </c>
      <c r="JC32" s="418">
        <v>259</v>
      </c>
      <c r="JD32" s="418">
        <v>260</v>
      </c>
      <c r="JE32" s="418">
        <v>261</v>
      </c>
      <c r="JF32" s="418">
        <v>262</v>
      </c>
      <c r="JG32" s="418">
        <v>263</v>
      </c>
      <c r="JH32" s="418">
        <v>264</v>
      </c>
      <c r="JI32" s="418">
        <v>265</v>
      </c>
      <c r="JJ32" s="418">
        <v>266</v>
      </c>
      <c r="JK32" s="418">
        <v>267</v>
      </c>
      <c r="JL32" s="418">
        <v>268</v>
      </c>
      <c r="JM32" s="418">
        <v>269</v>
      </c>
      <c r="JN32" s="418">
        <v>270</v>
      </c>
      <c r="JO32" s="418">
        <v>271</v>
      </c>
      <c r="JP32" s="418">
        <v>272</v>
      </c>
      <c r="JQ32" s="418">
        <v>273</v>
      </c>
      <c r="JR32" s="351"/>
      <c r="JS32" s="1400"/>
    </row>
    <row r="33" spans="1:279" x14ac:dyDescent="0.25">
      <c r="A33" s="1367">
        <v>2</v>
      </c>
      <c r="B33" s="1370" t="str">
        <f t="shared" ref="B33:B40" si="3">IF(ASE_B_IND&gt;1,IF(HLOOKUP(ASE_B_IND-1,ASE_B_RANGE,A33)="","",HLOOKUP(ASE_B_IND-1,ASE_B_RANGE,A33)),"")</f>
        <v/>
      </c>
      <c r="C33" s="1359" t="s">
        <v>2450</v>
      </c>
      <c r="D33" s="1360" t="s">
        <v>2451</v>
      </c>
      <c r="E33" s="1390"/>
      <c r="F33" s="1390"/>
      <c r="G33" s="1390"/>
      <c r="H33" s="1390"/>
      <c r="I33" s="1390"/>
      <c r="J33" s="1390"/>
      <c r="K33" s="1390"/>
      <c r="L33" s="1390"/>
      <c r="M33" s="1390"/>
      <c r="N33" s="1390"/>
      <c r="O33" s="1390"/>
      <c r="P33" s="1390"/>
      <c r="Q33" s="1390"/>
      <c r="R33" s="1390"/>
      <c r="S33" s="1390"/>
      <c r="T33" s="1390"/>
      <c r="U33" s="1390"/>
      <c r="V33" s="1390"/>
      <c r="W33" s="1390"/>
      <c r="X33" s="1390"/>
      <c r="Y33" s="1390"/>
      <c r="Z33" s="1390"/>
      <c r="AA33" s="1390"/>
      <c r="AB33" s="1390"/>
      <c r="AC33" s="1390"/>
      <c r="AD33" s="1390"/>
      <c r="AE33" s="1390"/>
      <c r="AF33" s="1390"/>
      <c r="AG33" s="1390"/>
      <c r="AH33" s="1390"/>
      <c r="AI33" s="1390"/>
      <c r="AJ33" s="1390"/>
      <c r="AK33" s="1390"/>
      <c r="AL33" s="1390"/>
      <c r="AM33" s="1390"/>
      <c r="AN33" s="1390"/>
      <c r="AO33" s="1390"/>
      <c r="AP33" s="1390"/>
      <c r="AQ33" s="1390"/>
      <c r="AR33" s="1390"/>
      <c r="AS33" s="1390"/>
      <c r="AT33" s="1390"/>
      <c r="AU33" s="1390"/>
      <c r="AV33" s="1390"/>
      <c r="AW33" s="1390"/>
      <c r="AX33" s="1390"/>
      <c r="AY33" s="1390"/>
      <c r="AZ33" s="1390"/>
      <c r="BA33" s="1390"/>
      <c r="BB33" s="1390"/>
      <c r="BC33" s="1390"/>
      <c r="BD33" s="1390"/>
      <c r="BE33" s="1390"/>
      <c r="BF33" s="1390"/>
      <c r="BG33" s="1390"/>
      <c r="BH33" s="1390"/>
      <c r="BI33" s="1390"/>
      <c r="BJ33" s="1390"/>
      <c r="BK33" s="1390"/>
      <c r="BL33" s="1390"/>
      <c r="BM33" s="1390"/>
      <c r="BN33" s="1390"/>
      <c r="BO33" s="1390"/>
      <c r="BP33" s="1390"/>
      <c r="BQ33" s="1390"/>
      <c r="BR33" s="1390"/>
      <c r="BS33" s="1390"/>
      <c r="BT33" s="1390"/>
      <c r="BU33" s="1390"/>
      <c r="BV33" s="1390"/>
      <c r="BW33" s="1390"/>
      <c r="BX33" s="1390"/>
      <c r="BY33" s="1390"/>
      <c r="BZ33" s="1390"/>
      <c r="CA33" s="1390"/>
      <c r="CB33" s="1390"/>
      <c r="CC33" s="1390"/>
      <c r="CD33" s="1390"/>
      <c r="CE33" s="1390"/>
      <c r="CF33" s="1390"/>
      <c r="CG33" s="1390"/>
      <c r="CH33" s="1390"/>
      <c r="CI33" s="1390"/>
      <c r="CJ33" s="1390"/>
      <c r="CK33" s="1390"/>
      <c r="CL33" s="1390"/>
      <c r="CM33" s="1390"/>
      <c r="CN33" s="1390"/>
      <c r="CO33" s="1390"/>
      <c r="CP33" s="1390"/>
      <c r="CQ33" s="1390"/>
      <c r="CR33" s="1390"/>
      <c r="CS33" s="1390"/>
      <c r="CT33" s="1390"/>
      <c r="CU33" s="1390"/>
      <c r="CV33" s="1390"/>
      <c r="CW33" s="1390"/>
      <c r="CX33" s="1390"/>
      <c r="CY33" s="1390"/>
      <c r="CZ33" s="1390"/>
      <c r="DA33" s="1390"/>
      <c r="DB33" s="1390"/>
      <c r="DC33" s="1390"/>
      <c r="DD33" s="1390"/>
      <c r="DE33" s="1390"/>
      <c r="DF33" s="1390"/>
      <c r="DG33" s="1390"/>
      <c r="DH33" s="1390"/>
      <c r="DI33" s="1390"/>
      <c r="DJ33" s="1390"/>
      <c r="DK33" s="1390"/>
      <c r="DL33" s="1390"/>
      <c r="DM33" s="1390"/>
      <c r="DN33" s="1390"/>
      <c r="DO33" s="1390"/>
      <c r="DP33" s="1390"/>
      <c r="DQ33" s="1390"/>
      <c r="DR33" s="1390"/>
      <c r="DS33" s="1390"/>
      <c r="DT33" s="1390"/>
      <c r="DU33" s="1390"/>
      <c r="DV33" s="1390"/>
      <c r="DW33" s="1390"/>
      <c r="DX33" s="1390"/>
      <c r="DY33" s="1390"/>
      <c r="DZ33" s="1390"/>
      <c r="EA33" s="1390"/>
      <c r="EB33" s="1390"/>
      <c r="EC33" s="1390"/>
      <c r="ED33" s="1390"/>
      <c r="EE33" s="1390"/>
      <c r="EF33" s="1390"/>
      <c r="EG33" s="1390"/>
      <c r="EH33" s="1390"/>
      <c r="EI33" s="1390"/>
      <c r="EJ33" s="1390"/>
      <c r="EK33" s="1390"/>
      <c r="EL33" s="1390"/>
      <c r="EM33" s="1390"/>
      <c r="EN33" s="1390"/>
      <c r="EO33" s="1390"/>
      <c r="EP33" s="1390"/>
      <c r="EQ33" s="1390"/>
      <c r="ER33" s="1390"/>
      <c r="ES33" s="1390"/>
      <c r="ET33" s="1390"/>
      <c r="EU33" s="1390"/>
      <c r="EV33" s="1390"/>
      <c r="EW33" s="1390"/>
      <c r="EX33" s="1390"/>
      <c r="EY33" s="1390"/>
      <c r="EZ33" s="1390"/>
      <c r="FA33" s="1390"/>
      <c r="FB33" s="1390"/>
      <c r="FC33" s="1390"/>
      <c r="FD33" s="1390"/>
      <c r="FE33" s="1390"/>
      <c r="FF33" s="1390"/>
      <c r="FG33" s="1390"/>
      <c r="FH33" s="1390"/>
      <c r="FI33" s="1390"/>
      <c r="FJ33" s="1390"/>
      <c r="FK33" s="1390"/>
      <c r="FL33" s="1390"/>
      <c r="FM33" s="1390"/>
      <c r="FN33" s="1390"/>
      <c r="FO33" s="1390"/>
      <c r="FP33" s="1390"/>
      <c r="FQ33" s="1390"/>
      <c r="FR33" s="1390"/>
      <c r="FS33" s="1390"/>
      <c r="FT33" s="1390"/>
      <c r="FU33" s="1390"/>
      <c r="FV33" s="1390"/>
      <c r="FW33" s="1390"/>
      <c r="FX33" s="1390"/>
      <c r="FY33" s="1390"/>
      <c r="FZ33" s="1390"/>
      <c r="GA33" s="1390"/>
      <c r="GB33" s="1390"/>
      <c r="GC33" s="1390"/>
      <c r="GD33" s="1390"/>
      <c r="GE33" s="1390"/>
      <c r="GF33" s="1390"/>
      <c r="GG33" s="1390"/>
      <c r="GH33" s="1390"/>
      <c r="GI33" s="1390"/>
      <c r="GJ33" s="1390"/>
      <c r="GK33" s="1390"/>
      <c r="GL33" s="1390"/>
      <c r="GM33" s="1390"/>
      <c r="GN33" s="1390"/>
      <c r="GO33" s="1390"/>
      <c r="GP33" s="1390"/>
      <c r="GQ33" s="1390"/>
      <c r="GR33" s="1390"/>
      <c r="GS33" s="1390"/>
      <c r="GT33" s="1390"/>
      <c r="GU33" s="1390"/>
      <c r="GV33" s="1390"/>
      <c r="GW33" s="1390"/>
      <c r="GX33" s="1390"/>
      <c r="GY33" s="1390"/>
      <c r="GZ33" s="1390"/>
      <c r="HA33" s="1390"/>
      <c r="HB33" s="1390"/>
      <c r="HC33" s="1390"/>
      <c r="HD33" s="1390"/>
      <c r="HE33" s="1390"/>
      <c r="HF33" s="1390"/>
      <c r="HG33" s="1390"/>
      <c r="HH33" s="1390"/>
      <c r="HI33" s="1390"/>
      <c r="HJ33" s="1390"/>
      <c r="HK33" s="1390"/>
      <c r="HL33" s="1390"/>
      <c r="HM33" s="1390"/>
      <c r="HN33" s="1390"/>
      <c r="HO33" s="1390"/>
      <c r="HP33" s="1404">
        <v>19471</v>
      </c>
      <c r="HQ33" s="1404">
        <v>19420</v>
      </c>
      <c r="HR33" s="1272"/>
      <c r="HS33" s="1390"/>
      <c r="HT33" s="1272"/>
      <c r="HU33" s="1390"/>
      <c r="HV33" s="1390"/>
      <c r="HW33" s="1390"/>
      <c r="HX33" s="1404">
        <v>183447</v>
      </c>
      <c r="HY33" s="1390"/>
      <c r="HZ33" s="1390"/>
      <c r="IA33" s="1272"/>
      <c r="IB33" s="1272"/>
      <c r="IC33" s="1272"/>
      <c r="ID33" s="1272"/>
      <c r="IE33" s="1272"/>
      <c r="IF33" s="1272"/>
      <c r="IG33" s="1272"/>
      <c r="IH33" s="1272"/>
      <c r="II33" s="1366">
        <v>27500</v>
      </c>
      <c r="IJ33" s="2507"/>
      <c r="IK33" s="2507"/>
      <c r="IL33" s="2507"/>
      <c r="IM33" s="1390"/>
      <c r="IN33" s="1390"/>
      <c r="IO33" s="1390"/>
      <c r="IP33" s="1272"/>
      <c r="IQ33" s="1272"/>
      <c r="IR33" s="1272"/>
      <c r="IS33" s="1272"/>
      <c r="IT33" s="1272"/>
      <c r="IU33" s="1272"/>
      <c r="IV33" s="1272"/>
      <c r="IW33" s="1272"/>
      <c r="IX33" s="1272"/>
      <c r="IY33" s="1272"/>
      <c r="IZ33" s="1272"/>
      <c r="JA33" s="1272"/>
      <c r="JB33" s="1272"/>
      <c r="JC33" s="1272"/>
      <c r="JD33" s="1272"/>
      <c r="JE33" s="1272">
        <v>24850</v>
      </c>
      <c r="JF33" s="1272"/>
      <c r="JG33" s="1272"/>
      <c r="JH33" s="1272"/>
      <c r="JI33" s="1272"/>
      <c r="JJ33" s="1272"/>
      <c r="JK33" s="1272"/>
      <c r="JL33" s="1272"/>
      <c r="JM33" s="1272"/>
      <c r="JN33" s="1272"/>
      <c r="JO33" s="1272"/>
      <c r="JP33" s="1272"/>
      <c r="JQ33" s="1403"/>
      <c r="JR33" s="351"/>
      <c r="JS33" s="1400"/>
    </row>
    <row r="34" spans="1:279" x14ac:dyDescent="0.25">
      <c r="A34" s="1367">
        <v>3</v>
      </c>
      <c r="B34" s="1370" t="str">
        <f t="shared" si="3"/>
        <v/>
      </c>
      <c r="C34" s="1359" t="s">
        <v>2452</v>
      </c>
      <c r="D34" s="1360" t="s">
        <v>2453</v>
      </c>
      <c r="E34" s="1272"/>
      <c r="F34" s="1272"/>
      <c r="G34" s="1272"/>
      <c r="H34" s="1272"/>
      <c r="I34" s="1272"/>
      <c r="J34" s="1272"/>
      <c r="K34" s="1272"/>
      <c r="L34" s="1272"/>
      <c r="M34" s="1272"/>
      <c r="N34" s="1272"/>
      <c r="O34" s="1272"/>
      <c r="P34" s="1272"/>
      <c r="Q34" s="1272"/>
      <c r="R34" s="1272"/>
      <c r="S34" s="1272"/>
      <c r="T34" s="1272"/>
      <c r="U34" s="1272"/>
      <c r="V34" s="1272"/>
      <c r="W34" s="1272"/>
      <c r="X34" s="1272"/>
      <c r="Y34" s="1272"/>
      <c r="Z34" s="1272"/>
      <c r="AA34" s="1272"/>
      <c r="AB34" s="1272"/>
      <c r="AC34" s="1272"/>
      <c r="AD34" s="1272"/>
      <c r="AE34" s="1272"/>
      <c r="AF34" s="1272"/>
      <c r="AG34" s="1272"/>
      <c r="AH34" s="1272"/>
      <c r="AI34" s="1272"/>
      <c r="AJ34" s="1272"/>
      <c r="AK34" s="1272"/>
      <c r="AL34" s="1272"/>
      <c r="AM34" s="1272"/>
      <c r="AN34" s="1272"/>
      <c r="AO34" s="1272"/>
      <c r="AP34" s="1272"/>
      <c r="AQ34" s="1272"/>
      <c r="AR34" s="1272"/>
      <c r="AS34" s="1272"/>
      <c r="AT34" s="1272"/>
      <c r="AU34" s="1272"/>
      <c r="AV34" s="1272"/>
      <c r="AW34" s="1272"/>
      <c r="AX34" s="1272"/>
      <c r="AY34" s="1272"/>
      <c r="AZ34" s="1272"/>
      <c r="BA34" s="1272"/>
      <c r="BB34" s="1272"/>
      <c r="BC34" s="1272"/>
      <c r="BD34" s="1272"/>
      <c r="BE34" s="1272"/>
      <c r="BF34" s="1272"/>
      <c r="BG34" s="1272"/>
      <c r="BH34" s="1272"/>
      <c r="BI34" s="1272"/>
      <c r="BJ34" s="1272"/>
      <c r="BK34" s="1272"/>
      <c r="BL34" s="1272"/>
      <c r="BM34" s="1272"/>
      <c r="BN34" s="1272"/>
      <c r="BO34" s="1272"/>
      <c r="BP34" s="1272"/>
      <c r="BQ34" s="1272"/>
      <c r="BR34" s="1272"/>
      <c r="BS34" s="1272"/>
      <c r="BT34" s="1272"/>
      <c r="BU34" s="1272"/>
      <c r="BV34" s="1272"/>
      <c r="BW34" s="1272"/>
      <c r="BX34" s="1272"/>
      <c r="BY34" s="1272"/>
      <c r="BZ34" s="1272"/>
      <c r="CA34" s="1272"/>
      <c r="CB34" s="1272"/>
      <c r="CC34" s="1272"/>
      <c r="CD34" s="1272"/>
      <c r="CE34" s="1272"/>
      <c r="CF34" s="1272"/>
      <c r="CG34" s="1272"/>
      <c r="CH34" s="1272"/>
      <c r="CI34" s="1272"/>
      <c r="CJ34" s="1272"/>
      <c r="CK34" s="1272"/>
      <c r="CL34" s="1272"/>
      <c r="CM34" s="1272"/>
      <c r="CN34" s="1272"/>
      <c r="CO34" s="1272"/>
      <c r="CP34" s="1272"/>
      <c r="CQ34" s="1272"/>
      <c r="CR34" s="1272"/>
      <c r="CS34" s="1272"/>
      <c r="CT34" s="1272"/>
      <c r="CU34" s="1272"/>
      <c r="CV34" s="1272"/>
      <c r="CW34" s="1272"/>
      <c r="CX34" s="1272"/>
      <c r="CY34" s="1272"/>
      <c r="CZ34" s="1272"/>
      <c r="DA34" s="1272"/>
      <c r="DB34" s="1272"/>
      <c r="DC34" s="1272"/>
      <c r="DD34" s="1272"/>
      <c r="DE34" s="1272"/>
      <c r="DF34" s="1272"/>
      <c r="DG34" s="1272"/>
      <c r="DH34" s="1272"/>
      <c r="DI34" s="1272"/>
      <c r="DJ34" s="1272"/>
      <c r="DK34" s="1272"/>
      <c r="DL34" s="1272">
        <v>2200</v>
      </c>
      <c r="DM34" s="1272"/>
      <c r="DN34" s="1272"/>
      <c r="DO34" s="1272"/>
      <c r="DP34" s="1272"/>
      <c r="DQ34" s="1272"/>
      <c r="DR34" s="1272"/>
      <c r="DS34" s="1272"/>
      <c r="DT34" s="1272"/>
      <c r="DU34" s="1272"/>
      <c r="DV34" s="1272"/>
      <c r="DW34" s="1272"/>
      <c r="DX34" s="1272"/>
      <c r="DY34" s="1272"/>
      <c r="DZ34" s="1272"/>
      <c r="EA34" s="1272"/>
      <c r="EB34" s="1272"/>
      <c r="EC34" s="1272"/>
      <c r="ED34" s="1272"/>
      <c r="EE34" s="1272"/>
      <c r="EF34" s="1272"/>
      <c r="EG34" s="1272"/>
      <c r="EH34" s="1272"/>
      <c r="EI34" s="1272"/>
      <c r="EJ34" s="1272"/>
      <c r="EK34" s="1272"/>
      <c r="EL34" s="1272"/>
      <c r="EM34" s="1272"/>
      <c r="EN34" s="1272"/>
      <c r="EO34" s="1272"/>
      <c r="EP34" s="1272"/>
      <c r="EQ34" s="1272"/>
      <c r="ER34" s="1272"/>
      <c r="ES34" s="1272"/>
      <c r="ET34" s="1272"/>
      <c r="EU34" s="1272"/>
      <c r="EV34" s="1272"/>
      <c r="EW34" s="1272"/>
      <c r="EX34" s="1272"/>
      <c r="EY34" s="1272"/>
      <c r="EZ34" s="1272"/>
      <c r="FA34" s="1272"/>
      <c r="FB34" s="1272"/>
      <c r="FC34" s="1272"/>
      <c r="FD34" s="1272"/>
      <c r="FE34" s="1272"/>
      <c r="FF34" s="1272"/>
      <c r="FG34" s="1272"/>
      <c r="FH34" s="1272"/>
      <c r="FI34" s="1272"/>
      <c r="FJ34" s="1272"/>
      <c r="FK34" s="1272"/>
      <c r="FL34" s="1272"/>
      <c r="FM34" s="1272"/>
      <c r="FN34" s="1272"/>
      <c r="FO34" s="1272"/>
      <c r="FP34" s="1272"/>
      <c r="FQ34" s="1272"/>
      <c r="FR34" s="1272"/>
      <c r="FS34" s="1272"/>
      <c r="FT34" s="1272"/>
      <c r="FU34" s="1272"/>
      <c r="FV34" s="1272"/>
      <c r="FW34" s="1272"/>
      <c r="FX34" s="1272"/>
      <c r="FY34" s="1272"/>
      <c r="FZ34" s="1272"/>
      <c r="GA34" s="1272"/>
      <c r="GB34" s="1272"/>
      <c r="GC34" s="1272"/>
      <c r="GD34" s="1272"/>
      <c r="GE34" s="1272"/>
      <c r="GF34" s="1272"/>
      <c r="GG34" s="1272"/>
      <c r="GH34" s="1272"/>
      <c r="GI34" s="1272"/>
      <c r="GJ34" s="1272"/>
      <c r="GK34" s="1272"/>
      <c r="GL34" s="1272"/>
      <c r="GM34" s="1272"/>
      <c r="GN34" s="1272"/>
      <c r="GO34" s="1272"/>
      <c r="GP34" s="1272"/>
      <c r="GQ34" s="1272"/>
      <c r="GR34" s="1272"/>
      <c r="GS34" s="1272"/>
      <c r="GT34" s="1272"/>
      <c r="GU34" s="1272"/>
      <c r="GV34" s="1272"/>
      <c r="GW34" s="1272"/>
      <c r="GX34" s="1272"/>
      <c r="GY34" s="1272"/>
      <c r="GZ34" s="1272"/>
      <c r="HA34" s="1272"/>
      <c r="HB34" s="1272"/>
      <c r="HC34" s="1272"/>
      <c r="HD34" s="1272"/>
      <c r="HE34" s="1272"/>
      <c r="HF34" s="1272"/>
      <c r="HG34" s="1272"/>
      <c r="HH34" s="1272"/>
      <c r="HI34" s="1272"/>
      <c r="HJ34" s="1272"/>
      <c r="HK34" s="1272"/>
      <c r="HL34" s="1272"/>
      <c r="HM34" s="1272"/>
      <c r="HN34" s="1272"/>
      <c r="HO34" s="1272"/>
      <c r="HP34" s="1272"/>
      <c r="HQ34" s="1272"/>
      <c r="HR34" s="1272"/>
      <c r="HS34" s="1272"/>
      <c r="HT34" s="1272"/>
      <c r="HU34" s="1272"/>
      <c r="HV34" s="1272"/>
      <c r="HW34" s="1272"/>
      <c r="HX34" s="1272"/>
      <c r="HY34" s="1272"/>
      <c r="HZ34" s="1272"/>
      <c r="IA34" s="1272"/>
      <c r="IB34" s="1272"/>
      <c r="IC34" s="1272"/>
      <c r="ID34" s="1272"/>
      <c r="IE34" s="1272"/>
      <c r="IF34" s="1272"/>
      <c r="IG34" s="1272"/>
      <c r="IH34" s="1272"/>
      <c r="II34" s="1272"/>
      <c r="IJ34" s="1272"/>
      <c r="IK34" s="1272"/>
      <c r="IL34" s="1272"/>
      <c r="IM34" s="1272"/>
      <c r="IN34" s="1272"/>
      <c r="IO34" s="1272"/>
      <c r="IP34" s="1272"/>
      <c r="IQ34" s="1272"/>
      <c r="IR34" s="1272"/>
      <c r="IS34" s="1272"/>
      <c r="IT34" s="1272"/>
      <c r="IU34" s="1272"/>
      <c r="IV34" s="1272"/>
      <c r="IW34" s="1272"/>
      <c r="IX34" s="1272"/>
      <c r="IY34" s="1272"/>
      <c r="IZ34" s="1272"/>
      <c r="JA34" s="1272"/>
      <c r="JB34" s="1272"/>
      <c r="JC34" s="1272"/>
      <c r="JD34" s="1272"/>
      <c r="JE34" s="1272"/>
      <c r="JF34" s="1272"/>
      <c r="JG34" s="1272"/>
      <c r="JH34" s="1272"/>
      <c r="JI34" s="1272"/>
      <c r="JJ34" s="1272"/>
      <c r="JK34" s="1272"/>
      <c r="JL34" s="1272"/>
      <c r="JM34" s="1272"/>
      <c r="JN34" s="1272"/>
      <c r="JO34" s="1272"/>
      <c r="JP34" s="1272"/>
      <c r="JQ34" s="1405"/>
      <c r="JR34" s="351"/>
      <c r="JS34" s="1400"/>
    </row>
    <row r="35" spans="1:279" x14ac:dyDescent="0.25">
      <c r="A35" s="1367">
        <v>4</v>
      </c>
      <c r="B35" s="1370" t="str">
        <f t="shared" si="3"/>
        <v/>
      </c>
      <c r="C35" s="1359" t="s">
        <v>2454</v>
      </c>
      <c r="D35" s="1360" t="s">
        <v>2455</v>
      </c>
      <c r="E35" s="1390"/>
      <c r="F35" s="1390"/>
      <c r="G35" s="1390"/>
      <c r="H35" s="1390"/>
      <c r="I35" s="1390"/>
      <c r="J35" s="1390"/>
      <c r="K35" s="1390"/>
      <c r="L35" s="1390"/>
      <c r="M35" s="1390"/>
      <c r="N35" s="1390"/>
      <c r="O35" s="1390"/>
      <c r="P35" s="1390"/>
      <c r="Q35" s="1390"/>
      <c r="R35" s="1390"/>
      <c r="S35" s="1390"/>
      <c r="T35" s="1390"/>
      <c r="U35" s="1390"/>
      <c r="V35" s="1390"/>
      <c r="W35" s="1390"/>
      <c r="X35" s="1390"/>
      <c r="Y35" s="1390"/>
      <c r="Z35" s="1390"/>
      <c r="AA35" s="1390"/>
      <c r="AB35" s="1390"/>
      <c r="AC35" s="1390"/>
      <c r="AD35" s="1390"/>
      <c r="AE35" s="1390"/>
      <c r="AF35" s="1390"/>
      <c r="AG35" s="1390"/>
      <c r="AH35" s="1390"/>
      <c r="AI35" s="1390"/>
      <c r="AJ35" s="1390"/>
      <c r="AK35" s="1390"/>
      <c r="AL35" s="1390"/>
      <c r="AM35" s="1390"/>
      <c r="AN35" s="1390"/>
      <c r="AO35" s="1390"/>
      <c r="AP35" s="1390"/>
      <c r="AQ35" s="1390"/>
      <c r="AR35" s="1390"/>
      <c r="AS35" s="1390"/>
      <c r="AT35" s="1390"/>
      <c r="AU35" s="1390"/>
      <c r="AV35" s="1390"/>
      <c r="AW35" s="1390"/>
      <c r="AX35" s="1390"/>
      <c r="AY35" s="1390"/>
      <c r="AZ35" s="1390"/>
      <c r="BA35" s="1390"/>
      <c r="BB35" s="1390"/>
      <c r="BC35" s="1390"/>
      <c r="BD35" s="1390">
        <v>15000</v>
      </c>
      <c r="BE35" s="1390">
        <v>7000</v>
      </c>
      <c r="BF35" s="1390"/>
      <c r="BG35" s="1390"/>
      <c r="BH35" s="1390"/>
      <c r="BI35" s="1390"/>
      <c r="BJ35" s="1390"/>
      <c r="BK35" s="1390"/>
      <c r="BL35" s="1390"/>
      <c r="BM35" s="1390"/>
      <c r="BN35" s="1390"/>
      <c r="BO35" s="1390"/>
      <c r="BP35" s="1390"/>
      <c r="BQ35" s="1390"/>
      <c r="BR35" s="1390"/>
      <c r="BS35" s="1390"/>
      <c r="BT35" s="1390"/>
      <c r="BU35" s="1390"/>
      <c r="BV35" s="1404">
        <v>15000</v>
      </c>
      <c r="BW35" s="1390"/>
      <c r="BX35" s="1390"/>
      <c r="BY35" s="1390"/>
      <c r="BZ35" s="1390"/>
      <c r="CA35" s="1390"/>
      <c r="CB35" s="1390"/>
      <c r="CC35" s="1390"/>
      <c r="CD35" s="1390"/>
      <c r="CE35" s="1390"/>
      <c r="CF35" s="1390"/>
      <c r="CG35" s="1390"/>
      <c r="CH35" s="1390"/>
      <c r="CI35" s="1390"/>
      <c r="CJ35" s="1390"/>
      <c r="CK35" s="1390"/>
      <c r="CL35" s="1390"/>
      <c r="CM35" s="1390"/>
      <c r="CN35" s="1390"/>
      <c r="CO35" s="1390"/>
      <c r="CP35" s="1390"/>
      <c r="CQ35" s="1390">
        <v>1000</v>
      </c>
      <c r="CR35" s="1390"/>
      <c r="CS35" s="1390"/>
      <c r="CT35" s="1390"/>
      <c r="CU35" s="1390"/>
      <c r="CV35" s="1390"/>
      <c r="CW35" s="1390"/>
      <c r="CX35" s="1390"/>
      <c r="CY35" s="1390"/>
      <c r="CZ35" s="1390"/>
      <c r="DA35" s="1390"/>
      <c r="DB35" s="1390"/>
      <c r="DC35" s="1390"/>
      <c r="DD35" s="1390"/>
      <c r="DE35" s="1390"/>
      <c r="DF35" s="1406">
        <v>388602</v>
      </c>
      <c r="DG35" s="1390"/>
      <c r="DH35" s="1390"/>
      <c r="DI35" s="1390"/>
      <c r="DJ35" s="1390"/>
      <c r="DK35" s="1390"/>
      <c r="DL35" s="1390"/>
      <c r="DM35" s="1390"/>
      <c r="DN35" s="1390"/>
      <c r="DO35" s="1390"/>
      <c r="DP35" s="1390"/>
      <c r="DQ35" s="1390"/>
      <c r="DR35" s="1390"/>
      <c r="DS35" s="1390"/>
      <c r="DT35" s="1390"/>
      <c r="DU35" s="1390"/>
      <c r="DV35" s="1390"/>
      <c r="DW35" s="1390"/>
      <c r="DX35" s="1390"/>
      <c r="DY35" s="1390"/>
      <c r="DZ35" s="1390"/>
      <c r="EA35" s="1390"/>
      <c r="EB35" s="1390"/>
      <c r="EC35" s="1390"/>
      <c r="ED35" s="1390"/>
      <c r="EE35" s="1390"/>
      <c r="EF35" s="1390"/>
      <c r="EG35" s="1390"/>
      <c r="EH35" s="1390"/>
      <c r="EI35" s="1390"/>
      <c r="EJ35" s="1390"/>
      <c r="EK35" s="1390"/>
      <c r="EL35" s="1390"/>
      <c r="EM35" s="1390"/>
      <c r="EN35" s="1390"/>
      <c r="EO35" s="1390"/>
      <c r="EP35" s="1390"/>
      <c r="EQ35" s="1390"/>
      <c r="ER35" s="1390"/>
      <c r="ES35" s="1390"/>
      <c r="ET35" s="1390"/>
      <c r="EU35" s="1390"/>
      <c r="EV35" s="1390"/>
      <c r="EW35" s="1390"/>
      <c r="EX35" s="1390"/>
      <c r="EY35" s="1390"/>
      <c r="EZ35" s="1390"/>
      <c r="FA35" s="1406">
        <v>7925249</v>
      </c>
      <c r="FB35" s="1390"/>
      <c r="FC35" s="1390">
        <v>3982</v>
      </c>
      <c r="FD35" s="1390"/>
      <c r="FE35" s="1390"/>
      <c r="FF35" s="1390"/>
      <c r="FG35" s="1390"/>
      <c r="FH35" s="1390"/>
      <c r="FI35" s="1390"/>
      <c r="FJ35" s="1390"/>
      <c r="FK35" s="1390"/>
      <c r="FL35" s="1390"/>
      <c r="FM35" s="1390"/>
      <c r="FN35" s="1390"/>
      <c r="FO35" s="1390"/>
      <c r="FP35" s="1390"/>
      <c r="FQ35" s="1390"/>
      <c r="FR35" s="1406">
        <v>20000</v>
      </c>
      <c r="FS35" s="1390"/>
      <c r="FT35" s="1390"/>
      <c r="FU35" s="1390"/>
      <c r="FV35" s="1390"/>
      <c r="FW35" s="1390"/>
      <c r="FX35" s="1390"/>
      <c r="FY35" s="1404">
        <v>35000</v>
      </c>
      <c r="FZ35" s="1390"/>
      <c r="GA35" s="1390"/>
      <c r="GB35" s="1404">
        <v>35000</v>
      </c>
      <c r="GC35" s="1404">
        <v>72055</v>
      </c>
      <c r="GD35" s="1404">
        <v>55000</v>
      </c>
      <c r="GE35" s="1390"/>
      <c r="GF35" s="1390"/>
      <c r="GG35" s="1390"/>
      <c r="GH35" s="1390"/>
      <c r="GI35" s="1404">
        <v>55000</v>
      </c>
      <c r="GJ35" s="1390"/>
      <c r="GK35" s="1404">
        <v>55000</v>
      </c>
      <c r="GL35" s="1404">
        <v>7000</v>
      </c>
      <c r="GM35" s="1390"/>
      <c r="GN35" s="1404">
        <v>7700</v>
      </c>
      <c r="GO35" s="1390"/>
      <c r="GP35" s="1390"/>
      <c r="GQ35" s="1390"/>
      <c r="GR35" s="1404">
        <v>79000</v>
      </c>
      <c r="GS35" s="1390"/>
      <c r="GT35" s="1390"/>
      <c r="GU35" s="1390"/>
      <c r="GV35" s="1390"/>
      <c r="GW35" s="1390"/>
      <c r="GX35" s="1390"/>
      <c r="GY35" s="1390"/>
      <c r="GZ35" s="1390"/>
      <c r="HA35" s="1390"/>
      <c r="HB35" s="1390"/>
      <c r="HC35" s="1390"/>
      <c r="HD35" s="1404">
        <v>75000</v>
      </c>
      <c r="HE35" s="1390"/>
      <c r="HF35" s="1390"/>
      <c r="HG35" s="1404">
        <v>69000</v>
      </c>
      <c r="HH35" s="1390"/>
      <c r="HI35" s="1390"/>
      <c r="HJ35" s="1390"/>
      <c r="HK35" s="1390"/>
      <c r="HL35" s="1390"/>
      <c r="HM35" s="1390"/>
      <c r="HN35" s="1390"/>
      <c r="HO35" s="1390"/>
      <c r="HP35" s="1541">
        <v>24940</v>
      </c>
      <c r="HQ35" s="1541">
        <v>24876</v>
      </c>
      <c r="HR35" s="1541">
        <v>24750</v>
      </c>
      <c r="HS35" s="1390">
        <v>77100</v>
      </c>
      <c r="HT35" s="1541">
        <v>13666</v>
      </c>
      <c r="HU35" s="1404">
        <v>23535</v>
      </c>
      <c r="HV35" s="1390">
        <v>210910</v>
      </c>
      <c r="HW35" s="1390"/>
      <c r="HX35" s="1541">
        <v>23317</v>
      </c>
      <c r="HY35" s="1272"/>
      <c r="HZ35" s="1272">
        <v>120000</v>
      </c>
      <c r="IA35" s="1541">
        <v>23226</v>
      </c>
      <c r="IB35" s="1272">
        <v>1000</v>
      </c>
      <c r="IC35" s="1541">
        <v>23215</v>
      </c>
      <c r="ID35" s="1541">
        <v>21992</v>
      </c>
      <c r="IE35" s="1541">
        <v>21953</v>
      </c>
      <c r="IF35" s="1272">
        <v>18659</v>
      </c>
      <c r="IG35" s="1272">
        <v>197700</v>
      </c>
      <c r="IH35" s="1366">
        <v>20000</v>
      </c>
      <c r="II35" s="1366">
        <v>20851</v>
      </c>
      <c r="IJ35" s="1440">
        <v>20918.080000000002</v>
      </c>
      <c r="IK35" s="1440">
        <v>20987.3</v>
      </c>
      <c r="IL35" s="1440">
        <v>21216</v>
      </c>
      <c r="IM35" s="1541">
        <v>12000</v>
      </c>
      <c r="IN35" s="1272"/>
      <c r="IO35" s="1541">
        <v>76018</v>
      </c>
      <c r="IP35" s="1272"/>
      <c r="IQ35" s="1272"/>
      <c r="IR35" s="1272"/>
      <c r="IS35" s="1272"/>
      <c r="IT35" s="1272"/>
      <c r="IU35" s="1272"/>
      <c r="IV35" s="1272"/>
      <c r="IW35" s="1272"/>
      <c r="IX35" s="1272"/>
      <c r="IY35" s="1272"/>
      <c r="IZ35" s="1272"/>
      <c r="JA35" s="1272"/>
      <c r="JB35" s="1272"/>
      <c r="JC35" s="1272"/>
      <c r="JD35" s="1272"/>
      <c r="JE35" s="1272"/>
      <c r="JF35" s="1272"/>
      <c r="JG35" s="1272"/>
      <c r="JH35" s="1272"/>
      <c r="JI35" s="1272"/>
      <c r="JJ35" s="1272"/>
      <c r="JK35" s="1272"/>
      <c r="JL35" s="1272"/>
      <c r="JM35" s="1272"/>
      <c r="JN35" s="1272"/>
      <c r="JO35" s="1272"/>
      <c r="JP35" s="1272"/>
      <c r="JQ35" s="2512">
        <v>20100</v>
      </c>
      <c r="JR35" s="351"/>
      <c r="JS35" s="1400"/>
    </row>
    <row r="36" spans="1:279" x14ac:dyDescent="0.25">
      <c r="A36" s="1367">
        <v>5</v>
      </c>
      <c r="B36" s="1370" t="str">
        <f t="shared" si="3"/>
        <v/>
      </c>
      <c r="C36" s="1359" t="s">
        <v>2456</v>
      </c>
      <c r="D36" s="1360" t="s">
        <v>2457</v>
      </c>
      <c r="E36" s="2513"/>
      <c r="F36" s="2513"/>
      <c r="G36" s="2513"/>
      <c r="H36" s="2513"/>
      <c r="I36" s="2513"/>
      <c r="J36" s="2513"/>
      <c r="K36" s="2513"/>
      <c r="L36" s="2513"/>
      <c r="M36" s="2513"/>
      <c r="N36" s="2513"/>
      <c r="O36" s="2513"/>
      <c r="P36" s="2513"/>
      <c r="Q36" s="2513"/>
      <c r="R36" s="2513"/>
      <c r="S36" s="2513"/>
      <c r="T36" s="2513"/>
      <c r="U36" s="2513"/>
      <c r="V36" s="2513"/>
      <c r="W36" s="2513"/>
      <c r="X36" s="2513"/>
      <c r="Y36" s="2513"/>
      <c r="Z36" s="2513"/>
      <c r="AA36" s="2513"/>
      <c r="AB36" s="2513"/>
      <c r="AC36" s="2513"/>
      <c r="AD36" s="2513"/>
      <c r="AE36" s="2513"/>
      <c r="AF36" s="2513"/>
      <c r="AG36" s="2513"/>
      <c r="AH36" s="2513"/>
      <c r="AI36" s="2513"/>
      <c r="AJ36" s="2513"/>
      <c r="AK36" s="2513"/>
      <c r="AL36" s="2513"/>
      <c r="AM36" s="2513"/>
      <c r="AN36" s="2513"/>
      <c r="AO36" s="2513"/>
      <c r="AP36" s="2513"/>
      <c r="AQ36" s="2513"/>
      <c r="AR36" s="2513"/>
      <c r="AS36" s="2513"/>
      <c r="AT36" s="2513"/>
      <c r="AU36" s="2513"/>
      <c r="AV36" s="2513"/>
      <c r="AW36" s="2513"/>
      <c r="AX36" s="2513"/>
      <c r="AY36" s="2513"/>
      <c r="AZ36" s="2513"/>
      <c r="BA36" s="2513"/>
      <c r="BB36" s="2513"/>
      <c r="BC36" s="2513"/>
      <c r="BD36" s="2513">
        <f>(BD33+BD34+BD35)*BR_rate</f>
        <v>3000</v>
      </c>
      <c r="BE36" s="2513"/>
      <c r="BF36" s="2513"/>
      <c r="BG36" s="2513"/>
      <c r="BH36" s="2513"/>
      <c r="BI36" s="2513"/>
      <c r="BJ36" s="2513"/>
      <c r="BK36" s="2513"/>
      <c r="BL36" s="2513"/>
      <c r="BM36" s="2513"/>
      <c r="BN36" s="2513"/>
      <c r="BO36" s="2513"/>
      <c r="BP36" s="2513"/>
      <c r="BQ36" s="2513"/>
      <c r="BR36" s="2513"/>
      <c r="BS36" s="2513"/>
      <c r="BT36" s="2513"/>
      <c r="BU36" s="2513"/>
      <c r="BV36" s="2513"/>
      <c r="BW36" s="2513"/>
      <c r="BX36" s="2513"/>
      <c r="BY36" s="2513"/>
      <c r="BZ36" s="2513"/>
      <c r="CA36" s="2513"/>
      <c r="CB36" s="2513"/>
      <c r="CC36" s="2513"/>
      <c r="CD36" s="2513"/>
      <c r="CE36" s="2513"/>
      <c r="CF36" s="2513"/>
      <c r="CG36" s="2513"/>
      <c r="CH36" s="2513"/>
      <c r="CI36" s="2513"/>
      <c r="CJ36" s="2513"/>
      <c r="CK36" s="2513"/>
      <c r="CL36" s="2513"/>
      <c r="CM36" s="2513"/>
      <c r="CN36" s="2513"/>
      <c r="CO36" s="2513"/>
      <c r="CP36" s="2513"/>
      <c r="CQ36" s="2513"/>
      <c r="CR36" s="2513"/>
      <c r="CS36" s="2513"/>
      <c r="CT36" s="2513"/>
      <c r="CU36" s="2513"/>
      <c r="CV36" s="2513"/>
      <c r="CW36" s="2513"/>
      <c r="CX36" s="2513"/>
      <c r="CY36" s="2513"/>
      <c r="CZ36" s="2513"/>
      <c r="DA36" s="2513"/>
      <c r="DB36" s="2513"/>
      <c r="DC36" s="2513"/>
      <c r="DD36" s="2513"/>
      <c r="DE36" s="2513"/>
      <c r="DF36" s="2514">
        <f>(DF33+DF34+DF35)*BR_rate</f>
        <v>77720.400000000009</v>
      </c>
      <c r="DG36" s="2513"/>
      <c r="DH36" s="2513"/>
      <c r="DI36" s="2513"/>
      <c r="DJ36" s="2513"/>
      <c r="DK36" s="2513"/>
      <c r="DL36" s="2513">
        <f>(DL33+DL34+DL35)*BR_rate</f>
        <v>440</v>
      </c>
      <c r="DM36" s="2513"/>
      <c r="DN36" s="2513"/>
      <c r="DO36" s="2513"/>
      <c r="DP36" s="2513"/>
      <c r="DQ36" s="2513"/>
      <c r="DR36" s="2513"/>
      <c r="DS36" s="2513"/>
      <c r="DT36" s="2513"/>
      <c r="DU36" s="2513"/>
      <c r="DV36" s="2513"/>
      <c r="DW36" s="2513"/>
      <c r="DX36" s="2513"/>
      <c r="DY36" s="2513"/>
      <c r="DZ36" s="2513"/>
      <c r="EA36" s="2513"/>
      <c r="EB36" s="2513"/>
      <c r="EC36" s="2513"/>
      <c r="ED36" s="2513"/>
      <c r="EE36" s="2513"/>
      <c r="EF36" s="2513"/>
      <c r="EG36" s="2513"/>
      <c r="EH36" s="2513"/>
      <c r="EI36" s="2513"/>
      <c r="EJ36" s="2513"/>
      <c r="EK36" s="2513"/>
      <c r="EL36" s="2513"/>
      <c r="EM36" s="2513"/>
      <c r="EN36" s="2513"/>
      <c r="EO36" s="2513"/>
      <c r="EP36" s="2513"/>
      <c r="EQ36" s="2513"/>
      <c r="ER36" s="2513"/>
      <c r="ES36" s="2513"/>
      <c r="ET36" s="2513"/>
      <c r="EU36" s="2513"/>
      <c r="EV36" s="2513"/>
      <c r="EW36" s="2513"/>
      <c r="EX36" s="2513"/>
      <c r="EY36" s="2513"/>
      <c r="EZ36" s="2513"/>
      <c r="FA36" s="2513">
        <f>(FA33+FA34+FA35)*BR_rate</f>
        <v>1585049.8</v>
      </c>
      <c r="FB36" s="2513"/>
      <c r="FC36" s="2513"/>
      <c r="FD36" s="2513"/>
      <c r="FE36" s="2513"/>
      <c r="FF36" s="2513"/>
      <c r="FG36" s="2513"/>
      <c r="FH36" s="2513"/>
      <c r="FI36" s="2513"/>
      <c r="FJ36" s="2513"/>
      <c r="FK36" s="2513"/>
      <c r="FL36" s="2513"/>
      <c r="FM36" s="2513"/>
      <c r="FN36" s="2513"/>
      <c r="FO36" s="2513"/>
      <c r="FP36" s="2513"/>
      <c r="FQ36" s="2513"/>
      <c r="FR36" s="2514">
        <f>(FR33+FR34+FR35)*BR_rate</f>
        <v>4000</v>
      </c>
      <c r="FS36" s="2513"/>
      <c r="FT36" s="2513"/>
      <c r="FU36" s="2513"/>
      <c r="FV36" s="2513"/>
      <c r="FW36" s="2513"/>
      <c r="FX36" s="2513"/>
      <c r="FY36" s="1772">
        <v>6886</v>
      </c>
      <c r="FZ36" s="2513"/>
      <c r="GA36" s="2513"/>
      <c r="GB36" s="2514">
        <v>6886</v>
      </c>
      <c r="GC36" s="1772">
        <v>14411</v>
      </c>
      <c r="GD36" s="1772">
        <v>8918.4</v>
      </c>
      <c r="GE36" s="2513"/>
      <c r="GF36" s="2513"/>
      <c r="GG36" s="2513"/>
      <c r="GH36" s="2513"/>
      <c r="GI36" s="1772">
        <v>8918.4</v>
      </c>
      <c r="GJ36" s="2513"/>
      <c r="GK36" s="1772">
        <v>8918.4</v>
      </c>
      <c r="GL36" s="2513"/>
      <c r="GM36" s="2513"/>
      <c r="GN36" s="2513"/>
      <c r="GO36" s="2513"/>
      <c r="GP36" s="2513"/>
      <c r="GQ36" s="2513"/>
      <c r="GR36" s="2513"/>
      <c r="GS36" s="2513"/>
      <c r="GT36" s="2513"/>
      <c r="GU36" s="2513"/>
      <c r="GV36" s="2513"/>
      <c r="GW36" s="2513"/>
      <c r="GX36" s="2513"/>
      <c r="GY36" s="2513"/>
      <c r="GZ36" s="2513"/>
      <c r="HA36" s="2513"/>
      <c r="HB36" s="2513"/>
      <c r="HC36" s="2513"/>
      <c r="HD36" s="2513"/>
      <c r="HE36" s="2513"/>
      <c r="HF36" s="2513"/>
      <c r="HG36" s="2513"/>
      <c r="HH36" s="2513"/>
      <c r="HI36" s="2513"/>
      <c r="HJ36" s="2513"/>
      <c r="HK36" s="2513"/>
      <c r="HL36" s="2513"/>
      <c r="HM36" s="2513"/>
      <c r="HN36" s="2513"/>
      <c r="HO36" s="2513"/>
      <c r="HP36" s="2515">
        <v>17686</v>
      </c>
      <c r="HQ36" s="2515">
        <f t="shared" ref="HQ36:HV36" si="4">(HQ33+HQ34+HQ35)*BR_rate</f>
        <v>8859.2000000000007</v>
      </c>
      <c r="HR36" s="2515">
        <f t="shared" si="4"/>
        <v>4950</v>
      </c>
      <c r="HS36" s="2513">
        <f t="shared" si="4"/>
        <v>15420</v>
      </c>
      <c r="HT36" s="2515">
        <f t="shared" si="4"/>
        <v>2733.2000000000003</v>
      </c>
      <c r="HU36" s="2514">
        <v>9441</v>
      </c>
      <c r="HV36" s="2513">
        <f t="shared" si="4"/>
        <v>42182</v>
      </c>
      <c r="HW36" s="2513"/>
      <c r="HX36" s="2515">
        <v>116062</v>
      </c>
      <c r="HY36" s="2513"/>
      <c r="HZ36" s="2513">
        <f t="shared" ref="HZ36:IL36" si="5">(HZ33+HZ34+HZ35)*BR_rate</f>
        <v>24000</v>
      </c>
      <c r="IA36" s="2515">
        <v>9301</v>
      </c>
      <c r="IB36" s="2513">
        <f t="shared" si="5"/>
        <v>200</v>
      </c>
      <c r="IC36" s="2515">
        <v>11868</v>
      </c>
      <c r="ID36" s="2515"/>
      <c r="IE36" s="2513"/>
      <c r="IF36" s="2513">
        <f t="shared" si="5"/>
        <v>3731.8</v>
      </c>
      <c r="IG36" s="2513">
        <f t="shared" si="5"/>
        <v>39540</v>
      </c>
      <c r="IH36" s="2513"/>
      <c r="II36" s="2514">
        <v>19459</v>
      </c>
      <c r="IJ36" s="2513"/>
      <c r="IK36" s="2515">
        <f t="shared" si="5"/>
        <v>4197.46</v>
      </c>
      <c r="IL36" s="2515">
        <f t="shared" si="5"/>
        <v>4243.2</v>
      </c>
      <c r="IM36" s="2513"/>
      <c r="IN36" s="2513"/>
      <c r="IO36" s="2513">
        <v>0</v>
      </c>
      <c r="IP36" s="2513"/>
      <c r="IQ36" s="2513"/>
      <c r="IR36" s="2513"/>
      <c r="IS36" s="2513"/>
      <c r="IT36" s="2513"/>
      <c r="IU36" s="2513"/>
      <c r="IV36" s="2513"/>
      <c r="IW36" s="2513"/>
      <c r="IX36" s="2513"/>
      <c r="IY36" s="2513"/>
      <c r="IZ36" s="2513"/>
      <c r="JA36" s="2513"/>
      <c r="JB36" s="2513"/>
      <c r="JC36" s="2513"/>
      <c r="JD36" s="2513"/>
      <c r="JE36" s="2513">
        <f>(JE33+JE34+JE35)*BR_rate</f>
        <v>4970</v>
      </c>
      <c r="JF36" s="2513"/>
      <c r="JG36" s="2513"/>
      <c r="JH36" s="2513"/>
      <c r="JI36" s="2513"/>
      <c r="JJ36" s="2513"/>
      <c r="JK36" s="2513"/>
      <c r="JL36" s="2513"/>
      <c r="JM36" s="2513"/>
      <c r="JN36" s="2513"/>
      <c r="JO36" s="2513"/>
      <c r="JP36" s="2513"/>
      <c r="JQ36" s="2516">
        <v>7895.25</v>
      </c>
      <c r="JR36" s="351"/>
      <c r="JS36" s="1400"/>
    </row>
    <row r="37" spans="1:279" x14ac:dyDescent="0.25">
      <c r="A37" s="1367">
        <v>6</v>
      </c>
      <c r="B37" s="1370" t="str">
        <f t="shared" si="3"/>
        <v/>
      </c>
      <c r="C37" s="1359" t="s">
        <v>2458</v>
      </c>
      <c r="D37" s="1360" t="s">
        <v>2459</v>
      </c>
      <c r="E37" s="1390"/>
      <c r="F37" s="1390"/>
      <c r="G37" s="1390"/>
      <c r="H37" s="1390"/>
      <c r="I37" s="1390"/>
      <c r="J37" s="1390"/>
      <c r="K37" s="1390"/>
      <c r="L37" s="1390"/>
      <c r="M37" s="1390"/>
      <c r="N37" s="1390"/>
      <c r="O37" s="1390"/>
      <c r="P37" s="1390"/>
      <c r="Q37" s="1390"/>
      <c r="R37" s="1390"/>
      <c r="S37" s="1390"/>
      <c r="T37" s="1390"/>
      <c r="U37" s="1390"/>
      <c r="V37" s="1390"/>
      <c r="W37" s="1390"/>
      <c r="X37" s="1390"/>
      <c r="Y37" s="1390"/>
      <c r="Z37" s="1390"/>
      <c r="AA37" s="1390"/>
      <c r="AB37" s="1390"/>
      <c r="AC37" s="1390"/>
      <c r="AD37" s="1390"/>
      <c r="AE37" s="1390"/>
      <c r="AF37" s="1390"/>
      <c r="AG37" s="1390"/>
      <c r="AH37" s="1390"/>
      <c r="AI37" s="1390"/>
      <c r="AJ37" s="1390"/>
      <c r="AK37" s="1390"/>
      <c r="AL37" s="1390"/>
      <c r="AM37" s="1390"/>
      <c r="AN37" s="1390"/>
      <c r="AO37" s="1390"/>
      <c r="AP37" s="1390"/>
      <c r="AQ37" s="1390"/>
      <c r="AR37" s="1390"/>
      <c r="AS37" s="1390"/>
      <c r="AT37" s="1390"/>
      <c r="AU37" s="1390"/>
      <c r="AV37" s="1390"/>
      <c r="AW37" s="1390"/>
      <c r="AX37" s="1390"/>
      <c r="AY37" s="1390"/>
      <c r="AZ37" s="1390"/>
      <c r="BA37" s="1390"/>
      <c r="BB37" s="1390"/>
      <c r="BC37" s="1390"/>
      <c r="BD37" s="1390"/>
      <c r="BE37" s="1390"/>
      <c r="BF37" s="1390"/>
      <c r="BG37" s="1390"/>
      <c r="BH37" s="1390"/>
      <c r="BI37" s="1390"/>
      <c r="BJ37" s="1390"/>
      <c r="BK37" s="1390"/>
      <c r="BL37" s="1390"/>
      <c r="BM37" s="1390"/>
      <c r="BN37" s="1390"/>
      <c r="BO37" s="1390"/>
      <c r="BP37" s="1390"/>
      <c r="BQ37" s="1390"/>
      <c r="BR37" s="1390"/>
      <c r="BS37" s="1390"/>
      <c r="BT37" s="1390"/>
      <c r="BU37" s="1390"/>
      <c r="BV37" s="1390"/>
      <c r="BW37" s="1390"/>
      <c r="BX37" s="1390"/>
      <c r="BY37" s="1390"/>
      <c r="BZ37" s="1390"/>
      <c r="CA37" s="1390"/>
      <c r="CB37" s="1390"/>
      <c r="CC37" s="1390"/>
      <c r="CD37" s="1390"/>
      <c r="CE37" s="1390"/>
      <c r="CF37" s="1390"/>
      <c r="CG37" s="1390"/>
      <c r="CH37" s="1390"/>
      <c r="CI37" s="1390"/>
      <c r="CJ37" s="1390"/>
      <c r="CK37" s="1390"/>
      <c r="CL37" s="1390"/>
      <c r="CM37" s="1390"/>
      <c r="CN37" s="1390"/>
      <c r="CO37" s="1390"/>
      <c r="CP37" s="1390"/>
      <c r="CQ37" s="1390"/>
      <c r="CR37" s="1390"/>
      <c r="CS37" s="1390"/>
      <c r="CT37" s="1390"/>
      <c r="CU37" s="1390"/>
      <c r="CV37" s="1390"/>
      <c r="CW37" s="1390"/>
      <c r="CX37" s="1390"/>
      <c r="CY37" s="1390"/>
      <c r="CZ37" s="1390"/>
      <c r="DA37" s="1390"/>
      <c r="DB37" s="1390"/>
      <c r="DC37" s="1390"/>
      <c r="DD37" s="1390"/>
      <c r="DE37" s="1390"/>
      <c r="DF37" s="1390"/>
      <c r="DG37" s="1390"/>
      <c r="DH37" s="1390"/>
      <c r="DI37" s="1390"/>
      <c r="DJ37" s="1390"/>
      <c r="DK37" s="1390"/>
      <c r="DL37" s="1390"/>
      <c r="DM37" s="1390"/>
      <c r="DN37" s="1390"/>
      <c r="DO37" s="1390"/>
      <c r="DP37" s="1390"/>
      <c r="DQ37" s="1390"/>
      <c r="DR37" s="1390"/>
      <c r="DS37" s="1390"/>
      <c r="DT37" s="1390"/>
      <c r="DU37" s="1390"/>
      <c r="DV37" s="1390"/>
      <c r="DW37" s="1390"/>
      <c r="DX37" s="1390"/>
      <c r="DY37" s="1390"/>
      <c r="DZ37" s="1390"/>
      <c r="EA37" s="1390"/>
      <c r="EB37" s="1390"/>
      <c r="EC37" s="1390"/>
      <c r="ED37" s="1390"/>
      <c r="EE37" s="1390"/>
      <c r="EF37" s="1390"/>
      <c r="EG37" s="1390"/>
      <c r="EH37" s="1390"/>
      <c r="EI37" s="1390"/>
      <c r="EJ37" s="1390"/>
      <c r="EK37" s="1390"/>
      <c r="EL37" s="1390"/>
      <c r="EM37" s="1390"/>
      <c r="EN37" s="1390"/>
      <c r="EO37" s="1390"/>
      <c r="EP37" s="1390"/>
      <c r="EQ37" s="1390"/>
      <c r="ER37" s="1390"/>
      <c r="ES37" s="1390"/>
      <c r="ET37" s="1390"/>
      <c r="EU37" s="1390"/>
      <c r="EV37" s="1390"/>
      <c r="EW37" s="1390"/>
      <c r="EX37" s="1390"/>
      <c r="EY37" s="1390"/>
      <c r="EZ37" s="1390"/>
      <c r="FA37" s="1404"/>
      <c r="FB37" s="1390"/>
      <c r="FC37" s="1390"/>
      <c r="FD37" s="1390"/>
      <c r="FE37" s="1390"/>
      <c r="FF37" s="1390"/>
      <c r="FG37" s="1390"/>
      <c r="FH37" s="1390"/>
      <c r="FI37" s="1390"/>
      <c r="FJ37" s="1390"/>
      <c r="FK37" s="1390"/>
      <c r="FL37" s="1390"/>
      <c r="FM37" s="1390"/>
      <c r="FN37" s="1390"/>
      <c r="FO37" s="1390"/>
      <c r="FP37" s="1390"/>
      <c r="FQ37" s="1390"/>
      <c r="FR37" s="1404"/>
      <c r="FS37" s="1390"/>
      <c r="FT37" s="1390"/>
      <c r="FU37" s="1390"/>
      <c r="FV37" s="1390"/>
      <c r="FW37" s="1390"/>
      <c r="FX37" s="1390"/>
      <c r="FY37" s="1390"/>
      <c r="FZ37" s="1390"/>
      <c r="GA37" s="1390"/>
      <c r="GB37" s="1390"/>
      <c r="GC37" s="1390"/>
      <c r="GD37" s="1390"/>
      <c r="GE37" s="1390"/>
      <c r="GF37" s="1390"/>
      <c r="GG37" s="1390"/>
      <c r="GH37" s="1390"/>
      <c r="GI37" s="1390"/>
      <c r="GJ37" s="1390"/>
      <c r="GK37" s="1390"/>
      <c r="GL37" s="1390"/>
      <c r="GM37" s="1390"/>
      <c r="GN37" s="1390"/>
      <c r="GO37" s="1390"/>
      <c r="GP37" s="1390"/>
      <c r="GQ37" s="1390"/>
      <c r="GR37" s="1390"/>
      <c r="GS37" s="1390"/>
      <c r="GT37" s="1390"/>
      <c r="GU37" s="1390"/>
      <c r="GV37" s="1390"/>
      <c r="GW37" s="1390"/>
      <c r="GX37" s="1390"/>
      <c r="GY37" s="1390"/>
      <c r="GZ37" s="1390"/>
      <c r="HA37" s="1390"/>
      <c r="HB37" s="1390"/>
      <c r="HC37" s="1390"/>
      <c r="HD37" s="1390"/>
      <c r="HE37" s="1390"/>
      <c r="HF37" s="1390"/>
      <c r="HG37" s="1390"/>
      <c r="HH37" s="1390"/>
      <c r="HI37" s="1390"/>
      <c r="HJ37" s="1390"/>
      <c r="HK37" s="1390"/>
      <c r="HL37" s="1390"/>
      <c r="HM37" s="1390"/>
      <c r="HO37" s="1390"/>
      <c r="HP37" s="1390"/>
      <c r="HQ37" s="1390"/>
      <c r="HR37" s="1404"/>
      <c r="HS37" s="1390"/>
      <c r="HT37" s="1404"/>
      <c r="HU37" s="1390"/>
      <c r="HV37" s="1390"/>
      <c r="HW37" s="1390"/>
      <c r="HX37" s="1272"/>
      <c r="HY37" s="1272"/>
      <c r="HZ37" s="1272"/>
      <c r="IA37" s="1272"/>
      <c r="IB37" s="1272"/>
      <c r="IC37" s="1272"/>
      <c r="ID37" s="1272" t="s">
        <v>1707</v>
      </c>
      <c r="IE37" s="1272"/>
      <c r="IF37" s="1272"/>
      <c r="IG37" s="1272"/>
      <c r="IH37" s="1272"/>
      <c r="II37" s="1272"/>
      <c r="IJ37" s="1404" t="s">
        <v>1707</v>
      </c>
      <c r="IK37" s="1272"/>
      <c r="IL37" s="1272"/>
      <c r="IM37" s="1272"/>
      <c r="IN37" s="1272"/>
      <c r="IO37" s="1272"/>
      <c r="IP37" s="1272"/>
      <c r="IQ37" s="1272"/>
      <c r="IR37" s="1272"/>
      <c r="IS37" s="1272"/>
      <c r="IT37" s="1272"/>
      <c r="IU37" s="1272"/>
      <c r="IV37" s="1272"/>
      <c r="IW37" s="1272"/>
      <c r="IX37" s="1272"/>
      <c r="IY37" s="1272"/>
      <c r="IZ37" s="1272"/>
      <c r="JA37" s="1272"/>
      <c r="JB37" s="1272"/>
      <c r="JC37" s="1272"/>
      <c r="JD37" s="1272"/>
      <c r="JE37" s="1272"/>
      <c r="JF37" s="1272"/>
      <c r="JG37" s="1272"/>
      <c r="JH37" s="1272"/>
      <c r="JI37" s="1272"/>
      <c r="JJ37" s="1272"/>
      <c r="JK37" s="1272"/>
      <c r="JL37" s="1272"/>
      <c r="JM37" s="1272"/>
      <c r="JN37" s="1272"/>
      <c r="JO37" s="1272"/>
      <c r="JP37" s="1272"/>
      <c r="JQ37" s="1403"/>
      <c r="JR37" s="351"/>
      <c r="JS37" s="1400" t="s">
        <v>2460</v>
      </c>
    </row>
    <row r="38" spans="1:279" x14ac:dyDescent="0.25">
      <c r="A38" s="1367">
        <v>7</v>
      </c>
      <c r="B38" s="1370" t="str">
        <f t="shared" si="3"/>
        <v/>
      </c>
      <c r="C38" s="1359" t="s">
        <v>2461</v>
      </c>
      <c r="D38" s="1360" t="s">
        <v>2462</v>
      </c>
      <c r="E38" s="1272"/>
      <c r="F38" s="1272"/>
      <c r="G38" s="1272"/>
      <c r="H38" s="1272"/>
      <c r="I38" s="1272"/>
      <c r="J38" s="1272"/>
      <c r="K38" s="1272"/>
      <c r="L38" s="1272"/>
      <c r="M38" s="1272"/>
      <c r="N38" s="1272"/>
      <c r="O38" s="1272"/>
      <c r="P38" s="1272"/>
      <c r="Q38" s="1272"/>
      <c r="R38" s="1272"/>
      <c r="S38" s="1272"/>
      <c r="T38" s="1272"/>
      <c r="U38" s="1272"/>
      <c r="V38" s="1272"/>
      <c r="W38" s="1272"/>
      <c r="X38" s="1272"/>
      <c r="Y38" s="1272"/>
      <c r="Z38" s="1272"/>
      <c r="AA38" s="1272"/>
      <c r="AB38" s="1272"/>
      <c r="AC38" s="1272"/>
      <c r="AD38" s="1272"/>
      <c r="AE38" s="1272"/>
      <c r="AF38" s="1272"/>
      <c r="AG38" s="1272"/>
      <c r="AH38" s="1272"/>
      <c r="AI38" s="1272"/>
      <c r="AJ38" s="1272"/>
      <c r="AK38" s="1272"/>
      <c r="AL38" s="1272"/>
      <c r="AM38" s="1272"/>
      <c r="AN38" s="1272"/>
      <c r="AO38" s="1272"/>
      <c r="AP38" s="1272"/>
      <c r="AQ38" s="1272"/>
      <c r="AR38" s="1272"/>
      <c r="AS38" s="1272"/>
      <c r="AT38" s="1272"/>
      <c r="AU38" s="1272"/>
      <c r="AV38" s="1272"/>
      <c r="AW38" s="1272"/>
      <c r="AX38" s="1272"/>
      <c r="AY38" s="1272"/>
      <c r="AZ38" s="1272"/>
      <c r="BA38" s="1272"/>
      <c r="BB38" s="1272"/>
      <c r="BC38" s="1272"/>
      <c r="BD38" s="1272"/>
      <c r="BE38" s="1272"/>
      <c r="BF38" s="1272"/>
      <c r="BG38" s="1272"/>
      <c r="BH38" s="1272"/>
      <c r="BI38" s="1272"/>
      <c r="BJ38" s="1272"/>
      <c r="BK38" s="1272"/>
      <c r="BL38" s="1272"/>
      <c r="BM38" s="1272"/>
      <c r="BN38" s="1272"/>
      <c r="BO38" s="1272"/>
      <c r="BP38" s="1272"/>
      <c r="BQ38" s="1272"/>
      <c r="BR38" s="1272"/>
      <c r="BS38" s="1272"/>
      <c r="BT38" s="1272"/>
      <c r="BU38" s="1272"/>
      <c r="BV38" s="1272"/>
      <c r="BW38" s="1272"/>
      <c r="BX38" s="1272"/>
      <c r="BY38" s="1272"/>
      <c r="BZ38" s="1272"/>
      <c r="CA38" s="1272"/>
      <c r="CB38" s="1272"/>
      <c r="CC38" s="1272"/>
      <c r="CD38" s="1272"/>
      <c r="CE38" s="1272"/>
      <c r="CF38" s="1272"/>
      <c r="CG38" s="1272"/>
      <c r="CH38" s="1272"/>
      <c r="CI38" s="1272"/>
      <c r="CJ38" s="1272"/>
      <c r="CK38" s="1272"/>
      <c r="CL38" s="1272"/>
      <c r="CM38" s="1272"/>
      <c r="CN38" s="1272"/>
      <c r="CO38" s="1272"/>
      <c r="CP38" s="1272"/>
      <c r="CQ38" s="1272"/>
      <c r="CR38" s="1272"/>
      <c r="CS38" s="1272"/>
      <c r="CT38" s="1272"/>
      <c r="CU38" s="1272"/>
      <c r="CV38" s="1272"/>
      <c r="CW38" s="1272"/>
      <c r="CX38" s="1272"/>
      <c r="CY38" s="1272"/>
      <c r="CZ38" s="1272"/>
      <c r="DA38" s="1272"/>
      <c r="DB38" s="1272"/>
      <c r="DC38" s="1272"/>
      <c r="DD38" s="1272"/>
      <c r="DE38" s="1272"/>
      <c r="DF38" s="1272"/>
      <c r="DG38" s="1272"/>
      <c r="DH38" s="1272"/>
      <c r="DI38" s="1272"/>
      <c r="DJ38" s="1272"/>
      <c r="DK38" s="1272"/>
      <c r="DL38" s="1272">
        <v>300</v>
      </c>
      <c r="DM38" s="1272"/>
      <c r="DN38" s="1272"/>
      <c r="DO38" s="1272"/>
      <c r="DP38" s="1272"/>
      <c r="DQ38" s="1272"/>
      <c r="DR38" s="1272"/>
      <c r="DS38" s="1272"/>
      <c r="DT38" s="1272"/>
      <c r="DU38" s="1272"/>
      <c r="DV38" s="1272"/>
      <c r="DW38" s="1272"/>
      <c r="DX38" s="1272"/>
      <c r="DY38" s="1272"/>
      <c r="DZ38" s="1272"/>
      <c r="EA38" s="1272"/>
      <c r="EB38" s="1272"/>
      <c r="EC38" s="1272"/>
      <c r="ED38" s="1272"/>
      <c r="EE38" s="1272"/>
      <c r="EF38" s="1272"/>
      <c r="EG38" s="1272"/>
      <c r="EH38" s="1272"/>
      <c r="EI38" s="1272"/>
      <c r="EJ38" s="1272"/>
      <c r="EK38" s="1272"/>
      <c r="EL38" s="1272"/>
      <c r="EM38" s="1272"/>
      <c r="EN38" s="1272"/>
      <c r="EO38" s="1272"/>
      <c r="EP38" s="1272"/>
      <c r="EQ38" s="1272"/>
      <c r="ER38" s="1272"/>
      <c r="ES38" s="1272"/>
      <c r="ET38" s="1272"/>
      <c r="EU38" s="1272"/>
      <c r="EV38" s="1272"/>
      <c r="EW38" s="1272"/>
      <c r="EX38" s="1272"/>
      <c r="EY38" s="1272"/>
      <c r="EZ38" s="1272"/>
      <c r="FA38" s="1272"/>
      <c r="FB38" s="1272"/>
      <c r="FC38" s="1272"/>
      <c r="FD38" s="1272"/>
      <c r="FE38" s="1272"/>
      <c r="FF38" s="1272"/>
      <c r="FG38" s="1272"/>
      <c r="FH38" s="1272"/>
      <c r="FI38" s="1272"/>
      <c r="FJ38" s="1272"/>
      <c r="FK38" s="1272"/>
      <c r="FL38" s="1272"/>
      <c r="FM38" s="1272"/>
      <c r="FN38" s="1272"/>
      <c r="FO38" s="1272"/>
      <c r="FP38" s="1272"/>
      <c r="FQ38" s="1272"/>
      <c r="FR38" s="1272"/>
      <c r="FS38" s="1272"/>
      <c r="FT38" s="1272"/>
      <c r="FU38" s="1272"/>
      <c r="FV38" s="1272"/>
      <c r="FW38" s="1272"/>
      <c r="FX38" s="1272"/>
      <c r="FY38" s="1272"/>
      <c r="FZ38" s="1272"/>
      <c r="GA38" s="1272"/>
      <c r="GB38" s="1272"/>
      <c r="GC38" s="1272"/>
      <c r="GD38" s="1272"/>
      <c r="GE38" s="1272"/>
      <c r="GF38" s="1272"/>
      <c r="GG38" s="1272"/>
      <c r="GH38" s="1272"/>
      <c r="GI38" s="1272"/>
      <c r="GJ38" s="1272"/>
      <c r="GK38" s="1272"/>
      <c r="GL38" s="1272"/>
      <c r="GM38" s="1272"/>
      <c r="GN38" s="1272"/>
      <c r="GO38" s="1272"/>
      <c r="GP38" s="1272"/>
      <c r="GQ38" s="1272"/>
      <c r="GR38" s="1272"/>
      <c r="GS38" s="1272"/>
      <c r="GT38" s="1272"/>
      <c r="GU38" s="1272"/>
      <c r="GV38" s="1272"/>
      <c r="GW38" s="1272"/>
      <c r="GX38" s="1272"/>
      <c r="GY38" s="1272"/>
      <c r="GZ38" s="1272"/>
      <c r="HA38" s="1272"/>
      <c r="HB38" s="1272"/>
      <c r="HC38" s="1272"/>
      <c r="HD38" s="1272"/>
      <c r="HE38" s="1272"/>
      <c r="HF38" s="1272"/>
      <c r="HG38" s="1272"/>
      <c r="HH38" s="1272"/>
      <c r="HI38" s="1272"/>
      <c r="HJ38" s="1272"/>
      <c r="HK38" s="1272"/>
      <c r="HL38" s="1272"/>
      <c r="HM38" s="1272"/>
      <c r="HO38" s="1272"/>
      <c r="HP38" s="1272"/>
      <c r="HQ38" s="1272"/>
      <c r="HR38" s="1272"/>
      <c r="HS38" s="1272"/>
      <c r="HT38" s="1272"/>
      <c r="HU38" s="1272"/>
      <c r="HV38" s="1272"/>
      <c r="HW38" s="1272"/>
      <c r="HX38" s="1272"/>
      <c r="HY38" s="1272"/>
      <c r="HZ38" s="1272"/>
      <c r="IA38" s="1272"/>
      <c r="IB38" s="1272"/>
      <c r="IC38" s="1272"/>
      <c r="ID38" s="1272"/>
      <c r="IE38" s="1272"/>
      <c r="IF38" s="1272"/>
      <c r="IG38" s="1272"/>
      <c r="IH38" s="1272"/>
      <c r="II38" s="1272"/>
      <c r="IJ38" s="1272"/>
      <c r="IK38" s="1272"/>
      <c r="IL38" s="1272"/>
      <c r="IM38" s="1272"/>
      <c r="IN38" s="1272"/>
      <c r="IO38" s="1272"/>
      <c r="IP38" s="1272"/>
      <c r="IQ38" s="1272"/>
      <c r="IR38" s="1272"/>
      <c r="IS38" s="1272"/>
      <c r="IT38" s="1272"/>
      <c r="IU38" s="1272"/>
      <c r="IV38" s="1272"/>
      <c r="IW38" s="1272"/>
      <c r="IX38" s="1272"/>
      <c r="IY38" s="1272"/>
      <c r="IZ38" s="1272"/>
      <c r="JA38" s="1272"/>
      <c r="JB38" s="1272"/>
      <c r="JC38" s="1272"/>
      <c r="JD38" s="1272"/>
      <c r="JE38" s="1272"/>
      <c r="JF38" s="1272"/>
      <c r="JG38" s="1272"/>
      <c r="JH38" s="1272"/>
      <c r="JI38" s="1272"/>
      <c r="JJ38" s="1272"/>
      <c r="JK38" s="1272"/>
      <c r="JL38" s="1272"/>
      <c r="JM38" s="1272"/>
      <c r="JN38" s="1272"/>
      <c r="JO38" s="1272"/>
      <c r="JP38" s="1272"/>
      <c r="JQ38" s="1405"/>
      <c r="JR38" s="351"/>
      <c r="JS38" s="1400"/>
    </row>
    <row r="39" spans="1:279" x14ac:dyDescent="0.25">
      <c r="A39" s="1367">
        <v>8</v>
      </c>
      <c r="B39" s="1370" t="str">
        <f t="shared" si="3"/>
        <v/>
      </c>
      <c r="C39" s="1359" t="s">
        <v>2463</v>
      </c>
      <c r="D39" s="1360" t="s">
        <v>2464</v>
      </c>
      <c r="E39" s="1390"/>
      <c r="F39" s="1390"/>
      <c r="G39" s="1390"/>
      <c r="H39" s="1390"/>
      <c r="I39" s="1390"/>
      <c r="J39" s="1390"/>
      <c r="K39" s="1390"/>
      <c r="L39" s="1390"/>
      <c r="M39" s="1390"/>
      <c r="N39" s="1390"/>
      <c r="O39" s="1390"/>
      <c r="P39" s="1390"/>
      <c r="Q39" s="1390"/>
      <c r="R39" s="1390"/>
      <c r="S39" s="1390"/>
      <c r="T39" s="1390"/>
      <c r="U39" s="1390"/>
      <c r="V39" s="1390"/>
      <c r="W39" s="1390"/>
      <c r="X39" s="1390"/>
      <c r="Y39" s="1390"/>
      <c r="Z39" s="1390"/>
      <c r="AA39" s="1390"/>
      <c r="AB39" s="1390"/>
      <c r="AC39" s="1390"/>
      <c r="AD39" s="1390"/>
      <c r="AE39" s="1390"/>
      <c r="AF39" s="1390"/>
      <c r="AG39" s="1390"/>
      <c r="AH39" s="1390"/>
      <c r="AI39" s="1390"/>
      <c r="AJ39" s="1390"/>
      <c r="AK39" s="1390"/>
      <c r="AL39" s="1390"/>
      <c r="AM39" s="1390"/>
      <c r="AN39" s="1390"/>
      <c r="AO39" s="1390"/>
      <c r="AP39" s="1390"/>
      <c r="AQ39" s="1390"/>
      <c r="AR39" s="1390"/>
      <c r="AS39" s="1390"/>
      <c r="AT39" s="1390"/>
      <c r="AU39" s="1390"/>
      <c r="AV39" s="1390"/>
      <c r="AW39" s="1390"/>
      <c r="AX39" s="1390"/>
      <c r="AY39" s="1390"/>
      <c r="AZ39" s="1390"/>
      <c r="BA39" s="1390"/>
      <c r="BB39" s="1390"/>
      <c r="BC39" s="1390"/>
      <c r="BD39" s="1390">
        <v>7560</v>
      </c>
      <c r="BE39" s="1390"/>
      <c r="BF39" s="1390"/>
      <c r="BG39" s="1390"/>
      <c r="BH39" s="1390"/>
      <c r="BI39" s="1390"/>
      <c r="BJ39" s="1390"/>
      <c r="BK39" s="1390"/>
      <c r="BL39" s="1390"/>
      <c r="BM39" s="1390"/>
      <c r="BN39" s="1390"/>
      <c r="BO39" s="1390"/>
      <c r="BP39" s="1390"/>
      <c r="BQ39" s="1390"/>
      <c r="BR39" s="1390"/>
      <c r="BS39" s="1390"/>
      <c r="BT39" s="1390"/>
      <c r="BU39" s="1390"/>
      <c r="BV39" s="1390"/>
      <c r="BW39" s="1390"/>
      <c r="BX39" s="1390"/>
      <c r="BY39" s="1390"/>
      <c r="BZ39" s="1390"/>
      <c r="CA39" s="1390"/>
      <c r="CB39" s="1390"/>
      <c r="CC39" s="1390"/>
      <c r="CD39" s="1390"/>
      <c r="CE39" s="1390"/>
      <c r="CF39" s="1390"/>
      <c r="CG39" s="1390"/>
      <c r="CH39" s="1390"/>
      <c r="CI39" s="1390"/>
      <c r="CJ39" s="1390"/>
      <c r="CK39" s="1390"/>
      <c r="CL39" s="1390"/>
      <c r="CM39" s="1390"/>
      <c r="CN39" s="1390"/>
      <c r="CO39" s="1390"/>
      <c r="CP39" s="1390"/>
      <c r="CQ39" s="1390"/>
      <c r="CR39" s="1390"/>
      <c r="CS39" s="1390"/>
      <c r="CT39" s="1390"/>
      <c r="CU39" s="1390"/>
      <c r="CV39" s="1390"/>
      <c r="CW39" s="1390"/>
      <c r="CX39" s="1390"/>
      <c r="CY39" s="1390"/>
      <c r="CZ39" s="1390"/>
      <c r="DA39" s="1390"/>
      <c r="DB39" s="1390"/>
      <c r="DC39" s="1390"/>
      <c r="DD39" s="1390"/>
      <c r="DE39" s="1390"/>
      <c r="DF39" s="1390">
        <v>7560</v>
      </c>
      <c r="DG39" s="1390"/>
      <c r="DH39" s="1390"/>
      <c r="DI39" s="1390"/>
      <c r="DJ39" s="1390"/>
      <c r="DK39" s="1390"/>
      <c r="DL39" s="1390"/>
      <c r="DM39" s="1390"/>
      <c r="DN39" s="1390"/>
      <c r="DO39" s="1390"/>
      <c r="DP39" s="1390"/>
      <c r="DQ39" s="1390"/>
      <c r="DR39" s="1390"/>
      <c r="DS39" s="1390"/>
      <c r="DT39" s="1390"/>
      <c r="DU39" s="1390"/>
      <c r="DV39" s="1390"/>
      <c r="DW39" s="1390"/>
      <c r="DX39" s="1390"/>
      <c r="DY39" s="1390"/>
      <c r="DZ39" s="1390"/>
      <c r="EA39" s="1390"/>
      <c r="EB39" s="1390"/>
      <c r="EC39" s="1390"/>
      <c r="ED39" s="1390"/>
      <c r="EE39" s="1390"/>
      <c r="EF39" s="1390"/>
      <c r="EG39" s="1390"/>
      <c r="EH39" s="1390"/>
      <c r="EI39" s="1390"/>
      <c r="EJ39" s="1390"/>
      <c r="EK39" s="1390"/>
      <c r="EL39" s="1390"/>
      <c r="EM39" s="1390"/>
      <c r="EN39" s="1390"/>
      <c r="EO39" s="1390"/>
      <c r="EP39" s="1390"/>
      <c r="EQ39" s="1390"/>
      <c r="ER39" s="1390"/>
      <c r="ES39" s="1390"/>
      <c r="ET39" s="1390"/>
      <c r="EU39" s="1390"/>
      <c r="EV39" s="1390"/>
      <c r="EW39" s="1390"/>
      <c r="EX39" s="1390"/>
      <c r="EY39" s="1390"/>
      <c r="EZ39" s="1390"/>
      <c r="FA39" s="1406">
        <v>30000</v>
      </c>
      <c r="FB39" s="1390"/>
      <c r="FC39" s="1390"/>
      <c r="FD39" s="1390"/>
      <c r="FE39" s="1390"/>
      <c r="FF39" s="1390"/>
      <c r="FG39" s="1390"/>
      <c r="FH39" s="1390"/>
      <c r="FI39" s="1390"/>
      <c r="FJ39" s="1390"/>
      <c r="FK39" s="1390"/>
      <c r="FL39" s="1390"/>
      <c r="FM39" s="1390"/>
      <c r="FN39" s="1390"/>
      <c r="FO39" s="1390"/>
      <c r="FP39" s="1390"/>
      <c r="FQ39" s="1390"/>
      <c r="FR39" s="1406">
        <v>30000</v>
      </c>
      <c r="FS39" s="1390"/>
      <c r="FT39" s="1390"/>
      <c r="FU39" s="1390"/>
      <c r="FV39" s="1390"/>
      <c r="FW39" s="1390"/>
      <c r="FX39" s="1390"/>
      <c r="FY39" s="1390"/>
      <c r="FZ39" s="1390"/>
      <c r="GA39" s="1390"/>
      <c r="GB39" s="1390"/>
      <c r="GC39" s="1390"/>
      <c r="GD39" s="1390"/>
      <c r="GE39" s="1390"/>
      <c r="GF39" s="1390"/>
      <c r="GG39" s="1390"/>
      <c r="GH39" s="1390"/>
      <c r="GI39" s="1390"/>
      <c r="GJ39" s="1390"/>
      <c r="GK39" s="1390"/>
      <c r="GL39" s="1390"/>
      <c r="GM39" s="1390"/>
      <c r="GN39" s="1390"/>
      <c r="GO39" s="1390"/>
      <c r="GP39" s="1390"/>
      <c r="GQ39" s="1390"/>
      <c r="GR39" s="1390"/>
      <c r="GS39" s="1390"/>
      <c r="GT39" s="1390"/>
      <c r="GU39" s="1390"/>
      <c r="GV39" s="1390"/>
      <c r="GW39" s="1390"/>
      <c r="GX39" s="1390"/>
      <c r="GY39" s="1390"/>
      <c r="GZ39" s="1390"/>
      <c r="HA39" s="1390"/>
      <c r="HB39" s="1390"/>
      <c r="HC39" s="1390"/>
      <c r="HD39" s="1390"/>
      <c r="HE39" s="1390"/>
      <c r="HF39" s="1390"/>
      <c r="HG39" s="1390"/>
      <c r="HH39" s="1390"/>
      <c r="HI39" s="1390"/>
      <c r="HJ39" s="1390"/>
      <c r="HK39" s="1390"/>
      <c r="HL39" s="1390"/>
      <c r="HM39" s="1390"/>
      <c r="HN39" s="1390"/>
      <c r="HO39" s="1390"/>
      <c r="HP39" s="1390"/>
      <c r="HQ39" s="1404">
        <v>3000</v>
      </c>
      <c r="HR39" s="1272"/>
      <c r="HS39" s="1390"/>
      <c r="HT39" s="1404">
        <v>30000</v>
      </c>
      <c r="HU39" s="1404">
        <v>30000</v>
      </c>
      <c r="HV39" s="1390"/>
      <c r="HW39" s="1390"/>
      <c r="HX39" s="1404">
        <v>30000</v>
      </c>
      <c r="HY39" s="1390"/>
      <c r="HZ39" s="1390"/>
      <c r="IA39" s="1390"/>
      <c r="IB39" s="1390"/>
      <c r="IC39" s="1404">
        <v>30000</v>
      </c>
      <c r="ID39" s="1404">
        <v>20000</v>
      </c>
      <c r="IE39" s="1272"/>
      <c r="IF39" s="1390"/>
      <c r="IG39" s="1390"/>
      <c r="IH39" s="1404">
        <v>30000</v>
      </c>
      <c r="II39" s="1404">
        <v>30000</v>
      </c>
      <c r="IJ39" s="1406">
        <v>30000</v>
      </c>
      <c r="IK39" s="1406">
        <v>30000</v>
      </c>
      <c r="IL39" s="1272"/>
      <c r="IM39" s="1272"/>
      <c r="IN39" s="1272"/>
      <c r="IO39" s="1272"/>
      <c r="IP39" s="1390"/>
      <c r="IQ39" s="1390"/>
      <c r="IR39" s="1390"/>
      <c r="IS39" s="1390"/>
      <c r="IT39" s="1390"/>
      <c r="IU39" s="1390"/>
      <c r="IV39" s="1390"/>
      <c r="IW39" s="1390"/>
      <c r="IX39" s="1390"/>
      <c r="IY39" s="1390"/>
      <c r="IZ39" s="1390"/>
      <c r="JA39" s="1390"/>
      <c r="JB39" s="1390"/>
      <c r="JC39" s="1390"/>
      <c r="JD39" s="1390"/>
      <c r="JE39" s="1390"/>
      <c r="JF39" s="1390"/>
      <c r="JG39" s="1390"/>
      <c r="JH39" s="1390"/>
      <c r="JI39" s="1390"/>
      <c r="JJ39" s="1390"/>
      <c r="JK39" s="1390"/>
      <c r="JL39" s="1390"/>
      <c r="JM39" s="1390"/>
      <c r="JN39" s="1390"/>
      <c r="JO39" s="1390"/>
      <c r="JP39" s="1390"/>
      <c r="JQ39" s="1407">
        <v>30000</v>
      </c>
      <c r="JR39" s="351"/>
      <c r="JS39" s="1400" t="s">
        <v>2465</v>
      </c>
    </row>
    <row r="40" spans="1:279" ht="12" thickBot="1" x14ac:dyDescent="0.3">
      <c r="A40" s="1367">
        <v>9</v>
      </c>
      <c r="B40" s="1370" t="str">
        <f t="shared" si="3"/>
        <v/>
      </c>
      <c r="C40" s="705" t="s">
        <v>2466</v>
      </c>
      <c r="D40" s="698" t="s">
        <v>2467</v>
      </c>
      <c r="E40" s="714"/>
      <c r="F40" s="714"/>
      <c r="G40" s="714"/>
      <c r="H40" s="714"/>
      <c r="I40" s="714"/>
      <c r="J40" s="714"/>
      <c r="K40" s="714"/>
      <c r="L40" s="714"/>
      <c r="M40" s="714"/>
      <c r="N40" s="714"/>
      <c r="O40" s="714"/>
      <c r="P40" s="714"/>
      <c r="Q40" s="714"/>
      <c r="R40" s="714"/>
      <c r="S40" s="714"/>
      <c r="T40" s="714"/>
      <c r="U40" s="714"/>
      <c r="V40" s="714"/>
      <c r="W40" s="714"/>
      <c r="X40" s="714"/>
      <c r="Y40" s="714"/>
      <c r="Z40" s="714"/>
      <c r="AA40" s="714"/>
      <c r="AB40" s="714"/>
      <c r="AC40" s="714"/>
      <c r="AD40" s="714"/>
      <c r="AE40" s="714"/>
      <c r="AF40" s="714"/>
      <c r="AG40" s="714"/>
      <c r="AH40" s="714"/>
      <c r="AI40" s="714"/>
      <c r="AJ40" s="714"/>
      <c r="AK40" s="714"/>
      <c r="AL40" s="714"/>
      <c r="AM40" s="714"/>
      <c r="AN40" s="714"/>
      <c r="AO40" s="714"/>
      <c r="AP40" s="714"/>
      <c r="AQ40" s="714"/>
      <c r="AR40" s="714"/>
      <c r="AS40" s="714"/>
      <c r="AT40" s="714"/>
      <c r="AU40" s="714"/>
      <c r="AV40" s="714"/>
      <c r="AW40" s="714"/>
      <c r="AX40" s="714"/>
      <c r="AY40" s="714"/>
      <c r="AZ40" s="714"/>
      <c r="BA40" s="714"/>
      <c r="BB40" s="714"/>
      <c r="BC40" s="714"/>
      <c r="BD40" s="714"/>
      <c r="BE40" s="714"/>
      <c r="BF40" s="714"/>
      <c r="BG40" s="714"/>
      <c r="BH40" s="714"/>
      <c r="BI40" s="714"/>
      <c r="BJ40" s="714"/>
      <c r="BK40" s="714"/>
      <c r="BL40" s="714"/>
      <c r="BM40" s="714"/>
      <c r="BN40" s="714"/>
      <c r="BO40" s="714"/>
      <c r="BP40" s="714"/>
      <c r="BQ40" s="714"/>
      <c r="BR40" s="714"/>
      <c r="BS40" s="714"/>
      <c r="BT40" s="714"/>
      <c r="BU40" s="714"/>
      <c r="BV40" s="714"/>
      <c r="BW40" s="714"/>
      <c r="BX40" s="714"/>
      <c r="BY40" s="714"/>
      <c r="BZ40" s="714"/>
      <c r="CA40" s="714"/>
      <c r="CB40" s="714"/>
      <c r="CC40" s="714"/>
      <c r="CD40" s="714"/>
      <c r="CE40" s="714"/>
      <c r="CF40" s="714"/>
      <c r="CG40" s="714"/>
      <c r="CH40" s="714"/>
      <c r="CI40" s="714"/>
      <c r="CJ40" s="714"/>
      <c r="CK40" s="714"/>
      <c r="CL40" s="714"/>
      <c r="CM40" s="714"/>
      <c r="CN40" s="714"/>
      <c r="CO40" s="714"/>
      <c r="CP40" s="714"/>
      <c r="CQ40" s="714"/>
      <c r="CR40" s="714"/>
      <c r="CS40" s="714"/>
      <c r="CT40" s="714"/>
      <c r="CU40" s="714"/>
      <c r="CV40" s="714"/>
      <c r="CW40" s="714"/>
      <c r="CX40" s="714"/>
      <c r="CY40" s="714"/>
      <c r="CZ40" s="714"/>
      <c r="DA40" s="714"/>
      <c r="DB40" s="714"/>
      <c r="DC40" s="714"/>
      <c r="DD40" s="714"/>
      <c r="DE40" s="714"/>
      <c r="DF40" s="714"/>
      <c r="DG40" s="714"/>
      <c r="DH40" s="714"/>
      <c r="DI40" s="714"/>
      <c r="DJ40" s="714"/>
      <c r="DK40" s="714"/>
      <c r="DL40" s="714"/>
      <c r="DM40" s="714"/>
      <c r="DN40" s="714"/>
      <c r="DO40" s="714"/>
      <c r="DP40" s="714"/>
      <c r="DQ40" s="714"/>
      <c r="DR40" s="714"/>
      <c r="DS40" s="714"/>
      <c r="DT40" s="714"/>
      <c r="DU40" s="714"/>
      <c r="DV40" s="714"/>
      <c r="DW40" s="714"/>
      <c r="DX40" s="714"/>
      <c r="DY40" s="714"/>
      <c r="DZ40" s="714"/>
      <c r="EA40" s="714"/>
      <c r="EB40" s="714"/>
      <c r="EC40" s="714"/>
      <c r="ED40" s="714"/>
      <c r="EE40" s="714"/>
      <c r="EF40" s="714"/>
      <c r="EG40" s="714"/>
      <c r="EH40" s="714"/>
      <c r="EI40" s="714"/>
      <c r="EJ40" s="714"/>
      <c r="EK40" s="714"/>
      <c r="EL40" s="714"/>
      <c r="EM40" s="714"/>
      <c r="EN40" s="714"/>
      <c r="EO40" s="714"/>
      <c r="EP40" s="714"/>
      <c r="EQ40" s="714"/>
      <c r="ER40" s="714"/>
      <c r="ES40" s="714"/>
      <c r="ET40" s="714"/>
      <c r="EU40" s="714"/>
      <c r="EV40" s="714"/>
      <c r="EW40" s="714"/>
      <c r="EX40" s="714"/>
      <c r="EY40" s="714"/>
      <c r="EZ40" s="714"/>
      <c r="FA40" s="714"/>
      <c r="FB40" s="714"/>
      <c r="FC40" s="714"/>
      <c r="FD40" s="714"/>
      <c r="FE40" s="714"/>
      <c r="FF40" s="714"/>
      <c r="FG40" s="714"/>
      <c r="FH40" s="714"/>
      <c r="FI40" s="714"/>
      <c r="FJ40" s="714"/>
      <c r="FK40" s="714"/>
      <c r="FL40" s="714"/>
      <c r="FM40" s="714"/>
      <c r="FN40" s="714"/>
      <c r="FO40" s="714"/>
      <c r="FP40" s="714"/>
      <c r="FQ40" s="714"/>
      <c r="FR40" s="714"/>
      <c r="FS40" s="714"/>
      <c r="FT40" s="714"/>
      <c r="FU40" s="714"/>
      <c r="FV40" s="714"/>
      <c r="FW40" s="714"/>
      <c r="FX40" s="714"/>
      <c r="FY40" s="714"/>
      <c r="FZ40" s="714"/>
      <c r="GA40" s="714"/>
      <c r="GB40" s="714"/>
      <c r="GC40" s="714"/>
      <c r="GD40" s="714"/>
      <c r="GE40" s="714"/>
      <c r="GF40" s="714"/>
      <c r="GG40" s="714"/>
      <c r="GH40" s="714"/>
      <c r="GI40" s="714"/>
      <c r="GJ40" s="714"/>
      <c r="GK40" s="714"/>
      <c r="GL40" s="714"/>
      <c r="GM40" s="714"/>
      <c r="GN40" s="714"/>
      <c r="GO40" s="714"/>
      <c r="GP40" s="714"/>
      <c r="GQ40" s="714"/>
      <c r="GR40" s="714"/>
      <c r="GS40" s="714"/>
      <c r="GT40" s="714"/>
      <c r="GU40" s="714"/>
      <c r="GV40" s="714"/>
      <c r="GW40" s="714"/>
      <c r="GX40" s="714"/>
      <c r="GY40" s="714"/>
      <c r="GZ40" s="714"/>
      <c r="HA40" s="714"/>
      <c r="HB40" s="714"/>
      <c r="HC40" s="714"/>
      <c r="HD40" s="714"/>
      <c r="HE40" s="714"/>
      <c r="HF40" s="714"/>
      <c r="HG40" s="714"/>
      <c r="HH40" s="714"/>
      <c r="HI40" s="714"/>
      <c r="HJ40" s="714"/>
      <c r="HK40" s="714"/>
      <c r="HL40" s="714"/>
      <c r="HM40" s="714"/>
      <c r="HN40" s="714"/>
      <c r="HO40" s="714"/>
      <c r="HP40" s="714"/>
      <c r="HQ40" s="714"/>
      <c r="HR40" s="1272"/>
      <c r="HS40" s="714"/>
      <c r="HT40" s="714"/>
      <c r="HU40" s="714"/>
      <c r="HV40" s="714"/>
      <c r="HW40" s="714"/>
      <c r="HX40" s="714"/>
      <c r="HY40" s="714"/>
      <c r="HZ40" s="1390"/>
      <c r="IA40" s="1390"/>
      <c r="IB40" s="1390"/>
      <c r="IC40" s="1272"/>
      <c r="ID40" s="1272"/>
      <c r="IE40" s="1272"/>
      <c r="IF40" s="1390"/>
      <c r="IG40" s="1390"/>
      <c r="IH40" s="1390"/>
      <c r="II40" s="1390"/>
      <c r="IJ40" s="714"/>
      <c r="IK40" s="714"/>
      <c r="IL40" s="1272"/>
      <c r="IM40" s="1272"/>
      <c r="IN40" s="1272"/>
      <c r="IO40" s="1272"/>
      <c r="IP40" s="1390"/>
      <c r="IQ40" s="1390"/>
      <c r="IR40" s="1390"/>
      <c r="IS40" s="1390"/>
      <c r="IT40" s="1390"/>
      <c r="IU40" s="1390"/>
      <c r="IV40" s="1390"/>
      <c r="IW40" s="1390"/>
      <c r="IX40" s="1390"/>
      <c r="IY40" s="1390"/>
      <c r="IZ40" s="1390"/>
      <c r="JA40" s="1390"/>
      <c r="JB40" s="1390"/>
      <c r="JC40" s="1390"/>
      <c r="JD40" s="1390"/>
      <c r="JE40" s="1390"/>
      <c r="JF40" s="1390"/>
      <c r="JG40" s="1390"/>
      <c r="JH40" s="1390"/>
      <c r="JI40" s="1390"/>
      <c r="JJ40" s="1390"/>
      <c r="JK40" s="1390"/>
      <c r="JL40" s="1390"/>
      <c r="JM40" s="1390"/>
      <c r="JN40" s="1390"/>
      <c r="JO40" s="1390"/>
      <c r="JP40" s="1390"/>
      <c r="JQ40" s="739"/>
      <c r="JR40" s="351"/>
      <c r="JS40" s="1400"/>
    </row>
    <row r="41" spans="1:279" x14ac:dyDescent="0.25">
      <c r="C41" s="261"/>
      <c r="D41" s="137"/>
      <c r="JS41" s="1"/>
    </row>
    <row r="42" spans="1:279" ht="12" thickBot="1" x14ac:dyDescent="0.3">
      <c r="C42" s="261" t="s">
        <v>2468</v>
      </c>
      <c r="D42" s="137"/>
      <c r="JS42" s="1"/>
    </row>
    <row r="43" spans="1:279" x14ac:dyDescent="0.25">
      <c r="A43" s="1367" t="s">
        <v>2201</v>
      </c>
      <c r="B43" s="585" t="s">
        <v>2408</v>
      </c>
      <c r="C43" s="287" t="s">
        <v>17</v>
      </c>
      <c r="D43" s="262"/>
      <c r="E43" s="418">
        <v>1</v>
      </c>
      <c r="F43" s="418">
        <v>2</v>
      </c>
      <c r="G43" s="418">
        <v>3</v>
      </c>
      <c r="H43" s="418">
        <v>4</v>
      </c>
      <c r="I43" s="418">
        <v>5</v>
      </c>
      <c r="J43" s="418">
        <v>6</v>
      </c>
      <c r="K43" s="418">
        <v>7</v>
      </c>
      <c r="L43" s="418">
        <v>8</v>
      </c>
      <c r="M43" s="418">
        <v>9</v>
      </c>
      <c r="N43" s="418">
        <v>10</v>
      </c>
      <c r="O43" s="418">
        <v>11</v>
      </c>
      <c r="P43" s="418">
        <v>12</v>
      </c>
      <c r="Q43" s="418">
        <v>13</v>
      </c>
      <c r="R43" s="418">
        <v>14</v>
      </c>
      <c r="S43" s="418">
        <v>15</v>
      </c>
      <c r="T43" s="418">
        <v>16</v>
      </c>
      <c r="U43" s="418">
        <v>17</v>
      </c>
      <c r="V43" s="418">
        <v>18</v>
      </c>
      <c r="W43" s="418">
        <v>19</v>
      </c>
      <c r="X43" s="418">
        <v>20</v>
      </c>
      <c r="Y43" s="418">
        <v>21</v>
      </c>
      <c r="Z43" s="418">
        <v>22</v>
      </c>
      <c r="AA43" s="418">
        <v>23</v>
      </c>
      <c r="AB43" s="418">
        <v>24</v>
      </c>
      <c r="AC43" s="418">
        <v>25</v>
      </c>
      <c r="AD43" s="418">
        <v>26</v>
      </c>
      <c r="AE43" s="418">
        <v>27</v>
      </c>
      <c r="AF43" s="418">
        <v>28</v>
      </c>
      <c r="AG43" s="418">
        <v>29</v>
      </c>
      <c r="AH43" s="418">
        <v>30</v>
      </c>
      <c r="AI43" s="418">
        <v>31</v>
      </c>
      <c r="AJ43" s="418">
        <v>32</v>
      </c>
      <c r="AK43" s="418">
        <v>33</v>
      </c>
      <c r="AL43" s="418">
        <v>34</v>
      </c>
      <c r="AM43" s="418">
        <v>35</v>
      </c>
      <c r="AN43" s="418">
        <v>36</v>
      </c>
      <c r="AO43" s="418">
        <v>37</v>
      </c>
      <c r="AP43" s="418">
        <v>38</v>
      </c>
      <c r="AQ43" s="418">
        <v>39</v>
      </c>
      <c r="AR43" s="418">
        <v>40</v>
      </c>
      <c r="AS43" s="418">
        <v>41</v>
      </c>
      <c r="AT43" s="418">
        <v>42</v>
      </c>
      <c r="AU43" s="418">
        <v>43</v>
      </c>
      <c r="AV43" s="418">
        <v>44</v>
      </c>
      <c r="AW43" s="418">
        <v>45</v>
      </c>
      <c r="AX43" s="418">
        <v>46</v>
      </c>
      <c r="AY43" s="418">
        <v>47</v>
      </c>
      <c r="AZ43" s="418">
        <v>48</v>
      </c>
      <c r="BA43" s="418">
        <v>49</v>
      </c>
      <c r="BB43" s="418">
        <v>50</v>
      </c>
      <c r="BC43" s="418">
        <v>51</v>
      </c>
      <c r="BD43" s="418">
        <v>52</v>
      </c>
      <c r="BE43" s="418">
        <v>53</v>
      </c>
      <c r="BF43" s="418">
        <v>54</v>
      </c>
      <c r="BG43" s="418">
        <v>55</v>
      </c>
      <c r="BH43" s="418">
        <v>56</v>
      </c>
      <c r="BI43" s="418">
        <v>57</v>
      </c>
      <c r="BJ43" s="418">
        <v>58</v>
      </c>
      <c r="BK43" s="418">
        <v>59</v>
      </c>
      <c r="BL43" s="418">
        <v>60</v>
      </c>
      <c r="BM43" s="418">
        <v>61</v>
      </c>
      <c r="BN43" s="418">
        <v>62</v>
      </c>
      <c r="BO43" s="418">
        <v>63</v>
      </c>
      <c r="BP43" s="418">
        <v>64</v>
      </c>
      <c r="BQ43" s="418">
        <v>65</v>
      </c>
      <c r="BR43" s="418">
        <v>66</v>
      </c>
      <c r="BS43" s="418">
        <v>67</v>
      </c>
      <c r="BT43" s="418">
        <v>68</v>
      </c>
      <c r="BU43" s="418">
        <v>69</v>
      </c>
      <c r="BV43" s="418">
        <v>70</v>
      </c>
      <c r="BW43" s="418">
        <v>71</v>
      </c>
      <c r="BX43" s="418">
        <v>72</v>
      </c>
      <c r="BY43" s="418">
        <v>73</v>
      </c>
      <c r="BZ43" s="418">
        <v>74</v>
      </c>
      <c r="CA43" s="418">
        <v>75</v>
      </c>
      <c r="CB43" s="418">
        <v>76</v>
      </c>
      <c r="CC43" s="418">
        <v>77</v>
      </c>
      <c r="CD43" s="418">
        <v>78</v>
      </c>
      <c r="CE43" s="418">
        <v>79</v>
      </c>
      <c r="CF43" s="418">
        <v>80</v>
      </c>
      <c r="CG43" s="418">
        <v>81</v>
      </c>
      <c r="CH43" s="418">
        <v>82</v>
      </c>
      <c r="CI43" s="418">
        <v>83</v>
      </c>
      <c r="CJ43" s="418">
        <v>84</v>
      </c>
      <c r="CK43" s="418">
        <v>85</v>
      </c>
      <c r="CL43" s="418">
        <v>86</v>
      </c>
      <c r="CM43" s="418">
        <v>87</v>
      </c>
      <c r="CN43" s="418">
        <v>88</v>
      </c>
      <c r="CO43" s="418">
        <v>89</v>
      </c>
      <c r="CP43" s="418">
        <v>90</v>
      </c>
      <c r="CQ43" s="418">
        <v>91</v>
      </c>
      <c r="CR43" s="418">
        <v>92</v>
      </c>
      <c r="CS43" s="418">
        <v>93</v>
      </c>
      <c r="CT43" s="418">
        <v>94</v>
      </c>
      <c r="CU43" s="418">
        <v>95</v>
      </c>
      <c r="CV43" s="418">
        <v>96</v>
      </c>
      <c r="CW43" s="418">
        <v>97</v>
      </c>
      <c r="CX43" s="418">
        <v>98</v>
      </c>
      <c r="CY43" s="418">
        <v>99</v>
      </c>
      <c r="CZ43" s="418">
        <v>100</v>
      </c>
      <c r="DA43" s="418">
        <v>101</v>
      </c>
      <c r="DB43" s="418">
        <v>102</v>
      </c>
      <c r="DC43" s="418">
        <v>103</v>
      </c>
      <c r="DD43" s="418">
        <v>104</v>
      </c>
      <c r="DE43" s="418">
        <v>105</v>
      </c>
      <c r="DF43" s="418">
        <v>106</v>
      </c>
      <c r="DG43" s="418">
        <v>107</v>
      </c>
      <c r="DH43" s="418">
        <v>108</v>
      </c>
      <c r="DI43" s="418">
        <v>109</v>
      </c>
      <c r="DJ43" s="418">
        <v>110</v>
      </c>
      <c r="DK43" s="418">
        <v>111</v>
      </c>
      <c r="DL43" s="418">
        <v>112</v>
      </c>
      <c r="DM43" s="418">
        <v>113</v>
      </c>
      <c r="DN43" s="418">
        <v>114</v>
      </c>
      <c r="DO43" s="418">
        <v>115</v>
      </c>
      <c r="DP43" s="418">
        <v>116</v>
      </c>
      <c r="DQ43" s="418">
        <v>117</v>
      </c>
      <c r="DR43" s="418">
        <v>118</v>
      </c>
      <c r="DS43" s="418">
        <v>119</v>
      </c>
      <c r="DT43" s="418">
        <v>120</v>
      </c>
      <c r="DU43" s="418">
        <v>121</v>
      </c>
      <c r="DV43" s="418">
        <v>122</v>
      </c>
      <c r="DW43" s="418">
        <v>123</v>
      </c>
      <c r="DX43" s="418">
        <v>124</v>
      </c>
      <c r="DY43" s="418">
        <v>125</v>
      </c>
      <c r="DZ43" s="418">
        <v>126</v>
      </c>
      <c r="EA43" s="418">
        <v>127</v>
      </c>
      <c r="EB43" s="418">
        <v>128</v>
      </c>
      <c r="EC43" s="418">
        <v>129</v>
      </c>
      <c r="ED43" s="418">
        <v>130</v>
      </c>
      <c r="EE43" s="418">
        <v>131</v>
      </c>
      <c r="EF43" s="418">
        <v>132</v>
      </c>
      <c r="EG43" s="418">
        <v>133</v>
      </c>
      <c r="EH43" s="418">
        <v>134</v>
      </c>
      <c r="EI43" s="418">
        <v>135</v>
      </c>
      <c r="EJ43" s="418">
        <v>136</v>
      </c>
      <c r="EK43" s="418">
        <v>137</v>
      </c>
      <c r="EL43" s="418">
        <v>138</v>
      </c>
      <c r="EM43" s="418">
        <v>139</v>
      </c>
      <c r="EN43" s="418">
        <v>140</v>
      </c>
      <c r="EO43" s="418">
        <v>141</v>
      </c>
      <c r="EP43" s="418">
        <v>142</v>
      </c>
      <c r="EQ43" s="418">
        <v>143</v>
      </c>
      <c r="ER43" s="418">
        <v>144</v>
      </c>
      <c r="ES43" s="418">
        <v>145</v>
      </c>
      <c r="ET43" s="418">
        <v>146</v>
      </c>
      <c r="EU43" s="418">
        <v>147</v>
      </c>
      <c r="EV43" s="418">
        <v>148</v>
      </c>
      <c r="EW43" s="418">
        <v>149</v>
      </c>
      <c r="EX43" s="418">
        <v>150</v>
      </c>
      <c r="EY43" s="418">
        <v>151</v>
      </c>
      <c r="EZ43" s="418">
        <v>152</v>
      </c>
      <c r="FA43" s="418">
        <v>153</v>
      </c>
      <c r="FB43" s="418">
        <v>154</v>
      </c>
      <c r="FC43" s="418">
        <v>155</v>
      </c>
      <c r="FD43" s="418">
        <v>156</v>
      </c>
      <c r="FE43" s="418">
        <v>157</v>
      </c>
      <c r="FF43" s="418">
        <v>158</v>
      </c>
      <c r="FG43" s="418">
        <v>159</v>
      </c>
      <c r="FH43" s="418">
        <v>160</v>
      </c>
      <c r="FI43" s="418">
        <v>161</v>
      </c>
      <c r="FJ43" s="418">
        <v>162</v>
      </c>
      <c r="FK43" s="418">
        <v>163</v>
      </c>
      <c r="FL43" s="418">
        <v>164</v>
      </c>
      <c r="FM43" s="418">
        <v>165</v>
      </c>
      <c r="FN43" s="418">
        <v>166</v>
      </c>
      <c r="FO43" s="418">
        <v>167</v>
      </c>
      <c r="FP43" s="418">
        <v>168</v>
      </c>
      <c r="FQ43" s="418">
        <v>169</v>
      </c>
      <c r="FR43" s="418">
        <v>170</v>
      </c>
      <c r="FS43" s="418">
        <v>171</v>
      </c>
      <c r="FT43" s="418">
        <v>172</v>
      </c>
      <c r="FU43" s="418">
        <v>173</v>
      </c>
      <c r="FV43" s="418">
        <v>174</v>
      </c>
      <c r="FW43" s="418">
        <v>175</v>
      </c>
      <c r="FX43" s="418">
        <v>176</v>
      </c>
      <c r="FY43" s="418">
        <v>177</v>
      </c>
      <c r="FZ43" s="418">
        <v>178</v>
      </c>
      <c r="GA43" s="418">
        <v>179</v>
      </c>
      <c r="GB43" s="418">
        <v>180</v>
      </c>
      <c r="GC43" s="418">
        <v>181</v>
      </c>
      <c r="GD43" s="418">
        <v>182</v>
      </c>
      <c r="GE43" s="418">
        <v>183</v>
      </c>
      <c r="GF43" s="418">
        <v>184</v>
      </c>
      <c r="GG43" s="418">
        <v>185</v>
      </c>
      <c r="GH43" s="418">
        <v>186</v>
      </c>
      <c r="GI43" s="418">
        <v>187</v>
      </c>
      <c r="GJ43" s="418">
        <v>188</v>
      </c>
      <c r="GK43" s="418">
        <v>189</v>
      </c>
      <c r="GL43" s="418">
        <v>190</v>
      </c>
      <c r="GM43" s="418">
        <v>191</v>
      </c>
      <c r="GN43" s="418">
        <v>192</v>
      </c>
      <c r="GO43" s="418">
        <v>193</v>
      </c>
      <c r="GP43" s="418">
        <v>194</v>
      </c>
      <c r="GQ43" s="418">
        <v>195</v>
      </c>
      <c r="GR43" s="418">
        <v>196</v>
      </c>
      <c r="GS43" s="418">
        <v>197</v>
      </c>
      <c r="GT43" s="418">
        <v>198</v>
      </c>
      <c r="GU43" s="418">
        <v>199</v>
      </c>
      <c r="GV43" s="418">
        <v>200</v>
      </c>
      <c r="GW43" s="418">
        <v>201</v>
      </c>
      <c r="GX43" s="418">
        <v>202</v>
      </c>
      <c r="GY43" s="418">
        <v>203</v>
      </c>
      <c r="GZ43" s="418">
        <v>204</v>
      </c>
      <c r="HA43" s="418">
        <v>205</v>
      </c>
      <c r="HB43" s="418">
        <v>206</v>
      </c>
      <c r="HC43" s="418">
        <v>207</v>
      </c>
      <c r="HD43" s="418">
        <v>208</v>
      </c>
      <c r="HE43" s="418">
        <v>209</v>
      </c>
      <c r="HF43" s="418">
        <v>210</v>
      </c>
      <c r="HG43" s="418">
        <v>211</v>
      </c>
      <c r="HH43" s="418">
        <v>212</v>
      </c>
      <c r="HI43" s="418">
        <v>213</v>
      </c>
      <c r="HJ43" s="418">
        <v>214</v>
      </c>
      <c r="HK43" s="418">
        <v>215</v>
      </c>
      <c r="HL43" s="418">
        <v>216</v>
      </c>
      <c r="HM43" s="418">
        <v>217</v>
      </c>
      <c r="HN43" s="418">
        <v>218</v>
      </c>
      <c r="HO43" s="418">
        <v>219</v>
      </c>
      <c r="HP43" s="418">
        <v>220</v>
      </c>
      <c r="HQ43" s="418">
        <v>221</v>
      </c>
      <c r="HR43" s="418">
        <v>222</v>
      </c>
      <c r="HS43" s="418">
        <v>223</v>
      </c>
      <c r="HT43" s="418">
        <v>224</v>
      </c>
      <c r="HU43" s="418">
        <v>225</v>
      </c>
      <c r="HV43" s="418">
        <v>226</v>
      </c>
      <c r="HW43" s="418">
        <v>227</v>
      </c>
      <c r="HX43" s="418">
        <v>228</v>
      </c>
      <c r="HY43" s="418">
        <v>229</v>
      </c>
      <c r="HZ43" s="418">
        <v>230</v>
      </c>
      <c r="IA43" s="418">
        <v>231</v>
      </c>
      <c r="IB43" s="418">
        <v>232</v>
      </c>
      <c r="IC43" s="418">
        <v>233</v>
      </c>
      <c r="ID43" s="418">
        <v>234</v>
      </c>
      <c r="IE43" s="418">
        <v>235</v>
      </c>
      <c r="IF43" s="418">
        <v>236</v>
      </c>
      <c r="IG43" s="418">
        <v>237</v>
      </c>
      <c r="IH43" s="418">
        <v>238</v>
      </c>
      <c r="II43" s="418">
        <v>239</v>
      </c>
      <c r="IJ43" s="418">
        <v>240</v>
      </c>
      <c r="IK43" s="418">
        <v>241</v>
      </c>
      <c r="IL43" s="418">
        <v>242</v>
      </c>
      <c r="IM43" s="418">
        <v>243</v>
      </c>
      <c r="IN43" s="418">
        <v>244</v>
      </c>
      <c r="IO43" s="418">
        <v>245</v>
      </c>
      <c r="IP43" s="418">
        <v>246</v>
      </c>
      <c r="IQ43" s="418">
        <v>247</v>
      </c>
      <c r="IR43" s="418">
        <v>248</v>
      </c>
      <c r="IS43" s="418">
        <v>249</v>
      </c>
      <c r="IT43" s="418">
        <v>250</v>
      </c>
      <c r="IU43" s="418">
        <v>251</v>
      </c>
      <c r="IV43" s="418">
        <v>252</v>
      </c>
      <c r="IW43" s="418">
        <v>253</v>
      </c>
      <c r="IX43" s="418">
        <v>254</v>
      </c>
      <c r="IY43" s="418">
        <v>255</v>
      </c>
      <c r="IZ43" s="418">
        <v>256</v>
      </c>
      <c r="JA43" s="418">
        <v>257</v>
      </c>
      <c r="JB43" s="418">
        <v>258</v>
      </c>
      <c r="JC43" s="418">
        <v>259</v>
      </c>
      <c r="JD43" s="418">
        <v>260</v>
      </c>
      <c r="JE43" s="418">
        <v>261</v>
      </c>
      <c r="JF43" s="418">
        <v>262</v>
      </c>
      <c r="JG43" s="418">
        <v>263</v>
      </c>
      <c r="JH43" s="418">
        <v>264</v>
      </c>
      <c r="JI43" s="418">
        <v>265</v>
      </c>
      <c r="JJ43" s="418">
        <v>266</v>
      </c>
      <c r="JK43" s="418">
        <v>267</v>
      </c>
      <c r="JL43" s="418">
        <v>268</v>
      </c>
      <c r="JM43" s="418">
        <v>269</v>
      </c>
      <c r="JN43" s="418">
        <v>270</v>
      </c>
      <c r="JO43" s="418">
        <v>271</v>
      </c>
      <c r="JP43" s="418">
        <v>272</v>
      </c>
      <c r="JQ43" s="418">
        <v>273</v>
      </c>
      <c r="JR43" s="351"/>
      <c r="JS43" s="1400"/>
    </row>
    <row r="44" spans="1:279" x14ac:dyDescent="0.25">
      <c r="A44" s="1367">
        <v>2</v>
      </c>
      <c r="B44" s="1368" t="str">
        <f>IF(ASE_C_IND&gt;1,IF(HLOOKUP(ASE_C_IND-1,ASE_C_RANGE,A44)="","",HLOOKUP(ASE_C_IND-1,ASE_C_RANGE,A44)),"")</f>
        <v/>
      </c>
      <c r="C44" s="1359" t="s">
        <v>2469</v>
      </c>
      <c r="D44" s="1408" t="s">
        <v>2470</v>
      </c>
      <c r="E44" s="1410"/>
      <c r="F44" s="1410"/>
      <c r="G44" s="1410"/>
      <c r="H44" s="1410"/>
      <c r="I44" s="1410"/>
      <c r="J44" s="1410"/>
      <c r="K44" s="1410"/>
      <c r="L44" s="1410"/>
      <c r="M44" s="1410"/>
      <c r="N44" s="1410"/>
      <c r="O44" s="1410"/>
      <c r="P44" s="1410"/>
      <c r="Q44" s="1410"/>
      <c r="R44" s="1410"/>
      <c r="S44" s="1410"/>
      <c r="T44" s="1410"/>
      <c r="U44" s="1410"/>
      <c r="V44" s="1410"/>
      <c r="W44" s="1410"/>
      <c r="X44" s="1410"/>
      <c r="Y44" s="1410"/>
      <c r="Z44" s="1410"/>
      <c r="AA44" s="1410"/>
      <c r="AB44" s="1410"/>
      <c r="AC44" s="1410"/>
      <c r="AD44" s="1410"/>
      <c r="AE44" s="1410"/>
      <c r="AF44" s="1410"/>
      <c r="AG44" s="1410"/>
      <c r="AH44" s="1410"/>
      <c r="AI44" s="1410"/>
      <c r="AJ44" s="1410"/>
      <c r="AK44" s="1410"/>
      <c r="AL44" s="1410"/>
      <c r="AM44" s="1410"/>
      <c r="AN44" s="1410"/>
      <c r="AO44" s="1410"/>
      <c r="AP44" s="1410"/>
      <c r="AQ44" s="1410"/>
      <c r="AR44" s="1410"/>
      <c r="AS44" s="1410"/>
      <c r="AT44" s="1410"/>
      <c r="AU44" s="1410"/>
      <c r="AV44" s="1410"/>
      <c r="AW44" s="1410"/>
      <c r="AX44" s="1410"/>
      <c r="AY44" s="1410"/>
      <c r="AZ44" s="1410"/>
      <c r="BA44" s="1410"/>
      <c r="BB44" s="1410"/>
      <c r="BC44" s="1410"/>
      <c r="BD44" s="1410"/>
      <c r="BE44" s="1410"/>
      <c r="BF44" s="1410"/>
      <c r="BG44" s="1410"/>
      <c r="BH44" s="1410"/>
      <c r="BI44" s="1410"/>
      <c r="BJ44" s="1410"/>
      <c r="BK44" s="1410"/>
      <c r="BL44" s="1410"/>
      <c r="BM44" s="1410"/>
      <c r="BN44" s="1410"/>
      <c r="BO44" s="1410"/>
      <c r="BP44" s="1410"/>
      <c r="BQ44" s="1410"/>
      <c r="BR44" s="1410"/>
      <c r="BS44" s="1410"/>
      <c r="BT44" s="1410"/>
      <c r="BU44" s="1410"/>
      <c r="BV44" s="1410"/>
      <c r="BW44" s="1410"/>
      <c r="BX44" s="1410"/>
      <c r="BY44" s="1410"/>
      <c r="BZ44" s="1410"/>
      <c r="CA44" s="1410"/>
      <c r="CB44" s="1410"/>
      <c r="CC44" s="1410"/>
      <c r="CD44" s="1410"/>
      <c r="CE44" s="1410"/>
      <c r="CF44" s="1410"/>
      <c r="CG44" s="1410"/>
      <c r="CH44" s="1410"/>
      <c r="CI44" s="1410"/>
      <c r="CJ44" s="1410"/>
      <c r="CK44" s="1410"/>
      <c r="CL44" s="1410"/>
      <c r="CM44" s="1410"/>
      <c r="CN44" s="1410"/>
      <c r="CO44" s="1410"/>
      <c r="CP44" s="1410"/>
      <c r="CQ44" s="1409"/>
      <c r="CR44" s="1410"/>
      <c r="CS44" s="1410"/>
      <c r="CT44" s="1410"/>
      <c r="CU44" s="1410"/>
      <c r="CV44" s="1410"/>
      <c r="CW44" s="1410"/>
      <c r="CX44" s="1410"/>
      <c r="CY44" s="1410"/>
      <c r="CZ44" s="1410"/>
      <c r="DA44" s="1410"/>
      <c r="DB44" s="1410"/>
      <c r="DC44" s="1410"/>
      <c r="DD44" s="1410"/>
      <c r="DE44" s="1410"/>
      <c r="DF44" s="1410"/>
      <c r="DG44" s="1410"/>
      <c r="DH44" s="1410"/>
      <c r="DI44" s="1410"/>
      <c r="DJ44" s="1410"/>
      <c r="DK44" s="1410"/>
      <c r="DL44" s="1410"/>
      <c r="DM44" s="1410"/>
      <c r="DN44" s="1409">
        <v>16993</v>
      </c>
      <c r="DO44" s="1410"/>
      <c r="DP44" s="1410"/>
      <c r="DQ44" s="1410"/>
      <c r="DR44" s="1410"/>
      <c r="DS44" s="1409"/>
      <c r="DT44" s="1410"/>
      <c r="DU44" s="1410"/>
      <c r="DV44" s="1410"/>
      <c r="DW44" s="1410"/>
      <c r="DX44" s="1410"/>
      <c r="DY44" s="1410"/>
      <c r="DZ44" s="1410"/>
      <c r="EA44" s="1410"/>
      <c r="EB44" s="1410"/>
      <c r="EC44" s="1410"/>
      <c r="ED44" s="1410"/>
      <c r="EE44" s="1410"/>
      <c r="EF44" s="1410"/>
      <c r="EG44" s="1410"/>
      <c r="EH44" s="1410"/>
      <c r="EI44" s="1410"/>
      <c r="EJ44" s="1410"/>
      <c r="EK44" s="1410"/>
      <c r="EL44" s="1410"/>
      <c r="EM44" s="1410"/>
      <c r="EN44" s="1410"/>
      <c r="EO44" s="1410"/>
      <c r="EP44" s="1410"/>
      <c r="EQ44" s="1410"/>
      <c r="ER44" s="1410"/>
      <c r="ES44" s="1410"/>
      <c r="ET44" s="1410"/>
      <c r="EU44" s="1410"/>
      <c r="EV44" s="1410"/>
      <c r="EW44" s="1410"/>
      <c r="EX44" s="1410"/>
      <c r="EY44" s="1410"/>
      <c r="EZ44" s="1410"/>
      <c r="FA44" s="1410"/>
      <c r="FB44" s="1410"/>
      <c r="FC44" s="1410"/>
      <c r="FD44" s="1410"/>
      <c r="FE44" s="1410"/>
      <c r="FF44" s="1410"/>
      <c r="FG44" s="1410"/>
      <c r="FH44" s="1410"/>
      <c r="FI44" s="1410"/>
      <c r="FJ44" s="1410"/>
      <c r="FK44" s="1410"/>
      <c r="FL44" s="1410"/>
      <c r="FM44" s="1410"/>
      <c r="FN44" s="1410"/>
      <c r="FO44" s="1410"/>
      <c r="FP44" s="1410"/>
      <c r="FQ44" s="1410"/>
      <c r="FR44" s="1410"/>
      <c r="FS44" s="1410"/>
      <c r="FT44" s="1410"/>
      <c r="FU44" s="1410"/>
      <c r="FV44" s="1410"/>
      <c r="FW44" s="1410"/>
      <c r="FX44" s="1410"/>
      <c r="FY44" s="1410"/>
      <c r="FZ44" s="1410"/>
      <c r="GA44" s="1410"/>
      <c r="GB44" s="1410"/>
      <c r="GC44" s="1410"/>
      <c r="GD44" s="1410"/>
      <c r="GE44" s="1410"/>
      <c r="GF44" s="1410"/>
      <c r="GG44" s="1410"/>
      <c r="GH44" s="1410"/>
      <c r="GI44" s="1410"/>
      <c r="GJ44" s="1410"/>
      <c r="GK44" s="1410"/>
      <c r="GL44" s="1410"/>
      <c r="GM44" s="1410"/>
      <c r="GN44" s="1410"/>
      <c r="GO44" s="1410"/>
      <c r="GP44" s="1410"/>
      <c r="GQ44" s="1410"/>
      <c r="GR44" s="1410"/>
      <c r="GS44" s="1410"/>
      <c r="GT44" s="1410"/>
      <c r="GU44" s="1410"/>
      <c r="GV44" s="1410"/>
      <c r="GW44" s="1410"/>
      <c r="GX44" s="1410"/>
      <c r="GY44" s="1410"/>
      <c r="GZ44" s="1410"/>
      <c r="HA44" s="1410"/>
      <c r="HB44" s="1410"/>
      <c r="HC44" s="1410"/>
      <c r="HD44" s="1410"/>
      <c r="HE44" s="1410"/>
      <c r="HF44" s="1410"/>
      <c r="HG44" s="1410"/>
      <c r="HH44" s="1410"/>
      <c r="HI44" s="1410"/>
      <c r="HJ44" s="1410"/>
      <c r="HK44" s="1410"/>
      <c r="HL44" s="1410"/>
      <c r="HM44" s="1410"/>
      <c r="HN44" s="1410"/>
      <c r="HO44" s="1410"/>
      <c r="HP44" s="1410"/>
      <c r="HQ44" s="1410"/>
      <c r="HR44" s="1410"/>
      <c r="HS44" s="1410"/>
      <c r="HT44" s="1410"/>
      <c r="HU44" s="1410"/>
      <c r="HV44" s="1410"/>
      <c r="HW44" s="1410"/>
      <c r="HX44" s="1410"/>
      <c r="HY44" s="1410"/>
      <c r="HZ44" s="1410"/>
      <c r="IA44" s="1410"/>
      <c r="IB44" s="1410"/>
      <c r="IC44" s="1410"/>
      <c r="ID44" s="1410"/>
      <c r="IE44" s="1410"/>
      <c r="IF44" s="1410"/>
      <c r="IG44" s="1410"/>
      <c r="IH44" s="1410"/>
      <c r="II44" s="1410"/>
      <c r="IJ44" s="1410"/>
      <c r="IK44" s="1410"/>
      <c r="IL44" s="1410"/>
      <c r="IM44" s="1410"/>
      <c r="IN44" s="1410"/>
      <c r="IO44" s="1410"/>
      <c r="IP44" s="1410"/>
      <c r="IQ44" s="1410"/>
      <c r="IR44" s="1410"/>
      <c r="IS44" s="1410"/>
      <c r="IT44" s="1410"/>
      <c r="IU44" s="1410"/>
      <c r="IV44" s="1410"/>
      <c r="IW44" s="1410"/>
      <c r="IX44" s="1410"/>
      <c r="IY44" s="1410"/>
      <c r="IZ44" s="1410"/>
      <c r="JA44" s="1410"/>
      <c r="JB44" s="1410"/>
      <c r="JC44" s="1410"/>
      <c r="JD44" s="1410"/>
      <c r="JE44" s="1410"/>
      <c r="JF44" s="1410"/>
      <c r="JG44" s="1410"/>
      <c r="JH44" s="1410"/>
      <c r="JI44" s="1410"/>
      <c r="JJ44" s="1410"/>
      <c r="JK44" s="1410"/>
      <c r="JL44" s="1410"/>
      <c r="JM44" s="1410"/>
      <c r="JN44" s="1410"/>
      <c r="JO44" s="1410"/>
      <c r="JP44" s="1410"/>
      <c r="JQ44" s="1405"/>
      <c r="JR44" s="351"/>
      <c r="JS44" s="1400"/>
    </row>
    <row r="45" spans="1:279" x14ac:dyDescent="0.25">
      <c r="A45" s="1367">
        <v>3</v>
      </c>
      <c r="B45" s="1368" t="str">
        <f>IF(ASE_C_IND&gt;1,IF(HLOOKUP(ASE_C_IND-1,ASE_C_RANGE,A45)="","",HLOOKUP(ASE_C_IND-1,ASE_C_RANGE,A45)),"")</f>
        <v/>
      </c>
      <c r="C45" s="1359" t="s">
        <v>2471</v>
      </c>
      <c r="D45" s="1408" t="s">
        <v>2472</v>
      </c>
      <c r="E45" s="1410"/>
      <c r="F45" s="1410"/>
      <c r="G45" s="1410"/>
      <c r="H45" s="1410"/>
      <c r="I45" s="1410"/>
      <c r="J45" s="1410"/>
      <c r="K45" s="1410"/>
      <c r="L45" s="1410"/>
      <c r="M45" s="1410"/>
      <c r="N45" s="1410"/>
      <c r="O45" s="1410"/>
      <c r="P45" s="1410"/>
      <c r="Q45" s="1410"/>
      <c r="R45" s="1410"/>
      <c r="S45" s="1410"/>
      <c r="T45" s="1410"/>
      <c r="U45" s="1410"/>
      <c r="V45" s="1410"/>
      <c r="W45" s="1410"/>
      <c r="X45" s="1410"/>
      <c r="Y45" s="1410"/>
      <c r="Z45" s="1410"/>
      <c r="AA45" s="1410"/>
      <c r="AB45" s="1410"/>
      <c r="AC45" s="1410"/>
      <c r="AD45" s="1410"/>
      <c r="AE45" s="1410"/>
      <c r="AF45" s="1410"/>
      <c r="AG45" s="1410"/>
      <c r="AH45" s="1410"/>
      <c r="AI45" s="1410"/>
      <c r="AJ45" s="1410"/>
      <c r="AK45" s="1410"/>
      <c r="AL45" s="1410"/>
      <c r="AM45" s="1410"/>
      <c r="AN45" s="1410"/>
      <c r="AO45" s="1410"/>
      <c r="AP45" s="1410"/>
      <c r="AQ45" s="1410"/>
      <c r="AR45" s="1410"/>
      <c r="AS45" s="1410"/>
      <c r="AT45" s="1410"/>
      <c r="AU45" s="1410"/>
      <c r="AV45" s="1410"/>
      <c r="AW45" s="1410"/>
      <c r="AX45" s="1410"/>
      <c r="AY45" s="1410"/>
      <c r="AZ45" s="1410"/>
      <c r="BA45" s="1410"/>
      <c r="BB45" s="1410"/>
      <c r="BC45" s="1410"/>
      <c r="BD45" s="1410">
        <v>2000</v>
      </c>
      <c r="BE45" s="1410"/>
      <c r="BF45" s="1410"/>
      <c r="BG45" s="1410"/>
      <c r="BH45" s="1410"/>
      <c r="BI45" s="1410"/>
      <c r="BJ45" s="1410"/>
      <c r="BK45" s="1410"/>
      <c r="BL45" s="1410"/>
      <c r="BM45" s="1410"/>
      <c r="BN45" s="1410"/>
      <c r="BO45" s="1410"/>
      <c r="BP45" s="1410"/>
      <c r="BQ45" s="1410"/>
      <c r="BR45" s="1410"/>
      <c r="BS45" s="1410"/>
      <c r="BT45" s="1410"/>
      <c r="BU45" s="1410"/>
      <c r="BV45" s="1410"/>
      <c r="BW45" s="1410"/>
      <c r="BX45" s="1410"/>
      <c r="BY45" s="1410"/>
      <c r="BZ45" s="1410"/>
      <c r="CA45" s="1410"/>
      <c r="CB45" s="1410"/>
      <c r="CC45" s="1410"/>
      <c r="CD45" s="1410"/>
      <c r="CE45" s="1410"/>
      <c r="CF45" s="1410"/>
      <c r="CG45" s="1410"/>
      <c r="CH45" s="1410"/>
      <c r="CI45" s="1410"/>
      <c r="CJ45" s="1410"/>
      <c r="CK45" s="1410"/>
      <c r="CL45" s="1410"/>
      <c r="CM45" s="1410"/>
      <c r="CN45" s="1410"/>
      <c r="CO45" s="1410"/>
      <c r="CP45" s="1410"/>
      <c r="CQ45" s="1410"/>
      <c r="CR45" s="1410"/>
      <c r="CS45" s="1410"/>
      <c r="CT45" s="1410"/>
      <c r="CU45" s="1410"/>
      <c r="CV45" s="1409"/>
      <c r="CW45" s="1410"/>
      <c r="CX45" s="1410"/>
      <c r="CY45" s="1410"/>
      <c r="CZ45" s="1410"/>
      <c r="DA45" s="1410"/>
      <c r="DB45" s="1410"/>
      <c r="DC45" s="1410"/>
      <c r="DD45" s="1410"/>
      <c r="DE45" s="1410"/>
      <c r="DF45" s="1410"/>
      <c r="DG45" s="1410"/>
      <c r="DH45" s="1410"/>
      <c r="DI45" s="1410"/>
      <c r="DJ45" s="1410"/>
      <c r="DK45" s="1410"/>
      <c r="DL45" s="1410"/>
      <c r="DM45" s="1410"/>
      <c r="DN45" s="1410"/>
      <c r="DO45" s="1410"/>
      <c r="DP45" s="1409">
        <v>30000</v>
      </c>
      <c r="DQ45" s="1410"/>
      <c r="DR45" s="1410"/>
      <c r="DS45" s="1409">
        <v>257277</v>
      </c>
      <c r="DT45" s="1409">
        <v>252876</v>
      </c>
      <c r="DU45" s="1410"/>
      <c r="DV45" s="1410"/>
      <c r="DW45" s="1410"/>
      <c r="DX45" s="1410"/>
      <c r="DY45" s="1410"/>
      <c r="DZ45" s="1410"/>
      <c r="EA45" s="1410"/>
      <c r="EB45" s="1410"/>
      <c r="EC45" s="1410"/>
      <c r="ED45" s="1410"/>
      <c r="EE45" s="1410"/>
      <c r="EF45" s="1410"/>
      <c r="EG45" s="1410"/>
      <c r="EH45" s="1410"/>
      <c r="EI45" s="1410"/>
      <c r="EJ45" s="1410"/>
      <c r="EK45" s="1410"/>
      <c r="EL45" s="1410"/>
      <c r="EM45" s="1410"/>
      <c r="EN45" s="1410"/>
      <c r="EO45" s="1410"/>
      <c r="EP45" s="1410"/>
      <c r="EQ45" s="1410"/>
      <c r="ER45" s="1410"/>
      <c r="ES45" s="1410"/>
      <c r="ET45" s="1410"/>
      <c r="EU45" s="1410"/>
      <c r="EV45" s="1410"/>
      <c r="EW45" s="1410"/>
      <c r="EX45" s="1410"/>
      <c r="EY45" s="1410"/>
      <c r="EZ45" s="1410"/>
      <c r="FA45" s="1410"/>
      <c r="FB45" s="1410"/>
      <c r="FC45" s="1410"/>
      <c r="FD45" s="1410"/>
      <c r="FE45" s="1410"/>
      <c r="FF45" s="1410"/>
      <c r="FG45" s="1410"/>
      <c r="FH45" s="1410"/>
      <c r="FI45" s="1410"/>
      <c r="FJ45" s="1410"/>
      <c r="FK45" s="1410"/>
      <c r="FL45" s="1410"/>
      <c r="FM45" s="1410"/>
      <c r="FN45" s="1410"/>
      <c r="FO45" s="1410"/>
      <c r="FP45" s="1410"/>
      <c r="FQ45" s="1410"/>
      <c r="FR45" s="1410"/>
      <c r="FS45" s="1410"/>
      <c r="FT45" s="1410"/>
      <c r="FU45" s="1410"/>
      <c r="FV45" s="1410"/>
      <c r="FW45" s="1410"/>
      <c r="FX45" s="1410"/>
      <c r="FY45" s="1410"/>
      <c r="FZ45" s="1410"/>
      <c r="GA45" s="1410"/>
      <c r="GB45" s="1410"/>
      <c r="GC45" s="1410"/>
      <c r="GD45" s="1410"/>
      <c r="GE45" s="1410"/>
      <c r="GF45" s="1410"/>
      <c r="GG45" s="1410"/>
      <c r="GH45" s="1410"/>
      <c r="GI45" s="1410"/>
      <c r="GJ45" s="1410"/>
      <c r="GK45" s="1410"/>
      <c r="GL45" s="1410"/>
      <c r="GM45" s="1410"/>
      <c r="GN45" s="1410"/>
      <c r="GO45" s="1410"/>
      <c r="GP45" s="1410"/>
      <c r="GQ45" s="1410"/>
      <c r="GR45" s="1410"/>
      <c r="GS45" s="1410"/>
      <c r="GT45" s="1410"/>
      <c r="GU45" s="1410"/>
      <c r="GV45" s="1410"/>
      <c r="GW45" s="1410"/>
      <c r="GX45" s="1410"/>
      <c r="GY45" s="1410"/>
      <c r="GZ45" s="1410"/>
      <c r="HA45" s="1410"/>
      <c r="HB45" s="1410"/>
      <c r="HC45" s="1410"/>
      <c r="HD45" s="1410"/>
      <c r="HE45" s="1410"/>
      <c r="HF45" s="1410">
        <v>452916</v>
      </c>
      <c r="HG45" s="2517"/>
      <c r="HH45" s="1410"/>
      <c r="HI45" s="1410"/>
      <c r="HJ45" s="1410"/>
      <c r="HK45" s="1410"/>
      <c r="HL45" s="1410"/>
      <c r="HM45" s="1410"/>
      <c r="HN45" s="1410"/>
      <c r="HO45" s="1410"/>
      <c r="HP45" s="1410"/>
      <c r="HQ45" s="1410"/>
      <c r="HR45" s="1410"/>
      <c r="HS45" s="1410"/>
      <c r="HT45" s="1410"/>
      <c r="HU45" s="1410"/>
      <c r="HV45" s="1410"/>
      <c r="HW45" s="1410"/>
      <c r="HX45" s="1410"/>
      <c r="HY45" s="1410"/>
      <c r="HZ45" s="1410"/>
      <c r="IA45" s="1410"/>
      <c r="IB45" s="1410"/>
      <c r="IC45" s="1410"/>
      <c r="ID45" s="1410"/>
      <c r="IE45" s="1410"/>
      <c r="IF45" s="1410"/>
      <c r="IG45" s="1410"/>
      <c r="IH45" s="1410"/>
      <c r="II45" s="1410"/>
      <c r="IJ45" s="1410"/>
      <c r="IK45" s="1410"/>
      <c r="IL45" s="1410"/>
      <c r="IM45" s="1410"/>
      <c r="IN45" s="1410"/>
      <c r="IO45" s="1410"/>
      <c r="IP45" s="1410"/>
      <c r="IQ45" s="1410"/>
      <c r="IR45" s="1410"/>
      <c r="IS45" s="1410"/>
      <c r="IT45" s="1410"/>
      <c r="IU45" s="1410"/>
      <c r="IV45" s="1410"/>
      <c r="IW45" s="1410"/>
      <c r="IX45" s="1410"/>
      <c r="IY45" s="1410"/>
      <c r="IZ45" s="1410"/>
      <c r="JA45" s="1410"/>
      <c r="JB45" s="1410"/>
      <c r="JC45" s="1410"/>
      <c r="JD45" s="1410"/>
      <c r="JE45" s="1410"/>
      <c r="JF45" s="1410"/>
      <c r="JG45" s="1410"/>
      <c r="JH45" s="1410"/>
      <c r="JI45" s="1409"/>
      <c r="JJ45" s="1410"/>
      <c r="JK45" s="1410"/>
      <c r="JL45" s="1410"/>
      <c r="JM45" s="1410"/>
      <c r="JN45" s="1410"/>
      <c r="JO45" s="1410"/>
      <c r="JP45" s="1410"/>
      <c r="JQ45" s="2518"/>
      <c r="JR45" s="351"/>
      <c r="JS45" s="1400"/>
    </row>
    <row r="46" spans="1:279" x14ac:dyDescent="0.25">
      <c r="A46" s="1367">
        <v>4</v>
      </c>
      <c r="B46" s="1368" t="str">
        <f>IF(ASE_C_IND&gt;1,IF(HLOOKUP(ASE_C_IND-1,ASE_C_RANGE,A46)="","",HLOOKUP(ASE_C_IND-1,ASE_C_RANGE,A46)),"")</f>
        <v/>
      </c>
      <c r="C46" s="1359" t="s">
        <v>2473</v>
      </c>
      <c r="D46" s="1408" t="s">
        <v>2474</v>
      </c>
      <c r="E46" s="1410"/>
      <c r="F46" s="1410"/>
      <c r="G46" s="1410"/>
      <c r="H46" s="1410"/>
      <c r="I46" s="1410"/>
      <c r="J46" s="1410"/>
      <c r="K46" s="1410"/>
      <c r="L46" s="1410"/>
      <c r="M46" s="1410"/>
      <c r="N46" s="1410"/>
      <c r="O46" s="1410"/>
      <c r="P46" s="1410"/>
      <c r="Q46" s="1410"/>
      <c r="R46" s="1410"/>
      <c r="S46" s="1410"/>
      <c r="T46" s="1410"/>
      <c r="U46" s="1410"/>
      <c r="V46" s="1410"/>
      <c r="W46" s="1410"/>
      <c r="X46" s="1410"/>
      <c r="Y46" s="1410"/>
      <c r="Z46" s="1410"/>
      <c r="AA46" s="1410"/>
      <c r="AB46" s="1410"/>
      <c r="AC46" s="1410"/>
      <c r="AD46" s="1410"/>
      <c r="AE46" s="1410"/>
      <c r="AF46" s="1410"/>
      <c r="AG46" s="1410"/>
      <c r="AH46" s="1410"/>
      <c r="AI46" s="1410"/>
      <c r="AJ46" s="1410"/>
      <c r="AK46" s="1410"/>
      <c r="AL46" s="1410"/>
      <c r="AM46" s="1410"/>
      <c r="AN46" s="1410"/>
      <c r="AO46" s="1410"/>
      <c r="AP46" s="1410"/>
      <c r="AQ46" s="1410"/>
      <c r="AR46" s="1410"/>
      <c r="AS46" s="1410"/>
      <c r="AT46" s="1410"/>
      <c r="AU46" s="1410"/>
      <c r="AV46" s="1410"/>
      <c r="AW46" s="1410"/>
      <c r="AX46" s="1410"/>
      <c r="AY46" s="1410"/>
      <c r="AZ46" s="1410"/>
      <c r="BA46" s="1410"/>
      <c r="BB46" s="1410"/>
      <c r="BC46" s="1410"/>
      <c r="BD46" s="1410"/>
      <c r="BE46" s="1410"/>
      <c r="BF46" s="1410"/>
      <c r="BG46" s="1410"/>
      <c r="BH46" s="1410"/>
      <c r="BI46" s="1410"/>
      <c r="BJ46" s="1410"/>
      <c r="BK46" s="1410"/>
      <c r="BL46" s="1410"/>
      <c r="BM46" s="1410"/>
      <c r="BN46" s="1410"/>
      <c r="BO46" s="1410"/>
      <c r="BP46" s="1410"/>
      <c r="BQ46" s="1410"/>
      <c r="BR46" s="1410"/>
      <c r="BS46" s="1410"/>
      <c r="BT46" s="1410"/>
      <c r="BU46" s="1410"/>
      <c r="BV46" s="1410"/>
      <c r="BW46" s="1410"/>
      <c r="BX46" s="1410"/>
      <c r="BY46" s="1410"/>
      <c r="BZ46" s="1410"/>
      <c r="CA46" s="1410"/>
      <c r="CB46" s="1410"/>
      <c r="CC46" s="1410"/>
      <c r="CD46" s="1410"/>
      <c r="CE46" s="1410"/>
      <c r="CF46" s="1410"/>
      <c r="CG46" s="1410"/>
      <c r="CH46" s="1410"/>
      <c r="CI46" s="1410"/>
      <c r="CJ46" s="1410"/>
      <c r="CK46" s="1410"/>
      <c r="CL46" s="1410"/>
      <c r="CM46" s="1410"/>
      <c r="CN46" s="1410"/>
      <c r="CO46" s="1410"/>
      <c r="CP46" s="1410"/>
      <c r="CQ46" s="1410"/>
      <c r="CR46" s="1410"/>
      <c r="CS46" s="1410"/>
      <c r="CT46" s="1410"/>
      <c r="CU46" s="1410"/>
      <c r="CV46" s="1410"/>
      <c r="CW46" s="1410"/>
      <c r="CX46" s="1410"/>
      <c r="CY46" s="1410"/>
      <c r="CZ46" s="1410"/>
      <c r="DA46" s="1410"/>
      <c r="DB46" s="1410"/>
      <c r="DC46" s="1410"/>
      <c r="DD46" s="1410"/>
      <c r="DE46" s="1410"/>
      <c r="DF46" s="1410"/>
      <c r="DG46" s="1410"/>
      <c r="DH46" s="1410"/>
      <c r="DI46" s="1410"/>
      <c r="DJ46" s="1410"/>
      <c r="DK46" s="1410"/>
      <c r="DL46" s="1410"/>
      <c r="DM46" s="1410"/>
      <c r="DN46" s="1410"/>
      <c r="DO46" s="1410"/>
      <c r="DP46" s="1410"/>
      <c r="DQ46" s="1410"/>
      <c r="DR46" s="1410"/>
      <c r="DS46" s="1410"/>
      <c r="DT46" s="1410"/>
      <c r="DU46" s="1410"/>
      <c r="DV46" s="1410"/>
      <c r="DW46" s="1410"/>
      <c r="DX46" s="1410"/>
      <c r="DY46" s="1410"/>
      <c r="DZ46" s="1410"/>
      <c r="EA46" s="1410"/>
      <c r="EB46" s="1410"/>
      <c r="EC46" s="1410"/>
      <c r="ED46" s="1410"/>
      <c r="EE46" s="1410"/>
      <c r="EF46" s="1410"/>
      <c r="EG46" s="1410"/>
      <c r="EH46" s="1410"/>
      <c r="EI46" s="1410"/>
      <c r="EJ46" s="1410"/>
      <c r="EK46" s="1410"/>
      <c r="EL46" s="1410"/>
      <c r="EM46" s="1410"/>
      <c r="EN46" s="1410"/>
      <c r="EO46" s="1410"/>
      <c r="EP46" s="1410"/>
      <c r="EQ46" s="1410"/>
      <c r="ER46" s="1410"/>
      <c r="ES46" s="1410"/>
      <c r="ET46" s="1410"/>
      <c r="EU46" s="1410"/>
      <c r="EV46" s="1410"/>
      <c r="EW46" s="1410"/>
      <c r="EX46" s="1410"/>
      <c r="EY46" s="1410"/>
      <c r="EZ46" s="1410"/>
      <c r="FA46" s="1410"/>
      <c r="FB46" s="1410"/>
      <c r="FC46" s="1410"/>
      <c r="FD46" s="1410"/>
      <c r="FE46" s="1410"/>
      <c r="FF46" s="1410"/>
      <c r="FG46" s="1410"/>
      <c r="FH46" s="1410"/>
      <c r="FI46" s="1410"/>
      <c r="FJ46" s="1409">
        <v>1658</v>
      </c>
      <c r="FK46" s="1410"/>
      <c r="FL46" s="1410"/>
      <c r="FM46" s="1410"/>
      <c r="FN46" s="1410"/>
      <c r="FO46" s="1410"/>
      <c r="FP46" s="1410"/>
      <c r="FQ46" s="1410"/>
      <c r="FR46" s="1410"/>
      <c r="FS46" s="1410"/>
      <c r="FT46" s="1410"/>
      <c r="FU46" s="1410"/>
      <c r="FV46" s="1410"/>
      <c r="FW46" s="1410"/>
      <c r="FX46" s="1410"/>
      <c r="FY46" s="1410"/>
      <c r="FZ46" s="1410"/>
      <c r="GA46" s="1410"/>
      <c r="GB46" s="1410"/>
      <c r="GC46" s="1410"/>
      <c r="GD46" s="1410"/>
      <c r="GE46" s="1410"/>
      <c r="GF46" s="1410"/>
      <c r="GG46" s="1410"/>
      <c r="GH46" s="1410"/>
      <c r="GI46" s="1410"/>
      <c r="GJ46" s="1410"/>
      <c r="GK46" s="1410"/>
      <c r="GL46" s="1410"/>
      <c r="GM46" s="1410"/>
      <c r="GN46" s="1410"/>
      <c r="GO46" s="1410"/>
      <c r="GP46" s="1410"/>
      <c r="GQ46" s="1410"/>
      <c r="GR46" s="1410"/>
      <c r="GS46" s="1410"/>
      <c r="GT46" s="1410"/>
      <c r="GU46" s="1410"/>
      <c r="GV46" s="1410"/>
      <c r="GW46" s="1410"/>
      <c r="GX46" s="1410"/>
      <c r="GY46" s="1410"/>
      <c r="GZ46" s="1410"/>
      <c r="HA46" s="1410"/>
      <c r="HB46" s="1410"/>
      <c r="HC46" s="1410"/>
      <c r="HD46" s="1410"/>
      <c r="HE46" s="1410"/>
      <c r="HF46" s="1410"/>
      <c r="HG46" s="1410"/>
      <c r="HH46" s="1410"/>
      <c r="HI46" s="1410"/>
      <c r="HJ46" s="1410"/>
      <c r="HK46" s="1410"/>
      <c r="HL46" s="1410"/>
      <c r="HM46" s="1410"/>
      <c r="HN46" s="1410"/>
      <c r="HO46" s="1410"/>
      <c r="HP46" s="1410"/>
      <c r="HQ46" s="1410"/>
      <c r="HR46" s="1410"/>
      <c r="HS46" s="1410"/>
      <c r="HT46" s="1410"/>
      <c r="HU46" s="1410"/>
      <c r="HV46" s="1410"/>
      <c r="HW46" s="1410"/>
      <c r="HX46" s="1410"/>
      <c r="HY46" s="1410"/>
      <c r="HZ46" s="1410"/>
      <c r="IA46" s="1410"/>
      <c r="IB46" s="1410"/>
      <c r="IC46" s="1410"/>
      <c r="ID46" s="1410"/>
      <c r="IE46" s="1410"/>
      <c r="IF46" s="1410"/>
      <c r="IG46" s="1410"/>
      <c r="IH46" s="1410"/>
      <c r="II46" s="1410"/>
      <c r="IJ46" s="1410"/>
      <c r="IK46" s="1410"/>
      <c r="IL46" s="1410"/>
      <c r="IM46" s="1410"/>
      <c r="IN46" s="1410"/>
      <c r="IO46" s="1410"/>
      <c r="IP46" s="1410"/>
      <c r="IQ46" s="1410"/>
      <c r="IR46" s="1410"/>
      <c r="IS46" s="1410"/>
      <c r="IT46" s="1410"/>
      <c r="IU46" s="1410"/>
      <c r="IV46" s="1410"/>
      <c r="IW46" s="1410"/>
      <c r="IX46" s="1410"/>
      <c r="IY46" s="1410"/>
      <c r="IZ46" s="1410"/>
      <c r="JA46" s="1410"/>
      <c r="JB46" s="1410"/>
      <c r="JC46" s="1410"/>
      <c r="JD46" s="1410"/>
      <c r="JE46" s="1410"/>
      <c r="JF46" s="1410"/>
      <c r="JG46" s="1410"/>
      <c r="JH46" s="1410"/>
      <c r="JI46" s="1410"/>
      <c r="JJ46" s="1410"/>
      <c r="JK46" s="1410"/>
      <c r="JL46" s="1410"/>
      <c r="JM46" s="1410"/>
      <c r="JN46" s="1410"/>
      <c r="JO46" s="1410"/>
      <c r="JP46" s="1410"/>
      <c r="JQ46" s="1405"/>
      <c r="JR46" s="351"/>
      <c r="JS46" s="1400"/>
    </row>
    <row r="47" spans="1:279" x14ac:dyDescent="0.25">
      <c r="A47" s="1367">
        <v>5</v>
      </c>
      <c r="B47" s="1368" t="str">
        <f>IF(ASE_C_IND&gt;1,IF(HLOOKUP(ASE_C_IND-1,ASE_C_RANGE,A47)="","",HLOOKUP(ASE_C_IND-1,ASE_C_RANGE,A47)),"")</f>
        <v/>
      </c>
      <c r="C47" s="1359" t="s">
        <v>2475</v>
      </c>
      <c r="D47" s="1408" t="s">
        <v>2476</v>
      </c>
      <c r="E47" s="1410"/>
      <c r="F47" s="1410"/>
      <c r="G47" s="1410"/>
      <c r="H47" s="1410"/>
      <c r="I47" s="1410"/>
      <c r="J47" s="1410"/>
      <c r="K47" s="1410"/>
      <c r="L47" s="1410"/>
      <c r="M47" s="1410"/>
      <c r="N47" s="1410"/>
      <c r="O47" s="1410"/>
      <c r="P47" s="1410"/>
      <c r="Q47" s="1410"/>
      <c r="R47" s="1410"/>
      <c r="S47" s="1410"/>
      <c r="T47" s="1410"/>
      <c r="U47" s="1410"/>
      <c r="V47" s="1410"/>
      <c r="W47" s="1410"/>
      <c r="X47" s="1410"/>
      <c r="Y47" s="1410"/>
      <c r="Z47" s="1410"/>
      <c r="AA47" s="1410"/>
      <c r="AB47" s="1410"/>
      <c r="AC47" s="1410"/>
      <c r="AD47" s="1410"/>
      <c r="AE47" s="1410"/>
      <c r="AF47" s="1410"/>
      <c r="AG47" s="1410"/>
      <c r="AH47" s="1410"/>
      <c r="AI47" s="1410"/>
      <c r="AJ47" s="1410"/>
      <c r="AK47" s="1410"/>
      <c r="AL47" s="1410"/>
      <c r="AM47" s="1410"/>
      <c r="AN47" s="1410"/>
      <c r="AO47" s="1410"/>
      <c r="AP47" s="1410"/>
      <c r="AQ47" s="1410"/>
      <c r="AR47" s="1410"/>
      <c r="AS47" s="1410"/>
      <c r="AT47" s="1410"/>
      <c r="AU47" s="1410"/>
      <c r="AV47" s="1410"/>
      <c r="AW47" s="1410"/>
      <c r="AX47" s="1410"/>
      <c r="AY47" s="1410"/>
      <c r="AZ47" s="1410"/>
      <c r="BA47" s="1410"/>
      <c r="BB47" s="1410"/>
      <c r="BC47" s="1410"/>
      <c r="BD47" s="1410"/>
      <c r="BE47" s="1410"/>
      <c r="BF47" s="1410"/>
      <c r="BG47" s="1410"/>
      <c r="BH47" s="1410"/>
      <c r="BI47" s="1410"/>
      <c r="BJ47" s="1410"/>
      <c r="BK47" s="1410"/>
      <c r="BL47" s="1410"/>
      <c r="BM47" s="1410"/>
      <c r="BN47" s="1410"/>
      <c r="BO47" s="1410"/>
      <c r="BP47" s="1410"/>
      <c r="BQ47" s="1410"/>
      <c r="BR47" s="1410"/>
      <c r="BS47" s="1410"/>
      <c r="BT47" s="1410"/>
      <c r="BU47" s="1410"/>
      <c r="BV47" s="1410"/>
      <c r="BW47" s="1410"/>
      <c r="BX47" s="1410"/>
      <c r="BY47" s="1410"/>
      <c r="BZ47" s="1410"/>
      <c r="CA47" s="1410"/>
      <c r="CB47" s="1410"/>
      <c r="CC47" s="1410"/>
      <c r="CD47" s="1410"/>
      <c r="CE47" s="1410"/>
      <c r="CF47" s="1410"/>
      <c r="CG47" s="1410"/>
      <c r="CH47" s="1410"/>
      <c r="CI47" s="1410"/>
      <c r="CJ47" s="1410"/>
      <c r="CK47" s="1410"/>
      <c r="CL47" s="1410"/>
      <c r="CM47" s="1410"/>
      <c r="CN47" s="1410"/>
      <c r="CO47" s="1410"/>
      <c r="CP47" s="1410"/>
      <c r="CQ47" s="1410"/>
      <c r="CR47" s="1410"/>
      <c r="CS47" s="1410"/>
      <c r="CT47" s="1410"/>
      <c r="CU47" s="1410"/>
      <c r="CV47" s="1410"/>
      <c r="CW47" s="1410"/>
      <c r="CX47" s="1410"/>
      <c r="CY47" s="1410"/>
      <c r="CZ47" s="1410"/>
      <c r="DA47" s="1410"/>
      <c r="DB47" s="1410"/>
      <c r="DC47" s="1410"/>
      <c r="DD47" s="1410"/>
      <c r="DE47" s="1410"/>
      <c r="DF47" s="1410"/>
      <c r="DG47" s="1410"/>
      <c r="DH47" s="1410"/>
      <c r="DI47" s="1410"/>
      <c r="DJ47" s="1410"/>
      <c r="DK47" s="1410"/>
      <c r="DL47" s="1410"/>
      <c r="DM47" s="1410"/>
      <c r="DN47" s="1410"/>
      <c r="DO47" s="1409">
        <v>15803</v>
      </c>
      <c r="DP47" s="1410"/>
      <c r="DQ47" s="1410"/>
      <c r="DR47" s="1410"/>
      <c r="DS47" s="1409">
        <v>15803</v>
      </c>
      <c r="DT47" s="1410"/>
      <c r="DU47" s="1410"/>
      <c r="DV47" s="1410"/>
      <c r="DW47" s="1410"/>
      <c r="DX47" s="1410"/>
      <c r="DY47" s="1410"/>
      <c r="DZ47" s="1410"/>
      <c r="EA47" s="1410"/>
      <c r="EB47" s="1410"/>
      <c r="EC47" s="1410"/>
      <c r="ED47" s="1410"/>
      <c r="EE47" s="1410"/>
      <c r="EF47" s="1410"/>
      <c r="EG47" s="1410"/>
      <c r="EH47" s="1410"/>
      <c r="EI47" s="1410"/>
      <c r="EJ47" s="1410"/>
      <c r="EK47" s="1410"/>
      <c r="EL47" s="1410"/>
      <c r="EM47" s="1410"/>
      <c r="EN47" s="1410"/>
      <c r="EO47" s="1410"/>
      <c r="EP47" s="1410"/>
      <c r="EQ47" s="1410"/>
      <c r="ER47" s="1410"/>
      <c r="ES47" s="1410"/>
      <c r="ET47" s="1410"/>
      <c r="EU47" s="1410"/>
      <c r="EV47" s="1410"/>
      <c r="EW47" s="1410"/>
      <c r="EX47" s="1410"/>
      <c r="EY47" s="1410"/>
      <c r="EZ47" s="1410"/>
      <c r="FA47" s="1410"/>
      <c r="FB47" s="1410"/>
      <c r="FC47" s="1410"/>
      <c r="FD47" s="1410"/>
      <c r="FE47" s="1410"/>
      <c r="FF47" s="1410"/>
      <c r="FG47" s="1410"/>
      <c r="FH47" s="1410"/>
      <c r="FI47" s="1410"/>
      <c r="FJ47" s="1410"/>
      <c r="FK47" s="1410"/>
      <c r="FL47" s="1410"/>
      <c r="FM47" s="1410"/>
      <c r="FN47" s="1410"/>
      <c r="FO47" s="1410"/>
      <c r="FP47" s="1410"/>
      <c r="FQ47" s="1410"/>
      <c r="FR47" s="1410"/>
      <c r="FS47" s="1410"/>
      <c r="FT47" s="1410"/>
      <c r="FU47" s="1410"/>
      <c r="FV47" s="1410"/>
      <c r="FW47" s="1410"/>
      <c r="FX47" s="1410"/>
      <c r="FY47" s="1410"/>
      <c r="FZ47" s="1410"/>
      <c r="GA47" s="1410"/>
      <c r="GB47" s="1410"/>
      <c r="GC47" s="1410"/>
      <c r="GD47" s="1410"/>
      <c r="GE47" s="1410"/>
      <c r="GF47" s="1410"/>
      <c r="GG47" s="1410"/>
      <c r="GH47" s="1410"/>
      <c r="GI47" s="1410"/>
      <c r="GJ47" s="1410"/>
      <c r="GK47" s="1410"/>
      <c r="GL47" s="1410"/>
      <c r="GM47" s="1410"/>
      <c r="GN47" s="1410"/>
      <c r="GO47" s="1410"/>
      <c r="GP47" s="1410"/>
      <c r="GQ47" s="1410"/>
      <c r="GR47" s="1410"/>
      <c r="GS47" s="1410"/>
      <c r="GT47" s="1410"/>
      <c r="GU47" s="1410"/>
      <c r="GV47" s="1410"/>
      <c r="GW47" s="1410"/>
      <c r="GX47" s="1410"/>
      <c r="GY47" s="1410"/>
      <c r="GZ47" s="1410"/>
      <c r="HA47" s="1410"/>
      <c r="HB47" s="1410"/>
      <c r="HC47" s="1410"/>
      <c r="HD47" s="1410"/>
      <c r="HE47" s="1410"/>
      <c r="HF47" s="1410"/>
      <c r="HG47" s="1410"/>
      <c r="HH47" s="1410"/>
      <c r="HI47" s="1410"/>
      <c r="HJ47" s="1410"/>
      <c r="HK47" s="1410"/>
      <c r="HL47" s="1410"/>
      <c r="HM47" s="1410"/>
      <c r="HN47" s="1410"/>
      <c r="HO47" s="1410"/>
      <c r="HP47" s="1410"/>
      <c r="HQ47" s="1410"/>
      <c r="HR47" s="1410"/>
      <c r="HS47" s="1410"/>
      <c r="HT47" s="1410"/>
      <c r="HU47" s="1410"/>
      <c r="HV47" s="1410"/>
      <c r="HW47" s="1410"/>
      <c r="HX47" s="1410"/>
      <c r="HY47" s="1410"/>
      <c r="HZ47" s="1410"/>
      <c r="IA47" s="1410"/>
      <c r="IB47" s="1410"/>
      <c r="IC47" s="1410"/>
      <c r="ID47" s="1410"/>
      <c r="IE47" s="1410"/>
      <c r="IF47" s="1410"/>
      <c r="IG47" s="1410"/>
      <c r="IH47" s="1410"/>
      <c r="II47" s="1410"/>
      <c r="IJ47" s="1410"/>
      <c r="IK47" s="1410"/>
      <c r="IL47" s="1410"/>
      <c r="IM47" s="1410"/>
      <c r="IN47" s="1410"/>
      <c r="IO47" s="1410"/>
      <c r="IP47" s="1410"/>
      <c r="IQ47" s="1410"/>
      <c r="IR47" s="1410"/>
      <c r="IS47" s="1410"/>
      <c r="IT47" s="1410"/>
      <c r="IU47" s="1410"/>
      <c r="IV47" s="1410"/>
      <c r="IW47" s="1410"/>
      <c r="IX47" s="1410"/>
      <c r="IY47" s="1410"/>
      <c r="IZ47" s="1410"/>
      <c r="JA47" s="1410"/>
      <c r="JB47" s="1410"/>
      <c r="JC47" s="1410"/>
      <c r="JD47" s="1410"/>
      <c r="JE47" s="1410"/>
      <c r="JF47" s="1410"/>
      <c r="JG47" s="1410"/>
      <c r="JH47" s="1410"/>
      <c r="JI47" s="1410"/>
      <c r="JJ47" s="1410"/>
      <c r="JK47" s="1410"/>
      <c r="JL47" s="1410"/>
      <c r="JM47" s="1410"/>
      <c r="JN47" s="1410"/>
      <c r="JO47" s="1410"/>
      <c r="JP47" s="1410"/>
      <c r="JQ47" s="1405"/>
      <c r="JR47" s="351"/>
      <c r="JS47" s="1400"/>
    </row>
    <row r="48" spans="1:279" ht="12" thickBot="1" x14ac:dyDescent="0.3">
      <c r="A48" s="1367">
        <v>6</v>
      </c>
      <c r="B48" s="1368" t="str">
        <f>IF(ASE_C_IND&gt;1,IF(HLOOKUP(ASE_C_IND-1,ASE_C_RANGE,A48)="","",HLOOKUP(ASE_C_IND-1,ASE_C_RANGE,A48)),"")</f>
        <v/>
      </c>
      <c r="C48" s="705" t="s">
        <v>2477</v>
      </c>
      <c r="D48" s="720" t="s">
        <v>2478</v>
      </c>
      <c r="E48" s="713"/>
      <c r="F48" s="713"/>
      <c r="G48" s="713"/>
      <c r="H48" s="713"/>
      <c r="I48" s="713"/>
      <c r="J48" s="713"/>
      <c r="K48" s="713"/>
      <c r="L48" s="713"/>
      <c r="M48" s="713"/>
      <c r="N48" s="713"/>
      <c r="O48" s="713"/>
      <c r="P48" s="713"/>
      <c r="Q48" s="713"/>
      <c r="R48" s="713"/>
      <c r="S48" s="713"/>
      <c r="T48" s="713"/>
      <c r="U48" s="713"/>
      <c r="V48" s="713"/>
      <c r="W48" s="713"/>
      <c r="X48" s="713"/>
      <c r="Y48" s="713"/>
      <c r="Z48" s="713"/>
      <c r="AA48" s="713"/>
      <c r="AB48" s="713"/>
      <c r="AC48" s="713"/>
      <c r="AD48" s="713"/>
      <c r="AE48" s="713"/>
      <c r="AF48" s="713"/>
      <c r="AG48" s="713"/>
      <c r="AH48" s="713"/>
      <c r="AI48" s="713"/>
      <c r="AJ48" s="713"/>
      <c r="AK48" s="713"/>
      <c r="AL48" s="713"/>
      <c r="AM48" s="713"/>
      <c r="AN48" s="713"/>
      <c r="AO48" s="713"/>
      <c r="AP48" s="713"/>
      <c r="AQ48" s="713"/>
      <c r="AR48" s="713"/>
      <c r="AS48" s="713"/>
      <c r="AT48" s="713"/>
      <c r="AU48" s="713"/>
      <c r="AV48" s="713"/>
      <c r="AW48" s="713"/>
      <c r="AX48" s="713"/>
      <c r="AY48" s="713"/>
      <c r="AZ48" s="713"/>
      <c r="BA48" s="713"/>
      <c r="BB48" s="713"/>
      <c r="BC48" s="713"/>
      <c r="BD48" s="713"/>
      <c r="BE48" s="713"/>
      <c r="BF48" s="713"/>
      <c r="BG48" s="713"/>
      <c r="BH48" s="713"/>
      <c r="BI48" s="713"/>
      <c r="BJ48" s="713"/>
      <c r="BK48" s="713"/>
      <c r="BL48" s="713"/>
      <c r="BM48" s="713"/>
      <c r="BN48" s="713"/>
      <c r="BO48" s="713"/>
      <c r="BP48" s="713"/>
      <c r="BQ48" s="713"/>
      <c r="BR48" s="713"/>
      <c r="BS48" s="713"/>
      <c r="BT48" s="713"/>
      <c r="BU48" s="713"/>
      <c r="BV48" s="713"/>
      <c r="BW48" s="713"/>
      <c r="BX48" s="713"/>
      <c r="BY48" s="713"/>
      <c r="BZ48" s="713"/>
      <c r="CA48" s="713"/>
      <c r="CB48" s="713"/>
      <c r="CC48" s="713"/>
      <c r="CD48" s="713"/>
      <c r="CE48" s="713"/>
      <c r="CF48" s="713"/>
      <c r="CG48" s="713"/>
      <c r="CH48" s="713"/>
      <c r="CI48" s="713"/>
      <c r="CJ48" s="713"/>
      <c r="CK48" s="713"/>
      <c r="CL48" s="713"/>
      <c r="CM48" s="713"/>
      <c r="CN48" s="713"/>
      <c r="CO48" s="713"/>
      <c r="CP48" s="713"/>
      <c r="CQ48" s="713"/>
      <c r="CR48" s="713"/>
      <c r="CS48" s="713"/>
      <c r="CT48" s="713"/>
      <c r="CU48" s="713"/>
      <c r="CV48" s="713"/>
      <c r="CW48" s="713"/>
      <c r="CX48" s="713"/>
      <c r="CY48" s="713"/>
      <c r="CZ48" s="713"/>
      <c r="DA48" s="713"/>
      <c r="DB48" s="713"/>
      <c r="DC48" s="713"/>
      <c r="DD48" s="713"/>
      <c r="DE48" s="713"/>
      <c r="DF48" s="713"/>
      <c r="DG48" s="713"/>
      <c r="DH48" s="713"/>
      <c r="DI48" s="713"/>
      <c r="DJ48" s="713"/>
      <c r="DK48" s="713"/>
      <c r="DL48" s="713"/>
      <c r="DM48" s="713"/>
      <c r="DN48" s="713"/>
      <c r="DO48" s="713"/>
      <c r="DP48" s="713"/>
      <c r="DQ48" s="713"/>
      <c r="DR48" s="713"/>
      <c r="DS48" s="713"/>
      <c r="DT48" s="713"/>
      <c r="DU48" s="713"/>
      <c r="DV48" s="713"/>
      <c r="DW48" s="713"/>
      <c r="DX48" s="713"/>
      <c r="DY48" s="713"/>
      <c r="DZ48" s="713"/>
      <c r="EA48" s="713"/>
      <c r="EB48" s="713"/>
      <c r="EC48" s="713"/>
      <c r="ED48" s="713"/>
      <c r="EE48" s="713"/>
      <c r="EF48" s="713"/>
      <c r="EG48" s="713"/>
      <c r="EH48" s="713"/>
      <c r="EI48" s="713"/>
      <c r="EJ48" s="713"/>
      <c r="EK48" s="713"/>
      <c r="EL48" s="713"/>
      <c r="EM48" s="713"/>
      <c r="EN48" s="713"/>
      <c r="EO48" s="713"/>
      <c r="EP48" s="713"/>
      <c r="EQ48" s="713"/>
      <c r="ER48" s="713"/>
      <c r="ES48" s="713"/>
      <c r="ET48" s="713"/>
      <c r="EU48" s="713"/>
      <c r="EV48" s="713"/>
      <c r="EW48" s="713"/>
      <c r="EX48" s="713"/>
      <c r="EY48" s="713"/>
      <c r="EZ48" s="713"/>
      <c r="FA48" s="713"/>
      <c r="FB48" s="713"/>
      <c r="FC48" s="713"/>
      <c r="FD48" s="713"/>
      <c r="FE48" s="713"/>
      <c r="FF48" s="713"/>
      <c r="FG48" s="713"/>
      <c r="FH48" s="713"/>
      <c r="FI48" s="713"/>
      <c r="FJ48" s="713"/>
      <c r="FK48" s="713"/>
      <c r="FL48" s="713"/>
      <c r="FM48" s="713"/>
      <c r="FN48" s="713"/>
      <c r="FO48" s="713"/>
      <c r="FP48" s="713"/>
      <c r="FQ48" s="713"/>
      <c r="FR48" s="713"/>
      <c r="FS48" s="713"/>
      <c r="FT48" s="713"/>
      <c r="FU48" s="713"/>
      <c r="FV48" s="713"/>
      <c r="FW48" s="713"/>
      <c r="FX48" s="713"/>
      <c r="FY48" s="713"/>
      <c r="FZ48" s="713"/>
      <c r="GA48" s="713"/>
      <c r="GB48" s="713"/>
      <c r="GC48" s="713"/>
      <c r="GD48" s="713"/>
      <c r="GE48" s="713"/>
      <c r="GF48" s="713"/>
      <c r="GG48" s="713"/>
      <c r="GH48" s="713"/>
      <c r="GI48" s="713"/>
      <c r="GJ48" s="713"/>
      <c r="GK48" s="713"/>
      <c r="GL48" s="713"/>
      <c r="GM48" s="713"/>
      <c r="GN48" s="713"/>
      <c r="GO48" s="713"/>
      <c r="GP48" s="713"/>
      <c r="GQ48" s="713"/>
      <c r="GR48" s="713"/>
      <c r="GS48" s="713"/>
      <c r="GT48" s="713"/>
      <c r="GU48" s="713"/>
      <c r="GV48" s="713"/>
      <c r="GW48" s="713"/>
      <c r="GX48" s="713"/>
      <c r="GY48" s="713"/>
      <c r="GZ48" s="713">
        <v>600</v>
      </c>
      <c r="HA48" s="713"/>
      <c r="HB48" s="713"/>
      <c r="HC48" s="713"/>
      <c r="HD48" s="713"/>
      <c r="HE48" s="713"/>
      <c r="HF48" s="713"/>
      <c r="HG48" s="713"/>
      <c r="HH48" s="713"/>
      <c r="HI48" s="713"/>
      <c r="HJ48" s="713"/>
      <c r="HK48" s="713"/>
      <c r="HL48" s="713"/>
      <c r="HM48" s="713"/>
      <c r="HN48" s="713"/>
      <c r="HO48" s="713"/>
      <c r="HP48" s="713"/>
      <c r="HQ48" s="713"/>
      <c r="HR48" s="713"/>
      <c r="HS48" s="713"/>
      <c r="HT48" s="713"/>
      <c r="HU48" s="713"/>
      <c r="HV48" s="713"/>
      <c r="HW48" s="713"/>
      <c r="HX48" s="713"/>
      <c r="HY48" s="713"/>
      <c r="HZ48" s="713"/>
      <c r="IA48" s="713"/>
      <c r="IB48" s="713"/>
      <c r="IC48" s="713"/>
      <c r="ID48" s="713"/>
      <c r="IE48" s="713"/>
      <c r="IF48" s="713"/>
      <c r="IG48" s="713"/>
      <c r="IH48" s="713"/>
      <c r="II48" s="713"/>
      <c r="IJ48" s="713"/>
      <c r="IK48" s="713"/>
      <c r="IL48" s="713"/>
      <c r="IM48" s="713"/>
      <c r="IN48" s="713"/>
      <c r="IO48" s="713"/>
      <c r="IP48" s="713"/>
      <c r="IQ48" s="713"/>
      <c r="IR48" s="713"/>
      <c r="IS48" s="713"/>
      <c r="IT48" s="713"/>
      <c r="IU48" s="713"/>
      <c r="IV48" s="713"/>
      <c r="IW48" s="713"/>
      <c r="IX48" s="713"/>
      <c r="IY48" s="713"/>
      <c r="IZ48" s="713"/>
      <c r="JA48" s="713"/>
      <c r="JB48" s="713"/>
      <c r="JC48" s="713"/>
      <c r="JD48" s="713"/>
      <c r="JE48" s="713"/>
      <c r="JF48" s="713"/>
      <c r="JG48" s="713"/>
      <c r="JH48" s="713"/>
      <c r="JI48" s="713"/>
      <c r="JJ48" s="713"/>
      <c r="JK48" s="713"/>
      <c r="JL48" s="713"/>
      <c r="JM48" s="713"/>
      <c r="JN48" s="713"/>
      <c r="JO48" s="713"/>
      <c r="JP48" s="713"/>
      <c r="JQ48" s="739"/>
      <c r="JR48" s="351"/>
      <c r="JS48" s="1400"/>
    </row>
    <row r="49" spans="1:279" ht="12" thickBot="1" x14ac:dyDescent="0.3">
      <c r="C49" s="261" t="s">
        <v>2479</v>
      </c>
      <c r="D49" s="137"/>
      <c r="JS49" s="1"/>
    </row>
    <row r="50" spans="1:279" x14ac:dyDescent="0.25">
      <c r="A50" s="1367" t="s">
        <v>2201</v>
      </c>
      <c r="B50" s="406" t="str">
        <f>"selected "&amp;AOR_IND-1</f>
        <v>selected 0</v>
      </c>
      <c r="C50" s="287" t="s">
        <v>18</v>
      </c>
      <c r="D50" s="262"/>
      <c r="E50" s="418">
        <v>1</v>
      </c>
      <c r="F50" s="418">
        <v>2</v>
      </c>
      <c r="G50" s="418">
        <v>3</v>
      </c>
      <c r="H50" s="418">
        <v>4</v>
      </c>
      <c r="I50" s="418">
        <v>5</v>
      </c>
      <c r="J50" s="418">
        <v>6</v>
      </c>
      <c r="K50" s="418">
        <v>7</v>
      </c>
      <c r="L50" s="418">
        <v>8</v>
      </c>
      <c r="M50" s="418">
        <v>9</v>
      </c>
      <c r="N50" s="418">
        <v>10</v>
      </c>
      <c r="O50" s="418">
        <v>11</v>
      </c>
      <c r="P50" s="418">
        <v>12</v>
      </c>
      <c r="Q50" s="418">
        <v>13</v>
      </c>
      <c r="R50" s="418">
        <v>14</v>
      </c>
      <c r="S50" s="418">
        <v>15</v>
      </c>
      <c r="T50" s="418">
        <v>16</v>
      </c>
      <c r="U50" s="418">
        <v>17</v>
      </c>
      <c r="V50" s="418">
        <v>18</v>
      </c>
      <c r="W50" s="418">
        <v>19</v>
      </c>
      <c r="X50" s="418">
        <v>20</v>
      </c>
      <c r="Y50" s="418">
        <v>21</v>
      </c>
      <c r="Z50" s="418">
        <v>22</v>
      </c>
      <c r="AA50" s="418">
        <v>23</v>
      </c>
      <c r="AB50" s="418">
        <v>24</v>
      </c>
      <c r="AC50" s="418">
        <v>25</v>
      </c>
      <c r="AD50" s="418">
        <v>26</v>
      </c>
      <c r="AE50" s="418">
        <v>27</v>
      </c>
      <c r="AF50" s="418">
        <v>28</v>
      </c>
      <c r="AG50" s="418">
        <v>29</v>
      </c>
      <c r="AH50" s="418">
        <v>30</v>
      </c>
      <c r="AI50" s="418">
        <v>31</v>
      </c>
      <c r="AJ50" s="418">
        <v>32</v>
      </c>
      <c r="AK50" s="418">
        <v>33</v>
      </c>
      <c r="AL50" s="418">
        <v>34</v>
      </c>
      <c r="AM50" s="418">
        <v>35</v>
      </c>
      <c r="AN50" s="418">
        <v>36</v>
      </c>
      <c r="AO50" s="418">
        <v>37</v>
      </c>
      <c r="AP50" s="418">
        <v>38</v>
      </c>
      <c r="AQ50" s="418">
        <v>39</v>
      </c>
      <c r="AR50" s="418">
        <v>40</v>
      </c>
      <c r="AS50" s="418">
        <v>41</v>
      </c>
      <c r="AT50" s="418">
        <v>42</v>
      </c>
      <c r="AU50" s="418">
        <v>43</v>
      </c>
      <c r="AV50" s="418">
        <v>44</v>
      </c>
      <c r="AW50" s="418">
        <v>45</v>
      </c>
      <c r="AX50" s="418">
        <v>46</v>
      </c>
      <c r="AY50" s="418">
        <v>47</v>
      </c>
      <c r="AZ50" s="418">
        <v>48</v>
      </c>
      <c r="BA50" s="418">
        <v>49</v>
      </c>
      <c r="BB50" s="418">
        <v>50</v>
      </c>
      <c r="BC50" s="418">
        <v>51</v>
      </c>
      <c r="BD50" s="418">
        <v>52</v>
      </c>
      <c r="BE50" s="418">
        <v>53</v>
      </c>
      <c r="BF50" s="418">
        <v>54</v>
      </c>
      <c r="BG50" s="418">
        <v>55</v>
      </c>
      <c r="BH50" s="418">
        <v>56</v>
      </c>
      <c r="BI50" s="418">
        <v>57</v>
      </c>
      <c r="BJ50" s="418">
        <v>58</v>
      </c>
      <c r="BK50" s="418">
        <v>59</v>
      </c>
      <c r="BL50" s="418">
        <v>60</v>
      </c>
      <c r="BM50" s="418">
        <v>61</v>
      </c>
      <c r="BN50" s="418">
        <v>62</v>
      </c>
      <c r="BO50" s="418">
        <v>63</v>
      </c>
      <c r="BP50" s="418">
        <v>64</v>
      </c>
      <c r="BQ50" s="418">
        <v>65</v>
      </c>
      <c r="BR50" s="418">
        <v>66</v>
      </c>
      <c r="BS50" s="418">
        <v>67</v>
      </c>
      <c r="BT50" s="418">
        <v>68</v>
      </c>
      <c r="BU50" s="418">
        <v>69</v>
      </c>
      <c r="BV50" s="418">
        <v>70</v>
      </c>
      <c r="BW50" s="418">
        <v>71</v>
      </c>
      <c r="BX50" s="418">
        <v>72</v>
      </c>
      <c r="BY50" s="418">
        <v>73</v>
      </c>
      <c r="BZ50" s="418">
        <v>74</v>
      </c>
      <c r="CA50" s="418">
        <v>75</v>
      </c>
      <c r="CB50" s="418">
        <v>76</v>
      </c>
      <c r="CC50" s="418">
        <v>77</v>
      </c>
      <c r="CD50" s="418">
        <v>78</v>
      </c>
      <c r="CE50" s="418">
        <v>79</v>
      </c>
      <c r="CF50" s="418">
        <v>80</v>
      </c>
      <c r="CG50" s="418">
        <v>81</v>
      </c>
      <c r="CH50" s="418">
        <v>82</v>
      </c>
      <c r="CI50" s="418">
        <v>83</v>
      </c>
      <c r="CJ50" s="418">
        <v>84</v>
      </c>
      <c r="CK50" s="418">
        <v>85</v>
      </c>
      <c r="CL50" s="418">
        <v>86</v>
      </c>
      <c r="CM50" s="418">
        <v>87</v>
      </c>
      <c r="CN50" s="418">
        <v>88</v>
      </c>
      <c r="CO50" s="418">
        <v>89</v>
      </c>
      <c r="CP50" s="418">
        <v>90</v>
      </c>
      <c r="CQ50" s="418">
        <v>91</v>
      </c>
      <c r="CR50" s="418">
        <v>92</v>
      </c>
      <c r="CS50" s="418">
        <v>93</v>
      </c>
      <c r="CT50" s="418">
        <v>94</v>
      </c>
      <c r="CU50" s="418">
        <v>95</v>
      </c>
      <c r="CV50" s="418">
        <v>96</v>
      </c>
      <c r="CW50" s="418">
        <v>97</v>
      </c>
      <c r="CX50" s="418">
        <v>98</v>
      </c>
      <c r="CY50" s="418">
        <v>99</v>
      </c>
      <c r="CZ50" s="418">
        <v>100</v>
      </c>
      <c r="DA50" s="418">
        <v>101</v>
      </c>
      <c r="DB50" s="418">
        <v>102</v>
      </c>
      <c r="DC50" s="418">
        <v>103</v>
      </c>
      <c r="DD50" s="418">
        <v>104</v>
      </c>
      <c r="DE50" s="418">
        <v>105</v>
      </c>
      <c r="DF50" s="418">
        <v>106</v>
      </c>
      <c r="DG50" s="418">
        <v>107</v>
      </c>
      <c r="DH50" s="418">
        <v>108</v>
      </c>
      <c r="DI50" s="418">
        <v>109</v>
      </c>
      <c r="DJ50" s="418">
        <v>110</v>
      </c>
      <c r="DK50" s="418">
        <v>111</v>
      </c>
      <c r="DL50" s="418">
        <v>112</v>
      </c>
      <c r="DM50" s="418">
        <v>113</v>
      </c>
      <c r="DN50" s="418">
        <v>114</v>
      </c>
      <c r="DO50" s="418">
        <v>115</v>
      </c>
      <c r="DP50" s="418">
        <v>116</v>
      </c>
      <c r="DQ50" s="418">
        <v>117</v>
      </c>
      <c r="DR50" s="418">
        <v>118</v>
      </c>
      <c r="DS50" s="418">
        <v>119</v>
      </c>
      <c r="DT50" s="418">
        <v>120</v>
      </c>
      <c r="DU50" s="418">
        <v>121</v>
      </c>
      <c r="DV50" s="418">
        <v>122</v>
      </c>
      <c r="DW50" s="418">
        <v>123</v>
      </c>
      <c r="DX50" s="418">
        <v>124</v>
      </c>
      <c r="DY50" s="418">
        <v>125</v>
      </c>
      <c r="DZ50" s="418">
        <v>126</v>
      </c>
      <c r="EA50" s="418">
        <v>127</v>
      </c>
      <c r="EB50" s="418">
        <v>128</v>
      </c>
      <c r="EC50" s="418">
        <v>129</v>
      </c>
      <c r="ED50" s="418">
        <v>130</v>
      </c>
      <c r="EE50" s="418">
        <v>131</v>
      </c>
      <c r="EF50" s="418">
        <v>132</v>
      </c>
      <c r="EG50" s="418">
        <v>133</v>
      </c>
      <c r="EH50" s="418">
        <v>134</v>
      </c>
      <c r="EI50" s="418">
        <v>135</v>
      </c>
      <c r="EJ50" s="418">
        <v>136</v>
      </c>
      <c r="EK50" s="418">
        <v>137</v>
      </c>
      <c r="EL50" s="418">
        <v>138</v>
      </c>
      <c r="EM50" s="418">
        <v>139</v>
      </c>
      <c r="EN50" s="418">
        <v>140</v>
      </c>
      <c r="EO50" s="418">
        <v>141</v>
      </c>
      <c r="EP50" s="418">
        <v>142</v>
      </c>
      <c r="EQ50" s="418">
        <v>143</v>
      </c>
      <c r="ER50" s="418">
        <v>144</v>
      </c>
      <c r="ES50" s="418">
        <v>145</v>
      </c>
      <c r="ET50" s="418">
        <v>146</v>
      </c>
      <c r="EU50" s="418">
        <v>147</v>
      </c>
      <c r="EV50" s="418">
        <v>148</v>
      </c>
      <c r="EW50" s="418">
        <v>149</v>
      </c>
      <c r="EX50" s="418">
        <v>150</v>
      </c>
      <c r="EY50" s="418">
        <v>151</v>
      </c>
      <c r="EZ50" s="418">
        <v>152</v>
      </c>
      <c r="FA50" s="418">
        <v>153</v>
      </c>
      <c r="FB50" s="418">
        <v>154</v>
      </c>
      <c r="FC50" s="418">
        <v>155</v>
      </c>
      <c r="FD50" s="418">
        <v>156</v>
      </c>
      <c r="FE50" s="418">
        <v>157</v>
      </c>
      <c r="FF50" s="418">
        <v>158</v>
      </c>
      <c r="FG50" s="418">
        <v>159</v>
      </c>
      <c r="FH50" s="418">
        <v>160</v>
      </c>
      <c r="FI50" s="418">
        <v>161</v>
      </c>
      <c r="FJ50" s="418">
        <v>162</v>
      </c>
      <c r="FK50" s="418">
        <v>163</v>
      </c>
      <c r="FL50" s="418">
        <v>164</v>
      </c>
      <c r="FM50" s="418">
        <v>165</v>
      </c>
      <c r="FN50" s="418">
        <v>166</v>
      </c>
      <c r="FO50" s="418">
        <v>167</v>
      </c>
      <c r="FP50" s="418">
        <v>168</v>
      </c>
      <c r="FQ50" s="418">
        <v>169</v>
      </c>
      <c r="FR50" s="418">
        <v>170</v>
      </c>
      <c r="FS50" s="418">
        <v>171</v>
      </c>
      <c r="FT50" s="418">
        <v>172</v>
      </c>
      <c r="FU50" s="418">
        <v>173</v>
      </c>
      <c r="FV50" s="418">
        <v>174</v>
      </c>
      <c r="FW50" s="418">
        <v>175</v>
      </c>
      <c r="FX50" s="418">
        <v>176</v>
      </c>
      <c r="FY50" s="418">
        <v>177</v>
      </c>
      <c r="FZ50" s="418">
        <v>178</v>
      </c>
      <c r="GA50" s="418">
        <v>179</v>
      </c>
      <c r="GB50" s="418">
        <v>180</v>
      </c>
      <c r="GC50" s="418">
        <v>181</v>
      </c>
      <c r="GD50" s="418">
        <v>182</v>
      </c>
      <c r="GE50" s="418">
        <v>183</v>
      </c>
      <c r="GF50" s="418">
        <v>184</v>
      </c>
      <c r="GG50" s="418">
        <v>185</v>
      </c>
      <c r="GH50" s="418">
        <v>186</v>
      </c>
      <c r="GI50" s="418">
        <v>187</v>
      </c>
      <c r="GJ50" s="418">
        <v>188</v>
      </c>
      <c r="GK50" s="418">
        <v>189</v>
      </c>
      <c r="GL50" s="418">
        <v>190</v>
      </c>
      <c r="GM50" s="418">
        <v>191</v>
      </c>
      <c r="GN50" s="418">
        <v>192</v>
      </c>
      <c r="GO50" s="418">
        <v>193</v>
      </c>
      <c r="GP50" s="418">
        <v>194</v>
      </c>
      <c r="GQ50" s="418">
        <v>195</v>
      </c>
      <c r="GR50" s="418">
        <v>196</v>
      </c>
      <c r="GS50" s="418">
        <v>197</v>
      </c>
      <c r="GT50" s="418">
        <v>198</v>
      </c>
      <c r="GU50" s="418">
        <v>199</v>
      </c>
      <c r="GV50" s="418">
        <v>200</v>
      </c>
      <c r="GW50" s="418">
        <v>201</v>
      </c>
      <c r="GX50" s="418">
        <v>202</v>
      </c>
      <c r="GY50" s="418">
        <v>203</v>
      </c>
      <c r="GZ50" s="418">
        <v>204</v>
      </c>
      <c r="HA50" s="418">
        <v>205</v>
      </c>
      <c r="HB50" s="418">
        <v>206</v>
      </c>
      <c r="HC50" s="418">
        <v>207</v>
      </c>
      <c r="HD50" s="418">
        <v>208</v>
      </c>
      <c r="HE50" s="418">
        <v>209</v>
      </c>
      <c r="HF50" s="418">
        <v>210</v>
      </c>
      <c r="HG50" s="418">
        <v>211</v>
      </c>
      <c r="HH50" s="418">
        <v>212</v>
      </c>
      <c r="HI50" s="418">
        <v>213</v>
      </c>
      <c r="HJ50" s="418">
        <v>214</v>
      </c>
      <c r="HK50" s="418">
        <v>215</v>
      </c>
      <c r="HL50" s="418">
        <v>216</v>
      </c>
      <c r="HM50" s="418">
        <v>217</v>
      </c>
      <c r="HN50" s="418">
        <v>218</v>
      </c>
      <c r="HO50" s="418">
        <v>219</v>
      </c>
      <c r="HP50" s="418">
        <v>220</v>
      </c>
      <c r="HQ50" s="418">
        <v>221</v>
      </c>
      <c r="HR50" s="418">
        <v>222</v>
      </c>
      <c r="HS50" s="418">
        <v>223</v>
      </c>
      <c r="HT50" s="418">
        <v>224</v>
      </c>
      <c r="HU50" s="418">
        <v>225</v>
      </c>
      <c r="HV50" s="418">
        <v>226</v>
      </c>
      <c r="HW50" s="418">
        <v>227</v>
      </c>
      <c r="HX50" s="418">
        <v>228</v>
      </c>
      <c r="HY50" s="418">
        <v>229</v>
      </c>
      <c r="HZ50" s="418">
        <v>230</v>
      </c>
      <c r="IA50" s="418">
        <v>231</v>
      </c>
      <c r="IB50" s="418">
        <v>232</v>
      </c>
      <c r="IC50" s="418">
        <v>233</v>
      </c>
      <c r="ID50" s="418">
        <v>234</v>
      </c>
      <c r="IE50" s="418">
        <v>235</v>
      </c>
      <c r="IF50" s="418">
        <v>236</v>
      </c>
      <c r="IG50" s="418">
        <v>237</v>
      </c>
      <c r="IH50" s="418">
        <v>238</v>
      </c>
      <c r="II50" s="418">
        <v>239</v>
      </c>
      <c r="IJ50" s="418">
        <v>240</v>
      </c>
      <c r="IK50" s="418">
        <v>241</v>
      </c>
      <c r="IL50" s="418">
        <v>242</v>
      </c>
      <c r="IM50" s="418">
        <v>243</v>
      </c>
      <c r="IN50" s="418">
        <v>244</v>
      </c>
      <c r="IO50" s="418">
        <v>245</v>
      </c>
      <c r="IP50" s="418">
        <v>246</v>
      </c>
      <c r="IQ50" s="418">
        <v>247</v>
      </c>
      <c r="IR50" s="418">
        <v>248</v>
      </c>
      <c r="IS50" s="418">
        <v>249</v>
      </c>
      <c r="IT50" s="418">
        <v>250</v>
      </c>
      <c r="IU50" s="418">
        <v>251</v>
      </c>
      <c r="IV50" s="418">
        <v>252</v>
      </c>
      <c r="IW50" s="418">
        <v>253</v>
      </c>
      <c r="IX50" s="418">
        <v>254</v>
      </c>
      <c r="IY50" s="418">
        <v>255</v>
      </c>
      <c r="IZ50" s="418">
        <v>256</v>
      </c>
      <c r="JA50" s="418">
        <v>257</v>
      </c>
      <c r="JB50" s="418">
        <v>258</v>
      </c>
      <c r="JC50" s="418">
        <v>259</v>
      </c>
      <c r="JD50" s="418">
        <v>260</v>
      </c>
      <c r="JE50" s="418">
        <v>261</v>
      </c>
      <c r="JF50" s="418">
        <v>262</v>
      </c>
      <c r="JG50" s="418">
        <v>263</v>
      </c>
      <c r="JH50" s="418">
        <v>264</v>
      </c>
      <c r="JI50" s="418">
        <v>265</v>
      </c>
      <c r="JJ50" s="418">
        <v>266</v>
      </c>
      <c r="JK50" s="418">
        <v>267</v>
      </c>
      <c r="JL50" s="418">
        <v>268</v>
      </c>
      <c r="JM50" s="418">
        <v>269</v>
      </c>
      <c r="JN50" s="418">
        <v>270</v>
      </c>
      <c r="JO50" s="418">
        <v>271</v>
      </c>
      <c r="JP50" s="418">
        <v>272</v>
      </c>
      <c r="JQ50" s="418">
        <v>273</v>
      </c>
      <c r="JR50" s="351"/>
      <c r="JS50" s="1400"/>
    </row>
    <row r="51" spans="1:279" x14ac:dyDescent="0.25">
      <c r="A51" s="1367">
        <v>2</v>
      </c>
      <c r="B51" s="1411" t="str">
        <f>IF(AOR_IND&gt;1,IF(HLOOKUP(AOR_IND-1,AOR_RANGE,A51)="","",HLOOKUP(AOR_IND-1,AOR_RANGE,A51)),"")</f>
        <v/>
      </c>
      <c r="C51" s="1359" t="s">
        <v>2480</v>
      </c>
      <c r="D51" s="1360" t="s">
        <v>2481</v>
      </c>
      <c r="E51" s="2519"/>
      <c r="F51" s="2519"/>
      <c r="G51" s="2519"/>
      <c r="H51" s="2519"/>
      <c r="I51" s="2519"/>
      <c r="J51" s="2519"/>
      <c r="K51" s="2519"/>
      <c r="L51" s="2519"/>
      <c r="M51" s="2519"/>
      <c r="N51" s="2519"/>
      <c r="O51" s="2519"/>
      <c r="P51" s="2519"/>
      <c r="Q51" s="2519"/>
      <c r="R51" s="2519"/>
      <c r="S51" s="2519"/>
      <c r="T51" s="2519"/>
      <c r="U51" s="2519"/>
      <c r="V51" s="2519"/>
      <c r="W51" s="2519"/>
      <c r="X51" s="2519"/>
      <c r="Y51" s="2519"/>
      <c r="Z51" s="2519"/>
      <c r="AA51" s="2519"/>
      <c r="AB51" s="2519"/>
      <c r="AC51" s="2519"/>
      <c r="AD51" s="2519"/>
      <c r="AE51" s="2519"/>
      <c r="AF51" s="2519"/>
      <c r="AG51" s="2519"/>
      <c r="AH51" s="2519"/>
      <c r="AI51" s="2519"/>
      <c r="AJ51" s="2519"/>
      <c r="AK51" s="2519"/>
      <c r="AL51" s="2519"/>
      <c r="AM51" s="2519"/>
      <c r="AN51" s="2519"/>
      <c r="AO51" s="2519"/>
      <c r="AP51" s="2519"/>
      <c r="AQ51" s="2507"/>
      <c r="AR51" s="2519"/>
      <c r="AS51" s="2519"/>
      <c r="AT51" s="2519"/>
      <c r="AU51" s="2519"/>
      <c r="AV51" s="2519"/>
      <c r="AW51" s="2519"/>
      <c r="AX51" s="2519"/>
      <c r="AY51" s="2519"/>
      <c r="AZ51" s="2519"/>
      <c r="BA51" s="2519"/>
      <c r="BB51" s="2519"/>
      <c r="BC51" s="2519"/>
      <c r="BD51" s="2519"/>
      <c r="BE51" s="2519"/>
      <c r="BF51" s="2519"/>
      <c r="BG51" s="2519"/>
      <c r="BH51" s="2519"/>
      <c r="BI51" s="2519"/>
      <c r="BJ51" s="2519"/>
      <c r="BK51" s="2519">
        <v>91000</v>
      </c>
      <c r="BL51" s="2519"/>
      <c r="BM51" s="2519"/>
      <c r="BN51" s="2519"/>
      <c r="BO51" s="2519"/>
      <c r="BP51" s="2519"/>
      <c r="BQ51" s="2519"/>
      <c r="BR51" s="2519"/>
      <c r="BS51" s="2519"/>
      <c r="BT51" s="2519"/>
      <c r="BU51" s="2519"/>
      <c r="BV51" s="2519"/>
      <c r="BW51" s="2519"/>
      <c r="BX51" s="2519"/>
      <c r="BY51" s="2519"/>
      <c r="BZ51" s="2519"/>
      <c r="CA51" s="2519"/>
      <c r="CB51" s="2519"/>
      <c r="CC51" s="2519"/>
      <c r="CD51" s="2520"/>
      <c r="CE51" s="2520"/>
      <c r="CF51" s="2520"/>
      <c r="CG51" s="2520"/>
      <c r="CH51" s="2520"/>
      <c r="CI51" s="2519"/>
      <c r="CJ51" s="2520"/>
      <c r="CK51" s="2520"/>
      <c r="CL51" s="2520"/>
      <c r="CM51" s="2520"/>
      <c r="CN51" s="2520"/>
      <c r="CO51" s="2520"/>
      <c r="CP51" s="2520"/>
      <c r="CQ51" s="2520"/>
      <c r="CR51" s="2519"/>
      <c r="CS51" s="2519"/>
      <c r="CT51" s="2520"/>
      <c r="CU51" s="2520"/>
      <c r="CV51" s="2520"/>
      <c r="CW51" s="2519"/>
      <c r="CX51" s="2520"/>
      <c r="CY51" s="2520"/>
      <c r="CZ51" s="2520"/>
      <c r="DA51" s="2519"/>
      <c r="DB51" s="2520"/>
      <c r="DC51" s="1406">
        <v>20038</v>
      </c>
      <c r="DD51" s="2520"/>
      <c r="DE51" s="2520"/>
      <c r="DF51" s="2520"/>
      <c r="DG51" s="2520"/>
      <c r="DH51" s="2519"/>
      <c r="DI51" s="2519"/>
      <c r="DJ51" s="2519">
        <v>23998</v>
      </c>
      <c r="DK51" s="2520"/>
      <c r="DL51" s="2520"/>
      <c r="DM51" s="2520"/>
      <c r="DN51" s="2520"/>
      <c r="DO51" s="2520"/>
      <c r="DP51" s="2520"/>
      <c r="DQ51" s="2520"/>
      <c r="DR51" s="2520"/>
      <c r="DS51" s="2520"/>
      <c r="DT51" s="2520"/>
      <c r="DU51" s="2520"/>
      <c r="DV51" s="2520"/>
      <c r="DW51" s="2520"/>
      <c r="DX51" s="2520"/>
      <c r="DY51" s="2520"/>
      <c r="DZ51" s="2517">
        <v>10</v>
      </c>
      <c r="EA51" s="2520"/>
      <c r="EB51" s="2520"/>
      <c r="EC51" s="2520"/>
      <c r="ED51" s="2520"/>
      <c r="EE51" s="2520"/>
      <c r="EF51" s="2520"/>
      <c r="EG51" s="2520"/>
      <c r="EH51" s="2520"/>
      <c r="EI51" s="2520"/>
      <c r="EJ51" s="2520"/>
      <c r="EK51" s="2520"/>
      <c r="EL51" s="2520"/>
      <c r="EM51" s="2520"/>
      <c r="EN51" s="2520"/>
      <c r="EO51" s="2520"/>
      <c r="EP51" s="2520"/>
      <c r="EQ51" s="2520"/>
      <c r="ER51" s="2520"/>
      <c r="ES51" s="2520"/>
      <c r="ET51" s="2520"/>
      <c r="EU51" s="2520"/>
      <c r="EV51" s="2520"/>
      <c r="EW51" s="2520"/>
      <c r="EX51" s="2520"/>
      <c r="EY51" s="2520"/>
      <c r="EZ51" s="2520"/>
      <c r="FA51" s="2520"/>
      <c r="FB51" s="2520"/>
      <c r="FC51" s="2520"/>
      <c r="FD51" s="2520"/>
      <c r="FE51" s="2520"/>
      <c r="FF51" s="2520"/>
      <c r="FG51" s="2520"/>
      <c r="FH51" s="2520"/>
      <c r="FI51" s="2520"/>
      <c r="FJ51" s="2520"/>
      <c r="FK51" s="2520"/>
      <c r="FL51" s="2520"/>
      <c r="FM51" s="2520"/>
      <c r="FN51" s="2520"/>
      <c r="FO51" s="2520"/>
      <c r="FP51" s="2520"/>
      <c r="FQ51" s="2520"/>
      <c r="FR51" s="2520"/>
      <c r="FS51" s="2520"/>
      <c r="FT51" s="2520"/>
      <c r="FU51" s="2520"/>
      <c r="FV51" s="2520"/>
      <c r="FW51" s="2520"/>
      <c r="FX51" s="2520"/>
      <c r="FY51" s="2520"/>
      <c r="FZ51" s="2520"/>
      <c r="GA51" s="2520"/>
      <c r="GB51" s="2520"/>
      <c r="GC51" s="2520"/>
      <c r="GD51" s="2520"/>
      <c r="GE51" s="2520"/>
      <c r="GF51" s="2520"/>
      <c r="GG51" s="2520"/>
      <c r="GH51" s="2520"/>
      <c r="GI51" s="2520"/>
      <c r="GJ51" s="2520"/>
      <c r="GK51" s="2520"/>
      <c r="GL51" s="2519"/>
      <c r="GM51" s="2519"/>
      <c r="GN51" s="2520"/>
      <c r="GO51" s="2520"/>
      <c r="GP51" s="2520"/>
      <c r="GQ51" s="2520"/>
      <c r="GR51" s="2520"/>
      <c r="GS51" s="2519">
        <v>20000</v>
      </c>
      <c r="GT51" s="2520"/>
      <c r="GU51" s="2520"/>
      <c r="GV51" s="2520"/>
      <c r="GW51" s="2520"/>
      <c r="GX51" s="2519"/>
      <c r="GY51" s="2520"/>
      <c r="GZ51" s="2520"/>
      <c r="HA51" s="2520"/>
      <c r="HB51" s="2520"/>
      <c r="HC51" s="2519"/>
      <c r="HD51" s="2520"/>
      <c r="HE51" s="2520"/>
      <c r="HF51" s="2520"/>
      <c r="HG51" s="2520"/>
      <c r="HH51" s="2520"/>
      <c r="HI51" s="2520"/>
      <c r="HJ51" s="2520"/>
      <c r="HK51" s="2520"/>
      <c r="HL51" s="2520"/>
      <c r="HM51" s="2517">
        <v>51500</v>
      </c>
      <c r="HN51" s="2519"/>
      <c r="HO51" s="2520"/>
      <c r="HP51" s="2520"/>
      <c r="HQ51" s="2520"/>
      <c r="HR51" s="2520"/>
      <c r="HS51" s="2520"/>
      <c r="HT51" s="2520"/>
      <c r="HU51" s="2520"/>
      <c r="HV51" s="2520"/>
      <c r="HW51" s="2520"/>
      <c r="HX51" s="2520"/>
      <c r="HY51" s="2520"/>
      <c r="HZ51" s="2520"/>
      <c r="IA51" s="2520"/>
      <c r="IB51" s="2520"/>
      <c r="IC51" s="2520"/>
      <c r="ID51" s="2520"/>
      <c r="IE51" s="2520"/>
      <c r="IF51" s="2520"/>
      <c r="IG51" s="2520"/>
      <c r="IH51" s="2520"/>
      <c r="II51" s="2520"/>
      <c r="IJ51" s="2520"/>
      <c r="IK51" s="2520"/>
      <c r="IL51" s="2520"/>
      <c r="IM51" s="2520"/>
      <c r="IN51" s="2520"/>
      <c r="IO51" s="2520"/>
      <c r="IP51" s="2520"/>
      <c r="IQ51" s="2520"/>
      <c r="IR51" s="2520"/>
      <c r="IS51" s="2520"/>
      <c r="IT51" s="2520"/>
      <c r="IU51" s="2520"/>
      <c r="IV51" s="2520"/>
      <c r="IW51" s="2520"/>
      <c r="IX51" s="2520"/>
      <c r="IY51" s="2519"/>
      <c r="IZ51" s="2520"/>
      <c r="JA51" s="2520"/>
      <c r="JB51" s="2517">
        <v>184082</v>
      </c>
      <c r="JC51" s="2520"/>
      <c r="JD51" s="2520"/>
      <c r="JE51" s="2520"/>
      <c r="JF51" s="2519">
        <v>20000</v>
      </c>
      <c r="JG51" s="2520"/>
      <c r="JH51" s="2520"/>
      <c r="JI51" s="2520"/>
      <c r="JJ51" s="2520"/>
      <c r="JK51" s="2520"/>
      <c r="JL51" s="2520"/>
      <c r="JM51" s="2520"/>
      <c r="JN51" s="2520"/>
      <c r="JO51" s="2520"/>
      <c r="JP51" s="2520"/>
      <c r="JQ51" s="2521"/>
      <c r="JR51" s="351"/>
      <c r="JS51" s="1400" t="s">
        <v>2482</v>
      </c>
    </row>
    <row r="52" spans="1:279" x14ac:dyDescent="0.25">
      <c r="A52" s="1367">
        <v>3</v>
      </c>
      <c r="B52" s="1411" t="str">
        <f t="shared" ref="B52:B61" si="6">IF(AOR_IND&gt;1,IF(HLOOKUP(AOR_IND-1,AOR_RANGE,A52)="","",HLOOKUP(AOR_IND-1,AOR_RANGE,A52)),"")</f>
        <v/>
      </c>
      <c r="C52" s="1359" t="s">
        <v>2483</v>
      </c>
      <c r="D52" s="1360" t="s">
        <v>2484</v>
      </c>
      <c r="E52" s="2519"/>
      <c r="F52" s="2519"/>
      <c r="G52" s="2519"/>
      <c r="H52" s="2519"/>
      <c r="I52" s="2519"/>
      <c r="J52" s="2519"/>
      <c r="K52" s="2519"/>
      <c r="L52" s="2519"/>
      <c r="M52" s="2519"/>
      <c r="N52" s="2519"/>
      <c r="O52" s="2519"/>
      <c r="P52" s="2519"/>
      <c r="Q52" s="2519"/>
      <c r="R52" s="2519"/>
      <c r="S52" s="2519"/>
      <c r="T52" s="2519"/>
      <c r="U52" s="2519"/>
      <c r="V52" s="2519"/>
      <c r="W52" s="2519"/>
      <c r="X52" s="2519"/>
      <c r="Y52" s="2519"/>
      <c r="Z52" s="2519"/>
      <c r="AA52" s="2519"/>
      <c r="AB52" s="2519"/>
      <c r="AC52" s="2519"/>
      <c r="AD52" s="2519"/>
      <c r="AE52" s="2519"/>
      <c r="AF52" s="2519"/>
      <c r="AG52" s="2519"/>
      <c r="AH52" s="2519"/>
      <c r="AI52" s="2519"/>
      <c r="AJ52" s="2507"/>
      <c r="AK52" s="2519"/>
      <c r="AL52" s="2519"/>
      <c r="AM52" s="2519"/>
      <c r="AN52" s="2519"/>
      <c r="AO52" s="2519"/>
      <c r="AP52" s="2519"/>
      <c r="AQ52" s="2519"/>
      <c r="AR52" s="2519"/>
      <c r="AS52" s="2519"/>
      <c r="AT52" s="2519"/>
      <c r="AU52" s="2519"/>
      <c r="AV52" s="2519"/>
      <c r="AW52" s="2519"/>
      <c r="AX52" s="2519"/>
      <c r="AY52" s="2519"/>
      <c r="AZ52" s="2519"/>
      <c r="BA52" s="2519">
        <v>11000</v>
      </c>
      <c r="BB52" s="2519"/>
      <c r="BC52" s="2519"/>
      <c r="BD52" s="2519"/>
      <c r="BE52" s="2519"/>
      <c r="BF52" s="2519"/>
      <c r="BG52" s="2519"/>
      <c r="BH52" s="2519"/>
      <c r="BI52" s="2519"/>
      <c r="BJ52" s="2519"/>
      <c r="BK52" s="2519"/>
      <c r="BL52" s="2519"/>
      <c r="BM52" s="2519"/>
      <c r="BN52" s="2519"/>
      <c r="BO52" s="2519">
        <v>10000</v>
      </c>
      <c r="BP52" s="2519"/>
      <c r="BQ52" s="2519"/>
      <c r="BR52" s="2519"/>
      <c r="BS52" s="2519"/>
      <c r="BT52" s="2519"/>
      <c r="BU52" s="2519"/>
      <c r="BV52" s="2519"/>
      <c r="BW52" s="2519"/>
      <c r="BX52" s="2519"/>
      <c r="BY52" s="2519"/>
      <c r="BZ52" s="2519"/>
      <c r="CA52" s="2519"/>
      <c r="CB52" s="2519"/>
      <c r="CC52" s="2519"/>
      <c r="CD52" s="2520"/>
      <c r="CE52" s="2520"/>
      <c r="CF52" s="2520"/>
      <c r="CG52" s="2520"/>
      <c r="CH52" s="2520"/>
      <c r="CI52" s="2519"/>
      <c r="CJ52" s="2520"/>
      <c r="CK52" s="2520"/>
      <c r="CL52" s="2520"/>
      <c r="CM52" s="2520"/>
      <c r="CN52" s="2520"/>
      <c r="CO52" s="2520"/>
      <c r="CP52" s="2520"/>
      <c r="CQ52" s="2520"/>
      <c r="CR52" s="2519"/>
      <c r="CS52" s="2519"/>
      <c r="CT52" s="2520"/>
      <c r="CU52" s="2520"/>
      <c r="CV52" s="2520"/>
      <c r="CW52" s="2519">
        <v>2440</v>
      </c>
      <c r="CX52" s="2520"/>
      <c r="CY52" s="2520"/>
      <c r="CZ52" s="2520"/>
      <c r="DA52" s="2519"/>
      <c r="DB52" s="2520"/>
      <c r="DC52" s="1406">
        <v>24000</v>
      </c>
      <c r="DD52" s="2520"/>
      <c r="DE52" s="2520"/>
      <c r="DF52" s="2520"/>
      <c r="DG52" s="2520"/>
      <c r="DH52" s="2519"/>
      <c r="DI52" s="2519"/>
      <c r="DJ52" s="2519">
        <v>13000</v>
      </c>
      <c r="DK52" s="2520"/>
      <c r="DL52" s="2520"/>
      <c r="DM52" s="2520"/>
      <c r="DN52" s="2520"/>
      <c r="DO52" s="2520"/>
      <c r="DP52" s="2520"/>
      <c r="DQ52" s="2520"/>
      <c r="DR52" s="2517">
        <v>34285</v>
      </c>
      <c r="DS52" s="2520"/>
      <c r="DT52" s="2520"/>
      <c r="DU52" s="2520"/>
      <c r="DV52" s="2520"/>
      <c r="DW52" s="2520"/>
      <c r="DX52" s="2520"/>
      <c r="DY52" s="2520"/>
      <c r="DZ52" s="2517">
        <v>10</v>
      </c>
      <c r="EA52" s="2520"/>
      <c r="EB52" s="2520"/>
      <c r="EC52" s="2520"/>
      <c r="ED52" s="2520"/>
      <c r="EE52" s="2520"/>
      <c r="EF52" s="2520"/>
      <c r="EG52" s="2520"/>
      <c r="EH52" s="2520"/>
      <c r="EI52" s="2520"/>
      <c r="EJ52" s="2520"/>
      <c r="EK52" s="2520"/>
      <c r="EL52" s="2520"/>
      <c r="EM52" s="2520"/>
      <c r="EN52" s="2520"/>
      <c r="EO52" s="2517">
        <v>2789.24</v>
      </c>
      <c r="EP52" s="2520"/>
      <c r="EQ52" s="2520"/>
      <c r="ER52" s="2520"/>
      <c r="ES52" s="2520"/>
      <c r="ET52" s="2520"/>
      <c r="EU52" s="2520"/>
      <c r="EV52" s="2520"/>
      <c r="EW52" s="2520"/>
      <c r="EX52" s="2520"/>
      <c r="EY52" s="2520"/>
      <c r="EZ52" s="2520"/>
      <c r="FA52" s="2520"/>
      <c r="FB52" s="2517">
        <v>180000</v>
      </c>
      <c r="FC52" s="2520"/>
      <c r="FD52" s="2520"/>
      <c r="FE52" s="2520"/>
      <c r="FF52" s="2520"/>
      <c r="FG52" s="2520"/>
      <c r="FH52" s="2520"/>
      <c r="FI52" s="2520"/>
      <c r="FJ52" s="2517">
        <v>30472</v>
      </c>
      <c r="FK52" s="2517">
        <v>30524</v>
      </c>
      <c r="FL52" s="2520"/>
      <c r="FM52" s="2520"/>
      <c r="FN52" s="2520"/>
      <c r="FO52" s="2520"/>
      <c r="FP52" s="2520"/>
      <c r="FQ52" s="2520"/>
      <c r="FR52" s="2520"/>
      <c r="FS52" s="2520"/>
      <c r="FT52" s="2520"/>
      <c r="FU52" s="2520"/>
      <c r="FV52" s="2520"/>
      <c r="FW52" s="2520"/>
      <c r="FX52" s="2520"/>
      <c r="FY52" s="2520"/>
      <c r="FZ52" s="2520"/>
      <c r="GA52" s="2520"/>
      <c r="GB52" s="2520"/>
      <c r="GC52" s="2520"/>
      <c r="GD52" s="2520"/>
      <c r="GE52" s="2520"/>
      <c r="GF52" s="2520"/>
      <c r="GG52" s="2520"/>
      <c r="GH52" s="2520"/>
      <c r="GI52" s="2520"/>
      <c r="GJ52" s="2520"/>
      <c r="GK52" s="2520"/>
      <c r="GL52" s="2519"/>
      <c r="GM52" s="2519">
        <v>10000</v>
      </c>
      <c r="GN52" s="2520"/>
      <c r="GO52" s="2520"/>
      <c r="GP52" s="2520"/>
      <c r="GQ52" s="2520"/>
      <c r="GR52" s="2520"/>
      <c r="GS52" s="2519"/>
      <c r="GT52" s="2520"/>
      <c r="GU52" s="2520"/>
      <c r="GV52" s="2520"/>
      <c r="GW52" s="2520"/>
      <c r="GX52" s="2519"/>
      <c r="GY52" s="2520"/>
      <c r="GZ52" s="2520"/>
      <c r="HA52" s="2520"/>
      <c r="HB52" s="2520"/>
      <c r="HC52" s="2519"/>
      <c r="HD52" s="2520"/>
      <c r="HE52" s="2520"/>
      <c r="HF52" s="2520"/>
      <c r="HG52" s="2520"/>
      <c r="HH52" s="2520"/>
      <c r="HI52" s="2520"/>
      <c r="HJ52" s="2520"/>
      <c r="HK52" s="2520"/>
      <c r="HL52" s="2520"/>
      <c r="HM52" s="2517">
        <v>65600</v>
      </c>
      <c r="HN52" s="2519">
        <v>63376</v>
      </c>
      <c r="HO52" s="2520"/>
      <c r="HP52" s="2520"/>
      <c r="HQ52" s="2522"/>
      <c r="HR52" s="2522"/>
      <c r="HS52" s="2522"/>
      <c r="HT52" s="2520"/>
      <c r="HU52" s="2520"/>
      <c r="HV52" s="2520"/>
      <c r="HW52" s="2520"/>
      <c r="HX52" s="2520"/>
      <c r="HY52" s="2520"/>
      <c r="HZ52" s="2520"/>
      <c r="IA52" s="2520"/>
      <c r="IB52" s="2520"/>
      <c r="IC52" s="2520"/>
      <c r="ID52" s="2520"/>
      <c r="IE52" s="2520"/>
      <c r="IF52" s="2520"/>
      <c r="IG52" s="2520"/>
      <c r="IH52" s="2520"/>
      <c r="II52" s="2520"/>
      <c r="IJ52" s="2522">
        <v>32000</v>
      </c>
      <c r="IK52" s="2520"/>
      <c r="IL52" s="2520"/>
      <c r="IM52" s="2520"/>
      <c r="IN52" s="2520"/>
      <c r="IO52" s="2520"/>
      <c r="IP52" s="2520"/>
      <c r="IQ52" s="2520"/>
      <c r="IR52" s="2520"/>
      <c r="IS52" s="2520"/>
      <c r="IT52" s="2520"/>
      <c r="IU52" s="2520"/>
      <c r="IV52" s="2520"/>
      <c r="IW52" s="2517">
        <v>750000</v>
      </c>
      <c r="IX52" s="2520"/>
      <c r="IY52" s="2519">
        <v>11000</v>
      </c>
      <c r="IZ52" s="2520"/>
      <c r="JA52" s="2520"/>
      <c r="JB52" s="2520"/>
      <c r="JC52" s="2520"/>
      <c r="JD52" s="2520"/>
      <c r="JE52" s="2520"/>
      <c r="JF52" s="2519"/>
      <c r="JG52" s="2520"/>
      <c r="JH52" s="2520"/>
      <c r="JI52" s="2520"/>
      <c r="JJ52" s="2520"/>
      <c r="JK52" s="2520"/>
      <c r="JL52" s="2520"/>
      <c r="JM52" s="2520"/>
      <c r="JN52" s="2520"/>
      <c r="JO52" s="2520"/>
      <c r="JP52" s="2520"/>
      <c r="JQ52" s="2521"/>
      <c r="JR52" s="351"/>
      <c r="JS52" s="1400" t="s">
        <v>2485</v>
      </c>
    </row>
    <row r="53" spans="1:279" x14ac:dyDescent="0.25">
      <c r="A53" s="1367">
        <v>4</v>
      </c>
      <c r="B53" s="1411" t="str">
        <f t="shared" si="6"/>
        <v/>
      </c>
      <c r="C53" s="1359" t="s">
        <v>2486</v>
      </c>
      <c r="D53" s="1360" t="s">
        <v>2487</v>
      </c>
      <c r="E53" s="2519"/>
      <c r="F53" s="2519"/>
      <c r="G53" s="2519"/>
      <c r="H53" s="2519"/>
      <c r="I53" s="2519"/>
      <c r="J53" s="2519"/>
      <c r="K53" s="2519"/>
      <c r="L53" s="2519"/>
      <c r="M53" s="2519"/>
      <c r="N53" s="2519"/>
      <c r="O53" s="2519"/>
      <c r="P53" s="2519"/>
      <c r="Q53" s="2519"/>
      <c r="R53" s="2519"/>
      <c r="S53" s="2519"/>
      <c r="T53" s="2519"/>
      <c r="U53" s="2519"/>
      <c r="V53" s="2519"/>
      <c r="W53" s="2519"/>
      <c r="X53" s="2519"/>
      <c r="Y53" s="2519"/>
      <c r="Z53" s="2519"/>
      <c r="AA53" s="2519"/>
      <c r="AB53" s="2519"/>
      <c r="AC53" s="2519"/>
      <c r="AD53" s="2519"/>
      <c r="AE53" s="2519"/>
      <c r="AF53" s="2519"/>
      <c r="AG53" s="2519"/>
      <c r="AH53" s="2519"/>
      <c r="AI53" s="2519"/>
      <c r="AJ53" s="2519"/>
      <c r="AK53" s="2519"/>
      <c r="AL53" s="2519"/>
      <c r="AM53" s="2519"/>
      <c r="AN53" s="2519"/>
      <c r="AO53" s="2519"/>
      <c r="AP53" s="2519"/>
      <c r="AQ53" s="2519"/>
      <c r="AR53" s="2519"/>
      <c r="AS53" s="2519"/>
      <c r="AT53" s="2519"/>
      <c r="AU53" s="2519"/>
      <c r="AV53" s="2519"/>
      <c r="AW53" s="2519"/>
      <c r="AX53" s="2519"/>
      <c r="AY53" s="2519"/>
      <c r="AZ53" s="2519"/>
      <c r="BA53" s="2519"/>
      <c r="BB53" s="2519"/>
      <c r="BC53" s="2519"/>
      <c r="BD53" s="2519"/>
      <c r="BE53" s="2519"/>
      <c r="BF53" s="2519"/>
      <c r="BG53" s="2519"/>
      <c r="BH53" s="2519"/>
      <c r="BI53" s="2519"/>
      <c r="BJ53" s="2519"/>
      <c r="BK53" s="2519"/>
      <c r="BL53" s="2519"/>
      <c r="BM53" s="2519"/>
      <c r="BN53" s="2519"/>
      <c r="BO53" s="2519"/>
      <c r="BP53" s="2519"/>
      <c r="BQ53" s="2519"/>
      <c r="BR53" s="2519"/>
      <c r="BS53" s="2519"/>
      <c r="BT53" s="2519"/>
      <c r="BU53" s="2519"/>
      <c r="BV53" s="2519"/>
      <c r="BW53" s="2519"/>
      <c r="BX53" s="2519"/>
      <c r="BY53" s="2519"/>
      <c r="BZ53" s="2519"/>
      <c r="CA53" s="2519"/>
      <c r="CB53" s="2519"/>
      <c r="CC53" s="2519">
        <v>1200</v>
      </c>
      <c r="CD53" s="2520"/>
      <c r="CE53" s="2520"/>
      <c r="CF53" s="2520"/>
      <c r="CG53" s="2520"/>
      <c r="CH53" s="2520"/>
      <c r="CI53" s="2519">
        <v>1200</v>
      </c>
      <c r="CJ53" s="2520"/>
      <c r="CK53" s="2520"/>
      <c r="CL53" s="2520"/>
      <c r="CM53" s="2520"/>
      <c r="CN53" s="2520"/>
      <c r="CO53" s="2520"/>
      <c r="CP53" s="2520"/>
      <c r="CQ53" s="2520"/>
      <c r="CR53" s="2519"/>
      <c r="CS53" s="2519"/>
      <c r="CT53" s="2520"/>
      <c r="CU53" s="2520"/>
      <c r="CV53" s="2520"/>
      <c r="CW53" s="2519"/>
      <c r="CX53" s="2520"/>
      <c r="CY53" s="2520"/>
      <c r="CZ53" s="2520"/>
      <c r="DA53" s="2519"/>
      <c r="DB53" s="2520"/>
      <c r="DC53" s="2519"/>
      <c r="DD53" s="2520"/>
      <c r="DE53" s="2520"/>
      <c r="DF53" s="2520"/>
      <c r="DG53" s="2520"/>
      <c r="DH53" s="2519">
        <v>1200</v>
      </c>
      <c r="DI53" s="2519">
        <v>1200</v>
      </c>
      <c r="DJ53" s="2519"/>
      <c r="DK53" s="2520"/>
      <c r="DL53" s="2520"/>
      <c r="DM53" s="2520"/>
      <c r="DN53" s="2520"/>
      <c r="DO53" s="2520"/>
      <c r="DP53" s="2520"/>
      <c r="DQ53" s="2520"/>
      <c r="DR53" s="2520"/>
      <c r="DS53" s="2520"/>
      <c r="DT53" s="2520"/>
      <c r="DU53" s="2520"/>
      <c r="DV53" s="2520"/>
      <c r="DW53" s="2520"/>
      <c r="DX53" s="2520"/>
      <c r="DY53" s="2520"/>
      <c r="DZ53" s="2517">
        <v>10</v>
      </c>
      <c r="EA53" s="2520"/>
      <c r="EB53" s="2520"/>
      <c r="EC53" s="2520"/>
      <c r="ED53" s="2520"/>
      <c r="EE53" s="2520"/>
      <c r="EF53" s="2520"/>
      <c r="EG53" s="2520"/>
      <c r="EH53" s="2520"/>
      <c r="EI53" s="2520"/>
      <c r="EJ53" s="2520"/>
      <c r="EK53" s="2520"/>
      <c r="EL53" s="2520"/>
      <c r="EM53" s="2520"/>
      <c r="EN53" s="2520"/>
      <c r="EO53" s="2520"/>
      <c r="EP53" s="2520"/>
      <c r="EQ53" s="2520"/>
      <c r="ER53" s="2520"/>
      <c r="ES53" s="2520"/>
      <c r="ET53" s="2520"/>
      <c r="EU53" s="2520"/>
      <c r="EV53" s="2520"/>
      <c r="EW53" s="2520"/>
      <c r="EX53" s="2520"/>
      <c r="EY53" s="2520"/>
      <c r="EZ53" s="2520"/>
      <c r="FA53" s="2520"/>
      <c r="FB53" s="2520"/>
      <c r="FC53" s="2520"/>
      <c r="FD53" s="2520"/>
      <c r="FE53" s="2520"/>
      <c r="FF53" s="2520"/>
      <c r="FG53" s="2520"/>
      <c r="FH53" s="2520"/>
      <c r="FI53" s="2520"/>
      <c r="FJ53" s="2520"/>
      <c r="FK53" s="2520"/>
      <c r="FL53" s="2520"/>
      <c r="FM53" s="2520"/>
      <c r="FN53" s="2520"/>
      <c r="FO53" s="2520"/>
      <c r="FP53" s="2520"/>
      <c r="FQ53" s="2520"/>
      <c r="FR53" s="2520"/>
      <c r="FS53" s="2520"/>
      <c r="FT53" s="2520"/>
      <c r="FU53" s="2520"/>
      <c r="FV53" s="2520"/>
      <c r="FW53" s="2520"/>
      <c r="FX53" s="2520"/>
      <c r="FY53" s="2520"/>
      <c r="FZ53" s="2520"/>
      <c r="GA53" s="2520"/>
      <c r="GB53" s="2520"/>
      <c r="GC53" s="2520"/>
      <c r="GD53" s="2520"/>
      <c r="GE53" s="2520"/>
      <c r="GF53" s="2520"/>
      <c r="GG53" s="2520"/>
      <c r="GH53" s="2520"/>
      <c r="GI53" s="2520"/>
      <c r="GJ53" s="2520"/>
      <c r="GK53" s="2520"/>
      <c r="GL53" s="2519"/>
      <c r="GM53" s="2519"/>
      <c r="GN53" s="2520"/>
      <c r="GO53" s="2520"/>
      <c r="GP53" s="2520"/>
      <c r="GQ53" s="2520"/>
      <c r="GR53" s="2520"/>
      <c r="GS53" s="2519"/>
      <c r="GT53" s="2520"/>
      <c r="GU53" s="2520"/>
      <c r="GV53" s="2520"/>
      <c r="GW53" s="2520"/>
      <c r="GX53" s="1406">
        <v>980</v>
      </c>
      <c r="GY53" s="2520"/>
      <c r="GZ53" s="2520"/>
      <c r="HA53" s="2520"/>
      <c r="HB53" s="2520"/>
      <c r="HC53" s="2519"/>
      <c r="HD53" s="2520"/>
      <c r="HE53" s="2520"/>
      <c r="HF53" s="2520"/>
      <c r="HG53" s="2520"/>
      <c r="HH53" s="2520"/>
      <c r="HI53" s="2520"/>
      <c r="HJ53" s="2520"/>
      <c r="HK53" s="2520"/>
      <c r="HL53" s="2520"/>
      <c r="HM53" s="2520"/>
      <c r="HN53" s="2519"/>
      <c r="HO53" s="2520"/>
      <c r="HP53" s="2520"/>
      <c r="HQ53" s="2522"/>
      <c r="HR53" s="2522">
        <v>7384</v>
      </c>
      <c r="HS53" s="2522"/>
      <c r="HT53" s="2520"/>
      <c r="HU53" s="2520"/>
      <c r="HV53" s="2520"/>
      <c r="HW53" s="2520"/>
      <c r="HX53" s="2520"/>
      <c r="HY53" s="2520"/>
      <c r="HZ53" s="2520"/>
      <c r="IA53" s="2520"/>
      <c r="IB53" s="2520"/>
      <c r="IC53" s="2520"/>
      <c r="ID53" s="2520"/>
      <c r="IE53" s="2520"/>
      <c r="IF53" s="2520"/>
      <c r="IG53" s="2520"/>
      <c r="IH53" s="2520"/>
      <c r="II53" s="2520"/>
      <c r="IJ53" s="2520"/>
      <c r="IK53" s="2520"/>
      <c r="IL53" s="2520"/>
      <c r="IM53" s="2520"/>
      <c r="IN53" s="2520"/>
      <c r="IO53" s="2520"/>
      <c r="IP53" s="2520"/>
      <c r="IQ53" s="2520"/>
      <c r="IR53" s="2520"/>
      <c r="IS53" s="2520"/>
      <c r="IT53" s="2520"/>
      <c r="IU53" s="2520"/>
      <c r="IV53" s="2520"/>
      <c r="IW53" s="2520"/>
      <c r="IX53" s="2520"/>
      <c r="IY53" s="2519"/>
      <c r="IZ53" s="2520"/>
      <c r="JA53" s="2520"/>
      <c r="JB53" s="2520"/>
      <c r="JC53" s="2520"/>
      <c r="JD53" s="2520"/>
      <c r="JE53" s="2520"/>
      <c r="JF53" s="2519"/>
      <c r="JG53" s="2520"/>
      <c r="JH53" s="2520"/>
      <c r="JI53" s="2520"/>
      <c r="JJ53" s="2520"/>
      <c r="JK53" s="2520"/>
      <c r="JL53" s="2520"/>
      <c r="JM53" s="2520"/>
      <c r="JN53" s="2520"/>
      <c r="JO53" s="2520"/>
      <c r="JP53" s="2520"/>
      <c r="JQ53" s="2521"/>
      <c r="JR53" s="351"/>
      <c r="JS53" s="1400"/>
    </row>
    <row r="54" spans="1:279" x14ac:dyDescent="0.25">
      <c r="A54" s="1367">
        <v>5</v>
      </c>
      <c r="B54" s="1411" t="str">
        <f t="shared" si="6"/>
        <v/>
      </c>
      <c r="C54" s="1359" t="s">
        <v>2488</v>
      </c>
      <c r="D54" s="1360" t="s">
        <v>2489</v>
      </c>
      <c r="E54" s="2519"/>
      <c r="F54" s="2519"/>
      <c r="G54" s="2519"/>
      <c r="H54" s="2519"/>
      <c r="I54" s="2519"/>
      <c r="J54" s="2519"/>
      <c r="K54" s="2519"/>
      <c r="L54" s="2519"/>
      <c r="M54" s="2519"/>
      <c r="N54" s="2519"/>
      <c r="O54" s="2519"/>
      <c r="P54" s="2519"/>
      <c r="Q54" s="2519"/>
      <c r="R54" s="2519"/>
      <c r="S54" s="2519"/>
      <c r="T54" s="2519"/>
      <c r="U54" s="2519"/>
      <c r="V54" s="2519"/>
      <c r="W54" s="2519"/>
      <c r="X54" s="2519"/>
      <c r="Y54" s="2519"/>
      <c r="Z54" s="2519"/>
      <c r="AA54" s="2519"/>
      <c r="AB54" s="2519"/>
      <c r="AC54" s="2519"/>
      <c r="AD54" s="2519"/>
      <c r="AE54" s="2519"/>
      <c r="AF54" s="2519"/>
      <c r="AG54" s="2519"/>
      <c r="AH54" s="2519"/>
      <c r="AI54" s="2519"/>
      <c r="AJ54" s="2519"/>
      <c r="AK54" s="2519"/>
      <c r="AL54" s="2519"/>
      <c r="AM54" s="2519"/>
      <c r="AN54" s="2519"/>
      <c r="AO54" s="2519"/>
      <c r="AP54" s="2519"/>
      <c r="AQ54" s="2519"/>
      <c r="AR54" s="2519"/>
      <c r="AS54" s="2519"/>
      <c r="AT54" s="2519"/>
      <c r="AU54" s="2519"/>
      <c r="AV54" s="2519"/>
      <c r="AW54" s="2519"/>
      <c r="AX54" s="2519"/>
      <c r="AY54" s="2519"/>
      <c r="AZ54" s="2519"/>
      <c r="BA54" s="2519"/>
      <c r="BB54" s="2519"/>
      <c r="BC54" s="2519">
        <v>470</v>
      </c>
      <c r="BD54" s="2519"/>
      <c r="BE54" s="2519"/>
      <c r="BF54" s="2519"/>
      <c r="BG54" s="2519"/>
      <c r="BH54" s="2519"/>
      <c r="BI54" s="2519"/>
      <c r="BJ54" s="2519"/>
      <c r="BK54" s="2519"/>
      <c r="BL54" s="2519"/>
      <c r="BM54" s="2519"/>
      <c r="BN54" s="2519"/>
      <c r="BO54" s="2519"/>
      <c r="BP54" s="2519"/>
      <c r="BQ54" s="2519"/>
      <c r="BR54" s="2519"/>
      <c r="BS54" s="2519"/>
      <c r="BT54" s="2519"/>
      <c r="BU54" s="2519"/>
      <c r="BV54" s="2519"/>
      <c r="BW54" s="2519"/>
      <c r="BX54" s="2519"/>
      <c r="BY54" s="2519"/>
      <c r="BZ54" s="2519"/>
      <c r="CA54" s="2519"/>
      <c r="CB54" s="2519"/>
      <c r="CC54" s="2519"/>
      <c r="CD54" s="2520"/>
      <c r="CE54" s="2520"/>
      <c r="CF54" s="2520"/>
      <c r="CG54" s="2520"/>
      <c r="CH54" s="2520"/>
      <c r="CI54" s="2519"/>
      <c r="CJ54" s="2520"/>
      <c r="CK54" s="2520"/>
      <c r="CL54" s="2520"/>
      <c r="CM54" s="2520"/>
      <c r="CN54" s="2520"/>
      <c r="CO54" s="2520"/>
      <c r="CP54" s="2520"/>
      <c r="CQ54" s="2520"/>
      <c r="CR54" s="2519">
        <v>470</v>
      </c>
      <c r="CS54" s="2519">
        <v>470</v>
      </c>
      <c r="CT54" s="2520"/>
      <c r="CU54" s="2520"/>
      <c r="CV54" s="2520"/>
      <c r="CW54" s="2519"/>
      <c r="CX54" s="2520"/>
      <c r="CY54" s="2520"/>
      <c r="CZ54" s="2520"/>
      <c r="DA54" s="2519"/>
      <c r="DB54" s="2520"/>
      <c r="DC54" s="2519"/>
      <c r="DD54" s="2520"/>
      <c r="DE54" s="2520"/>
      <c r="DF54" s="2520"/>
      <c r="DG54" s="2520"/>
      <c r="DH54" s="2519"/>
      <c r="DI54" s="2519"/>
      <c r="DJ54" s="2519"/>
      <c r="DK54" s="2520"/>
      <c r="DL54" s="2520"/>
      <c r="DM54" s="2520"/>
      <c r="DN54" s="2520"/>
      <c r="DO54" s="2520"/>
      <c r="DP54" s="2520"/>
      <c r="DQ54" s="2520"/>
      <c r="DR54" s="2520"/>
      <c r="DS54" s="2520"/>
      <c r="DT54" s="2520"/>
      <c r="DU54" s="2520"/>
      <c r="DV54" s="2520"/>
      <c r="DW54" s="2520"/>
      <c r="DX54" s="2520"/>
      <c r="DY54" s="2520"/>
      <c r="DZ54" s="2517">
        <v>10</v>
      </c>
      <c r="EA54" s="2520"/>
      <c r="EB54" s="2520"/>
      <c r="EC54" s="2520"/>
      <c r="ED54" s="2520"/>
      <c r="EE54" s="2520"/>
      <c r="EF54" s="2520"/>
      <c r="EG54" s="2520"/>
      <c r="EH54" s="2520"/>
      <c r="EI54" s="2520"/>
      <c r="EJ54" s="2520"/>
      <c r="EK54" s="2520"/>
      <c r="EL54" s="2520"/>
      <c r="EM54" s="2520"/>
      <c r="EN54" s="2520"/>
      <c r="EO54" s="2520"/>
      <c r="EP54" s="2520"/>
      <c r="EQ54" s="2520"/>
      <c r="ER54" s="2520"/>
      <c r="ES54" s="2520"/>
      <c r="ET54" s="2520"/>
      <c r="EU54" s="2520"/>
      <c r="EV54" s="2520"/>
      <c r="EW54" s="2520"/>
      <c r="EX54" s="2520"/>
      <c r="EY54" s="2520"/>
      <c r="EZ54" s="2520"/>
      <c r="FA54" s="2520"/>
      <c r="FB54" s="2520"/>
      <c r="FC54" s="2520"/>
      <c r="FD54" s="2520"/>
      <c r="FE54" s="2520"/>
      <c r="FF54" s="2520"/>
      <c r="FG54" s="2520"/>
      <c r="FH54" s="2520"/>
      <c r="FI54" s="2520"/>
      <c r="FJ54" s="2520"/>
      <c r="FK54" s="2520"/>
      <c r="FL54" s="2520"/>
      <c r="FM54" s="2520"/>
      <c r="FN54" s="2520"/>
      <c r="FO54" s="2520"/>
      <c r="FP54" s="2520"/>
      <c r="FQ54" s="2520"/>
      <c r="FR54" s="2520"/>
      <c r="FS54" s="2520"/>
      <c r="FT54" s="2520"/>
      <c r="FU54" s="2520"/>
      <c r="FV54" s="2520"/>
      <c r="FW54" s="2520"/>
      <c r="FX54" s="2520"/>
      <c r="FY54" s="2520"/>
      <c r="FZ54" s="2520"/>
      <c r="GA54" s="2520"/>
      <c r="GB54" s="2520"/>
      <c r="GC54" s="2520"/>
      <c r="GD54" s="2520"/>
      <c r="GE54" s="2520"/>
      <c r="GF54" s="2520"/>
      <c r="GG54" s="2520"/>
      <c r="GH54" s="2520"/>
      <c r="GI54" s="2520"/>
      <c r="GJ54" s="2520"/>
      <c r="GK54" s="2520"/>
      <c r="GL54" s="2519"/>
      <c r="GM54" s="2519"/>
      <c r="GN54" s="2520"/>
      <c r="GO54" s="2520"/>
      <c r="GP54" s="2520"/>
      <c r="GQ54" s="2520"/>
      <c r="GR54" s="2520"/>
      <c r="GS54" s="2519"/>
      <c r="GT54" s="2520"/>
      <c r="GU54" s="2520"/>
      <c r="GV54" s="2520"/>
      <c r="GW54" s="2520"/>
      <c r="GX54" s="2519"/>
      <c r="GY54" s="2520"/>
      <c r="GZ54" s="2520"/>
      <c r="HA54" s="2520"/>
      <c r="HB54" s="2520"/>
      <c r="HC54" s="2519"/>
      <c r="HD54" s="2520"/>
      <c r="HE54" s="2520"/>
      <c r="HF54" s="2520"/>
      <c r="HG54" s="2520"/>
      <c r="HH54" s="2520"/>
      <c r="HI54" s="2520"/>
      <c r="HJ54" s="2520"/>
      <c r="HK54" s="2520"/>
      <c r="HL54" s="2520"/>
      <c r="HM54" s="2520"/>
      <c r="HN54" s="2519"/>
      <c r="HO54" s="2520"/>
      <c r="HP54" s="2520"/>
      <c r="HQ54" s="2522"/>
      <c r="HR54" s="2522"/>
      <c r="HS54" s="2522"/>
      <c r="HT54" s="2520"/>
      <c r="HU54" s="2520"/>
      <c r="HV54" s="2520"/>
      <c r="HW54" s="2520"/>
      <c r="HX54" s="2520"/>
      <c r="HY54" s="2520"/>
      <c r="HZ54" s="2520"/>
      <c r="IA54" s="2520"/>
      <c r="IB54" s="2520"/>
      <c r="IC54" s="2520"/>
      <c r="ID54" s="2520"/>
      <c r="IE54" s="2520"/>
      <c r="IF54" s="2520"/>
      <c r="IG54" s="2520"/>
      <c r="IH54" s="2520"/>
      <c r="II54" s="2520"/>
      <c r="IJ54" s="2520"/>
      <c r="IK54" s="2520"/>
      <c r="IL54" s="2520"/>
      <c r="IM54" s="2520"/>
      <c r="IN54" s="2520"/>
      <c r="IO54" s="2520"/>
      <c r="IP54" s="2520"/>
      <c r="IQ54" s="2520"/>
      <c r="IR54" s="2520"/>
      <c r="IS54" s="2520"/>
      <c r="IT54" s="2520"/>
      <c r="IU54" s="2520"/>
      <c r="IV54" s="2520"/>
      <c r="IW54" s="2520"/>
      <c r="IX54" s="2520"/>
      <c r="IY54" s="2519"/>
      <c r="IZ54" s="2520"/>
      <c r="JA54" s="2520"/>
      <c r="JB54" s="2520"/>
      <c r="JC54" s="2520"/>
      <c r="JD54" s="2520"/>
      <c r="JE54" s="2520"/>
      <c r="JF54" s="2519"/>
      <c r="JG54" s="2520"/>
      <c r="JH54" s="2520"/>
      <c r="JI54" s="2520"/>
      <c r="JJ54" s="2520"/>
      <c r="JK54" s="2520"/>
      <c r="JL54" s="2520"/>
      <c r="JM54" s="2520">
        <v>9000</v>
      </c>
      <c r="JN54" s="2520"/>
      <c r="JO54" s="2520"/>
      <c r="JP54" s="2520"/>
      <c r="JQ54" s="2521"/>
      <c r="JR54" s="351"/>
      <c r="JS54" s="1400"/>
    </row>
    <row r="55" spans="1:279" x14ac:dyDescent="0.25">
      <c r="A55" s="1367">
        <v>6</v>
      </c>
      <c r="B55" s="1411" t="str">
        <f t="shared" si="6"/>
        <v/>
      </c>
      <c r="C55" s="1359" t="s">
        <v>2490</v>
      </c>
      <c r="D55" s="1360" t="s">
        <v>2491</v>
      </c>
      <c r="E55" s="2519"/>
      <c r="F55" s="2519"/>
      <c r="G55" s="2519"/>
      <c r="H55" s="2519"/>
      <c r="I55" s="2519"/>
      <c r="J55" s="2519"/>
      <c r="K55" s="2519"/>
      <c r="L55" s="2519"/>
      <c r="M55" s="2519"/>
      <c r="N55" s="2519"/>
      <c r="O55" s="2519"/>
      <c r="P55" s="2519"/>
      <c r="Q55" s="2519"/>
      <c r="R55" s="2519"/>
      <c r="S55" s="2519"/>
      <c r="T55" s="2519"/>
      <c r="U55" s="2519"/>
      <c r="V55" s="2519"/>
      <c r="W55" s="2519"/>
      <c r="X55" s="2519"/>
      <c r="Y55" s="2519"/>
      <c r="Z55" s="2519"/>
      <c r="AA55" s="2519"/>
      <c r="AB55" s="2519"/>
      <c r="AC55" s="2519"/>
      <c r="AD55" s="2519"/>
      <c r="AE55" s="2519"/>
      <c r="AF55" s="2519"/>
      <c r="AG55" s="2519"/>
      <c r="AH55" s="2519"/>
      <c r="AI55" s="2519"/>
      <c r="AJ55" s="2507"/>
      <c r="AK55" s="2519"/>
      <c r="AL55" s="2519"/>
      <c r="AM55" s="2519"/>
      <c r="AN55" s="2519"/>
      <c r="AO55" s="2519"/>
      <c r="AP55" s="2519"/>
      <c r="AQ55" s="2519"/>
      <c r="AR55" s="2519"/>
      <c r="AS55" s="2519"/>
      <c r="AT55" s="2519"/>
      <c r="AU55" s="2519"/>
      <c r="AV55" s="2519"/>
      <c r="AW55" s="2519"/>
      <c r="AX55" s="2519"/>
      <c r="AY55" s="2519"/>
      <c r="AZ55" s="2519"/>
      <c r="BA55" s="2519"/>
      <c r="BB55" s="2519"/>
      <c r="BC55" s="2519"/>
      <c r="BD55" s="2519">
        <v>228</v>
      </c>
      <c r="BE55" s="2519"/>
      <c r="BF55" s="2519"/>
      <c r="BG55" s="2519"/>
      <c r="BH55" s="2519"/>
      <c r="BI55" s="2519">
        <f>P_A+3100</f>
        <v>15670</v>
      </c>
      <c r="BJ55" s="2519"/>
      <c r="BK55" s="2519"/>
      <c r="BL55" s="2519"/>
      <c r="BM55" s="2519"/>
      <c r="BN55" s="2519"/>
      <c r="BO55" s="2519"/>
      <c r="BP55" s="2519"/>
      <c r="BQ55" s="2519"/>
      <c r="BR55" s="2519"/>
      <c r="BS55" s="2519"/>
      <c r="BT55" s="2519"/>
      <c r="BU55" s="2519"/>
      <c r="BV55" s="2519"/>
      <c r="BW55" s="2519"/>
      <c r="BX55" s="2519"/>
      <c r="BY55" s="2519"/>
      <c r="BZ55" s="2519"/>
      <c r="CA55" s="2519"/>
      <c r="CB55" s="2519">
        <v>53000</v>
      </c>
      <c r="CC55" s="2519">
        <v>2360</v>
      </c>
      <c r="CD55" s="2520"/>
      <c r="CE55" s="2520"/>
      <c r="CF55" s="2520"/>
      <c r="CG55" s="2520"/>
      <c r="CH55" s="2520"/>
      <c r="CI55" s="2519">
        <v>2360</v>
      </c>
      <c r="CJ55" s="2520"/>
      <c r="CK55" s="2520"/>
      <c r="CL55" s="2520"/>
      <c r="CM55" s="2520"/>
      <c r="CN55" s="2520"/>
      <c r="CO55" s="2520"/>
      <c r="CP55" s="2520"/>
      <c r="CQ55" s="2520"/>
      <c r="CR55" s="2519"/>
      <c r="CS55" s="2519"/>
      <c r="CT55" s="2520"/>
      <c r="CU55" s="2520"/>
      <c r="CV55" s="2520">
        <v>1000</v>
      </c>
      <c r="CW55" s="2519"/>
      <c r="CX55" s="2520"/>
      <c r="CY55" s="2520"/>
      <c r="CZ55" s="2520"/>
      <c r="DA55" s="2519">
        <v>228</v>
      </c>
      <c r="DB55" s="2520"/>
      <c r="DC55" s="2519"/>
      <c r="DD55" s="2520"/>
      <c r="DE55" s="2520"/>
      <c r="DF55" s="2520"/>
      <c r="DG55" s="2520"/>
      <c r="DH55" s="2519">
        <v>2360</v>
      </c>
      <c r="DI55" s="1406"/>
      <c r="DJ55" s="2519"/>
      <c r="DK55" s="2520"/>
      <c r="DL55" s="2520"/>
      <c r="DM55" s="2520"/>
      <c r="DN55" s="2520"/>
      <c r="DO55" s="2520"/>
      <c r="DP55" s="2520"/>
      <c r="DQ55" s="2520"/>
      <c r="DR55" s="2520"/>
      <c r="DS55" s="2520"/>
      <c r="DT55" s="2520"/>
      <c r="DU55" s="2520"/>
      <c r="DV55" s="2520"/>
      <c r="DW55" s="2520"/>
      <c r="DX55" s="2520"/>
      <c r="DY55" s="2520"/>
      <c r="DZ55" s="2517">
        <v>10</v>
      </c>
      <c r="EA55" s="2520"/>
      <c r="EB55" s="2520"/>
      <c r="EC55" s="2520"/>
      <c r="ED55" s="2520"/>
      <c r="EE55" s="2520"/>
      <c r="EF55" s="2520"/>
      <c r="EG55" s="2520"/>
      <c r="EH55" s="2520"/>
      <c r="EI55" s="2520"/>
      <c r="EJ55" s="2520"/>
      <c r="EK55" s="2520"/>
      <c r="EL55" s="2520"/>
      <c r="EM55" s="2520"/>
      <c r="EN55" s="2520"/>
      <c r="EO55" s="2520"/>
      <c r="EP55" s="2520"/>
      <c r="EQ55" s="2520"/>
      <c r="ER55" s="2520"/>
      <c r="ES55" s="2520"/>
      <c r="ET55" s="2520"/>
      <c r="EU55" s="2520"/>
      <c r="EV55" s="2520"/>
      <c r="EW55" s="2520"/>
      <c r="EX55" s="2520"/>
      <c r="EY55" s="2520"/>
      <c r="EZ55" s="2520"/>
      <c r="FA55" s="2520"/>
      <c r="FB55" s="2520"/>
      <c r="FC55" s="2522">
        <v>49080</v>
      </c>
      <c r="FD55" s="2520"/>
      <c r="FE55" s="2520"/>
      <c r="FF55" s="2520"/>
      <c r="FG55" s="2520"/>
      <c r="FH55" s="2520"/>
      <c r="FI55" s="2517">
        <v>6055</v>
      </c>
      <c r="FJ55" s="2520"/>
      <c r="FK55" s="2520"/>
      <c r="FL55" s="2520"/>
      <c r="FM55" s="2520"/>
      <c r="FN55" s="2520"/>
      <c r="FO55" s="2520"/>
      <c r="FP55" s="2520"/>
      <c r="FQ55" s="2520"/>
      <c r="FR55" s="2520"/>
      <c r="FS55" s="2520"/>
      <c r="FT55" s="2520"/>
      <c r="FU55" s="2520"/>
      <c r="FV55" s="2520"/>
      <c r="FW55" s="2520"/>
      <c r="FX55" s="2520"/>
      <c r="FY55" s="2520"/>
      <c r="FZ55" s="2520"/>
      <c r="GA55" s="2520"/>
      <c r="GB55" s="2520"/>
      <c r="GC55" s="2520"/>
      <c r="GD55" s="2520"/>
      <c r="GE55" s="2520"/>
      <c r="GF55" s="2520"/>
      <c r="GG55" s="2520"/>
      <c r="GH55" s="2520"/>
      <c r="GI55" s="2520"/>
      <c r="GJ55" s="2520"/>
      <c r="GK55" s="2520"/>
      <c r="GL55" s="2519"/>
      <c r="GM55" s="2519"/>
      <c r="GN55" s="2520"/>
      <c r="GO55" s="2520"/>
      <c r="GP55" s="2520"/>
      <c r="GQ55" s="2520"/>
      <c r="GR55" s="2520"/>
      <c r="GS55" s="2519"/>
      <c r="GT55" s="2520"/>
      <c r="GU55" s="2520"/>
      <c r="GV55" s="2520"/>
      <c r="GW55" s="2520"/>
      <c r="GX55" s="1406">
        <v>4020</v>
      </c>
      <c r="GY55" s="2520"/>
      <c r="GZ55" s="2520"/>
      <c r="HA55" s="2520"/>
      <c r="HB55" s="2520"/>
      <c r="HC55" s="2519">
        <v>60000</v>
      </c>
      <c r="HD55" s="2520"/>
      <c r="HE55" s="2520"/>
      <c r="HF55" s="2520"/>
      <c r="HG55" s="2520"/>
      <c r="HH55" s="2520"/>
      <c r="HI55" s="2520"/>
      <c r="HJ55" s="2520"/>
      <c r="HK55" s="2520"/>
      <c r="HL55" s="2520"/>
      <c r="HM55" s="2520"/>
      <c r="HN55" s="2519"/>
      <c r="HO55" s="2520"/>
      <c r="HP55" s="2520"/>
      <c r="HQ55" s="2520"/>
      <c r="HR55" s="2520"/>
      <c r="HS55" s="2520"/>
      <c r="HT55" s="2520"/>
      <c r="HU55" s="2520"/>
      <c r="HV55" s="2520"/>
      <c r="HW55" s="2520"/>
      <c r="HX55" s="2520"/>
      <c r="HY55" s="2520"/>
      <c r="HZ55" s="2520"/>
      <c r="IA55" s="2520"/>
      <c r="IB55" s="2520"/>
      <c r="IC55" s="2520"/>
      <c r="ID55" s="2520"/>
      <c r="IE55" s="2520"/>
      <c r="IF55" s="2520"/>
      <c r="IG55" s="2520"/>
      <c r="IH55" s="2520"/>
      <c r="II55" s="2520"/>
      <c r="IJ55" s="2520"/>
      <c r="IK55" s="2520"/>
      <c r="IL55" s="2520"/>
      <c r="IM55" s="2520"/>
      <c r="IN55" s="2520"/>
      <c r="IO55" s="2520"/>
      <c r="IP55" s="2520"/>
      <c r="IQ55" s="2520">
        <v>355</v>
      </c>
      <c r="IR55" s="2520"/>
      <c r="IS55" s="2520"/>
      <c r="IT55" s="2520"/>
      <c r="IU55" s="2520"/>
      <c r="IV55" s="2520"/>
      <c r="IW55" s="2520"/>
      <c r="IX55" s="2520"/>
      <c r="IY55" s="2507">
        <v>4225</v>
      </c>
      <c r="IZ55" s="2520"/>
      <c r="JA55" s="2520"/>
      <c r="JB55" s="2520"/>
      <c r="JC55" s="2520"/>
      <c r="JD55" s="2520"/>
      <c r="JE55" s="2520"/>
      <c r="JF55" s="2519"/>
      <c r="JG55" s="2520"/>
      <c r="JH55" s="2520"/>
      <c r="JI55" s="2520"/>
      <c r="JJ55" s="2520"/>
      <c r="JK55" s="2520"/>
      <c r="JL55" s="2520"/>
      <c r="JM55" s="2520"/>
      <c r="JN55" s="2520"/>
      <c r="JO55" s="2520"/>
      <c r="JP55" s="2520"/>
      <c r="JQ55" s="2521"/>
      <c r="JR55" s="351"/>
      <c r="JS55" s="1412" t="s">
        <v>2492</v>
      </c>
    </row>
    <row r="56" spans="1:279" x14ac:dyDescent="0.25">
      <c r="A56" s="1367">
        <v>7</v>
      </c>
      <c r="B56" s="1411" t="str">
        <f t="shared" si="6"/>
        <v/>
      </c>
      <c r="C56" s="1359" t="s">
        <v>2493</v>
      </c>
      <c r="D56" s="1360" t="s">
        <v>2494</v>
      </c>
      <c r="E56" s="2519"/>
      <c r="F56" s="2519"/>
      <c r="G56" s="2519"/>
      <c r="H56" s="2519"/>
      <c r="I56" s="2519"/>
      <c r="J56" s="2519"/>
      <c r="K56" s="2519"/>
      <c r="L56" s="2519"/>
      <c r="M56" s="2519"/>
      <c r="N56" s="2519"/>
      <c r="O56" s="2519"/>
      <c r="P56" s="2519"/>
      <c r="Q56" s="2519"/>
      <c r="R56" s="2519"/>
      <c r="S56" s="2519"/>
      <c r="T56" s="2519"/>
      <c r="U56" s="2519"/>
      <c r="V56" s="2519"/>
      <c r="W56" s="2519"/>
      <c r="X56" s="2519"/>
      <c r="Y56" s="2519"/>
      <c r="Z56" s="2519"/>
      <c r="AA56" s="2519"/>
      <c r="AB56" s="2519"/>
      <c r="AC56" s="2519"/>
      <c r="AD56" s="2519"/>
      <c r="AE56" s="2519"/>
      <c r="AF56" s="2519"/>
      <c r="AG56" s="2519"/>
      <c r="AH56" s="2519"/>
      <c r="AI56" s="2519"/>
      <c r="AJ56" s="2519"/>
      <c r="AK56" s="2519"/>
      <c r="AL56" s="2519"/>
      <c r="AM56" s="2519"/>
      <c r="AN56" s="2519"/>
      <c r="AO56" s="2519"/>
      <c r="AP56" s="2519"/>
      <c r="AQ56" s="2519"/>
      <c r="AR56" s="2519"/>
      <c r="AS56" s="2519"/>
      <c r="AT56" s="2519"/>
      <c r="AU56" s="2519"/>
      <c r="AV56" s="2519"/>
      <c r="AW56" s="2519"/>
      <c r="AX56" s="2519"/>
      <c r="AY56" s="2519"/>
      <c r="AZ56" s="2519"/>
      <c r="BA56" s="2519"/>
      <c r="BB56" s="2519"/>
      <c r="BC56" s="2519"/>
      <c r="BD56" s="2519">
        <v>1295</v>
      </c>
      <c r="BE56" s="2519"/>
      <c r="BF56" s="2519"/>
      <c r="BG56" s="2519"/>
      <c r="BH56" s="2519"/>
      <c r="BI56" s="2519"/>
      <c r="BJ56" s="2519"/>
      <c r="BK56" s="2519"/>
      <c r="BL56" s="2519"/>
      <c r="BM56" s="2519"/>
      <c r="BN56" s="2519"/>
      <c r="BO56" s="2519"/>
      <c r="BP56" s="2519"/>
      <c r="BQ56" s="2519"/>
      <c r="BR56" s="2519"/>
      <c r="BS56" s="2519"/>
      <c r="BT56" s="2519"/>
      <c r="BU56" s="2519"/>
      <c r="BV56" s="2519"/>
      <c r="BW56" s="2519"/>
      <c r="BX56" s="2519"/>
      <c r="BY56" s="2519"/>
      <c r="BZ56" s="2519"/>
      <c r="CA56" s="2519"/>
      <c r="CB56" s="2519"/>
      <c r="CC56" s="2519"/>
      <c r="CD56" s="2520"/>
      <c r="CE56" s="2520"/>
      <c r="CF56" s="2520"/>
      <c r="CG56" s="2520"/>
      <c r="CH56" s="2520"/>
      <c r="CI56" s="2519"/>
      <c r="CJ56" s="2520"/>
      <c r="CK56" s="2520"/>
      <c r="CL56" s="2520"/>
      <c r="CM56" s="2520"/>
      <c r="CN56" s="2520"/>
      <c r="CO56" s="2520"/>
      <c r="CP56" s="2520"/>
      <c r="CQ56" s="2520"/>
      <c r="CR56" s="2519"/>
      <c r="CS56" s="2519"/>
      <c r="CT56" s="2520"/>
      <c r="CU56" s="2520"/>
      <c r="CV56" s="2520"/>
      <c r="CW56" s="2519"/>
      <c r="CX56" s="2520"/>
      <c r="CY56" s="2520"/>
      <c r="CZ56" s="2520"/>
      <c r="DA56" s="2519">
        <v>1295</v>
      </c>
      <c r="DB56" s="2520"/>
      <c r="DC56" s="2519"/>
      <c r="DD56" s="2520"/>
      <c r="DE56" s="2520"/>
      <c r="DF56" s="2520"/>
      <c r="DG56" s="2520"/>
      <c r="DH56" s="2519"/>
      <c r="DI56" s="2519"/>
      <c r="DJ56" s="2519"/>
      <c r="DK56" s="2520"/>
      <c r="DL56" s="2520"/>
      <c r="DM56" s="2520"/>
      <c r="DN56" s="2520"/>
      <c r="DO56" s="2520"/>
      <c r="DP56" s="2520"/>
      <c r="DQ56" s="2520"/>
      <c r="DR56" s="2520"/>
      <c r="DS56" s="2520"/>
      <c r="DT56" s="2520"/>
      <c r="DU56" s="2520"/>
      <c r="DV56" s="2520"/>
      <c r="DW56" s="2520"/>
      <c r="DX56" s="2520"/>
      <c r="DY56" s="2520"/>
      <c r="DZ56" s="2517">
        <v>10</v>
      </c>
      <c r="EA56" s="2520"/>
      <c r="EB56" s="2520"/>
      <c r="EC56" s="2520"/>
      <c r="ED56" s="2520"/>
      <c r="EE56" s="2520"/>
      <c r="EF56" s="2520"/>
      <c r="EG56" s="2520"/>
      <c r="EH56" s="2520"/>
      <c r="EI56" s="2520"/>
      <c r="EJ56" s="2520"/>
      <c r="EK56" s="2520"/>
      <c r="EL56" s="2520"/>
      <c r="EM56" s="2520"/>
      <c r="EN56" s="2520"/>
      <c r="EO56" s="2520"/>
      <c r="EP56" s="2520"/>
      <c r="EQ56" s="2520"/>
      <c r="ER56" s="2520"/>
      <c r="ES56" s="2520"/>
      <c r="ET56" s="2520"/>
      <c r="EU56" s="2520"/>
      <c r="EV56" s="2520"/>
      <c r="EW56" s="2520"/>
      <c r="EX56" s="2520"/>
      <c r="EY56" s="2520"/>
      <c r="EZ56" s="2520"/>
      <c r="FA56" s="2520"/>
      <c r="FB56" s="2520"/>
      <c r="FC56" s="2520"/>
      <c r="FD56" s="2520"/>
      <c r="FE56" s="2520"/>
      <c r="FF56" s="2520"/>
      <c r="FG56" s="2520"/>
      <c r="FH56" s="2520"/>
      <c r="FI56" s="2520"/>
      <c r="FJ56" s="2520"/>
      <c r="FK56" s="2520"/>
      <c r="FL56" s="2520"/>
      <c r="FM56" s="2520"/>
      <c r="FN56" s="2520"/>
      <c r="FO56" s="2520"/>
      <c r="FP56" s="2520"/>
      <c r="FQ56" s="2520"/>
      <c r="FR56" s="2520"/>
      <c r="FS56" s="2520"/>
      <c r="FT56" s="2520"/>
      <c r="FU56" s="2520"/>
      <c r="FV56" s="2520"/>
      <c r="FW56" s="2520"/>
      <c r="FX56" s="2520"/>
      <c r="FY56" s="2520"/>
      <c r="FZ56" s="2520"/>
      <c r="GA56" s="2520"/>
      <c r="GB56" s="2520"/>
      <c r="GC56" s="2520"/>
      <c r="GD56" s="2520"/>
      <c r="GE56" s="2520"/>
      <c r="GF56" s="2520"/>
      <c r="GG56" s="2520"/>
      <c r="GH56" s="2520"/>
      <c r="GI56" s="2520"/>
      <c r="GJ56" s="2520"/>
      <c r="GK56" s="2520"/>
      <c r="GL56" s="2519"/>
      <c r="GM56" s="2519"/>
      <c r="GN56" s="2520"/>
      <c r="GO56" s="2520"/>
      <c r="GP56" s="2520"/>
      <c r="GQ56" s="2520"/>
      <c r="GR56" s="2520"/>
      <c r="GS56" s="2519"/>
      <c r="GT56" s="2520"/>
      <c r="GU56" s="2520"/>
      <c r="GV56" s="2520"/>
      <c r="GW56" s="2520"/>
      <c r="GX56" s="2519"/>
      <c r="GY56" s="2520"/>
      <c r="GZ56" s="2520"/>
      <c r="HA56" s="2520"/>
      <c r="HB56" s="2520"/>
      <c r="HC56" s="2519"/>
      <c r="HD56" s="2520"/>
      <c r="HE56" s="2520"/>
      <c r="HF56" s="2520"/>
      <c r="HG56" s="2520"/>
      <c r="HH56" s="2520"/>
      <c r="HI56" s="2520"/>
      <c r="HJ56" s="2520"/>
      <c r="HK56" s="2520"/>
      <c r="HL56" s="2520"/>
      <c r="HM56" s="2520"/>
      <c r="HN56" s="2519"/>
      <c r="HO56" s="2520"/>
      <c r="HP56" s="2520"/>
      <c r="HQ56" s="2520"/>
      <c r="HR56" s="2520"/>
      <c r="HS56" s="2520"/>
      <c r="HT56" s="2520"/>
      <c r="HU56" s="2520"/>
      <c r="HV56" s="2520"/>
      <c r="HW56" s="2520"/>
      <c r="HX56" s="2520"/>
      <c r="HY56" s="2520"/>
      <c r="HZ56" s="2520"/>
      <c r="IA56" s="2520"/>
      <c r="IB56" s="2520"/>
      <c r="IC56" s="2520"/>
      <c r="ID56" s="2520"/>
      <c r="IE56" s="2520"/>
      <c r="IF56" s="2520"/>
      <c r="IG56" s="2520"/>
      <c r="IH56" s="2520"/>
      <c r="II56" s="2520"/>
      <c r="IJ56" s="2520"/>
      <c r="IK56" s="2520"/>
      <c r="IL56" s="2520"/>
      <c r="IM56" s="2520"/>
      <c r="IN56" s="2520"/>
      <c r="IO56" s="2520"/>
      <c r="IP56" s="2520"/>
      <c r="IQ56" s="2520"/>
      <c r="IR56" s="2520"/>
      <c r="IS56" s="2520"/>
      <c r="IT56" s="2520"/>
      <c r="IU56" s="2520"/>
      <c r="IV56" s="2520"/>
      <c r="IW56" s="2520"/>
      <c r="IX56" s="2520"/>
      <c r="IY56" s="2519"/>
      <c r="IZ56" s="2520"/>
      <c r="JA56" s="2520"/>
      <c r="JB56" s="2520"/>
      <c r="JC56" s="2520"/>
      <c r="JD56" s="2520"/>
      <c r="JE56" s="2520"/>
      <c r="JF56" s="2519"/>
      <c r="JG56" s="2520"/>
      <c r="JH56" s="2520"/>
      <c r="JI56" s="2520"/>
      <c r="JJ56" s="2520"/>
      <c r="JK56" s="2520"/>
      <c r="JL56" s="2520"/>
      <c r="JM56" s="2520"/>
      <c r="JN56" s="2520"/>
      <c r="JO56" s="2520"/>
      <c r="JP56" s="2520"/>
      <c r="JQ56" s="2521"/>
      <c r="JR56" s="351"/>
      <c r="JS56" s="1400"/>
    </row>
    <row r="57" spans="1:279" x14ac:dyDescent="0.25">
      <c r="A57" s="1367">
        <v>8</v>
      </c>
      <c r="B57" s="1411" t="str">
        <f t="shared" si="6"/>
        <v/>
      </c>
      <c r="C57" s="1359" t="s">
        <v>2495</v>
      </c>
      <c r="D57" s="1360" t="s">
        <v>2496</v>
      </c>
      <c r="E57" s="2519"/>
      <c r="F57" s="2519"/>
      <c r="G57" s="2519"/>
      <c r="H57" s="2519"/>
      <c r="I57" s="2519"/>
      <c r="J57" s="2519"/>
      <c r="K57" s="2519"/>
      <c r="L57" s="2519"/>
      <c r="M57" s="2519"/>
      <c r="N57" s="2519"/>
      <c r="O57" s="2519"/>
      <c r="P57" s="2519"/>
      <c r="Q57" s="2519"/>
      <c r="R57" s="2519"/>
      <c r="S57" s="2519"/>
      <c r="T57" s="2519"/>
      <c r="U57" s="2519"/>
      <c r="V57" s="2519"/>
      <c r="W57" s="2519"/>
      <c r="X57" s="2519"/>
      <c r="Y57" s="2519"/>
      <c r="Z57" s="2519"/>
      <c r="AA57" s="2519"/>
      <c r="AB57" s="2519"/>
      <c r="AC57" s="2519"/>
      <c r="AD57" s="2519"/>
      <c r="AE57" s="2519"/>
      <c r="AF57" s="2519"/>
      <c r="AG57" s="2519"/>
      <c r="AH57" s="2519"/>
      <c r="AI57" s="2519"/>
      <c r="AJ57" s="2519"/>
      <c r="AK57" s="2519"/>
      <c r="AL57" s="2519"/>
      <c r="AM57" s="2519"/>
      <c r="AN57" s="2519"/>
      <c r="AO57" s="2519"/>
      <c r="AP57" s="2519"/>
      <c r="AQ57" s="2519"/>
      <c r="AR57" s="2519"/>
      <c r="AS57" s="2519"/>
      <c r="AT57" s="2519"/>
      <c r="AU57" s="2519"/>
      <c r="AV57" s="2519"/>
      <c r="AW57" s="2519"/>
      <c r="AX57" s="2519"/>
      <c r="AY57" s="2519"/>
      <c r="AZ57" s="2519"/>
      <c r="BA57" s="2519"/>
      <c r="BB57" s="2519"/>
      <c r="BC57" s="2519"/>
      <c r="BD57" s="2519"/>
      <c r="BE57" s="2519"/>
      <c r="BF57" s="2519"/>
      <c r="BG57" s="2519"/>
      <c r="BH57" s="2519"/>
      <c r="BI57" s="2519"/>
      <c r="BJ57" s="2519"/>
      <c r="BK57" s="2519"/>
      <c r="BL57" s="2519"/>
      <c r="BM57" s="2519"/>
      <c r="BN57" s="2519"/>
      <c r="BO57" s="2519"/>
      <c r="BP57" s="2519"/>
      <c r="BQ57" s="2519"/>
      <c r="BR57" s="2519"/>
      <c r="BS57" s="2519"/>
      <c r="BT57" s="2519"/>
      <c r="BU57" s="2519"/>
      <c r="BV57" s="2519"/>
      <c r="BW57" s="2519"/>
      <c r="BX57" s="2519"/>
      <c r="BY57" s="2519"/>
      <c r="BZ57" s="2519"/>
      <c r="CA57" s="2519"/>
      <c r="CB57" s="2519"/>
      <c r="CC57" s="2519"/>
      <c r="CD57" s="2520"/>
      <c r="CE57" s="2520"/>
      <c r="CF57" s="2520"/>
      <c r="CG57" s="2520"/>
      <c r="CH57" s="2520"/>
      <c r="CI57" s="2519"/>
      <c r="CJ57" s="2520"/>
      <c r="CK57" s="2520"/>
      <c r="CL57" s="2520"/>
      <c r="CM57" s="2520"/>
      <c r="CN57" s="2520"/>
      <c r="CO57" s="2520"/>
      <c r="CP57" s="2520"/>
      <c r="CQ57" s="2520"/>
      <c r="CR57" s="2519"/>
      <c r="CS57" s="2519"/>
      <c r="CT57" s="2520"/>
      <c r="CU57" s="2520"/>
      <c r="CV57" s="2520"/>
      <c r="CW57" s="2519"/>
      <c r="CX57" s="2520"/>
      <c r="CY57" s="2520"/>
      <c r="CZ57" s="2520"/>
      <c r="DA57" s="2519"/>
      <c r="DB57" s="2520"/>
      <c r="DC57" s="2519"/>
      <c r="DD57" s="2520"/>
      <c r="DE57" s="2520"/>
      <c r="DF57" s="2520"/>
      <c r="DG57" s="2520"/>
      <c r="DH57" s="2519"/>
      <c r="DI57" s="2519"/>
      <c r="DJ57" s="2519"/>
      <c r="DK57" s="2520"/>
      <c r="DL57" s="2520"/>
      <c r="DM57" s="2520"/>
      <c r="DN57" s="2520"/>
      <c r="DO57" s="2520"/>
      <c r="DP57" s="2520"/>
      <c r="DQ57" s="2520"/>
      <c r="DR57" s="2520"/>
      <c r="DS57" s="2520"/>
      <c r="DT57" s="2520"/>
      <c r="DU57" s="2520"/>
      <c r="DV57" s="2520"/>
      <c r="DW57" s="2520"/>
      <c r="DX57" s="2520"/>
      <c r="DY57" s="2520"/>
      <c r="DZ57" s="2517">
        <v>10</v>
      </c>
      <c r="EA57" s="2520"/>
      <c r="EB57" s="2520"/>
      <c r="EC57" s="2520"/>
      <c r="ED57" s="2520"/>
      <c r="EE57" s="2520"/>
      <c r="EF57" s="2520"/>
      <c r="EG57" s="2520"/>
      <c r="EH57" s="2520"/>
      <c r="EI57" s="2520"/>
      <c r="EJ57" s="2520"/>
      <c r="EK57" s="2520"/>
      <c r="EL57" s="2520"/>
      <c r="EM57" s="2520"/>
      <c r="EN57" s="2520"/>
      <c r="EO57" s="2520"/>
      <c r="EP57" s="2520"/>
      <c r="EQ57" s="2520"/>
      <c r="ER57" s="2520"/>
      <c r="ES57" s="2520"/>
      <c r="ET57" s="2520"/>
      <c r="EU57" s="2520"/>
      <c r="EV57" s="2520"/>
      <c r="EW57" s="2520"/>
      <c r="EX57" s="2520"/>
      <c r="EY57" s="2520"/>
      <c r="EZ57" s="2520"/>
      <c r="FA57" s="2520"/>
      <c r="FB57" s="2520"/>
      <c r="FC57" s="2520"/>
      <c r="FD57" s="2520"/>
      <c r="FE57" s="2520"/>
      <c r="FF57" s="2520"/>
      <c r="FG57" s="2520"/>
      <c r="FH57" s="2520"/>
      <c r="FI57" s="2520"/>
      <c r="FJ57" s="2520"/>
      <c r="FK57" s="2520"/>
      <c r="FL57" s="2520"/>
      <c r="FM57" s="2520"/>
      <c r="FN57" s="2520"/>
      <c r="FO57" s="2520"/>
      <c r="FP57" s="2520"/>
      <c r="FQ57" s="2520"/>
      <c r="FR57" s="2520"/>
      <c r="FS57" s="2520"/>
      <c r="FT57" s="2520"/>
      <c r="FU57" s="2520"/>
      <c r="FV57" s="2520"/>
      <c r="FW57" s="2520"/>
      <c r="FX57" s="2520"/>
      <c r="FY57" s="2520"/>
      <c r="FZ57" s="2520"/>
      <c r="GA57" s="2520"/>
      <c r="GB57" s="2520"/>
      <c r="GC57" s="2522">
        <v>51280</v>
      </c>
      <c r="GD57" s="2520"/>
      <c r="GE57" s="2520"/>
      <c r="GF57" s="2520"/>
      <c r="GG57" s="2520"/>
      <c r="GH57" s="2520"/>
      <c r="GI57" s="2520"/>
      <c r="GJ57" s="2520"/>
      <c r="GK57" s="2520"/>
      <c r="GL57" s="2519"/>
      <c r="GM57" s="2519"/>
      <c r="GN57" s="2520"/>
      <c r="GO57" s="2520"/>
      <c r="GP57" s="2522">
        <v>25600</v>
      </c>
      <c r="GQ57" s="2520"/>
      <c r="GR57" s="2520"/>
      <c r="GS57" s="2519"/>
      <c r="GT57" s="2520"/>
      <c r="GU57" s="2520"/>
      <c r="GV57" s="2520"/>
      <c r="GW57" s="2520"/>
      <c r="GX57" s="2519"/>
      <c r="GY57" s="2520"/>
      <c r="GZ57" s="2520"/>
      <c r="HA57" s="2520"/>
      <c r="HB57" s="2520"/>
      <c r="HC57" s="2519"/>
      <c r="HD57" s="2520"/>
      <c r="HE57" s="2520"/>
      <c r="HF57" s="2520"/>
      <c r="HG57" s="2520"/>
      <c r="HH57" s="2520"/>
      <c r="HI57" s="2520"/>
      <c r="HJ57" s="2520"/>
      <c r="HK57" s="2520"/>
      <c r="HL57" s="2520"/>
      <c r="HM57" s="2520"/>
      <c r="HN57" s="2519"/>
      <c r="HO57" s="2520"/>
      <c r="HP57" s="2520"/>
      <c r="HQ57" s="2520"/>
      <c r="HR57" s="2520"/>
      <c r="HS57" s="2520"/>
      <c r="HT57" s="2520"/>
      <c r="HU57" s="2520"/>
      <c r="HV57" s="2520"/>
      <c r="HW57" s="2520"/>
      <c r="HX57" s="2520"/>
      <c r="HY57" s="2520"/>
      <c r="HZ57" s="2520"/>
      <c r="IA57" s="2520"/>
      <c r="IB57" s="2520"/>
      <c r="IC57" s="2520"/>
      <c r="ID57" s="2520"/>
      <c r="IE57" s="2520"/>
      <c r="IF57" s="2520"/>
      <c r="IG57" s="2520"/>
      <c r="IH57" s="2520"/>
      <c r="II57" s="2520"/>
      <c r="IJ57" s="2520"/>
      <c r="IK57" s="2520"/>
      <c r="IL57" s="2520"/>
      <c r="IM57" s="2520"/>
      <c r="IN57" s="2520"/>
      <c r="IO57" s="2520"/>
      <c r="IP57" s="2520"/>
      <c r="IQ57" s="2520"/>
      <c r="IR57" s="2520"/>
      <c r="IS57" s="2520"/>
      <c r="IT57" s="2520"/>
      <c r="IU57" s="2520"/>
      <c r="IV57" s="2520"/>
      <c r="IW57" s="2520"/>
      <c r="IX57" s="2520"/>
      <c r="IY57" s="2519"/>
      <c r="IZ57" s="2520"/>
      <c r="JA57" s="2520"/>
      <c r="JB57" s="2520"/>
      <c r="JC57" s="2520"/>
      <c r="JD57" s="2520"/>
      <c r="JE57" s="2520"/>
      <c r="JF57" s="2519"/>
      <c r="JG57" s="2520"/>
      <c r="JH57" s="2520"/>
      <c r="JI57" s="2520"/>
      <c r="JJ57" s="2520"/>
      <c r="JK57" s="2520"/>
      <c r="JL57" s="2520"/>
      <c r="JM57" s="2520"/>
      <c r="JN57" s="2520"/>
      <c r="JO57" s="2520"/>
      <c r="JP57" s="2520"/>
      <c r="JQ57" s="2521"/>
      <c r="JR57" s="351"/>
      <c r="JS57" s="1400"/>
    </row>
    <row r="58" spans="1:279" x14ac:dyDescent="0.25">
      <c r="A58" s="1367">
        <v>9</v>
      </c>
      <c r="B58" s="1411" t="str">
        <f t="shared" si="6"/>
        <v/>
      </c>
      <c r="C58" s="1359" t="s">
        <v>2497</v>
      </c>
      <c r="D58" s="1360" t="str">
        <f>"Maintenance payments (maximum "&amp;DOLLAR(SMP,0)&amp;")"</f>
        <v>Maintenance payments (maximum £4,360)</v>
      </c>
      <c r="E58" s="2519"/>
      <c r="F58" s="2519"/>
      <c r="G58" s="2519"/>
      <c r="H58" s="2519"/>
      <c r="I58" s="2519"/>
      <c r="J58" s="2519"/>
      <c r="K58" s="2519"/>
      <c r="L58" s="2519"/>
      <c r="M58" s="2519"/>
      <c r="N58" s="2519"/>
      <c r="O58" s="2519"/>
      <c r="P58" s="2519"/>
      <c r="Q58" s="2519"/>
      <c r="R58" s="2519"/>
      <c r="S58" s="2519"/>
      <c r="T58" s="2519"/>
      <c r="U58" s="2519"/>
      <c r="V58" s="2519"/>
      <c r="W58" s="2519"/>
      <c r="X58" s="2519"/>
      <c r="Y58" s="2519"/>
      <c r="Z58" s="2519"/>
      <c r="AA58" s="2519"/>
      <c r="AB58" s="2519"/>
      <c r="AC58" s="2519"/>
      <c r="AD58" s="2519"/>
      <c r="AE58" s="2519"/>
      <c r="AF58" s="2519"/>
      <c r="AG58" s="2519"/>
      <c r="AH58" s="2519"/>
      <c r="AI58" s="2519"/>
      <c r="AJ58" s="2519"/>
      <c r="AK58" s="2519"/>
      <c r="AL58" s="2519"/>
      <c r="AM58" s="2519"/>
      <c r="AN58" s="2519"/>
      <c r="AO58" s="2519"/>
      <c r="AP58" s="2519"/>
      <c r="AQ58" s="2507"/>
      <c r="AR58" s="2519"/>
      <c r="AS58" s="2519"/>
      <c r="AT58" s="2519"/>
      <c r="AU58" s="2519"/>
      <c r="AV58" s="2519"/>
      <c r="AW58" s="2519"/>
      <c r="AX58" s="2519"/>
      <c r="AY58" s="2519"/>
      <c r="AZ58" s="2519"/>
      <c r="BA58" s="2519"/>
      <c r="BB58" s="2519"/>
      <c r="BC58" s="2519"/>
      <c r="BD58" s="2519"/>
      <c r="BE58" s="2519"/>
      <c r="BF58" s="2519"/>
      <c r="BG58" s="2519"/>
      <c r="BH58" s="2519"/>
      <c r="BI58" s="2519"/>
      <c r="BJ58" s="2519"/>
      <c r="BK58" s="2519"/>
      <c r="BL58" s="2519"/>
      <c r="BM58" s="2519"/>
      <c r="BN58" s="2519"/>
      <c r="BO58" s="2519"/>
      <c r="BP58" s="2519"/>
      <c r="BQ58" s="2519"/>
      <c r="BR58" s="2519"/>
      <c r="BS58" s="2519"/>
      <c r="BT58" s="2519"/>
      <c r="BU58" s="2519"/>
      <c r="BV58" s="2519"/>
      <c r="BW58" s="2519"/>
      <c r="BX58" s="2519"/>
      <c r="BY58" s="2519"/>
      <c r="BZ58" s="2519"/>
      <c r="CA58" s="2519"/>
      <c r="CB58" s="2519"/>
      <c r="CC58" s="2519"/>
      <c r="CD58" s="2520"/>
      <c r="CE58" s="2520"/>
      <c r="CF58" s="2520"/>
      <c r="CG58" s="2520"/>
      <c r="CH58" s="2520"/>
      <c r="CI58" s="2519"/>
      <c r="CJ58" s="2520"/>
      <c r="CK58" s="2520"/>
      <c r="CL58" s="2520"/>
      <c r="CM58" s="2520"/>
      <c r="CN58" s="2520"/>
      <c r="CO58" s="2520"/>
      <c r="CP58" s="2520"/>
      <c r="CQ58" s="2520"/>
      <c r="CR58" s="2519"/>
      <c r="CS58" s="2519"/>
      <c r="CT58" s="2520"/>
      <c r="CU58" s="2520"/>
      <c r="CV58" s="2520"/>
      <c r="CW58" s="2519"/>
      <c r="CX58" s="2520"/>
      <c r="CY58" s="2520"/>
      <c r="CZ58" s="2520"/>
      <c r="DA58" s="2519"/>
      <c r="DB58" s="2520"/>
      <c r="DC58" s="2519"/>
      <c r="DD58" s="2520"/>
      <c r="DE58" s="2520"/>
      <c r="DF58" s="2520"/>
      <c r="DG58" s="2520"/>
      <c r="DH58" s="2519"/>
      <c r="DI58" s="2519"/>
      <c r="DJ58" s="2519"/>
      <c r="DK58" s="2520"/>
      <c r="DL58" s="2520"/>
      <c r="DM58" s="2520"/>
      <c r="DN58" s="2520"/>
      <c r="DO58" s="2520"/>
      <c r="DP58" s="2520"/>
      <c r="DQ58" s="2520"/>
      <c r="DR58" s="2520"/>
      <c r="DS58" s="2520"/>
      <c r="DT58" s="2520"/>
      <c r="DU58" s="2520"/>
      <c r="DV58" s="2520"/>
      <c r="DW58" s="2520"/>
      <c r="DX58" s="2520"/>
      <c r="DY58" s="2520"/>
      <c r="DZ58" s="2517">
        <v>10</v>
      </c>
      <c r="EA58" s="2520"/>
      <c r="EB58" s="2520"/>
      <c r="EC58" s="2520"/>
      <c r="ED58" s="2520"/>
      <c r="EE58" s="2520"/>
      <c r="EF58" s="2520"/>
      <c r="EG58" s="2520"/>
      <c r="EH58" s="2520"/>
      <c r="EI58" s="2520"/>
      <c r="EJ58" s="2520"/>
      <c r="EK58" s="2520"/>
      <c r="EL58" s="2520"/>
      <c r="EM58" s="2520"/>
      <c r="EN58" s="2520"/>
      <c r="EO58" s="2520"/>
      <c r="EP58" s="2520"/>
      <c r="EQ58" s="2520"/>
      <c r="ER58" s="2520"/>
      <c r="ES58" s="2520"/>
      <c r="ET58" s="2520"/>
      <c r="EU58" s="2520"/>
      <c r="EV58" s="2520"/>
      <c r="EW58" s="2520"/>
      <c r="EX58" s="2520"/>
      <c r="EY58" s="2520"/>
      <c r="EZ58" s="2520"/>
      <c r="FA58" s="2520"/>
      <c r="FB58" s="2520"/>
      <c r="FC58" s="2520"/>
      <c r="FD58" s="2520"/>
      <c r="FE58" s="2520"/>
      <c r="FF58" s="2520"/>
      <c r="FG58" s="2520"/>
      <c r="FH58" s="2520"/>
      <c r="FI58" s="2520"/>
      <c r="FJ58" s="2520"/>
      <c r="FK58" s="2520"/>
      <c r="FL58" s="2520"/>
      <c r="FM58" s="2520"/>
      <c r="FN58" s="2520"/>
      <c r="FO58" s="2520"/>
      <c r="FP58" s="2520"/>
      <c r="FQ58" s="2520"/>
      <c r="FR58" s="2520"/>
      <c r="FS58" s="2520"/>
      <c r="FT58" s="2520"/>
      <c r="FU58" s="2520"/>
      <c r="FV58" s="2520"/>
      <c r="FW58" s="2520"/>
      <c r="FX58" s="2520"/>
      <c r="FY58" s="2520"/>
      <c r="FZ58" s="2520"/>
      <c r="GA58" s="2520"/>
      <c r="GB58" s="2520"/>
      <c r="GC58" s="2520"/>
      <c r="GD58" s="2520"/>
      <c r="GE58" s="2520"/>
      <c r="GF58" s="2520"/>
      <c r="GG58" s="2520"/>
      <c r="GH58" s="2520"/>
      <c r="GI58" s="2520"/>
      <c r="GJ58" s="2520"/>
      <c r="GK58" s="2520"/>
      <c r="GL58" s="2519"/>
      <c r="GM58" s="2519"/>
      <c r="GN58" s="2520"/>
      <c r="GO58" s="2520"/>
      <c r="GP58" s="2520"/>
      <c r="GQ58" s="2520"/>
      <c r="GR58" s="2520"/>
      <c r="GS58" s="2519">
        <v>1820</v>
      </c>
      <c r="GT58" s="2520"/>
      <c r="GU58" s="2520"/>
      <c r="GV58" s="2520"/>
      <c r="GW58" s="2520"/>
      <c r="GX58" s="2519"/>
      <c r="GY58" s="2520"/>
      <c r="GZ58" s="2520"/>
      <c r="HA58" s="2520"/>
      <c r="HB58" s="2520"/>
      <c r="HC58" s="2519"/>
      <c r="HD58" s="2520"/>
      <c r="HE58" s="2520"/>
      <c r="HF58" s="2520"/>
      <c r="HG58" s="2520"/>
      <c r="HH58" s="2520"/>
      <c r="HI58" s="2520"/>
      <c r="HJ58" s="2520"/>
      <c r="HK58" s="2520"/>
      <c r="HL58" s="2520"/>
      <c r="HM58" s="2520"/>
      <c r="HN58" s="2519"/>
      <c r="HO58" s="2520"/>
      <c r="HP58" s="2520"/>
      <c r="HQ58" s="2520"/>
      <c r="HR58" s="2520"/>
      <c r="HS58" s="2520"/>
      <c r="HT58" s="2520"/>
      <c r="HU58" s="2520"/>
      <c r="HV58" s="2520"/>
      <c r="HW58" s="2520"/>
      <c r="HX58" s="2520"/>
      <c r="HY58" s="2520"/>
      <c r="HZ58" s="2520"/>
      <c r="IA58" s="2520"/>
      <c r="IB58" s="2520"/>
      <c r="IC58" s="2520"/>
      <c r="ID58" s="2520"/>
      <c r="IE58" s="2520"/>
      <c r="IF58" s="2520"/>
      <c r="IG58" s="2520"/>
      <c r="IH58" s="2520"/>
      <c r="II58" s="2520"/>
      <c r="IJ58" s="2520"/>
      <c r="IK58" s="2520"/>
      <c r="IL58" s="2520"/>
      <c r="IM58" s="2520"/>
      <c r="IN58" s="2520"/>
      <c r="IO58" s="2520"/>
      <c r="IP58" s="2520"/>
      <c r="IQ58" s="2520"/>
      <c r="IR58" s="2520"/>
      <c r="IS58" s="2520"/>
      <c r="IT58" s="2520"/>
      <c r="IU58" s="2520"/>
      <c r="IV58" s="2520"/>
      <c r="IW58" s="2520"/>
      <c r="IX58" s="2520"/>
      <c r="IY58" s="2519"/>
      <c r="IZ58" s="2520"/>
      <c r="JA58" s="2520"/>
      <c r="JB58" s="2520"/>
      <c r="JC58" s="2520"/>
      <c r="JD58" s="2520"/>
      <c r="JE58" s="2520"/>
      <c r="JF58" s="2519">
        <v>1820</v>
      </c>
      <c r="JG58" s="2520"/>
      <c r="JH58" s="2520"/>
      <c r="JI58" s="2520"/>
      <c r="JJ58" s="2520"/>
      <c r="JK58" s="2520"/>
      <c r="JL58" s="2520"/>
      <c r="JM58" s="2520"/>
      <c r="JN58" s="2520"/>
      <c r="JO58" s="2520"/>
      <c r="JP58" s="2520"/>
      <c r="JQ58" s="2521"/>
      <c r="JR58" s="351"/>
      <c r="JS58" s="1400" t="s">
        <v>2498</v>
      </c>
    </row>
    <row r="59" spans="1:279" x14ac:dyDescent="0.25">
      <c r="A59" s="1367">
        <v>10</v>
      </c>
      <c r="B59" s="1411" t="str">
        <f t="shared" si="6"/>
        <v/>
      </c>
      <c r="C59" s="1359" t="s">
        <v>2499</v>
      </c>
      <c r="D59" s="1360" t="s">
        <v>2500</v>
      </c>
      <c r="E59" s="2519"/>
      <c r="F59" s="2519"/>
      <c r="G59" s="2519"/>
      <c r="H59" s="2519"/>
      <c r="I59" s="2519"/>
      <c r="J59" s="2519"/>
      <c r="K59" s="2519"/>
      <c r="L59" s="2519"/>
      <c r="M59" s="2519"/>
      <c r="N59" s="2519"/>
      <c r="O59" s="2519"/>
      <c r="P59" s="2519"/>
      <c r="Q59" s="2519"/>
      <c r="R59" s="2519"/>
      <c r="S59" s="2519"/>
      <c r="T59" s="2519"/>
      <c r="U59" s="2519"/>
      <c r="V59" s="2519"/>
      <c r="W59" s="2519"/>
      <c r="X59" s="2519"/>
      <c r="Y59" s="2519"/>
      <c r="Z59" s="2519"/>
      <c r="AA59" s="2519"/>
      <c r="AB59" s="2519"/>
      <c r="AC59" s="2519"/>
      <c r="AD59" s="2519"/>
      <c r="AE59" s="2519"/>
      <c r="AF59" s="2519"/>
      <c r="AG59" s="2519"/>
      <c r="AH59" s="2519"/>
      <c r="AI59" s="2519"/>
      <c r="AJ59" s="2519"/>
      <c r="AK59" s="2519"/>
      <c r="AL59" s="2519"/>
      <c r="AM59" s="2519"/>
      <c r="AN59" s="2519"/>
      <c r="AO59" s="2519"/>
      <c r="AP59" s="2519"/>
      <c r="AQ59" s="2519"/>
      <c r="AR59" s="2519"/>
      <c r="AS59" s="2519"/>
      <c r="AT59" s="2519"/>
      <c r="AU59" s="2519"/>
      <c r="AV59" s="2519"/>
      <c r="AW59" s="2519"/>
      <c r="AX59" s="2519"/>
      <c r="AY59" s="2519"/>
      <c r="AZ59" s="2519"/>
      <c r="BA59" s="2519"/>
      <c r="BB59" s="2519"/>
      <c r="BC59" s="2519">
        <v>88</v>
      </c>
      <c r="BD59" s="2519"/>
      <c r="BE59" s="2519"/>
      <c r="BF59" s="2519"/>
      <c r="BG59" s="2519"/>
      <c r="BH59" s="2519"/>
      <c r="BI59" s="2519"/>
      <c r="BJ59" s="2519"/>
      <c r="BK59" s="2519"/>
      <c r="BL59" s="2519"/>
      <c r="BM59" s="2519"/>
      <c r="BN59" s="2519"/>
      <c r="BO59" s="2519"/>
      <c r="BP59" s="2519"/>
      <c r="BQ59" s="2519"/>
      <c r="BR59" s="2519"/>
      <c r="BS59" s="2519"/>
      <c r="BT59" s="2519"/>
      <c r="BU59" s="2519"/>
      <c r="BV59" s="2519"/>
      <c r="BW59" s="2519"/>
      <c r="BX59" s="2519"/>
      <c r="BY59" s="2519"/>
      <c r="BZ59" s="2519"/>
      <c r="CA59" s="2519"/>
      <c r="CB59" s="2519"/>
      <c r="CC59" s="2519"/>
      <c r="CD59" s="2520"/>
      <c r="CE59" s="2520"/>
      <c r="CF59" s="2520"/>
      <c r="CG59" s="2520"/>
      <c r="CH59" s="2520"/>
      <c r="CI59" s="2519"/>
      <c r="CJ59" s="2520"/>
      <c r="CK59" s="2520"/>
      <c r="CL59" s="2520"/>
      <c r="CM59" s="2520"/>
      <c r="CN59" s="2520"/>
      <c r="CO59" s="2520"/>
      <c r="CP59" s="2520"/>
      <c r="CQ59" s="2520"/>
      <c r="CR59" s="2519">
        <v>88</v>
      </c>
      <c r="CS59" s="2519">
        <v>88</v>
      </c>
      <c r="CT59" s="2520"/>
      <c r="CU59" s="2520"/>
      <c r="CV59" s="2520"/>
      <c r="CW59" s="2519"/>
      <c r="CX59" s="2520"/>
      <c r="CY59" s="2520"/>
      <c r="CZ59" s="2520"/>
      <c r="DA59" s="2519"/>
      <c r="DB59" s="2520"/>
      <c r="DC59" s="2519"/>
      <c r="DD59" s="2520"/>
      <c r="DE59" s="2520"/>
      <c r="DF59" s="2520"/>
      <c r="DG59" s="2520"/>
      <c r="DH59" s="2519"/>
      <c r="DI59" s="2519"/>
      <c r="DJ59" s="2519"/>
      <c r="DK59" s="2520"/>
      <c r="DL59" s="2520"/>
      <c r="DM59" s="2520"/>
      <c r="DN59" s="2520"/>
      <c r="DO59" s="2520"/>
      <c r="DP59" s="2520"/>
      <c r="DQ59" s="2520"/>
      <c r="DR59" s="2520"/>
      <c r="DS59" s="2520"/>
      <c r="DT59" s="2520"/>
      <c r="DU59" s="2520"/>
      <c r="DV59" s="2520"/>
      <c r="DW59" s="2520"/>
      <c r="DX59" s="2520"/>
      <c r="DY59" s="2520"/>
      <c r="DZ59" s="2517">
        <v>10</v>
      </c>
      <c r="EA59" s="2520"/>
      <c r="EB59" s="2520"/>
      <c r="EC59" s="2520"/>
      <c r="ED59" s="2520"/>
      <c r="EE59" s="2520"/>
      <c r="EF59" s="2520"/>
      <c r="EG59" s="2520"/>
      <c r="EH59" s="2520"/>
      <c r="EI59" s="2520"/>
      <c r="EJ59" s="2520"/>
      <c r="EK59" s="2520"/>
      <c r="EL59" s="2520"/>
      <c r="EM59" s="2520"/>
      <c r="EN59" s="2520"/>
      <c r="EO59" s="2520"/>
      <c r="EP59" s="2520"/>
      <c r="EQ59" s="2520"/>
      <c r="ER59" s="2520"/>
      <c r="ES59" s="2520"/>
      <c r="ET59" s="2520"/>
      <c r="EU59" s="2520"/>
      <c r="EV59" s="2520"/>
      <c r="EW59" s="2520"/>
      <c r="EX59" s="2520"/>
      <c r="EY59" s="2520"/>
      <c r="EZ59" s="2520"/>
      <c r="FA59" s="2520"/>
      <c r="FB59" s="2520"/>
      <c r="FC59" s="2520"/>
      <c r="FD59" s="2520"/>
      <c r="FE59" s="2520"/>
      <c r="FF59" s="2520"/>
      <c r="FG59" s="2520"/>
      <c r="FH59" s="2520"/>
      <c r="FI59" s="2520"/>
      <c r="FJ59" s="2520"/>
      <c r="FK59" s="2520"/>
      <c r="FL59" s="2520"/>
      <c r="FM59" s="2520"/>
      <c r="FN59" s="2520"/>
      <c r="FO59" s="2520"/>
      <c r="FP59" s="2520"/>
      <c r="FQ59" s="2520"/>
      <c r="FR59" s="2520"/>
      <c r="FS59" s="2520"/>
      <c r="FT59" s="2520"/>
      <c r="FU59" s="2520"/>
      <c r="FV59" s="2520"/>
      <c r="FW59" s="2520"/>
      <c r="FX59" s="2520"/>
      <c r="FY59" s="2520"/>
      <c r="FZ59" s="2520"/>
      <c r="GA59" s="2520"/>
      <c r="GB59" s="2520"/>
      <c r="GC59" s="2520"/>
      <c r="GD59" s="2520"/>
      <c r="GE59" s="2520"/>
      <c r="GF59" s="2520"/>
      <c r="GG59" s="2520"/>
      <c r="GH59" s="2520"/>
      <c r="GI59" s="2520"/>
      <c r="GJ59" s="2520"/>
      <c r="GK59" s="2520"/>
      <c r="GL59" s="2519"/>
      <c r="GM59" s="2519"/>
      <c r="GN59" s="2520"/>
      <c r="GO59" s="2520"/>
      <c r="GP59" s="2520"/>
      <c r="GQ59" s="2520"/>
      <c r="GR59" s="2520"/>
      <c r="GS59" s="2519"/>
      <c r="GT59" s="2520"/>
      <c r="GU59" s="2520"/>
      <c r="GV59" s="2520"/>
      <c r="GW59" s="2520"/>
      <c r="GX59" s="2519"/>
      <c r="GY59" s="2520"/>
      <c r="GZ59" s="2520"/>
      <c r="HA59" s="2520"/>
      <c r="HB59" s="2520"/>
      <c r="HC59" s="2519"/>
      <c r="HD59" s="2520"/>
      <c r="HE59" s="2520"/>
      <c r="HF59" s="2520"/>
      <c r="HG59" s="2520"/>
      <c r="HH59" s="2520"/>
      <c r="HI59" s="2520"/>
      <c r="HJ59" s="2520"/>
      <c r="HK59" s="2520"/>
      <c r="HL59" s="2520"/>
      <c r="HM59" s="2520"/>
      <c r="HN59" s="2519"/>
      <c r="HO59" s="2520"/>
      <c r="HP59" s="2520"/>
      <c r="HQ59" s="2520"/>
      <c r="HR59" s="2520"/>
      <c r="HS59" s="2520"/>
      <c r="HT59" s="2520"/>
      <c r="HU59" s="2520"/>
      <c r="HV59" s="2520"/>
      <c r="HW59" s="2520"/>
      <c r="HX59" s="2520"/>
      <c r="HY59" s="2520"/>
      <c r="HZ59" s="2520"/>
      <c r="IA59" s="2520"/>
      <c r="IB59" s="2520"/>
      <c r="IC59" s="2520"/>
      <c r="ID59" s="2520"/>
      <c r="IE59" s="2520"/>
      <c r="IF59" s="2520"/>
      <c r="IG59" s="2520"/>
      <c r="IH59" s="2520"/>
      <c r="II59" s="2520"/>
      <c r="IJ59" s="2520"/>
      <c r="IK59" s="2520"/>
      <c r="IL59" s="2520"/>
      <c r="IM59" s="2520"/>
      <c r="IN59" s="2520"/>
      <c r="IO59" s="2520"/>
      <c r="IP59" s="2520"/>
      <c r="IQ59" s="2520"/>
      <c r="IR59" s="2520"/>
      <c r="IS59" s="2520"/>
      <c r="IT59" s="2520"/>
      <c r="IU59" s="2520"/>
      <c r="IV59" s="2520"/>
      <c r="IW59" s="2520"/>
      <c r="IX59" s="2520"/>
      <c r="IY59" s="2519"/>
      <c r="IZ59" s="2520"/>
      <c r="JA59" s="2520"/>
      <c r="JB59" s="2520"/>
      <c r="JC59" s="2520"/>
      <c r="JD59" s="2520"/>
      <c r="JE59" s="2520"/>
      <c r="JF59" s="2519"/>
      <c r="JG59" s="2520"/>
      <c r="JH59" s="2520"/>
      <c r="JI59" s="2520"/>
      <c r="JJ59" s="2520"/>
      <c r="JK59" s="2520"/>
      <c r="JL59" s="2520"/>
      <c r="JM59" s="2520"/>
      <c r="JN59" s="2520"/>
      <c r="JO59" s="2520"/>
      <c r="JP59" s="2520"/>
      <c r="JQ59" s="2521"/>
      <c r="JR59" s="351"/>
      <c r="JS59" s="1400" t="s">
        <v>2501</v>
      </c>
    </row>
    <row r="60" spans="1:279" x14ac:dyDescent="0.25">
      <c r="A60" s="1367">
        <v>11</v>
      </c>
      <c r="B60" s="1411" t="str">
        <f t="shared" si="6"/>
        <v/>
      </c>
      <c r="C60" s="1359" t="s">
        <v>2502</v>
      </c>
      <c r="D60" s="1360" t="s">
        <v>2503</v>
      </c>
      <c r="E60" s="2519"/>
      <c r="F60" s="2519"/>
      <c r="G60" s="2519"/>
      <c r="H60" s="2519"/>
      <c r="I60" s="2519"/>
      <c r="J60" s="2519"/>
      <c r="K60" s="2519"/>
      <c r="L60" s="2519"/>
      <c r="M60" s="2519"/>
      <c r="N60" s="2519"/>
      <c r="O60" s="2519"/>
      <c r="P60" s="2519"/>
      <c r="Q60" s="2519"/>
      <c r="R60" s="2519"/>
      <c r="S60" s="2519"/>
      <c r="T60" s="2519"/>
      <c r="U60" s="2519"/>
      <c r="V60" s="2519"/>
      <c r="W60" s="2519"/>
      <c r="X60" s="2519"/>
      <c r="Y60" s="2519"/>
      <c r="Z60" s="2519"/>
      <c r="AA60" s="2519"/>
      <c r="AB60" s="2519"/>
      <c r="AC60" s="2519"/>
      <c r="AD60" s="2519"/>
      <c r="AE60" s="2519"/>
      <c r="AF60" s="2519"/>
      <c r="AG60" s="2519"/>
      <c r="AH60" s="2519"/>
      <c r="AI60" s="2519"/>
      <c r="AJ60" s="2519"/>
      <c r="AK60" s="2519"/>
      <c r="AL60" s="2519"/>
      <c r="AM60" s="2519"/>
      <c r="AN60" s="2519"/>
      <c r="AO60" s="2519"/>
      <c r="AP60" s="2519"/>
      <c r="AQ60" s="2519"/>
      <c r="AR60" s="2519"/>
      <c r="AS60" s="2519"/>
      <c r="AT60" s="2519"/>
      <c r="AU60" s="2519"/>
      <c r="AV60" s="2519"/>
      <c r="AW60" s="2519"/>
      <c r="AX60" s="2519"/>
      <c r="AY60" s="2519"/>
      <c r="AZ60" s="2519"/>
      <c r="BA60" s="2519"/>
      <c r="BB60" s="2519"/>
      <c r="BC60" s="2519"/>
      <c r="BD60" s="2519"/>
      <c r="BE60" s="2519"/>
      <c r="BF60" s="2519"/>
      <c r="BG60" s="2519"/>
      <c r="BH60" s="2519"/>
      <c r="BI60" s="2519"/>
      <c r="BJ60" s="2519"/>
      <c r="BK60" s="2519"/>
      <c r="BL60" s="2519"/>
      <c r="BM60" s="2519"/>
      <c r="BN60" s="2519"/>
      <c r="BO60" s="2519">
        <v>12000</v>
      </c>
      <c r="BP60" s="2519"/>
      <c r="BQ60" s="2519"/>
      <c r="BR60" s="2519"/>
      <c r="BS60" s="2519"/>
      <c r="BT60" s="2519"/>
      <c r="BU60" s="2519"/>
      <c r="BV60" s="2519"/>
      <c r="BW60" s="2519"/>
      <c r="BX60" s="2519"/>
      <c r="BY60" s="2519"/>
      <c r="BZ60" s="2519"/>
      <c r="CA60" s="2519"/>
      <c r="CB60" s="2519"/>
      <c r="CC60" s="2519"/>
      <c r="CD60" s="2520"/>
      <c r="CE60" s="2520"/>
      <c r="CF60" s="2520"/>
      <c r="CG60" s="2520"/>
      <c r="CH60" s="2520"/>
      <c r="CI60" s="2519"/>
      <c r="CJ60" s="2520"/>
      <c r="CK60" s="2520"/>
      <c r="CL60" s="2520"/>
      <c r="CM60" s="2520"/>
      <c r="CN60" s="2520"/>
      <c r="CO60" s="2520"/>
      <c r="CP60" s="2520"/>
      <c r="CQ60" s="2520"/>
      <c r="CR60" s="2519"/>
      <c r="CS60" s="2519"/>
      <c r="CT60" s="2520"/>
      <c r="CU60" s="2520"/>
      <c r="CV60" s="2520"/>
      <c r="CW60" s="2519"/>
      <c r="CX60" s="2520"/>
      <c r="CY60" s="2520"/>
      <c r="CZ60" s="2520"/>
      <c r="DA60" s="2519"/>
      <c r="DB60" s="2520"/>
      <c r="DC60" s="2519"/>
      <c r="DD60" s="2520"/>
      <c r="DE60" s="2520"/>
      <c r="DF60" s="2520"/>
      <c r="DG60" s="2520"/>
      <c r="DH60" s="2519"/>
      <c r="DI60" s="2519"/>
      <c r="DJ60" s="2519"/>
      <c r="DK60" s="2520"/>
      <c r="DL60" s="2520"/>
      <c r="DM60" s="2520"/>
      <c r="DN60" s="2520"/>
      <c r="DO60" s="2520"/>
      <c r="DP60" s="2520"/>
      <c r="DQ60" s="2520"/>
      <c r="DR60" s="2520"/>
      <c r="DS60" s="2520"/>
      <c r="DT60" s="2520"/>
      <c r="DU60" s="2520"/>
      <c r="DV60" s="2520"/>
      <c r="DW60" s="2520"/>
      <c r="DX60" s="2520"/>
      <c r="DY60" s="2520"/>
      <c r="DZ60" s="2517">
        <v>10</v>
      </c>
      <c r="EA60" s="2520"/>
      <c r="EB60" s="2520"/>
      <c r="EC60" s="2520"/>
      <c r="ED60" s="2520"/>
      <c r="EE60" s="2520"/>
      <c r="EF60" s="2520"/>
      <c r="EG60" s="2520"/>
      <c r="EH60" s="2520"/>
      <c r="EI60" s="2520"/>
      <c r="EJ60" s="2520"/>
      <c r="EK60" s="2520"/>
      <c r="EL60" s="2520"/>
      <c r="EM60" s="2520"/>
      <c r="EN60" s="2520"/>
      <c r="EO60" s="2520"/>
      <c r="EP60" s="2520"/>
      <c r="EQ60" s="2520"/>
      <c r="ER60" s="2520"/>
      <c r="ES60" s="2520"/>
      <c r="ET60" s="2520"/>
      <c r="EU60" s="2520"/>
      <c r="EV60" s="2520"/>
      <c r="EW60" s="2520"/>
      <c r="EX60" s="2520"/>
      <c r="EY60" s="2520"/>
      <c r="EZ60" s="2520"/>
      <c r="FA60" s="2520"/>
      <c r="FB60" s="2520"/>
      <c r="FC60" s="2520"/>
      <c r="FD60" s="2520"/>
      <c r="FE60" s="2520"/>
      <c r="FF60" s="2520"/>
      <c r="FG60" s="2520"/>
      <c r="FH60" s="2520"/>
      <c r="FI60" s="2520"/>
      <c r="FJ60" s="2520"/>
      <c r="FK60" s="2520"/>
      <c r="FL60" s="2520"/>
      <c r="FM60" s="2520"/>
      <c r="FN60" s="2520"/>
      <c r="FO60" s="2520"/>
      <c r="FP60" s="2520"/>
      <c r="FQ60" s="2520"/>
      <c r="FR60" s="2520"/>
      <c r="FS60" s="2520"/>
      <c r="FT60" s="2520"/>
      <c r="FU60" s="2520"/>
      <c r="FV60" s="2520"/>
      <c r="FW60" s="2520"/>
      <c r="FX60" s="2520"/>
      <c r="FY60" s="2520"/>
      <c r="FZ60" s="2520"/>
      <c r="GA60" s="2520"/>
      <c r="GB60" s="2520"/>
      <c r="GC60" s="2520"/>
      <c r="GD60" s="2520"/>
      <c r="GE60" s="2520"/>
      <c r="GF60" s="2520"/>
      <c r="GG60" s="2520"/>
      <c r="GH60" s="2520"/>
      <c r="GI60" s="2520"/>
      <c r="GJ60" s="2520"/>
      <c r="GK60" s="2520"/>
      <c r="GL60" s="2519">
        <v>20000</v>
      </c>
      <c r="GM60" s="2519">
        <v>12000</v>
      </c>
      <c r="GN60" s="2520"/>
      <c r="GO60" s="2520"/>
      <c r="GP60" s="2520"/>
      <c r="GQ60" s="2520"/>
      <c r="GR60" s="2520"/>
      <c r="GS60" s="2519"/>
      <c r="GT60" s="2520"/>
      <c r="GU60" s="2520"/>
      <c r="GV60" s="2520"/>
      <c r="GW60" s="2520"/>
      <c r="GX60" s="2519"/>
      <c r="GY60" s="2520"/>
      <c r="GZ60" s="2520"/>
      <c r="HA60" s="2520"/>
      <c r="HB60" s="2520"/>
      <c r="HC60" s="2519"/>
      <c r="HD60" s="2520"/>
      <c r="HE60" s="2520"/>
      <c r="HF60" s="2520"/>
      <c r="HG60" s="2520"/>
      <c r="HH60" s="2520"/>
      <c r="HI60" s="2520"/>
      <c r="HJ60" s="2520"/>
      <c r="HK60" s="2520"/>
      <c r="HL60" s="2520"/>
      <c r="HM60" s="2520"/>
      <c r="HN60" s="2519"/>
      <c r="HO60" s="2520"/>
      <c r="HP60" s="2520"/>
      <c r="HQ60" s="2520"/>
      <c r="HR60" s="2520"/>
      <c r="HS60" s="2520"/>
      <c r="HT60" s="2520"/>
      <c r="HU60" s="2520"/>
      <c r="HV60" s="2520"/>
      <c r="HW60" s="2520"/>
      <c r="HX60" s="2520"/>
      <c r="HY60" s="2520"/>
      <c r="HZ60" s="2520"/>
      <c r="IA60" s="2520"/>
      <c r="IB60" s="2520"/>
      <c r="IC60" s="2520"/>
      <c r="ID60" s="2520"/>
      <c r="IE60" s="2520"/>
      <c r="IF60" s="2520"/>
      <c r="IG60" s="2520"/>
      <c r="IH60" s="2520"/>
      <c r="II60" s="2520"/>
      <c r="IJ60" s="2520"/>
      <c r="IK60" s="2520"/>
      <c r="IL60" s="2520"/>
      <c r="IM60" s="2520"/>
      <c r="IN60" s="2520"/>
      <c r="IO60" s="2520"/>
      <c r="IP60" s="2520"/>
      <c r="IQ60" s="2520"/>
      <c r="IR60" s="2520"/>
      <c r="IS60" s="2520"/>
      <c r="IT60" s="2520"/>
      <c r="IU60" s="2520"/>
      <c r="IV60" s="2520"/>
      <c r="IW60" s="2520"/>
      <c r="IX60" s="2520"/>
      <c r="IY60" s="2519"/>
      <c r="IZ60" s="2520"/>
      <c r="JA60" s="2520"/>
      <c r="JB60" s="2520"/>
      <c r="JC60" s="2520"/>
      <c r="JD60" s="2520"/>
      <c r="JE60" s="2520"/>
      <c r="JF60" s="2519"/>
      <c r="JG60" s="2520"/>
      <c r="JH60" s="2520"/>
      <c r="JI60" s="2520"/>
      <c r="JJ60" s="2520"/>
      <c r="JK60" s="2520"/>
      <c r="JL60" s="2520"/>
      <c r="JM60" s="2520"/>
      <c r="JN60" s="2520"/>
      <c r="JO60" s="2520"/>
      <c r="JP60" s="2520"/>
      <c r="JQ60" s="2521"/>
      <c r="JR60" s="351"/>
      <c r="JS60" s="1400"/>
    </row>
    <row r="61" spans="1:279" x14ac:dyDescent="0.25">
      <c r="A61" s="1367">
        <v>12</v>
      </c>
      <c r="B61" s="1411" t="str">
        <f t="shared" si="6"/>
        <v/>
      </c>
      <c r="C61" s="1359" t="s">
        <v>2504</v>
      </c>
      <c r="D61" s="1360" t="s">
        <v>2505</v>
      </c>
      <c r="E61" s="2519"/>
      <c r="F61" s="2519"/>
      <c r="G61" s="2519"/>
      <c r="H61" s="2519"/>
      <c r="I61" s="2519"/>
      <c r="J61" s="2519"/>
      <c r="K61" s="2519"/>
      <c r="L61" s="2519"/>
      <c r="M61" s="2519"/>
      <c r="N61" s="2519"/>
      <c r="O61" s="2519"/>
      <c r="P61" s="2519"/>
      <c r="Q61" s="2519"/>
      <c r="R61" s="2519"/>
      <c r="S61" s="2519"/>
      <c r="T61" s="2519"/>
      <c r="U61" s="2519"/>
      <c r="V61" s="2519"/>
      <c r="W61" s="2519"/>
      <c r="X61" s="2519"/>
      <c r="Y61" s="2519"/>
      <c r="Z61" s="2519"/>
      <c r="AA61" s="2519"/>
      <c r="AB61" s="2519"/>
      <c r="AC61" s="2519"/>
      <c r="AD61" s="2519"/>
      <c r="AE61" s="2519"/>
      <c r="AF61" s="2519"/>
      <c r="AG61" s="2519"/>
      <c r="AH61" s="2519"/>
      <c r="AI61" s="2519"/>
      <c r="AJ61" s="2519"/>
      <c r="AK61" s="2519"/>
      <c r="AL61" s="2519"/>
      <c r="AM61" s="2519"/>
      <c r="AN61" s="2519"/>
      <c r="AO61" s="2519"/>
      <c r="AP61" s="2519"/>
      <c r="AQ61" s="2519"/>
      <c r="AR61" s="2519"/>
      <c r="AS61" s="2519"/>
      <c r="AT61" s="2519"/>
      <c r="AU61" s="2519"/>
      <c r="AV61" s="2519"/>
      <c r="AW61" s="2519"/>
      <c r="AX61" s="2519"/>
      <c r="AY61" s="2519"/>
      <c r="AZ61" s="2519"/>
      <c r="BA61" s="2519"/>
      <c r="BB61" s="2519"/>
      <c r="BC61" s="2519"/>
      <c r="BD61" s="2519"/>
      <c r="BE61" s="2519"/>
      <c r="BF61" s="2519"/>
      <c r="BG61" s="2519"/>
      <c r="BH61" s="2519"/>
      <c r="BI61" s="2519"/>
      <c r="BJ61" s="2519"/>
      <c r="BK61" s="2519"/>
      <c r="BL61" s="2519"/>
      <c r="BM61" s="2519"/>
      <c r="BN61" s="2519"/>
      <c r="BO61" s="2519"/>
      <c r="BP61" s="2519"/>
      <c r="BQ61" s="2519"/>
      <c r="BR61" s="2519"/>
      <c r="BS61" s="2519"/>
      <c r="BT61" s="2519"/>
      <c r="BU61" s="2519"/>
      <c r="BV61" s="2519"/>
      <c r="BW61" s="2519"/>
      <c r="BX61" s="2519"/>
      <c r="BY61" s="2519"/>
      <c r="BZ61" s="2519"/>
      <c r="CA61" s="2519"/>
      <c r="CB61" s="2519"/>
      <c r="CC61" s="2519"/>
      <c r="CD61" s="2520"/>
      <c r="CE61" s="2520"/>
      <c r="CF61" s="2520"/>
      <c r="CG61" s="2520"/>
      <c r="CH61" s="2520"/>
      <c r="CI61" s="2519"/>
      <c r="CJ61" s="2520"/>
      <c r="CK61" s="2520"/>
      <c r="CL61" s="2520"/>
      <c r="CM61" s="2520"/>
      <c r="CN61" s="2520"/>
      <c r="CO61" s="2520"/>
      <c r="CP61" s="2520"/>
      <c r="CQ61" s="2520"/>
      <c r="CR61" s="2519"/>
      <c r="CS61" s="2519"/>
      <c r="CT61" s="2520"/>
      <c r="CU61" s="2520"/>
      <c r="CV61" s="2520"/>
      <c r="CW61" s="2519"/>
      <c r="CX61" s="2520"/>
      <c r="CY61" s="2520"/>
      <c r="CZ61" s="2520"/>
      <c r="DA61" s="2519"/>
      <c r="DB61" s="2520"/>
      <c r="DC61" s="1406">
        <v>900</v>
      </c>
      <c r="DD61" s="2520"/>
      <c r="DE61" s="2520"/>
      <c r="DF61" s="2520"/>
      <c r="DG61" s="2520"/>
      <c r="DH61" s="2519"/>
      <c r="DI61" s="2519"/>
      <c r="DJ61" s="2519">
        <v>1200</v>
      </c>
      <c r="DK61" s="2520"/>
      <c r="DL61" s="2520"/>
      <c r="DM61" s="2520"/>
      <c r="DN61" s="2520"/>
      <c r="DO61" s="2520"/>
      <c r="DP61" s="2520"/>
      <c r="DQ61" s="2520"/>
      <c r="DR61" s="2520"/>
      <c r="DS61" s="2520"/>
      <c r="DT61" s="2520"/>
      <c r="DU61" s="2520"/>
      <c r="DV61" s="2520"/>
      <c r="DW61" s="2520"/>
      <c r="DX61" s="2520"/>
      <c r="DY61" s="2520"/>
      <c r="DZ61" s="2517">
        <v>10</v>
      </c>
      <c r="EA61" s="2520"/>
      <c r="EB61" s="2520"/>
      <c r="EC61" s="2520"/>
      <c r="ED61" s="2520"/>
      <c r="EE61" s="2520"/>
      <c r="EF61" s="2520"/>
      <c r="EG61" s="2520"/>
      <c r="EH61" s="2520"/>
      <c r="EI61" s="2520"/>
      <c r="EJ61" s="2520"/>
      <c r="EK61" s="2520"/>
      <c r="EL61" s="2520"/>
      <c r="EM61" s="2520"/>
      <c r="EN61" s="2520"/>
      <c r="EO61" s="2520"/>
      <c r="EP61" s="2520"/>
      <c r="EQ61" s="2520"/>
      <c r="ER61" s="2520"/>
      <c r="ES61" s="2520"/>
      <c r="ET61" s="2520"/>
      <c r="EU61" s="2520"/>
      <c r="EV61" s="2520"/>
      <c r="EW61" s="2520"/>
      <c r="EX61" s="2520"/>
      <c r="EY61" s="2520"/>
      <c r="EZ61" s="2520"/>
      <c r="FA61" s="2520"/>
      <c r="FB61" s="2520"/>
      <c r="FC61" s="2520"/>
      <c r="FD61" s="2520"/>
      <c r="FE61" s="2520"/>
      <c r="FF61" s="2520"/>
      <c r="FG61" s="2520"/>
      <c r="FH61" s="2520"/>
      <c r="FI61" s="2520"/>
      <c r="FJ61" s="2520"/>
      <c r="FK61" s="2517">
        <v>5867</v>
      </c>
      <c r="FL61" s="2520"/>
      <c r="FM61" s="2520"/>
      <c r="FN61" s="2520"/>
      <c r="FO61" s="2520"/>
      <c r="FP61" s="2520"/>
      <c r="FQ61" s="2520"/>
      <c r="FR61" s="2520"/>
      <c r="FS61" s="2520"/>
      <c r="FT61" s="2520"/>
      <c r="FU61" s="2520"/>
      <c r="FV61" s="2520"/>
      <c r="FW61" s="2520"/>
      <c r="FX61" s="2520"/>
      <c r="FY61" s="2520"/>
      <c r="FZ61" s="2520"/>
      <c r="GA61" s="2520"/>
      <c r="GB61" s="2520"/>
      <c r="GC61" s="2520"/>
      <c r="GD61" s="2520"/>
      <c r="GE61" s="2520"/>
      <c r="GF61" s="2520"/>
      <c r="GG61" s="2520"/>
      <c r="GH61" s="2520"/>
      <c r="GI61" s="2520"/>
      <c r="GJ61" s="2520"/>
      <c r="GK61" s="2520"/>
      <c r="GL61" s="2519"/>
      <c r="GM61" s="2519"/>
      <c r="GN61" s="2520"/>
      <c r="GO61" s="2520"/>
      <c r="GP61" s="2520"/>
      <c r="GQ61" s="2520"/>
      <c r="GR61" s="2520"/>
      <c r="GS61" s="2519"/>
      <c r="GT61" s="2520"/>
      <c r="GU61" s="2520"/>
      <c r="GV61" s="2520"/>
      <c r="GW61" s="2520"/>
      <c r="GX61" s="2519"/>
      <c r="GY61" s="2520"/>
      <c r="GZ61" s="2520"/>
      <c r="HA61" s="2520"/>
      <c r="HB61" s="2520"/>
      <c r="HC61" s="2519"/>
      <c r="HD61" s="2520"/>
      <c r="HE61" s="2520"/>
      <c r="HF61" s="2520"/>
      <c r="HG61" s="2520"/>
      <c r="HH61" s="2520"/>
      <c r="HI61" s="2520"/>
      <c r="HJ61" s="2520"/>
      <c r="HK61" s="2520"/>
      <c r="HL61" s="2520"/>
      <c r="HM61" s="2520"/>
      <c r="HN61" s="2519">
        <v>16632</v>
      </c>
      <c r="HO61" s="2520"/>
      <c r="HP61" s="2520"/>
      <c r="HQ61" s="2520"/>
      <c r="HR61" s="2520"/>
      <c r="HS61" s="2520"/>
      <c r="HT61" s="2520"/>
      <c r="HU61" s="2520"/>
      <c r="HV61" s="2520"/>
      <c r="HW61" s="2520"/>
      <c r="HX61" s="2520"/>
      <c r="HY61" s="2520"/>
      <c r="HZ61" s="2520"/>
      <c r="IA61" s="2520"/>
      <c r="IB61" s="2520"/>
      <c r="IC61" s="2520"/>
      <c r="ID61" s="2520"/>
      <c r="IE61" s="2520"/>
      <c r="IF61" s="2520"/>
      <c r="IG61" s="2520"/>
      <c r="IH61" s="2520"/>
      <c r="II61" s="2520"/>
      <c r="IJ61" s="2520"/>
      <c r="IK61" s="2520"/>
      <c r="IL61" s="2520"/>
      <c r="IM61" s="2520"/>
      <c r="IN61" s="2520"/>
      <c r="IO61" s="2520"/>
      <c r="IP61" s="2520"/>
      <c r="IQ61" s="2520"/>
      <c r="IR61" s="2520"/>
      <c r="IS61" s="2520"/>
      <c r="IT61" s="2520"/>
      <c r="IU61" s="2520"/>
      <c r="IV61" s="2520"/>
      <c r="IW61" s="2520"/>
      <c r="IX61" s="2520"/>
      <c r="IY61" s="2519"/>
      <c r="IZ61" s="2520"/>
      <c r="JA61" s="2520"/>
      <c r="JB61" s="2520"/>
      <c r="JC61" s="2520"/>
      <c r="JD61" s="2520"/>
      <c r="JE61" s="2520"/>
      <c r="JF61" s="2519"/>
      <c r="JG61" s="2520"/>
      <c r="JH61" s="2520"/>
      <c r="JI61" s="2520"/>
      <c r="JJ61" s="2520"/>
      <c r="JK61" s="2520"/>
      <c r="JL61" s="2520"/>
      <c r="JM61" s="2520"/>
      <c r="JN61" s="2520"/>
      <c r="JO61" s="2520"/>
      <c r="JP61" s="2520"/>
      <c r="JQ61" s="2521"/>
      <c r="JR61" s="351"/>
      <c r="JS61" s="1400" t="s">
        <v>2506</v>
      </c>
    </row>
    <row r="62" spans="1:279" ht="12" thickBot="1" x14ac:dyDescent="0.3">
      <c r="A62" s="1367">
        <v>13</v>
      </c>
      <c r="B62" s="1411" t="str">
        <f>IF(AOR_IND&gt;1,IF(HLOOKUP(AOR_IND-1,AOR_RANGE,A62)="","",HLOOKUP(AOR_IND-1,AOR_RANGE,A62)),"")</f>
        <v/>
      </c>
      <c r="C62" s="705" t="s">
        <v>2507</v>
      </c>
      <c r="D62" s="698" t="s">
        <v>2508</v>
      </c>
      <c r="E62" s="715"/>
      <c r="F62" s="715"/>
      <c r="G62" s="715"/>
      <c r="H62" s="715"/>
      <c r="I62" s="715"/>
      <c r="J62" s="715"/>
      <c r="K62" s="715"/>
      <c r="L62" s="715"/>
      <c r="M62" s="715"/>
      <c r="N62" s="715"/>
      <c r="O62" s="715"/>
      <c r="P62" s="715"/>
      <c r="Q62" s="715"/>
      <c r="R62" s="715"/>
      <c r="S62" s="715"/>
      <c r="T62" s="715"/>
      <c r="U62" s="715"/>
      <c r="V62" s="715"/>
      <c r="W62" s="715"/>
      <c r="X62" s="715"/>
      <c r="Y62" s="715"/>
      <c r="Z62" s="715"/>
      <c r="AA62" s="715"/>
      <c r="AB62" s="715"/>
      <c r="AC62" s="715"/>
      <c r="AD62" s="715"/>
      <c r="AE62" s="715"/>
      <c r="AF62" s="715"/>
      <c r="AG62" s="715"/>
      <c r="AH62" s="715"/>
      <c r="AI62" s="715"/>
      <c r="AJ62" s="715"/>
      <c r="AK62" s="715"/>
      <c r="AL62" s="715"/>
      <c r="AM62" s="715"/>
      <c r="AN62" s="715"/>
      <c r="AO62" s="715"/>
      <c r="AP62" s="715"/>
      <c r="AQ62" s="715"/>
      <c r="AR62" s="715"/>
      <c r="AS62" s="715"/>
      <c r="AT62" s="715"/>
      <c r="AU62" s="715"/>
      <c r="AV62" s="715"/>
      <c r="AW62" s="715"/>
      <c r="AX62" s="715"/>
      <c r="AY62" s="715"/>
      <c r="AZ62" s="715"/>
      <c r="BA62" s="715"/>
      <c r="BB62" s="715"/>
      <c r="BC62" s="715"/>
      <c r="BD62" s="715"/>
      <c r="BE62" s="715"/>
      <c r="BF62" s="715"/>
      <c r="BG62" s="715"/>
      <c r="BH62" s="715"/>
      <c r="BI62" s="715"/>
      <c r="BJ62" s="715"/>
      <c r="BK62" s="715"/>
      <c r="BL62" s="715"/>
      <c r="BM62" s="715"/>
      <c r="BN62" s="715"/>
      <c r="BO62" s="715"/>
      <c r="BP62" s="715"/>
      <c r="BQ62" s="715"/>
      <c r="BR62" s="715"/>
      <c r="BS62" s="715"/>
      <c r="BT62" s="715"/>
      <c r="BU62" s="715"/>
      <c r="BV62" s="715"/>
      <c r="BW62" s="715"/>
      <c r="BX62" s="715"/>
      <c r="BY62" s="715"/>
      <c r="BZ62" s="715"/>
      <c r="CA62" s="715"/>
      <c r="CB62" s="715"/>
      <c r="CC62" s="715"/>
      <c r="CD62" s="716"/>
      <c r="CE62" s="716"/>
      <c r="CF62" s="716"/>
      <c r="CG62" s="716"/>
      <c r="CH62" s="716"/>
      <c r="CI62" s="715"/>
      <c r="CJ62" s="716"/>
      <c r="CK62" s="716"/>
      <c r="CL62" s="716"/>
      <c r="CM62" s="716"/>
      <c r="CN62" s="716"/>
      <c r="CO62" s="716"/>
      <c r="CP62" s="716"/>
      <c r="CQ62" s="716"/>
      <c r="CR62" s="715"/>
      <c r="CS62" s="715"/>
      <c r="CT62" s="716"/>
      <c r="CU62" s="716"/>
      <c r="CV62" s="2523">
        <v>1000</v>
      </c>
      <c r="CW62" s="715"/>
      <c r="CX62" s="716"/>
      <c r="CY62" s="716"/>
      <c r="CZ62" s="716"/>
      <c r="DA62" s="715"/>
      <c r="DB62" s="716"/>
      <c r="DC62" s="715"/>
      <c r="DD62" s="716"/>
      <c r="DE62" s="716"/>
      <c r="DF62" s="716"/>
      <c r="DG62" s="716"/>
      <c r="DH62" s="715"/>
      <c r="DI62" s="715"/>
      <c r="DJ62" s="715"/>
      <c r="DK62" s="716"/>
      <c r="DL62" s="716"/>
      <c r="DM62" s="716"/>
      <c r="DN62" s="716"/>
      <c r="DO62" s="716"/>
      <c r="DP62" s="716"/>
      <c r="DQ62" s="716"/>
      <c r="DR62" s="716"/>
      <c r="DS62" s="716"/>
      <c r="DT62" s="716"/>
      <c r="DU62" s="716"/>
      <c r="DV62" s="716"/>
      <c r="DW62" s="716"/>
      <c r="DX62" s="716"/>
      <c r="DY62" s="716"/>
      <c r="DZ62" s="1007">
        <v>10</v>
      </c>
      <c r="EA62" s="716"/>
      <c r="EB62" s="716"/>
      <c r="EC62" s="716"/>
      <c r="ED62" s="716"/>
      <c r="EE62" s="716"/>
      <c r="EF62" s="716"/>
      <c r="EG62" s="716"/>
      <c r="EH62" s="716"/>
      <c r="EI62" s="716"/>
      <c r="EJ62" s="716"/>
      <c r="EK62" s="716"/>
      <c r="EL62" s="716"/>
      <c r="EM62" s="716"/>
      <c r="EN62" s="716"/>
      <c r="EO62" s="716"/>
      <c r="EP62" s="716"/>
      <c r="EQ62" s="716"/>
      <c r="ER62" s="716"/>
      <c r="ES62" s="716"/>
      <c r="ET62" s="716"/>
      <c r="EU62" s="716"/>
      <c r="EV62" s="716"/>
      <c r="EW62" s="716"/>
      <c r="EX62" s="716"/>
      <c r="EY62" s="716"/>
      <c r="EZ62" s="716"/>
      <c r="FA62" s="716"/>
      <c r="FB62" s="716"/>
      <c r="FC62" s="716"/>
      <c r="FD62" s="716"/>
      <c r="FE62" s="716"/>
      <c r="FF62" s="716"/>
      <c r="FG62" s="716"/>
      <c r="FH62" s="716"/>
      <c r="FI62" s="716"/>
      <c r="FJ62" s="716"/>
      <c r="FK62" s="716"/>
      <c r="FL62" s="716"/>
      <c r="FM62" s="716"/>
      <c r="FN62" s="716"/>
      <c r="FO62" s="716"/>
      <c r="FP62" s="716"/>
      <c r="FQ62" s="716"/>
      <c r="FR62" s="716"/>
      <c r="FS62" s="716"/>
      <c r="FT62" s="716"/>
      <c r="FU62" s="716"/>
      <c r="FV62" s="716"/>
      <c r="FW62" s="716"/>
      <c r="FX62" s="716"/>
      <c r="FY62" s="716"/>
      <c r="FZ62" s="716"/>
      <c r="GA62" s="716"/>
      <c r="GB62" s="716"/>
      <c r="GC62" s="716"/>
      <c r="GD62" s="716"/>
      <c r="GE62" s="716"/>
      <c r="GF62" s="716"/>
      <c r="GG62" s="716"/>
      <c r="GH62" s="716"/>
      <c r="GI62" s="716"/>
      <c r="GJ62" s="716"/>
      <c r="GK62" s="716"/>
      <c r="GL62" s="715"/>
      <c r="GM62" s="715"/>
      <c r="GN62" s="716"/>
      <c r="GO62" s="716"/>
      <c r="GP62" s="716"/>
      <c r="GQ62" s="716"/>
      <c r="GR62" s="716"/>
      <c r="GS62" s="716"/>
      <c r="GT62" s="716"/>
      <c r="GU62" s="716"/>
      <c r="GV62" s="716"/>
      <c r="GW62" s="716"/>
      <c r="GX62" s="715"/>
      <c r="GY62" s="716"/>
      <c r="GZ62" s="716"/>
      <c r="HA62" s="716"/>
      <c r="HB62" s="716"/>
      <c r="HC62" s="715"/>
      <c r="HD62" s="716"/>
      <c r="HE62" s="716"/>
      <c r="HF62" s="716"/>
      <c r="HG62" s="716"/>
      <c r="HH62" s="716"/>
      <c r="HI62" s="716"/>
      <c r="HJ62" s="716"/>
      <c r="HK62" s="716"/>
      <c r="HL62" s="716"/>
      <c r="HM62" s="716"/>
      <c r="HN62" s="715"/>
      <c r="HO62" s="716"/>
      <c r="HP62" s="716"/>
      <c r="HQ62" s="716"/>
      <c r="HR62" s="716"/>
      <c r="HS62" s="716"/>
      <c r="HT62" s="716"/>
      <c r="HU62" s="716"/>
      <c r="HV62" s="716"/>
      <c r="HW62" s="716"/>
      <c r="HX62" s="716"/>
      <c r="HY62" s="716"/>
      <c r="HZ62" s="716"/>
      <c r="IA62" s="716"/>
      <c r="IB62" s="716"/>
      <c r="IC62" s="716"/>
      <c r="ID62" s="716"/>
      <c r="IE62" s="716"/>
      <c r="IF62" s="716"/>
      <c r="IG62" s="716"/>
      <c r="IH62" s="716"/>
      <c r="II62" s="716"/>
      <c r="IJ62" s="716"/>
      <c r="IK62" s="716"/>
      <c r="IL62" s="716"/>
      <c r="IM62" s="716"/>
      <c r="IN62" s="716"/>
      <c r="IO62" s="716"/>
      <c r="IP62" s="716"/>
      <c r="IQ62" s="716"/>
      <c r="IR62" s="716"/>
      <c r="IS62" s="716"/>
      <c r="IT62" s="716"/>
      <c r="IU62" s="716"/>
      <c r="IV62" s="716"/>
      <c r="IW62" s="716"/>
      <c r="IX62" s="716"/>
      <c r="IY62" s="715"/>
      <c r="IZ62" s="716"/>
      <c r="JA62" s="716"/>
      <c r="JB62" s="716"/>
      <c r="JC62" s="716"/>
      <c r="JD62" s="716"/>
      <c r="JE62" s="716"/>
      <c r="JF62" s="715"/>
      <c r="JG62" s="716"/>
      <c r="JH62" s="716"/>
      <c r="JI62" s="716"/>
      <c r="JJ62" s="716"/>
      <c r="JK62" s="716"/>
      <c r="JL62" s="716"/>
      <c r="JM62" s="716"/>
      <c r="JN62" s="716"/>
      <c r="JO62" s="716"/>
      <c r="JP62" s="716"/>
      <c r="JQ62" s="2524"/>
      <c r="JR62" s="351"/>
      <c r="JS62" s="1400"/>
    </row>
    <row r="63" spans="1:279" ht="12" thickBot="1" x14ac:dyDescent="0.3">
      <c r="A63" s="8"/>
      <c r="B63" s="11"/>
      <c r="D63" s="1" t="s">
        <v>2509</v>
      </c>
      <c r="JQ63" s="2525"/>
      <c r="JR63" s="11"/>
      <c r="JS63" s="454"/>
    </row>
    <row r="64" spans="1:279" x14ac:dyDescent="0.25">
      <c r="A64" s="1413" t="s">
        <v>2201</v>
      </c>
      <c r="B64" s="406" t="str">
        <f>"selected "&amp;MCA_IND-1</f>
        <v>selected 0</v>
      </c>
      <c r="D64" s="586"/>
      <c r="E64" s="418">
        <v>1</v>
      </c>
      <c r="F64" s="418">
        <v>2</v>
      </c>
      <c r="G64" s="418">
        <v>3</v>
      </c>
      <c r="H64" s="418">
        <v>4</v>
      </c>
      <c r="I64" s="418">
        <v>5</v>
      </c>
      <c r="J64" s="418">
        <v>6</v>
      </c>
      <c r="K64" s="418">
        <v>7</v>
      </c>
      <c r="L64" s="418">
        <v>8</v>
      </c>
      <c r="M64" s="418">
        <v>9</v>
      </c>
      <c r="N64" s="418">
        <v>10</v>
      </c>
      <c r="O64" s="418">
        <v>11</v>
      </c>
      <c r="P64" s="418">
        <v>12</v>
      </c>
      <c r="Q64" s="418">
        <v>13</v>
      </c>
      <c r="R64" s="418">
        <v>14</v>
      </c>
      <c r="S64" s="418">
        <v>15</v>
      </c>
      <c r="T64" s="418">
        <v>16</v>
      </c>
      <c r="U64" s="418">
        <v>17</v>
      </c>
      <c r="V64" s="418">
        <v>18</v>
      </c>
      <c r="W64" s="418">
        <v>19</v>
      </c>
      <c r="X64" s="418">
        <v>20</v>
      </c>
      <c r="Y64" s="418">
        <v>21</v>
      </c>
      <c r="Z64" s="418">
        <v>22</v>
      </c>
      <c r="AA64" s="418">
        <v>23</v>
      </c>
      <c r="AB64" s="418">
        <v>24</v>
      </c>
      <c r="AC64" s="418">
        <v>25</v>
      </c>
      <c r="AD64" s="418">
        <v>26</v>
      </c>
      <c r="AE64" s="418">
        <v>27</v>
      </c>
      <c r="AF64" s="418">
        <v>28</v>
      </c>
      <c r="AG64" s="418">
        <v>29</v>
      </c>
      <c r="AH64" s="418">
        <v>30</v>
      </c>
      <c r="AI64" s="418">
        <v>31</v>
      </c>
      <c r="AJ64" s="418">
        <v>32</v>
      </c>
      <c r="AK64" s="418">
        <v>33</v>
      </c>
      <c r="AL64" s="418">
        <v>34</v>
      </c>
      <c r="AM64" s="418">
        <v>35</v>
      </c>
      <c r="AN64" s="418">
        <v>36</v>
      </c>
      <c r="AO64" s="418">
        <v>37</v>
      </c>
      <c r="AP64" s="418">
        <v>38</v>
      </c>
      <c r="AQ64" s="418">
        <v>39</v>
      </c>
      <c r="AR64" s="418">
        <v>40</v>
      </c>
      <c r="AS64" s="418">
        <v>41</v>
      </c>
      <c r="AT64" s="418">
        <v>42</v>
      </c>
      <c r="AU64" s="418">
        <v>43</v>
      </c>
      <c r="AV64" s="418">
        <v>44</v>
      </c>
      <c r="AW64" s="418">
        <v>45</v>
      </c>
      <c r="AX64" s="418">
        <v>46</v>
      </c>
      <c r="AY64" s="418">
        <v>47</v>
      </c>
      <c r="AZ64" s="418">
        <v>48</v>
      </c>
      <c r="BA64" s="418">
        <v>49</v>
      </c>
      <c r="BB64" s="418">
        <v>50</v>
      </c>
      <c r="BC64" s="418">
        <v>51</v>
      </c>
      <c r="BD64" s="418">
        <v>52</v>
      </c>
      <c r="BE64" s="418">
        <v>53</v>
      </c>
      <c r="BF64" s="418">
        <v>54</v>
      </c>
      <c r="BG64" s="418">
        <v>55</v>
      </c>
      <c r="BH64" s="418">
        <v>56</v>
      </c>
      <c r="BI64" s="418">
        <v>57</v>
      </c>
      <c r="BJ64" s="418">
        <v>58</v>
      </c>
      <c r="BK64" s="418">
        <v>59</v>
      </c>
      <c r="BL64" s="418">
        <v>60</v>
      </c>
      <c r="BM64" s="418">
        <v>61</v>
      </c>
      <c r="BN64" s="418">
        <v>62</v>
      </c>
      <c r="BO64" s="418">
        <v>63</v>
      </c>
      <c r="BP64" s="418">
        <v>64</v>
      </c>
      <c r="BQ64" s="418">
        <v>65</v>
      </c>
      <c r="BR64" s="418">
        <v>66</v>
      </c>
      <c r="BS64" s="418">
        <v>67</v>
      </c>
      <c r="BT64" s="418">
        <v>68</v>
      </c>
      <c r="BU64" s="418">
        <v>69</v>
      </c>
      <c r="BV64" s="418">
        <v>70</v>
      </c>
      <c r="BW64" s="418">
        <v>71</v>
      </c>
      <c r="BX64" s="418">
        <v>72</v>
      </c>
      <c r="BY64" s="418">
        <v>73</v>
      </c>
      <c r="BZ64" s="418">
        <v>74</v>
      </c>
      <c r="CA64" s="418">
        <v>75</v>
      </c>
      <c r="CB64" s="418">
        <v>76</v>
      </c>
      <c r="CC64" s="418">
        <v>77</v>
      </c>
      <c r="CD64" s="418">
        <v>78</v>
      </c>
      <c r="CE64" s="418">
        <v>79</v>
      </c>
      <c r="CF64" s="418">
        <v>80</v>
      </c>
      <c r="CG64" s="418">
        <v>81</v>
      </c>
      <c r="CH64" s="418">
        <v>82</v>
      </c>
      <c r="CI64" s="418">
        <v>83</v>
      </c>
      <c r="CJ64" s="418">
        <v>84</v>
      </c>
      <c r="CK64" s="418">
        <v>85</v>
      </c>
      <c r="CL64" s="418">
        <v>86</v>
      </c>
      <c r="CM64" s="418">
        <v>87</v>
      </c>
      <c r="CN64" s="418">
        <v>88</v>
      </c>
      <c r="CO64" s="418">
        <v>89</v>
      </c>
      <c r="CP64" s="418">
        <v>90</v>
      </c>
      <c r="CQ64" s="418">
        <v>91</v>
      </c>
      <c r="CR64" s="418">
        <v>92</v>
      </c>
      <c r="CS64" s="418">
        <v>93</v>
      </c>
      <c r="CT64" s="418">
        <v>94</v>
      </c>
      <c r="CU64" s="418">
        <v>95</v>
      </c>
      <c r="CV64" s="418">
        <v>96</v>
      </c>
      <c r="CW64" s="418">
        <v>97</v>
      </c>
      <c r="CX64" s="418">
        <v>98</v>
      </c>
      <c r="CY64" s="418">
        <v>99</v>
      </c>
      <c r="CZ64" s="418">
        <v>100</v>
      </c>
      <c r="DA64" s="418">
        <v>101</v>
      </c>
      <c r="DB64" s="418">
        <v>102</v>
      </c>
      <c r="DC64" s="418">
        <v>103</v>
      </c>
      <c r="DD64" s="418">
        <v>104</v>
      </c>
      <c r="DE64" s="418">
        <v>105</v>
      </c>
      <c r="DF64" s="418">
        <v>106</v>
      </c>
      <c r="DG64" s="418">
        <v>107</v>
      </c>
      <c r="DH64" s="418">
        <v>108</v>
      </c>
      <c r="DI64" s="418">
        <v>109</v>
      </c>
      <c r="DJ64" s="418">
        <v>110</v>
      </c>
      <c r="DK64" s="418">
        <v>111</v>
      </c>
      <c r="DL64" s="418">
        <v>112</v>
      </c>
      <c r="DM64" s="418">
        <v>113</v>
      </c>
      <c r="DN64" s="418">
        <v>114</v>
      </c>
      <c r="DO64" s="418">
        <v>115</v>
      </c>
      <c r="DP64" s="418">
        <v>116</v>
      </c>
      <c r="DQ64" s="418">
        <v>117</v>
      </c>
      <c r="DR64" s="418">
        <v>118</v>
      </c>
      <c r="DS64" s="418">
        <v>119</v>
      </c>
      <c r="DT64" s="418">
        <v>120</v>
      </c>
      <c r="DU64" s="418">
        <v>121</v>
      </c>
      <c r="DV64" s="418">
        <v>122</v>
      </c>
      <c r="DW64" s="418">
        <v>123</v>
      </c>
      <c r="DX64" s="418">
        <v>124</v>
      </c>
      <c r="DY64" s="418">
        <v>125</v>
      </c>
      <c r="DZ64" s="418">
        <v>126</v>
      </c>
      <c r="EA64" s="418">
        <v>127</v>
      </c>
      <c r="EB64" s="418">
        <v>128</v>
      </c>
      <c r="EC64" s="418">
        <v>129</v>
      </c>
      <c r="ED64" s="418">
        <v>130</v>
      </c>
      <c r="EE64" s="418">
        <v>131</v>
      </c>
      <c r="EF64" s="418">
        <v>132</v>
      </c>
      <c r="EG64" s="418">
        <v>133</v>
      </c>
      <c r="EH64" s="418">
        <v>134</v>
      </c>
      <c r="EI64" s="418">
        <v>135</v>
      </c>
      <c r="EJ64" s="418">
        <v>136</v>
      </c>
      <c r="EK64" s="418">
        <v>137</v>
      </c>
      <c r="EL64" s="418">
        <v>138</v>
      </c>
      <c r="EM64" s="418">
        <v>139</v>
      </c>
      <c r="EN64" s="418">
        <v>140</v>
      </c>
      <c r="EO64" s="418">
        <v>141</v>
      </c>
      <c r="EP64" s="418">
        <v>142</v>
      </c>
      <c r="EQ64" s="418">
        <v>143</v>
      </c>
      <c r="ER64" s="418">
        <v>144</v>
      </c>
      <c r="ES64" s="418">
        <v>145</v>
      </c>
      <c r="ET64" s="418">
        <v>146</v>
      </c>
      <c r="EU64" s="418">
        <v>147</v>
      </c>
      <c r="EV64" s="418">
        <v>148</v>
      </c>
      <c r="EW64" s="418">
        <v>149</v>
      </c>
      <c r="EX64" s="418">
        <v>150</v>
      </c>
      <c r="EY64" s="418">
        <v>151</v>
      </c>
      <c r="EZ64" s="418">
        <v>152</v>
      </c>
      <c r="FA64" s="418">
        <v>153</v>
      </c>
      <c r="FB64" s="418">
        <v>154</v>
      </c>
      <c r="FC64" s="418">
        <v>155</v>
      </c>
      <c r="FD64" s="418">
        <v>156</v>
      </c>
      <c r="FE64" s="418">
        <v>157</v>
      </c>
      <c r="FF64" s="418">
        <v>158</v>
      </c>
      <c r="FG64" s="418">
        <v>159</v>
      </c>
      <c r="FH64" s="418">
        <v>160</v>
      </c>
      <c r="FI64" s="418">
        <v>161</v>
      </c>
      <c r="FJ64" s="418">
        <v>162</v>
      </c>
      <c r="FK64" s="418">
        <v>163</v>
      </c>
      <c r="FL64" s="418">
        <v>164</v>
      </c>
      <c r="FM64" s="418">
        <v>165</v>
      </c>
      <c r="FN64" s="418">
        <v>166</v>
      </c>
      <c r="FO64" s="418">
        <v>167</v>
      </c>
      <c r="FP64" s="418">
        <v>168</v>
      </c>
      <c r="FQ64" s="418">
        <v>169</v>
      </c>
      <c r="FR64" s="418">
        <v>170</v>
      </c>
      <c r="FS64" s="418">
        <v>171</v>
      </c>
      <c r="FT64" s="418">
        <v>172</v>
      </c>
      <c r="FU64" s="418">
        <v>173</v>
      </c>
      <c r="FV64" s="418">
        <v>174</v>
      </c>
      <c r="FW64" s="418">
        <v>175</v>
      </c>
      <c r="FX64" s="418">
        <v>176</v>
      </c>
      <c r="FY64" s="418">
        <v>177</v>
      </c>
      <c r="FZ64" s="418">
        <v>178</v>
      </c>
      <c r="GA64" s="418">
        <v>179</v>
      </c>
      <c r="GB64" s="418">
        <v>180</v>
      </c>
      <c r="GC64" s="418">
        <v>181</v>
      </c>
      <c r="GD64" s="418">
        <v>182</v>
      </c>
      <c r="GE64" s="418">
        <v>183</v>
      </c>
      <c r="GF64" s="418">
        <v>184</v>
      </c>
      <c r="GG64" s="418">
        <v>185</v>
      </c>
      <c r="GH64" s="418">
        <v>186</v>
      </c>
      <c r="GI64" s="418">
        <v>187</v>
      </c>
      <c r="GJ64" s="418">
        <v>188</v>
      </c>
      <c r="GK64" s="418">
        <v>189</v>
      </c>
      <c r="GL64" s="418">
        <v>190</v>
      </c>
      <c r="GM64" s="418">
        <v>191</v>
      </c>
      <c r="GN64" s="418">
        <v>192</v>
      </c>
      <c r="GO64" s="418">
        <v>193</v>
      </c>
      <c r="GP64" s="418">
        <v>194</v>
      </c>
      <c r="GQ64" s="418">
        <v>195</v>
      </c>
      <c r="GR64" s="418">
        <v>196</v>
      </c>
      <c r="GS64" s="418">
        <v>197</v>
      </c>
      <c r="GT64" s="418">
        <v>198</v>
      </c>
      <c r="GU64" s="418">
        <v>199</v>
      </c>
      <c r="GV64" s="418">
        <v>200</v>
      </c>
      <c r="GW64" s="418">
        <v>201</v>
      </c>
      <c r="GX64" s="418">
        <v>202</v>
      </c>
      <c r="GY64" s="418">
        <v>203</v>
      </c>
      <c r="GZ64" s="418">
        <v>204</v>
      </c>
      <c r="HA64" s="418">
        <v>205</v>
      </c>
      <c r="HB64" s="418">
        <v>206</v>
      </c>
      <c r="HC64" s="418">
        <v>207</v>
      </c>
      <c r="HD64" s="418">
        <v>208</v>
      </c>
      <c r="HE64" s="418">
        <v>209</v>
      </c>
      <c r="HF64" s="418">
        <v>210</v>
      </c>
      <c r="HG64" s="418">
        <v>211</v>
      </c>
      <c r="HH64" s="418">
        <v>212</v>
      </c>
      <c r="HI64" s="418">
        <v>213</v>
      </c>
      <c r="HJ64" s="418">
        <v>214</v>
      </c>
      <c r="HK64" s="418">
        <v>215</v>
      </c>
      <c r="HL64" s="418">
        <v>216</v>
      </c>
      <c r="HM64" s="418">
        <v>217</v>
      </c>
      <c r="HN64" s="418">
        <v>218</v>
      </c>
      <c r="HO64" s="418">
        <v>219</v>
      </c>
      <c r="HP64" s="418">
        <v>220</v>
      </c>
      <c r="HQ64" s="418">
        <v>221</v>
      </c>
      <c r="HR64" s="418">
        <v>222</v>
      </c>
      <c r="HS64" s="418">
        <v>223</v>
      </c>
      <c r="HT64" s="418">
        <v>224</v>
      </c>
      <c r="HU64" s="418">
        <v>225</v>
      </c>
      <c r="HV64" s="418">
        <v>226</v>
      </c>
      <c r="HW64" s="418">
        <v>227</v>
      </c>
      <c r="HX64" s="418">
        <v>228</v>
      </c>
      <c r="HY64" s="418">
        <v>229</v>
      </c>
      <c r="HZ64" s="418">
        <v>230</v>
      </c>
      <c r="IA64" s="418">
        <v>231</v>
      </c>
      <c r="IB64" s="418">
        <v>232</v>
      </c>
      <c r="IC64" s="418">
        <v>233</v>
      </c>
      <c r="ID64" s="418">
        <v>234</v>
      </c>
      <c r="IE64" s="418">
        <v>235</v>
      </c>
      <c r="IF64" s="418">
        <v>236</v>
      </c>
      <c r="IG64" s="418">
        <v>237</v>
      </c>
      <c r="IH64" s="418">
        <v>238</v>
      </c>
      <c r="II64" s="418">
        <v>239</v>
      </c>
      <c r="IJ64" s="418">
        <v>240</v>
      </c>
      <c r="IK64" s="418">
        <v>241</v>
      </c>
      <c r="IL64" s="418">
        <v>242</v>
      </c>
      <c r="IM64" s="418">
        <v>243</v>
      </c>
      <c r="IN64" s="418">
        <v>244</v>
      </c>
      <c r="IO64" s="418">
        <v>245</v>
      </c>
      <c r="IP64" s="418">
        <v>246</v>
      </c>
      <c r="IQ64" s="418">
        <v>247</v>
      </c>
      <c r="IR64" s="418">
        <v>248</v>
      </c>
      <c r="IS64" s="418">
        <v>249</v>
      </c>
      <c r="IT64" s="418">
        <v>250</v>
      </c>
      <c r="IU64" s="418">
        <v>251</v>
      </c>
      <c r="IV64" s="418">
        <v>252</v>
      </c>
      <c r="IW64" s="418">
        <v>253</v>
      </c>
      <c r="IX64" s="418">
        <v>254</v>
      </c>
      <c r="IY64" s="418">
        <v>255</v>
      </c>
      <c r="IZ64" s="418">
        <v>256</v>
      </c>
      <c r="JA64" s="418">
        <v>257</v>
      </c>
      <c r="JB64" s="418">
        <v>258</v>
      </c>
      <c r="JC64" s="418">
        <v>259</v>
      </c>
      <c r="JD64" s="418">
        <v>260</v>
      </c>
      <c r="JE64" s="418">
        <v>261</v>
      </c>
      <c r="JF64" s="418">
        <v>262</v>
      </c>
      <c r="JG64" s="418">
        <v>263</v>
      </c>
      <c r="JH64" s="418">
        <v>264</v>
      </c>
      <c r="JI64" s="418">
        <v>265</v>
      </c>
      <c r="JJ64" s="418">
        <v>266</v>
      </c>
      <c r="JK64" s="418">
        <v>267</v>
      </c>
      <c r="JL64" s="418">
        <v>268</v>
      </c>
      <c r="JM64" s="418">
        <v>269</v>
      </c>
      <c r="JN64" s="418">
        <v>270</v>
      </c>
      <c r="JO64" s="418">
        <v>271</v>
      </c>
      <c r="JP64" s="418">
        <v>272</v>
      </c>
      <c r="JQ64" s="418">
        <v>273</v>
      </c>
      <c r="JS64" s="1"/>
    </row>
    <row r="65" spans="1:279" x14ac:dyDescent="0.25">
      <c r="A65" s="1367">
        <v>2</v>
      </c>
      <c r="B65" s="1368" t="str">
        <f t="shared" ref="B65:B71" si="7">IF(MCA_IND&gt;1,IF(HLOOKUP(MCA_IND-1,MCA_CONTROL_RANGE,A75)="","",HLOOKUP(MCA_IND-1,MCA_CONTROL_RANGE,A75)),"")</f>
        <v/>
      </c>
      <c r="D65" s="587" t="s">
        <v>2510</v>
      </c>
      <c r="E65" s="1381"/>
      <c r="F65" s="1381"/>
      <c r="G65" s="1381"/>
      <c r="H65" s="1381"/>
      <c r="I65" s="1381"/>
      <c r="J65" s="1381"/>
      <c r="K65" s="1381">
        <v>2</v>
      </c>
      <c r="L65" s="1381">
        <v>2</v>
      </c>
      <c r="M65" s="1381"/>
      <c r="N65" s="1381"/>
      <c r="O65" s="1381"/>
      <c r="P65" s="1381"/>
      <c r="Q65" s="1381">
        <v>3</v>
      </c>
      <c r="R65" s="1381"/>
      <c r="S65" s="1381"/>
      <c r="T65" s="1381"/>
      <c r="U65" s="1381"/>
      <c r="V65" s="1381"/>
      <c r="W65" s="1381"/>
      <c r="X65" s="1381"/>
      <c r="Y65" s="1381"/>
      <c r="Z65" s="1381"/>
      <c r="AA65" s="1381"/>
      <c r="AB65" s="1381"/>
      <c r="AC65" s="1381"/>
      <c r="AD65" s="1381"/>
      <c r="AE65" s="1381"/>
      <c r="AF65" s="1381"/>
      <c r="AG65" s="1381"/>
      <c r="AH65" s="1381"/>
      <c r="AI65" s="1381"/>
      <c r="AJ65" s="1381"/>
      <c r="AK65" s="1381"/>
      <c r="AL65" s="1381"/>
      <c r="AM65" s="1381"/>
      <c r="AN65" s="1381">
        <v>2</v>
      </c>
      <c r="AO65" s="1381"/>
      <c r="AP65" s="1381"/>
      <c r="AQ65" s="1381"/>
      <c r="AR65" s="1381"/>
      <c r="AS65" s="1381"/>
      <c r="AT65" s="1381"/>
      <c r="AU65" s="1381"/>
      <c r="AV65" s="1381"/>
      <c r="AW65" s="1381">
        <v>3</v>
      </c>
      <c r="AX65" s="1381"/>
      <c r="AY65" s="1381"/>
      <c r="AZ65" s="1381"/>
      <c r="BA65" s="1381"/>
      <c r="BB65" s="1381"/>
      <c r="BC65" s="1381"/>
      <c r="BD65" s="1381">
        <v>2</v>
      </c>
      <c r="BE65" s="1381"/>
      <c r="BF65" s="1381"/>
      <c r="BG65" s="1381"/>
      <c r="BH65" s="1381"/>
      <c r="BI65" s="1381"/>
      <c r="BJ65" s="1381"/>
      <c r="BK65" s="1381"/>
      <c r="BL65" s="1381"/>
      <c r="BM65" s="1381"/>
      <c r="BN65" s="1381">
        <v>2</v>
      </c>
      <c r="BO65" s="1381"/>
      <c r="BP65" s="1381"/>
      <c r="BQ65" s="1381"/>
      <c r="BR65" s="1381"/>
      <c r="BS65" s="1381"/>
      <c r="BT65" s="1381"/>
      <c r="BU65" s="1381"/>
      <c r="BV65" s="1382"/>
      <c r="BW65" s="1381">
        <v>2</v>
      </c>
      <c r="BX65" s="1381">
        <v>2</v>
      </c>
      <c r="BY65" s="1381">
        <v>2</v>
      </c>
      <c r="BZ65" s="1381"/>
      <c r="CA65" s="1381">
        <v>2</v>
      </c>
      <c r="CB65" s="1381">
        <v>2</v>
      </c>
      <c r="CC65" s="1414"/>
      <c r="CD65" s="1381"/>
      <c r="CE65" s="1414"/>
      <c r="CF65" s="1381">
        <v>2</v>
      </c>
      <c r="CG65" s="1414"/>
      <c r="CH65" s="1381"/>
      <c r="CI65" s="1414"/>
      <c r="CJ65" s="1414"/>
      <c r="CK65" s="1414"/>
      <c r="CL65" s="1414"/>
      <c r="CM65" s="1414"/>
      <c r="CN65" s="1414"/>
      <c r="CO65" s="1414"/>
      <c r="CP65" s="1414"/>
      <c r="CQ65" s="1414"/>
      <c r="CR65" s="1414"/>
      <c r="CS65" s="1414"/>
      <c r="CT65" s="1414"/>
      <c r="CU65" s="1414"/>
      <c r="CV65" s="1414"/>
      <c r="CW65" s="1414"/>
      <c r="CX65" s="1414"/>
      <c r="CY65" s="1414"/>
      <c r="CZ65" s="1414"/>
      <c r="DA65" s="1414"/>
      <c r="DB65" s="1414"/>
      <c r="DC65" s="1414"/>
      <c r="DD65" s="1414"/>
      <c r="DE65" s="1414"/>
      <c r="DF65" s="1414"/>
      <c r="DG65" s="1414"/>
      <c r="DH65" s="1414"/>
      <c r="DI65" s="1414"/>
      <c r="DJ65" s="1414"/>
      <c r="DK65" s="1414"/>
      <c r="DL65" s="1414"/>
      <c r="DM65" s="1414"/>
      <c r="DN65" s="1414"/>
      <c r="DO65" s="1414"/>
      <c r="DP65" s="1414"/>
      <c r="DQ65" s="1414"/>
      <c r="DR65" s="1414"/>
      <c r="DS65" s="1381">
        <v>2</v>
      </c>
      <c r="DT65" s="1414"/>
      <c r="DU65" s="1414"/>
      <c r="DV65" s="1414"/>
      <c r="DW65" s="1382"/>
      <c r="DX65" s="1382"/>
      <c r="DY65" s="1381">
        <v>2</v>
      </c>
      <c r="DZ65" s="1382"/>
      <c r="EA65" s="1414"/>
      <c r="EB65" s="1414"/>
      <c r="EC65" s="1414"/>
      <c r="ED65" s="1414"/>
      <c r="EE65" s="1414"/>
      <c r="EF65" s="1414"/>
      <c r="EG65" s="1414"/>
      <c r="EH65" s="1414"/>
      <c r="EI65" s="1414"/>
      <c r="EJ65" s="1414"/>
      <c r="EK65" s="1414"/>
      <c r="EL65" s="1414"/>
      <c r="EM65" s="1414"/>
      <c r="EN65" s="1414"/>
      <c r="EO65" s="1414"/>
      <c r="EP65" s="1414"/>
      <c r="EQ65" s="1414"/>
      <c r="ER65" s="1414"/>
      <c r="ES65" s="1414"/>
      <c r="ET65" s="1414"/>
      <c r="EU65" s="1414"/>
      <c r="EV65" s="1414"/>
      <c r="EW65" s="1414"/>
      <c r="EX65" s="1414"/>
      <c r="EY65" s="1414"/>
      <c r="EZ65" s="1414"/>
      <c r="FA65" s="1414"/>
      <c r="FB65" s="1381">
        <v>2</v>
      </c>
      <c r="FC65" s="1414"/>
      <c r="FD65" s="1414"/>
      <c r="FE65" s="1414"/>
      <c r="FF65" s="1414"/>
      <c r="FG65" s="1414"/>
      <c r="FH65" s="1414"/>
      <c r="FI65" s="1414"/>
      <c r="FJ65" s="1414"/>
      <c r="FK65" s="1414"/>
      <c r="FL65" s="1414"/>
      <c r="FM65" s="1414"/>
      <c r="FN65" s="1414"/>
      <c r="FO65" s="1414"/>
      <c r="FP65" s="1414"/>
      <c r="FQ65" s="1414"/>
      <c r="FR65" s="1414"/>
      <c r="FS65" s="1414"/>
      <c r="FT65" s="1414"/>
      <c r="FU65" s="1414"/>
      <c r="FV65" s="1414"/>
      <c r="FW65" s="1414"/>
      <c r="FX65" s="1414"/>
      <c r="FY65" s="1382"/>
      <c r="FZ65" s="1382"/>
      <c r="GA65" s="1382"/>
      <c r="GB65" s="1382"/>
      <c r="GC65" s="1414"/>
      <c r="GD65" s="1414"/>
      <c r="GE65" s="1414"/>
      <c r="GF65" s="1414"/>
      <c r="GG65" s="1414"/>
      <c r="GH65" s="1414"/>
      <c r="GI65" s="1414"/>
      <c r="GJ65" s="1414"/>
      <c r="GK65" s="1414"/>
      <c r="GL65" s="1414"/>
      <c r="GM65" s="1414"/>
      <c r="GN65" s="1414"/>
      <c r="GO65" s="1414"/>
      <c r="GP65" s="1414"/>
      <c r="GQ65" s="1414"/>
      <c r="GR65" s="1414"/>
      <c r="GS65" s="1414"/>
      <c r="GT65" s="1414"/>
      <c r="GU65" s="1414"/>
      <c r="GV65" s="1414"/>
      <c r="GW65" s="1414"/>
      <c r="GX65" s="1414"/>
      <c r="GY65" s="1414"/>
      <c r="GZ65" s="1414"/>
      <c r="HA65" s="1414"/>
      <c r="HB65" s="1414"/>
      <c r="HC65" s="1414"/>
      <c r="HD65" s="1414"/>
      <c r="HE65" s="1414"/>
      <c r="HF65" s="1414"/>
      <c r="HG65" s="1414"/>
      <c r="HH65" s="1414"/>
      <c r="HI65" s="1414"/>
      <c r="HJ65" s="1414"/>
      <c r="HK65" s="1414"/>
      <c r="HL65" s="1414"/>
      <c r="HM65" s="1414"/>
      <c r="HN65" s="1414"/>
      <c r="HO65" s="1414"/>
      <c r="HP65" s="1414"/>
      <c r="HQ65" s="1414"/>
      <c r="HR65" s="1414"/>
      <c r="HS65" s="1414"/>
      <c r="HT65" s="1414"/>
      <c r="HU65" s="1414"/>
      <c r="HV65" s="1414"/>
      <c r="HW65" s="1414"/>
      <c r="HX65" s="1414"/>
      <c r="HY65" s="1414"/>
      <c r="HZ65" s="1414"/>
      <c r="IA65" s="1414"/>
      <c r="IB65" s="1414"/>
      <c r="IC65" s="1414"/>
      <c r="ID65" s="1414"/>
      <c r="IE65" s="1414"/>
      <c r="IF65" s="1414"/>
      <c r="IG65" s="1414"/>
      <c r="IH65" s="1414"/>
      <c r="II65" s="1414"/>
      <c r="IJ65" s="1414"/>
      <c r="IK65" s="1414"/>
      <c r="IL65" s="1414"/>
      <c r="IM65" s="1414"/>
      <c r="IN65" s="1414"/>
      <c r="IO65" s="1414"/>
      <c r="IP65" s="1414"/>
      <c r="IQ65" s="1414"/>
      <c r="IR65" s="1414"/>
      <c r="IS65" s="1414"/>
      <c r="IT65" s="1414"/>
      <c r="IU65" s="1414"/>
      <c r="IV65" s="1414"/>
      <c r="IW65" s="1414"/>
      <c r="IX65" s="1414"/>
      <c r="IY65" s="1414"/>
      <c r="IZ65" s="1414"/>
      <c r="JA65" s="1414"/>
      <c r="JB65" s="1414"/>
      <c r="JC65" s="1414"/>
      <c r="JD65" s="1414"/>
      <c r="JE65" s="1414"/>
      <c r="JF65" s="1414"/>
      <c r="JG65" s="1414"/>
      <c r="JH65" s="1414"/>
      <c r="JI65" s="1414"/>
      <c r="JJ65" s="1414"/>
      <c r="JK65" s="1414"/>
      <c r="JL65" s="1414"/>
      <c r="JM65" s="1414"/>
      <c r="JN65" s="1414"/>
      <c r="JO65" s="1414"/>
      <c r="JP65" s="1414"/>
      <c r="JQ65" s="1415"/>
      <c r="JS65" s="1"/>
    </row>
    <row r="66" spans="1:279" x14ac:dyDescent="0.25">
      <c r="A66" s="1367">
        <v>3</v>
      </c>
      <c r="B66" s="1368" t="str">
        <f t="shared" si="7"/>
        <v/>
      </c>
      <c r="D66" s="588" t="str">
        <f>data!B198&amp;" = "&amp;data!C198</f>
        <v>1 = 1) Not Claimed</v>
      </c>
      <c r="E66" s="448" t="str">
        <f>data!B199&amp;" = "&amp;data!C199</f>
        <v>2 = 2) husband / higher income partner (box 1 present)</v>
      </c>
      <c r="F66" s="448"/>
      <c r="H66" s="448"/>
      <c r="I66" s="448" t="str">
        <f>data!B200&amp;" = "&amp;data!C200</f>
        <v>3 = 3) wife / lower income partner (box 8 present)</v>
      </c>
      <c r="L66" s="448"/>
      <c r="AN66" s="448"/>
      <c r="AS66" s="448" t="str">
        <f>data!B199&amp;" = "&amp;data!C199</f>
        <v>2 = 2) husband / higher income partner (box 1 present)</v>
      </c>
      <c r="AT66" s="448"/>
      <c r="AV66" s="448"/>
      <c r="AX66" s="448" t="str">
        <f>data!B200&amp;" = "&amp;data!C200</f>
        <v>3 = 3) wife / lower income partner (box 8 present)</v>
      </c>
      <c r="BD66" s="448"/>
      <c r="BN66" s="448"/>
      <c r="BV66" s="448"/>
      <c r="BW66" s="448"/>
      <c r="BX66" s="448"/>
      <c r="BY66" s="448"/>
      <c r="CA66" s="448"/>
      <c r="CB66" s="448"/>
      <c r="CC66" s="448"/>
      <c r="CD66" s="448"/>
      <c r="CE66" s="448"/>
      <c r="CF66" s="448"/>
      <c r="CG66" s="448"/>
      <c r="CH66" s="448"/>
      <c r="CI66" s="448"/>
      <c r="CJ66" s="448"/>
      <c r="CK66" s="448"/>
      <c r="CL66" s="448"/>
      <c r="CM66" s="448"/>
      <c r="CN66" s="448"/>
      <c r="CO66" s="448"/>
      <c r="CP66" s="448"/>
      <c r="CQ66" s="448"/>
      <c r="CR66" s="448"/>
      <c r="CS66" s="448"/>
      <c r="CT66" s="448"/>
      <c r="CU66" s="448"/>
      <c r="CV66" s="448"/>
      <c r="CW66" s="448"/>
      <c r="CX66" s="448"/>
      <c r="CY66" s="448"/>
      <c r="CZ66" s="448"/>
      <c r="DA66" s="448"/>
      <c r="DB66" s="448"/>
      <c r="DC66" s="448"/>
      <c r="DD66" s="448"/>
      <c r="DE66" s="448"/>
      <c r="DF66" s="448"/>
      <c r="DG66" s="448"/>
      <c r="DH66" s="448"/>
      <c r="DI66" s="448"/>
      <c r="DJ66" s="448"/>
      <c r="DK66" s="448"/>
      <c r="DL66" s="448"/>
      <c r="DM66" s="448"/>
      <c r="DN66" s="448"/>
      <c r="DO66" s="448"/>
      <c r="DP66" s="448"/>
      <c r="DQ66" s="448"/>
      <c r="DR66" s="448"/>
      <c r="DS66" s="448"/>
      <c r="DT66" s="448"/>
      <c r="DU66" s="448"/>
      <c r="DV66" s="448"/>
      <c r="DW66" s="448"/>
      <c r="DX66" s="448"/>
      <c r="DY66" s="448"/>
      <c r="DZ66" s="448"/>
      <c r="EA66" s="448"/>
      <c r="EB66" s="448"/>
      <c r="EC66" s="448"/>
      <c r="ED66" s="448"/>
      <c r="EE66" s="448"/>
      <c r="EF66" s="448"/>
      <c r="EG66" s="448"/>
      <c r="EH66" s="448"/>
      <c r="EI66" s="448"/>
      <c r="EJ66" s="448"/>
      <c r="EK66" s="448"/>
      <c r="EL66" s="448"/>
      <c r="EM66" s="448"/>
      <c r="EN66" s="448"/>
      <c r="EO66" s="448"/>
      <c r="EP66" s="448"/>
      <c r="EQ66" s="448"/>
      <c r="ER66" s="448"/>
      <c r="ES66" s="448"/>
      <c r="ET66" s="448"/>
      <c r="EU66" s="448"/>
      <c r="EV66" s="448"/>
      <c r="EW66" s="448"/>
      <c r="EX66" s="448"/>
      <c r="EY66" s="448"/>
      <c r="EZ66" s="448"/>
      <c r="FA66" s="448"/>
      <c r="FB66" s="448"/>
      <c r="FC66" s="448"/>
      <c r="FD66" s="448"/>
      <c r="FE66" s="448"/>
      <c r="FF66" s="448"/>
      <c r="FG66" s="448"/>
      <c r="FH66" s="448"/>
      <c r="FI66" s="448"/>
      <c r="FJ66" s="448"/>
      <c r="FK66" s="448"/>
      <c r="FL66" s="448"/>
      <c r="FM66" s="448"/>
      <c r="FN66" s="448"/>
      <c r="FO66" s="448"/>
      <c r="FP66" s="448"/>
      <c r="FQ66" s="448"/>
      <c r="FR66" s="448"/>
      <c r="FS66" s="448"/>
      <c r="FT66" s="448"/>
      <c r="FU66" s="448"/>
      <c r="FV66" s="448"/>
      <c r="FW66" s="448"/>
      <c r="FX66" s="448"/>
      <c r="FY66" s="448"/>
      <c r="FZ66" s="448"/>
      <c r="GA66" s="448"/>
      <c r="GC66" s="448"/>
      <c r="GD66" s="448"/>
      <c r="GE66" s="448"/>
      <c r="GF66" s="448"/>
      <c r="GG66" s="448"/>
      <c r="GH66" s="448"/>
      <c r="GI66" s="448"/>
      <c r="GJ66" s="448"/>
      <c r="GK66" s="448"/>
      <c r="GL66" s="448"/>
      <c r="GM66" s="448"/>
      <c r="GN66" s="448"/>
      <c r="GO66" s="448"/>
      <c r="GP66" s="448"/>
      <c r="GQ66" s="448"/>
      <c r="GR66" s="448"/>
      <c r="GS66" s="448"/>
      <c r="GT66" s="448"/>
      <c r="GU66" s="448"/>
      <c r="GV66" s="448"/>
      <c r="GW66" s="448"/>
      <c r="GX66" s="448"/>
      <c r="GY66" s="448"/>
      <c r="GZ66" s="448"/>
      <c r="HA66" s="448"/>
      <c r="HB66" s="448"/>
      <c r="HC66" s="448"/>
      <c r="HD66" s="448"/>
      <c r="HE66" s="448"/>
      <c r="HF66" s="448"/>
      <c r="HG66" s="448"/>
      <c r="HH66" s="448"/>
      <c r="HI66" s="448"/>
      <c r="HJ66" s="448"/>
      <c r="HK66" s="448"/>
      <c r="HL66" s="448"/>
      <c r="HM66" s="448"/>
      <c r="HN66" s="448"/>
      <c r="HO66" s="448"/>
      <c r="HP66" s="448"/>
      <c r="HQ66" s="448"/>
      <c r="HR66" s="448"/>
      <c r="HS66" s="448"/>
      <c r="HT66" s="448"/>
      <c r="HU66" s="448"/>
      <c r="HV66" s="448"/>
      <c r="HW66" s="448"/>
      <c r="HX66" s="448"/>
      <c r="HY66" s="448"/>
      <c r="HZ66" s="448"/>
      <c r="IA66" s="448"/>
      <c r="IB66" s="448"/>
      <c r="IC66" s="448"/>
      <c r="ID66" s="448"/>
      <c r="IE66" s="448"/>
      <c r="IF66" s="448"/>
      <c r="IG66" s="448"/>
      <c r="IH66" s="448"/>
      <c r="II66" s="448"/>
      <c r="IJ66" s="448"/>
      <c r="IK66" s="448"/>
      <c r="IL66" s="448"/>
      <c r="IM66" s="448"/>
      <c r="IN66" s="448"/>
      <c r="IO66" s="448"/>
      <c r="IP66" s="448"/>
      <c r="IQ66" s="448"/>
      <c r="IR66" s="448"/>
      <c r="IS66" s="448"/>
      <c r="IT66" s="448"/>
      <c r="IU66" s="448"/>
      <c r="IV66" s="448"/>
      <c r="IW66" s="448"/>
      <c r="IX66" s="448"/>
      <c r="IY66" s="448"/>
      <c r="IZ66" s="448"/>
      <c r="JA66" s="448"/>
      <c r="JB66" s="448"/>
      <c r="JC66" s="448"/>
      <c r="JD66" s="448"/>
      <c r="JE66" s="448"/>
      <c r="JF66" s="448"/>
      <c r="JG66" s="448"/>
      <c r="JH66" s="448"/>
      <c r="JI66" s="448"/>
      <c r="JJ66" s="448"/>
      <c r="JK66" s="448"/>
      <c r="JL66" s="448"/>
      <c r="JM66" s="448"/>
      <c r="JN66" s="448"/>
      <c r="JO66" s="448"/>
      <c r="JP66" s="448"/>
      <c r="JQ66" s="522"/>
      <c r="JS66" s="1"/>
    </row>
    <row r="67" spans="1:279" x14ac:dyDescent="0.25">
      <c r="A67" s="1367">
        <v>4</v>
      </c>
      <c r="B67" s="1368" t="str">
        <f t="shared" si="7"/>
        <v/>
      </c>
      <c r="D67" s="587" t="s">
        <v>2511</v>
      </c>
      <c r="E67" s="1381"/>
      <c r="F67" s="1381"/>
      <c r="G67" s="1381"/>
      <c r="H67" s="1381"/>
      <c r="I67" s="1381"/>
      <c r="J67" s="1381"/>
      <c r="K67" s="1381">
        <v>1</v>
      </c>
      <c r="L67" s="1381">
        <v>1</v>
      </c>
      <c r="M67" s="1381"/>
      <c r="N67" s="1381"/>
      <c r="O67" s="1381"/>
      <c r="P67" s="1381"/>
      <c r="Q67" s="1381">
        <v>2</v>
      </c>
      <c r="R67" s="1381"/>
      <c r="S67" s="1381"/>
      <c r="T67" s="1381"/>
      <c r="U67" s="1381"/>
      <c r="V67" s="1381"/>
      <c r="W67" s="1381"/>
      <c r="X67" s="1381"/>
      <c r="Y67" s="1381"/>
      <c r="Z67" s="1381"/>
      <c r="AA67" s="1381"/>
      <c r="AB67" s="1381"/>
      <c r="AC67" s="1381"/>
      <c r="AD67" s="1381"/>
      <c r="AE67" s="1381"/>
      <c r="AF67" s="1381"/>
      <c r="AG67" s="1381"/>
      <c r="AH67" s="1381"/>
      <c r="AI67" s="1381"/>
      <c r="AJ67" s="1381"/>
      <c r="AK67" s="1381"/>
      <c r="AL67" s="1381"/>
      <c r="AM67" s="1381"/>
      <c r="AN67" s="1381">
        <v>2</v>
      </c>
      <c r="AO67" s="1381"/>
      <c r="AP67" s="1381"/>
      <c r="AQ67" s="1381"/>
      <c r="AR67" s="1381"/>
      <c r="AS67" s="1381"/>
      <c r="AT67" s="1381"/>
      <c r="AU67" s="1381"/>
      <c r="AV67" s="1381"/>
      <c r="AW67" s="1381">
        <v>2</v>
      </c>
      <c r="AX67" s="1381"/>
      <c r="AY67" s="1381"/>
      <c r="AZ67" s="1381"/>
      <c r="BA67" s="1381"/>
      <c r="BB67" s="1381"/>
      <c r="BC67" s="1381"/>
      <c r="BD67" s="1381">
        <v>1</v>
      </c>
      <c r="BE67" s="1381"/>
      <c r="BF67" s="1381"/>
      <c r="BG67" s="1381"/>
      <c r="BH67" s="1381"/>
      <c r="BI67" s="1381"/>
      <c r="BJ67" s="1381"/>
      <c r="BK67" s="1381"/>
      <c r="BL67" s="1381"/>
      <c r="BM67" s="1381"/>
      <c r="BN67" s="1381">
        <v>1</v>
      </c>
      <c r="BO67" s="1381"/>
      <c r="BP67" s="1381"/>
      <c r="BQ67" s="1381"/>
      <c r="BR67" s="1381"/>
      <c r="BS67" s="1381"/>
      <c r="BT67" s="1381"/>
      <c r="BU67" s="1381"/>
      <c r="BV67" s="1382"/>
      <c r="BW67" s="1381">
        <v>2</v>
      </c>
      <c r="BX67" s="1381">
        <v>2</v>
      </c>
      <c r="BY67" s="1381">
        <v>2</v>
      </c>
      <c r="BZ67" s="1381"/>
      <c r="CA67" s="1381">
        <v>1</v>
      </c>
      <c r="CB67" s="1381">
        <v>1</v>
      </c>
      <c r="CC67" s="1414"/>
      <c r="CD67" s="1381"/>
      <c r="CE67" s="1414"/>
      <c r="CF67" s="1381">
        <v>1</v>
      </c>
      <c r="CG67" s="1414"/>
      <c r="CH67" s="1381"/>
      <c r="CI67" s="1414"/>
      <c r="CJ67" s="1414"/>
      <c r="CK67" s="1414"/>
      <c r="CL67" s="1414"/>
      <c r="CM67" s="1414"/>
      <c r="CN67" s="1414"/>
      <c r="CO67" s="1414"/>
      <c r="CP67" s="1414"/>
      <c r="CQ67" s="1414"/>
      <c r="CR67" s="1414"/>
      <c r="CS67" s="1414"/>
      <c r="CT67" s="1414"/>
      <c r="CU67" s="1414"/>
      <c r="CV67" s="1414"/>
      <c r="CW67" s="1414"/>
      <c r="CX67" s="1414"/>
      <c r="CY67" s="1414"/>
      <c r="CZ67" s="1414"/>
      <c r="DA67" s="1414"/>
      <c r="DB67" s="1414"/>
      <c r="DC67" s="1414"/>
      <c r="DD67" s="1414"/>
      <c r="DE67" s="1414"/>
      <c r="DF67" s="1414"/>
      <c r="DG67" s="1414"/>
      <c r="DH67" s="1414"/>
      <c r="DI67" s="1414"/>
      <c r="DJ67" s="1414"/>
      <c r="DK67" s="1414"/>
      <c r="DL67" s="1414"/>
      <c r="DM67" s="1414"/>
      <c r="DN67" s="1414"/>
      <c r="DO67" s="1414"/>
      <c r="DP67" s="1414"/>
      <c r="DQ67" s="1414"/>
      <c r="DR67" s="1414"/>
      <c r="DS67" s="1381">
        <v>2</v>
      </c>
      <c r="DT67" s="1414"/>
      <c r="DU67" s="1414"/>
      <c r="DV67" s="1414"/>
      <c r="DW67" s="1382"/>
      <c r="DX67" s="1382"/>
      <c r="DY67" s="1381">
        <v>1</v>
      </c>
      <c r="DZ67" s="1382"/>
      <c r="EA67" s="1414"/>
      <c r="EB67" s="1414"/>
      <c r="EC67" s="1414"/>
      <c r="ED67" s="1414"/>
      <c r="EE67" s="1414"/>
      <c r="EF67" s="1414"/>
      <c r="EG67" s="1414"/>
      <c r="EH67" s="1414"/>
      <c r="EI67" s="1414"/>
      <c r="EJ67" s="1414"/>
      <c r="EK67" s="1414"/>
      <c r="EL67" s="1414"/>
      <c r="EM67" s="1414"/>
      <c r="EN67" s="1414"/>
      <c r="EO67" s="1414"/>
      <c r="EP67" s="1414"/>
      <c r="EQ67" s="1414"/>
      <c r="ER67" s="1414"/>
      <c r="ES67" s="1414"/>
      <c r="ET67" s="1414"/>
      <c r="EU67" s="1414"/>
      <c r="EV67" s="1414"/>
      <c r="EW67" s="1414"/>
      <c r="EX67" s="1414"/>
      <c r="EY67" s="1414"/>
      <c r="EZ67" s="1414"/>
      <c r="FA67" s="1414"/>
      <c r="FB67" s="1381">
        <v>1</v>
      </c>
      <c r="FC67" s="1414"/>
      <c r="FD67" s="1414"/>
      <c r="FE67" s="1414"/>
      <c r="FF67" s="1414"/>
      <c r="FG67" s="1414"/>
      <c r="FH67" s="1414"/>
      <c r="FI67" s="1414"/>
      <c r="FJ67" s="1414"/>
      <c r="FK67" s="1414"/>
      <c r="FL67" s="1414"/>
      <c r="FM67" s="1414"/>
      <c r="FN67" s="1414"/>
      <c r="FO67" s="1414"/>
      <c r="FP67" s="1414"/>
      <c r="FQ67" s="1414"/>
      <c r="FR67" s="1414"/>
      <c r="FS67" s="1414"/>
      <c r="FT67" s="1414"/>
      <c r="FU67" s="1414"/>
      <c r="FV67" s="1414"/>
      <c r="FW67" s="1414"/>
      <c r="FX67" s="1414"/>
      <c r="FY67" s="1382"/>
      <c r="FZ67" s="1382"/>
      <c r="GA67" s="1382"/>
      <c r="GB67" s="1382"/>
      <c r="GC67" s="1414"/>
      <c r="GD67" s="1414"/>
      <c r="GE67" s="1414"/>
      <c r="GF67" s="1414"/>
      <c r="GG67" s="1414"/>
      <c r="GH67" s="1414"/>
      <c r="GI67" s="1414"/>
      <c r="GJ67" s="1414"/>
      <c r="GK67" s="1414"/>
      <c r="GL67" s="1414"/>
      <c r="GM67" s="1414"/>
      <c r="GN67" s="1414"/>
      <c r="GO67" s="1414"/>
      <c r="GP67" s="1414"/>
      <c r="GQ67" s="1414"/>
      <c r="GR67" s="1414"/>
      <c r="GS67" s="1414"/>
      <c r="GT67" s="1414"/>
      <c r="GU67" s="1414"/>
      <c r="GV67" s="1414"/>
      <c r="GW67" s="1414"/>
      <c r="GX67" s="1414"/>
      <c r="GY67" s="1414"/>
      <c r="GZ67" s="1414"/>
      <c r="HA67" s="1414"/>
      <c r="HB67" s="1414"/>
      <c r="HC67" s="1414"/>
      <c r="HD67" s="1414"/>
      <c r="HE67" s="1414"/>
      <c r="HF67" s="1414"/>
      <c r="HG67" s="1414"/>
      <c r="HH67" s="1414"/>
      <c r="HI67" s="1414"/>
      <c r="HJ67" s="1414"/>
      <c r="HK67" s="1414"/>
      <c r="HL67" s="1414"/>
      <c r="HM67" s="1414"/>
      <c r="HN67" s="1414"/>
      <c r="HO67" s="1414"/>
      <c r="HP67" s="1414"/>
      <c r="HQ67" s="1414"/>
      <c r="HR67" s="1414"/>
      <c r="HS67" s="1414"/>
      <c r="HT67" s="1414"/>
      <c r="HU67" s="1414"/>
      <c r="HV67" s="1414"/>
      <c r="HW67" s="1414"/>
      <c r="HX67" s="1414"/>
      <c r="HY67" s="1414"/>
      <c r="HZ67" s="1414"/>
      <c r="IA67" s="1414"/>
      <c r="IB67" s="1414"/>
      <c r="IC67" s="1414"/>
      <c r="ID67" s="1414"/>
      <c r="IE67" s="1414"/>
      <c r="IF67" s="1414"/>
      <c r="IG67" s="1414"/>
      <c r="IH67" s="1414"/>
      <c r="II67" s="1414"/>
      <c r="IJ67" s="1414"/>
      <c r="IK67" s="1414"/>
      <c r="IL67" s="1414"/>
      <c r="IM67" s="1414"/>
      <c r="IN67" s="1414"/>
      <c r="IO67" s="1414"/>
      <c r="IP67" s="1414"/>
      <c r="IQ67" s="1414"/>
      <c r="IR67" s="1414"/>
      <c r="IS67" s="1414"/>
      <c r="IT67" s="1414"/>
      <c r="IU67" s="1414"/>
      <c r="IV67" s="1414"/>
      <c r="IW67" s="1414"/>
      <c r="IX67" s="1414"/>
      <c r="IY67" s="1414"/>
      <c r="IZ67" s="1414"/>
      <c r="JA67" s="1414"/>
      <c r="JB67" s="1414"/>
      <c r="JC67" s="1414"/>
      <c r="JD67" s="1414"/>
      <c r="JE67" s="1414"/>
      <c r="JF67" s="1414"/>
      <c r="JG67" s="1414"/>
      <c r="JH67" s="1414"/>
      <c r="JI67" s="1414"/>
      <c r="JJ67" s="1414"/>
      <c r="JK67" s="1414"/>
      <c r="JL67" s="1414"/>
      <c r="JM67" s="1414"/>
      <c r="JN67" s="1414"/>
      <c r="JO67" s="1414"/>
      <c r="JP67" s="1414"/>
      <c r="JQ67" s="1415"/>
      <c r="JS67" s="1"/>
    </row>
    <row r="68" spans="1:279" x14ac:dyDescent="0.25">
      <c r="A68" s="1367">
        <v>5</v>
      </c>
      <c r="B68" s="1368" t="str">
        <f t="shared" si="7"/>
        <v/>
      </c>
      <c r="D68" s="588" t="str">
        <f>data!B198&amp;" = "&amp;"Before 6/4/"&amp;MCA_year</f>
        <v>1 = Before 6/4/1935</v>
      </c>
      <c r="G68" s="448" t="str">
        <f>data!B196&amp;" = "&amp;"After 5/4/"&amp;MCA_year&amp;" or not present"</f>
        <v>2 = After 5/4/1935 or not present</v>
      </c>
      <c r="AU68" s="448" t="str">
        <f>data!B196&amp;" = "&amp;"After 5/4/"&amp;MCA_year&amp;" or not present"</f>
        <v>2 = After 5/4/1935 or not present</v>
      </c>
      <c r="JQ68" s="522"/>
      <c r="JS68" s="1"/>
    </row>
    <row r="69" spans="1:279" x14ac:dyDescent="0.25">
      <c r="A69" s="1367">
        <v>6</v>
      </c>
      <c r="B69" s="1368" t="str">
        <f t="shared" si="7"/>
        <v/>
      </c>
      <c r="D69" s="587" t="s">
        <v>2512</v>
      </c>
      <c r="E69" s="1381"/>
      <c r="F69" s="1381"/>
      <c r="G69" s="1381"/>
      <c r="H69" s="1381"/>
      <c r="I69" s="1381"/>
      <c r="J69" s="1381"/>
      <c r="K69" s="1381">
        <v>1</v>
      </c>
      <c r="L69" s="1381">
        <v>1</v>
      </c>
      <c r="M69" s="1381"/>
      <c r="N69" s="1381"/>
      <c r="O69" s="1381"/>
      <c r="P69" s="1381"/>
      <c r="Q69" s="1381">
        <v>3</v>
      </c>
      <c r="R69" s="1381"/>
      <c r="S69" s="1381"/>
      <c r="T69" s="1381"/>
      <c r="U69" s="1381"/>
      <c r="V69" s="1381"/>
      <c r="W69" s="1381"/>
      <c r="X69" s="1381"/>
      <c r="Y69" s="1381"/>
      <c r="Z69" s="1381"/>
      <c r="AA69" s="1381"/>
      <c r="AB69" s="1381"/>
      <c r="AC69" s="1381"/>
      <c r="AD69" s="1381"/>
      <c r="AE69" s="1381"/>
      <c r="AF69" s="1381"/>
      <c r="AG69" s="1381"/>
      <c r="AH69" s="1381"/>
      <c r="AI69" s="1381"/>
      <c r="AJ69" s="1381"/>
      <c r="AK69" s="1381"/>
      <c r="AL69" s="1381"/>
      <c r="AM69" s="1381"/>
      <c r="AN69" s="1381">
        <v>3</v>
      </c>
      <c r="AO69" s="1381"/>
      <c r="AP69" s="1381"/>
      <c r="AQ69" s="1381"/>
      <c r="AR69" s="1381"/>
      <c r="AS69" s="1381"/>
      <c r="AT69" s="1381"/>
      <c r="AU69" s="1381"/>
      <c r="AV69" s="1381"/>
      <c r="AW69" s="1381">
        <v>2</v>
      </c>
      <c r="AX69" s="1381"/>
      <c r="AY69" s="1381"/>
      <c r="AZ69" s="1381"/>
      <c r="BA69" s="1381"/>
      <c r="BB69" s="1381"/>
      <c r="BC69" s="1381"/>
      <c r="BD69" s="1381">
        <v>1</v>
      </c>
      <c r="BE69" s="1381"/>
      <c r="BF69" s="1381"/>
      <c r="BG69" s="1381"/>
      <c r="BH69" s="1381"/>
      <c r="BI69" s="1381"/>
      <c r="BJ69" s="1381"/>
      <c r="BK69" s="1381"/>
      <c r="BL69" s="1381"/>
      <c r="BM69" s="1381"/>
      <c r="BN69" s="1381">
        <v>1</v>
      </c>
      <c r="BO69" s="1381"/>
      <c r="BP69" s="1381"/>
      <c r="BQ69" s="1381"/>
      <c r="BR69" s="1381"/>
      <c r="BS69" s="1381"/>
      <c r="BT69" s="1381"/>
      <c r="BU69" s="1381"/>
      <c r="BV69" s="1382"/>
      <c r="BW69" s="1381">
        <v>1</v>
      </c>
      <c r="BX69" s="1381">
        <v>1</v>
      </c>
      <c r="BY69" s="1381">
        <v>1</v>
      </c>
      <c r="BZ69" s="1381"/>
      <c r="CA69" s="1381">
        <v>1</v>
      </c>
      <c r="CB69" s="1381">
        <v>1</v>
      </c>
      <c r="CC69" s="1414"/>
      <c r="CD69" s="1381"/>
      <c r="CE69" s="1414"/>
      <c r="CF69" s="1381">
        <v>1</v>
      </c>
      <c r="CG69" s="1414"/>
      <c r="CH69" s="1381"/>
      <c r="CI69" s="1414"/>
      <c r="CJ69" s="1414"/>
      <c r="CK69" s="1414"/>
      <c r="CL69" s="1414"/>
      <c r="CM69" s="1414"/>
      <c r="CN69" s="1414"/>
      <c r="CO69" s="1414"/>
      <c r="CP69" s="1414"/>
      <c r="CQ69" s="1414"/>
      <c r="CR69" s="1414"/>
      <c r="CS69" s="1414"/>
      <c r="CT69" s="1414"/>
      <c r="CU69" s="1414"/>
      <c r="CV69" s="1414"/>
      <c r="CW69" s="1414"/>
      <c r="CX69" s="1414"/>
      <c r="CY69" s="1414"/>
      <c r="CZ69" s="1414"/>
      <c r="DA69" s="1414"/>
      <c r="DB69" s="1414"/>
      <c r="DC69" s="1414"/>
      <c r="DD69" s="1414"/>
      <c r="DE69" s="1414"/>
      <c r="DF69" s="1414"/>
      <c r="DG69" s="1414"/>
      <c r="DH69" s="1414"/>
      <c r="DI69" s="1414"/>
      <c r="DJ69" s="1414"/>
      <c r="DK69" s="1414"/>
      <c r="DL69" s="1414"/>
      <c r="DM69" s="1414"/>
      <c r="DN69" s="1414"/>
      <c r="DO69" s="1414"/>
      <c r="DP69" s="1414"/>
      <c r="DQ69" s="1414"/>
      <c r="DR69" s="1414"/>
      <c r="DS69" s="1381">
        <v>1</v>
      </c>
      <c r="DT69" s="1414"/>
      <c r="DU69" s="1414"/>
      <c r="DV69" s="1414"/>
      <c r="DW69" s="1382"/>
      <c r="DX69" s="1382"/>
      <c r="DY69" s="1381">
        <v>1</v>
      </c>
      <c r="DZ69" s="1382"/>
      <c r="EA69" s="1414"/>
      <c r="EB69" s="1414"/>
      <c r="EC69" s="1414"/>
      <c r="ED69" s="1414"/>
      <c r="EE69" s="1414"/>
      <c r="EF69" s="1414"/>
      <c r="EG69" s="1414"/>
      <c r="EH69" s="1414"/>
      <c r="EI69" s="1414"/>
      <c r="EJ69" s="1414"/>
      <c r="EK69" s="1414"/>
      <c r="EL69" s="1414"/>
      <c r="EM69" s="1414"/>
      <c r="EN69" s="1414"/>
      <c r="EO69" s="1414"/>
      <c r="EP69" s="1414"/>
      <c r="EQ69" s="1414"/>
      <c r="ER69" s="1414"/>
      <c r="ES69" s="1414"/>
      <c r="ET69" s="1414"/>
      <c r="EU69" s="1414"/>
      <c r="EV69" s="1414"/>
      <c r="EW69" s="1414"/>
      <c r="EX69" s="1414"/>
      <c r="EY69" s="1414"/>
      <c r="EZ69" s="1414"/>
      <c r="FA69" s="1414"/>
      <c r="FB69" s="1381">
        <v>1</v>
      </c>
      <c r="FC69" s="1414"/>
      <c r="FD69" s="1414"/>
      <c r="FE69" s="1414"/>
      <c r="FF69" s="1414"/>
      <c r="FG69" s="1414"/>
      <c r="FH69" s="1414"/>
      <c r="FI69" s="1414"/>
      <c r="FJ69" s="1414"/>
      <c r="FK69" s="1414"/>
      <c r="FL69" s="1414"/>
      <c r="FM69" s="1414"/>
      <c r="FN69" s="1414"/>
      <c r="FO69" s="1414"/>
      <c r="FP69" s="1414"/>
      <c r="FQ69" s="1414"/>
      <c r="FR69" s="1414"/>
      <c r="FS69" s="1414"/>
      <c r="FT69" s="1414"/>
      <c r="FU69" s="1414"/>
      <c r="FV69" s="1414"/>
      <c r="FW69" s="1414"/>
      <c r="FX69" s="1414"/>
      <c r="FY69" s="1382"/>
      <c r="FZ69" s="1382"/>
      <c r="GA69" s="1382"/>
      <c r="GB69" s="1382"/>
      <c r="GC69" s="1414"/>
      <c r="GD69" s="1414"/>
      <c r="GE69" s="1414"/>
      <c r="GF69" s="1414"/>
      <c r="GG69" s="1414"/>
      <c r="GH69" s="1414"/>
      <c r="GI69" s="1414"/>
      <c r="GJ69" s="1414"/>
      <c r="GK69" s="1414"/>
      <c r="GL69" s="1414"/>
      <c r="GM69" s="1414"/>
      <c r="GN69" s="1414"/>
      <c r="GO69" s="1414"/>
      <c r="GP69" s="1414"/>
      <c r="GQ69" s="1414"/>
      <c r="GR69" s="1414"/>
      <c r="GS69" s="1414"/>
      <c r="GT69" s="1414"/>
      <c r="GU69" s="1414"/>
      <c r="GV69" s="1414"/>
      <c r="GW69" s="1414"/>
      <c r="GX69" s="1414"/>
      <c r="GY69" s="1414"/>
      <c r="GZ69" s="1414"/>
      <c r="HA69" s="1414"/>
      <c r="HB69" s="1414"/>
      <c r="HC69" s="1414"/>
      <c r="HD69" s="1414"/>
      <c r="HE69" s="1414"/>
      <c r="HF69" s="1414"/>
      <c r="HG69" s="1414"/>
      <c r="HH69" s="1414"/>
      <c r="HI69" s="1414"/>
      <c r="HJ69" s="1414"/>
      <c r="HK69" s="1414"/>
      <c r="HL69" s="1414"/>
      <c r="HM69" s="1414"/>
      <c r="HN69" s="1414"/>
      <c r="HO69" s="1414"/>
      <c r="HP69" s="1414"/>
      <c r="HQ69" s="1414"/>
      <c r="HR69" s="1414"/>
      <c r="HS69" s="1414"/>
      <c r="HT69" s="1414"/>
      <c r="HU69" s="1414"/>
      <c r="HV69" s="1414"/>
      <c r="HW69" s="1414"/>
      <c r="HX69" s="1414"/>
      <c r="HY69" s="1414"/>
      <c r="HZ69" s="1414"/>
      <c r="IA69" s="1414"/>
      <c r="IB69" s="1414"/>
      <c r="IC69" s="1414"/>
      <c r="ID69" s="1414"/>
      <c r="IE69" s="1414"/>
      <c r="IF69" s="1414"/>
      <c r="IG69" s="1414"/>
      <c r="IH69" s="1414"/>
      <c r="II69" s="1414"/>
      <c r="IJ69" s="1414"/>
      <c r="IK69" s="1414"/>
      <c r="IL69" s="1414"/>
      <c r="IM69" s="1414"/>
      <c r="IN69" s="1414"/>
      <c r="IO69" s="1414"/>
      <c r="IP69" s="1414"/>
      <c r="IQ69" s="1414"/>
      <c r="IR69" s="1414"/>
      <c r="IS69" s="1414"/>
      <c r="IT69" s="1414"/>
      <c r="IU69" s="1414"/>
      <c r="IV69" s="1414"/>
      <c r="IW69" s="1414"/>
      <c r="IX69" s="1414"/>
      <c r="IY69" s="1414"/>
      <c r="IZ69" s="1414"/>
      <c r="JA69" s="1414"/>
      <c r="JB69" s="1414"/>
      <c r="JC69" s="1414"/>
      <c r="JD69" s="1414"/>
      <c r="JE69" s="1414"/>
      <c r="JF69" s="1414"/>
      <c r="JG69" s="1414"/>
      <c r="JH69" s="1414"/>
      <c r="JI69" s="1414"/>
      <c r="JJ69" s="1414"/>
      <c r="JK69" s="1414"/>
      <c r="JL69" s="1414"/>
      <c r="JM69" s="1414"/>
      <c r="JN69" s="1414"/>
      <c r="JO69" s="1414"/>
      <c r="JP69" s="1414"/>
      <c r="JQ69" s="1415"/>
      <c r="JS69" s="1"/>
    </row>
    <row r="70" spans="1:279" x14ac:dyDescent="0.25">
      <c r="A70" s="1367">
        <v>7</v>
      </c>
      <c r="B70" s="1368" t="str">
        <f t="shared" si="7"/>
        <v/>
      </c>
      <c r="D70" s="588" t="s">
        <v>2513</v>
      </c>
      <c r="G70" s="448" t="s">
        <v>2514</v>
      </c>
      <c r="J70" s="448" t="s">
        <v>2515</v>
      </c>
      <c r="K70" s="448"/>
      <c r="Q70" s="448"/>
      <c r="AU70" s="448" t="s">
        <v>2514</v>
      </c>
      <c r="AW70" s="448"/>
      <c r="AX70" s="448" t="s">
        <v>2515</v>
      </c>
      <c r="AY70" s="448"/>
      <c r="GB70" s="448"/>
      <c r="JQ70" s="522"/>
      <c r="JS70" s="1"/>
    </row>
    <row r="71" spans="1:279" ht="12" thickBot="1" x14ac:dyDescent="0.3">
      <c r="A71" s="1367">
        <v>8</v>
      </c>
      <c r="B71" s="1368" t="str">
        <f t="shared" si="7"/>
        <v/>
      </c>
      <c r="D71" s="589" t="s">
        <v>2516</v>
      </c>
      <c r="E71" s="712"/>
      <c r="F71" s="712"/>
      <c r="G71" s="712"/>
      <c r="H71" s="712"/>
      <c r="I71" s="712"/>
      <c r="J71" s="712"/>
      <c r="K71" s="712">
        <v>10</v>
      </c>
      <c r="L71" s="712">
        <v>2</v>
      </c>
      <c r="M71" s="712"/>
      <c r="N71" s="712"/>
      <c r="O71" s="712"/>
      <c r="P71" s="712"/>
      <c r="Q71" s="712">
        <v>5</v>
      </c>
      <c r="R71" s="712"/>
      <c r="S71" s="712"/>
      <c r="T71" s="712"/>
      <c r="U71" s="712"/>
      <c r="V71" s="712"/>
      <c r="W71" s="712"/>
      <c r="X71" s="712"/>
      <c r="Y71" s="712"/>
      <c r="Z71" s="712"/>
      <c r="AA71" s="712"/>
      <c r="AB71" s="712"/>
      <c r="AC71" s="712"/>
      <c r="AD71" s="712"/>
      <c r="AE71" s="712"/>
      <c r="AF71" s="712"/>
      <c r="AG71" s="712"/>
      <c r="AH71" s="712"/>
      <c r="AI71" s="712"/>
      <c r="AJ71" s="712"/>
      <c r="AK71" s="712"/>
      <c r="AL71" s="712"/>
      <c r="AM71" s="712"/>
      <c r="AN71" s="712">
        <v>1</v>
      </c>
      <c r="AO71" s="712"/>
      <c r="AP71" s="712"/>
      <c r="AQ71" s="712"/>
      <c r="AR71" s="712"/>
      <c r="AS71" s="712"/>
      <c r="AT71" s="712"/>
      <c r="AU71" s="712"/>
      <c r="AV71" s="712"/>
      <c r="AW71" s="712">
        <v>1</v>
      </c>
      <c r="AX71" s="712"/>
      <c r="AY71" s="712"/>
      <c r="AZ71" s="712"/>
      <c r="BA71" s="712"/>
      <c r="BB71" s="712"/>
      <c r="BC71" s="712"/>
      <c r="BD71" s="712">
        <v>2</v>
      </c>
      <c r="BE71" s="712"/>
      <c r="BF71" s="712"/>
      <c r="BG71" s="712"/>
      <c r="BH71" s="712"/>
      <c r="BI71" s="712"/>
      <c r="BJ71" s="712"/>
      <c r="BK71" s="712"/>
      <c r="BL71" s="712"/>
      <c r="BM71" s="712"/>
      <c r="BN71" s="712">
        <v>2</v>
      </c>
      <c r="BO71" s="712"/>
      <c r="BP71" s="712"/>
      <c r="BQ71" s="712"/>
      <c r="BR71" s="712"/>
      <c r="BS71" s="712"/>
      <c r="BT71" s="712"/>
      <c r="BU71" s="712"/>
      <c r="BV71" s="1005"/>
      <c r="BW71" s="712">
        <v>1</v>
      </c>
      <c r="BX71" s="712">
        <v>1</v>
      </c>
      <c r="BY71" s="712">
        <v>1</v>
      </c>
      <c r="BZ71" s="712"/>
      <c r="CA71" s="712">
        <v>2</v>
      </c>
      <c r="CB71" s="712">
        <v>2</v>
      </c>
      <c r="CC71" s="718"/>
      <c r="CD71" s="712"/>
      <c r="CE71" s="718"/>
      <c r="CF71" s="712">
        <v>2</v>
      </c>
      <c r="CG71" s="718"/>
      <c r="CH71" s="712"/>
      <c r="CI71" s="718"/>
      <c r="CJ71" s="718"/>
      <c r="CK71" s="718"/>
      <c r="CL71" s="718"/>
      <c r="CM71" s="718"/>
      <c r="CN71" s="718"/>
      <c r="CO71" s="718"/>
      <c r="CP71" s="718"/>
      <c r="CQ71" s="718"/>
      <c r="CR71" s="718"/>
      <c r="CS71" s="718"/>
      <c r="CT71" s="718"/>
      <c r="CU71" s="718"/>
      <c r="CV71" s="718"/>
      <c r="CW71" s="718"/>
      <c r="CX71" s="718"/>
      <c r="CY71" s="718"/>
      <c r="CZ71" s="718"/>
      <c r="DA71" s="718"/>
      <c r="DB71" s="718"/>
      <c r="DC71" s="718"/>
      <c r="DD71" s="718"/>
      <c r="DE71" s="718"/>
      <c r="DF71" s="718"/>
      <c r="DG71" s="718"/>
      <c r="DH71" s="718"/>
      <c r="DI71" s="718"/>
      <c r="DJ71" s="718"/>
      <c r="DK71" s="718"/>
      <c r="DL71" s="718"/>
      <c r="DM71" s="718"/>
      <c r="DN71" s="718"/>
      <c r="DO71" s="718"/>
      <c r="DP71" s="718"/>
      <c r="DQ71" s="718"/>
      <c r="DR71" s="718"/>
      <c r="DS71" s="712">
        <v>1</v>
      </c>
      <c r="DT71" s="718"/>
      <c r="DU71" s="718"/>
      <c r="DV71" s="718"/>
      <c r="DW71" s="1005"/>
      <c r="DX71" s="1005"/>
      <c r="DY71" s="712">
        <v>2</v>
      </c>
      <c r="DZ71" s="1005"/>
      <c r="EA71" s="718"/>
      <c r="EB71" s="718"/>
      <c r="EC71" s="718"/>
      <c r="ED71" s="718"/>
      <c r="EE71" s="718"/>
      <c r="EF71" s="718"/>
      <c r="EG71" s="718"/>
      <c r="EH71" s="718"/>
      <c r="EI71" s="718"/>
      <c r="EJ71" s="718"/>
      <c r="EK71" s="718"/>
      <c r="EL71" s="718"/>
      <c r="EM71" s="718"/>
      <c r="EN71" s="718"/>
      <c r="EO71" s="718"/>
      <c r="EP71" s="718"/>
      <c r="EQ71" s="718"/>
      <c r="ER71" s="718"/>
      <c r="ES71" s="718"/>
      <c r="ET71" s="718"/>
      <c r="EU71" s="718"/>
      <c r="EV71" s="718"/>
      <c r="EW71" s="718"/>
      <c r="EX71" s="718"/>
      <c r="EY71" s="718"/>
      <c r="EZ71" s="718"/>
      <c r="FA71" s="718"/>
      <c r="FB71" s="712">
        <v>2</v>
      </c>
      <c r="FC71" s="718"/>
      <c r="FD71" s="718"/>
      <c r="FE71" s="718"/>
      <c r="FF71" s="718"/>
      <c r="FG71" s="718"/>
      <c r="FH71" s="718"/>
      <c r="FI71" s="718"/>
      <c r="FJ71" s="718"/>
      <c r="FK71" s="718"/>
      <c r="FL71" s="718"/>
      <c r="FM71" s="718"/>
      <c r="FN71" s="718"/>
      <c r="FO71" s="718"/>
      <c r="FP71" s="718"/>
      <c r="FQ71" s="718"/>
      <c r="FR71" s="718"/>
      <c r="FS71" s="718"/>
      <c r="FT71" s="718"/>
      <c r="FU71" s="718"/>
      <c r="FV71" s="718"/>
      <c r="FW71" s="718"/>
      <c r="FX71" s="718"/>
      <c r="FY71" s="1005"/>
      <c r="FZ71" s="1005"/>
      <c r="GA71" s="1005"/>
      <c r="GB71" s="1005"/>
      <c r="GC71" s="718"/>
      <c r="GD71" s="718"/>
      <c r="GE71" s="718"/>
      <c r="GF71" s="718"/>
      <c r="GG71" s="718"/>
      <c r="GH71" s="718"/>
      <c r="GI71" s="718"/>
      <c r="GJ71" s="718"/>
      <c r="GK71" s="718"/>
      <c r="GL71" s="718"/>
      <c r="GM71" s="718"/>
      <c r="GN71" s="718"/>
      <c r="GO71" s="718"/>
      <c r="GP71" s="718"/>
      <c r="GQ71" s="718"/>
      <c r="GR71" s="718"/>
      <c r="GS71" s="718"/>
      <c r="GT71" s="718"/>
      <c r="GU71" s="718"/>
      <c r="GV71" s="718"/>
      <c r="GW71" s="718"/>
      <c r="GX71" s="718"/>
      <c r="GY71" s="718"/>
      <c r="GZ71" s="718"/>
      <c r="HA71" s="718"/>
      <c r="HB71" s="718"/>
      <c r="HC71" s="718"/>
      <c r="HD71" s="718"/>
      <c r="HE71" s="718"/>
      <c r="HF71" s="718"/>
      <c r="HG71" s="718"/>
      <c r="HH71" s="718"/>
      <c r="HI71" s="718"/>
      <c r="HJ71" s="718"/>
      <c r="HK71" s="718"/>
      <c r="HL71" s="718"/>
      <c r="HM71" s="718"/>
      <c r="HN71" s="718"/>
      <c r="HO71" s="718"/>
      <c r="HP71" s="718"/>
      <c r="HQ71" s="718"/>
      <c r="HR71" s="718"/>
      <c r="HS71" s="718"/>
      <c r="HT71" s="718"/>
      <c r="HU71" s="718"/>
      <c r="HV71" s="718"/>
      <c r="HW71" s="718"/>
      <c r="HX71" s="718"/>
      <c r="HY71" s="718"/>
      <c r="HZ71" s="718"/>
      <c r="IA71" s="718"/>
      <c r="IB71" s="718"/>
      <c r="IC71" s="718"/>
      <c r="ID71" s="718"/>
      <c r="IE71" s="718"/>
      <c r="IF71" s="718"/>
      <c r="IG71" s="718"/>
      <c r="IH71" s="718"/>
      <c r="II71" s="718"/>
      <c r="IJ71" s="718"/>
      <c r="IK71" s="718"/>
      <c r="IL71" s="718"/>
      <c r="IM71" s="718"/>
      <c r="IN71" s="718"/>
      <c r="IO71" s="718"/>
      <c r="IP71" s="718"/>
      <c r="IQ71" s="718"/>
      <c r="IR71" s="718"/>
      <c r="IS71" s="718"/>
      <c r="IT71" s="718"/>
      <c r="IU71" s="718"/>
      <c r="IV71" s="718"/>
      <c r="IW71" s="718"/>
      <c r="IX71" s="718"/>
      <c r="IY71" s="718"/>
      <c r="IZ71" s="718"/>
      <c r="JA71" s="718"/>
      <c r="JB71" s="718"/>
      <c r="JC71" s="718"/>
      <c r="JD71" s="718"/>
      <c r="JE71" s="718"/>
      <c r="JF71" s="718"/>
      <c r="JG71" s="718"/>
      <c r="JH71" s="718"/>
      <c r="JI71" s="718"/>
      <c r="JJ71" s="718"/>
      <c r="JK71" s="718"/>
      <c r="JL71" s="718"/>
      <c r="JM71" s="718"/>
      <c r="JN71" s="718"/>
      <c r="JO71" s="718"/>
      <c r="JP71" s="718"/>
      <c r="JQ71" s="719"/>
      <c r="JS71" s="1"/>
    </row>
    <row r="72" spans="1:279" x14ac:dyDescent="0.25">
      <c r="D72" s="448" t="str">
        <f>"1 = "&amp;'allowances (c14c15)'!C105</f>
        <v>1 = Before 6 May 2025 (or no date entered)</v>
      </c>
      <c r="H72" s="448" t="str">
        <f>"Whole months since 6/4/"&amp;Tax_year_start&amp;" + 1"</f>
        <v>Whole months since 6/4/2025 + 1</v>
      </c>
      <c r="AV72" s="448" t="str">
        <f>"Whole months since 6/4/"&amp;Tax_year_start&amp;" + 1"</f>
        <v>Whole months since 6/4/2025 + 1</v>
      </c>
      <c r="JS72" s="1"/>
    </row>
    <row r="73" spans="1:279" ht="12" thickBot="1" x14ac:dyDescent="0.3">
      <c r="C73" s="456" t="s">
        <v>2517</v>
      </c>
      <c r="D73" s="590"/>
    </row>
    <row r="74" spans="1:279" x14ac:dyDescent="0.25">
      <c r="A74" s="1367" t="s">
        <v>2201</v>
      </c>
      <c r="B74" s="406" t="str">
        <f>"selected "&amp;MCA_IND-1</f>
        <v>selected 0</v>
      </c>
      <c r="C74" s="287" t="s">
        <v>19</v>
      </c>
      <c r="D74" s="262"/>
      <c r="E74" s="418">
        <v>1</v>
      </c>
      <c r="F74" s="418">
        <v>2</v>
      </c>
      <c r="G74" s="418">
        <v>3</v>
      </c>
      <c r="H74" s="418">
        <v>4</v>
      </c>
      <c r="I74" s="418">
        <v>5</v>
      </c>
      <c r="J74" s="418">
        <v>6</v>
      </c>
      <c r="K74" s="418">
        <v>7</v>
      </c>
      <c r="L74" s="418">
        <v>8</v>
      </c>
      <c r="M74" s="418">
        <v>9</v>
      </c>
      <c r="N74" s="418">
        <v>10</v>
      </c>
      <c r="O74" s="418">
        <v>11</v>
      </c>
      <c r="P74" s="418">
        <v>12</v>
      </c>
      <c r="Q74" s="418">
        <v>13</v>
      </c>
      <c r="R74" s="418">
        <v>14</v>
      </c>
      <c r="S74" s="418">
        <v>15</v>
      </c>
      <c r="T74" s="418">
        <v>16</v>
      </c>
      <c r="U74" s="418">
        <v>17</v>
      </c>
      <c r="V74" s="418">
        <v>18</v>
      </c>
      <c r="W74" s="418">
        <v>19</v>
      </c>
      <c r="X74" s="418">
        <v>20</v>
      </c>
      <c r="Y74" s="418">
        <v>21</v>
      </c>
      <c r="Z74" s="418">
        <v>22</v>
      </c>
      <c r="AA74" s="418">
        <v>23</v>
      </c>
      <c r="AB74" s="418">
        <v>24</v>
      </c>
      <c r="AC74" s="418">
        <v>25</v>
      </c>
      <c r="AD74" s="418">
        <v>26</v>
      </c>
      <c r="AE74" s="418">
        <v>27</v>
      </c>
      <c r="AF74" s="418">
        <v>28</v>
      </c>
      <c r="AG74" s="418">
        <v>29</v>
      </c>
      <c r="AH74" s="418">
        <v>30</v>
      </c>
      <c r="AI74" s="418">
        <v>31</v>
      </c>
      <c r="AJ74" s="418">
        <v>32</v>
      </c>
      <c r="AK74" s="418">
        <v>33</v>
      </c>
      <c r="AL74" s="418">
        <v>34</v>
      </c>
      <c r="AM74" s="418">
        <v>35</v>
      </c>
      <c r="AN74" s="418">
        <v>36</v>
      </c>
      <c r="AO74" s="418">
        <v>37</v>
      </c>
      <c r="AP74" s="418">
        <v>38</v>
      </c>
      <c r="AQ74" s="418">
        <v>39</v>
      </c>
      <c r="AR74" s="418">
        <v>40</v>
      </c>
      <c r="AS74" s="418">
        <v>41</v>
      </c>
      <c r="AT74" s="418">
        <v>42</v>
      </c>
      <c r="AU74" s="418">
        <v>43</v>
      </c>
      <c r="AV74" s="418">
        <v>44</v>
      </c>
      <c r="AW74" s="418">
        <v>45</v>
      </c>
      <c r="AX74" s="418">
        <v>46</v>
      </c>
      <c r="AY74" s="418">
        <v>47</v>
      </c>
      <c r="AZ74" s="418">
        <v>48</v>
      </c>
      <c r="BA74" s="418">
        <v>49</v>
      </c>
      <c r="BB74" s="418">
        <v>50</v>
      </c>
      <c r="BC74" s="418">
        <v>51</v>
      </c>
      <c r="BD74" s="418">
        <v>52</v>
      </c>
      <c r="BE74" s="418">
        <v>53</v>
      </c>
      <c r="BF74" s="418">
        <v>54</v>
      </c>
      <c r="BG74" s="418">
        <v>55</v>
      </c>
      <c r="BH74" s="418">
        <v>56</v>
      </c>
      <c r="BI74" s="418">
        <v>57</v>
      </c>
      <c r="BJ74" s="418">
        <v>58</v>
      </c>
      <c r="BK74" s="418">
        <v>59</v>
      </c>
      <c r="BL74" s="418">
        <v>60</v>
      </c>
      <c r="BM74" s="418">
        <v>61</v>
      </c>
      <c r="BN74" s="418">
        <v>62</v>
      </c>
      <c r="BO74" s="418">
        <v>63</v>
      </c>
      <c r="BP74" s="418">
        <v>64</v>
      </c>
      <c r="BQ74" s="418">
        <v>65</v>
      </c>
      <c r="BR74" s="418">
        <v>66</v>
      </c>
      <c r="BS74" s="418">
        <v>67</v>
      </c>
      <c r="BT74" s="418">
        <v>68</v>
      </c>
      <c r="BU74" s="418">
        <v>69</v>
      </c>
      <c r="BV74" s="418">
        <v>70</v>
      </c>
      <c r="BW74" s="418">
        <v>71</v>
      </c>
      <c r="BX74" s="418">
        <v>72</v>
      </c>
      <c r="BY74" s="418">
        <v>73</v>
      </c>
      <c r="BZ74" s="418">
        <v>74</v>
      </c>
      <c r="CA74" s="418">
        <v>75</v>
      </c>
      <c r="CB74" s="418">
        <v>76</v>
      </c>
      <c r="CC74" s="418">
        <v>77</v>
      </c>
      <c r="CD74" s="418">
        <v>78</v>
      </c>
      <c r="CE74" s="418">
        <v>79</v>
      </c>
      <c r="CF74" s="418">
        <v>80</v>
      </c>
      <c r="CG74" s="418">
        <v>81</v>
      </c>
      <c r="CH74" s="418">
        <v>82</v>
      </c>
      <c r="CI74" s="418">
        <v>83</v>
      </c>
      <c r="CJ74" s="418">
        <v>84</v>
      </c>
      <c r="CK74" s="418">
        <v>85</v>
      </c>
      <c r="CL74" s="418">
        <v>86</v>
      </c>
      <c r="CM74" s="418">
        <v>87</v>
      </c>
      <c r="CN74" s="418">
        <v>88</v>
      </c>
      <c r="CO74" s="418">
        <v>89</v>
      </c>
      <c r="CP74" s="418">
        <v>90</v>
      </c>
      <c r="CQ74" s="418">
        <v>91</v>
      </c>
      <c r="CR74" s="418">
        <v>92</v>
      </c>
      <c r="CS74" s="418">
        <v>93</v>
      </c>
      <c r="CT74" s="418">
        <v>94</v>
      </c>
      <c r="CU74" s="418">
        <v>95</v>
      </c>
      <c r="CV74" s="418">
        <v>96</v>
      </c>
      <c r="CW74" s="418">
        <v>97</v>
      </c>
      <c r="CX74" s="418">
        <v>98</v>
      </c>
      <c r="CY74" s="418">
        <v>99</v>
      </c>
      <c r="CZ74" s="418">
        <v>100</v>
      </c>
      <c r="DA74" s="418">
        <v>101</v>
      </c>
      <c r="DB74" s="418">
        <v>102</v>
      </c>
      <c r="DC74" s="418">
        <v>103</v>
      </c>
      <c r="DD74" s="418">
        <v>104</v>
      </c>
      <c r="DE74" s="418">
        <v>105</v>
      </c>
      <c r="DF74" s="418">
        <v>106</v>
      </c>
      <c r="DG74" s="418">
        <v>107</v>
      </c>
      <c r="DH74" s="418">
        <v>108</v>
      </c>
      <c r="DI74" s="418">
        <v>109</v>
      </c>
      <c r="DJ74" s="418">
        <v>110</v>
      </c>
      <c r="DK74" s="418">
        <v>111</v>
      </c>
      <c r="DL74" s="418">
        <v>112</v>
      </c>
      <c r="DM74" s="418">
        <v>113</v>
      </c>
      <c r="DN74" s="418">
        <v>114</v>
      </c>
      <c r="DO74" s="418">
        <v>115</v>
      </c>
      <c r="DP74" s="418">
        <v>116</v>
      </c>
      <c r="DQ74" s="418">
        <v>117</v>
      </c>
      <c r="DR74" s="418">
        <v>118</v>
      </c>
      <c r="DS74" s="418">
        <v>119</v>
      </c>
      <c r="DT74" s="418">
        <v>120</v>
      </c>
      <c r="DU74" s="418">
        <v>121</v>
      </c>
      <c r="DV74" s="418">
        <v>122</v>
      </c>
      <c r="DW74" s="418">
        <v>123</v>
      </c>
      <c r="DX74" s="418">
        <v>124</v>
      </c>
      <c r="DY74" s="418">
        <v>125</v>
      </c>
      <c r="DZ74" s="418">
        <v>126</v>
      </c>
      <c r="EA74" s="418">
        <v>127</v>
      </c>
      <c r="EB74" s="418">
        <v>128</v>
      </c>
      <c r="EC74" s="418">
        <v>129</v>
      </c>
      <c r="ED74" s="418">
        <v>130</v>
      </c>
      <c r="EE74" s="418">
        <v>131</v>
      </c>
      <c r="EF74" s="418">
        <v>132</v>
      </c>
      <c r="EG74" s="418">
        <v>133</v>
      </c>
      <c r="EH74" s="418">
        <v>134</v>
      </c>
      <c r="EI74" s="418">
        <v>135</v>
      </c>
      <c r="EJ74" s="418">
        <v>136</v>
      </c>
      <c r="EK74" s="418">
        <v>137</v>
      </c>
      <c r="EL74" s="418">
        <v>138</v>
      </c>
      <c r="EM74" s="418">
        <v>139</v>
      </c>
      <c r="EN74" s="418">
        <v>140</v>
      </c>
      <c r="EO74" s="418">
        <v>141</v>
      </c>
      <c r="EP74" s="418">
        <v>142</v>
      </c>
      <c r="EQ74" s="418">
        <v>143</v>
      </c>
      <c r="ER74" s="418">
        <v>144</v>
      </c>
      <c r="ES74" s="418">
        <v>145</v>
      </c>
      <c r="ET74" s="418">
        <v>146</v>
      </c>
      <c r="EU74" s="418">
        <v>147</v>
      </c>
      <c r="EV74" s="418">
        <v>148</v>
      </c>
      <c r="EW74" s="418">
        <v>149</v>
      </c>
      <c r="EX74" s="418">
        <v>150</v>
      </c>
      <c r="EY74" s="418">
        <v>151</v>
      </c>
      <c r="EZ74" s="418">
        <v>152</v>
      </c>
      <c r="FA74" s="418">
        <v>153</v>
      </c>
      <c r="FB74" s="418">
        <v>154</v>
      </c>
      <c r="FC74" s="418">
        <v>155</v>
      </c>
      <c r="FD74" s="418">
        <v>156</v>
      </c>
      <c r="FE74" s="418">
        <v>157</v>
      </c>
      <c r="FF74" s="418">
        <v>158</v>
      </c>
      <c r="FG74" s="418">
        <v>159</v>
      </c>
      <c r="FH74" s="418">
        <v>160</v>
      </c>
      <c r="FI74" s="418">
        <v>161</v>
      </c>
      <c r="FJ74" s="418">
        <v>162</v>
      </c>
      <c r="FK74" s="418">
        <v>163</v>
      </c>
      <c r="FL74" s="418">
        <v>164</v>
      </c>
      <c r="FM74" s="418">
        <v>165</v>
      </c>
      <c r="FN74" s="418">
        <v>166</v>
      </c>
      <c r="FO74" s="418">
        <v>167</v>
      </c>
      <c r="FP74" s="418">
        <v>168</v>
      </c>
      <c r="FQ74" s="418">
        <v>169</v>
      </c>
      <c r="FR74" s="418">
        <v>170</v>
      </c>
      <c r="FS74" s="418">
        <v>171</v>
      </c>
      <c r="FT74" s="418">
        <v>172</v>
      </c>
      <c r="FU74" s="418">
        <v>173</v>
      </c>
      <c r="FV74" s="418">
        <v>174</v>
      </c>
      <c r="FW74" s="418">
        <v>175</v>
      </c>
      <c r="FX74" s="418">
        <v>176</v>
      </c>
      <c r="FY74" s="418">
        <v>177</v>
      </c>
      <c r="FZ74" s="418">
        <v>178</v>
      </c>
      <c r="GA74" s="418">
        <v>179</v>
      </c>
      <c r="GB74" s="418">
        <v>180</v>
      </c>
      <c r="GC74" s="418">
        <v>181</v>
      </c>
      <c r="GD74" s="418">
        <v>182</v>
      </c>
      <c r="GE74" s="418">
        <v>183</v>
      </c>
      <c r="GF74" s="418">
        <v>184</v>
      </c>
      <c r="GG74" s="418">
        <v>185</v>
      </c>
      <c r="GH74" s="418">
        <v>186</v>
      </c>
      <c r="GI74" s="418">
        <v>187</v>
      </c>
      <c r="GJ74" s="418">
        <v>188</v>
      </c>
      <c r="GK74" s="418">
        <v>189</v>
      </c>
      <c r="GL74" s="418">
        <v>190</v>
      </c>
      <c r="GM74" s="418">
        <v>191</v>
      </c>
      <c r="GN74" s="418">
        <v>192</v>
      </c>
      <c r="GO74" s="418">
        <v>193</v>
      </c>
      <c r="GP74" s="418">
        <v>194</v>
      </c>
      <c r="GQ74" s="418">
        <v>195</v>
      </c>
      <c r="GR74" s="418">
        <v>196</v>
      </c>
      <c r="GS74" s="418">
        <v>197</v>
      </c>
      <c r="GT74" s="418">
        <v>198</v>
      </c>
      <c r="GU74" s="418">
        <v>199</v>
      </c>
      <c r="GV74" s="418">
        <v>200</v>
      </c>
      <c r="GW74" s="418">
        <v>201</v>
      </c>
      <c r="GX74" s="418">
        <v>202</v>
      </c>
      <c r="GY74" s="418">
        <v>203</v>
      </c>
      <c r="GZ74" s="418">
        <v>204</v>
      </c>
      <c r="HA74" s="418">
        <v>205</v>
      </c>
      <c r="HB74" s="418">
        <v>206</v>
      </c>
      <c r="HC74" s="418">
        <v>207</v>
      </c>
      <c r="HD74" s="418">
        <v>208</v>
      </c>
      <c r="HE74" s="418">
        <v>209</v>
      </c>
      <c r="HF74" s="418">
        <v>210</v>
      </c>
      <c r="HG74" s="418">
        <v>211</v>
      </c>
      <c r="HH74" s="418">
        <v>212</v>
      </c>
      <c r="HI74" s="418">
        <v>213</v>
      </c>
      <c r="HJ74" s="418">
        <v>214</v>
      </c>
      <c r="HK74" s="418">
        <v>215</v>
      </c>
      <c r="HL74" s="418">
        <v>216</v>
      </c>
      <c r="HM74" s="418">
        <v>217</v>
      </c>
      <c r="HN74" s="418">
        <v>218</v>
      </c>
      <c r="HO74" s="418">
        <v>219</v>
      </c>
      <c r="HP74" s="418">
        <v>220</v>
      </c>
      <c r="HQ74" s="418">
        <v>221</v>
      </c>
      <c r="HR74" s="418">
        <v>222</v>
      </c>
      <c r="HS74" s="418">
        <v>223</v>
      </c>
      <c r="HT74" s="418">
        <v>224</v>
      </c>
      <c r="HU74" s="418">
        <v>225</v>
      </c>
      <c r="HV74" s="418">
        <v>226</v>
      </c>
      <c r="HW74" s="418">
        <v>227</v>
      </c>
      <c r="HX74" s="418">
        <v>228</v>
      </c>
      <c r="HY74" s="418">
        <v>229</v>
      </c>
      <c r="HZ74" s="418">
        <v>230</v>
      </c>
      <c r="IA74" s="418">
        <v>231</v>
      </c>
      <c r="IB74" s="418">
        <v>232</v>
      </c>
      <c r="IC74" s="418">
        <v>233</v>
      </c>
      <c r="ID74" s="418">
        <v>234</v>
      </c>
      <c r="IE74" s="418">
        <v>235</v>
      </c>
      <c r="IF74" s="418">
        <v>236</v>
      </c>
      <c r="IG74" s="418">
        <v>237</v>
      </c>
      <c r="IH74" s="418">
        <v>238</v>
      </c>
      <c r="II74" s="418">
        <v>239</v>
      </c>
      <c r="IJ74" s="418">
        <v>240</v>
      </c>
      <c r="IK74" s="418">
        <v>241</v>
      </c>
      <c r="IL74" s="418">
        <v>242</v>
      </c>
      <c r="IM74" s="418">
        <v>243</v>
      </c>
      <c r="IN74" s="418">
        <v>244</v>
      </c>
      <c r="IO74" s="418">
        <v>245</v>
      </c>
      <c r="IP74" s="418">
        <v>246</v>
      </c>
      <c r="IQ74" s="418">
        <v>247</v>
      </c>
      <c r="IR74" s="418">
        <v>248</v>
      </c>
      <c r="IS74" s="418">
        <v>249</v>
      </c>
      <c r="IT74" s="418">
        <v>250</v>
      </c>
      <c r="IU74" s="418">
        <v>251</v>
      </c>
      <c r="IV74" s="418">
        <v>252</v>
      </c>
      <c r="IW74" s="418">
        <v>253</v>
      </c>
      <c r="IX74" s="418">
        <v>254</v>
      </c>
      <c r="IY74" s="418">
        <v>255</v>
      </c>
      <c r="IZ74" s="418">
        <v>256</v>
      </c>
      <c r="JA74" s="418">
        <v>257</v>
      </c>
      <c r="JB74" s="418">
        <v>258</v>
      </c>
      <c r="JC74" s="418">
        <v>259</v>
      </c>
      <c r="JD74" s="418">
        <v>260</v>
      </c>
      <c r="JE74" s="418">
        <v>261</v>
      </c>
      <c r="JF74" s="418">
        <v>262</v>
      </c>
      <c r="JG74" s="418">
        <v>263</v>
      </c>
      <c r="JH74" s="418">
        <v>264</v>
      </c>
      <c r="JI74" s="418">
        <v>265</v>
      </c>
      <c r="JJ74" s="418">
        <v>266</v>
      </c>
      <c r="JK74" s="418">
        <v>267</v>
      </c>
      <c r="JL74" s="418">
        <v>268</v>
      </c>
      <c r="JM74" s="418">
        <v>269</v>
      </c>
      <c r="JN74" s="418">
        <v>270</v>
      </c>
      <c r="JO74" s="418">
        <v>271</v>
      </c>
      <c r="JP74" s="418">
        <v>272</v>
      </c>
      <c r="JQ74" s="418">
        <v>273</v>
      </c>
      <c r="JR74" s="351"/>
      <c r="JS74" s="1400"/>
    </row>
    <row r="75" spans="1:279" x14ac:dyDescent="0.25">
      <c r="A75" s="1367">
        <v>2</v>
      </c>
      <c r="B75" s="1368" t="str">
        <f>IF(MCA_IND&gt;1,IF(HLOOKUP(MCA_IND-1,MCA_RANGE,A75)="","",HLOOKUP(MCA_IND-1,MCA_RANGE,A75)),"")</f>
        <v/>
      </c>
      <c r="C75" s="1359" t="s">
        <v>2518</v>
      </c>
      <c r="D75" s="1360" t="s">
        <v>2519</v>
      </c>
      <c r="E75" s="1416"/>
      <c r="F75" s="1416"/>
      <c r="G75" s="1416"/>
      <c r="H75" s="1416"/>
      <c r="I75" s="1416"/>
      <c r="J75" s="1416"/>
      <c r="K75" s="1416" t="s">
        <v>2520</v>
      </c>
      <c r="L75" s="1416" t="s">
        <v>2521</v>
      </c>
      <c r="M75" s="1416"/>
      <c r="N75" s="1416"/>
      <c r="O75" s="1416"/>
      <c r="P75" s="1416"/>
      <c r="Q75" s="1416"/>
      <c r="R75" s="1416"/>
      <c r="S75" s="1416"/>
      <c r="T75" s="1416"/>
      <c r="U75" s="1416"/>
      <c r="V75" s="1416"/>
      <c r="W75" s="1416"/>
      <c r="X75" s="1416"/>
      <c r="Y75" s="1416"/>
      <c r="Z75" s="1416"/>
      <c r="AA75" s="1416"/>
      <c r="AB75" s="1416"/>
      <c r="AC75" s="1416"/>
      <c r="AD75" s="1416"/>
      <c r="AE75" s="1416"/>
      <c r="AF75" s="1416"/>
      <c r="AG75" s="1416"/>
      <c r="AH75" s="1416"/>
      <c r="AI75" s="1416"/>
      <c r="AJ75" s="1416"/>
      <c r="AK75" s="1416"/>
      <c r="AL75" s="1416"/>
      <c r="AM75" s="1416"/>
      <c r="AN75" s="1416" t="s">
        <v>2522</v>
      </c>
      <c r="AO75" s="1416"/>
      <c r="AP75" s="1416"/>
      <c r="AQ75" s="1416"/>
      <c r="AR75" s="1416"/>
      <c r="AS75" s="1416"/>
      <c r="AT75" s="1416"/>
      <c r="AU75" s="1416"/>
      <c r="AV75" s="1416"/>
      <c r="AW75" s="1416"/>
      <c r="AX75" s="1416"/>
      <c r="AY75" s="1416"/>
      <c r="AZ75" s="1416"/>
      <c r="BA75" s="1416"/>
      <c r="BB75" s="1416"/>
      <c r="BC75" s="1416"/>
      <c r="BD75" s="1416" t="s">
        <v>2521</v>
      </c>
      <c r="BE75" s="1416"/>
      <c r="BF75" s="1416"/>
      <c r="BG75" s="1416"/>
      <c r="BH75" s="1416"/>
      <c r="BI75" s="1416"/>
      <c r="BJ75" s="1416"/>
      <c r="BK75" s="1416"/>
      <c r="BL75" s="1416"/>
      <c r="BM75" s="1416"/>
      <c r="BN75" s="1416" t="s">
        <v>2521</v>
      </c>
      <c r="BO75" s="1416"/>
      <c r="BP75" s="1416"/>
      <c r="BQ75" s="1416"/>
      <c r="BR75" s="1416"/>
      <c r="BS75" s="1416"/>
      <c r="BT75" s="1416"/>
      <c r="BU75" s="1416"/>
      <c r="BV75" s="1417"/>
      <c r="BW75" s="1416" t="s">
        <v>2523</v>
      </c>
      <c r="BX75" s="1416" t="s">
        <v>2523</v>
      </c>
      <c r="BY75" s="1416" t="s">
        <v>2523</v>
      </c>
      <c r="BZ75" s="1416"/>
      <c r="CA75" s="1416" t="s">
        <v>2521</v>
      </c>
      <c r="CB75" s="1416"/>
      <c r="CC75" s="1418"/>
      <c r="CD75" s="1416"/>
      <c r="CE75" s="1418"/>
      <c r="CF75" s="1416" t="s">
        <v>2521</v>
      </c>
      <c r="CG75" s="1418"/>
      <c r="CH75" s="1416"/>
      <c r="CI75" s="1418"/>
      <c r="CJ75" s="1418"/>
      <c r="CK75" s="1418"/>
      <c r="CL75" s="1418"/>
      <c r="CM75" s="1418"/>
      <c r="CN75" s="1418"/>
      <c r="CO75" s="1418"/>
      <c r="CP75" s="1418"/>
      <c r="CQ75" s="1418"/>
      <c r="CR75" s="1418"/>
      <c r="CS75" s="1418"/>
      <c r="CT75" s="1418"/>
      <c r="CU75" s="1418"/>
      <c r="CV75" s="1418"/>
      <c r="CW75" s="1418"/>
      <c r="CX75" s="1418"/>
      <c r="CY75" s="1418"/>
      <c r="CZ75" s="1418"/>
      <c r="DA75" s="1418"/>
      <c r="DB75" s="1418"/>
      <c r="DC75" s="1418"/>
      <c r="DD75" s="1418"/>
      <c r="DE75" s="1418"/>
      <c r="DF75" s="1418"/>
      <c r="DG75" s="1418"/>
      <c r="DH75" s="1418"/>
      <c r="DI75" s="1418"/>
      <c r="DJ75" s="1418"/>
      <c r="DK75" s="1418"/>
      <c r="DL75" s="1418"/>
      <c r="DM75" s="1418"/>
      <c r="DN75" s="1418"/>
      <c r="DO75" s="1418"/>
      <c r="DP75" s="1418"/>
      <c r="DQ75" s="1418"/>
      <c r="DR75" s="1418"/>
      <c r="DS75" s="1416" t="s">
        <v>2523</v>
      </c>
      <c r="DT75" s="1418"/>
      <c r="DU75" s="1418"/>
      <c r="DV75" s="1418"/>
      <c r="DW75" s="1417"/>
      <c r="DX75" s="1417"/>
      <c r="DY75" s="1416" t="s">
        <v>2521</v>
      </c>
      <c r="DZ75" s="1417"/>
      <c r="EA75" s="1418"/>
      <c r="EB75" s="1418"/>
      <c r="EC75" s="1418"/>
      <c r="ED75" s="1418"/>
      <c r="EE75" s="1418"/>
      <c r="EF75" s="1418"/>
      <c r="EG75" s="1418"/>
      <c r="EH75" s="1418"/>
      <c r="EI75" s="1418"/>
      <c r="EJ75" s="1418"/>
      <c r="EK75" s="1418"/>
      <c r="EL75" s="1418"/>
      <c r="EM75" s="1418"/>
      <c r="EN75" s="1418"/>
      <c r="EO75" s="1418"/>
      <c r="EP75" s="1418"/>
      <c r="EQ75" s="1418"/>
      <c r="ER75" s="1418"/>
      <c r="ES75" s="1418"/>
      <c r="ET75" s="1418"/>
      <c r="EU75" s="1418"/>
      <c r="EV75" s="1418"/>
      <c r="EW75" s="1418"/>
      <c r="EX75" s="1418"/>
      <c r="EY75" s="1418"/>
      <c r="EZ75" s="1418"/>
      <c r="FA75" s="1418"/>
      <c r="FB75" s="1416" t="s">
        <v>2521</v>
      </c>
      <c r="FC75" s="1418"/>
      <c r="FD75" s="1418"/>
      <c r="FE75" s="1418"/>
      <c r="FF75" s="1418"/>
      <c r="FG75" s="1418"/>
      <c r="FH75" s="1418"/>
      <c r="FI75" s="1418"/>
      <c r="FJ75" s="1418"/>
      <c r="FK75" s="1418"/>
      <c r="FL75" s="1418"/>
      <c r="FM75" s="1418"/>
      <c r="FN75" s="1418"/>
      <c r="FO75" s="1418"/>
      <c r="FP75" s="1418"/>
      <c r="FQ75" s="1418"/>
      <c r="FR75" s="1418"/>
      <c r="FS75" s="1418"/>
      <c r="FT75" s="1418"/>
      <c r="FU75" s="1418"/>
      <c r="FV75" s="1418"/>
      <c r="FW75" s="1418"/>
      <c r="FX75" s="1418"/>
      <c r="FY75" s="1417"/>
      <c r="FZ75" s="1417"/>
      <c r="GA75" s="1417"/>
      <c r="GB75" s="1416"/>
      <c r="GC75" s="1418"/>
      <c r="GD75" s="1418"/>
      <c r="GE75" s="1418"/>
      <c r="GF75" s="1418"/>
      <c r="GG75" s="1418"/>
      <c r="GH75" s="1418"/>
      <c r="GI75" s="1418"/>
      <c r="GJ75" s="1418"/>
      <c r="GK75" s="1418"/>
      <c r="GL75" s="1418"/>
      <c r="GM75" s="1418"/>
      <c r="GN75" s="1418"/>
      <c r="GO75" s="1418"/>
      <c r="GP75" s="1418"/>
      <c r="GQ75" s="1418"/>
      <c r="GR75" s="1418"/>
      <c r="GS75" s="1418"/>
      <c r="GT75" s="1418"/>
      <c r="GU75" s="1418"/>
      <c r="GV75" s="1418"/>
      <c r="GW75" s="1418"/>
      <c r="GX75" s="1418"/>
      <c r="GY75" s="1418"/>
      <c r="GZ75" s="1418"/>
      <c r="HA75" s="1418"/>
      <c r="HB75" s="1418"/>
      <c r="HC75" s="1418"/>
      <c r="HD75" s="1418"/>
      <c r="HE75" s="1418"/>
      <c r="HF75" s="1418"/>
      <c r="HG75" s="1418"/>
      <c r="HH75" s="1418"/>
      <c r="HI75" s="1418"/>
      <c r="HJ75" s="1418"/>
      <c r="HK75" s="1418"/>
      <c r="HL75" s="1418"/>
      <c r="HM75" s="1418"/>
      <c r="HN75" s="1418"/>
      <c r="HO75" s="1418"/>
      <c r="HP75" s="1418"/>
      <c r="HQ75" s="1418"/>
      <c r="HR75" s="1418"/>
      <c r="HS75" s="1418"/>
      <c r="HT75" s="1418"/>
      <c r="HU75" s="1418"/>
      <c r="HV75" s="1418"/>
      <c r="HW75" s="1418"/>
      <c r="HX75" s="1418"/>
      <c r="HY75" s="1418"/>
      <c r="HZ75" s="1418"/>
      <c r="IA75" s="1418"/>
      <c r="IB75" s="1418"/>
      <c r="IC75" s="1418"/>
      <c r="ID75" s="1418"/>
      <c r="IE75" s="1418"/>
      <c r="IF75" s="1418"/>
      <c r="IG75" s="1418"/>
      <c r="IH75" s="1418"/>
      <c r="II75" s="1418"/>
      <c r="IJ75" s="1418"/>
      <c r="IK75" s="1418"/>
      <c r="IL75" s="1418"/>
      <c r="IM75" s="1418"/>
      <c r="IN75" s="1418"/>
      <c r="IO75" s="1418"/>
      <c r="IP75" s="1418"/>
      <c r="IQ75" s="1418"/>
      <c r="IR75" s="1418"/>
      <c r="IS75" s="1418"/>
      <c r="IT75" s="1418"/>
      <c r="IU75" s="1418"/>
      <c r="IV75" s="1418"/>
      <c r="IW75" s="1418"/>
      <c r="IX75" s="1418"/>
      <c r="IY75" s="1418"/>
      <c r="IZ75" s="1418"/>
      <c r="JA75" s="1418"/>
      <c r="JB75" s="1418"/>
      <c r="JC75" s="1418"/>
      <c r="JD75" s="1418"/>
      <c r="JE75" s="1418"/>
      <c r="JF75" s="1418"/>
      <c r="JG75" s="1418"/>
      <c r="JH75" s="1418"/>
      <c r="JI75" s="1418"/>
      <c r="JJ75" s="1418"/>
      <c r="JK75" s="1418"/>
      <c r="JL75" s="1418"/>
      <c r="JM75" s="1418"/>
      <c r="JN75" s="1418"/>
      <c r="JO75" s="1418"/>
      <c r="JP75" s="1418"/>
      <c r="JQ75" s="1419"/>
      <c r="JR75" s="351"/>
      <c r="JS75" s="1400" t="s">
        <v>2524</v>
      </c>
    </row>
    <row r="76" spans="1:279" x14ac:dyDescent="0.25">
      <c r="A76" s="1367">
        <v>3</v>
      </c>
      <c r="B76" s="1368" t="str">
        <f t="shared" ref="B76:B85" si="8">IF(MCA_IND&gt;1,IF(HLOOKUP(MCA_IND-1,MCA_RANGE,A76)="","",HLOOKUP(MCA_IND-1,MCA_RANGE,A76)),"")</f>
        <v/>
      </c>
      <c r="C76" s="1359" t="s">
        <v>2525</v>
      </c>
      <c r="D76" s="1360" t="s">
        <v>2526</v>
      </c>
      <c r="E76" s="1498"/>
      <c r="F76" s="1498"/>
      <c r="G76" s="1498"/>
      <c r="H76" s="1498"/>
      <c r="I76" s="1498"/>
      <c r="J76" s="1498"/>
      <c r="K76" s="1355" t="s">
        <v>2527</v>
      </c>
      <c r="L76" s="1355" t="str">
        <f>"10/09/"&amp;MCA_year-1</f>
        <v>10/09/1934</v>
      </c>
      <c r="M76" s="1498"/>
      <c r="N76" s="1498"/>
      <c r="O76" s="1498"/>
      <c r="P76" s="1498"/>
      <c r="Q76" s="1498"/>
      <c r="R76" s="1498"/>
      <c r="S76" s="1498"/>
      <c r="T76" s="1498"/>
      <c r="U76" s="1498"/>
      <c r="V76" s="1498"/>
      <c r="W76" s="1498"/>
      <c r="X76" s="1498"/>
      <c r="Y76" s="1498"/>
      <c r="Z76" s="1498"/>
      <c r="AA76" s="1498"/>
      <c r="AB76" s="1498"/>
      <c r="AC76" s="1498"/>
      <c r="AD76" s="1498"/>
      <c r="AE76" s="1498"/>
      <c r="AF76" s="1498"/>
      <c r="AG76" s="1498"/>
      <c r="AH76" s="1498"/>
      <c r="AI76" s="1498"/>
      <c r="AJ76" s="1498"/>
      <c r="AK76" s="1498"/>
      <c r="AL76" s="1498"/>
      <c r="AM76" s="1498"/>
      <c r="AN76" s="1355" t="s">
        <v>2528</v>
      </c>
      <c r="AO76" s="1498"/>
      <c r="AP76" s="1498"/>
      <c r="AQ76" s="1498"/>
      <c r="AR76" s="1498"/>
      <c r="AS76" s="1498"/>
      <c r="AT76" s="1498"/>
      <c r="AU76" s="1498"/>
      <c r="AV76" s="1498"/>
      <c r="AW76" s="1498"/>
      <c r="AX76" s="1498"/>
      <c r="AY76" s="1498"/>
      <c r="AZ76" s="1498"/>
      <c r="BA76" s="1498"/>
      <c r="BB76" s="1498"/>
      <c r="BC76" s="1498"/>
      <c r="BD76" s="1355" t="str">
        <f>"10/09/"&amp;MCA_year-1</f>
        <v>10/09/1934</v>
      </c>
      <c r="BE76" s="1498"/>
      <c r="BF76" s="1498"/>
      <c r="BG76" s="1498"/>
      <c r="BH76" s="1498"/>
      <c r="BI76" s="1498"/>
      <c r="BJ76" s="1498"/>
      <c r="BK76" s="1498"/>
      <c r="BL76" s="1498"/>
      <c r="BM76" s="1498"/>
      <c r="BN76" s="1355" t="str">
        <f>"10/09/"&amp;MCA_year-1</f>
        <v>10/09/1934</v>
      </c>
      <c r="BO76" s="1498"/>
      <c r="BP76" s="1498"/>
      <c r="BQ76" s="1498"/>
      <c r="BR76" s="1498"/>
      <c r="BS76" s="1498"/>
      <c r="BT76" s="1498"/>
      <c r="BU76" s="1498"/>
      <c r="BV76" s="1498"/>
      <c r="BW76" s="1498"/>
      <c r="BX76" s="1498"/>
      <c r="BY76" s="1498"/>
      <c r="BZ76" s="1498"/>
      <c r="CA76" s="1355" t="str">
        <f>"10/09/"&amp;MCA_year-1</f>
        <v>10/09/1934</v>
      </c>
      <c r="CB76" s="1498"/>
      <c r="CC76" s="2526"/>
      <c r="CD76" s="1498"/>
      <c r="CE76" s="2526"/>
      <c r="CF76" s="1355" t="str">
        <f>"10/09/"&amp;MCA_year-1</f>
        <v>10/09/1934</v>
      </c>
      <c r="CG76" s="2526"/>
      <c r="CH76" s="1498"/>
      <c r="CI76" s="2526"/>
      <c r="CJ76" s="2526"/>
      <c r="CK76" s="2526"/>
      <c r="CL76" s="2526"/>
      <c r="CM76" s="2526"/>
      <c r="CN76" s="2526"/>
      <c r="CO76" s="2526"/>
      <c r="CP76" s="2526"/>
      <c r="CQ76" s="2526"/>
      <c r="CR76" s="2526"/>
      <c r="CS76" s="2526"/>
      <c r="CT76" s="2526"/>
      <c r="CU76" s="2526"/>
      <c r="CV76" s="2526"/>
      <c r="CW76" s="2526"/>
      <c r="CX76" s="2526"/>
      <c r="CY76" s="2526"/>
      <c r="CZ76" s="2526"/>
      <c r="DA76" s="2526"/>
      <c r="DB76" s="2526"/>
      <c r="DC76" s="2526"/>
      <c r="DD76" s="2526"/>
      <c r="DE76" s="2526"/>
      <c r="DF76" s="2526"/>
      <c r="DG76" s="2526"/>
      <c r="DH76" s="2526"/>
      <c r="DI76" s="2526"/>
      <c r="DJ76" s="2526"/>
      <c r="DK76" s="2526"/>
      <c r="DL76" s="2526"/>
      <c r="DM76" s="2526"/>
      <c r="DN76" s="2526"/>
      <c r="DO76" s="2526"/>
      <c r="DP76" s="2526"/>
      <c r="DQ76" s="2526"/>
      <c r="DR76" s="2526"/>
      <c r="DS76" s="1498"/>
      <c r="DT76" s="2526"/>
      <c r="DU76" s="2526"/>
      <c r="DV76" s="2526"/>
      <c r="DW76" s="1498"/>
      <c r="DX76" s="1498"/>
      <c r="DY76" s="1355" t="str">
        <f>"10/09/"&amp;MCA_year-1</f>
        <v>10/09/1934</v>
      </c>
      <c r="DZ76" s="1498"/>
      <c r="EA76" s="2526"/>
      <c r="EB76" s="2526"/>
      <c r="EC76" s="2526"/>
      <c r="ED76" s="2526"/>
      <c r="EE76" s="2526"/>
      <c r="EF76" s="2526"/>
      <c r="EG76" s="2526"/>
      <c r="EH76" s="2526"/>
      <c r="EI76" s="2526"/>
      <c r="EJ76" s="2526"/>
      <c r="EK76" s="2526"/>
      <c r="EL76" s="2526"/>
      <c r="EM76" s="2526"/>
      <c r="EN76" s="2526"/>
      <c r="EO76" s="2526"/>
      <c r="EP76" s="2526"/>
      <c r="EQ76" s="2526"/>
      <c r="ER76" s="2526"/>
      <c r="ES76" s="2526"/>
      <c r="ET76" s="2526"/>
      <c r="EU76" s="2526"/>
      <c r="EV76" s="2526"/>
      <c r="EW76" s="2526"/>
      <c r="EX76" s="2526"/>
      <c r="EY76" s="2526"/>
      <c r="EZ76" s="2526"/>
      <c r="FA76" s="2526"/>
      <c r="FB76" s="1355" t="str">
        <f>"10/09/"&amp;MCA_year-1</f>
        <v>10/09/1934</v>
      </c>
      <c r="FC76" s="2526"/>
      <c r="FD76" s="2526"/>
      <c r="FE76" s="2526"/>
      <c r="FF76" s="2526"/>
      <c r="FG76" s="2526"/>
      <c r="FH76" s="2526"/>
      <c r="FI76" s="2526"/>
      <c r="FJ76" s="2526"/>
      <c r="FK76" s="2526"/>
      <c r="FL76" s="2526"/>
      <c r="FM76" s="2526"/>
      <c r="FN76" s="2526"/>
      <c r="FO76" s="2526"/>
      <c r="FP76" s="2526"/>
      <c r="FQ76" s="2526"/>
      <c r="FR76" s="2526"/>
      <c r="FS76" s="2526"/>
      <c r="FT76" s="2526"/>
      <c r="FU76" s="2526"/>
      <c r="FV76" s="2526"/>
      <c r="FW76" s="2526"/>
      <c r="FX76" s="2526"/>
      <c r="FY76" s="1498"/>
      <c r="FZ76" s="1498"/>
      <c r="GA76" s="1498"/>
      <c r="GB76" s="1498"/>
      <c r="GC76" s="2526"/>
      <c r="GD76" s="2526"/>
      <c r="GE76" s="2526"/>
      <c r="GF76" s="2526"/>
      <c r="GG76" s="2526"/>
      <c r="GH76" s="2526"/>
      <c r="GI76" s="2526"/>
      <c r="GJ76" s="2526"/>
      <c r="GK76" s="2526"/>
      <c r="GL76" s="2526"/>
      <c r="GM76" s="2526"/>
      <c r="GN76" s="2526"/>
      <c r="GO76" s="2526"/>
      <c r="GP76" s="2526"/>
      <c r="GQ76" s="2526"/>
      <c r="GR76" s="2526"/>
      <c r="GS76" s="2526"/>
      <c r="GT76" s="2526"/>
      <c r="GU76" s="2526"/>
      <c r="GV76" s="2526"/>
      <c r="GW76" s="2526"/>
      <c r="GX76" s="2526"/>
      <c r="GY76" s="2526"/>
      <c r="GZ76" s="2526"/>
      <c r="HA76" s="2526"/>
      <c r="HB76" s="2526"/>
      <c r="HC76" s="2526"/>
      <c r="HD76" s="2526"/>
      <c r="HE76" s="2526"/>
      <c r="HF76" s="2526"/>
      <c r="HG76" s="2526"/>
      <c r="HH76" s="2526"/>
      <c r="HI76" s="2526"/>
      <c r="HJ76" s="2526"/>
      <c r="HK76" s="2526"/>
      <c r="HL76" s="2526"/>
      <c r="HM76" s="2526"/>
      <c r="HN76" s="2526"/>
      <c r="HO76" s="2526"/>
      <c r="HP76" s="2526"/>
      <c r="HQ76" s="2526"/>
      <c r="HR76" s="2526"/>
      <c r="HS76" s="2526"/>
      <c r="HT76" s="2526"/>
      <c r="HU76" s="2526"/>
      <c r="HV76" s="2526"/>
      <c r="HW76" s="2526"/>
      <c r="HX76" s="2526"/>
      <c r="HY76" s="2526"/>
      <c r="HZ76" s="2526"/>
      <c r="IA76" s="2526"/>
      <c r="IB76" s="2526"/>
      <c r="IC76" s="2526"/>
      <c r="ID76" s="2526"/>
      <c r="IE76" s="2526"/>
      <c r="IF76" s="2526"/>
      <c r="IG76" s="2526"/>
      <c r="IH76" s="2526"/>
      <c r="II76" s="2526"/>
      <c r="IJ76" s="2526"/>
      <c r="IK76" s="2526"/>
      <c r="IL76" s="2526"/>
      <c r="IM76" s="2526"/>
      <c r="IN76" s="2526"/>
      <c r="IO76" s="2526"/>
      <c r="IP76" s="2526"/>
      <c r="IQ76" s="2526"/>
      <c r="IR76" s="2526"/>
      <c r="IS76" s="2526"/>
      <c r="IT76" s="2526"/>
      <c r="IU76" s="2526"/>
      <c r="IV76" s="2526"/>
      <c r="IW76" s="2526"/>
      <c r="IX76" s="2526"/>
      <c r="IY76" s="2526"/>
      <c r="IZ76" s="2526"/>
      <c r="JA76" s="2526"/>
      <c r="JB76" s="2526"/>
      <c r="JC76" s="2526"/>
      <c r="JD76" s="2526"/>
      <c r="JE76" s="2526"/>
      <c r="JF76" s="2526"/>
      <c r="JG76" s="2526"/>
      <c r="JH76" s="2526"/>
      <c r="JI76" s="2526"/>
      <c r="JJ76" s="2526"/>
      <c r="JK76" s="2526"/>
      <c r="JL76" s="2526"/>
      <c r="JM76" s="2526"/>
      <c r="JN76" s="2526"/>
      <c r="JO76" s="2526"/>
      <c r="JP76" s="2526"/>
      <c r="JQ76" s="2527"/>
      <c r="JR76" s="351"/>
      <c r="JS76" s="1400" t="s">
        <v>2529</v>
      </c>
    </row>
    <row r="77" spans="1:279" x14ac:dyDescent="0.25">
      <c r="A77" s="1367">
        <v>4</v>
      </c>
      <c r="B77" s="1368" t="str">
        <f t="shared" si="8"/>
        <v/>
      </c>
      <c r="C77" s="1359" t="s">
        <v>2530</v>
      </c>
      <c r="D77" s="1360" t="s">
        <v>2531</v>
      </c>
      <c r="E77" s="1416"/>
      <c r="F77" s="1416"/>
      <c r="G77" s="1416"/>
      <c r="H77" s="1416"/>
      <c r="I77" s="1416"/>
      <c r="J77" s="1522"/>
      <c r="K77" s="1522" t="s">
        <v>1615</v>
      </c>
      <c r="L77" s="1416" t="s">
        <v>1615</v>
      </c>
      <c r="M77" s="1416"/>
      <c r="N77" s="1416"/>
      <c r="O77" s="1416"/>
      <c r="P77" s="1416"/>
      <c r="Q77" s="1522"/>
      <c r="R77" s="1416"/>
      <c r="S77" s="1416"/>
      <c r="T77" s="1416"/>
      <c r="U77" s="1416"/>
      <c r="V77" s="1416"/>
      <c r="W77" s="1416"/>
      <c r="X77" s="1416"/>
      <c r="Y77" s="1416"/>
      <c r="Z77" s="1416"/>
      <c r="AA77" s="1416"/>
      <c r="AB77" s="1416"/>
      <c r="AC77" s="1416"/>
      <c r="AD77" s="1416"/>
      <c r="AE77" s="1416"/>
      <c r="AF77" s="1416"/>
      <c r="AG77" s="1416"/>
      <c r="AH77" s="1416"/>
      <c r="AI77" s="1416"/>
      <c r="AJ77" s="1416"/>
      <c r="AK77" s="1416"/>
      <c r="AL77" s="1416"/>
      <c r="AM77" s="1416"/>
      <c r="AN77" s="1416" t="s">
        <v>1615</v>
      </c>
      <c r="AO77" s="1416"/>
      <c r="AP77" s="1416"/>
      <c r="AQ77" s="1416"/>
      <c r="AR77" s="1416"/>
      <c r="AS77" s="1416"/>
      <c r="AT77" s="1416"/>
      <c r="AU77" s="1416"/>
      <c r="AV77" s="1416"/>
      <c r="AW77" s="1522"/>
      <c r="AX77" s="1522"/>
      <c r="AY77" s="1522"/>
      <c r="AZ77" s="1416"/>
      <c r="BA77" s="1416"/>
      <c r="BB77" s="1416"/>
      <c r="BC77" s="1416"/>
      <c r="BD77" s="1416" t="s">
        <v>1615</v>
      </c>
      <c r="BE77" s="1416"/>
      <c r="BF77" s="1416"/>
      <c r="BG77" s="1416"/>
      <c r="BH77" s="1416"/>
      <c r="BI77" s="1416"/>
      <c r="BJ77" s="1416"/>
      <c r="BK77" s="1416"/>
      <c r="BL77" s="1416"/>
      <c r="BM77" s="1416"/>
      <c r="BN77" s="1416" t="s">
        <v>1615</v>
      </c>
      <c r="BO77" s="1416"/>
      <c r="BP77" s="1416"/>
      <c r="BQ77" s="1416"/>
      <c r="BR77" s="1416"/>
      <c r="BS77" s="1416"/>
      <c r="BT77" s="1416"/>
      <c r="BU77" s="1416"/>
      <c r="BV77" s="1417"/>
      <c r="BW77" s="1416" t="s">
        <v>1615</v>
      </c>
      <c r="BX77" s="1416" t="s">
        <v>1615</v>
      </c>
      <c r="BY77" s="1416" t="s">
        <v>1615</v>
      </c>
      <c r="BZ77" s="1416"/>
      <c r="CA77" s="1416" t="s">
        <v>1615</v>
      </c>
      <c r="CB77" s="1416"/>
      <c r="CC77" s="1418"/>
      <c r="CD77" s="1416"/>
      <c r="CE77" s="1418"/>
      <c r="CF77" s="1416" t="s">
        <v>1615</v>
      </c>
      <c r="CG77" s="1418"/>
      <c r="CH77" s="1416"/>
      <c r="CI77" s="1418"/>
      <c r="CJ77" s="1418"/>
      <c r="CK77" s="1418"/>
      <c r="CL77" s="1418"/>
      <c r="CM77" s="1418"/>
      <c r="CN77" s="1418"/>
      <c r="CO77" s="1418"/>
      <c r="CP77" s="1418"/>
      <c r="CQ77" s="1418"/>
      <c r="CR77" s="1418"/>
      <c r="CS77" s="1418"/>
      <c r="CT77" s="1418"/>
      <c r="CU77" s="1418"/>
      <c r="CV77" s="1418"/>
      <c r="CW77" s="1418"/>
      <c r="CX77" s="1418"/>
      <c r="CY77" s="1418"/>
      <c r="CZ77" s="1418"/>
      <c r="DA77" s="1418"/>
      <c r="DB77" s="1418"/>
      <c r="DC77" s="1418"/>
      <c r="DD77" s="1418"/>
      <c r="DE77" s="1418"/>
      <c r="DF77" s="1418"/>
      <c r="DG77" s="1418"/>
      <c r="DH77" s="1418"/>
      <c r="DI77" s="1418"/>
      <c r="DJ77" s="1418"/>
      <c r="DK77" s="1418"/>
      <c r="DL77" s="1418"/>
      <c r="DM77" s="1418"/>
      <c r="DN77" s="1418"/>
      <c r="DO77" s="1418"/>
      <c r="DP77" s="1418"/>
      <c r="DQ77" s="1418"/>
      <c r="DR77" s="1418"/>
      <c r="DS77" s="1416" t="s">
        <v>1615</v>
      </c>
      <c r="DT77" s="1418"/>
      <c r="DU77" s="1418"/>
      <c r="DV77" s="1418"/>
      <c r="DW77" s="1417"/>
      <c r="DX77" s="1417"/>
      <c r="DY77" s="1416" t="s">
        <v>1615</v>
      </c>
      <c r="DZ77" s="1417"/>
      <c r="EA77" s="1418"/>
      <c r="EB77" s="1418"/>
      <c r="EC77" s="1418"/>
      <c r="ED77" s="1418"/>
      <c r="EE77" s="1418"/>
      <c r="EF77" s="1418"/>
      <c r="EG77" s="1418"/>
      <c r="EH77" s="1418"/>
      <c r="EI77" s="1418"/>
      <c r="EJ77" s="1418"/>
      <c r="EK77" s="1418"/>
      <c r="EL77" s="1418"/>
      <c r="EM77" s="1418"/>
      <c r="EN77" s="1418"/>
      <c r="EO77" s="1418"/>
      <c r="EP77" s="1418"/>
      <c r="EQ77" s="1418"/>
      <c r="ER77" s="1418"/>
      <c r="ES77" s="1418"/>
      <c r="ET77" s="1418"/>
      <c r="EU77" s="1418"/>
      <c r="EV77" s="1418"/>
      <c r="EW77" s="1418"/>
      <c r="EX77" s="1418"/>
      <c r="EY77" s="1418"/>
      <c r="EZ77" s="1418"/>
      <c r="FA77" s="1418"/>
      <c r="FB77" s="1416" t="s">
        <v>1615</v>
      </c>
      <c r="FC77" s="1418"/>
      <c r="FD77" s="1418"/>
      <c r="FE77" s="1418"/>
      <c r="FF77" s="1418"/>
      <c r="FG77" s="1418"/>
      <c r="FH77" s="1418"/>
      <c r="FI77" s="1418"/>
      <c r="FJ77" s="1418"/>
      <c r="FK77" s="1418"/>
      <c r="FL77" s="1418"/>
      <c r="FM77" s="1418"/>
      <c r="FN77" s="1418"/>
      <c r="FO77" s="1418"/>
      <c r="FP77" s="1418"/>
      <c r="FQ77" s="1418"/>
      <c r="FR77" s="1418"/>
      <c r="FS77" s="1418"/>
      <c r="FT77" s="1418"/>
      <c r="FU77" s="1418"/>
      <c r="FV77" s="1418"/>
      <c r="FW77" s="1418"/>
      <c r="FX77" s="1418"/>
      <c r="FY77" s="1417"/>
      <c r="FZ77" s="1417"/>
      <c r="GA77" s="1417"/>
      <c r="GB77" s="1522"/>
      <c r="GC77" s="1418"/>
      <c r="GD77" s="1418"/>
      <c r="GE77" s="1418"/>
      <c r="GF77" s="1418"/>
      <c r="GG77" s="1418"/>
      <c r="GH77" s="1418"/>
      <c r="GI77" s="1418"/>
      <c r="GJ77" s="1418"/>
      <c r="GK77" s="1418"/>
      <c r="GL77" s="1418"/>
      <c r="GM77" s="1418"/>
      <c r="GN77" s="1418"/>
      <c r="GO77" s="1418"/>
      <c r="GP77" s="1418"/>
      <c r="GQ77" s="1418"/>
      <c r="GR77" s="1418"/>
      <c r="GS77" s="1418"/>
      <c r="GT77" s="1418"/>
      <c r="GU77" s="1418"/>
      <c r="GV77" s="1418"/>
      <c r="GW77" s="1418"/>
      <c r="GX77" s="1418"/>
      <c r="GY77" s="1418"/>
      <c r="GZ77" s="1418"/>
      <c r="HA77" s="1418"/>
      <c r="HB77" s="1418"/>
      <c r="HC77" s="1418"/>
      <c r="HD77" s="1418"/>
      <c r="HE77" s="1418"/>
      <c r="HF77" s="1418"/>
      <c r="HG77" s="1418"/>
      <c r="HH77" s="1418"/>
      <c r="HI77" s="1418"/>
      <c r="HJ77" s="1418"/>
      <c r="HK77" s="1418"/>
      <c r="HL77" s="1418"/>
      <c r="HM77" s="1418"/>
      <c r="HN77" s="1418"/>
      <c r="HO77" s="1418"/>
      <c r="HP77" s="1418"/>
      <c r="HQ77" s="1418"/>
      <c r="HR77" s="1418"/>
      <c r="HS77" s="1418"/>
      <c r="HT77" s="1418"/>
      <c r="HU77" s="1418"/>
      <c r="HV77" s="1418"/>
      <c r="HW77" s="1418"/>
      <c r="HX77" s="1418"/>
      <c r="HY77" s="1418"/>
      <c r="HZ77" s="1418"/>
      <c r="IA77" s="1418"/>
      <c r="IB77" s="1418"/>
      <c r="IC77" s="1418"/>
      <c r="ID77" s="1418"/>
      <c r="IE77" s="1418"/>
      <c r="IF77" s="1418"/>
      <c r="IG77" s="1418"/>
      <c r="IH77" s="1418"/>
      <c r="II77" s="1418"/>
      <c r="IJ77" s="1418"/>
      <c r="IK77" s="1418"/>
      <c r="IL77" s="1418"/>
      <c r="IM77" s="1418"/>
      <c r="IN77" s="1418"/>
      <c r="IO77" s="1418"/>
      <c r="IP77" s="1418"/>
      <c r="IQ77" s="1418"/>
      <c r="IR77" s="1418"/>
      <c r="IS77" s="1418"/>
      <c r="IT77" s="1418"/>
      <c r="IU77" s="1418"/>
      <c r="IV77" s="1418"/>
      <c r="IW77" s="1418"/>
      <c r="IX77" s="1418"/>
      <c r="IY77" s="1418"/>
      <c r="IZ77" s="1418"/>
      <c r="JA77" s="1418"/>
      <c r="JB77" s="1418"/>
      <c r="JC77" s="1418"/>
      <c r="JD77" s="1418"/>
      <c r="JE77" s="1418"/>
      <c r="JF77" s="1418"/>
      <c r="JG77" s="1418"/>
      <c r="JH77" s="1418"/>
      <c r="JI77" s="1418"/>
      <c r="JJ77" s="1418"/>
      <c r="JK77" s="1418"/>
      <c r="JL77" s="1418"/>
      <c r="JM77" s="1418"/>
      <c r="JN77" s="1418"/>
      <c r="JO77" s="1418"/>
      <c r="JP77" s="1418"/>
      <c r="JQ77" s="1419"/>
      <c r="JR77" s="351"/>
      <c r="JS77" s="1400" t="s">
        <v>2532</v>
      </c>
    </row>
    <row r="78" spans="1:279" ht="20" x14ac:dyDescent="0.25">
      <c r="A78" s="1367">
        <v>5</v>
      </c>
      <c r="B78" s="1368" t="str">
        <f t="shared" si="8"/>
        <v/>
      </c>
      <c r="C78" s="1359" t="s">
        <v>2533</v>
      </c>
      <c r="D78" s="1360" t="s">
        <v>2534</v>
      </c>
      <c r="E78" s="1381"/>
      <c r="F78" s="1381"/>
      <c r="G78" s="1381"/>
      <c r="H78" s="1381"/>
      <c r="I78" s="1381"/>
      <c r="J78" s="1522"/>
      <c r="K78" s="1522" t="s">
        <v>1615</v>
      </c>
      <c r="L78" s="1381" t="s">
        <v>1615</v>
      </c>
      <c r="M78" s="1381"/>
      <c r="N78" s="1381"/>
      <c r="O78" s="1381"/>
      <c r="P78" s="1381"/>
      <c r="Q78" s="1522"/>
      <c r="R78" s="1381"/>
      <c r="S78" s="1381"/>
      <c r="T78" s="1381"/>
      <c r="U78" s="1381"/>
      <c r="V78" s="1381"/>
      <c r="W78" s="1381"/>
      <c r="X78" s="1381"/>
      <c r="Y78" s="1381"/>
      <c r="Z78" s="1381"/>
      <c r="AA78" s="1381"/>
      <c r="AB78" s="1381"/>
      <c r="AC78" s="1381"/>
      <c r="AD78" s="1381"/>
      <c r="AE78" s="1381"/>
      <c r="AF78" s="1381"/>
      <c r="AG78" s="1381"/>
      <c r="AH78" s="1381"/>
      <c r="AI78" s="1381"/>
      <c r="AJ78" s="1381"/>
      <c r="AK78" s="1381"/>
      <c r="AL78" s="1381"/>
      <c r="AM78" s="1381"/>
      <c r="AN78" s="1381" t="s">
        <v>1707</v>
      </c>
      <c r="AO78" s="1381"/>
      <c r="AP78" s="1381"/>
      <c r="AQ78" s="1381"/>
      <c r="AR78" s="1381"/>
      <c r="AS78" s="1381"/>
      <c r="AT78" s="1381"/>
      <c r="AU78" s="1381"/>
      <c r="AV78" s="1381"/>
      <c r="AW78" s="1522"/>
      <c r="AX78" s="1522"/>
      <c r="AY78" s="1522"/>
      <c r="AZ78" s="1416"/>
      <c r="BA78" s="1381"/>
      <c r="BB78" s="1381"/>
      <c r="BC78" s="1381"/>
      <c r="BD78" s="1381" t="s">
        <v>1615</v>
      </c>
      <c r="BE78" s="1381"/>
      <c r="BF78" s="1381"/>
      <c r="BG78" s="1381"/>
      <c r="BH78" s="1381"/>
      <c r="BI78" s="1381"/>
      <c r="BJ78" s="1381"/>
      <c r="BK78" s="1381"/>
      <c r="BL78" s="1381"/>
      <c r="BM78" s="1381"/>
      <c r="BN78" s="1381" t="s">
        <v>1615</v>
      </c>
      <c r="BO78" s="1381"/>
      <c r="BP78" s="1381"/>
      <c r="BQ78" s="1381"/>
      <c r="BR78" s="1381"/>
      <c r="BS78" s="1381"/>
      <c r="BT78" s="1381"/>
      <c r="BU78" s="1381"/>
      <c r="BV78" s="1382"/>
      <c r="BW78" s="1381" t="s">
        <v>1615</v>
      </c>
      <c r="BX78" s="1381" t="s">
        <v>1615</v>
      </c>
      <c r="BY78" s="1381" t="s">
        <v>1615</v>
      </c>
      <c r="BZ78" s="1381"/>
      <c r="CA78" s="1381" t="s">
        <v>1615</v>
      </c>
      <c r="CB78" s="1381"/>
      <c r="CC78" s="1414"/>
      <c r="CD78" s="1381"/>
      <c r="CE78" s="1414"/>
      <c r="CF78" s="1381" t="s">
        <v>1615</v>
      </c>
      <c r="CG78" s="1414"/>
      <c r="CH78" s="1381"/>
      <c r="CI78" s="1414"/>
      <c r="CJ78" s="1414"/>
      <c r="CK78" s="1414"/>
      <c r="CL78" s="1414"/>
      <c r="CM78" s="1414"/>
      <c r="CN78" s="1414"/>
      <c r="CO78" s="1414"/>
      <c r="CP78" s="1414"/>
      <c r="CQ78" s="1414"/>
      <c r="CR78" s="1414"/>
      <c r="CS78" s="1414"/>
      <c r="CT78" s="1414"/>
      <c r="CU78" s="1414"/>
      <c r="CV78" s="1414"/>
      <c r="CW78" s="1414"/>
      <c r="CX78" s="1414"/>
      <c r="CY78" s="1414"/>
      <c r="CZ78" s="1414"/>
      <c r="DA78" s="1414"/>
      <c r="DB78" s="1414"/>
      <c r="DC78" s="1414"/>
      <c r="DD78" s="1414"/>
      <c r="DE78" s="1414"/>
      <c r="DF78" s="1414"/>
      <c r="DG78" s="1414"/>
      <c r="DH78" s="1414"/>
      <c r="DI78" s="1414"/>
      <c r="DJ78" s="1414"/>
      <c r="DK78" s="1414"/>
      <c r="DL78" s="1414"/>
      <c r="DM78" s="1414"/>
      <c r="DN78" s="1414"/>
      <c r="DO78" s="1414"/>
      <c r="DP78" s="1414"/>
      <c r="DQ78" s="1414"/>
      <c r="DR78" s="1414"/>
      <c r="DS78" s="1381" t="s">
        <v>1615</v>
      </c>
      <c r="DT78" s="1414"/>
      <c r="DU78" s="1414"/>
      <c r="DV78" s="1414"/>
      <c r="DW78" s="1382"/>
      <c r="DX78" s="1382"/>
      <c r="DY78" s="1381" t="s">
        <v>1615</v>
      </c>
      <c r="DZ78" s="1382"/>
      <c r="EA78" s="1414"/>
      <c r="EB78" s="1414"/>
      <c r="EC78" s="1414"/>
      <c r="ED78" s="1414"/>
      <c r="EE78" s="1414"/>
      <c r="EF78" s="1414"/>
      <c r="EG78" s="1414"/>
      <c r="EH78" s="1414"/>
      <c r="EI78" s="1414"/>
      <c r="EJ78" s="1414"/>
      <c r="EK78" s="1414"/>
      <c r="EL78" s="1414"/>
      <c r="EM78" s="1414"/>
      <c r="EN78" s="1414"/>
      <c r="EO78" s="1414"/>
      <c r="EP78" s="1414"/>
      <c r="EQ78" s="1414"/>
      <c r="ER78" s="1414"/>
      <c r="ES78" s="1414"/>
      <c r="ET78" s="1414"/>
      <c r="EU78" s="1414"/>
      <c r="EV78" s="1414"/>
      <c r="EW78" s="1414"/>
      <c r="EX78" s="1414"/>
      <c r="EY78" s="1414"/>
      <c r="EZ78" s="1414"/>
      <c r="FA78" s="1414"/>
      <c r="FB78" s="1381" t="s">
        <v>1615</v>
      </c>
      <c r="FC78" s="1414"/>
      <c r="FD78" s="1414"/>
      <c r="FE78" s="1414"/>
      <c r="FF78" s="1414"/>
      <c r="FG78" s="1414"/>
      <c r="FH78" s="1414"/>
      <c r="FI78" s="1414"/>
      <c r="FJ78" s="1414"/>
      <c r="FK78" s="1414"/>
      <c r="FL78" s="1414"/>
      <c r="FM78" s="1414"/>
      <c r="FN78" s="1414"/>
      <c r="FO78" s="1414"/>
      <c r="FP78" s="1414"/>
      <c r="FQ78" s="1414"/>
      <c r="FR78" s="1414"/>
      <c r="FS78" s="1414"/>
      <c r="FT78" s="1414"/>
      <c r="FU78" s="1414"/>
      <c r="FV78" s="1414"/>
      <c r="FW78" s="1414"/>
      <c r="FX78" s="1414"/>
      <c r="FY78" s="1382"/>
      <c r="FZ78" s="1382"/>
      <c r="GA78" s="1382"/>
      <c r="GB78" s="1522"/>
      <c r="GC78" s="1414"/>
      <c r="GD78" s="1414"/>
      <c r="GE78" s="1414"/>
      <c r="GF78" s="1414"/>
      <c r="GG78" s="1414"/>
      <c r="GH78" s="1414"/>
      <c r="GI78" s="1414"/>
      <c r="GJ78" s="1414"/>
      <c r="GK78" s="1414"/>
      <c r="GL78" s="1414"/>
      <c r="GM78" s="1414"/>
      <c r="GN78" s="1414"/>
      <c r="GO78" s="1414"/>
      <c r="GP78" s="1414"/>
      <c r="GQ78" s="1414"/>
      <c r="GR78" s="1414"/>
      <c r="GS78" s="1414"/>
      <c r="GT78" s="1414"/>
      <c r="GU78" s="1414"/>
      <c r="GV78" s="1414"/>
      <c r="GW78" s="1414"/>
      <c r="GX78" s="1414"/>
      <c r="GY78" s="1414"/>
      <c r="GZ78" s="1414"/>
      <c r="HA78" s="1414"/>
      <c r="HB78" s="1414"/>
      <c r="HC78" s="1414"/>
      <c r="HD78" s="1414"/>
      <c r="HE78" s="1414"/>
      <c r="HF78" s="1414"/>
      <c r="HG78" s="1414"/>
      <c r="HH78" s="1414"/>
      <c r="HI78" s="1414"/>
      <c r="HJ78" s="1414"/>
      <c r="HK78" s="1414"/>
      <c r="HL78" s="1414"/>
      <c r="HM78" s="1414"/>
      <c r="HN78" s="1414"/>
      <c r="HO78" s="1414"/>
      <c r="HP78" s="1414"/>
      <c r="HQ78" s="1414"/>
      <c r="HR78" s="1414"/>
      <c r="HS78" s="1414"/>
      <c r="HT78" s="1414"/>
      <c r="HU78" s="1414"/>
      <c r="HV78" s="1414"/>
      <c r="HW78" s="1414"/>
      <c r="HX78" s="1414"/>
      <c r="HY78" s="1414"/>
      <c r="HZ78" s="1414"/>
      <c r="IA78" s="1414"/>
      <c r="IB78" s="1414"/>
      <c r="IC78" s="1414"/>
      <c r="ID78" s="1414"/>
      <c r="IE78" s="1414"/>
      <c r="IF78" s="1414"/>
      <c r="IG78" s="1414"/>
      <c r="IH78" s="1414"/>
      <c r="II78" s="1414"/>
      <c r="IJ78" s="1414"/>
      <c r="IK78" s="1414"/>
      <c r="IL78" s="1414"/>
      <c r="IM78" s="1414"/>
      <c r="IN78" s="1414"/>
      <c r="IO78" s="1414"/>
      <c r="IP78" s="1414"/>
      <c r="IQ78" s="1414"/>
      <c r="IR78" s="1414"/>
      <c r="IS78" s="1414"/>
      <c r="IT78" s="1414"/>
      <c r="IU78" s="1414"/>
      <c r="IV78" s="1414"/>
      <c r="IW78" s="1414"/>
      <c r="IX78" s="1414"/>
      <c r="IY78" s="1414"/>
      <c r="IZ78" s="1414"/>
      <c r="JA78" s="1414"/>
      <c r="JB78" s="1414"/>
      <c r="JC78" s="1414"/>
      <c r="JD78" s="1414"/>
      <c r="JE78" s="1414"/>
      <c r="JF78" s="1414"/>
      <c r="JG78" s="1414"/>
      <c r="JH78" s="1414"/>
      <c r="JI78" s="1414"/>
      <c r="JJ78" s="1414"/>
      <c r="JK78" s="1414"/>
      <c r="JL78" s="1414"/>
      <c r="JM78" s="1414"/>
      <c r="JN78" s="1414"/>
      <c r="JO78" s="1414"/>
      <c r="JP78" s="1414"/>
      <c r="JQ78" s="1419"/>
      <c r="JR78" s="351"/>
      <c r="JS78" s="1400" t="s">
        <v>2535</v>
      </c>
    </row>
    <row r="79" spans="1:279" x14ac:dyDescent="0.25">
      <c r="A79" s="1367">
        <v>6</v>
      </c>
      <c r="B79" s="1368" t="str">
        <f t="shared" si="8"/>
        <v/>
      </c>
      <c r="C79" s="1359" t="s">
        <v>2536</v>
      </c>
      <c r="D79" s="1360" t="str">
        <f>"If, in the year to 5 April "&amp;Tax_year_end&amp;", you lived with any previous spouse or civil partner, enter their date of birth"</f>
        <v>If, in the year to 5 April 2026, you lived with any previous spouse or civil partner, enter their date of birth</v>
      </c>
      <c r="E79" s="1498"/>
      <c r="F79" s="1498"/>
      <c r="G79" s="1498"/>
      <c r="H79" s="1498"/>
      <c r="I79" s="1498"/>
      <c r="J79" s="1498"/>
      <c r="K79" s="1498"/>
      <c r="L79" s="1498"/>
      <c r="M79" s="1498"/>
      <c r="N79" s="1498"/>
      <c r="O79" s="1498"/>
      <c r="P79" s="1498"/>
      <c r="Q79" s="1498"/>
      <c r="R79" s="1498"/>
      <c r="S79" s="1498"/>
      <c r="T79" s="1498"/>
      <c r="U79" s="1498"/>
      <c r="V79" s="1498"/>
      <c r="W79" s="1498"/>
      <c r="X79" s="1498"/>
      <c r="Y79" s="1498"/>
      <c r="Z79" s="1498"/>
      <c r="AA79" s="1498"/>
      <c r="AB79" s="1498"/>
      <c r="AC79" s="1498"/>
      <c r="AD79" s="1498"/>
      <c r="AE79" s="1498"/>
      <c r="AF79" s="1498"/>
      <c r="AG79" s="1498"/>
      <c r="AH79" s="1498"/>
      <c r="AI79" s="1498"/>
      <c r="AJ79" s="1498"/>
      <c r="AK79" s="1498"/>
      <c r="AL79" s="1498"/>
      <c r="AM79" s="1498"/>
      <c r="AN79" s="1498"/>
      <c r="AO79" s="1498"/>
      <c r="AP79" s="1498"/>
      <c r="AQ79" s="1498"/>
      <c r="AR79" s="1498"/>
      <c r="AS79" s="1498"/>
      <c r="AT79" s="1498"/>
      <c r="AU79" s="1498"/>
      <c r="AV79" s="1498"/>
      <c r="AW79" s="1498"/>
      <c r="AX79" s="1498"/>
      <c r="AY79" s="1498"/>
      <c r="AZ79" s="1498"/>
      <c r="BA79" s="1498"/>
      <c r="BB79" s="1498"/>
      <c r="BC79" s="1498"/>
      <c r="BD79" s="1498"/>
      <c r="BE79" s="1498"/>
      <c r="BF79" s="1498"/>
      <c r="BG79" s="1498"/>
      <c r="BH79" s="1498"/>
      <c r="BI79" s="1498"/>
      <c r="BJ79" s="1498"/>
      <c r="BK79" s="1498"/>
      <c r="BL79" s="1498"/>
      <c r="BM79" s="1498"/>
      <c r="BN79" s="1498"/>
      <c r="BO79" s="1498"/>
      <c r="BP79" s="1498"/>
      <c r="BQ79" s="1498"/>
      <c r="BR79" s="1498"/>
      <c r="BS79" s="1498"/>
      <c r="BT79" s="1498"/>
      <c r="BU79" s="1498"/>
      <c r="BV79" s="1498"/>
      <c r="BW79" s="1498"/>
      <c r="BX79" s="1498"/>
      <c r="BY79" s="1498"/>
      <c r="BZ79" s="1498"/>
      <c r="CA79" s="1498"/>
      <c r="CB79" s="1498"/>
      <c r="CC79" s="2526"/>
      <c r="CD79" s="1498"/>
      <c r="CE79" s="2526"/>
      <c r="CF79" s="1498"/>
      <c r="CG79" s="2526"/>
      <c r="CH79" s="1498"/>
      <c r="CI79" s="2526"/>
      <c r="CJ79" s="2526"/>
      <c r="CK79" s="2526"/>
      <c r="CL79" s="2526"/>
      <c r="CM79" s="2526"/>
      <c r="CN79" s="2526"/>
      <c r="CO79" s="2526"/>
      <c r="CP79" s="2526"/>
      <c r="CQ79" s="2526"/>
      <c r="CR79" s="2526"/>
      <c r="CS79" s="2526"/>
      <c r="CT79" s="2526"/>
      <c r="CU79" s="2526"/>
      <c r="CV79" s="2526"/>
      <c r="CW79" s="2526"/>
      <c r="CX79" s="2526"/>
      <c r="CY79" s="2526"/>
      <c r="CZ79" s="2526"/>
      <c r="DA79" s="2526"/>
      <c r="DB79" s="2526"/>
      <c r="DC79" s="2526"/>
      <c r="DD79" s="2526"/>
      <c r="DE79" s="2526"/>
      <c r="DF79" s="2526"/>
      <c r="DG79" s="2526"/>
      <c r="DH79" s="2526"/>
      <c r="DI79" s="2526"/>
      <c r="DJ79" s="2526"/>
      <c r="DK79" s="2526"/>
      <c r="DL79" s="2526"/>
      <c r="DM79" s="2526"/>
      <c r="DN79" s="2526"/>
      <c r="DO79" s="2526"/>
      <c r="DP79" s="2526"/>
      <c r="DQ79" s="2526"/>
      <c r="DR79" s="2526"/>
      <c r="DS79" s="1498"/>
      <c r="DT79" s="2526"/>
      <c r="DU79" s="2526"/>
      <c r="DV79" s="2526"/>
      <c r="DW79" s="1498"/>
      <c r="DX79" s="1498"/>
      <c r="DY79" s="1498"/>
      <c r="DZ79" s="1498"/>
      <c r="EA79" s="2526"/>
      <c r="EB79" s="2526"/>
      <c r="EC79" s="2526"/>
      <c r="ED79" s="2526"/>
      <c r="EE79" s="2526"/>
      <c r="EF79" s="2526"/>
      <c r="EG79" s="2526"/>
      <c r="EH79" s="2526"/>
      <c r="EI79" s="2526"/>
      <c r="EJ79" s="2526"/>
      <c r="EK79" s="2526"/>
      <c r="EL79" s="2526"/>
      <c r="EM79" s="2526"/>
      <c r="EN79" s="2526"/>
      <c r="EO79" s="2526"/>
      <c r="EP79" s="2526"/>
      <c r="EQ79" s="2526"/>
      <c r="ER79" s="2526"/>
      <c r="ES79" s="2526"/>
      <c r="ET79" s="2526"/>
      <c r="EU79" s="2526"/>
      <c r="EV79" s="2526"/>
      <c r="EW79" s="2526"/>
      <c r="EX79" s="2526"/>
      <c r="EY79" s="2526"/>
      <c r="EZ79" s="2526"/>
      <c r="FA79" s="2526"/>
      <c r="FB79" s="1498"/>
      <c r="FC79" s="2526"/>
      <c r="FD79" s="2526"/>
      <c r="FE79" s="2526"/>
      <c r="FF79" s="2526"/>
      <c r="FG79" s="2526"/>
      <c r="FH79" s="2526"/>
      <c r="FI79" s="2526"/>
      <c r="FJ79" s="2526"/>
      <c r="FK79" s="2526"/>
      <c r="FL79" s="2526"/>
      <c r="FM79" s="2526"/>
      <c r="FN79" s="2526"/>
      <c r="FO79" s="2526"/>
      <c r="FP79" s="2526"/>
      <c r="FQ79" s="2526"/>
      <c r="FR79" s="2526"/>
      <c r="FS79" s="2526"/>
      <c r="FT79" s="2526"/>
      <c r="FU79" s="2526"/>
      <c r="FV79" s="2526"/>
      <c r="FW79" s="2526"/>
      <c r="FX79" s="2526"/>
      <c r="FY79" s="1498"/>
      <c r="FZ79" s="1498"/>
      <c r="GA79" s="1498"/>
      <c r="GB79" s="1498"/>
      <c r="GC79" s="2526"/>
      <c r="GD79" s="2526"/>
      <c r="GE79" s="2526"/>
      <c r="GF79" s="2526"/>
      <c r="GG79" s="2526"/>
      <c r="GH79" s="2526"/>
      <c r="GI79" s="2526"/>
      <c r="GJ79" s="2526"/>
      <c r="GK79" s="2526"/>
      <c r="GL79" s="2526"/>
      <c r="GM79" s="2526"/>
      <c r="GN79" s="2526"/>
      <c r="GO79" s="2526"/>
      <c r="GP79" s="2526"/>
      <c r="GQ79" s="2526"/>
      <c r="GR79" s="2526"/>
      <c r="GS79" s="2526"/>
      <c r="GT79" s="2526"/>
      <c r="GU79" s="2526"/>
      <c r="GV79" s="2526"/>
      <c r="GW79" s="2526"/>
      <c r="GX79" s="2526"/>
      <c r="GY79" s="2526"/>
      <c r="GZ79" s="2526"/>
      <c r="HA79" s="2526"/>
      <c r="HB79" s="2526"/>
      <c r="HC79" s="2526"/>
      <c r="HD79" s="2526"/>
      <c r="HE79" s="2526"/>
      <c r="HF79" s="2526"/>
      <c r="HG79" s="2526"/>
      <c r="HH79" s="2526"/>
      <c r="HI79" s="2526"/>
      <c r="HJ79" s="2526"/>
      <c r="HK79" s="2526"/>
      <c r="HL79" s="2526"/>
      <c r="HM79" s="2526"/>
      <c r="HN79" s="2526"/>
      <c r="HO79" s="2526"/>
      <c r="HP79" s="2526"/>
      <c r="HQ79" s="2526"/>
      <c r="HR79" s="2526"/>
      <c r="HS79" s="2526"/>
      <c r="HT79" s="2526"/>
      <c r="HU79" s="2526"/>
      <c r="HV79" s="2526"/>
      <c r="HW79" s="2526"/>
      <c r="HX79" s="2526"/>
      <c r="HY79" s="2526"/>
      <c r="HZ79" s="2526"/>
      <c r="IA79" s="2526"/>
      <c r="IB79" s="2526"/>
      <c r="IC79" s="2526"/>
      <c r="ID79" s="2526"/>
      <c r="IE79" s="2526"/>
      <c r="IF79" s="2526"/>
      <c r="IG79" s="2526"/>
      <c r="IH79" s="2526"/>
      <c r="II79" s="2526"/>
      <c r="IJ79" s="2526"/>
      <c r="IK79" s="2526"/>
      <c r="IL79" s="2526"/>
      <c r="IM79" s="2526"/>
      <c r="IN79" s="2526"/>
      <c r="IO79" s="2526"/>
      <c r="IP79" s="2526"/>
      <c r="IQ79" s="2526"/>
      <c r="IR79" s="2526"/>
      <c r="IS79" s="2526"/>
      <c r="IT79" s="2526"/>
      <c r="IU79" s="2526"/>
      <c r="IV79" s="2526"/>
      <c r="IW79" s="2526"/>
      <c r="IX79" s="2526"/>
      <c r="IY79" s="2526"/>
      <c r="IZ79" s="2526"/>
      <c r="JA79" s="2526"/>
      <c r="JB79" s="2526"/>
      <c r="JC79" s="2526"/>
      <c r="JD79" s="2526"/>
      <c r="JE79" s="2526"/>
      <c r="JF79" s="2526"/>
      <c r="JG79" s="2526"/>
      <c r="JH79" s="2526"/>
      <c r="JI79" s="2526"/>
      <c r="JJ79" s="2526"/>
      <c r="JK79" s="2526"/>
      <c r="JL79" s="2526"/>
      <c r="JM79" s="2526"/>
      <c r="JN79" s="2526"/>
      <c r="JO79" s="2526"/>
      <c r="JP79" s="2526"/>
      <c r="JQ79" s="2527"/>
      <c r="JR79" s="351"/>
      <c r="JS79" s="1400"/>
    </row>
    <row r="80" spans="1:279" x14ac:dyDescent="0.25">
      <c r="A80" s="1367">
        <v>7</v>
      </c>
      <c r="B80" s="1368" t="str">
        <f t="shared" si="8"/>
        <v/>
      </c>
      <c r="C80" s="1359" t="s">
        <v>2537</v>
      </c>
      <c r="D80" s="1360" t="s">
        <v>2538</v>
      </c>
      <c r="E80" s="1381"/>
      <c r="F80" s="1381"/>
      <c r="G80" s="1381"/>
      <c r="H80" s="1381"/>
      <c r="I80" s="1381"/>
      <c r="J80" s="1381"/>
      <c r="K80" s="1381" t="s">
        <v>1615</v>
      </c>
      <c r="L80" s="1381" t="s">
        <v>1615</v>
      </c>
      <c r="M80" s="1381"/>
      <c r="N80" s="1381"/>
      <c r="O80" s="1381"/>
      <c r="P80" s="1381"/>
      <c r="Q80" s="1381" t="s">
        <v>1615</v>
      </c>
      <c r="R80" s="1381"/>
      <c r="S80" s="1381"/>
      <c r="T80" s="1381"/>
      <c r="U80" s="1381"/>
      <c r="V80" s="1381"/>
      <c r="W80" s="1381"/>
      <c r="X80" s="1381"/>
      <c r="Y80" s="1381"/>
      <c r="Z80" s="1381"/>
      <c r="AA80" s="1381"/>
      <c r="AB80" s="1381"/>
      <c r="AC80" s="1381"/>
      <c r="AD80" s="1381"/>
      <c r="AE80" s="1381"/>
      <c r="AF80" s="1381"/>
      <c r="AG80" s="1381"/>
      <c r="AH80" s="1381"/>
      <c r="AI80" s="1381"/>
      <c r="AJ80" s="1381"/>
      <c r="AK80" s="1381"/>
      <c r="AL80" s="1381"/>
      <c r="AM80" s="1381"/>
      <c r="AN80" s="1381" t="s">
        <v>1615</v>
      </c>
      <c r="AO80" s="1381"/>
      <c r="AP80" s="1381"/>
      <c r="AQ80" s="1381"/>
      <c r="AR80" s="1381"/>
      <c r="AS80" s="1381"/>
      <c r="AT80" s="1381"/>
      <c r="AU80" s="1381"/>
      <c r="AV80" s="1381"/>
      <c r="AW80" s="1381" t="s">
        <v>1707</v>
      </c>
      <c r="AX80" s="1381"/>
      <c r="AY80" s="1381"/>
      <c r="AZ80" s="1381"/>
      <c r="BA80" s="1381"/>
      <c r="BB80" s="1381"/>
      <c r="BC80" s="1381"/>
      <c r="BD80" s="1381" t="s">
        <v>1615</v>
      </c>
      <c r="BE80" s="1381"/>
      <c r="BF80" s="1381"/>
      <c r="BG80" s="1381"/>
      <c r="BH80" s="1381"/>
      <c r="BI80" s="1381"/>
      <c r="BJ80" s="1381"/>
      <c r="BK80" s="1381"/>
      <c r="BL80" s="1381"/>
      <c r="BM80" s="1381"/>
      <c r="BN80" s="1381" t="s">
        <v>1615</v>
      </c>
      <c r="BO80" s="1381"/>
      <c r="BP80" s="1381"/>
      <c r="BQ80" s="1381"/>
      <c r="BR80" s="1381"/>
      <c r="BS80" s="1381"/>
      <c r="BT80" s="1381"/>
      <c r="BU80" s="1381"/>
      <c r="BV80" s="1382"/>
      <c r="BW80" s="1381" t="s">
        <v>1615</v>
      </c>
      <c r="BX80" s="1381" t="s">
        <v>1615</v>
      </c>
      <c r="BY80" s="1381" t="s">
        <v>1615</v>
      </c>
      <c r="BZ80" s="1381"/>
      <c r="CA80" s="1381" t="s">
        <v>1615</v>
      </c>
      <c r="CB80" s="1381"/>
      <c r="CC80" s="1414"/>
      <c r="CD80" s="1381"/>
      <c r="CE80" s="1414"/>
      <c r="CF80" s="1381" t="s">
        <v>1615</v>
      </c>
      <c r="CG80" s="1414"/>
      <c r="CH80" s="1381"/>
      <c r="CI80" s="1414"/>
      <c r="CJ80" s="1414"/>
      <c r="CK80" s="1414"/>
      <c r="CL80" s="1414"/>
      <c r="CM80" s="1414"/>
      <c r="CN80" s="1414"/>
      <c r="CO80" s="1414"/>
      <c r="CP80" s="1414"/>
      <c r="CQ80" s="1414"/>
      <c r="CR80" s="1414"/>
      <c r="CS80" s="1414"/>
      <c r="CT80" s="1414"/>
      <c r="CU80" s="1414"/>
      <c r="CV80" s="1414"/>
      <c r="CW80" s="1414"/>
      <c r="CX80" s="1414"/>
      <c r="CY80" s="1414"/>
      <c r="CZ80" s="1414"/>
      <c r="DA80" s="1414"/>
      <c r="DB80" s="1414"/>
      <c r="DC80" s="1414"/>
      <c r="DD80" s="1414"/>
      <c r="DE80" s="1414"/>
      <c r="DF80" s="1414"/>
      <c r="DG80" s="1414"/>
      <c r="DH80" s="1414"/>
      <c r="DI80" s="1414"/>
      <c r="DJ80" s="1414"/>
      <c r="DK80" s="1414"/>
      <c r="DL80" s="1414"/>
      <c r="DM80" s="1414"/>
      <c r="DN80" s="1414"/>
      <c r="DO80" s="1414"/>
      <c r="DP80" s="1414"/>
      <c r="DQ80" s="1414"/>
      <c r="DR80" s="1414"/>
      <c r="DS80" s="1381" t="s">
        <v>1615</v>
      </c>
      <c r="DT80" s="1414"/>
      <c r="DU80" s="1414"/>
      <c r="DV80" s="1414"/>
      <c r="DW80" s="1382"/>
      <c r="DX80" s="1382"/>
      <c r="DY80" s="1381" t="s">
        <v>1615</v>
      </c>
      <c r="DZ80" s="1382"/>
      <c r="EA80" s="1414"/>
      <c r="EB80" s="1414"/>
      <c r="EC80" s="1414"/>
      <c r="ED80" s="1414"/>
      <c r="EE80" s="1414"/>
      <c r="EF80" s="1414"/>
      <c r="EG80" s="1414"/>
      <c r="EH80" s="1414"/>
      <c r="EI80" s="1414"/>
      <c r="EJ80" s="1414"/>
      <c r="EK80" s="1414"/>
      <c r="EL80" s="1414"/>
      <c r="EM80" s="1414"/>
      <c r="EN80" s="1414"/>
      <c r="EO80" s="1414"/>
      <c r="EP80" s="1414"/>
      <c r="EQ80" s="1414"/>
      <c r="ER80" s="1414"/>
      <c r="ES80" s="1414"/>
      <c r="ET80" s="1414"/>
      <c r="EU80" s="1414"/>
      <c r="EV80" s="1414"/>
      <c r="EW80" s="1414"/>
      <c r="EX80" s="1414"/>
      <c r="EY80" s="1414"/>
      <c r="EZ80" s="1414"/>
      <c r="FA80" s="1414"/>
      <c r="FB80" s="1381" t="s">
        <v>1615</v>
      </c>
      <c r="FC80" s="1414"/>
      <c r="FD80" s="1414"/>
      <c r="FE80" s="1414"/>
      <c r="FF80" s="1414"/>
      <c r="FG80" s="1414"/>
      <c r="FH80" s="1414"/>
      <c r="FI80" s="1414"/>
      <c r="FJ80" s="1414"/>
      <c r="FK80" s="1414"/>
      <c r="FL80" s="1414"/>
      <c r="FM80" s="1414"/>
      <c r="FN80" s="1414"/>
      <c r="FO80" s="1414"/>
      <c r="FP80" s="1414"/>
      <c r="FQ80" s="1414"/>
      <c r="FR80" s="1414"/>
      <c r="FS80" s="1414"/>
      <c r="FT80" s="1414"/>
      <c r="FU80" s="1414"/>
      <c r="FV80" s="1414"/>
      <c r="FW80" s="1414"/>
      <c r="FX80" s="1414"/>
      <c r="FY80" s="1382"/>
      <c r="FZ80" s="1382"/>
      <c r="GA80" s="1382"/>
      <c r="GB80" s="1382"/>
      <c r="GC80" s="1414"/>
      <c r="GD80" s="1414"/>
      <c r="GE80" s="1414"/>
      <c r="GF80" s="1414"/>
      <c r="GG80" s="1414"/>
      <c r="GH80" s="1414"/>
      <c r="GI80" s="1414"/>
      <c r="GJ80" s="1414"/>
      <c r="GK80" s="1414"/>
      <c r="GL80" s="1414"/>
      <c r="GM80" s="1414"/>
      <c r="GN80" s="1414"/>
      <c r="GO80" s="1414"/>
      <c r="GP80" s="1414"/>
      <c r="GQ80" s="1414"/>
      <c r="GR80" s="1414"/>
      <c r="GS80" s="1414"/>
      <c r="GT80" s="1414"/>
      <c r="GU80" s="1414"/>
      <c r="GV80" s="1414"/>
      <c r="GW80" s="1414"/>
      <c r="GX80" s="1414"/>
      <c r="GY80" s="1414"/>
      <c r="GZ80" s="1414"/>
      <c r="HA80" s="1414"/>
      <c r="HB80" s="1414"/>
      <c r="HC80" s="1414"/>
      <c r="HD80" s="1414"/>
      <c r="HE80" s="1414"/>
      <c r="HF80" s="1414"/>
      <c r="HG80" s="1414"/>
      <c r="HH80" s="1414"/>
      <c r="HI80" s="1414"/>
      <c r="HJ80" s="1414"/>
      <c r="HK80" s="1414"/>
      <c r="HL80" s="1414"/>
      <c r="HM80" s="1414"/>
      <c r="HN80" s="1414"/>
      <c r="HO80" s="1414"/>
      <c r="HP80" s="1414"/>
      <c r="HQ80" s="1414"/>
      <c r="HR80" s="1414"/>
      <c r="HS80" s="1414"/>
      <c r="HT80" s="1414"/>
      <c r="HU80" s="1414"/>
      <c r="HV80" s="1414"/>
      <c r="HW80" s="1414"/>
      <c r="HX80" s="1414"/>
      <c r="HY80" s="1414"/>
      <c r="HZ80" s="1414"/>
      <c r="IA80" s="1414"/>
      <c r="IB80" s="1414"/>
      <c r="IC80" s="1414"/>
      <c r="ID80" s="1414"/>
      <c r="IE80" s="1414"/>
      <c r="IF80" s="1414"/>
      <c r="IG80" s="1414"/>
      <c r="IH80" s="1414"/>
      <c r="II80" s="1414"/>
      <c r="IJ80" s="1414"/>
      <c r="IK80" s="1414"/>
      <c r="IL80" s="1414"/>
      <c r="IM80" s="1414"/>
      <c r="IN80" s="1414"/>
      <c r="IO80" s="1414"/>
      <c r="IP80" s="1414"/>
      <c r="IQ80" s="1414"/>
      <c r="IR80" s="1414"/>
      <c r="IS80" s="1414"/>
      <c r="IT80" s="1414"/>
      <c r="IU80" s="1414"/>
      <c r="IV80" s="1414"/>
      <c r="IW80" s="1414"/>
      <c r="IX80" s="1414"/>
      <c r="IY80" s="1414"/>
      <c r="IZ80" s="1414"/>
      <c r="JA80" s="1414"/>
      <c r="JB80" s="1414"/>
      <c r="JC80" s="1414"/>
      <c r="JD80" s="1414"/>
      <c r="JE80" s="1414"/>
      <c r="JF80" s="1414"/>
      <c r="JG80" s="1414"/>
      <c r="JH80" s="1414"/>
      <c r="JI80" s="1414"/>
      <c r="JJ80" s="1414"/>
      <c r="JK80" s="1414"/>
      <c r="JL80" s="1414"/>
      <c r="JM80" s="1414"/>
      <c r="JN80" s="1414"/>
      <c r="JO80" s="1414"/>
      <c r="JP80" s="1414"/>
      <c r="JQ80" s="1415"/>
      <c r="JR80" s="351"/>
      <c r="JS80" s="1400" t="s">
        <v>2539</v>
      </c>
    </row>
    <row r="81" spans="1:279" ht="20" x14ac:dyDescent="0.25">
      <c r="A81" s="1367">
        <v>8</v>
      </c>
      <c r="B81" s="1368" t="str">
        <f t="shared" si="8"/>
        <v/>
      </c>
      <c r="C81" s="1359" t="s">
        <v>2540</v>
      </c>
      <c r="D81" s="1360" t="s">
        <v>2541</v>
      </c>
      <c r="E81" s="1416"/>
      <c r="F81" s="1416"/>
      <c r="G81" s="1416"/>
      <c r="H81" s="1416"/>
      <c r="I81" s="1416"/>
      <c r="J81" s="1416"/>
      <c r="K81" s="1416" t="s">
        <v>1615</v>
      </c>
      <c r="L81" s="1416" t="s">
        <v>1615</v>
      </c>
      <c r="M81" s="1416"/>
      <c r="N81" s="1416"/>
      <c r="O81" s="1416"/>
      <c r="P81" s="1416"/>
      <c r="Q81" s="1416" t="s">
        <v>1707</v>
      </c>
      <c r="R81" s="1416"/>
      <c r="S81" s="1416"/>
      <c r="T81" s="1416"/>
      <c r="U81" s="1416"/>
      <c r="V81" s="1416"/>
      <c r="W81" s="1416"/>
      <c r="X81" s="1416"/>
      <c r="Y81" s="1416"/>
      <c r="Z81" s="1416"/>
      <c r="AA81" s="1416"/>
      <c r="AB81" s="1416"/>
      <c r="AC81" s="1416"/>
      <c r="AD81" s="1416"/>
      <c r="AE81" s="1416"/>
      <c r="AF81" s="1416"/>
      <c r="AG81" s="1416"/>
      <c r="AH81" s="1416"/>
      <c r="AI81" s="1416"/>
      <c r="AJ81" s="1416"/>
      <c r="AK81" s="1416"/>
      <c r="AL81" s="1416"/>
      <c r="AM81" s="1416"/>
      <c r="AN81" s="1416" t="s">
        <v>1615</v>
      </c>
      <c r="AO81" s="1416"/>
      <c r="AP81" s="1416"/>
      <c r="AQ81" s="1416"/>
      <c r="AR81" s="1416"/>
      <c r="AS81" s="1416"/>
      <c r="AT81" s="1416"/>
      <c r="AU81" s="1416"/>
      <c r="AV81" s="1416"/>
      <c r="AW81" s="1416" t="s">
        <v>1615</v>
      </c>
      <c r="AX81" s="1416"/>
      <c r="AY81" s="1416"/>
      <c r="AZ81" s="1416"/>
      <c r="BA81" s="1416"/>
      <c r="BB81" s="1416"/>
      <c r="BC81" s="1416"/>
      <c r="BD81" s="1416" t="s">
        <v>1615</v>
      </c>
      <c r="BE81" s="1416"/>
      <c r="BF81" s="1416"/>
      <c r="BG81" s="1416"/>
      <c r="BH81" s="1416"/>
      <c r="BI81" s="1416"/>
      <c r="BJ81" s="1416"/>
      <c r="BK81" s="1416"/>
      <c r="BL81" s="1416"/>
      <c r="BM81" s="1416"/>
      <c r="BN81" s="1416" t="s">
        <v>1615</v>
      </c>
      <c r="BO81" s="1416"/>
      <c r="BP81" s="1416"/>
      <c r="BQ81" s="1416"/>
      <c r="BR81" s="1416"/>
      <c r="BS81" s="1416"/>
      <c r="BT81" s="1416"/>
      <c r="BU81" s="1416"/>
      <c r="BV81" s="1417"/>
      <c r="BW81" s="1416" t="s">
        <v>1615</v>
      </c>
      <c r="BX81" s="1416" t="s">
        <v>1615</v>
      </c>
      <c r="BY81" s="1416" t="s">
        <v>1615</v>
      </c>
      <c r="BZ81" s="1416"/>
      <c r="CA81" s="1416" t="s">
        <v>1615</v>
      </c>
      <c r="CB81" s="1416"/>
      <c r="CC81" s="1418"/>
      <c r="CD81" s="1416"/>
      <c r="CE81" s="1418"/>
      <c r="CF81" s="1416" t="s">
        <v>1615</v>
      </c>
      <c r="CG81" s="1418"/>
      <c r="CH81" s="1416"/>
      <c r="CI81" s="1418"/>
      <c r="CJ81" s="1418"/>
      <c r="CK81" s="1418"/>
      <c r="CL81" s="1418"/>
      <c r="CM81" s="1418"/>
      <c r="CN81" s="1418"/>
      <c r="CO81" s="1418"/>
      <c r="CP81" s="1418"/>
      <c r="CQ81" s="1418"/>
      <c r="CR81" s="1418"/>
      <c r="CS81" s="1418"/>
      <c r="CT81" s="1418"/>
      <c r="CU81" s="1418"/>
      <c r="CV81" s="1418"/>
      <c r="CW81" s="1418"/>
      <c r="CX81" s="1418"/>
      <c r="CY81" s="1418"/>
      <c r="CZ81" s="1418"/>
      <c r="DA81" s="1418"/>
      <c r="DB81" s="1418"/>
      <c r="DC81" s="1418"/>
      <c r="DD81" s="1418"/>
      <c r="DE81" s="1418"/>
      <c r="DF81" s="1418"/>
      <c r="DG81" s="1418"/>
      <c r="DH81" s="1418"/>
      <c r="DI81" s="1418"/>
      <c r="DJ81" s="1418"/>
      <c r="DK81" s="1418"/>
      <c r="DL81" s="1418"/>
      <c r="DM81" s="1418"/>
      <c r="DN81" s="1418"/>
      <c r="DO81" s="1418"/>
      <c r="DP81" s="1418"/>
      <c r="DQ81" s="1418"/>
      <c r="DR81" s="1418"/>
      <c r="DS81" s="1416" t="s">
        <v>1615</v>
      </c>
      <c r="DT81" s="1418"/>
      <c r="DU81" s="1418"/>
      <c r="DV81" s="1418"/>
      <c r="DW81" s="1417"/>
      <c r="DX81" s="1417"/>
      <c r="DY81" s="1416" t="s">
        <v>1615</v>
      </c>
      <c r="DZ81" s="1417"/>
      <c r="EA81" s="1418"/>
      <c r="EB81" s="1418"/>
      <c r="EC81" s="1418"/>
      <c r="ED81" s="1418"/>
      <c r="EE81" s="1418"/>
      <c r="EF81" s="1418"/>
      <c r="EG81" s="1418"/>
      <c r="EH81" s="1418"/>
      <c r="EI81" s="1418"/>
      <c r="EJ81" s="1418"/>
      <c r="EK81" s="1418"/>
      <c r="EL81" s="1418"/>
      <c r="EM81" s="1418"/>
      <c r="EN81" s="1418"/>
      <c r="EO81" s="1418"/>
      <c r="EP81" s="1418"/>
      <c r="EQ81" s="1418"/>
      <c r="ER81" s="1418"/>
      <c r="ES81" s="1418"/>
      <c r="ET81" s="1418"/>
      <c r="EU81" s="1418"/>
      <c r="EV81" s="1418"/>
      <c r="EW81" s="1418"/>
      <c r="EX81" s="1418"/>
      <c r="EY81" s="1418"/>
      <c r="EZ81" s="1418"/>
      <c r="FA81" s="1418"/>
      <c r="FB81" s="1416" t="s">
        <v>1615</v>
      </c>
      <c r="FC81" s="1418"/>
      <c r="FD81" s="1418"/>
      <c r="FE81" s="1418"/>
      <c r="FF81" s="1418"/>
      <c r="FG81" s="1418"/>
      <c r="FH81" s="1418"/>
      <c r="FI81" s="1418"/>
      <c r="FJ81" s="1418"/>
      <c r="FK81" s="1418"/>
      <c r="FL81" s="1418"/>
      <c r="FM81" s="1418"/>
      <c r="FN81" s="1418"/>
      <c r="FO81" s="1418"/>
      <c r="FP81" s="1418"/>
      <c r="FQ81" s="1418"/>
      <c r="FR81" s="1418"/>
      <c r="FS81" s="1418"/>
      <c r="FT81" s="1418"/>
      <c r="FU81" s="1418"/>
      <c r="FV81" s="1418"/>
      <c r="FW81" s="1418"/>
      <c r="FX81" s="1418"/>
      <c r="FY81" s="1417"/>
      <c r="FZ81" s="1417"/>
      <c r="GA81" s="1417"/>
      <c r="GB81" s="1417"/>
      <c r="GC81" s="1418"/>
      <c r="GD81" s="1418"/>
      <c r="GE81" s="1418"/>
      <c r="GF81" s="1418"/>
      <c r="GG81" s="1418"/>
      <c r="GH81" s="1418"/>
      <c r="GI81" s="1418"/>
      <c r="GJ81" s="1418"/>
      <c r="GK81" s="1418"/>
      <c r="GL81" s="1418"/>
      <c r="GM81" s="1418"/>
      <c r="GN81" s="1418"/>
      <c r="GO81" s="1418"/>
      <c r="GP81" s="1418"/>
      <c r="GQ81" s="1418"/>
      <c r="GR81" s="1418"/>
      <c r="GS81" s="1418"/>
      <c r="GT81" s="1418"/>
      <c r="GU81" s="1418"/>
      <c r="GV81" s="1418"/>
      <c r="GW81" s="1418"/>
      <c r="GX81" s="1418"/>
      <c r="GY81" s="1418"/>
      <c r="GZ81" s="1418"/>
      <c r="HA81" s="1418"/>
      <c r="HB81" s="1418"/>
      <c r="HC81" s="1418"/>
      <c r="HD81" s="1418"/>
      <c r="HE81" s="1418"/>
      <c r="HF81" s="1418"/>
      <c r="HG81" s="1418"/>
      <c r="HH81" s="1418"/>
      <c r="HI81" s="1418"/>
      <c r="HJ81" s="1418"/>
      <c r="HK81" s="1418"/>
      <c r="HL81" s="1418"/>
      <c r="HM81" s="1418"/>
      <c r="HN81" s="1418"/>
      <c r="HO81" s="1418"/>
      <c r="HP81" s="1418"/>
      <c r="HQ81" s="1418"/>
      <c r="HR81" s="1418"/>
      <c r="HS81" s="1418"/>
      <c r="HT81" s="1418"/>
      <c r="HU81" s="1418"/>
      <c r="HV81" s="1418"/>
      <c r="HW81" s="1418"/>
      <c r="HX81" s="1418"/>
      <c r="HY81" s="1418"/>
      <c r="HZ81" s="1418"/>
      <c r="IA81" s="1418"/>
      <c r="IB81" s="1418"/>
      <c r="IC81" s="1418"/>
      <c r="ID81" s="1418"/>
      <c r="IE81" s="1418"/>
      <c r="IF81" s="1418"/>
      <c r="IG81" s="1418"/>
      <c r="IH81" s="1418"/>
      <c r="II81" s="1418"/>
      <c r="IJ81" s="1418"/>
      <c r="IK81" s="1418"/>
      <c r="IL81" s="1418"/>
      <c r="IM81" s="1418"/>
      <c r="IN81" s="1418"/>
      <c r="IO81" s="1418"/>
      <c r="IP81" s="1418"/>
      <c r="IQ81" s="1418"/>
      <c r="IR81" s="1418"/>
      <c r="IS81" s="1418"/>
      <c r="IT81" s="1418"/>
      <c r="IU81" s="1418"/>
      <c r="IV81" s="1418"/>
      <c r="IW81" s="1418"/>
      <c r="IX81" s="1418"/>
      <c r="IY81" s="1418"/>
      <c r="IZ81" s="1418"/>
      <c r="JA81" s="1418"/>
      <c r="JB81" s="1418"/>
      <c r="JC81" s="1418"/>
      <c r="JD81" s="1418"/>
      <c r="JE81" s="1418"/>
      <c r="JF81" s="1418"/>
      <c r="JG81" s="1418"/>
      <c r="JH81" s="1418"/>
      <c r="JI81" s="1418"/>
      <c r="JJ81" s="1418"/>
      <c r="JK81" s="1418"/>
      <c r="JL81" s="1418"/>
      <c r="JM81" s="1418"/>
      <c r="JN81" s="1418"/>
      <c r="JO81" s="1418"/>
      <c r="JP81" s="1418"/>
      <c r="JQ81" s="1419"/>
      <c r="JR81" s="351"/>
      <c r="JS81" s="1400" t="s">
        <v>2542</v>
      </c>
    </row>
    <row r="82" spans="1:279" ht="30" x14ac:dyDescent="0.25">
      <c r="A82" s="1367">
        <v>9</v>
      </c>
      <c r="B82" s="1368" t="str">
        <f t="shared" si="8"/>
        <v/>
      </c>
      <c r="C82" s="1359" t="s">
        <v>2543</v>
      </c>
      <c r="D82" s="1360" t="s">
        <v>2519</v>
      </c>
      <c r="E82" s="1416"/>
      <c r="F82" s="1416"/>
      <c r="G82" s="1416"/>
      <c r="H82" s="1416"/>
      <c r="I82" s="1416"/>
      <c r="J82" s="1416"/>
      <c r="K82" s="1416"/>
      <c r="L82" s="1416"/>
      <c r="M82" s="1416"/>
      <c r="N82" s="1416"/>
      <c r="O82" s="1416"/>
      <c r="P82" s="1416"/>
      <c r="Q82" s="1416" t="s">
        <v>2544</v>
      </c>
      <c r="R82" s="1416"/>
      <c r="S82" s="1416"/>
      <c r="T82" s="1416"/>
      <c r="U82" s="1416"/>
      <c r="V82" s="1416"/>
      <c r="W82" s="1416"/>
      <c r="X82" s="1416"/>
      <c r="Y82" s="1416"/>
      <c r="Z82" s="1416"/>
      <c r="AA82" s="1416"/>
      <c r="AB82" s="1416"/>
      <c r="AC82" s="1416"/>
      <c r="AD82" s="1416"/>
      <c r="AE82" s="1416"/>
      <c r="AF82" s="1416"/>
      <c r="AG82" s="1416"/>
      <c r="AH82" s="1416"/>
      <c r="AI82" s="1416"/>
      <c r="AJ82" s="1416"/>
      <c r="AK82" s="1416"/>
      <c r="AL82" s="1416"/>
      <c r="AM82" s="1416"/>
      <c r="AN82" s="1416"/>
      <c r="AO82" s="1416"/>
      <c r="AP82" s="1416"/>
      <c r="AQ82" s="1416"/>
      <c r="AR82" s="1416"/>
      <c r="AS82" s="1416"/>
      <c r="AT82" s="1416"/>
      <c r="AU82" s="1416"/>
      <c r="AV82" s="1416"/>
      <c r="AW82" s="1416" t="s">
        <v>2544</v>
      </c>
      <c r="AX82" s="1416"/>
      <c r="AY82" s="1416"/>
      <c r="AZ82" s="1416"/>
      <c r="BA82" s="1416"/>
      <c r="BB82" s="1416"/>
      <c r="BC82" s="1416"/>
      <c r="BD82" s="1416"/>
      <c r="BE82" s="1416"/>
      <c r="BF82" s="1416"/>
      <c r="BG82" s="1416"/>
      <c r="BH82" s="1416"/>
      <c r="BI82" s="1416"/>
      <c r="BJ82" s="1416"/>
      <c r="BK82" s="1416"/>
      <c r="BL82" s="1416"/>
      <c r="BM82" s="1416"/>
      <c r="BN82" s="1416"/>
      <c r="BO82" s="1416"/>
      <c r="BP82" s="1416"/>
      <c r="BQ82" s="1416"/>
      <c r="BR82" s="1416"/>
      <c r="BS82" s="1416"/>
      <c r="BT82" s="1416"/>
      <c r="BU82" s="1416"/>
      <c r="BV82" s="1416"/>
      <c r="BW82" s="1416"/>
      <c r="BX82" s="1416"/>
      <c r="BY82" s="1416"/>
      <c r="BZ82" s="1416"/>
      <c r="CA82" s="1416"/>
      <c r="CB82" s="1416"/>
      <c r="CC82" s="1418"/>
      <c r="CD82" s="1416"/>
      <c r="CE82" s="1418"/>
      <c r="CF82" s="1416"/>
      <c r="CG82" s="1418"/>
      <c r="CH82" s="1416"/>
      <c r="CI82" s="1418"/>
      <c r="CJ82" s="1418"/>
      <c r="CK82" s="1418"/>
      <c r="CL82" s="1418"/>
      <c r="CM82" s="1418"/>
      <c r="CN82" s="1418"/>
      <c r="CO82" s="1418"/>
      <c r="CP82" s="1418"/>
      <c r="CQ82" s="1418"/>
      <c r="CR82" s="1418"/>
      <c r="CS82" s="1418"/>
      <c r="CT82" s="1418"/>
      <c r="CU82" s="1418"/>
      <c r="CV82" s="1418"/>
      <c r="CW82" s="1418"/>
      <c r="CX82" s="1418"/>
      <c r="CY82" s="1418"/>
      <c r="CZ82" s="1418"/>
      <c r="DA82" s="1418"/>
      <c r="DB82" s="1418"/>
      <c r="DC82" s="1418"/>
      <c r="DD82" s="1418"/>
      <c r="DE82" s="1418"/>
      <c r="DF82" s="1418"/>
      <c r="DG82" s="1418"/>
      <c r="DH82" s="1418"/>
      <c r="DI82" s="1418"/>
      <c r="DJ82" s="1418"/>
      <c r="DK82" s="1418"/>
      <c r="DL82" s="1418"/>
      <c r="DM82" s="1418"/>
      <c r="DN82" s="1418"/>
      <c r="DO82" s="1418"/>
      <c r="DP82" s="1418"/>
      <c r="DQ82" s="1418"/>
      <c r="DR82" s="1418"/>
      <c r="DS82" s="1416"/>
      <c r="DT82" s="1418"/>
      <c r="DU82" s="1418"/>
      <c r="DV82" s="1418"/>
      <c r="DW82" s="1416"/>
      <c r="DX82" s="1416"/>
      <c r="DY82" s="1416"/>
      <c r="DZ82" s="1416"/>
      <c r="EA82" s="1418"/>
      <c r="EB82" s="1418"/>
      <c r="EC82" s="1418"/>
      <c r="ED82" s="1418"/>
      <c r="EE82" s="1418"/>
      <c r="EF82" s="1418"/>
      <c r="EG82" s="1418"/>
      <c r="EH82" s="1418"/>
      <c r="EI82" s="1418"/>
      <c r="EJ82" s="1418"/>
      <c r="EK82" s="1418"/>
      <c r="EL82" s="1418"/>
      <c r="EM82" s="1418"/>
      <c r="EN82" s="1418"/>
      <c r="EO82" s="1418"/>
      <c r="EP82" s="1418"/>
      <c r="EQ82" s="1418"/>
      <c r="ER82" s="1418"/>
      <c r="ES82" s="1418"/>
      <c r="ET82" s="1418"/>
      <c r="EU82" s="1418"/>
      <c r="EV82" s="1418"/>
      <c r="EW82" s="1418"/>
      <c r="EX82" s="1418"/>
      <c r="EY82" s="1418"/>
      <c r="EZ82" s="1418"/>
      <c r="FA82" s="1418"/>
      <c r="FB82" s="1416"/>
      <c r="FC82" s="1418"/>
      <c r="FD82" s="1418"/>
      <c r="FE82" s="1418"/>
      <c r="FF82" s="1418"/>
      <c r="FG82" s="1418"/>
      <c r="FH82" s="1418"/>
      <c r="FI82" s="1418"/>
      <c r="FJ82" s="1418"/>
      <c r="FK82" s="1418"/>
      <c r="FL82" s="1418"/>
      <c r="FM82" s="1418"/>
      <c r="FN82" s="1418"/>
      <c r="FO82" s="1418"/>
      <c r="FP82" s="1418"/>
      <c r="FQ82" s="1418"/>
      <c r="FR82" s="1418"/>
      <c r="FS82" s="1418"/>
      <c r="FT82" s="1418"/>
      <c r="FU82" s="1418"/>
      <c r="FV82" s="1418"/>
      <c r="FW82" s="1418"/>
      <c r="FX82" s="1418"/>
      <c r="FY82" s="1416"/>
      <c r="FZ82" s="1416"/>
      <c r="GA82" s="1416"/>
      <c r="GB82" s="1417"/>
      <c r="GC82" s="1418"/>
      <c r="GD82" s="1418"/>
      <c r="GE82" s="1418"/>
      <c r="GF82" s="1418"/>
      <c r="GG82" s="1418"/>
      <c r="GH82" s="1418"/>
      <c r="GI82" s="1418"/>
      <c r="GJ82" s="1418"/>
      <c r="GK82" s="1418"/>
      <c r="GL82" s="1418"/>
      <c r="GM82" s="1418"/>
      <c r="GN82" s="1418"/>
      <c r="GO82" s="1418"/>
      <c r="GP82" s="1418"/>
      <c r="GQ82" s="1418"/>
      <c r="GR82" s="1418"/>
      <c r="GS82" s="1418"/>
      <c r="GT82" s="1418"/>
      <c r="GU82" s="1418"/>
      <c r="GV82" s="1418"/>
      <c r="GW82" s="1418"/>
      <c r="GX82" s="1418"/>
      <c r="GY82" s="1418"/>
      <c r="GZ82" s="1418"/>
      <c r="HA82" s="1418"/>
      <c r="HB82" s="1418"/>
      <c r="HC82" s="1418"/>
      <c r="HD82" s="1418"/>
      <c r="HE82" s="1418"/>
      <c r="HF82" s="1418"/>
      <c r="HG82" s="1418"/>
      <c r="HH82" s="1418"/>
      <c r="HI82" s="1418"/>
      <c r="HJ82" s="1418"/>
      <c r="HK82" s="1418"/>
      <c r="HL82" s="1418"/>
      <c r="HM82" s="1418"/>
      <c r="HN82" s="1418"/>
      <c r="HO82" s="1418"/>
      <c r="HP82" s="1418"/>
      <c r="HQ82" s="1418"/>
      <c r="HR82" s="1418"/>
      <c r="HS82" s="1418"/>
      <c r="HT82" s="1418"/>
      <c r="HU82" s="1418"/>
      <c r="HV82" s="1418"/>
      <c r="HW82" s="1418"/>
      <c r="HX82" s="1418"/>
      <c r="HY82" s="1418"/>
      <c r="HZ82" s="1418"/>
      <c r="IA82" s="1418"/>
      <c r="IB82" s="1418"/>
      <c r="IC82" s="1418"/>
      <c r="ID82" s="1418"/>
      <c r="IE82" s="1418"/>
      <c r="IF82" s="1418"/>
      <c r="IG82" s="1418"/>
      <c r="IH82" s="1418"/>
      <c r="II82" s="1418"/>
      <c r="IJ82" s="1418"/>
      <c r="IK82" s="1418"/>
      <c r="IL82" s="1418"/>
      <c r="IM82" s="1418"/>
      <c r="IN82" s="1418"/>
      <c r="IO82" s="1418"/>
      <c r="IP82" s="1418"/>
      <c r="IQ82" s="1418"/>
      <c r="IR82" s="1418"/>
      <c r="IS82" s="1418"/>
      <c r="IT82" s="1418"/>
      <c r="IU82" s="1418"/>
      <c r="IV82" s="1418"/>
      <c r="IW82" s="1418"/>
      <c r="IX82" s="1418"/>
      <c r="IY82" s="1418"/>
      <c r="IZ82" s="1418"/>
      <c r="JA82" s="1418"/>
      <c r="JB82" s="1418"/>
      <c r="JC82" s="1418"/>
      <c r="JD82" s="1418"/>
      <c r="JE82" s="1418"/>
      <c r="JF82" s="1418"/>
      <c r="JG82" s="1418"/>
      <c r="JH82" s="1418"/>
      <c r="JI82" s="1418"/>
      <c r="JJ82" s="1418"/>
      <c r="JK82" s="1418"/>
      <c r="JL82" s="1418"/>
      <c r="JM82" s="1418"/>
      <c r="JN82" s="1418"/>
      <c r="JO82" s="1418"/>
      <c r="JP82" s="1418"/>
      <c r="JQ82" s="1419"/>
      <c r="JR82" s="351"/>
      <c r="JS82" s="1400" t="s">
        <v>2545</v>
      </c>
    </row>
    <row r="83" spans="1:279" ht="20" x14ac:dyDescent="0.25">
      <c r="A83" s="1367">
        <v>10</v>
      </c>
      <c r="B83" s="1368" t="str">
        <f t="shared" si="8"/>
        <v/>
      </c>
      <c r="C83" s="1359" t="s">
        <v>2546</v>
      </c>
      <c r="D83" s="1360" t="str">
        <f>"If you were married or formed a civil partnership after 5 April "&amp;Tax_year_start&amp;", enter the date of marriage or civil partnership DD MM YYYY"</f>
        <v>If you were married or formed a civil partnership after 5 April 2025, enter the date of marriage or civil partnership DD MM YYYY</v>
      </c>
      <c r="E83" s="2528"/>
      <c r="F83" s="2528"/>
      <c r="G83" s="2528"/>
      <c r="H83" s="2528"/>
      <c r="I83" s="2528"/>
      <c r="J83" s="1430"/>
      <c r="K83" s="1430" t="str">
        <f>"22/01/"&amp;Tax_year_end</f>
        <v>22/01/2026</v>
      </c>
      <c r="L83" s="1430" t="str">
        <f>"05/06/"&amp;Tax_year_start</f>
        <v>05/06/2025</v>
      </c>
      <c r="M83" s="2528"/>
      <c r="N83" s="2528"/>
      <c r="O83" s="2528"/>
      <c r="P83" s="2528"/>
      <c r="Q83" s="1430" t="str">
        <f>"04/09/"&amp;Tax_year_start</f>
        <v>04/09/2025</v>
      </c>
      <c r="R83" s="2528"/>
      <c r="S83" s="2528"/>
      <c r="T83" s="2528"/>
      <c r="U83" s="2528"/>
      <c r="V83" s="2528"/>
      <c r="W83" s="2528"/>
      <c r="X83" s="2528"/>
      <c r="Y83" s="2528"/>
      <c r="Z83" s="2528"/>
      <c r="AA83" s="2528"/>
      <c r="AB83" s="2528"/>
      <c r="AC83" s="2528"/>
      <c r="AD83" s="2528"/>
      <c r="AE83" s="2528"/>
      <c r="AF83" s="2528"/>
      <c r="AG83" s="2528"/>
      <c r="AH83" s="2528"/>
      <c r="AI83" s="2528"/>
      <c r="AJ83" s="2528"/>
      <c r="AK83" s="2528"/>
      <c r="AL83" s="2528"/>
      <c r="AM83" s="2528"/>
      <c r="AN83" s="2528"/>
      <c r="AO83" s="2528"/>
      <c r="AP83" s="2528"/>
      <c r="AQ83" s="2528"/>
      <c r="AR83" s="2528"/>
      <c r="AS83" s="2528"/>
      <c r="AT83" s="2528"/>
      <c r="AU83" s="2528"/>
      <c r="AV83" s="2528"/>
      <c r="AW83" s="1430"/>
      <c r="AX83" s="1430"/>
      <c r="AY83" s="2528"/>
      <c r="AZ83" s="2528"/>
      <c r="BA83" s="2528"/>
      <c r="BB83" s="2528"/>
      <c r="BC83" s="2528"/>
      <c r="BD83" s="1430" t="str">
        <f>"05/06/"&amp;Tax_year_start</f>
        <v>05/06/2025</v>
      </c>
      <c r="BE83" s="2528"/>
      <c r="BF83" s="2528"/>
      <c r="BG83" s="2528"/>
      <c r="BH83" s="2528"/>
      <c r="BI83" s="2528"/>
      <c r="BJ83" s="2528"/>
      <c r="BK83" s="2528"/>
      <c r="BL83" s="2528"/>
      <c r="BM83" s="2528"/>
      <c r="BN83" s="1430" t="str">
        <f>"05/06/"&amp;Tax_year_start</f>
        <v>05/06/2025</v>
      </c>
      <c r="BO83" s="2528"/>
      <c r="BP83" s="2528"/>
      <c r="BQ83" s="2528"/>
      <c r="BR83" s="2528"/>
      <c r="BS83" s="2528"/>
      <c r="BT83" s="2528"/>
      <c r="BU83" s="2528"/>
      <c r="BV83" s="2528"/>
      <c r="BW83" s="2528"/>
      <c r="BX83" s="2528"/>
      <c r="BY83" s="2528"/>
      <c r="BZ83" s="2528"/>
      <c r="CA83" s="1430" t="str">
        <f>"05/06/"&amp;Tax_year_start</f>
        <v>05/06/2025</v>
      </c>
      <c r="CB83" s="2528"/>
      <c r="CC83" s="2529"/>
      <c r="CD83" s="2528"/>
      <c r="CE83" s="2529"/>
      <c r="CF83" s="1430" t="str">
        <f>"05/06/"&amp;Tax_year_start</f>
        <v>05/06/2025</v>
      </c>
      <c r="CG83" s="2529"/>
      <c r="CH83" s="2528"/>
      <c r="CI83" s="2529"/>
      <c r="CJ83" s="2529"/>
      <c r="CK83" s="2529"/>
      <c r="CL83" s="2529"/>
      <c r="CM83" s="2529"/>
      <c r="CN83" s="2529"/>
      <c r="CO83" s="2529"/>
      <c r="CP83" s="2529"/>
      <c r="CQ83" s="2529"/>
      <c r="CR83" s="2529"/>
      <c r="CS83" s="2529"/>
      <c r="CT83" s="2529"/>
      <c r="CU83" s="2529"/>
      <c r="CV83" s="2529"/>
      <c r="CW83" s="2529"/>
      <c r="CX83" s="2529"/>
      <c r="CY83" s="2529"/>
      <c r="CZ83" s="2529"/>
      <c r="DA83" s="2529"/>
      <c r="DB83" s="2529"/>
      <c r="DC83" s="2529"/>
      <c r="DD83" s="2529"/>
      <c r="DE83" s="2529"/>
      <c r="DF83" s="2529"/>
      <c r="DG83" s="2529"/>
      <c r="DH83" s="2529"/>
      <c r="DI83" s="2529"/>
      <c r="DJ83" s="2529"/>
      <c r="DK83" s="2529"/>
      <c r="DL83" s="2529"/>
      <c r="DM83" s="2529"/>
      <c r="DN83" s="2529"/>
      <c r="DO83" s="2529"/>
      <c r="DP83" s="2529"/>
      <c r="DQ83" s="2529"/>
      <c r="DR83" s="2529"/>
      <c r="DS83" s="2528"/>
      <c r="DT83" s="2529"/>
      <c r="DU83" s="2529"/>
      <c r="DV83" s="2529"/>
      <c r="DW83" s="2528"/>
      <c r="DX83" s="2528"/>
      <c r="DY83" s="1430" t="str">
        <f>"05/06/"&amp;Tax_year_start</f>
        <v>05/06/2025</v>
      </c>
      <c r="DZ83" s="2528"/>
      <c r="EA83" s="2529"/>
      <c r="EB83" s="2529"/>
      <c r="EC83" s="2529"/>
      <c r="ED83" s="2529"/>
      <c r="EE83" s="2529"/>
      <c r="EF83" s="2529"/>
      <c r="EG83" s="2529"/>
      <c r="EH83" s="2529"/>
      <c r="EI83" s="2529"/>
      <c r="EJ83" s="2529"/>
      <c r="EK83" s="2529"/>
      <c r="EL83" s="2529"/>
      <c r="EM83" s="2529"/>
      <c r="EN83" s="2529"/>
      <c r="EO83" s="2529"/>
      <c r="EP83" s="2529"/>
      <c r="EQ83" s="2529"/>
      <c r="ER83" s="2529"/>
      <c r="ES83" s="2529"/>
      <c r="ET83" s="2529"/>
      <c r="EU83" s="2529"/>
      <c r="EV83" s="2529"/>
      <c r="EW83" s="2529"/>
      <c r="EX83" s="2529"/>
      <c r="EY83" s="2529"/>
      <c r="EZ83" s="2529"/>
      <c r="FA83" s="2529"/>
      <c r="FB83" s="1430" t="str">
        <f>"05/06/"&amp;Tax_year_start</f>
        <v>05/06/2025</v>
      </c>
      <c r="FC83" s="2529"/>
      <c r="FD83" s="2529"/>
      <c r="FE83" s="2529"/>
      <c r="FF83" s="2529"/>
      <c r="FG83" s="2529"/>
      <c r="FH83" s="2529"/>
      <c r="FI83" s="2529"/>
      <c r="FJ83" s="2529"/>
      <c r="FK83" s="2529"/>
      <c r="FL83" s="2529"/>
      <c r="FM83" s="2529"/>
      <c r="FN83" s="2529"/>
      <c r="FO83" s="2529"/>
      <c r="FP83" s="2529"/>
      <c r="FQ83" s="2529"/>
      <c r="FR83" s="2529"/>
      <c r="FS83" s="2529"/>
      <c r="FT83" s="2529"/>
      <c r="FU83" s="2529"/>
      <c r="FV83" s="2529"/>
      <c r="FW83" s="2529"/>
      <c r="FX83" s="2529"/>
      <c r="FY83" s="2528"/>
      <c r="FZ83" s="2528"/>
      <c r="GA83" s="2528"/>
      <c r="GB83" s="2530"/>
      <c r="GC83" s="2529"/>
      <c r="GD83" s="2529"/>
      <c r="GE83" s="2529"/>
      <c r="GF83" s="2529"/>
      <c r="GG83" s="2529"/>
      <c r="GH83" s="2529"/>
      <c r="GI83" s="2529"/>
      <c r="GJ83" s="2529"/>
      <c r="GK83" s="2529"/>
      <c r="GL83" s="2529"/>
      <c r="GM83" s="2529"/>
      <c r="GN83" s="2529"/>
      <c r="GO83" s="2529"/>
      <c r="GP83" s="2529"/>
      <c r="GQ83" s="2529"/>
      <c r="GR83" s="2529"/>
      <c r="GS83" s="2529"/>
      <c r="GT83" s="2529"/>
      <c r="GU83" s="2529"/>
      <c r="GV83" s="2529"/>
      <c r="GW83" s="2529"/>
      <c r="GX83" s="2529"/>
      <c r="GY83" s="2529"/>
      <c r="GZ83" s="2529"/>
      <c r="HA83" s="2529"/>
      <c r="HB83" s="2529"/>
      <c r="HC83" s="2529"/>
      <c r="HD83" s="2529"/>
      <c r="HE83" s="2529"/>
      <c r="HF83" s="2529"/>
      <c r="HG83" s="2529"/>
      <c r="HH83" s="2529"/>
      <c r="HI83" s="2529"/>
      <c r="HJ83" s="2529"/>
      <c r="HK83" s="2529"/>
      <c r="HL83" s="2529"/>
      <c r="HM83" s="2529"/>
      <c r="HN83" s="2529"/>
      <c r="HO83" s="2529"/>
      <c r="HP83" s="2529"/>
      <c r="HQ83" s="2529"/>
      <c r="HR83" s="2529"/>
      <c r="HS83" s="2529"/>
      <c r="HT83" s="2529"/>
      <c r="HU83" s="2529"/>
      <c r="HV83" s="2529"/>
      <c r="HW83" s="2529"/>
      <c r="HX83" s="2529"/>
      <c r="HY83" s="2529"/>
      <c r="HZ83" s="2529"/>
      <c r="IA83" s="2529"/>
      <c r="IB83" s="2529"/>
      <c r="IC83" s="2529"/>
      <c r="ID83" s="2529"/>
      <c r="IE83" s="2529"/>
      <c r="IF83" s="2529"/>
      <c r="IG83" s="2529"/>
      <c r="IH83" s="2529"/>
      <c r="II83" s="2529"/>
      <c r="IJ83" s="2529"/>
      <c r="IK83" s="2529"/>
      <c r="IL83" s="2529"/>
      <c r="IM83" s="2529"/>
      <c r="IN83" s="2529"/>
      <c r="IO83" s="2529"/>
      <c r="IP83" s="2529"/>
      <c r="IQ83" s="2529"/>
      <c r="IR83" s="2529"/>
      <c r="IS83" s="2529"/>
      <c r="IT83" s="2529"/>
      <c r="IU83" s="2529"/>
      <c r="IV83" s="2529"/>
      <c r="IW83" s="2529"/>
      <c r="IX83" s="2529"/>
      <c r="IY83" s="2529"/>
      <c r="IZ83" s="2529"/>
      <c r="JA83" s="2529"/>
      <c r="JB83" s="2529"/>
      <c r="JC83" s="2529"/>
      <c r="JD83" s="2529"/>
      <c r="JE83" s="2529"/>
      <c r="JF83" s="2529"/>
      <c r="JG83" s="2529"/>
      <c r="JH83" s="2529"/>
      <c r="JI83" s="2529"/>
      <c r="JJ83" s="2529"/>
      <c r="JK83" s="2529"/>
      <c r="JL83" s="2529"/>
      <c r="JM83" s="2529"/>
      <c r="JN83" s="2529"/>
      <c r="JO83" s="2529"/>
      <c r="JP83" s="2529"/>
      <c r="JQ83" s="2531"/>
      <c r="JR83" s="351"/>
      <c r="JS83" s="1400" t="s">
        <v>2547</v>
      </c>
    </row>
    <row r="84" spans="1:279" x14ac:dyDescent="0.25">
      <c r="A84" s="1367">
        <v>11</v>
      </c>
      <c r="B84" s="1368" t="str">
        <f t="shared" si="8"/>
        <v/>
      </c>
      <c r="C84" s="1359" t="s">
        <v>2548</v>
      </c>
      <c r="D84" s="1360" t="s">
        <v>2549</v>
      </c>
      <c r="E84" s="1381"/>
      <c r="F84" s="1381"/>
      <c r="G84" s="1381"/>
      <c r="H84" s="1381"/>
      <c r="I84" s="1381"/>
      <c r="J84" s="1381"/>
      <c r="K84" s="1381" t="s">
        <v>1615</v>
      </c>
      <c r="L84" s="1381" t="s">
        <v>1615</v>
      </c>
      <c r="M84" s="1381"/>
      <c r="N84" s="1381"/>
      <c r="O84" s="1381"/>
      <c r="P84" s="1381"/>
      <c r="Q84" s="1381" t="s">
        <v>1615</v>
      </c>
      <c r="R84" s="1381"/>
      <c r="S84" s="1381"/>
      <c r="T84" s="1381"/>
      <c r="U84" s="1381"/>
      <c r="V84" s="1381"/>
      <c r="W84" s="1381"/>
      <c r="X84" s="1381"/>
      <c r="Y84" s="1381"/>
      <c r="Z84" s="1381"/>
      <c r="AA84" s="1381"/>
      <c r="AB84" s="1381"/>
      <c r="AC84" s="1381"/>
      <c r="AD84" s="1381"/>
      <c r="AE84" s="1381"/>
      <c r="AF84" s="1381"/>
      <c r="AG84" s="1381"/>
      <c r="AH84" s="1381"/>
      <c r="AI84" s="1381"/>
      <c r="AJ84" s="1381"/>
      <c r="AK84" s="1381"/>
      <c r="AL84" s="1381"/>
      <c r="AM84" s="1381"/>
      <c r="AN84" s="1381" t="s">
        <v>1615</v>
      </c>
      <c r="AO84" s="1381"/>
      <c r="AP84" s="1381"/>
      <c r="AQ84" s="1381"/>
      <c r="AR84" s="1381"/>
      <c r="AS84" s="1381"/>
      <c r="AT84" s="1381"/>
      <c r="AU84" s="1381"/>
      <c r="AV84" s="1381"/>
      <c r="AW84" s="1381" t="s">
        <v>1615</v>
      </c>
      <c r="AX84" s="1381"/>
      <c r="AY84" s="1381"/>
      <c r="AZ84" s="1381"/>
      <c r="BA84" s="1381"/>
      <c r="BB84" s="1381"/>
      <c r="BC84" s="1381"/>
      <c r="BD84" s="1381" t="s">
        <v>1615</v>
      </c>
      <c r="BE84" s="1381"/>
      <c r="BF84" s="1381"/>
      <c r="BG84" s="1381"/>
      <c r="BH84" s="1381"/>
      <c r="BI84" s="1381"/>
      <c r="BJ84" s="1381"/>
      <c r="BK84" s="1381"/>
      <c r="BL84" s="1381"/>
      <c r="BM84" s="1381"/>
      <c r="BN84" s="1381" t="s">
        <v>1615</v>
      </c>
      <c r="BO84" s="1381"/>
      <c r="BP84" s="1381"/>
      <c r="BQ84" s="1381"/>
      <c r="BR84" s="1381"/>
      <c r="BS84" s="1381"/>
      <c r="BT84" s="1381"/>
      <c r="BU84" s="1381"/>
      <c r="BV84" s="1382"/>
      <c r="BW84" s="1381" t="s">
        <v>1615</v>
      </c>
      <c r="BX84" s="1381" t="s">
        <v>1615</v>
      </c>
      <c r="BY84" s="1381" t="s">
        <v>1615</v>
      </c>
      <c r="BZ84" s="1381"/>
      <c r="CA84" s="1381" t="s">
        <v>1615</v>
      </c>
      <c r="CB84" s="1381"/>
      <c r="CC84" s="1414"/>
      <c r="CD84" s="1381"/>
      <c r="CE84" s="1414"/>
      <c r="CF84" s="1381" t="s">
        <v>1615</v>
      </c>
      <c r="CG84" s="1414"/>
      <c r="CH84" s="1381"/>
      <c r="CI84" s="1414"/>
      <c r="CJ84" s="1414"/>
      <c r="CK84" s="1414"/>
      <c r="CL84" s="1414"/>
      <c r="CM84" s="1414"/>
      <c r="CN84" s="1414"/>
      <c r="CO84" s="1414"/>
      <c r="CP84" s="1414"/>
      <c r="CQ84" s="1414"/>
      <c r="CR84" s="1414"/>
      <c r="CS84" s="1414"/>
      <c r="CT84" s="1414"/>
      <c r="CU84" s="1414"/>
      <c r="CV84" s="1414"/>
      <c r="CW84" s="1414"/>
      <c r="CX84" s="1414"/>
      <c r="CY84" s="1414"/>
      <c r="CZ84" s="1414"/>
      <c r="DA84" s="1414"/>
      <c r="DB84" s="1414"/>
      <c r="DC84" s="1414"/>
      <c r="DD84" s="1414"/>
      <c r="DE84" s="1414"/>
      <c r="DF84" s="1414"/>
      <c r="DG84" s="1414"/>
      <c r="DH84" s="1414"/>
      <c r="DI84" s="1414"/>
      <c r="DJ84" s="1414"/>
      <c r="DK84" s="1414"/>
      <c r="DL84" s="1414"/>
      <c r="DM84" s="1414"/>
      <c r="DN84" s="1414"/>
      <c r="DO84" s="1414"/>
      <c r="DP84" s="1414"/>
      <c r="DQ84" s="1414"/>
      <c r="DR84" s="1414"/>
      <c r="DS84" s="1381" t="s">
        <v>1615</v>
      </c>
      <c r="DT84" s="1414"/>
      <c r="DU84" s="1414"/>
      <c r="DV84" s="1414"/>
      <c r="DW84" s="1382"/>
      <c r="DX84" s="1382"/>
      <c r="DY84" s="1381" t="s">
        <v>1615</v>
      </c>
      <c r="DZ84" s="1382"/>
      <c r="EA84" s="1414"/>
      <c r="EB84" s="1414"/>
      <c r="EC84" s="1414"/>
      <c r="ED84" s="1414"/>
      <c r="EE84" s="1414"/>
      <c r="EF84" s="1414"/>
      <c r="EG84" s="1414"/>
      <c r="EH84" s="1414"/>
      <c r="EI84" s="1414"/>
      <c r="EJ84" s="1414"/>
      <c r="EK84" s="1414"/>
      <c r="EL84" s="1414"/>
      <c r="EM84" s="1414"/>
      <c r="EN84" s="1414"/>
      <c r="EO84" s="1414"/>
      <c r="EP84" s="1414"/>
      <c r="EQ84" s="1414"/>
      <c r="ER84" s="1414"/>
      <c r="ES84" s="1414"/>
      <c r="ET84" s="1414"/>
      <c r="EU84" s="1414"/>
      <c r="EV84" s="1414"/>
      <c r="EW84" s="1414"/>
      <c r="EX84" s="1414"/>
      <c r="EY84" s="1414"/>
      <c r="EZ84" s="1414"/>
      <c r="FA84" s="1414"/>
      <c r="FB84" s="1381" t="s">
        <v>1615</v>
      </c>
      <c r="FC84" s="1414"/>
      <c r="FD84" s="1414"/>
      <c r="FE84" s="1414"/>
      <c r="FF84" s="1414"/>
      <c r="FG84" s="1414"/>
      <c r="FH84" s="1414"/>
      <c r="FI84" s="1414"/>
      <c r="FJ84" s="1414"/>
      <c r="FK84" s="1414"/>
      <c r="FL84" s="1414"/>
      <c r="FM84" s="1414"/>
      <c r="FN84" s="1414"/>
      <c r="FO84" s="1414"/>
      <c r="FP84" s="1414"/>
      <c r="FQ84" s="1414"/>
      <c r="FR84" s="1414"/>
      <c r="FS84" s="1414"/>
      <c r="FT84" s="1414"/>
      <c r="FU84" s="1414"/>
      <c r="FV84" s="1414"/>
      <c r="FW84" s="1414"/>
      <c r="FX84" s="1414"/>
      <c r="FY84" s="1382"/>
      <c r="FZ84" s="1382"/>
      <c r="GA84" s="1382"/>
      <c r="GB84" s="1382"/>
      <c r="GC84" s="1414"/>
      <c r="GD84" s="1414"/>
      <c r="GE84" s="1414"/>
      <c r="GF84" s="1414"/>
      <c r="GG84" s="1414"/>
      <c r="GH84" s="1414"/>
      <c r="GI84" s="1414"/>
      <c r="GJ84" s="1414"/>
      <c r="GK84" s="1414"/>
      <c r="GL84" s="1414"/>
      <c r="GM84" s="1414"/>
      <c r="GN84" s="1414"/>
      <c r="GO84" s="1414"/>
      <c r="GP84" s="1414"/>
      <c r="GQ84" s="1414"/>
      <c r="GR84" s="1414"/>
      <c r="GS84" s="1414"/>
      <c r="GT84" s="1414"/>
      <c r="GU84" s="1414"/>
      <c r="GV84" s="1414"/>
      <c r="GW84" s="1414"/>
      <c r="GX84" s="1414"/>
      <c r="GY84" s="1414"/>
      <c r="GZ84" s="1414"/>
      <c r="HA84" s="1414"/>
      <c r="HB84" s="1414"/>
      <c r="HC84" s="1414"/>
      <c r="HD84" s="1414"/>
      <c r="HE84" s="1414"/>
      <c r="HF84" s="1414"/>
      <c r="HG84" s="1414"/>
      <c r="HH84" s="1414"/>
      <c r="HI84" s="1414"/>
      <c r="HJ84" s="1414"/>
      <c r="HK84" s="1414"/>
      <c r="HL84" s="1414"/>
      <c r="HM84" s="1414"/>
      <c r="HN84" s="1414"/>
      <c r="HO84" s="1414"/>
      <c r="HP84" s="1414"/>
      <c r="HQ84" s="1414"/>
      <c r="HR84" s="1414"/>
      <c r="HS84" s="1414"/>
      <c r="HT84" s="1414"/>
      <c r="HU84" s="1414"/>
      <c r="HV84" s="1414"/>
      <c r="HW84" s="1414"/>
      <c r="HX84" s="1414"/>
      <c r="HY84" s="1414"/>
      <c r="HZ84" s="1414"/>
      <c r="IA84" s="1414"/>
      <c r="IB84" s="1414"/>
      <c r="IC84" s="1414"/>
      <c r="ID84" s="1414"/>
      <c r="IE84" s="1414"/>
      <c r="IF84" s="1414"/>
      <c r="IG84" s="1414"/>
      <c r="IH84" s="1414"/>
      <c r="II84" s="1414"/>
      <c r="IJ84" s="1414"/>
      <c r="IK84" s="1414"/>
      <c r="IL84" s="1414"/>
      <c r="IM84" s="1414"/>
      <c r="IN84" s="1414"/>
      <c r="IO84" s="1414"/>
      <c r="IP84" s="1414"/>
      <c r="IQ84" s="1414"/>
      <c r="IR84" s="1414"/>
      <c r="IS84" s="1414"/>
      <c r="IT84" s="1414"/>
      <c r="IU84" s="1414"/>
      <c r="IV84" s="1414"/>
      <c r="IW84" s="1414"/>
      <c r="IX84" s="1414"/>
      <c r="IY84" s="1414"/>
      <c r="IZ84" s="1414"/>
      <c r="JA84" s="1414"/>
      <c r="JB84" s="1414"/>
      <c r="JC84" s="1414"/>
      <c r="JD84" s="1414"/>
      <c r="JE84" s="1414"/>
      <c r="JF84" s="1414"/>
      <c r="JG84" s="1414"/>
      <c r="JH84" s="1414"/>
      <c r="JI84" s="1414"/>
      <c r="JJ84" s="1414"/>
      <c r="JK84" s="1414"/>
      <c r="JL84" s="1414"/>
      <c r="JM84" s="1414"/>
      <c r="JN84" s="1414"/>
      <c r="JO84" s="1414"/>
      <c r="JP84" s="1414"/>
      <c r="JQ84" s="1415"/>
      <c r="JR84" s="351"/>
      <c r="JS84" s="1400"/>
    </row>
    <row r="85" spans="1:279" ht="40.5" thickBot="1" x14ac:dyDescent="0.3">
      <c r="A85" s="1367">
        <v>12</v>
      </c>
      <c r="B85" s="1368" t="str">
        <f t="shared" si="8"/>
        <v/>
      </c>
      <c r="C85" s="705" t="s">
        <v>2550</v>
      </c>
      <c r="D85" s="698" t="s">
        <v>2551</v>
      </c>
      <c r="E85" s="712"/>
      <c r="F85" s="712"/>
      <c r="G85" s="712"/>
      <c r="H85" s="712"/>
      <c r="I85" s="712"/>
      <c r="J85" s="712"/>
      <c r="K85" s="712" t="s">
        <v>1615</v>
      </c>
      <c r="L85" s="712" t="s">
        <v>1615</v>
      </c>
      <c r="M85" s="712"/>
      <c r="N85" s="712"/>
      <c r="O85" s="712"/>
      <c r="P85" s="712"/>
      <c r="Q85" s="712" t="s">
        <v>1615</v>
      </c>
      <c r="R85" s="712"/>
      <c r="S85" s="712"/>
      <c r="T85" s="712"/>
      <c r="U85" s="712"/>
      <c r="V85" s="712"/>
      <c r="W85" s="712"/>
      <c r="X85" s="712"/>
      <c r="Y85" s="712"/>
      <c r="Z85" s="712"/>
      <c r="AA85" s="712"/>
      <c r="AB85" s="712"/>
      <c r="AC85" s="712"/>
      <c r="AD85" s="712"/>
      <c r="AE85" s="712"/>
      <c r="AF85" s="712"/>
      <c r="AG85" s="712"/>
      <c r="AH85" s="712"/>
      <c r="AI85" s="712"/>
      <c r="AJ85" s="712"/>
      <c r="AK85" s="712"/>
      <c r="AL85" s="712"/>
      <c r="AM85" s="712"/>
      <c r="AN85" s="712" t="s">
        <v>1615</v>
      </c>
      <c r="AO85" s="712"/>
      <c r="AP85" s="712"/>
      <c r="AQ85" s="712"/>
      <c r="AR85" s="712"/>
      <c r="AS85" s="712"/>
      <c r="AT85" s="712"/>
      <c r="AU85" s="712"/>
      <c r="AV85" s="712"/>
      <c r="AW85" s="712" t="s">
        <v>1615</v>
      </c>
      <c r="AX85" s="712"/>
      <c r="AY85" s="712"/>
      <c r="AZ85" s="712"/>
      <c r="BA85" s="712"/>
      <c r="BB85" s="712"/>
      <c r="BC85" s="712"/>
      <c r="BD85" s="712" t="s">
        <v>1615</v>
      </c>
      <c r="BE85" s="712"/>
      <c r="BF85" s="712"/>
      <c r="BG85" s="712"/>
      <c r="BH85" s="712"/>
      <c r="BI85" s="712"/>
      <c r="BJ85" s="712"/>
      <c r="BK85" s="712"/>
      <c r="BL85" s="712"/>
      <c r="BM85" s="712"/>
      <c r="BN85" s="712" t="s">
        <v>1615</v>
      </c>
      <c r="BO85" s="712"/>
      <c r="BP85" s="712"/>
      <c r="BQ85" s="712"/>
      <c r="BR85" s="712"/>
      <c r="BS85" s="712"/>
      <c r="BT85" s="712"/>
      <c r="BU85" s="712"/>
      <c r="BV85" s="1005"/>
      <c r="BW85" s="712" t="s">
        <v>1615</v>
      </c>
      <c r="BX85" s="712" t="s">
        <v>1615</v>
      </c>
      <c r="BY85" s="712" t="s">
        <v>1615</v>
      </c>
      <c r="BZ85" s="712"/>
      <c r="CA85" s="712" t="s">
        <v>1615</v>
      </c>
      <c r="CB85" s="712"/>
      <c r="CC85" s="718"/>
      <c r="CD85" s="712"/>
      <c r="CE85" s="718"/>
      <c r="CF85" s="712" t="s">
        <v>1615</v>
      </c>
      <c r="CG85" s="718"/>
      <c r="CH85" s="712"/>
      <c r="CI85" s="718"/>
      <c r="CJ85" s="718"/>
      <c r="CK85" s="718"/>
      <c r="CL85" s="718"/>
      <c r="CM85" s="718"/>
      <c r="CN85" s="718"/>
      <c r="CO85" s="718"/>
      <c r="CP85" s="718"/>
      <c r="CQ85" s="718"/>
      <c r="CR85" s="718"/>
      <c r="CS85" s="718"/>
      <c r="CT85" s="718"/>
      <c r="CU85" s="718"/>
      <c r="CV85" s="718"/>
      <c r="CW85" s="718"/>
      <c r="CX85" s="718"/>
      <c r="CY85" s="718"/>
      <c r="CZ85" s="718"/>
      <c r="DA85" s="718"/>
      <c r="DB85" s="718"/>
      <c r="DC85" s="718"/>
      <c r="DD85" s="718"/>
      <c r="DE85" s="718"/>
      <c r="DF85" s="718"/>
      <c r="DG85" s="718"/>
      <c r="DH85" s="718"/>
      <c r="DI85" s="718"/>
      <c r="DJ85" s="718"/>
      <c r="DK85" s="718"/>
      <c r="DL85" s="718"/>
      <c r="DM85" s="718"/>
      <c r="DN85" s="718"/>
      <c r="DO85" s="718"/>
      <c r="DP85" s="718"/>
      <c r="DQ85" s="718"/>
      <c r="DR85" s="718"/>
      <c r="DS85" s="712" t="s">
        <v>1615</v>
      </c>
      <c r="DT85" s="718"/>
      <c r="DU85" s="718"/>
      <c r="DV85" s="718"/>
      <c r="DW85" s="1005"/>
      <c r="DX85" s="1005"/>
      <c r="DY85" s="712" t="s">
        <v>1615</v>
      </c>
      <c r="DZ85" s="1005"/>
      <c r="EA85" s="718"/>
      <c r="EB85" s="718"/>
      <c r="EC85" s="718"/>
      <c r="ED85" s="718"/>
      <c r="EE85" s="718"/>
      <c r="EF85" s="718"/>
      <c r="EG85" s="718"/>
      <c r="EH85" s="718"/>
      <c r="EI85" s="718"/>
      <c r="EJ85" s="718"/>
      <c r="EK85" s="718"/>
      <c r="EL85" s="718"/>
      <c r="EM85" s="718"/>
      <c r="EN85" s="718"/>
      <c r="EO85" s="718"/>
      <c r="EP85" s="718"/>
      <c r="EQ85" s="718"/>
      <c r="ER85" s="718"/>
      <c r="ES85" s="718"/>
      <c r="ET85" s="718"/>
      <c r="EU85" s="718"/>
      <c r="EV85" s="718"/>
      <c r="EW85" s="718"/>
      <c r="EX85" s="718"/>
      <c r="EY85" s="718"/>
      <c r="EZ85" s="718"/>
      <c r="FA85" s="718"/>
      <c r="FB85" s="712" t="s">
        <v>1615</v>
      </c>
      <c r="FC85" s="718"/>
      <c r="FD85" s="718"/>
      <c r="FE85" s="718"/>
      <c r="FF85" s="718"/>
      <c r="FG85" s="718"/>
      <c r="FH85" s="718"/>
      <c r="FI85" s="718"/>
      <c r="FJ85" s="718"/>
      <c r="FK85" s="718"/>
      <c r="FL85" s="718"/>
      <c r="FM85" s="718"/>
      <c r="FN85" s="718"/>
      <c r="FO85" s="718"/>
      <c r="FP85" s="718"/>
      <c r="FQ85" s="718"/>
      <c r="FR85" s="718"/>
      <c r="FS85" s="718"/>
      <c r="FT85" s="718"/>
      <c r="FU85" s="718"/>
      <c r="FV85" s="718"/>
      <c r="FW85" s="718"/>
      <c r="FX85" s="718"/>
      <c r="FY85" s="1005"/>
      <c r="FZ85" s="1005"/>
      <c r="GA85" s="1005"/>
      <c r="GB85" s="1005"/>
      <c r="GC85" s="718"/>
      <c r="GD85" s="718"/>
      <c r="GE85" s="718"/>
      <c r="GF85" s="718"/>
      <c r="GG85" s="718"/>
      <c r="GH85" s="718"/>
      <c r="GI85" s="718"/>
      <c r="GJ85" s="718"/>
      <c r="GK85" s="718"/>
      <c r="GL85" s="718"/>
      <c r="GM85" s="718"/>
      <c r="GN85" s="718"/>
      <c r="GO85" s="718"/>
      <c r="GP85" s="718"/>
      <c r="GQ85" s="718"/>
      <c r="GR85" s="718"/>
      <c r="GS85" s="718"/>
      <c r="GT85" s="718"/>
      <c r="GU85" s="718"/>
      <c r="GV85" s="718"/>
      <c r="GW85" s="718"/>
      <c r="GX85" s="718"/>
      <c r="GY85" s="718"/>
      <c r="GZ85" s="718"/>
      <c r="HA85" s="718"/>
      <c r="HB85" s="718"/>
      <c r="HC85" s="718"/>
      <c r="HD85" s="718"/>
      <c r="HE85" s="718"/>
      <c r="HF85" s="718"/>
      <c r="HG85" s="718"/>
      <c r="HH85" s="718"/>
      <c r="HI85" s="718"/>
      <c r="HJ85" s="718"/>
      <c r="HK85" s="718"/>
      <c r="HL85" s="718"/>
      <c r="HM85" s="718"/>
      <c r="HN85" s="718"/>
      <c r="HO85" s="718"/>
      <c r="HP85" s="718"/>
      <c r="HQ85" s="718"/>
      <c r="HR85" s="718"/>
      <c r="HS85" s="718"/>
      <c r="HT85" s="718"/>
      <c r="HU85" s="718"/>
      <c r="HV85" s="718"/>
      <c r="HW85" s="718"/>
      <c r="HX85" s="718"/>
      <c r="HY85" s="718"/>
      <c r="HZ85" s="718"/>
      <c r="IA85" s="718"/>
      <c r="IB85" s="718"/>
      <c r="IC85" s="718"/>
      <c r="ID85" s="718"/>
      <c r="IE85" s="718"/>
      <c r="IF85" s="718"/>
      <c r="IG85" s="718"/>
      <c r="IH85" s="718"/>
      <c r="II85" s="718"/>
      <c r="IJ85" s="718"/>
      <c r="IK85" s="718"/>
      <c r="IL85" s="718"/>
      <c r="IM85" s="718"/>
      <c r="IN85" s="718"/>
      <c r="IO85" s="718"/>
      <c r="IP85" s="718"/>
      <c r="IQ85" s="718"/>
      <c r="IR85" s="718"/>
      <c r="IS85" s="718"/>
      <c r="IT85" s="718"/>
      <c r="IU85" s="718"/>
      <c r="IV85" s="718"/>
      <c r="IW85" s="718"/>
      <c r="IX85" s="718"/>
      <c r="IY85" s="718"/>
      <c r="IZ85" s="718"/>
      <c r="JA85" s="718"/>
      <c r="JB85" s="718"/>
      <c r="JC85" s="718"/>
      <c r="JD85" s="718"/>
      <c r="JE85" s="718"/>
      <c r="JF85" s="718"/>
      <c r="JG85" s="718"/>
      <c r="JH85" s="718"/>
      <c r="JI85" s="718"/>
      <c r="JJ85" s="718"/>
      <c r="JK85" s="718"/>
      <c r="JL85" s="718"/>
      <c r="JM85" s="718"/>
      <c r="JN85" s="718"/>
      <c r="JO85" s="718"/>
      <c r="JP85" s="718"/>
      <c r="JQ85" s="719"/>
      <c r="JR85" s="351"/>
      <c r="JS85" s="1400" t="s">
        <v>2552</v>
      </c>
    </row>
    <row r="86" spans="1:279" ht="12" thickBot="1" x14ac:dyDescent="0.3">
      <c r="C86" s="261" t="s">
        <v>2553</v>
      </c>
      <c r="D86" s="137"/>
      <c r="E86" s="455"/>
      <c r="F86" s="455"/>
      <c r="G86" s="455"/>
      <c r="H86" s="455"/>
      <c r="I86" s="455"/>
      <c r="J86" s="455"/>
      <c r="K86" s="455"/>
      <c r="L86" s="455"/>
      <c r="M86" s="455"/>
      <c r="N86" s="455"/>
      <c r="O86" s="455"/>
      <c r="P86" s="455"/>
      <c r="Q86" s="455"/>
      <c r="R86" s="455"/>
      <c r="S86" s="455"/>
      <c r="T86" s="455"/>
      <c r="U86" s="455"/>
      <c r="V86" s="455"/>
      <c r="W86" s="455"/>
      <c r="X86" s="455"/>
      <c r="Y86" s="455"/>
      <c r="Z86" s="455"/>
      <c r="AA86" s="455"/>
      <c r="AB86" s="455"/>
      <c r="AC86" s="455"/>
      <c r="AD86" s="455"/>
      <c r="AE86" s="455"/>
      <c r="AF86" s="455"/>
      <c r="AG86" s="455"/>
      <c r="AH86" s="455"/>
      <c r="AI86" s="455"/>
      <c r="AJ86" s="455"/>
      <c r="AK86" s="455"/>
      <c r="AL86" s="455"/>
      <c r="AM86" s="455"/>
      <c r="AN86" s="455"/>
      <c r="AO86" s="455"/>
      <c r="AP86" s="455"/>
      <c r="AQ86" s="455"/>
      <c r="AR86" s="455"/>
      <c r="AS86" s="455"/>
      <c r="AT86" s="455"/>
      <c r="AU86" s="455"/>
      <c r="AV86" s="455"/>
      <c r="AW86" s="455"/>
      <c r="AX86" s="455"/>
      <c r="AY86" s="455"/>
      <c r="AZ86" s="455"/>
      <c r="BA86" s="455"/>
      <c r="BB86" s="455"/>
      <c r="BC86" s="455"/>
      <c r="BD86" s="455"/>
      <c r="BE86" s="455"/>
      <c r="BF86" s="455"/>
      <c r="BG86" s="455"/>
      <c r="BH86" s="455"/>
      <c r="BI86" s="455"/>
      <c r="BJ86" s="455"/>
      <c r="BK86" s="455"/>
      <c r="BL86" s="455"/>
      <c r="BM86" s="455"/>
      <c r="BN86" s="455"/>
      <c r="BO86" s="455"/>
      <c r="BP86" s="455"/>
      <c r="BQ86" s="455"/>
      <c r="BR86" s="455"/>
      <c r="BS86" s="455"/>
      <c r="BT86" s="455"/>
      <c r="BU86" s="455"/>
      <c r="BV86" s="455"/>
      <c r="BW86" s="455"/>
      <c r="BX86" s="455"/>
      <c r="BY86" s="455"/>
      <c r="BZ86" s="455"/>
      <c r="CA86" s="455"/>
      <c r="CB86" s="455"/>
      <c r="JS86" s="1"/>
    </row>
    <row r="87" spans="1:279" x14ac:dyDescent="0.25">
      <c r="A87" s="1367" t="s">
        <v>2201</v>
      </c>
      <c r="B87" s="585" t="s">
        <v>2408</v>
      </c>
      <c r="C87" s="287" t="s">
        <v>20</v>
      </c>
      <c r="D87" s="262"/>
      <c r="E87" s="418">
        <v>1</v>
      </c>
      <c r="F87" s="418">
        <v>2</v>
      </c>
      <c r="G87" s="418">
        <v>3</v>
      </c>
      <c r="H87" s="418">
        <v>4</v>
      </c>
      <c r="I87" s="418">
        <v>5</v>
      </c>
      <c r="J87" s="418">
        <v>6</v>
      </c>
      <c r="K87" s="418">
        <v>7</v>
      </c>
      <c r="L87" s="418">
        <v>8</v>
      </c>
      <c r="M87" s="418">
        <v>9</v>
      </c>
      <c r="N87" s="418">
        <v>10</v>
      </c>
      <c r="O87" s="418">
        <v>11</v>
      </c>
      <c r="P87" s="418">
        <v>12</v>
      </c>
      <c r="Q87" s="418">
        <v>13</v>
      </c>
      <c r="R87" s="418">
        <v>14</v>
      </c>
      <c r="S87" s="418">
        <v>15</v>
      </c>
      <c r="T87" s="418">
        <v>16</v>
      </c>
      <c r="U87" s="418">
        <v>17</v>
      </c>
      <c r="V87" s="418">
        <v>18</v>
      </c>
      <c r="W87" s="418">
        <v>19</v>
      </c>
      <c r="X87" s="418">
        <v>20</v>
      </c>
      <c r="Y87" s="418">
        <v>21</v>
      </c>
      <c r="Z87" s="418">
        <v>22</v>
      </c>
      <c r="AA87" s="418">
        <v>23</v>
      </c>
      <c r="AB87" s="418">
        <v>24</v>
      </c>
      <c r="AC87" s="418">
        <v>25</v>
      </c>
      <c r="AD87" s="418">
        <v>26</v>
      </c>
      <c r="AE87" s="418">
        <v>27</v>
      </c>
      <c r="AF87" s="418">
        <v>28</v>
      </c>
      <c r="AG87" s="418">
        <v>29</v>
      </c>
      <c r="AH87" s="418">
        <v>30</v>
      </c>
      <c r="AI87" s="418">
        <v>31</v>
      </c>
      <c r="AJ87" s="418">
        <v>32</v>
      </c>
      <c r="AK87" s="418">
        <v>33</v>
      </c>
      <c r="AL87" s="418">
        <v>34</v>
      </c>
      <c r="AM87" s="418">
        <v>35</v>
      </c>
      <c r="AN87" s="418">
        <v>36</v>
      </c>
      <c r="AO87" s="418">
        <v>37</v>
      </c>
      <c r="AP87" s="418">
        <v>38</v>
      </c>
      <c r="AQ87" s="418">
        <v>39</v>
      </c>
      <c r="AR87" s="418">
        <v>40</v>
      </c>
      <c r="AS87" s="418">
        <v>41</v>
      </c>
      <c r="AT87" s="418">
        <v>42</v>
      </c>
      <c r="AU87" s="418">
        <v>43</v>
      </c>
      <c r="AV87" s="418">
        <v>44</v>
      </c>
      <c r="AW87" s="418">
        <v>45</v>
      </c>
      <c r="AX87" s="418">
        <v>46</v>
      </c>
      <c r="AY87" s="418">
        <v>47</v>
      </c>
      <c r="AZ87" s="418">
        <v>48</v>
      </c>
      <c r="BA87" s="418">
        <v>49</v>
      </c>
      <c r="BB87" s="418">
        <v>50</v>
      </c>
      <c r="BC87" s="418">
        <v>51</v>
      </c>
      <c r="BD87" s="418">
        <v>52</v>
      </c>
      <c r="BE87" s="418">
        <v>53</v>
      </c>
      <c r="BF87" s="418">
        <v>54</v>
      </c>
      <c r="BG87" s="418">
        <v>55</v>
      </c>
      <c r="BH87" s="418">
        <v>56</v>
      </c>
      <c r="BI87" s="418">
        <v>57</v>
      </c>
      <c r="BJ87" s="418">
        <v>58</v>
      </c>
      <c r="BK87" s="418">
        <v>59</v>
      </c>
      <c r="BL87" s="418">
        <v>60</v>
      </c>
      <c r="BM87" s="418">
        <v>61</v>
      </c>
      <c r="BN87" s="418">
        <v>62</v>
      </c>
      <c r="BO87" s="418">
        <v>63</v>
      </c>
      <c r="BP87" s="418">
        <v>64</v>
      </c>
      <c r="BQ87" s="418">
        <v>65</v>
      </c>
      <c r="BR87" s="418">
        <v>66</v>
      </c>
      <c r="BS87" s="418">
        <v>67</v>
      </c>
      <c r="BT87" s="418">
        <v>68</v>
      </c>
      <c r="BU87" s="418">
        <v>69</v>
      </c>
      <c r="BV87" s="418">
        <v>70</v>
      </c>
      <c r="BW87" s="418">
        <v>71</v>
      </c>
      <c r="BX87" s="418">
        <v>72</v>
      </c>
      <c r="BY87" s="418">
        <v>73</v>
      </c>
      <c r="BZ87" s="418">
        <v>74</v>
      </c>
      <c r="CA87" s="418">
        <v>75</v>
      </c>
      <c r="CB87" s="418">
        <v>76</v>
      </c>
      <c r="CC87" s="418">
        <v>77</v>
      </c>
      <c r="CD87" s="418">
        <v>78</v>
      </c>
      <c r="CE87" s="418">
        <v>79</v>
      </c>
      <c r="CF87" s="418">
        <v>80</v>
      </c>
      <c r="CG87" s="418">
        <v>81</v>
      </c>
      <c r="CH87" s="418">
        <v>82</v>
      </c>
      <c r="CI87" s="418">
        <v>83</v>
      </c>
      <c r="CJ87" s="418">
        <v>84</v>
      </c>
      <c r="CK87" s="418">
        <v>85</v>
      </c>
      <c r="CL87" s="418">
        <v>86</v>
      </c>
      <c r="CM87" s="418">
        <v>87</v>
      </c>
      <c r="CN87" s="418">
        <v>88</v>
      </c>
      <c r="CO87" s="418">
        <v>89</v>
      </c>
      <c r="CP87" s="418">
        <v>90</v>
      </c>
      <c r="CQ87" s="418">
        <v>91</v>
      </c>
      <c r="CR87" s="418">
        <v>92</v>
      </c>
      <c r="CS87" s="418">
        <v>93</v>
      </c>
      <c r="CT87" s="418">
        <v>94</v>
      </c>
      <c r="CU87" s="418">
        <v>95</v>
      </c>
      <c r="CV87" s="418">
        <v>96</v>
      </c>
      <c r="CW87" s="418">
        <v>97</v>
      </c>
      <c r="CX87" s="418">
        <v>98</v>
      </c>
      <c r="CY87" s="418">
        <v>99</v>
      </c>
      <c r="CZ87" s="418">
        <v>100</v>
      </c>
      <c r="DA87" s="418">
        <v>101</v>
      </c>
      <c r="DB87" s="418">
        <v>102</v>
      </c>
      <c r="DC87" s="418">
        <v>103</v>
      </c>
      <c r="DD87" s="418">
        <v>104</v>
      </c>
      <c r="DE87" s="418">
        <v>105</v>
      </c>
      <c r="DF87" s="418">
        <v>106</v>
      </c>
      <c r="DG87" s="418">
        <v>107</v>
      </c>
      <c r="DH87" s="418">
        <v>108</v>
      </c>
      <c r="DI87" s="418">
        <v>109</v>
      </c>
      <c r="DJ87" s="418">
        <v>110</v>
      </c>
      <c r="DK87" s="418">
        <v>111</v>
      </c>
      <c r="DL87" s="418">
        <v>112</v>
      </c>
      <c r="DM87" s="418">
        <v>113</v>
      </c>
      <c r="DN87" s="418">
        <v>114</v>
      </c>
      <c r="DO87" s="418">
        <v>115</v>
      </c>
      <c r="DP87" s="418">
        <v>116</v>
      </c>
      <c r="DQ87" s="418">
        <v>117</v>
      </c>
      <c r="DR87" s="418">
        <v>118</v>
      </c>
      <c r="DS87" s="418">
        <v>119</v>
      </c>
      <c r="DT87" s="418">
        <v>120</v>
      </c>
      <c r="DU87" s="418">
        <v>121</v>
      </c>
      <c r="DV87" s="418">
        <v>122</v>
      </c>
      <c r="DW87" s="418">
        <v>123</v>
      </c>
      <c r="DX87" s="418">
        <v>124</v>
      </c>
      <c r="DY87" s="418">
        <v>125</v>
      </c>
      <c r="DZ87" s="418">
        <v>126</v>
      </c>
      <c r="EA87" s="418">
        <v>127</v>
      </c>
      <c r="EB87" s="418">
        <v>128</v>
      </c>
      <c r="EC87" s="418">
        <v>129</v>
      </c>
      <c r="ED87" s="418">
        <v>130</v>
      </c>
      <c r="EE87" s="418">
        <v>131</v>
      </c>
      <c r="EF87" s="418">
        <v>132</v>
      </c>
      <c r="EG87" s="418">
        <v>133</v>
      </c>
      <c r="EH87" s="418">
        <v>134</v>
      </c>
      <c r="EI87" s="418">
        <v>135</v>
      </c>
      <c r="EJ87" s="418">
        <v>136</v>
      </c>
      <c r="EK87" s="418">
        <v>137</v>
      </c>
      <c r="EL87" s="418">
        <v>138</v>
      </c>
      <c r="EM87" s="418">
        <v>139</v>
      </c>
      <c r="EN87" s="418">
        <v>140</v>
      </c>
      <c r="EO87" s="418">
        <v>141</v>
      </c>
      <c r="EP87" s="418">
        <v>142</v>
      </c>
      <c r="EQ87" s="418">
        <v>143</v>
      </c>
      <c r="ER87" s="418">
        <v>144</v>
      </c>
      <c r="ES87" s="418">
        <v>145</v>
      </c>
      <c r="ET87" s="418">
        <v>146</v>
      </c>
      <c r="EU87" s="418">
        <v>147</v>
      </c>
      <c r="EV87" s="418">
        <v>148</v>
      </c>
      <c r="EW87" s="418">
        <v>149</v>
      </c>
      <c r="EX87" s="418">
        <v>150</v>
      </c>
      <c r="EY87" s="418">
        <v>151</v>
      </c>
      <c r="EZ87" s="418">
        <v>152</v>
      </c>
      <c r="FA87" s="418">
        <v>153</v>
      </c>
      <c r="FB87" s="418">
        <v>154</v>
      </c>
      <c r="FC87" s="418">
        <v>155</v>
      </c>
      <c r="FD87" s="418">
        <v>156</v>
      </c>
      <c r="FE87" s="418">
        <v>157</v>
      </c>
      <c r="FF87" s="418">
        <v>158</v>
      </c>
      <c r="FG87" s="418">
        <v>159</v>
      </c>
      <c r="FH87" s="418">
        <v>160</v>
      </c>
      <c r="FI87" s="418">
        <v>161</v>
      </c>
      <c r="FJ87" s="418">
        <v>162</v>
      </c>
      <c r="FK87" s="418">
        <v>163</v>
      </c>
      <c r="FL87" s="418">
        <v>164</v>
      </c>
      <c r="FM87" s="418">
        <v>165</v>
      </c>
      <c r="FN87" s="418">
        <v>166</v>
      </c>
      <c r="FO87" s="418">
        <v>167</v>
      </c>
      <c r="FP87" s="418">
        <v>168</v>
      </c>
      <c r="FQ87" s="418">
        <v>169</v>
      </c>
      <c r="FR87" s="418">
        <v>170</v>
      </c>
      <c r="FS87" s="418">
        <v>171</v>
      </c>
      <c r="FT87" s="418">
        <v>172</v>
      </c>
      <c r="FU87" s="418">
        <v>173</v>
      </c>
      <c r="FV87" s="418">
        <v>174</v>
      </c>
      <c r="FW87" s="418">
        <v>175</v>
      </c>
      <c r="FX87" s="418">
        <v>176</v>
      </c>
      <c r="FY87" s="418">
        <v>177</v>
      </c>
      <c r="FZ87" s="418">
        <v>178</v>
      </c>
      <c r="GA87" s="418">
        <v>179</v>
      </c>
      <c r="GB87" s="418">
        <v>180</v>
      </c>
      <c r="GC87" s="418">
        <v>181</v>
      </c>
      <c r="GD87" s="418">
        <v>182</v>
      </c>
      <c r="GE87" s="418">
        <v>183</v>
      </c>
      <c r="GF87" s="418">
        <v>184</v>
      </c>
      <c r="GG87" s="418">
        <v>185</v>
      </c>
      <c r="GH87" s="418">
        <v>186</v>
      </c>
      <c r="GI87" s="418">
        <v>187</v>
      </c>
      <c r="GJ87" s="418">
        <v>188</v>
      </c>
      <c r="GK87" s="418">
        <v>189</v>
      </c>
      <c r="GL87" s="418">
        <v>190</v>
      </c>
      <c r="GM87" s="418">
        <v>191</v>
      </c>
      <c r="GN87" s="418">
        <v>192</v>
      </c>
      <c r="GO87" s="418">
        <v>193</v>
      </c>
      <c r="GP87" s="418">
        <v>194</v>
      </c>
      <c r="GQ87" s="418">
        <v>195</v>
      </c>
      <c r="GR87" s="418">
        <v>196</v>
      </c>
      <c r="GS87" s="418">
        <v>197</v>
      </c>
      <c r="GT87" s="418">
        <v>198</v>
      </c>
      <c r="GU87" s="418">
        <v>199</v>
      </c>
      <c r="GV87" s="418">
        <v>200</v>
      </c>
      <c r="GW87" s="418">
        <v>201</v>
      </c>
      <c r="GX87" s="418">
        <v>202</v>
      </c>
      <c r="GY87" s="418">
        <v>203</v>
      </c>
      <c r="GZ87" s="418">
        <v>204</v>
      </c>
      <c r="HA87" s="418">
        <v>205</v>
      </c>
      <c r="HB87" s="418">
        <v>206</v>
      </c>
      <c r="HC87" s="418">
        <v>207</v>
      </c>
      <c r="HD87" s="418">
        <v>208</v>
      </c>
      <c r="HE87" s="418">
        <v>209</v>
      </c>
      <c r="HF87" s="418">
        <v>210</v>
      </c>
      <c r="HG87" s="418">
        <v>211</v>
      </c>
      <c r="HH87" s="418">
        <v>212</v>
      </c>
      <c r="HI87" s="418">
        <v>213</v>
      </c>
      <c r="HJ87" s="418">
        <v>214</v>
      </c>
      <c r="HK87" s="418">
        <v>215</v>
      </c>
      <c r="HL87" s="418">
        <v>216</v>
      </c>
      <c r="HM87" s="418">
        <v>217</v>
      </c>
      <c r="HN87" s="418">
        <v>218</v>
      </c>
      <c r="HO87" s="418">
        <v>219</v>
      </c>
      <c r="HP87" s="418">
        <v>220</v>
      </c>
      <c r="HQ87" s="418">
        <v>221</v>
      </c>
      <c r="HR87" s="418">
        <v>222</v>
      </c>
      <c r="HS87" s="418">
        <v>223</v>
      </c>
      <c r="HT87" s="418">
        <v>224</v>
      </c>
      <c r="HU87" s="418">
        <v>225</v>
      </c>
      <c r="HV87" s="418">
        <v>226</v>
      </c>
      <c r="HW87" s="418">
        <v>227</v>
      </c>
      <c r="HX87" s="418">
        <v>228</v>
      </c>
      <c r="HY87" s="418">
        <v>229</v>
      </c>
      <c r="HZ87" s="418">
        <v>230</v>
      </c>
      <c r="IA87" s="418">
        <v>231</v>
      </c>
      <c r="IB87" s="418">
        <v>232</v>
      </c>
      <c r="IC87" s="418">
        <v>233</v>
      </c>
      <c r="ID87" s="418">
        <v>234</v>
      </c>
      <c r="IE87" s="418">
        <v>235</v>
      </c>
      <c r="IF87" s="418">
        <v>236</v>
      </c>
      <c r="IG87" s="418">
        <v>237</v>
      </c>
      <c r="IH87" s="418">
        <v>238</v>
      </c>
      <c r="II87" s="418">
        <v>239</v>
      </c>
      <c r="IJ87" s="418">
        <v>240</v>
      </c>
      <c r="IK87" s="418">
        <v>241</v>
      </c>
      <c r="IL87" s="418">
        <v>242</v>
      </c>
      <c r="IM87" s="418">
        <v>243</v>
      </c>
      <c r="IN87" s="418">
        <v>244</v>
      </c>
      <c r="IO87" s="418">
        <v>245</v>
      </c>
      <c r="IP87" s="418">
        <v>246</v>
      </c>
      <c r="IQ87" s="418">
        <v>247</v>
      </c>
      <c r="IR87" s="418">
        <v>248</v>
      </c>
      <c r="IS87" s="418">
        <v>249</v>
      </c>
      <c r="IT87" s="418">
        <v>250</v>
      </c>
      <c r="IU87" s="418">
        <v>251</v>
      </c>
      <c r="IV87" s="418">
        <v>252</v>
      </c>
      <c r="IW87" s="418">
        <v>253</v>
      </c>
      <c r="IX87" s="418">
        <v>254</v>
      </c>
      <c r="IY87" s="418">
        <v>255</v>
      </c>
      <c r="IZ87" s="418">
        <v>256</v>
      </c>
      <c r="JA87" s="418">
        <v>257</v>
      </c>
      <c r="JB87" s="418">
        <v>258</v>
      </c>
      <c r="JC87" s="418">
        <v>259</v>
      </c>
      <c r="JD87" s="418">
        <v>260</v>
      </c>
      <c r="JE87" s="418">
        <v>261</v>
      </c>
      <c r="JF87" s="418">
        <v>262</v>
      </c>
      <c r="JG87" s="418">
        <v>263</v>
      </c>
      <c r="JH87" s="418">
        <v>264</v>
      </c>
      <c r="JI87" s="418">
        <v>265</v>
      </c>
      <c r="JJ87" s="418">
        <v>266</v>
      </c>
      <c r="JK87" s="418">
        <v>267</v>
      </c>
      <c r="JL87" s="418">
        <v>268</v>
      </c>
      <c r="JM87" s="418">
        <v>269</v>
      </c>
      <c r="JN87" s="418">
        <v>270</v>
      </c>
      <c r="JO87" s="418">
        <v>271</v>
      </c>
      <c r="JP87" s="418">
        <v>272</v>
      </c>
      <c r="JQ87" s="418">
        <v>273</v>
      </c>
      <c r="JR87" s="351"/>
      <c r="JS87" s="1400"/>
    </row>
    <row r="88" spans="1:279" x14ac:dyDescent="0.25">
      <c r="A88" s="1367">
        <v>2</v>
      </c>
      <c r="B88" s="1368" t="str">
        <f t="shared" ref="B88:B95" si="9">IF(AIL_IND&gt;1,IF(HLOOKUP(AIL_IND-1,AIL_RANGE,A88)="","",HLOOKUP(AIL_IND-1,AIL_RANGE,A88)),"")</f>
        <v/>
      </c>
      <c r="C88" s="1359" t="s">
        <v>2554</v>
      </c>
      <c r="D88" s="1360" t="str">
        <f>"Earlier years’ losses – which can be set against certain other income in "&amp;tax_year</f>
        <v>Earlier years’ losses – which can be set against certain other income in 2025-26</v>
      </c>
      <c r="E88" s="1420"/>
      <c r="F88" s="1420"/>
      <c r="G88" s="1420"/>
      <c r="H88" s="1420"/>
      <c r="I88" s="1420"/>
      <c r="J88" s="1420"/>
      <c r="K88" s="1420"/>
      <c r="L88" s="1420"/>
      <c r="M88" s="1420"/>
      <c r="N88" s="1420"/>
      <c r="O88" s="1420"/>
      <c r="P88" s="1420"/>
      <c r="Q88" s="1420"/>
      <c r="R88" s="1420"/>
      <c r="S88" s="1420"/>
      <c r="T88" s="1420"/>
      <c r="U88" s="1420"/>
      <c r="V88" s="1420"/>
      <c r="W88" s="1420"/>
      <c r="X88" s="1420"/>
      <c r="Y88" s="1420"/>
      <c r="Z88" s="1420"/>
      <c r="AA88" s="1420"/>
      <c r="AB88" s="1420"/>
      <c r="AC88" s="1420"/>
      <c r="AD88" s="1420"/>
      <c r="AE88" s="1420"/>
      <c r="AF88" s="1420"/>
      <c r="AG88" s="1420"/>
      <c r="AH88" s="1420"/>
      <c r="AI88" s="1420"/>
      <c r="AJ88" s="1420"/>
      <c r="AK88" s="1420"/>
      <c r="AL88" s="1420"/>
      <c r="AM88" s="1420"/>
      <c r="AN88" s="1420"/>
      <c r="AO88" s="1420"/>
      <c r="AP88" s="1420"/>
      <c r="AQ88" s="1420"/>
      <c r="AR88" s="1420"/>
      <c r="AS88" s="1420"/>
      <c r="AT88" s="1420"/>
      <c r="AU88" s="1420"/>
      <c r="AV88" s="1420"/>
      <c r="AW88" s="1420"/>
      <c r="AX88" s="1420"/>
      <c r="AY88" s="1420"/>
      <c r="AZ88" s="1420"/>
      <c r="BA88" s="1420"/>
      <c r="BB88" s="1420"/>
      <c r="BC88" s="1420"/>
      <c r="BD88" s="1420"/>
      <c r="BE88" s="1420"/>
      <c r="BF88" s="1420"/>
      <c r="BG88" s="1420"/>
      <c r="BH88" s="1420"/>
      <c r="BI88" s="1420"/>
      <c r="BJ88" s="1420"/>
      <c r="BK88" s="1420"/>
      <c r="BL88" s="1420"/>
      <c r="BM88" s="1420"/>
      <c r="BN88" s="1420"/>
      <c r="BO88" s="1420"/>
      <c r="BP88" s="1420"/>
      <c r="BQ88" s="1420"/>
      <c r="BR88" s="1420"/>
      <c r="BS88" s="1420"/>
      <c r="BT88" s="1420"/>
      <c r="BU88" s="1420"/>
      <c r="BV88" s="1420"/>
      <c r="BW88" s="1420"/>
      <c r="BX88" s="1420"/>
      <c r="BY88" s="1420"/>
      <c r="BZ88" s="1420"/>
      <c r="CA88" s="1420"/>
      <c r="CB88" s="1420"/>
      <c r="CC88" s="1421"/>
      <c r="CD88" s="1421"/>
      <c r="CE88" s="1421"/>
      <c r="CF88" s="1421"/>
      <c r="CG88" s="1421"/>
      <c r="CH88" s="1421"/>
      <c r="CI88" s="1421"/>
      <c r="CJ88" s="1421"/>
      <c r="CK88" s="1421"/>
      <c r="CL88" s="1421"/>
      <c r="CM88" s="1421"/>
      <c r="CN88" s="1420"/>
      <c r="CO88" s="1421"/>
      <c r="CP88" s="1421"/>
      <c r="CQ88" s="1421"/>
      <c r="CR88" s="1421"/>
      <c r="CS88" s="1421"/>
      <c r="CT88" s="1421"/>
      <c r="CU88" s="1421"/>
      <c r="CV88" s="1421"/>
      <c r="CW88" s="1421"/>
      <c r="CX88" s="1421"/>
      <c r="CY88" s="1421"/>
      <c r="CZ88" s="1421"/>
      <c r="DA88" s="1421"/>
      <c r="DB88" s="1421"/>
      <c r="DC88" s="1421"/>
      <c r="DD88" s="1421"/>
      <c r="DE88" s="1421"/>
      <c r="DF88" s="1421"/>
      <c r="DG88" s="1421"/>
      <c r="DH88" s="1421"/>
      <c r="DI88" s="1421"/>
      <c r="DJ88" s="1421"/>
      <c r="DK88" s="1421"/>
      <c r="DL88" s="1421"/>
      <c r="DM88" s="1421"/>
      <c r="DN88" s="1421"/>
      <c r="DO88" s="1421"/>
      <c r="DP88" s="1421"/>
      <c r="DQ88" s="1421"/>
      <c r="DR88" s="1421"/>
      <c r="DS88" s="1421"/>
      <c r="DT88" s="1421"/>
      <c r="DU88" s="1421"/>
      <c r="DV88" s="1421"/>
      <c r="DW88" s="1404"/>
      <c r="DX88" s="1421"/>
      <c r="DY88" s="1421"/>
      <c r="DZ88" s="1421"/>
      <c r="EA88" s="1421"/>
      <c r="EB88" s="1421"/>
      <c r="EC88" s="1421"/>
      <c r="ED88" s="1421"/>
      <c r="EE88" s="1421"/>
      <c r="EF88" s="1421"/>
      <c r="EG88" s="1421"/>
      <c r="EH88" s="1421"/>
      <c r="EI88" s="1421"/>
      <c r="EJ88" s="1421"/>
      <c r="EK88" s="1421"/>
      <c r="EL88" s="1421"/>
      <c r="EM88" s="1390"/>
      <c r="EN88" s="1390"/>
      <c r="EO88" s="1390"/>
      <c r="EP88" s="1390"/>
      <c r="EQ88" s="1421"/>
      <c r="ER88" s="1421"/>
      <c r="ES88" s="1421"/>
      <c r="ET88" s="1421"/>
      <c r="EU88" s="1421"/>
      <c r="EV88" s="1390"/>
      <c r="EW88" s="1421"/>
      <c r="EX88" s="1421"/>
      <c r="EY88" s="1421"/>
      <c r="EZ88" s="1421"/>
      <c r="FA88" s="1421"/>
      <c r="FB88" s="1421"/>
      <c r="FC88" s="1421"/>
      <c r="FD88" s="1421"/>
      <c r="FE88" s="1421"/>
      <c r="FF88" s="1421"/>
      <c r="FG88" s="1421"/>
      <c r="FH88" s="1421"/>
      <c r="FI88" s="1421"/>
      <c r="FJ88" s="1421"/>
      <c r="FK88" s="1421"/>
      <c r="FL88" s="1421"/>
      <c r="FM88" s="1421"/>
      <c r="FN88" s="1421"/>
      <c r="FO88" s="1421"/>
      <c r="FP88" s="1421"/>
      <c r="FQ88" s="1390"/>
      <c r="FR88" s="1421"/>
      <c r="FS88" s="1421"/>
      <c r="FT88" s="1421"/>
      <c r="FU88" s="1421"/>
      <c r="FV88" s="1421"/>
      <c r="FW88" s="1421"/>
      <c r="FX88" s="1390"/>
      <c r="FY88" s="1421"/>
      <c r="FZ88" s="1421"/>
      <c r="GA88" s="1421"/>
      <c r="GB88" s="1421"/>
      <c r="GC88" s="1421"/>
      <c r="GD88" s="1421"/>
      <c r="GE88" s="1421"/>
      <c r="GF88" s="1421"/>
      <c r="GG88" s="1421"/>
      <c r="GH88" s="1390"/>
      <c r="GI88" s="1390"/>
      <c r="GJ88" s="1390"/>
      <c r="GK88" s="1421"/>
      <c r="GL88" s="1421"/>
      <c r="GM88" s="1421"/>
      <c r="GN88" s="1421"/>
      <c r="GO88" s="1421"/>
      <c r="GP88" s="1421"/>
      <c r="GQ88" s="1421"/>
      <c r="GR88" s="1421"/>
      <c r="GS88" s="1390"/>
      <c r="GT88" s="1390"/>
      <c r="GU88" s="1390"/>
      <c r="GV88" s="1421"/>
      <c r="GW88" s="1421"/>
      <c r="GX88" s="1390"/>
      <c r="GY88" s="1421"/>
      <c r="GZ88" s="1390"/>
      <c r="HA88" s="1390"/>
      <c r="HB88" s="1421"/>
      <c r="HC88" s="1421"/>
      <c r="HD88" s="1421"/>
      <c r="HE88" s="1421"/>
      <c r="HF88" s="1390"/>
      <c r="HG88" s="1390"/>
      <c r="HH88" s="1421"/>
      <c r="HI88" s="1421"/>
      <c r="HJ88" s="1421"/>
      <c r="HK88" s="1421"/>
      <c r="HL88" s="1421"/>
      <c r="HM88" s="1421"/>
      <c r="HN88" s="1421"/>
      <c r="HO88" s="1421"/>
      <c r="HP88" s="1421"/>
      <c r="HQ88" s="1421"/>
      <c r="HR88" s="1421"/>
      <c r="HS88" s="1421"/>
      <c r="HT88" s="1421"/>
      <c r="HU88" s="1421"/>
      <c r="HV88" s="1421"/>
      <c r="HW88" s="1421"/>
      <c r="HX88" s="1421"/>
      <c r="HY88" s="1421"/>
      <c r="HZ88" s="1421"/>
      <c r="IA88" s="1421"/>
      <c r="IB88" s="1421"/>
      <c r="IC88" s="1421"/>
      <c r="ID88" s="1421"/>
      <c r="IE88" s="1421"/>
      <c r="IF88" s="1421"/>
      <c r="IG88" s="1421"/>
      <c r="IH88" s="1421"/>
      <c r="II88" s="1421"/>
      <c r="IJ88" s="1421"/>
      <c r="IK88" s="1421"/>
      <c r="IL88" s="1421"/>
      <c r="IM88" s="1421"/>
      <c r="IN88" s="1421"/>
      <c r="IO88" s="1421"/>
      <c r="IP88" s="1421"/>
      <c r="IQ88" s="1421"/>
      <c r="IR88" s="1421"/>
      <c r="IS88" s="1421"/>
      <c r="IT88" s="1421"/>
      <c r="IU88" s="1421"/>
      <c r="IV88" s="1421"/>
      <c r="IW88" s="1421"/>
      <c r="IX88" s="1421"/>
      <c r="IY88" s="1421"/>
      <c r="IZ88" s="1421"/>
      <c r="JA88" s="1421"/>
      <c r="JB88" s="1421"/>
      <c r="JC88" s="1421"/>
      <c r="JD88" s="1421"/>
      <c r="JE88" s="1421"/>
      <c r="JF88" s="1421"/>
      <c r="JG88" s="1421"/>
      <c r="JH88" s="1421"/>
      <c r="JI88" s="1421"/>
      <c r="JJ88" s="1421"/>
      <c r="JK88" s="1421"/>
      <c r="JL88" s="1421"/>
      <c r="JM88" s="1421"/>
      <c r="JN88" s="1421"/>
      <c r="JO88" s="1421"/>
      <c r="JP88" s="1421"/>
      <c r="JQ88" s="800"/>
      <c r="JR88" s="351"/>
      <c r="JS88" s="1400"/>
    </row>
    <row r="89" spans="1:279" x14ac:dyDescent="0.25">
      <c r="A89" s="1367">
        <v>3</v>
      </c>
      <c r="B89" s="1368" t="str">
        <f t="shared" si="9"/>
        <v/>
      </c>
      <c r="C89" s="1359" t="s">
        <v>2555</v>
      </c>
      <c r="D89" s="1360" t="s">
        <v>2556</v>
      </c>
      <c r="E89" s="1272"/>
      <c r="F89" s="1381"/>
      <c r="G89" s="1381"/>
      <c r="H89" s="1381"/>
      <c r="I89" s="1381"/>
      <c r="J89" s="1381"/>
      <c r="K89" s="1381"/>
      <c r="L89" s="1381"/>
      <c r="M89" s="1381"/>
      <c r="N89" s="1381"/>
      <c r="O89" s="1381"/>
      <c r="P89" s="1381"/>
      <c r="Q89" s="1381"/>
      <c r="R89" s="1381"/>
      <c r="S89" s="1381"/>
      <c r="T89" s="1381"/>
      <c r="U89" s="1381"/>
      <c r="V89" s="1381"/>
      <c r="W89" s="1381"/>
      <c r="X89" s="1381"/>
      <c r="Y89" s="1381"/>
      <c r="Z89" s="1381"/>
      <c r="AA89" s="1381"/>
      <c r="AB89" s="1381"/>
      <c r="AC89" s="1381"/>
      <c r="AD89" s="1381"/>
      <c r="AE89" s="1381"/>
      <c r="AF89" s="1381"/>
      <c r="AG89" s="1381"/>
      <c r="AH89" s="1381"/>
      <c r="AI89" s="1381"/>
      <c r="AJ89" s="1381"/>
      <c r="AK89" s="1381"/>
      <c r="AL89" s="1381"/>
      <c r="AM89" s="1381"/>
      <c r="AN89" s="1381"/>
      <c r="AO89" s="1381"/>
      <c r="AP89" s="1381"/>
      <c r="AQ89" s="1381"/>
      <c r="AR89" s="1381"/>
      <c r="AS89" s="1381"/>
      <c r="AT89" s="1381"/>
      <c r="AU89" s="1381"/>
      <c r="AV89" s="1381"/>
      <c r="AW89" s="1381"/>
      <c r="AX89" s="1381"/>
      <c r="AY89" s="1381"/>
      <c r="AZ89" s="1381"/>
      <c r="BA89" s="1381"/>
      <c r="BB89" s="1381"/>
      <c r="BC89" s="1381"/>
      <c r="BD89" s="1381"/>
      <c r="BE89" s="1381"/>
      <c r="BF89" s="1381"/>
      <c r="BG89" s="1381"/>
      <c r="BH89" s="1381"/>
      <c r="BI89" s="1381"/>
      <c r="BJ89" s="1381"/>
      <c r="BK89" s="1381"/>
      <c r="BL89" s="1381"/>
      <c r="BM89" s="1381"/>
      <c r="BN89" s="1381"/>
      <c r="BO89" s="1381"/>
      <c r="BP89" s="1381"/>
      <c r="BQ89" s="1381"/>
      <c r="BR89" s="1381"/>
      <c r="BS89" s="1381"/>
      <c r="BT89" s="1381"/>
      <c r="BU89" s="1381"/>
      <c r="BV89" s="1381"/>
      <c r="BW89" s="1381"/>
      <c r="BX89" s="1381"/>
      <c r="BY89" s="1381"/>
      <c r="BZ89" s="1381"/>
      <c r="CA89" s="1381"/>
      <c r="CB89" s="1381"/>
      <c r="CC89" s="1414"/>
      <c r="CD89" s="1414"/>
      <c r="CE89" s="1414"/>
      <c r="CF89" s="1414"/>
      <c r="CG89" s="1414"/>
      <c r="CH89" s="1414"/>
      <c r="CI89" s="1414"/>
      <c r="CJ89" s="1414"/>
      <c r="CK89" s="1414"/>
      <c r="CL89" s="1414"/>
      <c r="CM89" s="1414"/>
      <c r="CN89" s="1381"/>
      <c r="CO89" s="1414"/>
      <c r="CP89" s="1414"/>
      <c r="CQ89" s="1414"/>
      <c r="CR89" s="1414"/>
      <c r="CS89" s="1414"/>
      <c r="CT89" s="1414"/>
      <c r="CU89" s="1414"/>
      <c r="CV89" s="1414"/>
      <c r="CW89" s="1414"/>
      <c r="CX89" s="1414"/>
      <c r="CY89" s="1414"/>
      <c r="CZ89" s="1414"/>
      <c r="DA89" s="1414"/>
      <c r="DB89" s="1414"/>
      <c r="DC89" s="1414"/>
      <c r="DD89" s="1414"/>
      <c r="DE89" s="1414"/>
      <c r="DF89" s="1414"/>
      <c r="DG89" s="1414"/>
      <c r="DH89" s="1414"/>
      <c r="DI89" s="1414"/>
      <c r="DJ89" s="1414"/>
      <c r="DK89" s="1414"/>
      <c r="DL89" s="1414"/>
      <c r="DM89" s="1414"/>
      <c r="DN89" s="1414"/>
      <c r="DO89" s="1414"/>
      <c r="DP89" s="1414"/>
      <c r="DQ89" s="1414"/>
      <c r="DR89" s="1414"/>
      <c r="DS89" s="1414"/>
      <c r="DT89" s="1414"/>
      <c r="DU89" s="1414"/>
      <c r="DV89" s="1414"/>
      <c r="DW89" s="1381"/>
      <c r="DX89" s="1414"/>
      <c r="DY89" s="1414"/>
      <c r="DZ89" s="1414"/>
      <c r="EA89" s="1414"/>
      <c r="EB89" s="1414"/>
      <c r="EC89" s="1414"/>
      <c r="ED89" s="1414"/>
      <c r="EE89" s="1414"/>
      <c r="EF89" s="1414"/>
      <c r="EG89" s="1414"/>
      <c r="EH89" s="1414"/>
      <c r="EI89" s="1414"/>
      <c r="EJ89" s="1414"/>
      <c r="EK89" s="1414"/>
      <c r="EL89" s="1414"/>
      <c r="EM89" s="1381"/>
      <c r="EN89" s="1381"/>
      <c r="EO89" s="1381"/>
      <c r="EP89" s="1272"/>
      <c r="EQ89" s="1414"/>
      <c r="ER89" s="1414"/>
      <c r="ES89" s="1414"/>
      <c r="ET89" s="1414"/>
      <c r="EU89" s="1414"/>
      <c r="EV89" s="1381"/>
      <c r="EW89" s="1414"/>
      <c r="EX89" s="1414"/>
      <c r="EY89" s="1414"/>
      <c r="EZ89" s="1414"/>
      <c r="FA89" s="1414"/>
      <c r="FB89" s="1414"/>
      <c r="FC89" s="1414"/>
      <c r="FD89" s="1414"/>
      <c r="FE89" s="1414"/>
      <c r="FF89" s="1414"/>
      <c r="FG89" s="1414"/>
      <c r="FH89" s="1414"/>
      <c r="FI89" s="1414"/>
      <c r="FJ89" s="1414"/>
      <c r="FK89" s="1414"/>
      <c r="FL89" s="1414"/>
      <c r="FM89" s="1414"/>
      <c r="FN89" s="1414"/>
      <c r="FO89" s="1414"/>
      <c r="FP89" s="1414"/>
      <c r="FQ89" s="1381"/>
      <c r="FR89" s="1414"/>
      <c r="FS89" s="1414"/>
      <c r="FT89" s="1414"/>
      <c r="FU89" s="1414"/>
      <c r="FV89" s="1414"/>
      <c r="FW89" s="1414"/>
      <c r="FX89" s="1381"/>
      <c r="FY89" s="1414"/>
      <c r="FZ89" s="1414"/>
      <c r="GA89" s="1414"/>
      <c r="GB89" s="1414"/>
      <c r="GC89" s="1414"/>
      <c r="GD89" s="1414"/>
      <c r="GE89" s="1414"/>
      <c r="GF89" s="1414"/>
      <c r="GG89" s="1414"/>
      <c r="GH89" s="1381"/>
      <c r="GI89" s="1272"/>
      <c r="GJ89" s="1381"/>
      <c r="GK89" s="1414"/>
      <c r="GL89" s="1414"/>
      <c r="GM89" s="1414"/>
      <c r="GN89" s="1414"/>
      <c r="GO89" s="1414"/>
      <c r="GP89" s="1414"/>
      <c r="GQ89" s="1414"/>
      <c r="GR89" s="1414"/>
      <c r="GS89" s="1381"/>
      <c r="GT89" s="1381"/>
      <c r="GU89" s="1381"/>
      <c r="GV89" s="1414"/>
      <c r="GW89" s="1414"/>
      <c r="GX89" s="1381"/>
      <c r="GY89" s="1414"/>
      <c r="GZ89" s="1381"/>
      <c r="HA89" s="1381"/>
      <c r="HB89" s="1414"/>
      <c r="HC89" s="1414"/>
      <c r="HD89" s="1414"/>
      <c r="HE89" s="1414"/>
      <c r="HF89" s="1381"/>
      <c r="HG89" s="1381"/>
      <c r="HH89" s="1414"/>
      <c r="HI89" s="1414"/>
      <c r="HJ89" s="1414"/>
      <c r="HK89" s="1414"/>
      <c r="HL89" s="1414"/>
      <c r="HM89" s="1414"/>
      <c r="HN89" s="1414"/>
      <c r="HO89" s="1414"/>
      <c r="HP89" s="1414"/>
      <c r="HQ89" s="1414"/>
      <c r="HR89" s="1414"/>
      <c r="HS89" s="1414"/>
      <c r="HT89" s="1414"/>
      <c r="HU89" s="1414"/>
      <c r="HV89" s="1414"/>
      <c r="HW89" s="1414"/>
      <c r="HX89" s="1414"/>
      <c r="HY89" s="1414"/>
      <c r="HZ89" s="1414"/>
      <c r="IA89" s="1414"/>
      <c r="IB89" s="1414"/>
      <c r="IC89" s="1414"/>
      <c r="ID89" s="1414"/>
      <c r="IE89" s="1414"/>
      <c r="IF89" s="1414"/>
      <c r="IG89" s="1414"/>
      <c r="IH89" s="1414"/>
      <c r="II89" s="1414"/>
      <c r="IJ89" s="1414"/>
      <c r="IK89" s="1414"/>
      <c r="IL89" s="1414"/>
      <c r="IM89" s="1414"/>
      <c r="IN89" s="1414"/>
      <c r="IO89" s="1414"/>
      <c r="IP89" s="1414"/>
      <c r="IQ89" s="1414"/>
      <c r="IR89" s="1414"/>
      <c r="IS89" s="1414"/>
      <c r="IT89" s="1414"/>
      <c r="IU89" s="1414"/>
      <c r="IV89" s="1414"/>
      <c r="IW89" s="1414"/>
      <c r="IX89" s="1414"/>
      <c r="IY89" s="1414"/>
      <c r="IZ89" s="1414"/>
      <c r="JA89" s="1414"/>
      <c r="JB89" s="1414"/>
      <c r="JC89" s="1414"/>
      <c r="JD89" s="1414"/>
      <c r="JE89" s="1414"/>
      <c r="JF89" s="1414"/>
      <c r="JG89" s="1414"/>
      <c r="JH89" s="1414"/>
      <c r="JI89" s="1414"/>
      <c r="JJ89" s="1414"/>
      <c r="JK89" s="1414"/>
      <c r="JL89" s="1414"/>
      <c r="JM89" s="1414"/>
      <c r="JN89" s="1414"/>
      <c r="JO89" s="1414"/>
      <c r="JP89" s="1414"/>
      <c r="JQ89" s="1415"/>
      <c r="JR89" s="351"/>
      <c r="JS89" s="1400"/>
    </row>
    <row r="90" spans="1:279" x14ac:dyDescent="0.25">
      <c r="A90" s="1367">
        <v>4</v>
      </c>
      <c r="B90" s="1368" t="str">
        <f t="shared" si="9"/>
        <v/>
      </c>
      <c r="C90" s="1359" t="s">
        <v>2557</v>
      </c>
      <c r="D90" s="1360" t="str">
        <f>"Relief now for "&amp;next_year&amp;" trade losses or certain capital losses"</f>
        <v>Relief now for 2026-27 trade losses or certain capital losses</v>
      </c>
      <c r="E90" s="1390"/>
      <c r="F90" s="1390"/>
      <c r="G90" s="1390"/>
      <c r="H90" s="1390"/>
      <c r="I90" s="1390"/>
      <c r="J90" s="1390"/>
      <c r="K90" s="1390"/>
      <c r="L90" s="1390"/>
      <c r="M90" s="1390"/>
      <c r="N90" s="1390"/>
      <c r="O90" s="1390"/>
      <c r="P90" s="1390"/>
      <c r="Q90" s="1390"/>
      <c r="R90" s="1390"/>
      <c r="S90" s="1390"/>
      <c r="T90" s="1390"/>
      <c r="U90" s="1390"/>
      <c r="V90" s="1390"/>
      <c r="W90" s="1390"/>
      <c r="X90" s="1390"/>
      <c r="Y90" s="1390"/>
      <c r="Z90" s="1390"/>
      <c r="AA90" s="1390"/>
      <c r="AB90" s="1390"/>
      <c r="AC90" s="1390"/>
      <c r="AD90" s="1390"/>
      <c r="AE90" s="1390"/>
      <c r="AF90" s="1390"/>
      <c r="AG90" s="1390"/>
      <c r="AH90" s="1390"/>
      <c r="AI90" s="1390"/>
      <c r="AJ90" s="1390"/>
      <c r="AK90" s="1390"/>
      <c r="AL90" s="1390"/>
      <c r="AM90" s="1390"/>
      <c r="AN90" s="1390"/>
      <c r="AO90" s="1390"/>
      <c r="AP90" s="1390"/>
      <c r="AQ90" s="1390"/>
      <c r="AR90" s="1390"/>
      <c r="AS90" s="1390"/>
      <c r="AT90" s="1390"/>
      <c r="AU90" s="1390"/>
      <c r="AV90" s="1390"/>
      <c r="AW90" s="1390"/>
      <c r="AX90" s="1390"/>
      <c r="AY90" s="1390"/>
      <c r="AZ90" s="1390"/>
      <c r="BA90" s="1390"/>
      <c r="BB90" s="1390"/>
      <c r="BC90" s="1390"/>
      <c r="BD90" s="1390"/>
      <c r="BE90" s="1390"/>
      <c r="BF90" s="1390"/>
      <c r="BG90" s="1390"/>
      <c r="BH90" s="1390"/>
      <c r="BI90" s="1390"/>
      <c r="BJ90" s="1390"/>
      <c r="BK90" s="1390"/>
      <c r="BL90" s="1390"/>
      <c r="BM90" s="1390"/>
      <c r="BN90" s="1390"/>
      <c r="BO90" s="1390"/>
      <c r="BP90" s="1390"/>
      <c r="BQ90" s="1390"/>
      <c r="BR90" s="1390"/>
      <c r="BS90" s="1390"/>
      <c r="BT90" s="1390"/>
      <c r="BU90" s="1390"/>
      <c r="BV90" s="1390"/>
      <c r="BW90" s="1390"/>
      <c r="BX90" s="1390"/>
      <c r="BY90" s="1390"/>
      <c r="BZ90" s="1390"/>
      <c r="CA90" s="1390"/>
      <c r="CB90" s="1390"/>
      <c r="CC90" s="1402"/>
      <c r="CD90" s="1402"/>
      <c r="CE90" s="1402"/>
      <c r="CF90" s="1402"/>
      <c r="CG90" s="1402"/>
      <c r="CH90" s="1402"/>
      <c r="CI90" s="1402"/>
      <c r="CJ90" s="1402"/>
      <c r="CK90" s="1402"/>
      <c r="CL90" s="1402"/>
      <c r="CM90" s="1402"/>
      <c r="CN90" s="1390"/>
      <c r="CO90" s="1402"/>
      <c r="CP90" s="1402"/>
      <c r="CQ90" s="1402"/>
      <c r="CR90" s="1402"/>
      <c r="CS90" s="1402"/>
      <c r="CT90" s="1402"/>
      <c r="CU90" s="1402"/>
      <c r="CV90" s="1402"/>
      <c r="CW90" s="1402"/>
      <c r="CX90" s="1402"/>
      <c r="CY90" s="1402"/>
      <c r="CZ90" s="1402"/>
      <c r="DA90" s="1402"/>
      <c r="DB90" s="1402"/>
      <c r="DC90" s="1402"/>
      <c r="DD90" s="1402"/>
      <c r="DE90" s="1402"/>
      <c r="DF90" s="1402"/>
      <c r="DG90" s="1402"/>
      <c r="DH90" s="1402"/>
      <c r="DI90" s="1402"/>
      <c r="DJ90" s="1402"/>
      <c r="DK90" s="1402"/>
      <c r="DL90" s="1402"/>
      <c r="DM90" s="1402"/>
      <c r="DN90" s="1402"/>
      <c r="DO90" s="1402"/>
      <c r="DP90" s="1402"/>
      <c r="DQ90" s="1402"/>
      <c r="DR90" s="1402"/>
      <c r="DS90" s="1402"/>
      <c r="DT90" s="1402"/>
      <c r="DU90" s="1402"/>
      <c r="DV90" s="1402"/>
      <c r="DW90" s="1404"/>
      <c r="DX90" s="1402"/>
      <c r="DY90" s="1402"/>
      <c r="DZ90" s="1402"/>
      <c r="EA90" s="1402"/>
      <c r="EB90" s="1402"/>
      <c r="EC90" s="1402"/>
      <c r="ED90" s="1402"/>
      <c r="EE90" s="1402"/>
      <c r="EF90" s="1402"/>
      <c r="EG90" s="1402"/>
      <c r="EH90" s="1402"/>
      <c r="EI90" s="1402"/>
      <c r="EJ90" s="1402"/>
      <c r="EK90" s="1402"/>
      <c r="EL90" s="1402"/>
      <c r="EM90" s="1390"/>
      <c r="EN90" s="1390"/>
      <c r="EO90" s="1390"/>
      <c r="EP90" s="1390"/>
      <c r="EQ90" s="1402"/>
      <c r="ER90" s="1402"/>
      <c r="ES90" s="1402"/>
      <c r="ET90" s="1402"/>
      <c r="EU90" s="1402"/>
      <c r="EV90" s="1390"/>
      <c r="EW90" s="1402"/>
      <c r="EX90" s="1402"/>
      <c r="EY90" s="1402"/>
      <c r="EZ90" s="1402"/>
      <c r="FA90" s="1402"/>
      <c r="FB90" s="1402"/>
      <c r="FC90" s="1402"/>
      <c r="FD90" s="1402"/>
      <c r="FE90" s="1402"/>
      <c r="FF90" s="1402"/>
      <c r="FG90" s="1402"/>
      <c r="FH90" s="1402"/>
      <c r="FI90" s="1402"/>
      <c r="FJ90" s="1402"/>
      <c r="FK90" s="1402"/>
      <c r="FL90" s="1402"/>
      <c r="FM90" s="1402"/>
      <c r="FN90" s="1402"/>
      <c r="FO90" s="1402"/>
      <c r="FP90" s="1402"/>
      <c r="FQ90" s="1390"/>
      <c r="FR90" s="1402"/>
      <c r="FS90" s="1402"/>
      <c r="FT90" s="1402"/>
      <c r="FU90" s="1402"/>
      <c r="FV90" s="1402"/>
      <c r="FW90" s="1402"/>
      <c r="FX90" s="1390"/>
      <c r="FY90" s="1402"/>
      <c r="FZ90" s="1402"/>
      <c r="GA90" s="1402"/>
      <c r="GB90" s="1402"/>
      <c r="GC90" s="1402"/>
      <c r="GD90" s="1402"/>
      <c r="GE90" s="1402"/>
      <c r="GF90" s="1402"/>
      <c r="GG90" s="1402"/>
      <c r="GH90" s="1390"/>
      <c r="GI90" s="1390"/>
      <c r="GJ90" s="1390"/>
      <c r="GK90" s="1402"/>
      <c r="GL90" s="1402"/>
      <c r="GM90" s="1402"/>
      <c r="GN90" s="1402"/>
      <c r="GO90" s="1402"/>
      <c r="GP90" s="1402"/>
      <c r="GQ90" s="1402"/>
      <c r="GR90" s="1402"/>
      <c r="GS90" s="1390"/>
      <c r="GT90" s="1390"/>
      <c r="GU90" s="1390"/>
      <c r="GV90" s="1402"/>
      <c r="GW90" s="1402"/>
      <c r="GX90" s="1390"/>
      <c r="GY90" s="1402"/>
      <c r="GZ90" s="1390"/>
      <c r="HA90" s="1390"/>
      <c r="HB90" s="1402"/>
      <c r="HC90" s="1402"/>
      <c r="HD90" s="1402"/>
      <c r="HE90" s="1402"/>
      <c r="HF90" s="1390"/>
      <c r="HG90" s="1390"/>
      <c r="HH90" s="1402"/>
      <c r="HI90" s="1402"/>
      <c r="HJ90" s="1402"/>
      <c r="HK90" s="1402"/>
      <c r="HL90" s="1402"/>
      <c r="HM90" s="1402"/>
      <c r="HN90" s="1402"/>
      <c r="HO90" s="1402"/>
      <c r="HP90" s="1402"/>
      <c r="HQ90" s="1402"/>
      <c r="HR90" s="1402"/>
      <c r="HS90" s="1402"/>
      <c r="HT90" s="1402"/>
      <c r="HU90" s="1402"/>
      <c r="HV90" s="1402"/>
      <c r="HW90" s="1402"/>
      <c r="HX90" s="1402"/>
      <c r="HY90" s="1402"/>
      <c r="HZ90" s="1402"/>
      <c r="IA90" s="1402"/>
      <c r="IB90" s="1402"/>
      <c r="IC90" s="1402"/>
      <c r="ID90" s="1402"/>
      <c r="IE90" s="1402"/>
      <c r="IF90" s="1402"/>
      <c r="IG90" s="1402"/>
      <c r="IH90" s="1402"/>
      <c r="II90" s="1402"/>
      <c r="IJ90" s="1402"/>
      <c r="IK90" s="1402"/>
      <c r="IL90" s="1402"/>
      <c r="IM90" s="1402"/>
      <c r="IN90" s="1402"/>
      <c r="IO90" s="1402"/>
      <c r="IP90" s="1402"/>
      <c r="IQ90" s="1402"/>
      <c r="IR90" s="1402"/>
      <c r="IS90" s="1402"/>
      <c r="IT90" s="1402"/>
      <c r="IU90" s="1402"/>
      <c r="IV90" s="1402"/>
      <c r="IW90" s="1402"/>
      <c r="IX90" s="1402"/>
      <c r="IY90" s="1402"/>
      <c r="IZ90" s="1402"/>
      <c r="JA90" s="1402"/>
      <c r="JB90" s="1402"/>
      <c r="JC90" s="1402"/>
      <c r="JD90" s="1402"/>
      <c r="JE90" s="1402"/>
      <c r="JF90" s="1402"/>
      <c r="JG90" s="1402"/>
      <c r="JH90" s="1402"/>
      <c r="JI90" s="1402"/>
      <c r="JJ90" s="1402"/>
      <c r="JK90" s="1402"/>
      <c r="JL90" s="1402"/>
      <c r="JM90" s="1402"/>
      <c r="JN90" s="1402"/>
      <c r="JO90" s="1402"/>
      <c r="JP90" s="1402"/>
      <c r="JQ90" s="1403"/>
      <c r="JR90" s="351"/>
      <c r="JS90" s="1400"/>
    </row>
    <row r="91" spans="1:279" x14ac:dyDescent="0.25">
      <c r="A91" s="1367">
        <v>5</v>
      </c>
      <c r="B91" s="1368" t="str">
        <f t="shared" si="9"/>
        <v/>
      </c>
      <c r="C91" s="1359" t="s">
        <v>2558</v>
      </c>
      <c r="D91" s="1360" t="s">
        <v>2559</v>
      </c>
      <c r="E91" s="1390"/>
      <c r="F91" s="1390"/>
      <c r="G91" s="1390"/>
      <c r="H91" s="1390"/>
      <c r="I91" s="1390"/>
      <c r="J91" s="1390"/>
      <c r="K91" s="1390"/>
      <c r="L91" s="1390"/>
      <c r="M91" s="1390"/>
      <c r="N91" s="1390"/>
      <c r="O91" s="1390"/>
      <c r="P91" s="1390"/>
      <c r="Q91" s="1390"/>
      <c r="R91" s="1390"/>
      <c r="S91" s="1390"/>
      <c r="T91" s="1390"/>
      <c r="U91" s="1390"/>
      <c r="V91" s="1390"/>
      <c r="W91" s="1390"/>
      <c r="X91" s="1390"/>
      <c r="Y91" s="1390"/>
      <c r="Z91" s="1390"/>
      <c r="AA91" s="1390"/>
      <c r="AB91" s="1390"/>
      <c r="AC91" s="1390"/>
      <c r="AD91" s="1390"/>
      <c r="AE91" s="1390"/>
      <c r="AF91" s="1390"/>
      <c r="AG91" s="1390"/>
      <c r="AH91" s="1390"/>
      <c r="AI91" s="1390"/>
      <c r="AJ91" s="1390"/>
      <c r="AK91" s="1390"/>
      <c r="AL91" s="1390"/>
      <c r="AM91" s="1390"/>
      <c r="AN91" s="1390"/>
      <c r="AO91" s="1390"/>
      <c r="AP91" s="1390"/>
      <c r="AQ91" s="1390"/>
      <c r="AR91" s="1390"/>
      <c r="AS91" s="1390"/>
      <c r="AT91" s="1390"/>
      <c r="AU91" s="1390"/>
      <c r="AV91" s="1390"/>
      <c r="AW91" s="1390"/>
      <c r="AX91" s="1390"/>
      <c r="AY91" s="1390"/>
      <c r="AZ91" s="1390"/>
      <c r="BA91" s="1390"/>
      <c r="BB91" s="1390"/>
      <c r="BC91" s="1390"/>
      <c r="BD91" s="1390"/>
      <c r="BE91" s="1390"/>
      <c r="BF91" s="1390"/>
      <c r="BG91" s="1390"/>
      <c r="BH91" s="1390"/>
      <c r="BI91" s="1390"/>
      <c r="BJ91" s="1390"/>
      <c r="BK91" s="1390"/>
      <c r="BL91" s="1390"/>
      <c r="BM91" s="1390"/>
      <c r="BN91" s="1390"/>
      <c r="BO91" s="1390"/>
      <c r="BP91" s="1390"/>
      <c r="BQ91" s="1390"/>
      <c r="BR91" s="1390"/>
      <c r="BS91" s="1390"/>
      <c r="BT91" s="1390"/>
      <c r="BU91" s="1390"/>
      <c r="BV91" s="1390"/>
      <c r="BW91" s="1390"/>
      <c r="BX91" s="1390"/>
      <c r="BY91" s="1390"/>
      <c r="BZ91" s="1390"/>
      <c r="CA91" s="1390"/>
      <c r="CB91" s="1390"/>
      <c r="CC91" s="1402"/>
      <c r="CD91" s="1402"/>
      <c r="CE91" s="1402"/>
      <c r="CF91" s="1402"/>
      <c r="CG91" s="1402"/>
      <c r="CH91" s="1402"/>
      <c r="CI91" s="1402"/>
      <c r="CJ91" s="1402"/>
      <c r="CK91" s="1402"/>
      <c r="CL91" s="1402"/>
      <c r="CM91" s="1402"/>
      <c r="CN91" s="1390"/>
      <c r="CO91" s="1402"/>
      <c r="CP91" s="1402"/>
      <c r="CQ91" s="1402"/>
      <c r="CR91" s="1402"/>
      <c r="CS91" s="1402"/>
      <c r="CT91" s="1402"/>
      <c r="CU91" s="1402"/>
      <c r="CV91" s="1402"/>
      <c r="CW91" s="1402"/>
      <c r="CX91" s="1402"/>
      <c r="CY91" s="1402"/>
      <c r="CZ91" s="1402"/>
      <c r="DA91" s="1402"/>
      <c r="DB91" s="1402"/>
      <c r="DC91" s="1402"/>
      <c r="DD91" s="1402"/>
      <c r="DE91" s="1402"/>
      <c r="DF91" s="1402"/>
      <c r="DG91" s="1402"/>
      <c r="DH91" s="1402"/>
      <c r="DI91" s="1402"/>
      <c r="DJ91" s="1402"/>
      <c r="DK91" s="1402"/>
      <c r="DL91" s="1402"/>
      <c r="DM91" s="1402"/>
      <c r="DN91" s="1402"/>
      <c r="DO91" s="1402"/>
      <c r="DP91" s="1402"/>
      <c r="DQ91" s="1402"/>
      <c r="DR91" s="1402"/>
      <c r="DS91" s="1402"/>
      <c r="DT91" s="1402"/>
      <c r="DU91" s="1402"/>
      <c r="DV91" s="1402"/>
      <c r="DW91" s="1390"/>
      <c r="DX91" s="1402"/>
      <c r="DY91" s="1402"/>
      <c r="DZ91" s="1402"/>
      <c r="EA91" s="1402"/>
      <c r="EB91" s="1402"/>
      <c r="EC91" s="1402"/>
      <c r="ED91" s="1402"/>
      <c r="EE91" s="1402"/>
      <c r="EF91" s="1402"/>
      <c r="EG91" s="1402"/>
      <c r="EH91" s="1402"/>
      <c r="EI91" s="1402"/>
      <c r="EJ91" s="1402"/>
      <c r="EK91" s="1402"/>
      <c r="EL91" s="1402"/>
      <c r="EM91" s="1390"/>
      <c r="EN91" s="1390"/>
      <c r="EO91" s="1390"/>
      <c r="EP91" s="1390"/>
      <c r="EQ91" s="1402"/>
      <c r="ER91" s="1402"/>
      <c r="ES91" s="1402"/>
      <c r="ET91" s="1402"/>
      <c r="EU91" s="1402"/>
      <c r="EV91" s="1390"/>
      <c r="EW91" s="1402"/>
      <c r="EX91" s="1402"/>
      <c r="EY91" s="1402"/>
      <c r="EZ91" s="1402"/>
      <c r="FA91" s="1402"/>
      <c r="FB91" s="1402"/>
      <c r="FC91" s="1402"/>
      <c r="FD91" s="1402"/>
      <c r="FE91" s="1402"/>
      <c r="FF91" s="1402"/>
      <c r="FG91" s="1402"/>
      <c r="FH91" s="1402"/>
      <c r="FI91" s="1402"/>
      <c r="FJ91" s="1402"/>
      <c r="FK91" s="1402"/>
      <c r="FL91" s="1402"/>
      <c r="FM91" s="1402"/>
      <c r="FN91" s="1402"/>
      <c r="FO91" s="1402"/>
      <c r="FP91" s="1402"/>
      <c r="FQ91" s="1390"/>
      <c r="FR91" s="1402"/>
      <c r="FS91" s="1402"/>
      <c r="FT91" s="1402"/>
      <c r="FU91" s="1402"/>
      <c r="FV91" s="1402"/>
      <c r="FW91" s="1402"/>
      <c r="FX91" s="1390"/>
      <c r="FY91" s="1402"/>
      <c r="FZ91" s="1402"/>
      <c r="GA91" s="1402"/>
      <c r="GB91" s="1402"/>
      <c r="GC91" s="1402"/>
      <c r="GD91" s="1402"/>
      <c r="GE91" s="1402"/>
      <c r="GF91" s="1402"/>
      <c r="GG91" s="1402"/>
      <c r="GH91" s="1390"/>
      <c r="GI91" s="1390"/>
      <c r="GJ91" s="1390"/>
      <c r="GK91" s="1402"/>
      <c r="GL91" s="1402"/>
      <c r="GM91" s="1402"/>
      <c r="GN91" s="1402"/>
      <c r="GO91" s="1402"/>
      <c r="GP91" s="1402"/>
      <c r="GQ91" s="1402"/>
      <c r="GR91" s="1402"/>
      <c r="GS91" s="1390"/>
      <c r="GT91" s="1390"/>
      <c r="GU91" s="1390"/>
      <c r="GV91" s="1402"/>
      <c r="GW91" s="1402"/>
      <c r="GX91" s="1390"/>
      <c r="GY91" s="1402"/>
      <c r="GZ91" s="1390"/>
      <c r="HA91" s="1390"/>
      <c r="HB91" s="1402"/>
      <c r="HC91" s="1402"/>
      <c r="HD91" s="1402"/>
      <c r="HE91" s="1402"/>
      <c r="HF91" s="1390"/>
      <c r="HG91" s="1390"/>
      <c r="HH91" s="1402"/>
      <c r="HI91" s="1402"/>
      <c r="HJ91" s="1402"/>
      <c r="HK91" s="1402"/>
      <c r="HL91" s="1402"/>
      <c r="HM91" s="1402"/>
      <c r="HN91" s="1402"/>
      <c r="HO91" s="1402"/>
      <c r="HP91" s="1402"/>
      <c r="HQ91" s="1402"/>
      <c r="HR91" s="1402"/>
      <c r="HS91" s="1402"/>
      <c r="HT91" s="1402"/>
      <c r="HU91" s="1402"/>
      <c r="HV91" s="1402"/>
      <c r="HW91" s="1402"/>
      <c r="HX91" s="1402"/>
      <c r="HY91" s="1402"/>
      <c r="HZ91" s="1402"/>
      <c r="IA91" s="1402"/>
      <c r="IB91" s="1402"/>
      <c r="IC91" s="1402"/>
      <c r="ID91" s="1402"/>
      <c r="IE91" s="1402"/>
      <c r="IF91" s="1402"/>
      <c r="IG91" s="1402"/>
      <c r="IH91" s="1402"/>
      <c r="II91" s="1402"/>
      <c r="IJ91" s="1402"/>
      <c r="IK91" s="1402"/>
      <c r="IL91" s="1402"/>
      <c r="IM91" s="1402"/>
      <c r="IN91" s="1402"/>
      <c r="IO91" s="1402"/>
      <c r="IP91" s="1402"/>
      <c r="IQ91" s="1402"/>
      <c r="IR91" s="1402"/>
      <c r="IS91" s="1402"/>
      <c r="IT91" s="1402"/>
      <c r="IU91" s="1402"/>
      <c r="IV91" s="1402"/>
      <c r="IW91" s="1402"/>
      <c r="IX91" s="1402"/>
      <c r="IY91" s="1402"/>
      <c r="IZ91" s="1402"/>
      <c r="JA91" s="1402"/>
      <c r="JB91" s="1402"/>
      <c r="JC91" s="1402"/>
      <c r="JD91" s="1402"/>
      <c r="JE91" s="1402"/>
      <c r="JF91" s="1402"/>
      <c r="JG91" s="1402"/>
      <c r="JH91" s="1402"/>
      <c r="JI91" s="1402"/>
      <c r="JJ91" s="1402"/>
      <c r="JK91" s="1402"/>
      <c r="JL91" s="1402"/>
      <c r="JM91" s="1402"/>
      <c r="JN91" s="1402"/>
      <c r="JO91" s="1402"/>
      <c r="JP91" s="1402"/>
      <c r="JQ91" s="1403"/>
      <c r="JR91" s="351"/>
      <c r="JS91" s="1400" t="s">
        <v>2560</v>
      </c>
    </row>
    <row r="92" spans="1:279" x14ac:dyDescent="0.25">
      <c r="A92" s="1367">
        <v>6</v>
      </c>
      <c r="B92" s="1368" t="str">
        <f t="shared" si="9"/>
        <v/>
      </c>
      <c r="C92" s="1359" t="s">
        <v>2561</v>
      </c>
      <c r="D92" s="1360" t="str">
        <f>"Tax year for which you are claiming relief in box 3, for example, "&amp;last_year&amp;" YYYY YY"</f>
        <v>Tax year for which you are claiming relief in box 3, for example, 2024-25 YYYY YY</v>
      </c>
      <c r="E92" s="1355"/>
      <c r="F92" s="1355"/>
      <c r="G92" s="1355"/>
      <c r="H92" s="1355"/>
      <c r="I92" s="1355"/>
      <c r="J92" s="1355"/>
      <c r="K92" s="1355"/>
      <c r="L92" s="1355"/>
      <c r="M92" s="1355"/>
      <c r="N92" s="1355"/>
      <c r="O92" s="1355"/>
      <c r="P92" s="1355"/>
      <c r="Q92" s="1355"/>
      <c r="R92" s="1355"/>
      <c r="S92" s="1355"/>
      <c r="T92" s="1355"/>
      <c r="U92" s="1355"/>
      <c r="V92" s="1355"/>
      <c r="W92" s="1355"/>
      <c r="X92" s="1355"/>
      <c r="Y92" s="1355"/>
      <c r="Z92" s="1355"/>
      <c r="AA92" s="1355"/>
      <c r="AB92" s="1355"/>
      <c r="AC92" s="1355"/>
      <c r="AD92" s="1355"/>
      <c r="AE92" s="1355"/>
      <c r="AF92" s="1355"/>
      <c r="AG92" s="1355"/>
      <c r="AH92" s="1355"/>
      <c r="AI92" s="1355"/>
      <c r="AJ92" s="1355"/>
      <c r="AK92" s="1355"/>
      <c r="AL92" s="1355"/>
      <c r="AM92" s="1355"/>
      <c r="AN92" s="1355"/>
      <c r="AO92" s="1355"/>
      <c r="AP92" s="1355"/>
      <c r="AQ92" s="1355"/>
      <c r="AR92" s="1355"/>
      <c r="AS92" s="1355"/>
      <c r="AT92" s="1355"/>
      <c r="AU92" s="1355"/>
      <c r="AV92" s="1355"/>
      <c r="AW92" s="1355"/>
      <c r="AX92" s="1355"/>
      <c r="AY92" s="1355"/>
      <c r="AZ92" s="1355"/>
      <c r="BA92" s="1355"/>
      <c r="BB92" s="1355"/>
      <c r="BC92" s="1355"/>
      <c r="BD92" s="1355"/>
      <c r="BE92" s="1355"/>
      <c r="BF92" s="1355"/>
      <c r="BG92" s="1355"/>
      <c r="BH92" s="1355"/>
      <c r="BI92" s="1355"/>
      <c r="BJ92" s="1355"/>
      <c r="BK92" s="1355"/>
      <c r="BL92" s="1355"/>
      <c r="BM92" s="1355"/>
      <c r="BN92" s="1355"/>
      <c r="BO92" s="1355"/>
      <c r="BP92" s="1355"/>
      <c r="BQ92" s="1355"/>
      <c r="BR92" s="1355"/>
      <c r="BS92" s="1355"/>
      <c r="BT92" s="1355"/>
      <c r="BU92" s="1355"/>
      <c r="BV92" s="1355"/>
      <c r="BW92" s="1355"/>
      <c r="BX92" s="1355"/>
      <c r="BY92" s="1355"/>
      <c r="BZ92" s="1355"/>
      <c r="CA92" s="1355"/>
      <c r="CB92" s="1355"/>
      <c r="CC92" s="1411"/>
      <c r="CD92" s="1411"/>
      <c r="CE92" s="1411"/>
      <c r="CF92" s="1411"/>
      <c r="CG92" s="1411"/>
      <c r="CH92" s="1411"/>
      <c r="CI92" s="1411"/>
      <c r="CJ92" s="1411"/>
      <c r="CK92" s="1411"/>
      <c r="CL92" s="1411"/>
      <c r="CM92" s="1411"/>
      <c r="CN92" s="1355"/>
      <c r="CO92" s="1411"/>
      <c r="CP92" s="1411"/>
      <c r="CQ92" s="1411"/>
      <c r="CR92" s="1411"/>
      <c r="CS92" s="1411"/>
      <c r="CT92" s="1411"/>
      <c r="CU92" s="1411"/>
      <c r="CV92" s="1411"/>
      <c r="CW92" s="1411"/>
      <c r="CX92" s="1411"/>
      <c r="CY92" s="1411"/>
      <c r="CZ92" s="1411"/>
      <c r="DA92" s="1411"/>
      <c r="DB92" s="1411"/>
      <c r="DC92" s="1411"/>
      <c r="DD92" s="1411"/>
      <c r="DE92" s="1411"/>
      <c r="DF92" s="1411"/>
      <c r="DG92" s="1411"/>
      <c r="DH92" s="1411"/>
      <c r="DI92" s="1411"/>
      <c r="DJ92" s="1411"/>
      <c r="DK92" s="1411"/>
      <c r="DL92" s="1411"/>
      <c r="DM92" s="1411"/>
      <c r="DN92" s="1411"/>
      <c r="DO92" s="1411"/>
      <c r="DP92" s="1411"/>
      <c r="DQ92" s="1411"/>
      <c r="DR92" s="1411"/>
      <c r="DS92" s="1411"/>
      <c r="DT92" s="1411"/>
      <c r="DU92" s="1411"/>
      <c r="DV92" s="1411"/>
      <c r="DW92" s="1422"/>
      <c r="DX92" s="1411"/>
      <c r="DY92" s="1411"/>
      <c r="DZ92" s="1411"/>
      <c r="EA92" s="1411"/>
      <c r="EB92" s="1411"/>
      <c r="EC92" s="1411"/>
      <c r="ED92" s="1411"/>
      <c r="EE92" s="1411"/>
      <c r="EF92" s="1411"/>
      <c r="EG92" s="1411"/>
      <c r="EH92" s="1411"/>
      <c r="EI92" s="1411"/>
      <c r="EJ92" s="1411"/>
      <c r="EK92" s="1411"/>
      <c r="EL92" s="1411"/>
      <c r="EM92" s="1355"/>
      <c r="EN92" s="1355"/>
      <c r="EO92" s="1355"/>
      <c r="EP92" s="1355"/>
      <c r="EQ92" s="1411"/>
      <c r="ER92" s="1411"/>
      <c r="ES92" s="1411"/>
      <c r="ET92" s="1411"/>
      <c r="EU92" s="1411"/>
      <c r="EV92" s="1355"/>
      <c r="EW92" s="1411"/>
      <c r="EX92" s="1411"/>
      <c r="EY92" s="1411"/>
      <c r="EZ92" s="1411"/>
      <c r="FA92" s="1411"/>
      <c r="FB92" s="1411"/>
      <c r="FC92" s="1411"/>
      <c r="FD92" s="1411"/>
      <c r="FE92" s="1411"/>
      <c r="FF92" s="1411"/>
      <c r="FG92" s="1411"/>
      <c r="FH92" s="1411"/>
      <c r="FI92" s="1411"/>
      <c r="FJ92" s="1411"/>
      <c r="FK92" s="1411"/>
      <c r="FL92" s="1411"/>
      <c r="FM92" s="1411"/>
      <c r="FN92" s="1411"/>
      <c r="FO92" s="1411"/>
      <c r="FP92" s="1411"/>
      <c r="FQ92" s="1355"/>
      <c r="FR92" s="1411"/>
      <c r="FS92" s="1411"/>
      <c r="FT92" s="1411"/>
      <c r="FU92" s="1411"/>
      <c r="FV92" s="1411"/>
      <c r="FW92" s="1411"/>
      <c r="FX92" s="1355"/>
      <c r="FY92" s="1411"/>
      <c r="FZ92" s="1411"/>
      <c r="GA92" s="1411"/>
      <c r="GB92" s="1411"/>
      <c r="GC92" s="1411"/>
      <c r="GD92" s="1411"/>
      <c r="GE92" s="1411"/>
      <c r="GF92" s="1411"/>
      <c r="GG92" s="1411"/>
      <c r="GH92" s="1355"/>
      <c r="GI92" s="1355"/>
      <c r="GJ92" s="1355"/>
      <c r="GK92" s="1411"/>
      <c r="GL92" s="1411"/>
      <c r="GM92" s="1411"/>
      <c r="GN92" s="1411"/>
      <c r="GO92" s="1411"/>
      <c r="GP92" s="1411"/>
      <c r="GQ92" s="1411"/>
      <c r="GR92" s="1411"/>
      <c r="GS92" s="1355"/>
      <c r="GT92" s="1355"/>
      <c r="GU92" s="1355"/>
      <c r="GV92" s="1411"/>
      <c r="GW92" s="1411"/>
      <c r="GX92" s="1355"/>
      <c r="GY92" s="1411"/>
      <c r="GZ92" s="1355"/>
      <c r="HA92" s="1355"/>
      <c r="HB92" s="1411"/>
      <c r="HC92" s="1411"/>
      <c r="HD92" s="1411"/>
      <c r="HE92" s="1411"/>
      <c r="HF92" s="1355"/>
      <c r="HG92" s="1355"/>
      <c r="HH92" s="1411"/>
      <c r="HI92" s="1411"/>
      <c r="HJ92" s="1411"/>
      <c r="HK92" s="1411"/>
      <c r="HL92" s="1411"/>
      <c r="HM92" s="1411"/>
      <c r="HN92" s="1411"/>
      <c r="HO92" s="1411"/>
      <c r="HP92" s="1411"/>
      <c r="HQ92" s="1411"/>
      <c r="HR92" s="1411"/>
      <c r="HS92" s="1411"/>
      <c r="HT92" s="1411"/>
      <c r="HU92" s="1411"/>
      <c r="HV92" s="1411"/>
      <c r="HW92" s="1411"/>
      <c r="HX92" s="1411"/>
      <c r="HY92" s="1411"/>
      <c r="HZ92" s="1411"/>
      <c r="IA92" s="1411"/>
      <c r="IB92" s="1411"/>
      <c r="IC92" s="1411"/>
      <c r="ID92" s="1411"/>
      <c r="IE92" s="1411"/>
      <c r="IF92" s="1411"/>
      <c r="IG92" s="1411"/>
      <c r="IH92" s="1411"/>
      <c r="II92" s="1411"/>
      <c r="IJ92" s="1411"/>
      <c r="IK92" s="1411"/>
      <c r="IL92" s="1411"/>
      <c r="IM92" s="1411"/>
      <c r="IN92" s="1411"/>
      <c r="IO92" s="1411"/>
      <c r="IP92" s="1411"/>
      <c r="IQ92" s="1411"/>
      <c r="IR92" s="1411"/>
      <c r="IS92" s="1411"/>
      <c r="IT92" s="1411"/>
      <c r="IU92" s="1411"/>
      <c r="IV92" s="1411"/>
      <c r="IW92" s="1411"/>
      <c r="IX92" s="1411"/>
      <c r="IY92" s="1411"/>
      <c r="IZ92" s="1411"/>
      <c r="JA92" s="1411"/>
      <c r="JB92" s="1411"/>
      <c r="JC92" s="1411"/>
      <c r="JD92" s="1411"/>
      <c r="JE92" s="1411"/>
      <c r="JF92" s="1411"/>
      <c r="JG92" s="1411"/>
      <c r="JH92" s="1411"/>
      <c r="JI92" s="1411"/>
      <c r="JJ92" s="1411"/>
      <c r="JK92" s="1411"/>
      <c r="JL92" s="1411"/>
      <c r="JM92" s="1411"/>
      <c r="JN92" s="1411"/>
      <c r="JO92" s="1411"/>
      <c r="JP92" s="1411"/>
      <c r="JQ92" s="1423"/>
      <c r="JR92" s="351"/>
      <c r="JS92" s="1400" t="s">
        <v>2562</v>
      </c>
    </row>
    <row r="93" spans="1:279" x14ac:dyDescent="0.25">
      <c r="A93" s="1367">
        <v>7</v>
      </c>
      <c r="B93" s="1368" t="str">
        <f t="shared" si="9"/>
        <v/>
      </c>
      <c r="C93" s="1359" t="s">
        <v>2563</v>
      </c>
      <c r="D93" s="1360" t="s">
        <v>2564</v>
      </c>
      <c r="E93" s="1379"/>
      <c r="F93" s="1379"/>
      <c r="G93" s="1379"/>
      <c r="H93" s="1379"/>
      <c r="I93" s="1379"/>
      <c r="J93" s="1379"/>
      <c r="K93" s="1379"/>
      <c r="L93" s="1379"/>
      <c r="M93" s="1379"/>
      <c r="N93" s="1379"/>
      <c r="O93" s="1379"/>
      <c r="P93" s="1379"/>
      <c r="Q93" s="1379"/>
      <c r="R93" s="1379"/>
      <c r="S93" s="1379"/>
      <c r="T93" s="1379"/>
      <c r="U93" s="1379"/>
      <c r="V93" s="1379"/>
      <c r="W93" s="1379"/>
      <c r="X93" s="1379"/>
      <c r="Y93" s="1379"/>
      <c r="Z93" s="1379"/>
      <c r="AA93" s="1379"/>
      <c r="AB93" s="1379"/>
      <c r="AC93" s="1379"/>
      <c r="AD93" s="1379"/>
      <c r="AE93" s="1379"/>
      <c r="AF93" s="1379"/>
      <c r="AG93" s="1379"/>
      <c r="AH93" s="1379"/>
      <c r="AI93" s="1379"/>
      <c r="AJ93" s="1379"/>
      <c r="AK93" s="1379"/>
      <c r="AL93" s="1379"/>
      <c r="AM93" s="1379"/>
      <c r="AN93" s="1379"/>
      <c r="AO93" s="1379"/>
      <c r="AP93" s="1379"/>
      <c r="AQ93" s="1379"/>
      <c r="AR93" s="1379"/>
      <c r="AS93" s="1379"/>
      <c r="AT93" s="1379"/>
      <c r="AU93" s="1379"/>
      <c r="AV93" s="1379"/>
      <c r="AW93" s="1379"/>
      <c r="AX93" s="1379"/>
      <c r="AY93" s="1379"/>
      <c r="AZ93" s="1379"/>
      <c r="BA93" s="1379"/>
      <c r="BB93" s="1379"/>
      <c r="BC93" s="1379"/>
      <c r="BD93" s="1379"/>
      <c r="BE93" s="1379"/>
      <c r="BF93" s="1379"/>
      <c r="BG93" s="1379"/>
      <c r="BH93" s="1379"/>
      <c r="BI93" s="1379"/>
      <c r="BJ93" s="1379"/>
      <c r="BK93" s="1379"/>
      <c r="BL93" s="1379"/>
      <c r="BM93" s="1379"/>
      <c r="BN93" s="1379"/>
      <c r="BO93" s="1379"/>
      <c r="BP93" s="1379"/>
      <c r="BQ93" s="1379"/>
      <c r="BR93" s="1379"/>
      <c r="BS93" s="1379"/>
      <c r="BT93" s="1379"/>
      <c r="BU93" s="1379"/>
      <c r="BV93" s="1379"/>
      <c r="BW93" s="1379"/>
      <c r="BX93" s="1379"/>
      <c r="BY93" s="1379"/>
      <c r="BZ93" s="1379"/>
      <c r="CA93" s="1379"/>
      <c r="CB93" s="1379"/>
      <c r="CC93" s="1424"/>
      <c r="CD93" s="1424"/>
      <c r="CE93" s="1424"/>
      <c r="CF93" s="1424"/>
      <c r="CG93" s="1424"/>
      <c r="CH93" s="1424"/>
      <c r="CI93" s="1424"/>
      <c r="CJ93" s="1424"/>
      <c r="CK93" s="1424"/>
      <c r="CL93" s="1424"/>
      <c r="CM93" s="1424"/>
      <c r="CN93" s="1379"/>
      <c r="CO93" s="1424"/>
      <c r="CP93" s="1424"/>
      <c r="CQ93" s="1424"/>
      <c r="CR93" s="1424"/>
      <c r="CS93" s="1424"/>
      <c r="CT93" s="1424"/>
      <c r="CU93" s="1424"/>
      <c r="CV93" s="1424"/>
      <c r="CW93" s="1424"/>
      <c r="CX93" s="1424"/>
      <c r="CY93" s="1424"/>
      <c r="CZ93" s="1424"/>
      <c r="DA93" s="1424"/>
      <c r="DB93" s="1424"/>
      <c r="DC93" s="1424"/>
      <c r="DD93" s="1424"/>
      <c r="DE93" s="1424"/>
      <c r="DF93" s="1424"/>
      <c r="DG93" s="1424"/>
      <c r="DH93" s="1424"/>
      <c r="DI93" s="1424"/>
      <c r="DJ93" s="1424"/>
      <c r="DK93" s="1424"/>
      <c r="DL93" s="1424"/>
      <c r="DM93" s="1424"/>
      <c r="DN93" s="1424"/>
      <c r="DO93" s="1424"/>
      <c r="DP93" s="1424"/>
      <c r="DQ93" s="1424"/>
      <c r="DR93" s="1424"/>
      <c r="DS93" s="1424"/>
      <c r="DT93" s="1424"/>
      <c r="DU93" s="1424"/>
      <c r="DV93" s="1424"/>
      <c r="DW93" s="1379"/>
      <c r="DX93" s="1424"/>
      <c r="DY93" s="1424"/>
      <c r="DZ93" s="1424"/>
      <c r="EA93" s="1424"/>
      <c r="EB93" s="1424"/>
      <c r="EC93" s="1424"/>
      <c r="ED93" s="1424"/>
      <c r="EE93" s="1424"/>
      <c r="EF93" s="1424"/>
      <c r="EG93" s="1424"/>
      <c r="EH93" s="1424"/>
      <c r="EI93" s="1424"/>
      <c r="EJ93" s="1424"/>
      <c r="EK93" s="1424"/>
      <c r="EL93" s="1424"/>
      <c r="EM93" s="1379"/>
      <c r="EN93" s="1379"/>
      <c r="EO93" s="1379"/>
      <c r="EP93" s="1379"/>
      <c r="EQ93" s="1424"/>
      <c r="ER93" s="1424"/>
      <c r="ES93" s="1424"/>
      <c r="ET93" s="1424"/>
      <c r="EU93" s="1424"/>
      <c r="EV93" s="1379"/>
      <c r="EW93" s="1424"/>
      <c r="EX93" s="1424"/>
      <c r="EY93" s="1424"/>
      <c r="EZ93" s="1424"/>
      <c r="FA93" s="1424"/>
      <c r="FB93" s="1424"/>
      <c r="FC93" s="1424"/>
      <c r="FD93" s="1424"/>
      <c r="FE93" s="1424"/>
      <c r="FF93" s="1424"/>
      <c r="FG93" s="1424"/>
      <c r="FH93" s="1424"/>
      <c r="FI93" s="1424"/>
      <c r="FJ93" s="1424"/>
      <c r="FK93" s="1424"/>
      <c r="FL93" s="1424"/>
      <c r="FM93" s="1424"/>
      <c r="FN93" s="1424"/>
      <c r="FO93" s="1424"/>
      <c r="FP93" s="1424"/>
      <c r="FQ93" s="1379"/>
      <c r="FR93" s="1424"/>
      <c r="FS93" s="1424"/>
      <c r="FT93" s="1424"/>
      <c r="FU93" s="1424"/>
      <c r="FV93" s="1424"/>
      <c r="FW93" s="1424"/>
      <c r="FX93" s="1379"/>
      <c r="FY93" s="1424"/>
      <c r="FZ93" s="1424"/>
      <c r="GA93" s="1424"/>
      <c r="GB93" s="1424"/>
      <c r="GC93" s="1424"/>
      <c r="GD93" s="1424"/>
      <c r="GE93" s="1424"/>
      <c r="GF93" s="1424"/>
      <c r="GG93" s="1424"/>
      <c r="GH93" s="1379"/>
      <c r="GI93" s="1379"/>
      <c r="GJ93" s="1379"/>
      <c r="GK93" s="1424"/>
      <c r="GL93" s="1424"/>
      <c r="GM93" s="1424"/>
      <c r="GN93" s="1424"/>
      <c r="GO93" s="1424"/>
      <c r="GP93" s="1424"/>
      <c r="GQ93" s="1424"/>
      <c r="GR93" s="1424"/>
      <c r="GS93" s="1379"/>
      <c r="GT93" s="1379"/>
      <c r="GU93" s="1379"/>
      <c r="GV93" s="1424"/>
      <c r="GW93" s="1424"/>
      <c r="GX93" s="1379">
        <v>12000</v>
      </c>
      <c r="GY93" s="1424"/>
      <c r="GZ93" s="1379"/>
      <c r="HA93" s="1379"/>
      <c r="HB93" s="1424"/>
      <c r="HC93" s="1424"/>
      <c r="HD93" s="1424"/>
      <c r="HE93" s="1424"/>
      <c r="HF93" s="1379"/>
      <c r="HG93" s="1379"/>
      <c r="HH93" s="1424"/>
      <c r="HI93" s="1424"/>
      <c r="HJ93" s="1424"/>
      <c r="HK93" s="1424"/>
      <c r="HL93" s="1424"/>
      <c r="HM93" s="1424"/>
      <c r="HN93" s="1424"/>
      <c r="HO93" s="1424"/>
      <c r="HP93" s="1424"/>
      <c r="HQ93" s="1424"/>
      <c r="HR93" s="1424"/>
      <c r="HS93" s="1424"/>
      <c r="HT93" s="1424"/>
      <c r="HU93" s="1424"/>
      <c r="HV93" s="1424"/>
      <c r="HW93" s="1424"/>
      <c r="HX93" s="1424"/>
      <c r="HY93" s="1424"/>
      <c r="HZ93" s="1424"/>
      <c r="IA93" s="1424"/>
      <c r="IB93" s="1424"/>
      <c r="IC93" s="1424"/>
      <c r="ID93" s="1424"/>
      <c r="IE93" s="1424"/>
      <c r="IF93" s="1424"/>
      <c r="IG93" s="1424"/>
      <c r="IH93" s="1424"/>
      <c r="II93" s="1424"/>
      <c r="IJ93" s="1424"/>
      <c r="IK93" s="1424"/>
      <c r="IL93" s="1424"/>
      <c r="IM93" s="1424"/>
      <c r="IN93" s="1424"/>
      <c r="IO93" s="1424"/>
      <c r="IP93" s="1424"/>
      <c r="IQ93" s="1424"/>
      <c r="IR93" s="1424"/>
      <c r="IS93" s="1424"/>
      <c r="IT93" s="1424"/>
      <c r="IU93" s="1424"/>
      <c r="IV93" s="1424"/>
      <c r="IW93" s="1424"/>
      <c r="IX93" s="1424"/>
      <c r="IY93" s="1424"/>
      <c r="IZ93" s="1424"/>
      <c r="JA93" s="1424"/>
      <c r="JB93" s="1424"/>
      <c r="JC93" s="1424"/>
      <c r="JD93" s="1424"/>
      <c r="JE93" s="1424"/>
      <c r="JF93" s="1424"/>
      <c r="JG93" s="1424"/>
      <c r="JH93" s="1424"/>
      <c r="JI93" s="1424"/>
      <c r="JJ93" s="1424"/>
      <c r="JK93" s="1424"/>
      <c r="JL93" s="1424"/>
      <c r="JM93" s="1424"/>
      <c r="JN93" s="1424"/>
      <c r="JO93" s="1424"/>
      <c r="JP93" s="1424"/>
      <c r="JQ93" s="1415"/>
      <c r="JR93" s="351"/>
      <c r="JS93" s="1400"/>
    </row>
    <row r="94" spans="1:279" x14ac:dyDescent="0.25">
      <c r="A94" s="1367">
        <v>8</v>
      </c>
      <c r="B94" s="1368" t="str">
        <f t="shared" si="9"/>
        <v/>
      </c>
      <c r="C94" s="1359" t="s">
        <v>2565</v>
      </c>
      <c r="D94" s="1360" t="s">
        <v>2566</v>
      </c>
      <c r="E94" s="1379"/>
      <c r="F94" s="1379"/>
      <c r="G94" s="1379"/>
      <c r="H94" s="1379"/>
      <c r="I94" s="1379"/>
      <c r="J94" s="1379"/>
      <c r="K94" s="1379"/>
      <c r="L94" s="1379"/>
      <c r="M94" s="1379"/>
      <c r="N94" s="1379"/>
      <c r="O94" s="1379"/>
      <c r="P94" s="1379"/>
      <c r="Q94" s="1379"/>
      <c r="R94" s="1379"/>
      <c r="S94" s="1379"/>
      <c r="T94" s="1379"/>
      <c r="U94" s="1379"/>
      <c r="V94" s="1379"/>
      <c r="W94" s="1379"/>
      <c r="X94" s="1379"/>
      <c r="Y94" s="1379"/>
      <c r="Z94" s="1379"/>
      <c r="AA94" s="1379"/>
      <c r="AB94" s="1379"/>
      <c r="AC94" s="1379"/>
      <c r="AD94" s="1379"/>
      <c r="AE94" s="1379"/>
      <c r="AF94" s="1379"/>
      <c r="AG94" s="1379"/>
      <c r="AH94" s="1379"/>
      <c r="AI94" s="1379"/>
      <c r="AJ94" s="1379"/>
      <c r="AK94" s="1379"/>
      <c r="AL94" s="1379"/>
      <c r="AM94" s="1379"/>
      <c r="AN94" s="1379"/>
      <c r="AO94" s="1379"/>
      <c r="AP94" s="1379"/>
      <c r="AQ94" s="1379"/>
      <c r="AR94" s="1379"/>
      <c r="AS94" s="1379"/>
      <c r="AT94" s="1379"/>
      <c r="AU94" s="1379"/>
      <c r="AV94" s="1379"/>
      <c r="AW94" s="1379"/>
      <c r="AX94" s="1379"/>
      <c r="AY94" s="1379"/>
      <c r="AZ94" s="1379"/>
      <c r="BA94" s="1379"/>
      <c r="BB94" s="1379"/>
      <c r="BC94" s="1379"/>
      <c r="BD94" s="1379"/>
      <c r="BE94" s="1379"/>
      <c r="BF94" s="1379"/>
      <c r="BG94" s="1379"/>
      <c r="BH94" s="1379"/>
      <c r="BI94" s="1379"/>
      <c r="BJ94" s="1379"/>
      <c r="BK94" s="1379"/>
      <c r="BL94" s="1379"/>
      <c r="BM94" s="1379"/>
      <c r="BN94" s="1379"/>
      <c r="BO94" s="1379"/>
      <c r="BP94" s="1379"/>
      <c r="BQ94" s="1379"/>
      <c r="BR94" s="1379"/>
      <c r="BS94" s="1379"/>
      <c r="BT94" s="1379"/>
      <c r="BU94" s="1379"/>
      <c r="BV94" s="1379"/>
      <c r="BW94" s="1379"/>
      <c r="BX94" s="1379"/>
      <c r="BY94" s="1379"/>
      <c r="BZ94" s="1379"/>
      <c r="CA94" s="1379"/>
      <c r="CB94" s="1379"/>
      <c r="CC94" s="1424"/>
      <c r="CD94" s="1424"/>
      <c r="CE94" s="1424"/>
      <c r="CF94" s="1424"/>
      <c r="CG94" s="1424"/>
      <c r="CH94" s="1424"/>
      <c r="CI94" s="1424"/>
      <c r="CJ94" s="1424"/>
      <c r="CK94" s="1424"/>
      <c r="CL94" s="1424"/>
      <c r="CM94" s="1424"/>
      <c r="CN94" s="1379"/>
      <c r="CO94" s="1424"/>
      <c r="CP94" s="1424"/>
      <c r="CQ94" s="1424">
        <v>1415</v>
      </c>
      <c r="CR94" s="1424"/>
      <c r="CS94" s="1424"/>
      <c r="CT94" s="1424"/>
      <c r="CU94" s="1424"/>
      <c r="CV94" s="1424"/>
      <c r="CW94" s="1424"/>
      <c r="CX94" s="1424"/>
      <c r="CY94" s="1424"/>
      <c r="CZ94" s="1424"/>
      <c r="DA94" s="1424"/>
      <c r="DB94" s="1424"/>
      <c r="DC94" s="1424"/>
      <c r="DD94" s="1424"/>
      <c r="DE94" s="1424"/>
      <c r="DF94" s="1424"/>
      <c r="DG94" s="1424"/>
      <c r="DH94" s="1424"/>
      <c r="DI94" s="1424"/>
      <c r="DJ94" s="1424"/>
      <c r="DK94" s="1424"/>
      <c r="DL94" s="1424"/>
      <c r="DM94" s="1424"/>
      <c r="DN94" s="1424"/>
      <c r="DO94" s="1380">
        <v>19857</v>
      </c>
      <c r="DP94" s="1424"/>
      <c r="DQ94" s="1424"/>
      <c r="DR94" s="1424"/>
      <c r="DS94" s="1380">
        <v>19857</v>
      </c>
      <c r="DT94" s="1424"/>
      <c r="DU94" s="1424"/>
      <c r="DV94" s="1424"/>
      <c r="DW94" s="1379"/>
      <c r="DX94" s="1424"/>
      <c r="DY94" s="1424"/>
      <c r="DZ94" s="1424"/>
      <c r="EA94" s="1424"/>
      <c r="EB94" s="1424"/>
      <c r="EC94" s="1424"/>
      <c r="ED94" s="1424"/>
      <c r="EE94" s="1424"/>
      <c r="EF94" s="1424"/>
      <c r="EG94" s="1424"/>
      <c r="EH94" s="1424"/>
      <c r="EI94" s="1424"/>
      <c r="EJ94" s="1424"/>
      <c r="EK94" s="1424"/>
      <c r="EL94" s="1424">
        <v>23000</v>
      </c>
      <c r="EM94" s="1376"/>
      <c r="EN94" s="1376"/>
      <c r="EO94" s="1379"/>
      <c r="EP94" s="1379"/>
      <c r="EQ94" s="1424"/>
      <c r="ER94" s="1424"/>
      <c r="ES94" s="1424"/>
      <c r="ET94" s="1424"/>
      <c r="EU94" s="1424"/>
      <c r="EV94" s="1379"/>
      <c r="EW94" s="1424"/>
      <c r="EX94" s="1424"/>
      <c r="EY94" s="1424"/>
      <c r="EZ94" s="1424"/>
      <c r="FA94" s="1424"/>
      <c r="FB94" s="1424"/>
      <c r="FC94" s="1424"/>
      <c r="FD94" s="1424"/>
      <c r="FE94" s="1424"/>
      <c r="FF94" s="1424"/>
      <c r="FG94" s="1424"/>
      <c r="FH94" s="1424"/>
      <c r="FI94" s="1424"/>
      <c r="FJ94" s="1424"/>
      <c r="FK94" s="1424"/>
      <c r="FL94" s="1424"/>
      <c r="FM94" s="1424"/>
      <c r="FN94" s="1424"/>
      <c r="FO94" s="1424"/>
      <c r="FP94" s="1424"/>
      <c r="FQ94" s="1379"/>
      <c r="FR94" s="1424"/>
      <c r="FS94" s="1424"/>
      <c r="FT94" s="1424"/>
      <c r="FU94" s="1424"/>
      <c r="FV94" s="1424"/>
      <c r="FW94" s="1424"/>
      <c r="FX94" s="1379"/>
      <c r="FY94" s="1424"/>
      <c r="FZ94" s="1424"/>
      <c r="GA94" s="1424"/>
      <c r="GB94" s="1424"/>
      <c r="GC94" s="1424"/>
      <c r="GD94" s="1424"/>
      <c r="GE94" s="1424"/>
      <c r="GF94" s="1424"/>
      <c r="GG94" s="1424"/>
      <c r="GH94" s="1379"/>
      <c r="GI94" s="1379"/>
      <c r="GJ94" s="1379">
        <v>166200</v>
      </c>
      <c r="GK94" s="1424"/>
      <c r="GL94" s="1424"/>
      <c r="GM94" s="1424"/>
      <c r="GN94" s="1424"/>
      <c r="GO94" s="1424"/>
      <c r="GP94" s="1424"/>
      <c r="GQ94" s="1424"/>
      <c r="GR94" s="1424"/>
      <c r="GS94" s="1379"/>
      <c r="GT94" s="1379"/>
      <c r="GU94" s="1379"/>
      <c r="GV94" s="1424"/>
      <c r="GW94" s="1424"/>
      <c r="GX94" s="1379"/>
      <c r="GY94" s="1424"/>
      <c r="GZ94" s="1379">
        <v>15000</v>
      </c>
      <c r="HA94" s="1379">
        <v>15000</v>
      </c>
      <c r="HB94" s="1424"/>
      <c r="HC94" s="1424"/>
      <c r="HD94" s="1424"/>
      <c r="HE94" s="1424"/>
      <c r="HF94" s="1379">
        <v>91415</v>
      </c>
      <c r="HG94" s="1379">
        <v>91415</v>
      </c>
      <c r="HH94" s="1424"/>
      <c r="HI94" s="1424"/>
      <c r="HJ94" s="1424"/>
      <c r="HK94" s="1424"/>
      <c r="HL94" s="1424"/>
      <c r="HM94" s="1424"/>
      <c r="HN94" s="1424"/>
      <c r="HO94" s="1424"/>
      <c r="HP94" s="1424"/>
      <c r="HQ94" s="1424"/>
      <c r="HR94" s="1424"/>
      <c r="HS94" s="1424"/>
      <c r="HT94" s="1424"/>
      <c r="HU94" s="1424"/>
      <c r="HV94" s="1424"/>
      <c r="HW94" s="1424"/>
      <c r="HX94" s="1424"/>
      <c r="HY94" s="1424"/>
      <c r="HZ94" s="1424"/>
      <c r="IA94" s="1424"/>
      <c r="IB94" s="1424"/>
      <c r="IC94" s="1424"/>
      <c r="ID94" s="1424"/>
      <c r="IE94" s="1424"/>
      <c r="IF94" s="1424"/>
      <c r="IG94" s="1424"/>
      <c r="IH94" s="1424"/>
      <c r="II94" s="1424"/>
      <c r="IJ94" s="1424"/>
      <c r="IK94" s="1424"/>
      <c r="IL94" s="1424"/>
      <c r="IM94" s="1424"/>
      <c r="IN94" s="1424"/>
      <c r="IO94" s="1424"/>
      <c r="IP94" s="1424"/>
      <c r="IQ94" s="1424"/>
      <c r="IR94" s="1424"/>
      <c r="IS94" s="1424"/>
      <c r="IT94" s="1424"/>
      <c r="IU94" s="1424"/>
      <c r="IV94" s="1424"/>
      <c r="IW94" s="1424"/>
      <c r="IX94" s="1424"/>
      <c r="IY94" s="1424"/>
      <c r="IZ94" s="1424"/>
      <c r="JA94" s="1424"/>
      <c r="JB94" s="1424"/>
      <c r="JC94" s="1424"/>
      <c r="JD94" s="1424"/>
      <c r="JE94" s="1424"/>
      <c r="JF94" s="1424"/>
      <c r="JG94" s="1424"/>
      <c r="JH94" s="1424"/>
      <c r="JI94" s="1424"/>
      <c r="JJ94" s="1424"/>
      <c r="JK94" s="1424"/>
      <c r="JL94" s="1424"/>
      <c r="JM94" s="1424"/>
      <c r="JN94" s="1424"/>
      <c r="JO94" s="1424"/>
      <c r="JP94" s="1424"/>
      <c r="JQ94" s="1407">
        <v>1880.17</v>
      </c>
      <c r="JR94" s="351"/>
      <c r="JS94" s="1400"/>
    </row>
    <row r="95" spans="1:279" x14ac:dyDescent="0.25">
      <c r="A95" s="1367">
        <v>9</v>
      </c>
      <c r="B95" s="1368" t="str">
        <f t="shared" si="9"/>
        <v/>
      </c>
      <c r="C95" s="1359" t="s">
        <v>2567</v>
      </c>
      <c r="D95" s="1360" t="s">
        <v>2568</v>
      </c>
      <c r="E95" s="1379"/>
      <c r="F95" s="1379"/>
      <c r="G95" s="1379"/>
      <c r="H95" s="1379"/>
      <c r="I95" s="1379"/>
      <c r="J95" s="1379"/>
      <c r="K95" s="1379"/>
      <c r="L95" s="1379"/>
      <c r="M95" s="1379"/>
      <c r="N95" s="1379"/>
      <c r="O95" s="1379"/>
      <c r="P95" s="1379"/>
      <c r="Q95" s="1379"/>
      <c r="R95" s="1379"/>
      <c r="S95" s="1379"/>
      <c r="T95" s="1379"/>
      <c r="U95" s="1379"/>
      <c r="V95" s="1379"/>
      <c r="W95" s="1379"/>
      <c r="X95" s="1379"/>
      <c r="Y95" s="1379"/>
      <c r="Z95" s="1379"/>
      <c r="AA95" s="1379"/>
      <c r="AB95" s="1379"/>
      <c r="AC95" s="1379"/>
      <c r="AD95" s="1379"/>
      <c r="AE95" s="1379"/>
      <c r="AF95" s="1379"/>
      <c r="AG95" s="1379"/>
      <c r="AH95" s="1379"/>
      <c r="AI95" s="1379"/>
      <c r="AJ95" s="1379"/>
      <c r="AK95" s="1379"/>
      <c r="AL95" s="1379"/>
      <c r="AM95" s="1379"/>
      <c r="AN95" s="1379"/>
      <c r="AO95" s="1379"/>
      <c r="AP95" s="1379"/>
      <c r="AQ95" s="1379"/>
      <c r="AR95" s="1379"/>
      <c r="AS95" s="1379"/>
      <c r="AT95" s="1379"/>
      <c r="AU95" s="1379"/>
      <c r="AV95" s="1379"/>
      <c r="AW95" s="1379"/>
      <c r="AX95" s="1379"/>
      <c r="AY95" s="1379"/>
      <c r="AZ95" s="1379"/>
      <c r="BA95" s="1379"/>
      <c r="BB95" s="1379"/>
      <c r="BC95" s="1379"/>
      <c r="BD95" s="1379"/>
      <c r="BE95" s="1379"/>
      <c r="BF95" s="1379"/>
      <c r="BG95" s="1379"/>
      <c r="BH95" s="1379"/>
      <c r="BI95" s="1379"/>
      <c r="BJ95" s="1379"/>
      <c r="BK95" s="1379"/>
      <c r="BL95" s="1379"/>
      <c r="BM95" s="1379"/>
      <c r="BN95" s="1379"/>
      <c r="BO95" s="1379"/>
      <c r="BP95" s="1379"/>
      <c r="BQ95" s="1379"/>
      <c r="BR95" s="1379"/>
      <c r="BS95" s="1379"/>
      <c r="BT95" s="1379"/>
      <c r="BU95" s="1379"/>
      <c r="BV95" s="1379"/>
      <c r="BW95" s="1379"/>
      <c r="BX95" s="1379"/>
      <c r="BY95" s="1379"/>
      <c r="BZ95" s="1379"/>
      <c r="CA95" s="1379"/>
      <c r="CB95" s="1379"/>
      <c r="CC95" s="1424"/>
      <c r="CD95" s="1424"/>
      <c r="CE95" s="1424"/>
      <c r="CF95" s="1424"/>
      <c r="CG95" s="1424"/>
      <c r="CH95" s="1424"/>
      <c r="CI95" s="1424"/>
      <c r="CJ95" s="1424"/>
      <c r="CK95" s="1424"/>
      <c r="CL95" s="1424"/>
      <c r="CM95" s="1424"/>
      <c r="CN95" s="1379"/>
      <c r="CO95" s="1424"/>
      <c r="CP95" s="1424"/>
      <c r="CQ95" s="1424"/>
      <c r="CR95" s="1424"/>
      <c r="CS95" s="1424"/>
      <c r="CT95" s="1424"/>
      <c r="CU95" s="1424"/>
      <c r="CV95" s="1424"/>
      <c r="CW95" s="1424"/>
      <c r="CX95" s="1424"/>
      <c r="CY95" s="1424"/>
      <c r="CZ95" s="1424"/>
      <c r="DA95" s="1424"/>
      <c r="DB95" s="1424"/>
      <c r="DC95" s="1424"/>
      <c r="DD95" s="1424"/>
      <c r="DE95" s="1424"/>
      <c r="DF95" s="1424"/>
      <c r="DG95" s="1424"/>
      <c r="DH95" s="1424"/>
      <c r="DI95" s="1424"/>
      <c r="DJ95" s="1424"/>
      <c r="DK95" s="1424"/>
      <c r="DL95" s="1424"/>
      <c r="DM95" s="1424"/>
      <c r="DN95" s="1424"/>
      <c r="DO95" s="1424"/>
      <c r="DP95" s="1424"/>
      <c r="DQ95" s="1424"/>
      <c r="DR95" s="1424"/>
      <c r="DS95" s="1424"/>
      <c r="DT95" s="1424"/>
      <c r="DU95" s="1424"/>
      <c r="DV95" s="1424"/>
      <c r="DW95" s="1379"/>
      <c r="DX95" s="1424"/>
      <c r="DY95" s="1424"/>
      <c r="DZ95" s="1424"/>
      <c r="EA95" s="1424"/>
      <c r="EB95" s="1424"/>
      <c r="EC95" s="1424"/>
      <c r="ED95" s="1424"/>
      <c r="EE95" s="1424"/>
      <c r="EF95" s="1424"/>
      <c r="EG95" s="1424"/>
      <c r="EH95" s="1424"/>
      <c r="EI95" s="1424"/>
      <c r="EJ95" s="1424"/>
      <c r="EK95" s="1424"/>
      <c r="EL95" s="1424">
        <v>0</v>
      </c>
      <c r="EM95" s="1376"/>
      <c r="EN95" s="1376"/>
      <c r="EO95" s="1379"/>
      <c r="EP95" s="1379"/>
      <c r="EQ95" s="1424"/>
      <c r="ER95" s="1424"/>
      <c r="ES95" s="1424"/>
      <c r="ET95" s="1424"/>
      <c r="EU95" s="1424"/>
      <c r="EV95" s="1379"/>
      <c r="EW95" s="1424"/>
      <c r="EX95" s="1424"/>
      <c r="EY95" s="1424"/>
      <c r="EZ95" s="1424"/>
      <c r="FA95" s="1424"/>
      <c r="FB95" s="1424"/>
      <c r="FC95" s="1424"/>
      <c r="FD95" s="1424"/>
      <c r="FE95" s="1424"/>
      <c r="FF95" s="1424"/>
      <c r="FG95" s="1424"/>
      <c r="FH95" s="1424"/>
      <c r="FI95" s="1424"/>
      <c r="FJ95" s="1424"/>
      <c r="FK95" s="1424"/>
      <c r="FL95" s="1424"/>
      <c r="FM95" s="1424"/>
      <c r="FN95" s="1424"/>
      <c r="FO95" s="1424"/>
      <c r="FP95" s="1424"/>
      <c r="FQ95" s="1379"/>
      <c r="FR95" s="1424"/>
      <c r="FS95" s="1424"/>
      <c r="FT95" s="1424"/>
      <c r="FU95" s="1424"/>
      <c r="FV95" s="1424"/>
      <c r="FW95" s="1424"/>
      <c r="FX95" s="1379"/>
      <c r="FY95" s="1424"/>
      <c r="FZ95" s="1424"/>
      <c r="GA95" s="1424"/>
      <c r="GB95" s="1424"/>
      <c r="GC95" s="1424"/>
      <c r="GD95" s="1424"/>
      <c r="GE95" s="1424"/>
      <c r="GF95" s="1424"/>
      <c r="GG95" s="1424"/>
      <c r="GH95" s="1379"/>
      <c r="GI95" s="1379"/>
      <c r="GJ95" s="1379"/>
      <c r="GK95" s="1424"/>
      <c r="GL95" s="1424"/>
      <c r="GM95" s="1424"/>
      <c r="GN95" s="1424"/>
      <c r="GO95" s="1424"/>
      <c r="GP95" s="1424"/>
      <c r="GQ95" s="1424"/>
      <c r="GR95" s="1424"/>
      <c r="GS95" s="1379"/>
      <c r="GT95" s="1379"/>
      <c r="GU95" s="1379"/>
      <c r="GV95" s="1424"/>
      <c r="GW95" s="1424"/>
      <c r="GX95" s="1379"/>
      <c r="GY95" s="1424"/>
      <c r="GZ95" s="1379">
        <v>3000</v>
      </c>
      <c r="HA95" s="1379">
        <v>3000</v>
      </c>
      <c r="HB95" s="1424"/>
      <c r="HC95" s="1424"/>
      <c r="HD95" s="1424"/>
      <c r="HE95" s="1424"/>
      <c r="HF95" s="1379"/>
      <c r="HG95" s="1379"/>
      <c r="HH95" s="1424"/>
      <c r="HI95" s="1424"/>
      <c r="HJ95" s="1424"/>
      <c r="HK95" s="1424"/>
      <c r="HL95" s="1424"/>
      <c r="HM95" s="1424"/>
      <c r="HN95" s="1424"/>
      <c r="HO95" s="1424"/>
      <c r="HP95" s="1424"/>
      <c r="HQ95" s="1424"/>
      <c r="HR95" s="1424"/>
      <c r="HS95" s="1424"/>
      <c r="HT95" s="1424"/>
      <c r="HU95" s="1424"/>
      <c r="HV95" s="1424"/>
      <c r="HW95" s="1424"/>
      <c r="HX95" s="1424"/>
      <c r="HY95" s="1424"/>
      <c r="HZ95" s="1424"/>
      <c r="IA95" s="1424"/>
      <c r="IB95" s="1424"/>
      <c r="IC95" s="1424"/>
      <c r="ID95" s="1424"/>
      <c r="IE95" s="1424"/>
      <c r="IF95" s="1424"/>
      <c r="IG95" s="1424"/>
      <c r="IH95" s="1424"/>
      <c r="II95" s="1424"/>
      <c r="IJ95" s="1424"/>
      <c r="IK95" s="1424"/>
      <c r="IL95" s="1424"/>
      <c r="IM95" s="1424"/>
      <c r="IN95" s="1424"/>
      <c r="IO95" s="1424"/>
      <c r="IP95" s="1424"/>
      <c r="IQ95" s="1424"/>
      <c r="IR95" s="1424"/>
      <c r="IS95" s="1424"/>
      <c r="IT95" s="1424"/>
      <c r="IU95" s="1424"/>
      <c r="IV95" s="1424"/>
      <c r="IW95" s="1424"/>
      <c r="IX95" s="1424"/>
      <c r="IY95" s="1424"/>
      <c r="IZ95" s="1424"/>
      <c r="JA95" s="1424"/>
      <c r="JB95" s="1424"/>
      <c r="JC95" s="1424"/>
      <c r="JD95" s="1424"/>
      <c r="JE95" s="1424"/>
      <c r="JF95" s="1424"/>
      <c r="JG95" s="1424"/>
      <c r="JH95" s="1424"/>
      <c r="JI95" s="1424"/>
      <c r="JJ95" s="1424"/>
      <c r="JK95" s="1424"/>
      <c r="JL95" s="1424"/>
      <c r="JM95" s="1424"/>
      <c r="JN95" s="1424"/>
      <c r="JO95" s="1424"/>
      <c r="JP95" s="1424"/>
      <c r="JQ95" s="1415"/>
      <c r="JR95" s="351"/>
      <c r="JS95" s="1400" t="s">
        <v>2569</v>
      </c>
    </row>
    <row r="96" spans="1:279" x14ac:dyDescent="0.25">
      <c r="A96" s="1367">
        <v>10</v>
      </c>
      <c r="B96" s="1368" t="str">
        <f t="shared" ref="B96:B103" si="10">IF(AIL_IND&gt;1,IF(HLOOKUP(AIL_IND-1,AIL_RANGE,A96)="","",HLOOKUP(AIL_IND-1,AIL_RANGE,A96)),"")</f>
        <v/>
      </c>
      <c r="C96" s="1359" t="s">
        <v>2570</v>
      </c>
      <c r="D96" s="1425" t="s">
        <v>2571</v>
      </c>
      <c r="E96" s="1379"/>
      <c r="F96" s="1379"/>
      <c r="G96" s="1379"/>
      <c r="H96" s="1379"/>
      <c r="I96" s="1379"/>
      <c r="J96" s="1379"/>
      <c r="K96" s="1379"/>
      <c r="L96" s="1379"/>
      <c r="M96" s="1379"/>
      <c r="N96" s="1379"/>
      <c r="O96" s="1379"/>
      <c r="P96" s="1379"/>
      <c r="Q96" s="1379"/>
      <c r="R96" s="1379"/>
      <c r="S96" s="1379"/>
      <c r="T96" s="1379"/>
      <c r="U96" s="1379"/>
      <c r="V96" s="1379"/>
      <c r="W96" s="1379"/>
      <c r="X96" s="1379"/>
      <c r="Y96" s="1379"/>
      <c r="Z96" s="1379"/>
      <c r="AA96" s="1379"/>
      <c r="AB96" s="1379"/>
      <c r="AC96" s="1379"/>
      <c r="AD96" s="1379"/>
      <c r="AE96" s="1379"/>
      <c r="AF96" s="1379"/>
      <c r="AG96" s="1379"/>
      <c r="AH96" s="1379"/>
      <c r="AI96" s="1379"/>
      <c r="AJ96" s="1379"/>
      <c r="AK96" s="1379"/>
      <c r="AL96" s="1379"/>
      <c r="AM96" s="1379"/>
      <c r="AN96" s="1379"/>
      <c r="AO96" s="1379"/>
      <c r="AP96" s="1379"/>
      <c r="AQ96" s="1379"/>
      <c r="AR96" s="1379"/>
      <c r="AS96" s="1379"/>
      <c r="AT96" s="1379"/>
      <c r="AU96" s="1379"/>
      <c r="AV96" s="1379"/>
      <c r="AW96" s="1379"/>
      <c r="AX96" s="1379"/>
      <c r="AY96" s="1379"/>
      <c r="AZ96" s="1379"/>
      <c r="BA96" s="1379"/>
      <c r="BB96" s="1379"/>
      <c r="BC96" s="1379"/>
      <c r="BD96" s="1379"/>
      <c r="BE96" s="1379"/>
      <c r="BF96" s="1379"/>
      <c r="BG96" s="1379"/>
      <c r="BH96" s="1379"/>
      <c r="BI96" s="1379"/>
      <c r="BJ96" s="1379"/>
      <c r="BK96" s="1379"/>
      <c r="BL96" s="1379"/>
      <c r="BM96" s="1379"/>
      <c r="BN96" s="1379"/>
      <c r="BO96" s="1379"/>
      <c r="BP96" s="1379"/>
      <c r="BQ96" s="1379"/>
      <c r="BR96" s="1379"/>
      <c r="BS96" s="1379"/>
      <c r="BT96" s="1379"/>
      <c r="BU96" s="1379"/>
      <c r="BV96" s="1379"/>
      <c r="BW96" s="1379"/>
      <c r="BX96" s="1379"/>
      <c r="BY96" s="1379"/>
      <c r="BZ96" s="1379"/>
      <c r="CA96" s="1379"/>
      <c r="CB96" s="1379"/>
      <c r="CC96" s="1424"/>
      <c r="CD96" s="1424"/>
      <c r="CE96" s="1424"/>
      <c r="CF96" s="1424"/>
      <c r="CG96" s="1424"/>
      <c r="CH96" s="1424"/>
      <c r="CI96" s="1424"/>
      <c r="CJ96" s="1424"/>
      <c r="CK96" s="1424"/>
      <c r="CL96" s="1424"/>
      <c r="CM96" s="1424"/>
      <c r="CN96" s="1379"/>
      <c r="CO96" s="1424"/>
      <c r="CP96" s="1424"/>
      <c r="CQ96" s="1424"/>
      <c r="CR96" s="1424"/>
      <c r="CS96" s="1424"/>
      <c r="CT96" s="1424"/>
      <c r="CU96" s="1424"/>
      <c r="CV96" s="1424"/>
      <c r="CW96" s="1424"/>
      <c r="CX96" s="1424"/>
      <c r="CY96" s="1424"/>
      <c r="CZ96" s="1424"/>
      <c r="DA96" s="1424"/>
      <c r="DB96" s="1424"/>
      <c r="DC96" s="1424"/>
      <c r="DD96" s="1424"/>
      <c r="DE96" s="1424"/>
      <c r="DF96" s="1424"/>
      <c r="DG96" s="1424"/>
      <c r="DH96" s="1424"/>
      <c r="DI96" s="1424"/>
      <c r="DJ96" s="1424"/>
      <c r="DK96" s="1424"/>
      <c r="DL96" s="1424"/>
      <c r="DM96" s="1424"/>
      <c r="DN96" s="1424"/>
      <c r="DO96" s="1424"/>
      <c r="DP96" s="1424"/>
      <c r="DQ96" s="1424"/>
      <c r="DR96" s="1424"/>
      <c r="DS96" s="1424"/>
      <c r="DT96" s="1424"/>
      <c r="DU96" s="1424"/>
      <c r="DV96" s="1424"/>
      <c r="DW96" s="1379"/>
      <c r="DX96" s="1424"/>
      <c r="DY96" s="1424"/>
      <c r="DZ96" s="1424"/>
      <c r="EA96" s="1424"/>
      <c r="EB96" s="1424"/>
      <c r="EC96" s="1424"/>
      <c r="ED96" s="1424"/>
      <c r="EE96" s="1424"/>
      <c r="EF96" s="1424"/>
      <c r="EG96" s="1424"/>
      <c r="EH96" s="1424"/>
      <c r="EI96" s="1424"/>
      <c r="EJ96" s="1424"/>
      <c r="EK96" s="1424"/>
      <c r="EL96" s="1424"/>
      <c r="EM96" s="1379"/>
      <c r="EN96" s="1379"/>
      <c r="EO96" s="1379">
        <v>36000</v>
      </c>
      <c r="EP96" s="1379"/>
      <c r="EQ96" s="1424"/>
      <c r="ER96" s="1424"/>
      <c r="ES96" s="1424"/>
      <c r="ET96" s="1424"/>
      <c r="EU96" s="1424"/>
      <c r="EV96" s="1379">
        <v>36000</v>
      </c>
      <c r="EW96" s="1424"/>
      <c r="EX96" s="1424"/>
      <c r="EY96" s="1424"/>
      <c r="EZ96" s="1424"/>
      <c r="FA96" s="1424"/>
      <c r="FB96" s="1424"/>
      <c r="FC96" s="1424"/>
      <c r="FD96" s="1424"/>
      <c r="FE96" s="1424"/>
      <c r="FF96" s="1424"/>
      <c r="FG96" s="1424"/>
      <c r="FH96" s="1424"/>
      <c r="FI96" s="1424"/>
      <c r="FJ96" s="1424"/>
      <c r="FK96" s="1424"/>
      <c r="FL96" s="1424"/>
      <c r="FM96" s="1424"/>
      <c r="FN96" s="1424"/>
      <c r="FO96" s="1424"/>
      <c r="FP96" s="1424"/>
      <c r="FQ96" s="1379"/>
      <c r="FR96" s="1424"/>
      <c r="FS96" s="1424"/>
      <c r="FT96" s="1424"/>
      <c r="FU96" s="1424"/>
      <c r="FV96" s="1424"/>
      <c r="FW96" s="1424"/>
      <c r="FX96" s="1379"/>
      <c r="FY96" s="1424"/>
      <c r="FZ96" s="1424"/>
      <c r="GA96" s="1424"/>
      <c r="GB96" s="1424"/>
      <c r="GC96" s="1424"/>
      <c r="GD96" s="1424"/>
      <c r="GE96" s="1424"/>
      <c r="GF96" s="1424"/>
      <c r="GG96" s="1424"/>
      <c r="GH96" s="1379"/>
      <c r="GI96" s="1379"/>
      <c r="GJ96" s="1379"/>
      <c r="GK96" s="1424"/>
      <c r="GL96" s="1424"/>
      <c r="GM96" s="1424"/>
      <c r="GN96" s="1424"/>
      <c r="GO96" s="1424"/>
      <c r="GP96" s="1424"/>
      <c r="GQ96" s="1424"/>
      <c r="GR96" s="1424"/>
      <c r="GS96" s="1379"/>
      <c r="GT96" s="1379"/>
      <c r="GU96" s="1379"/>
      <c r="GV96" s="1424"/>
      <c r="GW96" s="1424"/>
      <c r="GX96" s="1379"/>
      <c r="GY96" s="1424"/>
      <c r="GZ96" s="1379"/>
      <c r="HA96" s="1379"/>
      <c r="HB96" s="1424"/>
      <c r="HC96" s="1424"/>
      <c r="HD96" s="1424"/>
      <c r="HE96" s="1424"/>
      <c r="HF96" s="1379"/>
      <c r="HG96" s="1379"/>
      <c r="HH96" s="1424"/>
      <c r="HI96" s="1424"/>
      <c r="HJ96" s="1424"/>
      <c r="HK96" s="1424"/>
      <c r="HL96" s="1424"/>
      <c r="HM96" s="1424"/>
      <c r="HN96" s="1424"/>
      <c r="HO96" s="1424"/>
      <c r="HP96" s="1424"/>
      <c r="HQ96" s="1424"/>
      <c r="HR96" s="1424"/>
      <c r="HS96" s="1424"/>
      <c r="HT96" s="1424"/>
      <c r="HU96" s="1424"/>
      <c r="HV96" s="1424"/>
      <c r="HW96" s="1424"/>
      <c r="HX96" s="1424"/>
      <c r="HY96" s="1424"/>
      <c r="HZ96" s="1424"/>
      <c r="IA96" s="1424"/>
      <c r="IB96" s="1424"/>
      <c r="IC96" s="1424"/>
      <c r="ID96" s="1424"/>
      <c r="IE96" s="1424"/>
      <c r="IF96" s="1424"/>
      <c r="IG96" s="1424"/>
      <c r="IH96" s="1424"/>
      <c r="II96" s="1424"/>
      <c r="IJ96" s="1424"/>
      <c r="IK96" s="1424"/>
      <c r="IL96" s="1424"/>
      <c r="IM96" s="1424"/>
      <c r="IN96" s="1424"/>
      <c r="IO96" s="1424"/>
      <c r="IP96" s="1424"/>
      <c r="IQ96" s="1424"/>
      <c r="IR96" s="1424"/>
      <c r="IS96" s="1424"/>
      <c r="IT96" s="1424"/>
      <c r="IU96" s="1424"/>
      <c r="IV96" s="1424"/>
      <c r="IW96" s="1424"/>
      <c r="IX96" s="1424"/>
      <c r="IY96" s="1424"/>
      <c r="IZ96" s="1424"/>
      <c r="JA96" s="1424"/>
      <c r="JB96" s="1424"/>
      <c r="JC96" s="1424"/>
      <c r="JD96" s="1424"/>
      <c r="JE96" s="1424"/>
      <c r="JF96" s="1424"/>
      <c r="JG96" s="1424"/>
      <c r="JH96" s="1424"/>
      <c r="JI96" s="1424"/>
      <c r="JJ96" s="1424"/>
      <c r="JK96" s="1424"/>
      <c r="JL96" s="1424"/>
      <c r="JM96" s="1424"/>
      <c r="JN96" s="1424"/>
      <c r="JO96" s="1424"/>
      <c r="JP96" s="1424"/>
      <c r="JQ96" s="1415"/>
      <c r="JR96" s="351"/>
      <c r="JS96" s="1400"/>
    </row>
    <row r="97" spans="1:279" x14ac:dyDescent="0.25">
      <c r="A97" s="1367">
        <v>11</v>
      </c>
      <c r="B97" s="1368" t="str">
        <f t="shared" si="10"/>
        <v/>
      </c>
      <c r="C97" s="1359" t="s">
        <v>2572</v>
      </c>
      <c r="D97" s="1360" t="s">
        <v>2573</v>
      </c>
      <c r="E97" s="1272"/>
      <c r="F97" s="1381"/>
      <c r="G97" s="1381"/>
      <c r="H97" s="1381"/>
      <c r="I97" s="1381"/>
      <c r="J97" s="1381"/>
      <c r="K97" s="1381"/>
      <c r="L97" s="1390"/>
      <c r="M97" s="1381"/>
      <c r="N97" s="1381"/>
      <c r="O97" s="1381"/>
      <c r="P97" s="1381"/>
      <c r="Q97" s="1381"/>
      <c r="R97" s="1381"/>
      <c r="S97" s="1381"/>
      <c r="T97" s="1381"/>
      <c r="U97" s="1381"/>
      <c r="V97" s="1381"/>
      <c r="W97" s="1381"/>
      <c r="X97" s="1381"/>
      <c r="Y97" s="1381"/>
      <c r="Z97" s="1381"/>
      <c r="AA97" s="1381"/>
      <c r="AB97" s="1381"/>
      <c r="AC97" s="1381"/>
      <c r="AD97" s="1381"/>
      <c r="AE97" s="1381"/>
      <c r="AF97" s="1381"/>
      <c r="AG97" s="1381"/>
      <c r="AH97" s="1381"/>
      <c r="AI97" s="1381"/>
      <c r="AJ97" s="1381"/>
      <c r="AK97" s="1381"/>
      <c r="AL97" s="1381"/>
      <c r="AM97" s="1381"/>
      <c r="AN97" s="1381"/>
      <c r="AO97" s="1381"/>
      <c r="AP97" s="1381"/>
      <c r="AQ97" s="1381"/>
      <c r="AR97" s="1381"/>
      <c r="AS97" s="1381"/>
      <c r="AT97" s="1381"/>
      <c r="AU97" s="1381"/>
      <c r="AV97" s="1381"/>
      <c r="AW97" s="1381"/>
      <c r="AX97" s="1381"/>
      <c r="AY97" s="1381"/>
      <c r="AZ97" s="1381"/>
      <c r="BA97" s="1381"/>
      <c r="BB97" s="1381"/>
      <c r="BC97" s="1381"/>
      <c r="BD97" s="1381"/>
      <c r="BE97" s="1381"/>
      <c r="BF97" s="1381"/>
      <c r="BG97" s="1381"/>
      <c r="BH97" s="1381"/>
      <c r="BI97" s="1381"/>
      <c r="BJ97" s="1381"/>
      <c r="BK97" s="1381"/>
      <c r="BL97" s="1381"/>
      <c r="BM97" s="1381"/>
      <c r="BN97" s="1381"/>
      <c r="BO97" s="1381"/>
      <c r="BP97" s="1381"/>
      <c r="BQ97" s="1381"/>
      <c r="BR97" s="1381"/>
      <c r="BS97" s="1381"/>
      <c r="BT97" s="1381"/>
      <c r="BU97" s="1381"/>
      <c r="BV97" s="1381"/>
      <c r="BW97" s="1381"/>
      <c r="BX97" s="1381"/>
      <c r="BY97" s="1381"/>
      <c r="BZ97" s="1381"/>
      <c r="CA97" s="1381"/>
      <c r="CB97" s="1381"/>
      <c r="CC97" s="1414"/>
      <c r="CD97" s="1414"/>
      <c r="CE97" s="1414"/>
      <c r="CF97" s="1414"/>
      <c r="CG97" s="1414"/>
      <c r="CH97" s="1414"/>
      <c r="CI97" s="1414"/>
      <c r="CJ97" s="1414"/>
      <c r="CK97" s="1414"/>
      <c r="CL97" s="1414"/>
      <c r="CM97" s="1414"/>
      <c r="CN97" s="1381"/>
      <c r="CO97" s="1414"/>
      <c r="CP97" s="1414"/>
      <c r="CQ97" s="1414"/>
      <c r="CR97" s="1414"/>
      <c r="CS97" s="1414"/>
      <c r="CT97" s="1414"/>
      <c r="CU97" s="1414"/>
      <c r="CV97" s="1414"/>
      <c r="CW97" s="1414"/>
      <c r="CX97" s="1414"/>
      <c r="CY97" s="1414"/>
      <c r="CZ97" s="1414"/>
      <c r="DA97" s="1414"/>
      <c r="DB97" s="1414"/>
      <c r="DC97" s="1414"/>
      <c r="DD97" s="1414"/>
      <c r="DE97" s="1414"/>
      <c r="DF97" s="1414"/>
      <c r="DG97" s="1414"/>
      <c r="DH97" s="1414"/>
      <c r="DI97" s="1414"/>
      <c r="DJ97" s="1414"/>
      <c r="DK97" s="1414"/>
      <c r="DL97" s="1414"/>
      <c r="DM97" s="1414"/>
      <c r="DN97" s="1414"/>
      <c r="DO97" s="1414"/>
      <c r="DP97" s="1414"/>
      <c r="DQ97" s="1414"/>
      <c r="DR97" s="1414"/>
      <c r="DS97" s="1414"/>
      <c r="DT97" s="1414"/>
      <c r="DU97" s="1414"/>
      <c r="DV97" s="1414"/>
      <c r="DW97" s="1381"/>
      <c r="DX97" s="1414"/>
      <c r="DY97" s="1414"/>
      <c r="DZ97" s="1414"/>
      <c r="EA97" s="1414"/>
      <c r="EB97" s="1414"/>
      <c r="EC97" s="1414"/>
      <c r="ED97" s="1414"/>
      <c r="EE97" s="1414"/>
      <c r="EF97" s="1414"/>
      <c r="EG97" s="1414"/>
      <c r="EH97" s="1414"/>
      <c r="EI97" s="1414"/>
      <c r="EJ97" s="1414"/>
      <c r="EK97" s="1414"/>
      <c r="EL97" s="1414"/>
      <c r="EM97" s="1390"/>
      <c r="EN97" s="1390"/>
      <c r="EO97" s="1381">
        <v>7200</v>
      </c>
      <c r="EP97" s="1272"/>
      <c r="EQ97" s="1414"/>
      <c r="ER97" s="1414"/>
      <c r="ES97" s="1414"/>
      <c r="ET97" s="1414"/>
      <c r="EU97" s="1414"/>
      <c r="EV97" s="1381">
        <v>7200</v>
      </c>
      <c r="EW97" s="1414"/>
      <c r="EX97" s="1414"/>
      <c r="EY97" s="1414"/>
      <c r="EZ97" s="1414"/>
      <c r="FA97" s="1414"/>
      <c r="FB97" s="1414"/>
      <c r="FC97" s="1414"/>
      <c r="FD97" s="1414"/>
      <c r="FE97" s="1414"/>
      <c r="FF97" s="1414"/>
      <c r="FG97" s="1414"/>
      <c r="FH97" s="1414"/>
      <c r="FI97" s="1414"/>
      <c r="FJ97" s="1414"/>
      <c r="FK97" s="1414"/>
      <c r="FL97" s="1414"/>
      <c r="FM97" s="1414"/>
      <c r="FN97" s="1414"/>
      <c r="FO97" s="1414"/>
      <c r="FP97" s="1414"/>
      <c r="FQ97" s="1381"/>
      <c r="FR97" s="1414"/>
      <c r="FS97" s="1414"/>
      <c r="FT97" s="1414"/>
      <c r="FU97" s="1414"/>
      <c r="FV97" s="1414"/>
      <c r="FW97" s="1414"/>
      <c r="FX97" s="1381"/>
      <c r="FY97" s="1414"/>
      <c r="FZ97" s="1414"/>
      <c r="GA97" s="1414"/>
      <c r="GB97" s="1414"/>
      <c r="GC97" s="1414"/>
      <c r="GD97" s="1414"/>
      <c r="GE97" s="1414"/>
      <c r="GF97" s="1414"/>
      <c r="GG97" s="1414"/>
      <c r="GH97" s="1381"/>
      <c r="GI97" s="1272"/>
      <c r="GJ97" s="1381"/>
      <c r="GK97" s="1414"/>
      <c r="GL97" s="1414"/>
      <c r="GM97" s="1414"/>
      <c r="GN97" s="1414"/>
      <c r="GO97" s="1414"/>
      <c r="GP97" s="1414"/>
      <c r="GQ97" s="1414"/>
      <c r="GR97" s="1414"/>
      <c r="GS97" s="1381"/>
      <c r="GT97" s="1381"/>
      <c r="GU97" s="1381"/>
      <c r="GV97" s="1414"/>
      <c r="GW97" s="1414"/>
      <c r="GX97" s="1381"/>
      <c r="GY97" s="1414"/>
      <c r="GZ97" s="1390"/>
      <c r="HA97" s="1390"/>
      <c r="HB97" s="1414"/>
      <c r="HC97" s="1414"/>
      <c r="HD97" s="1414"/>
      <c r="HE97" s="1414"/>
      <c r="HF97" s="1381"/>
      <c r="HG97" s="1381"/>
      <c r="HH97" s="1414"/>
      <c r="HI97" s="1414"/>
      <c r="HJ97" s="1414"/>
      <c r="HK97" s="1414"/>
      <c r="HL97" s="1414"/>
      <c r="HM97" s="1414"/>
      <c r="HN97" s="1414"/>
      <c r="HO97" s="1414"/>
      <c r="HP97" s="1414"/>
      <c r="HQ97" s="1414"/>
      <c r="HR97" s="1414"/>
      <c r="HS97" s="1414"/>
      <c r="HT97" s="1414"/>
      <c r="HU97" s="1414"/>
      <c r="HV97" s="1414"/>
      <c r="HW97" s="1414"/>
      <c r="HX97" s="1414"/>
      <c r="HY97" s="1414"/>
      <c r="HZ97" s="1414"/>
      <c r="IA97" s="1414"/>
      <c r="IB97" s="1414"/>
      <c r="IC97" s="1414"/>
      <c r="ID97" s="1414"/>
      <c r="IE97" s="1414"/>
      <c r="IF97" s="1414"/>
      <c r="IG97" s="1414"/>
      <c r="IH97" s="1414"/>
      <c r="II97" s="1414"/>
      <c r="IJ97" s="1414"/>
      <c r="IK97" s="1414"/>
      <c r="IL97" s="1414"/>
      <c r="IM97" s="1414"/>
      <c r="IN97" s="1414"/>
      <c r="IO97" s="1414"/>
      <c r="IP97" s="1414"/>
      <c r="IQ97" s="1414"/>
      <c r="IR97" s="1414"/>
      <c r="IS97" s="1414"/>
      <c r="IT97" s="1414"/>
      <c r="IU97" s="1414"/>
      <c r="IV97" s="1414"/>
      <c r="IW97" s="1414"/>
      <c r="IX97" s="1414"/>
      <c r="IY97" s="1414"/>
      <c r="IZ97" s="1414"/>
      <c r="JA97" s="1414"/>
      <c r="JB97" s="1414"/>
      <c r="JC97" s="1414"/>
      <c r="JD97" s="1414"/>
      <c r="JE97" s="1414"/>
      <c r="JF97" s="1414"/>
      <c r="JG97" s="1414"/>
      <c r="JH97" s="1414"/>
      <c r="JI97" s="1414"/>
      <c r="JJ97" s="1414"/>
      <c r="JK97" s="1414"/>
      <c r="JL97" s="1414"/>
      <c r="JM97" s="1414"/>
      <c r="JN97" s="1414"/>
      <c r="JO97" s="1414"/>
      <c r="JP97" s="1414"/>
      <c r="JQ97" s="1415"/>
      <c r="JR97" s="351"/>
      <c r="JS97" s="1400"/>
    </row>
    <row r="98" spans="1:279" ht="20" x14ac:dyDescent="0.25">
      <c r="A98" s="1367">
        <v>12</v>
      </c>
      <c r="B98" s="1368" t="str">
        <f t="shared" si="10"/>
        <v/>
      </c>
      <c r="C98" s="1359" t="s">
        <v>2574</v>
      </c>
      <c r="D98" s="1360" t="s">
        <v>2575</v>
      </c>
      <c r="E98" s="1272"/>
      <c r="F98" s="1381"/>
      <c r="G98" s="1381"/>
      <c r="H98" s="1381"/>
      <c r="I98" s="1381"/>
      <c r="J98" s="1381"/>
      <c r="K98" s="1381"/>
      <c r="L98" s="1381"/>
      <c r="M98" s="1381"/>
      <c r="N98" s="1381"/>
      <c r="O98" s="1381"/>
      <c r="P98" s="1381"/>
      <c r="Q98" s="1381"/>
      <c r="R98" s="1381"/>
      <c r="S98" s="1381"/>
      <c r="T98" s="1381"/>
      <c r="U98" s="1381"/>
      <c r="V98" s="1381"/>
      <c r="W98" s="1381"/>
      <c r="X98" s="1381"/>
      <c r="Y98" s="1381"/>
      <c r="Z98" s="1381"/>
      <c r="AA98" s="1381"/>
      <c r="AB98" s="1381"/>
      <c r="AC98" s="1381"/>
      <c r="AD98" s="1381"/>
      <c r="AE98" s="1381"/>
      <c r="AF98" s="1381"/>
      <c r="AG98" s="1381"/>
      <c r="AH98" s="1381"/>
      <c r="AI98" s="1381"/>
      <c r="AJ98" s="1381"/>
      <c r="AK98" s="1381"/>
      <c r="AL98" s="1381"/>
      <c r="AM98" s="1381"/>
      <c r="AN98" s="1381"/>
      <c r="AO98" s="1381"/>
      <c r="AP98" s="1381"/>
      <c r="AQ98" s="1381"/>
      <c r="AR98" s="1381"/>
      <c r="AS98" s="1381"/>
      <c r="AT98" s="1381"/>
      <c r="AU98" s="1381"/>
      <c r="AV98" s="1381"/>
      <c r="AW98" s="1381"/>
      <c r="AX98" s="1381"/>
      <c r="AY98" s="1381"/>
      <c r="AZ98" s="1381"/>
      <c r="BA98" s="1381"/>
      <c r="BB98" s="1381"/>
      <c r="BC98" s="1381"/>
      <c r="BD98" s="1381"/>
      <c r="BE98" s="1381"/>
      <c r="BF98" s="1381"/>
      <c r="BG98" s="1381"/>
      <c r="BH98" s="1381"/>
      <c r="BI98" s="1381"/>
      <c r="BJ98" s="1381"/>
      <c r="BK98" s="1381"/>
      <c r="BL98" s="1381"/>
      <c r="BM98" s="1381"/>
      <c r="BN98" s="1381"/>
      <c r="BO98" s="1381"/>
      <c r="BP98" s="1381"/>
      <c r="BQ98" s="1381"/>
      <c r="BR98" s="1381"/>
      <c r="BS98" s="1381"/>
      <c r="BT98" s="1381"/>
      <c r="BU98" s="1381"/>
      <c r="BV98" s="1381"/>
      <c r="BW98" s="1381"/>
      <c r="BX98" s="1381"/>
      <c r="BY98" s="1381"/>
      <c r="BZ98" s="1381"/>
      <c r="CA98" s="1381"/>
      <c r="CB98" s="1381"/>
      <c r="CC98" s="1414"/>
      <c r="CD98" s="1414"/>
      <c r="CE98" s="1414"/>
      <c r="CF98" s="1414"/>
      <c r="CG98" s="1414"/>
      <c r="CH98" s="1414"/>
      <c r="CI98" s="1414"/>
      <c r="CJ98" s="1414"/>
      <c r="CK98" s="1414"/>
      <c r="CL98" s="1414"/>
      <c r="CM98" s="1414"/>
      <c r="CN98" s="1381"/>
      <c r="CO98" s="1414"/>
      <c r="CP98" s="1414"/>
      <c r="CQ98" s="1414"/>
      <c r="CR98" s="1414"/>
      <c r="CS98" s="1414"/>
      <c r="CT98" s="1414"/>
      <c r="CU98" s="1414"/>
      <c r="CV98" s="1414"/>
      <c r="CW98" s="1414"/>
      <c r="CX98" s="1414"/>
      <c r="CY98" s="1414"/>
      <c r="CZ98" s="1414"/>
      <c r="DA98" s="1414"/>
      <c r="DB98" s="1414"/>
      <c r="DC98" s="1414"/>
      <c r="DD98" s="1414"/>
      <c r="DE98" s="1414"/>
      <c r="DF98" s="1414"/>
      <c r="DG98" s="1414"/>
      <c r="DH98" s="1414"/>
      <c r="DI98" s="1414"/>
      <c r="DJ98" s="1414"/>
      <c r="DK98" s="1414"/>
      <c r="DL98" s="1414"/>
      <c r="DM98" s="1414"/>
      <c r="DN98" s="1414"/>
      <c r="DO98" s="1414"/>
      <c r="DP98" s="1414"/>
      <c r="DQ98" s="1414"/>
      <c r="DR98" s="1414"/>
      <c r="DS98" s="1414"/>
      <c r="DT98" s="1414"/>
      <c r="DU98" s="1414"/>
      <c r="DV98" s="1414"/>
      <c r="DW98" s="1381"/>
      <c r="DX98" s="1414"/>
      <c r="DY98" s="1414"/>
      <c r="DZ98" s="1414"/>
      <c r="EA98" s="1414"/>
      <c r="EB98" s="1414"/>
      <c r="EC98" s="1414"/>
      <c r="ED98" s="1414"/>
      <c r="EE98" s="1414"/>
      <c r="EF98" s="1414"/>
      <c r="EG98" s="1414"/>
      <c r="EH98" s="1414"/>
      <c r="EI98" s="1414"/>
      <c r="EJ98" s="1414"/>
      <c r="EK98" s="1414"/>
      <c r="EL98" s="1414">
        <v>12345678</v>
      </c>
      <c r="EM98" s="1382"/>
      <c r="EN98" s="1382"/>
      <c r="EO98" s="1381"/>
      <c r="EP98" s="1272"/>
      <c r="EQ98" s="1414"/>
      <c r="ER98" s="1414"/>
      <c r="ES98" s="1414"/>
      <c r="ET98" s="1414"/>
      <c r="EU98" s="1414"/>
      <c r="EV98" s="1381"/>
      <c r="EW98" s="1414"/>
      <c r="EX98" s="1414"/>
      <c r="EY98" s="1414"/>
      <c r="EZ98" s="1414"/>
      <c r="FA98" s="1414"/>
      <c r="FB98" s="1414"/>
      <c r="FC98" s="1414"/>
      <c r="FD98" s="1414"/>
      <c r="FE98" s="1414"/>
      <c r="FF98" s="1414"/>
      <c r="FG98" s="1414"/>
      <c r="FH98" s="1414"/>
      <c r="FI98" s="1414"/>
      <c r="FJ98" s="1414"/>
      <c r="FK98" s="1414"/>
      <c r="FL98" s="1414"/>
      <c r="FM98" s="1414"/>
      <c r="FN98" s="1414"/>
      <c r="FO98" s="1414"/>
      <c r="FP98" s="1414"/>
      <c r="FQ98" s="1381"/>
      <c r="FR98" s="1414"/>
      <c r="FS98" s="1414"/>
      <c r="FT98" s="1414"/>
      <c r="FU98" s="1414"/>
      <c r="FV98" s="1414"/>
      <c r="FW98" s="1414"/>
      <c r="FX98" s="1381"/>
      <c r="FY98" s="1414"/>
      <c r="FZ98" s="1414"/>
      <c r="GA98" s="1414"/>
      <c r="GB98" s="1414"/>
      <c r="GC98" s="1414"/>
      <c r="GD98" s="1414"/>
      <c r="GE98" s="1414"/>
      <c r="GF98" s="1414"/>
      <c r="GG98" s="1414"/>
      <c r="GH98" s="1381"/>
      <c r="GI98" s="1272"/>
      <c r="GJ98" s="1381"/>
      <c r="GK98" s="1414"/>
      <c r="GL98" s="1414"/>
      <c r="GM98" s="1414"/>
      <c r="GN98" s="1414"/>
      <c r="GO98" s="1414"/>
      <c r="GP98" s="1414"/>
      <c r="GQ98" s="1414"/>
      <c r="GR98" s="1414"/>
      <c r="GS98" s="1381"/>
      <c r="GT98" s="1381"/>
      <c r="GU98" s="1381"/>
      <c r="GV98" s="1414"/>
      <c r="GW98" s="1414"/>
      <c r="GX98" s="1381"/>
      <c r="GY98" s="1414"/>
      <c r="GZ98" s="1381">
        <v>12345678</v>
      </c>
      <c r="HA98" s="1381">
        <v>12345678</v>
      </c>
      <c r="HB98" s="1414"/>
      <c r="HC98" s="1414"/>
      <c r="HD98" s="1414"/>
      <c r="HE98" s="1414"/>
      <c r="HF98" s="1381"/>
      <c r="HG98" s="1381"/>
      <c r="HH98" s="1414"/>
      <c r="HI98" s="1414"/>
      <c r="HJ98" s="1414"/>
      <c r="HK98" s="1414"/>
      <c r="HL98" s="1414"/>
      <c r="HM98" s="1414"/>
      <c r="HN98" s="1414"/>
      <c r="HO98" s="1414"/>
      <c r="HP98" s="1414"/>
      <c r="HQ98" s="1414"/>
      <c r="HR98" s="1414"/>
      <c r="HS98" s="1414"/>
      <c r="HT98" s="1414"/>
      <c r="HU98" s="1414"/>
      <c r="HV98" s="1414"/>
      <c r="HW98" s="1414"/>
      <c r="HX98" s="1414"/>
      <c r="HY98" s="1414"/>
      <c r="HZ98" s="1414"/>
      <c r="IA98" s="1414"/>
      <c r="IB98" s="1414"/>
      <c r="IC98" s="1414"/>
      <c r="ID98" s="1414"/>
      <c r="IE98" s="1414"/>
      <c r="IF98" s="1414"/>
      <c r="IG98" s="1414"/>
      <c r="IH98" s="1414"/>
      <c r="II98" s="1414"/>
      <c r="IJ98" s="1414"/>
      <c r="IK98" s="1414"/>
      <c r="IL98" s="1414"/>
      <c r="IM98" s="1414"/>
      <c r="IN98" s="1414"/>
      <c r="IO98" s="1414"/>
      <c r="IP98" s="1414"/>
      <c r="IQ98" s="1414"/>
      <c r="IR98" s="1414"/>
      <c r="IS98" s="1414"/>
      <c r="IT98" s="1414"/>
      <c r="IU98" s="1414"/>
      <c r="IV98" s="1414"/>
      <c r="IW98" s="1414"/>
      <c r="IX98" s="1414"/>
      <c r="IY98" s="1414"/>
      <c r="IZ98" s="1414"/>
      <c r="JA98" s="1414"/>
      <c r="JB98" s="1414"/>
      <c r="JC98" s="1414"/>
      <c r="JD98" s="1414"/>
      <c r="JE98" s="1414"/>
      <c r="JF98" s="1414"/>
      <c r="JG98" s="1414"/>
      <c r="JH98" s="1414"/>
      <c r="JI98" s="1414"/>
      <c r="JJ98" s="1414"/>
      <c r="JK98" s="1414"/>
      <c r="JL98" s="1414"/>
      <c r="JM98" s="1414"/>
      <c r="JN98" s="1414"/>
      <c r="JO98" s="1414"/>
      <c r="JP98" s="1414"/>
      <c r="JQ98" s="1415"/>
      <c r="JR98" s="351"/>
      <c r="JS98" s="1400" t="s">
        <v>2576</v>
      </c>
    </row>
    <row r="99" spans="1:279" x14ac:dyDescent="0.25">
      <c r="A99" s="1367">
        <v>13</v>
      </c>
      <c r="B99" s="1368" t="str">
        <f t="shared" si="10"/>
        <v/>
      </c>
      <c r="C99" s="1359" t="s">
        <v>2577</v>
      </c>
      <c r="D99" s="1360" t="s">
        <v>2578</v>
      </c>
      <c r="E99" s="1390"/>
      <c r="F99" s="1390"/>
      <c r="G99" s="1390"/>
      <c r="H99" s="1390"/>
      <c r="I99" s="1390"/>
      <c r="J99" s="1390"/>
      <c r="K99" s="1390"/>
      <c r="L99" s="1390"/>
      <c r="M99" s="1390"/>
      <c r="N99" s="1390"/>
      <c r="O99" s="1390"/>
      <c r="P99" s="1390"/>
      <c r="Q99" s="1390"/>
      <c r="R99" s="1390"/>
      <c r="S99" s="1390"/>
      <c r="T99" s="1390"/>
      <c r="U99" s="1390"/>
      <c r="V99" s="1390"/>
      <c r="W99" s="1390"/>
      <c r="X99" s="1390"/>
      <c r="Y99" s="1390"/>
      <c r="Z99" s="1390"/>
      <c r="AA99" s="1390"/>
      <c r="AB99" s="1390"/>
      <c r="AC99" s="1390"/>
      <c r="AD99" s="1390"/>
      <c r="AE99" s="1390"/>
      <c r="AF99" s="1390"/>
      <c r="AG99" s="1390"/>
      <c r="AH99" s="1390"/>
      <c r="AI99" s="1390"/>
      <c r="AJ99" s="1390"/>
      <c r="AK99" s="1390"/>
      <c r="AL99" s="1390"/>
      <c r="AM99" s="1390"/>
      <c r="AN99" s="1390"/>
      <c r="AO99" s="1390"/>
      <c r="AP99" s="1390"/>
      <c r="AQ99" s="1390"/>
      <c r="AR99" s="1390"/>
      <c r="AS99" s="1390"/>
      <c r="AT99" s="1390"/>
      <c r="AU99" s="1390"/>
      <c r="AV99" s="1390"/>
      <c r="AW99" s="1390"/>
      <c r="AX99" s="1390"/>
      <c r="AY99" s="1390"/>
      <c r="AZ99" s="1390"/>
      <c r="BA99" s="1390"/>
      <c r="BB99" s="1390"/>
      <c r="BC99" s="1390"/>
      <c r="BD99" s="1390"/>
      <c r="BE99" s="1390"/>
      <c r="BF99" s="1390"/>
      <c r="BG99" s="1390"/>
      <c r="BH99" s="1390"/>
      <c r="BI99" s="1390"/>
      <c r="BJ99" s="1390"/>
      <c r="BK99" s="1390"/>
      <c r="BL99" s="1390"/>
      <c r="BM99" s="1390"/>
      <c r="BN99" s="1390"/>
      <c r="BO99" s="1390"/>
      <c r="BP99" s="1390"/>
      <c r="BQ99" s="1390"/>
      <c r="BR99" s="1390"/>
      <c r="BS99" s="1390"/>
      <c r="BT99" s="1390"/>
      <c r="BU99" s="1390"/>
      <c r="BV99" s="1390"/>
      <c r="BW99" s="1390"/>
      <c r="BX99" s="1390"/>
      <c r="BY99" s="1390"/>
      <c r="BZ99" s="1390"/>
      <c r="CA99" s="1390"/>
      <c r="CB99" s="1390"/>
      <c r="CC99" s="1402"/>
      <c r="CD99" s="1402"/>
      <c r="CE99" s="1402"/>
      <c r="CF99" s="1402"/>
      <c r="CG99" s="1402"/>
      <c r="CH99" s="1402"/>
      <c r="CI99" s="1402"/>
      <c r="CJ99" s="1402"/>
      <c r="CK99" s="1402"/>
      <c r="CL99" s="1402"/>
      <c r="CM99" s="1402"/>
      <c r="CN99" s="1390"/>
      <c r="CO99" s="1402"/>
      <c r="CP99" s="1402"/>
      <c r="CQ99" s="1402"/>
      <c r="CR99" s="1402"/>
      <c r="CS99" s="1402"/>
      <c r="CT99" s="1402"/>
      <c r="CU99" s="1402"/>
      <c r="CV99" s="1402"/>
      <c r="CW99" s="1402"/>
      <c r="CX99" s="1402"/>
      <c r="CY99" s="1402"/>
      <c r="CZ99" s="1402"/>
      <c r="DA99" s="1402"/>
      <c r="DB99" s="1402"/>
      <c r="DC99" s="1402"/>
      <c r="DD99" s="1402"/>
      <c r="DE99" s="1402"/>
      <c r="DF99" s="1402"/>
      <c r="DG99" s="1402"/>
      <c r="DH99" s="1402"/>
      <c r="DI99" s="1402"/>
      <c r="DJ99" s="1402"/>
      <c r="DK99" s="1402"/>
      <c r="DL99" s="1402"/>
      <c r="DM99" s="1402"/>
      <c r="DN99" s="1402"/>
      <c r="DO99" s="1402"/>
      <c r="DP99" s="1402"/>
      <c r="DQ99" s="1402"/>
      <c r="DR99" s="1402"/>
      <c r="DS99" s="1402"/>
      <c r="DT99" s="1402"/>
      <c r="DU99" s="1402"/>
      <c r="DV99" s="1402"/>
      <c r="DW99" s="1390"/>
      <c r="DX99" s="1402"/>
      <c r="DY99" s="1402"/>
      <c r="DZ99" s="1402"/>
      <c r="EA99" s="1402"/>
      <c r="EB99" s="1402"/>
      <c r="EC99" s="1402"/>
      <c r="ED99" s="1402"/>
      <c r="EE99" s="1402"/>
      <c r="EF99" s="1402"/>
      <c r="EG99" s="1402"/>
      <c r="EH99" s="1402"/>
      <c r="EI99" s="1402"/>
      <c r="EJ99" s="1402"/>
      <c r="EK99" s="1402"/>
      <c r="EL99" s="1402"/>
      <c r="EM99" s="1390"/>
      <c r="EN99" s="1390"/>
      <c r="EO99" s="1390"/>
      <c r="EP99" s="1390"/>
      <c r="EQ99" s="1402"/>
      <c r="ER99" s="1402"/>
      <c r="ES99" s="1402"/>
      <c r="ET99" s="1402"/>
      <c r="EU99" s="1402"/>
      <c r="EV99" s="1390"/>
      <c r="EW99" s="1402"/>
      <c r="EX99" s="1402"/>
      <c r="EY99" s="1402"/>
      <c r="EZ99" s="1402"/>
      <c r="FA99" s="1402"/>
      <c r="FB99" s="1402"/>
      <c r="FC99" s="1402"/>
      <c r="FD99" s="1402"/>
      <c r="FE99" s="1402"/>
      <c r="FF99" s="1402"/>
      <c r="FG99" s="1402"/>
      <c r="FH99" s="1402"/>
      <c r="FI99" s="1402"/>
      <c r="FJ99" s="1402"/>
      <c r="FK99" s="1402"/>
      <c r="FL99" s="1402"/>
      <c r="FM99" s="1402"/>
      <c r="FN99" s="1402"/>
      <c r="FO99" s="1402"/>
      <c r="FP99" s="1402"/>
      <c r="FQ99" s="1390"/>
      <c r="FR99" s="1402"/>
      <c r="FS99" s="1402"/>
      <c r="FT99" s="1402"/>
      <c r="FU99" s="1402"/>
      <c r="FV99" s="1402"/>
      <c r="FW99" s="1402"/>
      <c r="FX99" s="1390"/>
      <c r="FY99" s="1402"/>
      <c r="FZ99" s="1402"/>
      <c r="GA99" s="1402"/>
      <c r="GB99" s="1402"/>
      <c r="GC99" s="1402"/>
      <c r="GD99" s="1402"/>
      <c r="GE99" s="1402"/>
      <c r="GF99" s="1402"/>
      <c r="GG99" s="1402"/>
      <c r="GH99" s="1390"/>
      <c r="GI99" s="1390"/>
      <c r="GJ99" s="1390">
        <v>243514</v>
      </c>
      <c r="GK99" s="1402"/>
      <c r="GL99" s="1402"/>
      <c r="GM99" s="1402"/>
      <c r="GN99" s="1402"/>
      <c r="GO99" s="1402"/>
      <c r="GP99" s="1402"/>
      <c r="GQ99" s="1402"/>
      <c r="GR99" s="1402"/>
      <c r="GS99" s="1390">
        <v>43000</v>
      </c>
      <c r="GT99" s="1390"/>
      <c r="GU99" s="1390"/>
      <c r="GV99" s="1402"/>
      <c r="GW99" s="1402"/>
      <c r="GX99" s="1390"/>
      <c r="GY99" s="1402"/>
      <c r="GZ99" s="1390"/>
      <c r="HA99" s="1390"/>
      <c r="HB99" s="1402"/>
      <c r="HC99" s="1402"/>
      <c r="HD99" s="1402"/>
      <c r="HE99" s="1402"/>
      <c r="HF99" s="1390"/>
      <c r="HG99" s="1390"/>
      <c r="HH99" s="1402"/>
      <c r="HI99" s="1402"/>
      <c r="HJ99" s="1402"/>
      <c r="HK99" s="1402"/>
      <c r="HL99" s="1402"/>
      <c r="HM99" s="1402"/>
      <c r="HN99" s="1402"/>
      <c r="HO99" s="1402"/>
      <c r="HP99" s="1402"/>
      <c r="HQ99" s="1402"/>
      <c r="HR99" s="1402"/>
      <c r="HS99" s="1402"/>
      <c r="HT99" s="1402"/>
      <c r="HU99" s="1402"/>
      <c r="HV99" s="1402"/>
      <c r="HW99" s="1402"/>
      <c r="HX99" s="1402"/>
      <c r="HY99" s="1402"/>
      <c r="HZ99" s="1402"/>
      <c r="IA99" s="1402"/>
      <c r="IB99" s="1402"/>
      <c r="IC99" s="1402"/>
      <c r="ID99" s="1402"/>
      <c r="IE99" s="1402"/>
      <c r="IF99" s="1402"/>
      <c r="IG99" s="1402"/>
      <c r="IH99" s="1402"/>
      <c r="II99" s="1402"/>
      <c r="IJ99" s="1402"/>
      <c r="IK99" s="1402"/>
      <c r="IL99" s="1402"/>
      <c r="IM99" s="1402"/>
      <c r="IN99" s="1402"/>
      <c r="IO99" s="1402"/>
      <c r="IP99" s="1402"/>
      <c r="IQ99" s="1402"/>
      <c r="IR99" s="1402"/>
      <c r="IS99" s="1402"/>
      <c r="IT99" s="1402"/>
      <c r="IU99" s="1402"/>
      <c r="IV99" s="1402"/>
      <c r="IW99" s="1402"/>
      <c r="IX99" s="1402"/>
      <c r="IY99" s="1402"/>
      <c r="IZ99" s="1402"/>
      <c r="JA99" s="1402"/>
      <c r="JB99" s="1402"/>
      <c r="JC99" s="1402"/>
      <c r="JD99" s="1402"/>
      <c r="JE99" s="1402"/>
      <c r="JF99" s="1402"/>
      <c r="JG99" s="1402"/>
      <c r="JH99" s="1402"/>
      <c r="JI99" s="1402"/>
      <c r="JJ99" s="1402"/>
      <c r="JK99" s="1402"/>
      <c r="JL99" s="1402"/>
      <c r="JM99" s="1402"/>
      <c r="JN99" s="1402"/>
      <c r="JO99" s="1402"/>
      <c r="JP99" s="1402"/>
      <c r="JQ99" s="1403"/>
      <c r="JR99" s="351"/>
      <c r="JS99" s="1400"/>
    </row>
    <row r="100" spans="1:279" x14ac:dyDescent="0.25">
      <c r="A100" s="1367">
        <v>14</v>
      </c>
      <c r="B100" s="1368" t="str">
        <f t="shared" si="10"/>
        <v/>
      </c>
      <c r="C100" s="1359" t="s">
        <v>2579</v>
      </c>
      <c r="D100" s="1360" t="s">
        <v>2580</v>
      </c>
      <c r="E100" s="1390"/>
      <c r="F100" s="1390"/>
      <c r="G100" s="1390"/>
      <c r="H100" s="1390"/>
      <c r="I100" s="1390"/>
      <c r="J100" s="1390"/>
      <c r="K100" s="1390"/>
      <c r="L100" s="1390"/>
      <c r="M100" s="1390"/>
      <c r="N100" s="1390"/>
      <c r="O100" s="1390"/>
      <c r="P100" s="1390"/>
      <c r="Q100" s="1390"/>
      <c r="R100" s="1390"/>
      <c r="S100" s="1390"/>
      <c r="T100" s="1390"/>
      <c r="U100" s="1390"/>
      <c r="V100" s="1390"/>
      <c r="W100" s="1390"/>
      <c r="X100" s="1390"/>
      <c r="Y100" s="1390"/>
      <c r="Z100" s="1390"/>
      <c r="AA100" s="1390"/>
      <c r="AB100" s="1390"/>
      <c r="AC100" s="1390"/>
      <c r="AD100" s="1390"/>
      <c r="AE100" s="1390"/>
      <c r="AF100" s="1390"/>
      <c r="AG100" s="1390"/>
      <c r="AH100" s="1390"/>
      <c r="AI100" s="1390"/>
      <c r="AJ100" s="1390"/>
      <c r="AK100" s="1390"/>
      <c r="AL100" s="1390"/>
      <c r="AM100" s="1390"/>
      <c r="AN100" s="1390"/>
      <c r="AO100" s="1390"/>
      <c r="AP100" s="1390"/>
      <c r="AQ100" s="1390"/>
      <c r="AR100" s="1390"/>
      <c r="AS100" s="1390"/>
      <c r="AT100" s="1390"/>
      <c r="AU100" s="1390"/>
      <c r="AV100" s="1390"/>
      <c r="AW100" s="1390"/>
      <c r="AX100" s="1390"/>
      <c r="AY100" s="1390"/>
      <c r="AZ100" s="1390"/>
      <c r="BA100" s="1390"/>
      <c r="BB100" s="1390"/>
      <c r="BC100" s="1390"/>
      <c r="BD100" s="1390"/>
      <c r="BE100" s="1390"/>
      <c r="BF100" s="1390"/>
      <c r="BG100" s="1390"/>
      <c r="BH100" s="1390"/>
      <c r="BI100" s="1390"/>
      <c r="BJ100" s="1390"/>
      <c r="BK100" s="1390"/>
      <c r="BL100" s="1390"/>
      <c r="BM100" s="1390"/>
      <c r="BN100" s="1390"/>
      <c r="BO100" s="1390"/>
      <c r="BP100" s="1390"/>
      <c r="BQ100" s="1390"/>
      <c r="BR100" s="1390"/>
      <c r="BS100" s="1390"/>
      <c r="BT100" s="1390"/>
      <c r="BU100" s="1390"/>
      <c r="BV100" s="1390"/>
      <c r="BW100" s="1390"/>
      <c r="BX100" s="1390"/>
      <c r="BY100" s="1390"/>
      <c r="BZ100" s="1390"/>
      <c r="CA100" s="1390"/>
      <c r="CB100" s="1390"/>
      <c r="CC100" s="1402"/>
      <c r="CD100" s="1402"/>
      <c r="CE100" s="1402"/>
      <c r="CF100" s="1402"/>
      <c r="CG100" s="1402"/>
      <c r="CH100" s="1402"/>
      <c r="CI100" s="1402"/>
      <c r="CJ100" s="1402"/>
      <c r="CK100" s="1402"/>
      <c r="CL100" s="1402"/>
      <c r="CM100" s="1402"/>
      <c r="CN100" s="1390"/>
      <c r="CO100" s="1402"/>
      <c r="CP100" s="1402"/>
      <c r="CQ100" s="1402"/>
      <c r="CR100" s="1402"/>
      <c r="CS100" s="1402"/>
      <c r="CT100" s="1402"/>
      <c r="CU100" s="1402"/>
      <c r="CV100" s="1402"/>
      <c r="CW100" s="1402"/>
      <c r="CX100" s="1402"/>
      <c r="CY100" s="1402"/>
      <c r="CZ100" s="1402"/>
      <c r="DA100" s="1402"/>
      <c r="DB100" s="1402"/>
      <c r="DC100" s="1402"/>
      <c r="DD100" s="1402"/>
      <c r="DE100" s="1402"/>
      <c r="DF100" s="1402"/>
      <c r="DG100" s="1402"/>
      <c r="DH100" s="1402"/>
      <c r="DI100" s="1402"/>
      <c r="DJ100" s="1402"/>
      <c r="DK100" s="1402"/>
      <c r="DL100" s="1402"/>
      <c r="DM100" s="1402"/>
      <c r="DN100" s="1402"/>
      <c r="DO100" s="1402"/>
      <c r="DP100" s="1402"/>
      <c r="DQ100" s="1402"/>
      <c r="DR100" s="1402"/>
      <c r="DS100" s="1402"/>
      <c r="DT100" s="1402"/>
      <c r="DU100" s="1402"/>
      <c r="DV100" s="1402"/>
      <c r="DW100" s="1390"/>
      <c r="DX100" s="1402"/>
      <c r="DY100" s="1402"/>
      <c r="DZ100" s="1402"/>
      <c r="EA100" s="1402"/>
      <c r="EB100" s="1402"/>
      <c r="EC100" s="1402"/>
      <c r="ED100" s="1402"/>
      <c r="EE100" s="1402"/>
      <c r="EF100" s="1402"/>
      <c r="EG100" s="1402"/>
      <c r="EH100" s="1402"/>
      <c r="EI100" s="1402"/>
      <c r="EJ100" s="1402"/>
      <c r="EK100" s="1402"/>
      <c r="EL100" s="1402"/>
      <c r="EM100" s="1390"/>
      <c r="EN100" s="1390"/>
      <c r="EO100" s="1390"/>
      <c r="EP100" s="1390"/>
      <c r="EQ100" s="1402"/>
      <c r="ER100" s="1402"/>
      <c r="ES100" s="1402"/>
      <c r="ET100" s="1402"/>
      <c r="EU100" s="1402"/>
      <c r="EV100" s="1390"/>
      <c r="EW100" s="1402"/>
      <c r="EX100" s="1402"/>
      <c r="EY100" s="1402"/>
      <c r="EZ100" s="1402"/>
      <c r="FA100" s="1402"/>
      <c r="FB100" s="1402"/>
      <c r="FC100" s="1402"/>
      <c r="FD100" s="1402"/>
      <c r="FE100" s="1402"/>
      <c r="FF100" s="1402"/>
      <c r="FG100" s="1402"/>
      <c r="FH100" s="1402"/>
      <c r="FI100" s="1402"/>
      <c r="FJ100" s="1402"/>
      <c r="FK100" s="1402"/>
      <c r="FL100" s="1402"/>
      <c r="FM100" s="1402"/>
      <c r="FN100" s="1402"/>
      <c r="FO100" s="1402"/>
      <c r="FP100" s="1402"/>
      <c r="FQ100" s="1390"/>
      <c r="FR100" s="1402"/>
      <c r="FS100" s="1402"/>
      <c r="FT100" s="1402"/>
      <c r="FU100" s="1402"/>
      <c r="FV100" s="1402"/>
      <c r="FW100" s="1402"/>
      <c r="FX100" s="1390"/>
      <c r="FY100" s="1402"/>
      <c r="FZ100" s="1402"/>
      <c r="GA100" s="1402"/>
      <c r="GB100" s="1402"/>
      <c r="GC100" s="1402"/>
      <c r="GD100" s="1402"/>
      <c r="GE100" s="1402"/>
      <c r="GF100" s="1402"/>
      <c r="GG100" s="1402"/>
      <c r="GH100" s="1390"/>
      <c r="GI100" s="1390"/>
      <c r="GJ100" s="1390">
        <v>75000</v>
      </c>
      <c r="GK100" s="1402"/>
      <c r="GL100" s="1402"/>
      <c r="GM100" s="1402"/>
      <c r="GN100" s="1402"/>
      <c r="GO100" s="1402"/>
      <c r="GP100" s="1402"/>
      <c r="GQ100" s="1402"/>
      <c r="GR100" s="1402"/>
      <c r="GS100" s="1390"/>
      <c r="GT100" s="1390"/>
      <c r="GU100" s="1390"/>
      <c r="GV100" s="1402"/>
      <c r="GW100" s="1402"/>
      <c r="GX100" s="1390"/>
      <c r="GY100" s="1402"/>
      <c r="GZ100" s="1390"/>
      <c r="HA100" s="1390"/>
      <c r="HB100" s="1402"/>
      <c r="HC100" s="1402"/>
      <c r="HD100" s="1402"/>
      <c r="HE100" s="1402"/>
      <c r="HF100" s="1390"/>
      <c r="HG100" s="1390"/>
      <c r="HH100" s="1402"/>
      <c r="HI100" s="1402"/>
      <c r="HJ100" s="1402"/>
      <c r="HK100" s="1402"/>
      <c r="HL100" s="1402"/>
      <c r="HM100" s="1402"/>
      <c r="HN100" s="1402"/>
      <c r="HO100" s="1402"/>
      <c r="HP100" s="1402"/>
      <c r="HQ100" s="1402"/>
      <c r="HR100" s="1402"/>
      <c r="HS100" s="1402"/>
      <c r="HT100" s="1402"/>
      <c r="HU100" s="1402"/>
      <c r="HV100" s="1402"/>
      <c r="HW100" s="1402"/>
      <c r="HX100" s="1402"/>
      <c r="HY100" s="1402"/>
      <c r="HZ100" s="1402"/>
      <c r="IA100" s="1402"/>
      <c r="IB100" s="1402"/>
      <c r="IC100" s="1402"/>
      <c r="ID100" s="1402"/>
      <c r="IE100" s="1402"/>
      <c r="IF100" s="1402"/>
      <c r="IG100" s="1402"/>
      <c r="IH100" s="1402"/>
      <c r="II100" s="1402"/>
      <c r="IJ100" s="1402"/>
      <c r="IK100" s="1402"/>
      <c r="IL100" s="1402"/>
      <c r="IM100" s="1402"/>
      <c r="IN100" s="1402"/>
      <c r="IO100" s="1402"/>
      <c r="IP100" s="1402"/>
      <c r="IQ100" s="1402"/>
      <c r="IR100" s="1402"/>
      <c r="IS100" s="1402"/>
      <c r="IT100" s="1402"/>
      <c r="IU100" s="1402"/>
      <c r="IV100" s="1402"/>
      <c r="IW100" s="1402"/>
      <c r="IX100" s="1402"/>
      <c r="IY100" s="1402"/>
      <c r="IZ100" s="1402"/>
      <c r="JA100" s="1402"/>
      <c r="JB100" s="1402"/>
      <c r="JC100" s="1402"/>
      <c r="JD100" s="1402"/>
      <c r="JE100" s="1402"/>
      <c r="JF100" s="1402"/>
      <c r="JG100" s="1402"/>
      <c r="JH100" s="1402"/>
      <c r="JI100" s="1402"/>
      <c r="JJ100" s="1402"/>
      <c r="JK100" s="1402"/>
      <c r="JL100" s="1402"/>
      <c r="JM100" s="1402"/>
      <c r="JN100" s="1402"/>
      <c r="JO100" s="1402"/>
      <c r="JP100" s="1402"/>
      <c r="JQ100" s="1403"/>
      <c r="JR100" s="351"/>
      <c r="JS100" s="1400"/>
    </row>
    <row r="101" spans="1:279" x14ac:dyDescent="0.25">
      <c r="A101" s="1367">
        <v>15</v>
      </c>
      <c r="B101" s="1368" t="str">
        <f t="shared" si="10"/>
        <v/>
      </c>
      <c r="C101" s="1359" t="s">
        <v>2581</v>
      </c>
      <c r="D101" s="1360" t="s">
        <v>2582</v>
      </c>
      <c r="E101" s="1390"/>
      <c r="F101" s="1390"/>
      <c r="G101" s="1390"/>
      <c r="H101" s="1390"/>
      <c r="I101" s="1390"/>
      <c r="J101" s="1390"/>
      <c r="K101" s="1390"/>
      <c r="L101" s="1390"/>
      <c r="M101" s="1390"/>
      <c r="N101" s="1390"/>
      <c r="O101" s="1390"/>
      <c r="P101" s="1390"/>
      <c r="Q101" s="1390"/>
      <c r="R101" s="1390"/>
      <c r="S101" s="1390"/>
      <c r="T101" s="1390"/>
      <c r="U101" s="1390"/>
      <c r="V101" s="1390"/>
      <c r="W101" s="1390"/>
      <c r="X101" s="1390"/>
      <c r="Y101" s="1390"/>
      <c r="Z101" s="1390"/>
      <c r="AA101" s="1390"/>
      <c r="AB101" s="1390"/>
      <c r="AC101" s="1390"/>
      <c r="AD101" s="1390"/>
      <c r="AE101" s="1390"/>
      <c r="AF101" s="1390"/>
      <c r="AG101" s="1390"/>
      <c r="AH101" s="1390"/>
      <c r="AI101" s="1390"/>
      <c r="AJ101" s="1390"/>
      <c r="AK101" s="1390"/>
      <c r="AL101" s="1390"/>
      <c r="AM101" s="1390"/>
      <c r="AN101" s="1390"/>
      <c r="AO101" s="1390"/>
      <c r="AP101" s="1390"/>
      <c r="AQ101" s="1390"/>
      <c r="AR101" s="1390"/>
      <c r="AS101" s="1390"/>
      <c r="AT101" s="1390"/>
      <c r="AU101" s="1390"/>
      <c r="AV101" s="1390"/>
      <c r="AW101" s="1390"/>
      <c r="AX101" s="1390"/>
      <c r="AY101" s="1390"/>
      <c r="AZ101" s="1390"/>
      <c r="BA101" s="1390"/>
      <c r="BB101" s="1390"/>
      <c r="BC101" s="1390"/>
      <c r="BD101" s="1390"/>
      <c r="BE101" s="1390"/>
      <c r="BF101" s="1390"/>
      <c r="BG101" s="1390"/>
      <c r="BH101" s="1390"/>
      <c r="BI101" s="1390"/>
      <c r="BJ101" s="1390"/>
      <c r="BK101" s="1390"/>
      <c r="BL101" s="1390"/>
      <c r="BM101" s="1390"/>
      <c r="BN101" s="1390"/>
      <c r="BO101" s="1390"/>
      <c r="BP101" s="1390"/>
      <c r="BQ101" s="1390"/>
      <c r="BR101" s="1390"/>
      <c r="BS101" s="1390"/>
      <c r="BT101" s="1390"/>
      <c r="BU101" s="1390"/>
      <c r="BV101" s="1390"/>
      <c r="BW101" s="1390"/>
      <c r="BX101" s="1390"/>
      <c r="BY101" s="1390"/>
      <c r="BZ101" s="1390"/>
      <c r="CA101" s="1390"/>
      <c r="CB101" s="1390"/>
      <c r="CC101" s="1402"/>
      <c r="CD101" s="1402"/>
      <c r="CE101" s="1402"/>
      <c r="CF101" s="1402"/>
      <c r="CG101" s="1402"/>
      <c r="CH101" s="1402"/>
      <c r="CI101" s="1402"/>
      <c r="CJ101" s="1402"/>
      <c r="CK101" s="1402"/>
      <c r="CL101" s="1402"/>
      <c r="CM101" s="1402"/>
      <c r="CN101" s="1390"/>
      <c r="CO101" s="1402"/>
      <c r="CP101" s="1402"/>
      <c r="CQ101" s="1402"/>
      <c r="CR101" s="1402"/>
      <c r="CS101" s="1402"/>
      <c r="CT101" s="1402"/>
      <c r="CU101" s="1402"/>
      <c r="CV101" s="1402"/>
      <c r="CW101" s="1402"/>
      <c r="CX101" s="1402"/>
      <c r="CY101" s="1402"/>
      <c r="CZ101" s="1402"/>
      <c r="DA101" s="1402"/>
      <c r="DB101" s="1402"/>
      <c r="DC101" s="1402"/>
      <c r="DD101" s="1402"/>
      <c r="DE101" s="1402"/>
      <c r="DF101" s="1402"/>
      <c r="DG101" s="1402"/>
      <c r="DH101" s="1402"/>
      <c r="DI101" s="1402"/>
      <c r="DJ101" s="1402"/>
      <c r="DK101" s="1402"/>
      <c r="DL101" s="1402"/>
      <c r="DM101" s="1402"/>
      <c r="DN101" s="1402"/>
      <c r="DO101" s="1402"/>
      <c r="DP101" s="1402"/>
      <c r="DQ101" s="1402"/>
      <c r="DR101" s="1402"/>
      <c r="DS101" s="1402"/>
      <c r="DT101" s="1402"/>
      <c r="DU101" s="1402"/>
      <c r="DV101" s="1402"/>
      <c r="DW101" s="1390"/>
      <c r="DX101" s="1402"/>
      <c r="DY101" s="1402"/>
      <c r="DZ101" s="1402"/>
      <c r="EA101" s="1402"/>
      <c r="EB101" s="1402"/>
      <c r="EC101" s="1402"/>
      <c r="ED101" s="1402"/>
      <c r="EE101" s="1402"/>
      <c r="EF101" s="1402"/>
      <c r="EG101" s="1402"/>
      <c r="EH101" s="1402"/>
      <c r="EI101" s="1402"/>
      <c r="EJ101" s="1402"/>
      <c r="EK101" s="1402"/>
      <c r="EL101" s="1402"/>
      <c r="EM101" s="1390"/>
      <c r="EN101" s="1390"/>
      <c r="EO101" s="1390"/>
      <c r="EP101" s="1390"/>
      <c r="EQ101" s="1402"/>
      <c r="ER101" s="1402"/>
      <c r="ES101" s="1402"/>
      <c r="ET101" s="1402"/>
      <c r="EU101" s="1402"/>
      <c r="EV101" s="1390"/>
      <c r="EW101" s="1402"/>
      <c r="EX101" s="1402"/>
      <c r="EY101" s="1402"/>
      <c r="EZ101" s="1402"/>
      <c r="FA101" s="1402"/>
      <c r="FB101" s="1402"/>
      <c r="FC101" s="1402"/>
      <c r="FD101" s="1402"/>
      <c r="FE101" s="1402"/>
      <c r="FF101" s="1402"/>
      <c r="FG101" s="1402"/>
      <c r="FH101" s="1402"/>
      <c r="FI101" s="1402"/>
      <c r="FJ101" s="1402"/>
      <c r="FK101" s="1402"/>
      <c r="FL101" s="1402"/>
      <c r="FM101" s="1402"/>
      <c r="FN101" s="1402"/>
      <c r="FO101" s="1402"/>
      <c r="FP101" s="1402"/>
      <c r="FQ101" s="1390"/>
      <c r="FR101" s="1402"/>
      <c r="FS101" s="1402"/>
      <c r="FT101" s="1402"/>
      <c r="FU101" s="1402"/>
      <c r="FV101" s="1402"/>
      <c r="FW101" s="1402"/>
      <c r="FX101" s="1390"/>
      <c r="FY101" s="1402"/>
      <c r="FZ101" s="1402"/>
      <c r="GA101" s="1402"/>
      <c r="GB101" s="1402"/>
      <c r="GC101" s="1402"/>
      <c r="GD101" s="1402"/>
      <c r="GE101" s="1402"/>
      <c r="GF101" s="1402"/>
      <c r="GG101" s="1402"/>
      <c r="GH101" s="1390"/>
      <c r="GI101" s="1390"/>
      <c r="GJ101" s="1390">
        <v>43519</v>
      </c>
      <c r="GK101" s="1402"/>
      <c r="GL101" s="1402"/>
      <c r="GM101" s="1402"/>
      <c r="GN101" s="1402"/>
      <c r="GO101" s="1402"/>
      <c r="GP101" s="1402"/>
      <c r="GQ101" s="1402"/>
      <c r="GR101" s="1402"/>
      <c r="GS101" s="1390">
        <v>14512</v>
      </c>
      <c r="GT101" s="1390"/>
      <c r="GU101" s="1390"/>
      <c r="GV101" s="1402"/>
      <c r="GW101" s="1402"/>
      <c r="GX101" s="1390"/>
      <c r="GY101" s="1402"/>
      <c r="GZ101" s="1390"/>
      <c r="HA101" s="1390"/>
      <c r="HB101" s="1402"/>
      <c r="HC101" s="1402"/>
      <c r="HD101" s="1402"/>
      <c r="HE101" s="1402"/>
      <c r="HF101" s="1390"/>
      <c r="HG101" s="1390"/>
      <c r="HH101" s="1402"/>
      <c r="HI101" s="1402"/>
      <c r="HJ101" s="1402"/>
      <c r="HK101" s="1402"/>
      <c r="HL101" s="1402"/>
      <c r="HM101" s="1402"/>
      <c r="HN101" s="1402"/>
      <c r="HO101" s="1402"/>
      <c r="HP101" s="1402"/>
      <c r="HQ101" s="1402"/>
      <c r="HR101" s="1402"/>
      <c r="HS101" s="1402"/>
      <c r="HT101" s="1402"/>
      <c r="HU101" s="1402"/>
      <c r="HV101" s="1402"/>
      <c r="HW101" s="1402"/>
      <c r="HX101" s="1402"/>
      <c r="HY101" s="1402"/>
      <c r="HZ101" s="1402"/>
      <c r="IA101" s="1402"/>
      <c r="IB101" s="1402"/>
      <c r="IC101" s="1402"/>
      <c r="ID101" s="1402"/>
      <c r="IE101" s="1402"/>
      <c r="IF101" s="1402"/>
      <c r="IG101" s="1402"/>
      <c r="IH101" s="1402"/>
      <c r="II101" s="1402"/>
      <c r="IJ101" s="1402"/>
      <c r="IK101" s="1402"/>
      <c r="IL101" s="1402"/>
      <c r="IM101" s="1402"/>
      <c r="IN101" s="1402"/>
      <c r="IO101" s="1402"/>
      <c r="IP101" s="1402"/>
      <c r="IQ101" s="1402"/>
      <c r="IR101" s="1402"/>
      <c r="IS101" s="1402"/>
      <c r="IT101" s="1402"/>
      <c r="IU101" s="1402"/>
      <c r="IV101" s="1402"/>
      <c r="IW101" s="1402"/>
      <c r="IX101" s="1402"/>
      <c r="IY101" s="1402"/>
      <c r="IZ101" s="1402"/>
      <c r="JA101" s="1402"/>
      <c r="JB101" s="1402"/>
      <c r="JC101" s="1402"/>
      <c r="JD101" s="1402"/>
      <c r="JE101" s="1402"/>
      <c r="JF101" s="1402"/>
      <c r="JG101" s="1402"/>
      <c r="JH101" s="1402"/>
      <c r="JI101" s="1402"/>
      <c r="JJ101" s="1402"/>
      <c r="JK101" s="1402"/>
      <c r="JL101" s="1402"/>
      <c r="JM101" s="1402"/>
      <c r="JN101" s="1402"/>
      <c r="JO101" s="1402"/>
      <c r="JP101" s="1402"/>
      <c r="JQ101" s="1403"/>
      <c r="JR101" s="351"/>
      <c r="JS101" s="1400"/>
    </row>
    <row r="102" spans="1:279" x14ac:dyDescent="0.25">
      <c r="A102" s="1367">
        <v>16</v>
      </c>
      <c r="B102" s="1368" t="str">
        <f t="shared" si="10"/>
        <v/>
      </c>
      <c r="C102" s="1359" t="s">
        <v>2583</v>
      </c>
      <c r="D102" s="1360" t="s">
        <v>2584</v>
      </c>
      <c r="E102" s="1390"/>
      <c r="F102" s="1390"/>
      <c r="G102" s="1390"/>
      <c r="H102" s="1390"/>
      <c r="I102" s="1390"/>
      <c r="J102" s="1390"/>
      <c r="K102" s="1390"/>
      <c r="L102" s="1390"/>
      <c r="M102" s="1390"/>
      <c r="N102" s="1390"/>
      <c r="O102" s="1390"/>
      <c r="P102" s="1390"/>
      <c r="Q102" s="1390"/>
      <c r="R102" s="1390"/>
      <c r="S102" s="1390"/>
      <c r="T102" s="1390"/>
      <c r="U102" s="1390"/>
      <c r="V102" s="1390"/>
      <c r="W102" s="1390"/>
      <c r="X102" s="1390"/>
      <c r="Y102" s="1390"/>
      <c r="Z102" s="1390"/>
      <c r="AA102" s="1390"/>
      <c r="AB102" s="1390"/>
      <c r="AC102" s="1390"/>
      <c r="AD102" s="1390"/>
      <c r="AE102" s="1390"/>
      <c r="AF102" s="1390"/>
      <c r="AG102" s="1390"/>
      <c r="AH102" s="1390"/>
      <c r="AI102" s="1390"/>
      <c r="AJ102" s="1390"/>
      <c r="AK102" s="1390"/>
      <c r="AL102" s="1390"/>
      <c r="AM102" s="1390"/>
      <c r="AN102" s="1390"/>
      <c r="AO102" s="1390"/>
      <c r="AP102" s="1390"/>
      <c r="AQ102" s="1390"/>
      <c r="AR102" s="1390"/>
      <c r="AS102" s="1390"/>
      <c r="AT102" s="1390"/>
      <c r="AU102" s="1390"/>
      <c r="AV102" s="1390"/>
      <c r="AW102" s="1390"/>
      <c r="AX102" s="1390"/>
      <c r="AY102" s="1390"/>
      <c r="AZ102" s="1390"/>
      <c r="BA102" s="1390"/>
      <c r="BB102" s="1390"/>
      <c r="BC102" s="1390"/>
      <c r="BD102" s="1390"/>
      <c r="BE102" s="1390"/>
      <c r="BF102" s="1390"/>
      <c r="BG102" s="1390"/>
      <c r="BH102" s="1390"/>
      <c r="BI102" s="1390"/>
      <c r="BJ102" s="1390"/>
      <c r="BK102" s="1390"/>
      <c r="BL102" s="1390"/>
      <c r="BM102" s="1390"/>
      <c r="BN102" s="1390"/>
      <c r="BO102" s="1390"/>
      <c r="BP102" s="1390"/>
      <c r="BQ102" s="1390"/>
      <c r="BR102" s="1390"/>
      <c r="BS102" s="1390"/>
      <c r="BT102" s="1390"/>
      <c r="BU102" s="1390"/>
      <c r="BV102" s="1390"/>
      <c r="BW102" s="1390"/>
      <c r="BX102" s="1390"/>
      <c r="BY102" s="1390"/>
      <c r="BZ102" s="1390"/>
      <c r="CA102" s="1390"/>
      <c r="CB102" s="1390"/>
      <c r="CC102" s="1402"/>
      <c r="CD102" s="1402"/>
      <c r="CE102" s="1402"/>
      <c r="CF102" s="1402"/>
      <c r="CG102" s="1402"/>
      <c r="CH102" s="1402"/>
      <c r="CI102" s="1402"/>
      <c r="CJ102" s="1402"/>
      <c r="CK102" s="1402"/>
      <c r="CL102" s="1402"/>
      <c r="CM102" s="1402"/>
      <c r="CN102" s="1390"/>
      <c r="CO102" s="1402"/>
      <c r="CP102" s="1402"/>
      <c r="CQ102" s="1402"/>
      <c r="CR102" s="1402"/>
      <c r="CS102" s="1402"/>
      <c r="CT102" s="1402"/>
      <c r="CU102" s="1402"/>
      <c r="CV102" s="1402"/>
      <c r="CW102" s="1402"/>
      <c r="CX102" s="1402"/>
      <c r="CY102" s="1402"/>
      <c r="CZ102" s="1402"/>
      <c r="DA102" s="1402"/>
      <c r="DB102" s="1402"/>
      <c r="DC102" s="1402"/>
      <c r="DD102" s="1402"/>
      <c r="DE102" s="1402"/>
      <c r="DF102" s="1402"/>
      <c r="DG102" s="1402"/>
      <c r="DH102" s="1402"/>
      <c r="DI102" s="1402"/>
      <c r="DJ102" s="1402"/>
      <c r="DK102" s="1402"/>
      <c r="DL102" s="1402"/>
      <c r="DM102" s="1402"/>
      <c r="DN102" s="1402"/>
      <c r="DO102" s="1402"/>
      <c r="DP102" s="1402"/>
      <c r="DQ102" s="1402"/>
      <c r="DR102" s="1402"/>
      <c r="DS102" s="1402"/>
      <c r="DT102" s="1402"/>
      <c r="DU102" s="1402"/>
      <c r="DV102" s="1402"/>
      <c r="DW102" s="1390"/>
      <c r="DX102" s="1402"/>
      <c r="DY102" s="1402"/>
      <c r="DZ102" s="1402"/>
      <c r="EA102" s="1402"/>
      <c r="EB102" s="1402"/>
      <c r="EC102" s="1402"/>
      <c r="ED102" s="1402"/>
      <c r="EE102" s="1402"/>
      <c r="EF102" s="1402"/>
      <c r="EG102" s="1402"/>
      <c r="EH102" s="1402"/>
      <c r="EI102" s="1402"/>
      <c r="EJ102" s="1402"/>
      <c r="EK102" s="1402"/>
      <c r="EL102" s="1402"/>
      <c r="EM102" s="1390"/>
      <c r="EN102" s="1390"/>
      <c r="EO102" s="1390"/>
      <c r="EP102" s="1390"/>
      <c r="EQ102" s="1402"/>
      <c r="ER102" s="1402"/>
      <c r="ES102" s="1402"/>
      <c r="ET102" s="1402"/>
      <c r="EU102" s="1402"/>
      <c r="EV102" s="1390"/>
      <c r="EW102" s="1402"/>
      <c r="EX102" s="1402"/>
      <c r="EY102" s="1402"/>
      <c r="EZ102" s="1402"/>
      <c r="FA102" s="1402"/>
      <c r="FB102" s="1402"/>
      <c r="FC102" s="1402"/>
      <c r="FD102" s="1402"/>
      <c r="FE102" s="1402"/>
      <c r="FF102" s="1402"/>
      <c r="FG102" s="1402"/>
      <c r="FH102" s="1402"/>
      <c r="FI102" s="1402"/>
      <c r="FJ102" s="1402"/>
      <c r="FK102" s="1402"/>
      <c r="FL102" s="1402"/>
      <c r="FM102" s="1402"/>
      <c r="FN102" s="1402"/>
      <c r="FO102" s="1402"/>
      <c r="FP102" s="1402"/>
      <c r="FQ102" s="1390">
        <v>4950</v>
      </c>
      <c r="FR102" s="1402"/>
      <c r="FS102" s="1402"/>
      <c r="FT102" s="1402"/>
      <c r="FU102" s="1402"/>
      <c r="FV102" s="1402"/>
      <c r="FW102" s="1402"/>
      <c r="FX102" s="1390">
        <v>23505</v>
      </c>
      <c r="FY102" s="1402"/>
      <c r="FZ102" s="1402"/>
      <c r="GA102" s="1402"/>
      <c r="GB102" s="1402"/>
      <c r="GC102" s="1402"/>
      <c r="GD102" s="1402"/>
      <c r="GE102" s="1402"/>
      <c r="GF102" s="1402"/>
      <c r="GG102" s="1402"/>
      <c r="GH102" s="1390"/>
      <c r="GI102" s="1390"/>
      <c r="GJ102" s="1390"/>
      <c r="GK102" s="1402"/>
      <c r="GL102" s="1402"/>
      <c r="GM102" s="1402"/>
      <c r="GN102" s="1402"/>
      <c r="GO102" s="1402"/>
      <c r="GP102" s="1402"/>
      <c r="GQ102" s="1402"/>
      <c r="GR102" s="1402"/>
      <c r="GS102" s="1390"/>
      <c r="GT102" s="1390">
        <v>23505</v>
      </c>
      <c r="GU102" s="1390">
        <v>4950</v>
      </c>
      <c r="GV102" s="1402"/>
      <c r="GW102" s="1402"/>
      <c r="GX102" s="1390"/>
      <c r="GY102" s="1402"/>
      <c r="GZ102" s="1390"/>
      <c r="HA102" s="1390"/>
      <c r="HB102" s="1402"/>
      <c r="HC102" s="1402"/>
      <c r="HD102" s="1402"/>
      <c r="HE102" s="1402"/>
      <c r="HF102" s="1390"/>
      <c r="HG102" s="1390"/>
      <c r="HH102" s="1402"/>
      <c r="HI102" s="1402"/>
      <c r="HJ102" s="1402"/>
      <c r="HK102" s="1402"/>
      <c r="HL102" s="1402"/>
      <c r="HM102" s="1402"/>
      <c r="HN102" s="1402"/>
      <c r="HO102" s="1402"/>
      <c r="HP102" s="1402"/>
      <c r="HQ102" s="1402"/>
      <c r="HR102" s="1402"/>
      <c r="HS102" s="1402"/>
      <c r="HT102" s="1402"/>
      <c r="HU102" s="1402"/>
      <c r="HV102" s="1402"/>
      <c r="HW102" s="1402"/>
      <c r="HX102" s="1402"/>
      <c r="HY102" s="1402"/>
      <c r="HZ102" s="1402"/>
      <c r="IA102" s="1402"/>
      <c r="IB102" s="1402"/>
      <c r="IC102" s="1402"/>
      <c r="ID102" s="1402"/>
      <c r="IE102" s="1402"/>
      <c r="IF102" s="1402"/>
      <c r="IG102" s="1402"/>
      <c r="IH102" s="1402"/>
      <c r="II102" s="1402"/>
      <c r="IJ102" s="1402"/>
      <c r="IK102" s="1402"/>
      <c r="IL102" s="1402"/>
      <c r="IM102" s="1402"/>
      <c r="IN102" s="1402"/>
      <c r="IO102" s="1402"/>
      <c r="IP102" s="1402"/>
      <c r="IQ102" s="1402"/>
      <c r="IR102" s="1402"/>
      <c r="IS102" s="1402"/>
      <c r="IT102" s="1402"/>
      <c r="IU102" s="1402"/>
      <c r="IV102" s="1402"/>
      <c r="IW102" s="1402"/>
      <c r="IX102" s="1402"/>
      <c r="IY102" s="1402"/>
      <c r="IZ102" s="1402"/>
      <c r="JA102" s="1402"/>
      <c r="JB102" s="1402"/>
      <c r="JC102" s="1402"/>
      <c r="JD102" s="1402"/>
      <c r="JE102" s="1402"/>
      <c r="JF102" s="1402"/>
      <c r="JG102" s="1402"/>
      <c r="JH102" s="1402"/>
      <c r="JI102" s="1402"/>
      <c r="JJ102" s="1402"/>
      <c r="JK102" s="1402"/>
      <c r="JL102" s="1402"/>
      <c r="JM102" s="1402"/>
      <c r="JN102" s="1402"/>
      <c r="JO102" s="1402"/>
      <c r="JP102" s="1402"/>
      <c r="JQ102" s="1403"/>
      <c r="JR102" s="351"/>
      <c r="JS102" s="1400"/>
    </row>
    <row r="103" spans="1:279" x14ac:dyDescent="0.25">
      <c r="A103" s="1367">
        <v>17</v>
      </c>
      <c r="B103" s="1368" t="str">
        <f t="shared" si="10"/>
        <v/>
      </c>
      <c r="C103" s="1359" t="s">
        <v>2585</v>
      </c>
      <c r="D103" s="1360" t="s">
        <v>2586</v>
      </c>
      <c r="E103" s="1390"/>
      <c r="F103" s="1390"/>
      <c r="G103" s="1390"/>
      <c r="H103" s="1390"/>
      <c r="I103" s="1390"/>
      <c r="J103" s="1390"/>
      <c r="K103" s="1390"/>
      <c r="L103" s="1390"/>
      <c r="M103" s="1361"/>
      <c r="N103" s="1390"/>
      <c r="O103" s="1390"/>
      <c r="P103" s="1390"/>
      <c r="Q103" s="1390"/>
      <c r="R103" s="1390"/>
      <c r="S103" s="1390"/>
      <c r="T103" s="1390"/>
      <c r="U103" s="1390"/>
      <c r="V103" s="1390"/>
      <c r="W103" s="1390"/>
      <c r="X103" s="1390"/>
      <c r="Y103" s="1390"/>
      <c r="Z103" s="1390"/>
      <c r="AA103" s="1390"/>
      <c r="AB103" s="1390"/>
      <c r="AC103" s="1390"/>
      <c r="AD103" s="1390"/>
      <c r="AE103" s="1390"/>
      <c r="AF103" s="1390"/>
      <c r="AG103" s="1390"/>
      <c r="AH103" s="1390"/>
      <c r="AI103" s="1390"/>
      <c r="AJ103" s="1390"/>
      <c r="AK103" s="1390"/>
      <c r="AL103" s="1390"/>
      <c r="AM103" s="1390"/>
      <c r="AN103" s="1390"/>
      <c r="AO103" s="1390"/>
      <c r="AP103" s="1390"/>
      <c r="AQ103" s="1390"/>
      <c r="AR103" s="1390"/>
      <c r="AS103" s="1390"/>
      <c r="AT103" s="1390"/>
      <c r="AU103" s="1390"/>
      <c r="AV103" s="1390"/>
      <c r="AW103" s="1390"/>
      <c r="AX103" s="1390"/>
      <c r="AY103" s="1390"/>
      <c r="AZ103" s="1390"/>
      <c r="BA103" s="1390"/>
      <c r="BB103" s="1390"/>
      <c r="BC103" s="1390"/>
      <c r="BD103" s="1390"/>
      <c r="BE103" s="1390"/>
      <c r="BF103" s="1390"/>
      <c r="BG103" s="1390"/>
      <c r="BH103" s="1390"/>
      <c r="BI103" s="1390"/>
      <c r="BJ103" s="1390"/>
      <c r="BK103" s="1390"/>
      <c r="BL103" s="1390"/>
      <c r="BM103" s="1390"/>
      <c r="BN103" s="1390"/>
      <c r="BO103" s="1390"/>
      <c r="BP103" s="1390"/>
      <c r="BQ103" s="1390"/>
      <c r="BR103" s="1390"/>
      <c r="BS103" s="1390"/>
      <c r="BT103" s="1390"/>
      <c r="BU103" s="1390"/>
      <c r="BV103" s="1390"/>
      <c r="BW103" s="1390"/>
      <c r="BX103" s="1390"/>
      <c r="BY103" s="1390"/>
      <c r="BZ103" s="1390"/>
      <c r="CA103" s="1390"/>
      <c r="CB103" s="1390"/>
      <c r="CC103" s="1402"/>
      <c r="CD103" s="1402"/>
      <c r="CE103" s="1402"/>
      <c r="CF103" s="1402"/>
      <c r="CG103" s="1402"/>
      <c r="CH103" s="1402"/>
      <c r="CI103" s="1402"/>
      <c r="CJ103" s="1402"/>
      <c r="CK103" s="1402"/>
      <c r="CL103" s="1402"/>
      <c r="CM103" s="1402"/>
      <c r="CN103" s="1390"/>
      <c r="CO103" s="1402"/>
      <c r="CP103" s="1402"/>
      <c r="CQ103" s="1402"/>
      <c r="CR103" s="1402"/>
      <c r="CS103" s="1402"/>
      <c r="CT103" s="1402"/>
      <c r="CU103" s="1402"/>
      <c r="CV103" s="1402"/>
      <c r="CW103" s="1402"/>
      <c r="CX103" s="1402"/>
      <c r="CY103" s="1402"/>
      <c r="CZ103" s="1402"/>
      <c r="DA103" s="1402"/>
      <c r="DB103" s="1402"/>
      <c r="DC103" s="1402"/>
      <c r="DD103" s="1402"/>
      <c r="DE103" s="1402"/>
      <c r="DF103" s="1402"/>
      <c r="DG103" s="1402"/>
      <c r="DH103" s="1402"/>
      <c r="DI103" s="1402"/>
      <c r="DJ103" s="1402"/>
      <c r="DK103" s="1402"/>
      <c r="DL103" s="1402"/>
      <c r="DM103" s="1402"/>
      <c r="DN103" s="1402"/>
      <c r="DO103" s="1402"/>
      <c r="DP103" s="1402"/>
      <c r="DQ103" s="1402"/>
      <c r="DR103" s="1402"/>
      <c r="DS103" s="1402"/>
      <c r="DT103" s="1402"/>
      <c r="DU103" s="1402"/>
      <c r="DV103" s="1402"/>
      <c r="DW103" s="1390"/>
      <c r="DX103" s="1402"/>
      <c r="DY103" s="1402"/>
      <c r="DZ103" s="1402"/>
      <c r="EA103" s="1402"/>
      <c r="EB103" s="1402"/>
      <c r="EC103" s="1402"/>
      <c r="ED103" s="1402"/>
      <c r="EE103" s="1402"/>
      <c r="EF103" s="1402"/>
      <c r="EG103" s="1402"/>
      <c r="EH103" s="1402"/>
      <c r="EI103" s="1402"/>
      <c r="EJ103" s="1402"/>
      <c r="EK103" s="1402"/>
      <c r="EL103" s="1402"/>
      <c r="EM103" s="1390"/>
      <c r="EN103" s="1390"/>
      <c r="EO103" s="1361"/>
      <c r="EP103" s="1390"/>
      <c r="EQ103" s="1402"/>
      <c r="ER103" s="1402"/>
      <c r="ES103" s="1402"/>
      <c r="ET103" s="1402"/>
      <c r="EU103" s="1402"/>
      <c r="EV103" s="1361"/>
      <c r="EW103" s="1402"/>
      <c r="EX103" s="1402"/>
      <c r="EY103" s="1402"/>
      <c r="EZ103" s="1402"/>
      <c r="FA103" s="1402"/>
      <c r="FB103" s="1402"/>
      <c r="FC103" s="1402"/>
      <c r="FD103" s="1402"/>
      <c r="FE103" s="1402"/>
      <c r="FF103" s="1402"/>
      <c r="FG103" s="1402"/>
      <c r="FH103" s="1402"/>
      <c r="FI103" s="1402"/>
      <c r="FJ103" s="1402"/>
      <c r="FK103" s="1402"/>
      <c r="FL103" s="1402"/>
      <c r="FM103" s="1402"/>
      <c r="FN103" s="1402"/>
      <c r="FO103" s="1402"/>
      <c r="FP103" s="1402"/>
      <c r="FQ103" s="1390">
        <v>892</v>
      </c>
      <c r="FR103" s="1402"/>
      <c r="FS103" s="1402"/>
      <c r="FT103" s="1402"/>
      <c r="FU103" s="1402"/>
      <c r="FV103" s="1402"/>
      <c r="FW103" s="1402"/>
      <c r="FX103" s="1390">
        <v>7800</v>
      </c>
      <c r="FY103" s="1402"/>
      <c r="FZ103" s="1402"/>
      <c r="GA103" s="1402"/>
      <c r="GB103" s="1402"/>
      <c r="GC103" s="1402"/>
      <c r="GD103" s="1402"/>
      <c r="GE103" s="1402"/>
      <c r="GF103" s="1402"/>
      <c r="GG103" s="1402"/>
      <c r="GH103" s="1390"/>
      <c r="GI103" s="1390"/>
      <c r="GJ103" s="1390"/>
      <c r="GK103" s="1402"/>
      <c r="GL103" s="1402"/>
      <c r="GM103" s="1402"/>
      <c r="GN103" s="1402"/>
      <c r="GO103" s="1402"/>
      <c r="GP103" s="1402"/>
      <c r="GQ103" s="1402"/>
      <c r="GR103" s="1402"/>
      <c r="GS103" s="1390"/>
      <c r="GT103" s="1390">
        <v>7800</v>
      </c>
      <c r="GU103" s="1390">
        <v>892</v>
      </c>
      <c r="GV103" s="1402"/>
      <c r="GW103" s="1402"/>
      <c r="GX103" s="1390"/>
      <c r="GY103" s="1402"/>
      <c r="GZ103" s="1390"/>
      <c r="HA103" s="1390"/>
      <c r="HB103" s="1402"/>
      <c r="HC103" s="1402"/>
      <c r="HD103" s="1402"/>
      <c r="HE103" s="1402"/>
      <c r="HF103" s="1390"/>
      <c r="HG103" s="1390"/>
      <c r="HH103" s="1402"/>
      <c r="HI103" s="1402"/>
      <c r="HJ103" s="1402"/>
      <c r="HK103" s="1402"/>
      <c r="HL103" s="1402"/>
      <c r="HM103" s="1402"/>
      <c r="HN103" s="1402"/>
      <c r="HO103" s="1402"/>
      <c r="HP103" s="1402"/>
      <c r="HQ103" s="1402"/>
      <c r="HR103" s="1402"/>
      <c r="HS103" s="1402"/>
      <c r="HT103" s="1402"/>
      <c r="HU103" s="1402"/>
      <c r="HV103" s="1402"/>
      <c r="HW103" s="1402"/>
      <c r="HX103" s="1402"/>
      <c r="HY103" s="1402"/>
      <c r="HZ103" s="1402"/>
      <c r="IA103" s="1402"/>
      <c r="IB103" s="1402"/>
      <c r="IC103" s="1402"/>
      <c r="ID103" s="1402"/>
      <c r="IE103" s="1402"/>
      <c r="IF103" s="1402"/>
      <c r="IG103" s="1402"/>
      <c r="IH103" s="1402"/>
      <c r="II103" s="1402"/>
      <c r="IJ103" s="1402"/>
      <c r="IK103" s="1402"/>
      <c r="IL103" s="1402"/>
      <c r="IM103" s="1402"/>
      <c r="IN103" s="1402"/>
      <c r="IO103" s="1402"/>
      <c r="IP103" s="1402"/>
      <c r="IQ103" s="1402"/>
      <c r="IR103" s="1402"/>
      <c r="IS103" s="1402"/>
      <c r="IT103" s="1402"/>
      <c r="IU103" s="1402"/>
      <c r="IV103" s="1402"/>
      <c r="IW103" s="1402"/>
      <c r="IX103" s="1402"/>
      <c r="IY103" s="1402"/>
      <c r="IZ103" s="1402"/>
      <c r="JA103" s="1402"/>
      <c r="JB103" s="1402"/>
      <c r="JC103" s="1402"/>
      <c r="JD103" s="1402"/>
      <c r="JE103" s="1402"/>
      <c r="JF103" s="1402"/>
      <c r="JG103" s="1402"/>
      <c r="JH103" s="1402"/>
      <c r="JI103" s="1402"/>
      <c r="JJ103" s="1402"/>
      <c r="JK103" s="1402"/>
      <c r="JL103" s="1402"/>
      <c r="JM103" s="1402"/>
      <c r="JN103" s="1402"/>
      <c r="JO103" s="1402"/>
      <c r="JP103" s="1402"/>
      <c r="JQ103" s="1403"/>
      <c r="JR103" s="351"/>
      <c r="JS103" s="1400"/>
    </row>
    <row r="104" spans="1:279" x14ac:dyDescent="0.25">
      <c r="A104" s="1367">
        <v>18</v>
      </c>
      <c r="B104" s="1368" t="str">
        <f t="shared" ref="B104" si="11">IF(AIL_IND&gt;1,IF(HLOOKUP(AIL_IND-1,AIL_RANGE,A104)="","",HLOOKUP(AIL_IND-1,AIL_RANGE,A104)),"")</f>
        <v/>
      </c>
      <c r="C104" s="1359" t="s">
        <v>2587</v>
      </c>
      <c r="D104" s="1360" t="s">
        <v>2588</v>
      </c>
      <c r="E104" s="1426"/>
      <c r="F104" s="1426"/>
      <c r="G104" s="1426"/>
      <c r="H104" s="1427"/>
      <c r="I104" s="1427"/>
      <c r="J104" s="1426"/>
      <c r="K104" s="1426"/>
      <c r="L104" s="1426"/>
      <c r="M104" s="1426"/>
      <c r="N104" s="1426"/>
      <c r="O104" s="1426"/>
      <c r="P104" s="1426"/>
      <c r="Q104" s="1426"/>
      <c r="R104" s="1426"/>
      <c r="S104" s="1426"/>
      <c r="T104" s="1426"/>
      <c r="U104" s="1426"/>
      <c r="V104" s="1426"/>
      <c r="W104" s="1426"/>
      <c r="X104" s="1426"/>
      <c r="Y104" s="1426"/>
      <c r="Z104" s="1426"/>
      <c r="AA104" s="1426"/>
      <c r="AB104" s="1426"/>
      <c r="AC104" s="1426"/>
      <c r="AD104" s="1426"/>
      <c r="AE104" s="1426"/>
      <c r="AF104" s="1426"/>
      <c r="AG104" s="1426"/>
      <c r="AH104" s="1426"/>
      <c r="AI104" s="1426"/>
      <c r="AJ104" s="1426"/>
      <c r="AK104" s="1426"/>
      <c r="AL104" s="1426"/>
      <c r="AM104" s="1426"/>
      <c r="AN104" s="1426"/>
      <c r="AO104" s="1426"/>
      <c r="AP104" s="1426"/>
      <c r="AQ104" s="1426"/>
      <c r="AR104" s="1426"/>
      <c r="AS104" s="1426"/>
      <c r="AT104" s="1426"/>
      <c r="AU104" s="1426"/>
      <c r="AV104" s="1426"/>
      <c r="AW104" s="1426"/>
      <c r="AX104" s="1426"/>
      <c r="AY104" s="1426"/>
      <c r="AZ104" s="1426"/>
      <c r="BA104" s="1426"/>
      <c r="BB104" s="1426"/>
      <c r="BC104" s="1426"/>
      <c r="BD104" s="1426"/>
      <c r="BE104" s="1426"/>
      <c r="BF104" s="1426"/>
      <c r="BG104" s="1426"/>
      <c r="BH104" s="1426"/>
      <c r="BI104" s="1426"/>
      <c r="BJ104" s="1426"/>
      <c r="BK104" s="1426"/>
      <c r="BL104" s="1426"/>
      <c r="BM104" s="1426"/>
      <c r="BN104" s="1426"/>
      <c r="BO104" s="1426"/>
      <c r="BP104" s="1426"/>
      <c r="BQ104" s="1426"/>
      <c r="BR104" s="1426"/>
      <c r="BS104" s="1426"/>
      <c r="BT104" s="1426"/>
      <c r="BU104" s="1426"/>
      <c r="BV104" s="1426"/>
      <c r="BW104" s="1426"/>
      <c r="BX104" s="1426"/>
      <c r="BY104" s="1426"/>
      <c r="BZ104" s="1426"/>
      <c r="CA104" s="1426"/>
      <c r="CB104" s="1426"/>
      <c r="CC104" s="1428"/>
      <c r="CD104" s="1428"/>
      <c r="CE104" s="1428"/>
      <c r="CF104" s="1428"/>
      <c r="CG104" s="1428"/>
      <c r="CH104" s="1428"/>
      <c r="CI104" s="1428"/>
      <c r="CJ104" s="1428"/>
      <c r="CK104" s="1428"/>
      <c r="CL104" s="1428"/>
      <c r="CM104" s="1428"/>
      <c r="CN104" s="1427"/>
      <c r="CO104" s="1428"/>
      <c r="CP104" s="1428"/>
      <c r="CQ104" s="1428"/>
      <c r="CR104" s="1428"/>
      <c r="CS104" s="1428"/>
      <c r="CT104" s="1428"/>
      <c r="CU104" s="1428"/>
      <c r="CV104" s="1428"/>
      <c r="CW104" s="1428"/>
      <c r="CX104" s="1428"/>
      <c r="CY104" s="1428"/>
      <c r="CZ104" s="1428"/>
      <c r="DA104" s="1428"/>
      <c r="DB104" s="1428"/>
      <c r="DC104" s="1428"/>
      <c r="DD104" s="1428"/>
      <c r="DE104" s="1428"/>
      <c r="DF104" s="1428"/>
      <c r="DG104" s="1428"/>
      <c r="DH104" s="1428"/>
      <c r="DI104" s="1428"/>
      <c r="DJ104" s="1428"/>
      <c r="DK104" s="1428"/>
      <c r="DL104" s="1428"/>
      <c r="DM104" s="1428"/>
      <c r="DN104" s="1428"/>
      <c r="DO104" s="1428"/>
      <c r="DP104" s="1428"/>
      <c r="DQ104" s="1428"/>
      <c r="DR104" s="1428"/>
      <c r="DS104" s="1428"/>
      <c r="DT104" s="1428"/>
      <c r="DU104" s="1428"/>
      <c r="DV104" s="1428"/>
      <c r="DW104" s="1426"/>
      <c r="DX104" s="1428"/>
      <c r="DY104" s="1428"/>
      <c r="DZ104" s="1428"/>
      <c r="EA104" s="1428"/>
      <c r="EB104" s="1428"/>
      <c r="EC104" s="1428"/>
      <c r="ED104" s="1428"/>
      <c r="EE104" s="1428"/>
      <c r="EF104" s="1428"/>
      <c r="EG104" s="1428"/>
      <c r="EH104" s="1428"/>
      <c r="EI104" s="1428"/>
      <c r="EJ104" s="1428"/>
      <c r="EK104" s="1428"/>
      <c r="EL104" s="1428"/>
      <c r="EM104" s="1426"/>
      <c r="EN104" s="1426"/>
      <c r="EO104" s="1426"/>
      <c r="EP104" s="1426"/>
      <c r="EQ104" s="1428"/>
      <c r="ER104" s="1428"/>
      <c r="ES104" s="1428"/>
      <c r="ET104" s="1428"/>
      <c r="EU104" s="1428"/>
      <c r="EV104" s="1426"/>
      <c r="EW104" s="1428"/>
      <c r="EX104" s="1428"/>
      <c r="EY104" s="1428"/>
      <c r="EZ104" s="1428"/>
      <c r="FA104" s="1428"/>
      <c r="FB104" s="1428"/>
      <c r="FC104" s="1428"/>
      <c r="FD104" s="1428"/>
      <c r="FE104" s="1428"/>
      <c r="FF104" s="1428"/>
      <c r="FG104" s="1428"/>
      <c r="FH104" s="1428"/>
      <c r="FI104" s="1428"/>
      <c r="FJ104" s="1428"/>
      <c r="FK104" s="1428"/>
      <c r="FL104" s="1428"/>
      <c r="FM104" s="1428"/>
      <c r="FN104" s="1428"/>
      <c r="FO104" s="1428"/>
      <c r="FP104" s="1428"/>
      <c r="FQ104" s="1427"/>
      <c r="FR104" s="1428"/>
      <c r="FS104" s="1428"/>
      <c r="FT104" s="1428"/>
      <c r="FU104" s="1428"/>
      <c r="FV104" s="1428"/>
      <c r="FW104" s="1428"/>
      <c r="FX104" s="1427"/>
      <c r="FY104" s="1428"/>
      <c r="FZ104" s="1428"/>
      <c r="GA104" s="1428"/>
      <c r="GB104" s="1428"/>
      <c r="GC104" s="1428"/>
      <c r="GD104" s="1428"/>
      <c r="GE104" s="1428"/>
      <c r="GF104" s="1428"/>
      <c r="GG104" s="1428"/>
      <c r="GH104" s="1426"/>
      <c r="GI104" s="1426"/>
      <c r="GJ104" s="1426"/>
      <c r="GK104" s="1428"/>
      <c r="GL104" s="1428"/>
      <c r="GM104" s="1428"/>
      <c r="GN104" s="1428"/>
      <c r="GO104" s="1428"/>
      <c r="GP104" s="1428"/>
      <c r="GQ104" s="1428"/>
      <c r="GR104" s="1428"/>
      <c r="GS104" s="1426"/>
      <c r="GT104" s="1427"/>
      <c r="GU104" s="1427"/>
      <c r="GV104" s="1428"/>
      <c r="GW104" s="1428"/>
      <c r="GX104" s="1426"/>
      <c r="GY104" s="1428"/>
      <c r="GZ104" s="1426"/>
      <c r="HA104" s="1426"/>
      <c r="HB104" s="1428"/>
      <c r="HC104" s="1428"/>
      <c r="HD104" s="1428"/>
      <c r="HE104" s="1428"/>
      <c r="HF104" s="1426"/>
      <c r="HG104" s="1426"/>
      <c r="HH104" s="1428"/>
      <c r="HI104" s="1428"/>
      <c r="HJ104" s="1428"/>
      <c r="HK104" s="1428"/>
      <c r="HL104" s="1428"/>
      <c r="HM104" s="1428"/>
      <c r="HN104" s="1428"/>
      <c r="HO104" s="1428"/>
      <c r="HP104" s="1428"/>
      <c r="HQ104" s="1428"/>
      <c r="HR104" s="1428"/>
      <c r="HS104" s="1428"/>
      <c r="HT104" s="1428"/>
      <c r="HU104" s="1428"/>
      <c r="HV104" s="1428"/>
      <c r="HW104" s="1428"/>
      <c r="HX104" s="1428"/>
      <c r="HY104" s="1428"/>
      <c r="HZ104" s="1428"/>
      <c r="IA104" s="1428"/>
      <c r="IB104" s="1428"/>
      <c r="IC104" s="1428"/>
      <c r="ID104" s="1428"/>
      <c r="IE104" s="1428"/>
      <c r="IF104" s="1428"/>
      <c r="IG104" s="1428"/>
      <c r="IH104" s="1428"/>
      <c r="II104" s="1428"/>
      <c r="IJ104" s="1428"/>
      <c r="IK104" s="1428"/>
      <c r="IL104" s="1428"/>
      <c r="IM104" s="1428"/>
      <c r="IN104" s="1428"/>
      <c r="IO104" s="1428"/>
      <c r="IP104" s="1428"/>
      <c r="IQ104" s="1428"/>
      <c r="IR104" s="1428"/>
      <c r="IS104" s="1428"/>
      <c r="IT104" s="1428"/>
      <c r="IU104" s="1428"/>
      <c r="IV104" s="1428"/>
      <c r="IW104" s="1428"/>
      <c r="IX104" s="1428"/>
      <c r="IY104" s="1428"/>
      <c r="IZ104" s="1428"/>
      <c r="JA104" s="1428"/>
      <c r="JB104" s="1428"/>
      <c r="JC104" s="1428"/>
      <c r="JD104" s="1428"/>
      <c r="JE104" s="1428"/>
      <c r="JF104" s="1428"/>
      <c r="JG104" s="1428"/>
      <c r="JH104" s="1428"/>
      <c r="JI104" s="1428"/>
      <c r="JJ104" s="1428"/>
      <c r="JK104" s="1428"/>
      <c r="JL104" s="1428"/>
      <c r="JM104" s="1428"/>
      <c r="JN104" s="1428"/>
      <c r="JO104" s="1428"/>
      <c r="JP104" s="1428"/>
      <c r="JQ104" s="1429"/>
      <c r="JR104" s="351"/>
      <c r="JS104" s="1400" t="s">
        <v>2589</v>
      </c>
    </row>
    <row r="105" spans="1:279" x14ac:dyDescent="0.25">
      <c r="A105" s="1367">
        <v>19</v>
      </c>
      <c r="B105" s="1368" t="str">
        <f>IF(AIL_IND&gt;1,IF(HLOOKUP(AIL_IND-1,AIL_RANGE,A105)="","",HLOOKUP(AIL_IND-1,AIL_RANGE,A105)),"")</f>
        <v/>
      </c>
      <c r="C105" s="1359" t="s">
        <v>2590</v>
      </c>
      <c r="D105" s="1360" t="str">
        <f>"The tax year in which the expected advantage arises, for example, "&amp;last_year&amp;" YYYY YY"</f>
        <v>The tax year in which the expected advantage arises, for example, 2024-25 YYYY YY</v>
      </c>
      <c r="E105" s="1426"/>
      <c r="F105" s="1430"/>
      <c r="G105" s="1430"/>
      <c r="H105" s="1430"/>
      <c r="I105" s="1430"/>
      <c r="J105" s="1430"/>
      <c r="K105" s="1430"/>
      <c r="L105" s="1430"/>
      <c r="M105" s="1430"/>
      <c r="N105" s="1430"/>
      <c r="O105" s="1430"/>
      <c r="P105" s="1430"/>
      <c r="Q105" s="1430"/>
      <c r="R105" s="1430"/>
      <c r="S105" s="1430"/>
      <c r="T105" s="1430"/>
      <c r="U105" s="1430"/>
      <c r="V105" s="1430"/>
      <c r="W105" s="1430"/>
      <c r="X105" s="1430"/>
      <c r="Y105" s="1430"/>
      <c r="Z105" s="1430"/>
      <c r="AA105" s="1430"/>
      <c r="AB105" s="1430"/>
      <c r="AC105" s="1430"/>
      <c r="AD105" s="1430"/>
      <c r="AE105" s="1430"/>
      <c r="AF105" s="1430"/>
      <c r="AG105" s="1430"/>
      <c r="AH105" s="1430"/>
      <c r="AI105" s="1430"/>
      <c r="AJ105" s="1430"/>
      <c r="AK105" s="1430"/>
      <c r="AL105" s="1430"/>
      <c r="AM105" s="1430"/>
      <c r="AN105" s="1430"/>
      <c r="AO105" s="1430"/>
      <c r="AP105" s="1430"/>
      <c r="AQ105" s="1430"/>
      <c r="AR105" s="1430"/>
      <c r="AS105" s="1430"/>
      <c r="AT105" s="1430"/>
      <c r="AU105" s="1430"/>
      <c r="AV105" s="1430"/>
      <c r="AW105" s="1430"/>
      <c r="AX105" s="1430"/>
      <c r="AY105" s="1430"/>
      <c r="AZ105" s="1430"/>
      <c r="BA105" s="1430"/>
      <c r="BB105" s="1430"/>
      <c r="BC105" s="1430"/>
      <c r="BD105" s="1430"/>
      <c r="BE105" s="1430"/>
      <c r="BF105" s="1430"/>
      <c r="BG105" s="1430"/>
      <c r="BH105" s="1430"/>
      <c r="BI105" s="1430"/>
      <c r="BJ105" s="1430"/>
      <c r="BK105" s="1430"/>
      <c r="BL105" s="1430"/>
      <c r="BM105" s="1430"/>
      <c r="BN105" s="1430"/>
      <c r="BO105" s="1430"/>
      <c r="BP105" s="1430"/>
      <c r="BQ105" s="1430"/>
      <c r="BR105" s="1430"/>
      <c r="BS105" s="1430"/>
      <c r="BT105" s="1430"/>
      <c r="BU105" s="1430"/>
      <c r="BV105" s="1430"/>
      <c r="BW105" s="1430"/>
      <c r="BX105" s="1430"/>
      <c r="BY105" s="1430"/>
      <c r="BZ105" s="1430"/>
      <c r="CA105" s="1430"/>
      <c r="CB105" s="1430"/>
      <c r="CC105" s="1431"/>
      <c r="CD105" s="1431"/>
      <c r="CE105" s="1431"/>
      <c r="CF105" s="1431"/>
      <c r="CG105" s="1431"/>
      <c r="CH105" s="1431"/>
      <c r="CI105" s="1431"/>
      <c r="CJ105" s="1431"/>
      <c r="CK105" s="1431"/>
      <c r="CL105" s="1431"/>
      <c r="CM105" s="1431"/>
      <c r="CN105" s="1430"/>
      <c r="CO105" s="1431"/>
      <c r="CP105" s="1431"/>
      <c r="CQ105" s="1431"/>
      <c r="CR105" s="1431"/>
      <c r="CS105" s="1431"/>
      <c r="CT105" s="1431"/>
      <c r="CU105" s="1431"/>
      <c r="CV105" s="1431"/>
      <c r="CW105" s="1431"/>
      <c r="CX105" s="1431"/>
      <c r="CY105" s="1431"/>
      <c r="CZ105" s="1431"/>
      <c r="DA105" s="1431"/>
      <c r="DB105" s="1431"/>
      <c r="DC105" s="1431"/>
      <c r="DD105" s="1431"/>
      <c r="DE105" s="1431"/>
      <c r="DF105" s="1431"/>
      <c r="DG105" s="1431"/>
      <c r="DH105" s="1431"/>
      <c r="DI105" s="1431"/>
      <c r="DJ105" s="1431"/>
      <c r="DK105" s="1431"/>
      <c r="DL105" s="1431"/>
      <c r="DM105" s="1431"/>
      <c r="DN105" s="1431"/>
      <c r="DO105" s="1431"/>
      <c r="DP105" s="1431"/>
      <c r="DQ105" s="1431"/>
      <c r="DR105" s="1431"/>
      <c r="DS105" s="1431"/>
      <c r="DT105" s="1431"/>
      <c r="DU105" s="1431"/>
      <c r="DV105" s="1431"/>
      <c r="DW105" s="1430"/>
      <c r="DX105" s="1431"/>
      <c r="DY105" s="1431"/>
      <c r="DZ105" s="1431"/>
      <c r="EA105" s="1431"/>
      <c r="EB105" s="1431"/>
      <c r="EC105" s="1431"/>
      <c r="ED105" s="1431"/>
      <c r="EE105" s="1431"/>
      <c r="EF105" s="1431"/>
      <c r="EG105" s="1431"/>
      <c r="EH105" s="1431"/>
      <c r="EI105" s="1431"/>
      <c r="EJ105" s="1431"/>
      <c r="EK105" s="1431"/>
      <c r="EL105" s="1431"/>
      <c r="EM105" s="1430"/>
      <c r="EN105" s="1430"/>
      <c r="EO105" s="1430"/>
      <c r="EP105" s="1426"/>
      <c r="EQ105" s="1431"/>
      <c r="ER105" s="1431"/>
      <c r="ES105" s="1431"/>
      <c r="ET105" s="1431"/>
      <c r="EU105" s="1431"/>
      <c r="EV105" s="1430"/>
      <c r="EW105" s="1431"/>
      <c r="EX105" s="1431"/>
      <c r="EY105" s="1431"/>
      <c r="EZ105" s="1431"/>
      <c r="FA105" s="1431"/>
      <c r="FB105" s="1431"/>
      <c r="FC105" s="1431"/>
      <c r="FD105" s="1431"/>
      <c r="FE105" s="1431"/>
      <c r="FF105" s="1431"/>
      <c r="FG105" s="1431"/>
      <c r="FH105" s="1431"/>
      <c r="FI105" s="1431"/>
      <c r="FJ105" s="1431"/>
      <c r="FK105" s="1431"/>
      <c r="FL105" s="1431"/>
      <c r="FM105" s="1431"/>
      <c r="FN105" s="1431"/>
      <c r="FO105" s="1431"/>
      <c r="FP105" s="1431"/>
      <c r="FQ105" s="1430"/>
      <c r="FR105" s="1431"/>
      <c r="FS105" s="1431"/>
      <c r="FT105" s="1431"/>
      <c r="FU105" s="1431"/>
      <c r="FV105" s="1431"/>
      <c r="FW105" s="1431"/>
      <c r="FX105" s="1430"/>
      <c r="FY105" s="1431"/>
      <c r="FZ105" s="1431"/>
      <c r="GA105" s="1431"/>
      <c r="GB105" s="1431"/>
      <c r="GC105" s="1431"/>
      <c r="GD105" s="1431"/>
      <c r="GE105" s="1431"/>
      <c r="GF105" s="1431"/>
      <c r="GG105" s="1431"/>
      <c r="GH105" s="1430"/>
      <c r="GI105" s="1426"/>
      <c r="GJ105" s="1430"/>
      <c r="GK105" s="1431"/>
      <c r="GL105" s="1431"/>
      <c r="GM105" s="1431"/>
      <c r="GN105" s="1431"/>
      <c r="GO105" s="1431"/>
      <c r="GP105" s="1431"/>
      <c r="GQ105" s="1431"/>
      <c r="GR105" s="1431"/>
      <c r="GS105" s="1430"/>
      <c r="GT105" s="1430"/>
      <c r="GU105" s="1430"/>
      <c r="GV105" s="1431"/>
      <c r="GW105" s="1431"/>
      <c r="GX105" s="1430"/>
      <c r="GY105" s="1431"/>
      <c r="GZ105" s="1430"/>
      <c r="HA105" s="1430"/>
      <c r="HB105" s="1431"/>
      <c r="HC105" s="1431"/>
      <c r="HD105" s="1431"/>
      <c r="HE105" s="1431"/>
      <c r="HF105" s="1430"/>
      <c r="HG105" s="1430"/>
      <c r="HH105" s="1431"/>
      <c r="HI105" s="1431"/>
      <c r="HJ105" s="1431"/>
      <c r="HK105" s="1431"/>
      <c r="HL105" s="1431"/>
      <c r="HM105" s="1431"/>
      <c r="HN105" s="1431"/>
      <c r="HO105" s="1431"/>
      <c r="HP105" s="1431"/>
      <c r="HQ105" s="1431"/>
      <c r="HR105" s="1431"/>
      <c r="HS105" s="1431"/>
      <c r="HT105" s="1431"/>
      <c r="HU105" s="1431"/>
      <c r="HV105" s="1431"/>
      <c r="HW105" s="1431"/>
      <c r="HX105" s="1431"/>
      <c r="HY105" s="1431"/>
      <c r="HZ105" s="1431"/>
      <c r="IA105" s="1431"/>
      <c r="IB105" s="1431"/>
      <c r="IC105" s="1431"/>
      <c r="ID105" s="1431"/>
      <c r="IE105" s="1431"/>
      <c r="IF105" s="1431"/>
      <c r="IG105" s="1431"/>
      <c r="IH105" s="1431"/>
      <c r="II105" s="1431"/>
      <c r="IJ105" s="1431"/>
      <c r="IK105" s="1431"/>
      <c r="IL105" s="1431"/>
      <c r="IM105" s="1431"/>
      <c r="IN105" s="1431"/>
      <c r="IO105" s="1431"/>
      <c r="IP105" s="1431"/>
      <c r="IQ105" s="1431"/>
      <c r="IR105" s="1431"/>
      <c r="IS105" s="1431"/>
      <c r="IT105" s="1431"/>
      <c r="IU105" s="1431"/>
      <c r="IV105" s="1431"/>
      <c r="IW105" s="1431"/>
      <c r="IX105" s="1431"/>
      <c r="IY105" s="1431"/>
      <c r="IZ105" s="1431"/>
      <c r="JA105" s="1431"/>
      <c r="JB105" s="1431"/>
      <c r="JC105" s="1431"/>
      <c r="JD105" s="1431"/>
      <c r="JE105" s="1431"/>
      <c r="JF105" s="1431"/>
      <c r="JG105" s="1431"/>
      <c r="JH105" s="1431"/>
      <c r="JI105" s="1431"/>
      <c r="JJ105" s="1431"/>
      <c r="JK105" s="1431"/>
      <c r="JL105" s="1431"/>
      <c r="JM105" s="1431"/>
      <c r="JN105" s="1431"/>
      <c r="JO105" s="1431"/>
      <c r="JP105" s="1431"/>
      <c r="JQ105" s="1432"/>
      <c r="JR105" s="351"/>
      <c r="JS105" s="1400" t="s">
        <v>2591</v>
      </c>
    </row>
  </sheetData>
  <phoneticPr fontId="58" type="noConversion"/>
  <pageMargins left="0.196850393700787" right="0.196850393700787" top="0.196850393700787" bottom="0.196850393700787" header="0" footer="0"/>
  <pageSetup paperSize="9" orientation="portrait" horizontalDpi="1200" verticalDpi="1200" r:id="rId1"/>
  <headerFooter alignWithMargins="0">
    <oddFooter>&amp;C&amp;1#&amp;"Calibri"&amp;10&amp;K000000OFFICIAL-SENSITIVE</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T109"/>
  <sheetViews>
    <sheetView showGridLines="0" zoomScale="106" zoomScaleNormal="106" workbookViewId="0">
      <pane xSplit="4" ySplit="1" topLeftCell="DC2" activePane="bottomRight" state="frozen"/>
      <selection pane="topRight" activeCell="I74" sqref="I74"/>
      <selection pane="bottomLeft" activeCell="I74" sqref="I74"/>
      <selection pane="bottomRight" activeCell="DJ13" sqref="DJ13"/>
    </sheetView>
  </sheetViews>
  <sheetFormatPr defaultColWidth="9.1796875" defaultRowHeight="11.5" x14ac:dyDescent="0.25"/>
  <cols>
    <col min="1" max="1" width="3.81640625" style="259" bestFit="1" customWidth="1"/>
    <col min="2" max="2" width="11.1796875" style="8" bestFit="1" customWidth="1"/>
    <col min="3" max="3" width="9.1796875" style="12" bestFit="1" customWidth="1"/>
    <col min="4" max="4" width="47.453125" style="8" customWidth="1"/>
    <col min="5" max="6" width="10" style="8" bestFit="1" customWidth="1"/>
    <col min="7" max="7" width="9" style="8" bestFit="1" customWidth="1"/>
    <col min="8" max="9" width="10" style="8" bestFit="1" customWidth="1"/>
    <col min="10" max="10" width="11" style="8" bestFit="1" customWidth="1"/>
    <col min="11" max="11" width="10" style="8" bestFit="1" customWidth="1"/>
    <col min="12" max="12" width="9" style="8" bestFit="1" customWidth="1"/>
    <col min="13" max="14" width="10" style="8" bestFit="1" customWidth="1"/>
    <col min="15" max="15" width="11" style="8" bestFit="1" customWidth="1"/>
    <col min="16" max="26" width="11" style="8" customWidth="1"/>
    <col min="27" max="46" width="9.54296875" style="8" customWidth="1"/>
    <col min="47" max="47" width="10.1796875" style="8" bestFit="1" customWidth="1"/>
    <col min="48" max="115" width="9.54296875" style="8" customWidth="1"/>
    <col min="116" max="116" width="10.1796875" style="8" bestFit="1" customWidth="1"/>
    <col min="117" max="118" width="9.54296875" style="8" customWidth="1"/>
    <col min="119" max="119" width="11.7265625" style="8" customWidth="1"/>
    <col min="120" max="122" width="9.54296875" style="8" customWidth="1"/>
    <col min="123" max="123" width="11.453125" style="8" customWidth="1"/>
    <col min="124" max="124" width="12" style="8" customWidth="1"/>
    <col min="125" max="127" width="9.54296875" style="8" customWidth="1"/>
    <col min="128" max="128" width="11.1796875" style="8" customWidth="1"/>
    <col min="129" max="138" width="9.54296875" style="8" customWidth="1"/>
    <col min="139" max="139" width="10.1796875" style="8" bestFit="1" customWidth="1"/>
    <col min="140" max="144" width="9.54296875" style="8" customWidth="1"/>
    <col min="145" max="145" width="10.54296875" style="8" bestFit="1" customWidth="1"/>
    <col min="146" max="146" width="10.7265625" style="8" bestFit="1" customWidth="1"/>
    <col min="147" max="252" width="9.54296875" style="8" customWidth="1"/>
    <col min="253" max="253" width="11.453125" style="8" bestFit="1" customWidth="1"/>
    <col min="254" max="268" width="9.54296875" style="8" customWidth="1"/>
    <col min="269" max="270" width="10.54296875" style="8" bestFit="1" customWidth="1"/>
    <col min="271" max="277" width="9.54296875" style="8" customWidth="1"/>
    <col min="278" max="278" width="2.1796875" style="8" customWidth="1"/>
    <col min="279" max="279" width="97.54296875" style="8" bestFit="1" customWidth="1"/>
    <col min="280" max="280" width="32.1796875" style="8" bestFit="1" customWidth="1"/>
    <col min="281" max="16384" width="9.1796875" style="8"/>
  </cols>
  <sheetData>
    <row r="1" spans="1:280" ht="13" thickBot="1" x14ac:dyDescent="0.3">
      <c r="E1" s="351">
        <v>1</v>
      </c>
      <c r="F1" s="1433">
        <v>2</v>
      </c>
      <c r="G1" s="1433">
        <v>3</v>
      </c>
      <c r="H1" s="1433">
        <v>4</v>
      </c>
      <c r="I1" s="1433">
        <v>5</v>
      </c>
      <c r="J1" s="1433">
        <v>6</v>
      </c>
      <c r="K1" s="1433">
        <v>7</v>
      </c>
      <c r="L1" s="1433">
        <v>8</v>
      </c>
      <c r="M1" s="1433">
        <v>9</v>
      </c>
      <c r="N1" s="1433">
        <v>10</v>
      </c>
      <c r="O1" s="1433">
        <v>11</v>
      </c>
      <c r="P1" s="1433">
        <v>12</v>
      </c>
      <c r="Q1" s="1433">
        <v>13</v>
      </c>
      <c r="R1" s="1433">
        <v>14</v>
      </c>
      <c r="S1" s="1433">
        <v>15</v>
      </c>
      <c r="T1" s="1433">
        <v>16</v>
      </c>
      <c r="U1" s="1433">
        <v>17</v>
      </c>
      <c r="V1" s="1433">
        <v>18</v>
      </c>
      <c r="W1" s="1433">
        <v>19</v>
      </c>
      <c r="X1" s="1433">
        <v>20</v>
      </c>
      <c r="Y1" s="1433">
        <v>21</v>
      </c>
      <c r="Z1" s="1433">
        <v>22</v>
      </c>
      <c r="AA1" s="1433">
        <v>23</v>
      </c>
      <c r="AB1" s="1433">
        <v>24</v>
      </c>
      <c r="AC1" s="1433">
        <v>25</v>
      </c>
      <c r="AD1" s="1433">
        <v>26</v>
      </c>
      <c r="AE1" s="1433">
        <v>27</v>
      </c>
      <c r="AF1" s="1433">
        <v>28</v>
      </c>
      <c r="AG1" s="1433">
        <v>29</v>
      </c>
      <c r="AH1" s="1433">
        <v>30</v>
      </c>
      <c r="AI1" s="1433">
        <v>31</v>
      </c>
      <c r="AJ1" s="1433">
        <v>32</v>
      </c>
      <c r="AK1" s="1433">
        <v>33</v>
      </c>
      <c r="AL1" s="1433">
        <v>34</v>
      </c>
      <c r="AM1" s="1433">
        <v>35</v>
      </c>
      <c r="AN1" s="1433">
        <v>36</v>
      </c>
      <c r="AO1" s="1433">
        <v>37</v>
      </c>
      <c r="AP1" s="1433">
        <v>38</v>
      </c>
      <c r="AQ1" s="1433">
        <v>39</v>
      </c>
      <c r="AR1" s="1433">
        <v>40</v>
      </c>
      <c r="AS1" s="1433">
        <v>41</v>
      </c>
      <c r="AT1" s="1433">
        <v>42</v>
      </c>
      <c r="AU1" s="1433">
        <v>43</v>
      </c>
      <c r="AV1" s="1433">
        <v>44</v>
      </c>
      <c r="AW1" s="1433">
        <v>45</v>
      </c>
      <c r="AX1" s="1433">
        <v>46</v>
      </c>
      <c r="AY1" s="1433">
        <v>47</v>
      </c>
      <c r="AZ1" s="1433">
        <v>48</v>
      </c>
      <c r="BA1" s="1433">
        <v>49</v>
      </c>
      <c r="BB1" s="1433">
        <v>50</v>
      </c>
      <c r="BC1" s="1433">
        <v>51</v>
      </c>
      <c r="BD1" s="1433">
        <v>52</v>
      </c>
      <c r="BE1" s="1433">
        <v>53</v>
      </c>
      <c r="BF1" s="1433">
        <v>54</v>
      </c>
      <c r="BG1" s="1433">
        <v>55</v>
      </c>
      <c r="BH1" s="1433">
        <v>56</v>
      </c>
      <c r="BI1" s="1433">
        <v>57</v>
      </c>
      <c r="BJ1" s="1433">
        <v>58</v>
      </c>
      <c r="BK1" s="1433">
        <v>59</v>
      </c>
      <c r="BL1" s="1433">
        <v>60</v>
      </c>
      <c r="BM1" s="1433">
        <v>61</v>
      </c>
      <c r="BN1" s="1433">
        <v>62</v>
      </c>
      <c r="BO1" s="1433">
        <v>63</v>
      </c>
      <c r="BP1" s="1433">
        <v>64</v>
      </c>
      <c r="BQ1" s="1433">
        <v>65</v>
      </c>
      <c r="BR1" s="1433">
        <v>66</v>
      </c>
      <c r="BS1" s="1433">
        <v>67</v>
      </c>
      <c r="BT1" s="1433">
        <v>68</v>
      </c>
      <c r="BU1" s="1433">
        <v>69</v>
      </c>
      <c r="BV1" s="1433">
        <v>70</v>
      </c>
      <c r="BW1" s="1433">
        <v>71</v>
      </c>
      <c r="BX1" s="1433">
        <v>72</v>
      </c>
      <c r="BY1" s="1433">
        <v>73</v>
      </c>
      <c r="BZ1" s="1433">
        <v>74</v>
      </c>
      <c r="CA1" s="1433">
        <v>75</v>
      </c>
      <c r="CB1" s="1433">
        <v>76</v>
      </c>
      <c r="CC1" s="1433">
        <v>77</v>
      </c>
      <c r="CD1" s="1433">
        <v>78</v>
      </c>
      <c r="CE1" s="1433">
        <v>79</v>
      </c>
      <c r="CF1" s="1433">
        <v>80</v>
      </c>
      <c r="CG1" s="1433">
        <v>81</v>
      </c>
      <c r="CH1" s="1433">
        <v>82</v>
      </c>
      <c r="CI1" s="1433">
        <v>83</v>
      </c>
      <c r="CJ1" s="1433">
        <v>84</v>
      </c>
      <c r="CK1" s="1433">
        <v>85</v>
      </c>
      <c r="CL1" s="1433">
        <v>86</v>
      </c>
      <c r="CM1" s="1433">
        <v>87</v>
      </c>
      <c r="CN1" s="1433">
        <v>88</v>
      </c>
      <c r="CO1" s="1433">
        <v>89</v>
      </c>
      <c r="CP1" s="1433">
        <v>90</v>
      </c>
      <c r="CQ1" s="1433">
        <v>91</v>
      </c>
      <c r="CR1" s="1433">
        <v>92</v>
      </c>
      <c r="CS1" s="1433">
        <v>93</v>
      </c>
      <c r="CT1" s="1433">
        <v>94</v>
      </c>
      <c r="CU1" s="1433">
        <v>95</v>
      </c>
      <c r="CV1" s="1433">
        <v>96</v>
      </c>
      <c r="CW1" s="1433">
        <v>97</v>
      </c>
      <c r="CX1" s="1433">
        <v>98</v>
      </c>
      <c r="CY1" s="1433">
        <v>99</v>
      </c>
      <c r="CZ1" s="1433">
        <v>100</v>
      </c>
      <c r="DA1" s="1433">
        <v>101</v>
      </c>
      <c r="DB1" s="1433">
        <v>102</v>
      </c>
      <c r="DC1" s="1433">
        <v>103</v>
      </c>
      <c r="DD1" s="1433">
        <v>104</v>
      </c>
      <c r="DE1" s="1433">
        <v>105</v>
      </c>
      <c r="DF1" s="1433">
        <v>106</v>
      </c>
      <c r="DG1" s="1433">
        <v>107</v>
      </c>
      <c r="DH1" s="1433">
        <v>108</v>
      </c>
      <c r="DI1" s="1433">
        <v>109</v>
      </c>
      <c r="DJ1" s="1433">
        <v>110</v>
      </c>
      <c r="DK1" s="1433">
        <v>111</v>
      </c>
      <c r="DL1" s="1433">
        <v>112</v>
      </c>
      <c r="DM1" s="1433">
        <v>113</v>
      </c>
      <c r="DN1" s="1433">
        <v>114</v>
      </c>
      <c r="DO1" s="1433">
        <v>115</v>
      </c>
      <c r="DP1" s="1433">
        <v>116</v>
      </c>
      <c r="DQ1" s="1433">
        <v>117</v>
      </c>
      <c r="DR1" s="1433">
        <v>118</v>
      </c>
      <c r="DS1" s="1433">
        <v>119</v>
      </c>
      <c r="DT1" s="1433">
        <v>120</v>
      </c>
      <c r="DU1" s="1433">
        <v>121</v>
      </c>
      <c r="DV1" s="1433">
        <v>122</v>
      </c>
      <c r="DW1" s="1433">
        <v>123</v>
      </c>
      <c r="DX1" s="1433">
        <v>124</v>
      </c>
      <c r="DY1" s="1433">
        <v>125</v>
      </c>
      <c r="DZ1" s="1433">
        <v>126</v>
      </c>
      <c r="EA1" s="1433">
        <v>127</v>
      </c>
      <c r="EB1" s="1433">
        <v>128</v>
      </c>
      <c r="EC1" s="1433">
        <v>129</v>
      </c>
      <c r="ED1" s="1433">
        <v>130</v>
      </c>
      <c r="EE1" s="1433">
        <v>131</v>
      </c>
      <c r="EF1" s="1433">
        <v>132</v>
      </c>
      <c r="EG1" s="1433">
        <v>133</v>
      </c>
      <c r="EH1" s="1433">
        <v>134</v>
      </c>
      <c r="EI1" s="1433">
        <v>135</v>
      </c>
      <c r="EJ1" s="1433">
        <v>136</v>
      </c>
      <c r="EK1" s="1433">
        <v>137</v>
      </c>
      <c r="EL1" s="1433">
        <v>138</v>
      </c>
      <c r="EM1" s="1433">
        <v>139</v>
      </c>
      <c r="EN1" s="1433">
        <v>140</v>
      </c>
      <c r="EO1" s="1433">
        <v>141</v>
      </c>
      <c r="EP1" s="1433">
        <v>142</v>
      </c>
      <c r="EQ1" s="1433">
        <v>143</v>
      </c>
      <c r="ER1" s="1433">
        <v>144</v>
      </c>
      <c r="ES1" s="1433">
        <v>145</v>
      </c>
      <c r="ET1" s="1433">
        <v>146</v>
      </c>
      <c r="EU1" s="1433">
        <v>147</v>
      </c>
      <c r="EV1" s="1433">
        <v>148</v>
      </c>
      <c r="EW1" s="1433">
        <v>149</v>
      </c>
      <c r="EX1" s="1433">
        <v>150</v>
      </c>
      <c r="EY1" s="1433">
        <v>151</v>
      </c>
      <c r="EZ1" s="1433">
        <v>152</v>
      </c>
      <c r="FA1" s="1433">
        <v>153</v>
      </c>
      <c r="FB1" s="1433">
        <v>154</v>
      </c>
      <c r="FC1" s="1433">
        <v>155</v>
      </c>
      <c r="FD1" s="1433">
        <v>156</v>
      </c>
      <c r="FE1" s="1433">
        <v>157</v>
      </c>
      <c r="FF1" s="1433">
        <v>158</v>
      </c>
      <c r="FG1" s="1433">
        <v>159</v>
      </c>
      <c r="FH1" s="1433">
        <v>160</v>
      </c>
      <c r="FI1" s="1433">
        <v>161</v>
      </c>
      <c r="FJ1" s="1433">
        <v>162</v>
      </c>
      <c r="FK1" s="1433">
        <v>163</v>
      </c>
      <c r="FL1" s="1433">
        <v>164</v>
      </c>
      <c r="FM1" s="1433">
        <v>165</v>
      </c>
      <c r="FN1" s="1433">
        <v>166</v>
      </c>
      <c r="FO1" s="1433">
        <v>167</v>
      </c>
      <c r="FP1" s="1433">
        <v>168</v>
      </c>
      <c r="FQ1" s="1433">
        <v>169</v>
      </c>
      <c r="FR1" s="1433">
        <v>170</v>
      </c>
      <c r="FS1" s="1433">
        <v>171</v>
      </c>
      <c r="FT1" s="1433">
        <v>172</v>
      </c>
      <c r="FU1" s="1433">
        <v>173</v>
      </c>
      <c r="FV1" s="1433">
        <v>174</v>
      </c>
      <c r="FW1" s="1433">
        <v>175</v>
      </c>
      <c r="FX1" s="1433">
        <v>176</v>
      </c>
      <c r="FY1" s="1433">
        <v>177</v>
      </c>
      <c r="FZ1" s="1433">
        <v>178</v>
      </c>
      <c r="GA1" s="1433">
        <v>179</v>
      </c>
      <c r="GB1" s="1433">
        <v>180</v>
      </c>
      <c r="GC1" s="1433">
        <v>181</v>
      </c>
      <c r="GD1" s="1433">
        <v>182</v>
      </c>
      <c r="GE1" s="1433">
        <v>183</v>
      </c>
      <c r="GF1" s="1433">
        <v>184</v>
      </c>
      <c r="GG1" s="1433">
        <v>185</v>
      </c>
      <c r="GH1" s="1433">
        <v>186</v>
      </c>
      <c r="GI1" s="1433">
        <v>187</v>
      </c>
      <c r="GJ1" s="1433">
        <v>188</v>
      </c>
      <c r="GK1" s="1433">
        <v>189</v>
      </c>
      <c r="GL1" s="1433">
        <v>190</v>
      </c>
      <c r="GM1" s="1433">
        <v>191</v>
      </c>
      <c r="GN1" s="1433">
        <v>192</v>
      </c>
      <c r="GO1" s="1433">
        <v>193</v>
      </c>
      <c r="GP1" s="1433">
        <v>194</v>
      </c>
      <c r="GQ1" s="1433">
        <v>195</v>
      </c>
      <c r="GR1" s="1433">
        <v>196</v>
      </c>
      <c r="GS1" s="1433">
        <v>197</v>
      </c>
      <c r="GT1" s="1433">
        <v>198</v>
      </c>
      <c r="GU1" s="1433">
        <v>199</v>
      </c>
      <c r="GV1" s="1433">
        <v>200</v>
      </c>
      <c r="GW1" s="1433">
        <v>201</v>
      </c>
      <c r="GX1" s="1433">
        <v>202</v>
      </c>
      <c r="GY1" s="1433">
        <v>203</v>
      </c>
      <c r="GZ1" s="1433">
        <v>204</v>
      </c>
      <c r="HA1" s="1433">
        <v>205</v>
      </c>
      <c r="HB1" s="1433">
        <v>206</v>
      </c>
      <c r="HC1" s="1433">
        <v>207</v>
      </c>
      <c r="HD1" s="1433">
        <v>208</v>
      </c>
      <c r="HE1" s="1433">
        <v>209</v>
      </c>
      <c r="HF1" s="1433">
        <v>210</v>
      </c>
      <c r="HG1" s="1433">
        <v>211</v>
      </c>
      <c r="HH1" s="1433">
        <v>212</v>
      </c>
      <c r="HI1" s="1433">
        <v>213</v>
      </c>
      <c r="HJ1" s="1433">
        <v>214</v>
      </c>
      <c r="HK1" s="1433">
        <v>215</v>
      </c>
      <c r="HL1" s="1433">
        <v>216</v>
      </c>
      <c r="HM1" s="1433">
        <v>217</v>
      </c>
      <c r="HN1" s="1433">
        <v>218</v>
      </c>
      <c r="HO1" s="1433">
        <v>219</v>
      </c>
      <c r="HP1" s="1433">
        <v>220</v>
      </c>
      <c r="HQ1" s="1433">
        <v>221</v>
      </c>
      <c r="HR1" s="1433">
        <v>222</v>
      </c>
      <c r="HS1" s="1433">
        <v>223</v>
      </c>
      <c r="HT1" s="1433">
        <v>224</v>
      </c>
      <c r="HU1" s="1433">
        <v>225</v>
      </c>
      <c r="HV1" s="1433">
        <v>226</v>
      </c>
      <c r="HW1" s="1433">
        <v>227</v>
      </c>
      <c r="HX1" s="1433">
        <v>228</v>
      </c>
      <c r="HY1" s="1433">
        <v>229</v>
      </c>
      <c r="HZ1" s="1433">
        <v>230</v>
      </c>
      <c r="IA1" s="1433">
        <v>231</v>
      </c>
      <c r="IB1" s="1433">
        <v>232</v>
      </c>
      <c r="IC1" s="1433">
        <v>233</v>
      </c>
      <c r="ID1" s="1433">
        <v>234</v>
      </c>
      <c r="IE1" s="1433">
        <v>235</v>
      </c>
      <c r="IF1" s="1433">
        <v>236</v>
      </c>
      <c r="IG1" s="1433">
        <v>237</v>
      </c>
      <c r="IH1" s="1433">
        <v>238</v>
      </c>
      <c r="II1" s="1433">
        <v>239</v>
      </c>
      <c r="IJ1" s="1433">
        <v>240</v>
      </c>
      <c r="IK1" s="1433">
        <v>241</v>
      </c>
      <c r="IL1" s="1433">
        <v>242</v>
      </c>
      <c r="IM1" s="1433">
        <v>243</v>
      </c>
      <c r="IN1" s="1433">
        <v>244</v>
      </c>
      <c r="IO1" s="1433">
        <v>245</v>
      </c>
      <c r="IP1" s="1433">
        <v>246</v>
      </c>
      <c r="IQ1" s="1433">
        <v>247</v>
      </c>
      <c r="IR1" s="1433">
        <v>248</v>
      </c>
      <c r="IS1" s="1433">
        <v>249</v>
      </c>
      <c r="IT1" s="1433">
        <v>250</v>
      </c>
      <c r="IU1" s="1433">
        <v>251</v>
      </c>
      <c r="IV1" s="1433">
        <v>252</v>
      </c>
      <c r="IW1" s="1433">
        <v>253</v>
      </c>
      <c r="IX1" s="1433">
        <v>254</v>
      </c>
      <c r="IY1" s="1433">
        <v>255</v>
      </c>
      <c r="IZ1" s="1433">
        <v>256</v>
      </c>
      <c r="JA1" s="1433">
        <v>257</v>
      </c>
      <c r="JB1" s="1433">
        <v>258</v>
      </c>
      <c r="JC1" s="1433">
        <v>259</v>
      </c>
      <c r="JD1" s="1433">
        <v>260</v>
      </c>
      <c r="JE1" s="1433">
        <v>261</v>
      </c>
      <c r="JF1" s="1433">
        <v>262</v>
      </c>
      <c r="JG1" s="1433">
        <v>263</v>
      </c>
      <c r="JH1" s="1433">
        <v>264</v>
      </c>
      <c r="JI1" s="1433">
        <v>265</v>
      </c>
      <c r="JJ1" s="1433">
        <v>266</v>
      </c>
      <c r="JK1" s="1433">
        <v>267</v>
      </c>
      <c r="JL1" s="1433">
        <v>268</v>
      </c>
      <c r="JM1" s="1433">
        <v>269</v>
      </c>
      <c r="JN1" s="1433">
        <v>270</v>
      </c>
      <c r="JO1" s="1433">
        <v>271</v>
      </c>
      <c r="JP1" s="1433">
        <v>272</v>
      </c>
      <c r="JQ1" s="1433">
        <v>273</v>
      </c>
      <c r="JR1" s="351"/>
      <c r="JS1" s="1470" t="s">
        <v>2198</v>
      </c>
      <c r="JT1" s="450" t="s">
        <v>2199</v>
      </c>
    </row>
    <row r="2" spans="1:280" ht="12.5" x14ac:dyDescent="0.25">
      <c r="A2" s="1367" t="s">
        <v>2201</v>
      </c>
      <c r="B2" s="591" t="str">
        <f>"selected "&amp;EMP_A_IND-1</f>
        <v>selected 168</v>
      </c>
      <c r="C2" s="313" t="s">
        <v>1524</v>
      </c>
      <c r="D2" s="449"/>
      <c r="E2" s="351">
        <v>1</v>
      </c>
      <c r="F2" s="1433">
        <v>2</v>
      </c>
      <c r="G2" s="1433">
        <v>3</v>
      </c>
      <c r="H2" s="1433">
        <v>4</v>
      </c>
      <c r="I2" s="1433">
        <v>5</v>
      </c>
      <c r="J2" s="1433">
        <v>6</v>
      </c>
      <c r="K2" s="1433">
        <v>7</v>
      </c>
      <c r="L2" s="1433">
        <v>8</v>
      </c>
      <c r="M2" s="1433">
        <v>9</v>
      </c>
      <c r="N2" s="1433">
        <v>10</v>
      </c>
      <c r="O2" s="1433">
        <v>11</v>
      </c>
      <c r="P2" s="1433">
        <v>12</v>
      </c>
      <c r="Q2" s="1433">
        <v>13</v>
      </c>
      <c r="R2" s="1433">
        <v>14</v>
      </c>
      <c r="S2" s="1433">
        <v>15</v>
      </c>
      <c r="T2" s="1433">
        <v>16</v>
      </c>
      <c r="U2" s="1433">
        <v>17</v>
      </c>
      <c r="V2" s="1433">
        <v>18</v>
      </c>
      <c r="W2" s="1433">
        <v>19</v>
      </c>
      <c r="X2" s="1433">
        <v>20</v>
      </c>
      <c r="Y2" s="1433">
        <v>21</v>
      </c>
      <c r="Z2" s="1433">
        <v>22</v>
      </c>
      <c r="AA2" s="1433">
        <v>23</v>
      </c>
      <c r="AB2" s="1433">
        <v>24</v>
      </c>
      <c r="AC2" s="1433">
        <v>25</v>
      </c>
      <c r="AD2" s="1433">
        <v>26</v>
      </c>
      <c r="AE2" s="1433">
        <v>27</v>
      </c>
      <c r="AF2" s="1433">
        <v>28</v>
      </c>
      <c r="AG2" s="1433">
        <v>29</v>
      </c>
      <c r="AH2" s="1433">
        <v>30</v>
      </c>
      <c r="AI2" s="1433">
        <v>31</v>
      </c>
      <c r="AJ2" s="418">
        <v>32</v>
      </c>
      <c r="AK2" s="418">
        <v>33</v>
      </c>
      <c r="AL2" s="418">
        <v>34</v>
      </c>
      <c r="AM2" s="418">
        <v>35</v>
      </c>
      <c r="AN2" s="418">
        <v>36</v>
      </c>
      <c r="AO2" s="418">
        <v>37</v>
      </c>
      <c r="AP2" s="418">
        <v>38</v>
      </c>
      <c r="AQ2" s="418">
        <v>39</v>
      </c>
      <c r="AR2" s="418">
        <v>40</v>
      </c>
      <c r="AS2" s="418">
        <v>41</v>
      </c>
      <c r="AT2" s="418">
        <v>42</v>
      </c>
      <c r="AU2" s="418">
        <v>43</v>
      </c>
      <c r="AV2" s="418">
        <v>44</v>
      </c>
      <c r="AW2" s="418">
        <v>45</v>
      </c>
      <c r="AX2" s="418">
        <v>46</v>
      </c>
      <c r="AY2" s="418">
        <v>47</v>
      </c>
      <c r="AZ2" s="418">
        <v>48</v>
      </c>
      <c r="BA2" s="418">
        <v>49</v>
      </c>
      <c r="BB2" s="418">
        <v>50</v>
      </c>
      <c r="BC2" s="418">
        <v>51</v>
      </c>
      <c r="BD2" s="418">
        <v>52</v>
      </c>
      <c r="BE2" s="418">
        <v>53</v>
      </c>
      <c r="BF2" s="418">
        <v>54</v>
      </c>
      <c r="BG2" s="418">
        <v>55</v>
      </c>
      <c r="BH2" s="418">
        <v>56</v>
      </c>
      <c r="BI2" s="418">
        <v>57</v>
      </c>
      <c r="BJ2" s="418">
        <v>58</v>
      </c>
      <c r="BK2" s="418">
        <v>59</v>
      </c>
      <c r="BL2" s="418">
        <v>60</v>
      </c>
      <c r="BM2" s="418">
        <v>61</v>
      </c>
      <c r="BN2" s="418">
        <v>62</v>
      </c>
      <c r="BO2" s="418">
        <v>63</v>
      </c>
      <c r="BP2" s="418">
        <v>64</v>
      </c>
      <c r="BQ2" s="418">
        <v>65</v>
      </c>
      <c r="BR2" s="418">
        <v>66</v>
      </c>
      <c r="BS2" s="418">
        <v>67</v>
      </c>
      <c r="BT2" s="418">
        <v>68</v>
      </c>
      <c r="BU2" s="418">
        <v>69</v>
      </c>
      <c r="BV2" s="418">
        <v>70</v>
      </c>
      <c r="BW2" s="418">
        <v>71</v>
      </c>
      <c r="BX2" s="418">
        <v>72</v>
      </c>
      <c r="BY2" s="418">
        <v>73</v>
      </c>
      <c r="BZ2" s="418">
        <v>74</v>
      </c>
      <c r="CA2" s="418">
        <v>75</v>
      </c>
      <c r="CB2" s="418">
        <v>76</v>
      </c>
      <c r="CC2" s="418">
        <v>77</v>
      </c>
      <c r="CD2" s="418">
        <v>78</v>
      </c>
      <c r="CE2" s="418">
        <v>79</v>
      </c>
      <c r="CF2" s="418">
        <v>80</v>
      </c>
      <c r="CG2" s="418">
        <v>81</v>
      </c>
      <c r="CH2" s="418">
        <v>82</v>
      </c>
      <c r="CI2" s="418">
        <v>83</v>
      </c>
      <c r="CJ2" s="418">
        <v>84</v>
      </c>
      <c r="CK2" s="418">
        <v>85</v>
      </c>
      <c r="CL2" s="418">
        <v>86</v>
      </c>
      <c r="CM2" s="418">
        <v>87</v>
      </c>
      <c r="CN2" s="418">
        <v>88</v>
      </c>
      <c r="CO2" s="418">
        <v>89</v>
      </c>
      <c r="CP2" s="418">
        <v>90</v>
      </c>
      <c r="CQ2" s="418">
        <v>91</v>
      </c>
      <c r="CR2" s="418">
        <v>92</v>
      </c>
      <c r="CS2" s="418">
        <v>93</v>
      </c>
      <c r="CT2" s="418">
        <v>94</v>
      </c>
      <c r="CU2" s="418">
        <v>95</v>
      </c>
      <c r="CV2" s="418">
        <v>96</v>
      </c>
      <c r="CW2" s="418">
        <v>97</v>
      </c>
      <c r="CX2" s="418">
        <v>98</v>
      </c>
      <c r="CY2" s="418">
        <v>99</v>
      </c>
      <c r="CZ2" s="418">
        <v>100</v>
      </c>
      <c r="DA2" s="418">
        <v>101</v>
      </c>
      <c r="DB2" s="418">
        <v>102</v>
      </c>
      <c r="DC2" s="418">
        <v>103</v>
      </c>
      <c r="DD2" s="418">
        <v>104</v>
      </c>
      <c r="DE2" s="418">
        <v>105</v>
      </c>
      <c r="DF2" s="418">
        <v>106</v>
      </c>
      <c r="DG2" s="418">
        <v>107</v>
      </c>
      <c r="DH2" s="418">
        <v>108</v>
      </c>
      <c r="DI2" s="418">
        <v>109</v>
      </c>
      <c r="DJ2" s="418">
        <v>110</v>
      </c>
      <c r="DK2" s="418">
        <v>111</v>
      </c>
      <c r="DL2" s="418">
        <v>112</v>
      </c>
      <c r="DM2" s="418">
        <v>113</v>
      </c>
      <c r="DN2" s="418">
        <v>114</v>
      </c>
      <c r="DO2" s="418">
        <v>115</v>
      </c>
      <c r="DP2" s="418">
        <v>116</v>
      </c>
      <c r="DQ2" s="418">
        <v>117</v>
      </c>
      <c r="DR2" s="418">
        <v>118</v>
      </c>
      <c r="DS2" s="418">
        <v>119</v>
      </c>
      <c r="DT2" s="418">
        <v>120</v>
      </c>
      <c r="DU2" s="418">
        <v>121</v>
      </c>
      <c r="DV2" s="418">
        <v>122</v>
      </c>
      <c r="DW2" s="418">
        <v>123</v>
      </c>
      <c r="DX2" s="418">
        <v>124</v>
      </c>
      <c r="DY2" s="418">
        <v>125</v>
      </c>
      <c r="DZ2" s="418">
        <v>126</v>
      </c>
      <c r="EA2" s="418">
        <v>127</v>
      </c>
      <c r="EB2" s="418">
        <v>128</v>
      </c>
      <c r="EC2" s="418">
        <v>129</v>
      </c>
      <c r="ED2" s="418">
        <v>130</v>
      </c>
      <c r="EE2" s="418">
        <v>131</v>
      </c>
      <c r="EF2" s="418">
        <v>132</v>
      </c>
      <c r="EG2" s="418">
        <v>133</v>
      </c>
      <c r="EH2" s="418">
        <v>134</v>
      </c>
      <c r="EI2" s="418">
        <v>135</v>
      </c>
      <c r="EJ2" s="418">
        <v>136</v>
      </c>
      <c r="EK2" s="418">
        <v>137</v>
      </c>
      <c r="EL2" s="418">
        <v>138</v>
      </c>
      <c r="EM2" s="418">
        <v>139</v>
      </c>
      <c r="EN2" s="418">
        <v>140</v>
      </c>
      <c r="EO2" s="418">
        <v>141</v>
      </c>
      <c r="EP2" s="418">
        <v>142</v>
      </c>
      <c r="EQ2" s="418">
        <v>143</v>
      </c>
      <c r="ER2" s="418">
        <v>144</v>
      </c>
      <c r="ES2" s="418">
        <v>145</v>
      </c>
      <c r="ET2" s="418">
        <v>146</v>
      </c>
      <c r="EU2" s="418">
        <v>147</v>
      </c>
      <c r="EV2" s="418">
        <v>148</v>
      </c>
      <c r="EW2" s="418">
        <v>149</v>
      </c>
      <c r="EX2" s="418">
        <v>150</v>
      </c>
      <c r="EY2" s="418">
        <v>151</v>
      </c>
      <c r="EZ2" s="418">
        <v>152</v>
      </c>
      <c r="FA2" s="418">
        <v>153</v>
      </c>
      <c r="FB2" s="418">
        <v>154</v>
      </c>
      <c r="FC2" s="418">
        <v>155</v>
      </c>
      <c r="FD2" s="418">
        <v>156</v>
      </c>
      <c r="FE2" s="418">
        <v>157</v>
      </c>
      <c r="FF2" s="418">
        <v>158</v>
      </c>
      <c r="FG2" s="418">
        <v>159</v>
      </c>
      <c r="FH2" s="418">
        <v>160</v>
      </c>
      <c r="FI2" s="418">
        <v>161</v>
      </c>
      <c r="FJ2" s="418">
        <v>162</v>
      </c>
      <c r="FK2" s="418">
        <v>163</v>
      </c>
      <c r="FL2" s="418">
        <v>164</v>
      </c>
      <c r="FM2" s="418">
        <v>165</v>
      </c>
      <c r="FN2" s="418">
        <v>166</v>
      </c>
      <c r="FO2" s="418">
        <v>167</v>
      </c>
      <c r="FP2" s="418">
        <v>168</v>
      </c>
      <c r="FQ2" s="418">
        <v>169</v>
      </c>
      <c r="FR2" s="418">
        <v>170</v>
      </c>
      <c r="FS2" s="418">
        <v>171</v>
      </c>
      <c r="FT2" s="418">
        <v>172</v>
      </c>
      <c r="FU2" s="418">
        <v>173</v>
      </c>
      <c r="FV2" s="418">
        <v>174</v>
      </c>
      <c r="FW2" s="418">
        <v>175</v>
      </c>
      <c r="FX2" s="418">
        <v>176</v>
      </c>
      <c r="FY2" s="418">
        <v>177</v>
      </c>
      <c r="FZ2" s="418">
        <v>178</v>
      </c>
      <c r="GA2" s="418">
        <v>179</v>
      </c>
      <c r="GB2" s="418">
        <v>180</v>
      </c>
      <c r="GC2" s="418">
        <v>181</v>
      </c>
      <c r="GD2" s="418">
        <v>182</v>
      </c>
      <c r="GE2" s="418">
        <v>183</v>
      </c>
      <c r="GF2" s="418">
        <v>184</v>
      </c>
      <c r="GG2" s="418">
        <v>185</v>
      </c>
      <c r="GH2" s="418">
        <v>186</v>
      </c>
      <c r="GI2" s="418">
        <v>187</v>
      </c>
      <c r="GJ2" s="418">
        <v>188</v>
      </c>
      <c r="GK2" s="418">
        <v>189</v>
      </c>
      <c r="GL2" s="418">
        <v>190</v>
      </c>
      <c r="GM2" s="418">
        <v>191</v>
      </c>
      <c r="GN2" s="418">
        <v>192</v>
      </c>
      <c r="GO2" s="418">
        <v>193</v>
      </c>
      <c r="GP2" s="418">
        <v>194</v>
      </c>
      <c r="GQ2" s="418">
        <v>195</v>
      </c>
      <c r="GR2" s="418">
        <v>196</v>
      </c>
      <c r="GS2" s="418">
        <v>197</v>
      </c>
      <c r="GT2" s="418">
        <v>198</v>
      </c>
      <c r="GU2" s="418">
        <v>199</v>
      </c>
      <c r="GV2" s="418">
        <v>200</v>
      </c>
      <c r="GW2" s="418">
        <v>201</v>
      </c>
      <c r="GX2" s="418">
        <v>202</v>
      </c>
      <c r="GY2" s="418">
        <v>203</v>
      </c>
      <c r="GZ2" s="418">
        <v>204</v>
      </c>
      <c r="HA2" s="418">
        <v>205</v>
      </c>
      <c r="HB2" s="418">
        <v>206</v>
      </c>
      <c r="HC2" s="418">
        <v>207</v>
      </c>
      <c r="HD2" s="418">
        <v>208</v>
      </c>
      <c r="HE2" s="418">
        <v>209</v>
      </c>
      <c r="HF2" s="418">
        <v>210</v>
      </c>
      <c r="HG2" s="418">
        <v>211</v>
      </c>
      <c r="HH2" s="418">
        <v>212</v>
      </c>
      <c r="HI2" s="418">
        <v>213</v>
      </c>
      <c r="HJ2" s="418">
        <v>214</v>
      </c>
      <c r="HK2" s="418">
        <v>215</v>
      </c>
      <c r="HL2" s="418">
        <v>216</v>
      </c>
      <c r="HM2" s="418">
        <v>217</v>
      </c>
      <c r="HN2" s="418">
        <v>218</v>
      </c>
      <c r="HO2" s="418">
        <v>219</v>
      </c>
      <c r="HP2" s="418">
        <v>220</v>
      </c>
      <c r="HQ2" s="418">
        <v>221</v>
      </c>
      <c r="HR2" s="418">
        <v>222</v>
      </c>
      <c r="HS2" s="418">
        <v>223</v>
      </c>
      <c r="HT2" s="418">
        <v>224</v>
      </c>
      <c r="HU2" s="418">
        <v>225</v>
      </c>
      <c r="HV2" s="418">
        <v>226</v>
      </c>
      <c r="HW2" s="418">
        <v>227</v>
      </c>
      <c r="HX2" s="418">
        <v>228</v>
      </c>
      <c r="HY2" s="418">
        <v>229</v>
      </c>
      <c r="HZ2" s="418">
        <v>230</v>
      </c>
      <c r="IA2" s="418">
        <v>231</v>
      </c>
      <c r="IB2" s="418">
        <v>232</v>
      </c>
      <c r="IC2" s="418">
        <v>233</v>
      </c>
      <c r="ID2" s="418">
        <v>234</v>
      </c>
      <c r="IE2" s="418">
        <v>235</v>
      </c>
      <c r="IF2" s="418">
        <v>236</v>
      </c>
      <c r="IG2" s="418">
        <v>237</v>
      </c>
      <c r="IH2" s="418">
        <v>238</v>
      </c>
      <c r="II2" s="418">
        <v>239</v>
      </c>
      <c r="IJ2" s="418">
        <v>240</v>
      </c>
      <c r="IK2" s="418">
        <v>241</v>
      </c>
      <c r="IL2" s="418">
        <v>242</v>
      </c>
      <c r="IM2" s="418">
        <v>243</v>
      </c>
      <c r="IN2" s="418">
        <v>244</v>
      </c>
      <c r="IO2" s="418">
        <v>245</v>
      </c>
      <c r="IP2" s="418">
        <v>246</v>
      </c>
      <c r="IQ2" s="418">
        <v>247</v>
      </c>
      <c r="IR2" s="418">
        <v>248</v>
      </c>
      <c r="IS2" s="418">
        <v>249</v>
      </c>
      <c r="IT2" s="418">
        <v>250</v>
      </c>
      <c r="IU2" s="418">
        <v>251</v>
      </c>
      <c r="IV2" s="418">
        <v>252</v>
      </c>
      <c r="IW2" s="418">
        <v>253</v>
      </c>
      <c r="IX2" s="418">
        <v>254</v>
      </c>
      <c r="IY2" s="418">
        <v>255</v>
      </c>
      <c r="IZ2" s="418">
        <v>256</v>
      </c>
      <c r="JA2" s="418">
        <v>257</v>
      </c>
      <c r="JB2" s="418">
        <v>258</v>
      </c>
      <c r="JC2" s="418">
        <v>259</v>
      </c>
      <c r="JD2" s="418">
        <v>260</v>
      </c>
      <c r="JE2" s="418">
        <v>261</v>
      </c>
      <c r="JF2" s="418">
        <v>262</v>
      </c>
      <c r="JG2" s="418">
        <v>263</v>
      </c>
      <c r="JH2" s="418">
        <v>264</v>
      </c>
      <c r="JI2" s="418">
        <v>265</v>
      </c>
      <c r="JJ2" s="418">
        <v>266</v>
      </c>
      <c r="JK2" s="418">
        <v>267</v>
      </c>
      <c r="JL2" s="418">
        <v>268</v>
      </c>
      <c r="JM2" s="418">
        <v>269</v>
      </c>
      <c r="JN2" s="418">
        <v>270</v>
      </c>
      <c r="JO2" s="418">
        <v>271</v>
      </c>
      <c r="JP2" s="418">
        <v>272</v>
      </c>
      <c r="JQ2" s="418">
        <v>273</v>
      </c>
      <c r="JR2" s="351"/>
      <c r="JS2" s="1470" t="s">
        <v>2198</v>
      </c>
      <c r="JT2" s="450" t="s">
        <v>2199</v>
      </c>
    </row>
    <row r="3" spans="1:280" ht="12.5" x14ac:dyDescent="0.25">
      <c r="A3" s="1367">
        <v>2</v>
      </c>
      <c r="B3" s="1434">
        <f>IF(EMP_A_IND&gt;1,IF(HLOOKUP(EMP_A_IND-1,EMP_RANGE_A,A3)="","",HLOOKUP(EMP_A_IND-1,EMP_RANGE_A,A3)),"")</f>
        <v>89201</v>
      </c>
      <c r="C3" s="1435" t="s">
        <v>2592</v>
      </c>
      <c r="D3" s="1436" t="s">
        <v>2593</v>
      </c>
      <c r="E3" s="1437"/>
      <c r="F3" s="1437">
        <v>33254</v>
      </c>
      <c r="G3" s="1437">
        <f>SSR_band+SBR_band+SIR_band+625</f>
        <v>31717</v>
      </c>
      <c r="H3" s="1437">
        <f>BR_band+P_A-350</f>
        <v>49920</v>
      </c>
      <c r="I3" s="1437"/>
      <c r="J3" s="1437"/>
      <c r="K3" s="1437">
        <v>36851</v>
      </c>
      <c r="L3" s="1437"/>
      <c r="M3" s="1437"/>
      <c r="N3" s="1437"/>
      <c r="O3" s="1437">
        <v>23678</v>
      </c>
      <c r="P3" s="1437"/>
      <c r="Q3" s="1437">
        <v>48484</v>
      </c>
      <c r="R3" s="1437">
        <v>46954</v>
      </c>
      <c r="S3" s="1437"/>
      <c r="T3" s="1437"/>
      <c r="U3" s="1437">
        <v>97504</v>
      </c>
      <c r="V3" s="1437">
        <v>48452</v>
      </c>
      <c r="W3" s="1438">
        <v>55530</v>
      </c>
      <c r="X3" s="1439">
        <f>P_A-1000</f>
        <v>11570</v>
      </c>
      <c r="Y3" s="1439">
        <v>13874</v>
      </c>
      <c r="Z3" s="1439">
        <v>104239</v>
      </c>
      <c r="AA3" s="1439">
        <v>35254</v>
      </c>
      <c r="AB3" s="1439"/>
      <c r="AC3" s="1439">
        <v>9050</v>
      </c>
      <c r="AD3" s="1439">
        <v>57415</v>
      </c>
      <c r="AE3" s="1439">
        <v>36480</v>
      </c>
      <c r="AF3" s="1439"/>
      <c r="AG3" s="1439">
        <v>149777</v>
      </c>
      <c r="AH3" s="1439">
        <v>128050</v>
      </c>
      <c r="AI3" s="1439">
        <v>29750</v>
      </c>
      <c r="AJ3" s="1439">
        <v>33750</v>
      </c>
      <c r="AK3" s="1439">
        <v>38629</v>
      </c>
      <c r="AL3" s="1439">
        <f>BR_band+P_A+6195</f>
        <v>56465</v>
      </c>
      <c r="AM3" s="1439">
        <v>9050</v>
      </c>
      <c r="AN3" s="1439"/>
      <c r="AO3" s="1439"/>
      <c r="AP3" s="1439">
        <v>1470</v>
      </c>
      <c r="AQ3" s="1439">
        <v>115500</v>
      </c>
      <c r="AR3" s="1439">
        <v>81300</v>
      </c>
      <c r="AS3" s="1439">
        <v>18500</v>
      </c>
      <c r="AT3" s="1438">
        <v>48750</v>
      </c>
      <c r="AU3" s="1438">
        <v>40271</v>
      </c>
      <c r="AV3" s="1439"/>
      <c r="AW3" s="1439"/>
      <c r="AX3" s="1439"/>
      <c r="AY3" s="1438">
        <v>10260</v>
      </c>
      <c r="AZ3" s="1439"/>
      <c r="BA3" s="1439">
        <v>27515</v>
      </c>
      <c r="BB3" s="1439">
        <v>8000</v>
      </c>
      <c r="BC3" s="1439">
        <v>0</v>
      </c>
      <c r="BD3" s="1439">
        <v>18500</v>
      </c>
      <c r="BE3" s="1439">
        <v>1000</v>
      </c>
      <c r="BF3" s="1439">
        <v>25500</v>
      </c>
      <c r="BG3" s="1438">
        <v>50000</v>
      </c>
      <c r="BH3" s="1439">
        <f>P_A-1450</f>
        <v>11120</v>
      </c>
      <c r="BI3" s="1439">
        <f>BR_band-5100</f>
        <v>32600</v>
      </c>
      <c r="BJ3" s="1438">
        <v>62883</v>
      </c>
      <c r="BK3" s="1439"/>
      <c r="BL3" s="1439"/>
      <c r="BM3" s="1439">
        <v>27515</v>
      </c>
      <c r="BN3" s="1439"/>
      <c r="BO3" s="1439">
        <v>33254</v>
      </c>
      <c r="BP3" s="1438">
        <v>20701</v>
      </c>
      <c r="BQ3" s="1439"/>
      <c r="BR3" s="1439"/>
      <c r="BS3" s="1439">
        <v>8000</v>
      </c>
      <c r="BT3" s="1439"/>
      <c r="BU3" s="1439"/>
      <c r="BV3" s="1439"/>
      <c r="BW3" s="1439"/>
      <c r="BX3" s="1439"/>
      <c r="BY3" s="1439"/>
      <c r="BZ3" s="1439"/>
      <c r="CA3" s="1439"/>
      <c r="CB3" s="1439"/>
      <c r="CC3" s="1439"/>
      <c r="CD3" s="1438">
        <v>8050</v>
      </c>
      <c r="CE3" s="1439">
        <v>55750</v>
      </c>
      <c r="CF3" s="1439">
        <v>33254</v>
      </c>
      <c r="CG3" s="1439"/>
      <c r="CH3" s="1439">
        <v>33254</v>
      </c>
      <c r="CI3" s="1439"/>
      <c r="CJ3" s="1439"/>
      <c r="CK3" s="1439"/>
      <c r="CL3" s="1439"/>
      <c r="CM3" s="1439"/>
      <c r="CN3" s="1439">
        <v>18500</v>
      </c>
      <c r="CO3" s="1439">
        <v>18500</v>
      </c>
      <c r="CP3" s="1439"/>
      <c r="CQ3" s="1439">
        <v>9050</v>
      </c>
      <c r="CR3" s="1439"/>
      <c r="CS3" s="1439"/>
      <c r="CT3" s="1439"/>
      <c r="CU3" s="1439"/>
      <c r="CV3" s="1439">
        <v>27515</v>
      </c>
      <c r="CW3" s="1439"/>
      <c r="CX3" s="1439"/>
      <c r="CY3" s="1439"/>
      <c r="CZ3" s="1439"/>
      <c r="DA3" s="1439"/>
      <c r="DB3" s="1439">
        <v>15334</v>
      </c>
      <c r="DC3" s="1439"/>
      <c r="DD3" s="1439">
        <v>8000</v>
      </c>
      <c r="DE3" s="1439">
        <v>18500</v>
      </c>
      <c r="DF3" s="1438">
        <v>45000</v>
      </c>
      <c r="DG3" s="1439"/>
      <c r="DH3" s="1439"/>
      <c r="DI3" s="1438">
        <v>45101</v>
      </c>
      <c r="DJ3" s="1439"/>
      <c r="DK3" s="1439">
        <v>27515</v>
      </c>
      <c r="DL3" s="1439">
        <v>101000</v>
      </c>
      <c r="DM3" s="1439"/>
      <c r="DN3" s="1441">
        <v>9151</v>
      </c>
      <c r="DO3" s="1438">
        <v>1020433</v>
      </c>
      <c r="DP3" s="1438">
        <v>541573</v>
      </c>
      <c r="DQ3" s="1439"/>
      <c r="DR3" s="1438">
        <v>4920</v>
      </c>
      <c r="DS3" s="1438">
        <v>1260714</v>
      </c>
      <c r="DT3" s="1438">
        <v>541573</v>
      </c>
      <c r="DU3" s="1439">
        <v>8000</v>
      </c>
      <c r="DV3" s="1439">
        <v>30490</v>
      </c>
      <c r="DW3" s="1439"/>
      <c r="DX3" s="1438">
        <v>750</v>
      </c>
      <c r="DY3" s="1438">
        <v>8573</v>
      </c>
      <c r="DZ3" s="1438">
        <v>30728</v>
      </c>
      <c r="EA3" s="1439">
        <f>P_A-3510</f>
        <v>9060</v>
      </c>
      <c r="EB3" s="1439"/>
      <c r="EC3" s="1439"/>
      <c r="ED3" s="1439">
        <v>33254</v>
      </c>
      <c r="EE3" s="1439">
        <v>33254</v>
      </c>
      <c r="EF3" s="1439"/>
      <c r="EG3" s="1440">
        <v>12184.61</v>
      </c>
      <c r="EH3" s="1439">
        <v>55750</v>
      </c>
      <c r="EI3" s="1439">
        <v>101000</v>
      </c>
      <c r="EJ3" s="1439">
        <v>8000</v>
      </c>
      <c r="EK3" s="1439">
        <v>8000</v>
      </c>
      <c r="EL3" s="1439">
        <v>100998</v>
      </c>
      <c r="EM3" s="1438">
        <v>70000</v>
      </c>
      <c r="EN3" s="1438">
        <v>24999.96</v>
      </c>
      <c r="EO3" s="1439">
        <v>471407</v>
      </c>
      <c r="EP3" s="1438">
        <v>49600</v>
      </c>
      <c r="EQ3" s="1439"/>
      <c r="ER3" s="1438">
        <v>242914</v>
      </c>
      <c r="ES3" s="1438">
        <v>187.4</v>
      </c>
      <c r="ET3" s="1439"/>
      <c r="EU3" s="1439"/>
      <c r="EV3" s="1439"/>
      <c r="EW3" s="1439"/>
      <c r="EX3" s="1439"/>
      <c r="EY3" s="1438">
        <v>149999</v>
      </c>
      <c r="EZ3" s="1439">
        <v>18500</v>
      </c>
      <c r="FA3" s="1438">
        <v>2034331</v>
      </c>
      <c r="FB3" s="1438">
        <v>14203.2</v>
      </c>
      <c r="FC3" s="1438">
        <v>242914</v>
      </c>
      <c r="FD3" s="1438">
        <v>50580</v>
      </c>
      <c r="FE3" s="1439"/>
      <c r="FF3" s="1438">
        <v>779713</v>
      </c>
      <c r="FG3" s="1439"/>
      <c r="FH3" s="1438">
        <v>73176</v>
      </c>
      <c r="FI3" s="1438">
        <v>73551.63</v>
      </c>
      <c r="FJ3" s="1438">
        <v>38665</v>
      </c>
      <c r="FK3" s="1438">
        <v>9999.9599999999991</v>
      </c>
      <c r="FL3" s="1439"/>
      <c r="FM3" s="1438"/>
      <c r="FN3" s="1439">
        <v>55750</v>
      </c>
      <c r="FO3" s="1439">
        <v>78950</v>
      </c>
      <c r="FP3" s="1440">
        <v>89201</v>
      </c>
      <c r="FQ3" s="1439">
        <v>33254</v>
      </c>
      <c r="FR3" s="1438">
        <v>1188666</v>
      </c>
      <c r="FS3" s="1439"/>
      <c r="FT3" s="1439"/>
      <c r="FU3" s="1439"/>
      <c r="FV3" s="1439"/>
      <c r="FW3" s="1439">
        <v>18500</v>
      </c>
      <c r="FX3" s="1439"/>
      <c r="FY3" s="1438">
        <v>48150</v>
      </c>
      <c r="FZ3" s="1438">
        <v>37600</v>
      </c>
      <c r="GA3" s="1438">
        <v>37200</v>
      </c>
      <c r="GB3" s="1438">
        <v>12000</v>
      </c>
      <c r="GC3" s="1438">
        <v>13000</v>
      </c>
      <c r="GD3" s="1438">
        <v>2162</v>
      </c>
      <c r="GE3" s="1439"/>
      <c r="GF3" s="1438">
        <v>15000</v>
      </c>
      <c r="GG3" s="1439"/>
      <c r="GH3" s="1439"/>
      <c r="GI3" s="1438">
        <v>2162</v>
      </c>
      <c r="GJ3" s="1439"/>
      <c r="GK3" s="1438">
        <v>2162</v>
      </c>
      <c r="GL3" s="1438">
        <v>50000</v>
      </c>
      <c r="GM3" s="1438">
        <v>50272</v>
      </c>
      <c r="GN3" s="1438">
        <v>50018</v>
      </c>
      <c r="GO3" s="1439">
        <v>33254</v>
      </c>
      <c r="GP3" s="1439">
        <v>165978</v>
      </c>
      <c r="GQ3" s="1439">
        <v>18500</v>
      </c>
      <c r="GR3" s="1438">
        <v>38099</v>
      </c>
      <c r="GS3" s="1439">
        <v>55750</v>
      </c>
      <c r="GT3" s="1438">
        <v>26499</v>
      </c>
      <c r="GU3" s="1439"/>
      <c r="GV3" s="1438">
        <v>68579</v>
      </c>
      <c r="GW3" s="1441">
        <v>35291</v>
      </c>
      <c r="GX3" s="1441">
        <v>76000</v>
      </c>
      <c r="GY3" s="1439"/>
      <c r="GZ3" s="1439">
        <v>101000</v>
      </c>
      <c r="HA3" s="1439">
        <v>55750</v>
      </c>
      <c r="HB3" s="1439">
        <v>299000</v>
      </c>
      <c r="HC3" s="1439"/>
      <c r="HD3" s="1438">
        <v>1450</v>
      </c>
      <c r="HE3" s="1439"/>
      <c r="HF3" s="1439">
        <v>471407</v>
      </c>
      <c r="HG3" s="1438">
        <v>48950</v>
      </c>
      <c r="HH3" s="1439"/>
      <c r="HI3" s="1438">
        <v>1156660</v>
      </c>
      <c r="HJ3" s="1439"/>
      <c r="HK3" s="1439"/>
      <c r="HL3" s="1438">
        <v>21491</v>
      </c>
      <c r="HM3" s="1438">
        <v>1614246</v>
      </c>
      <c r="HN3" s="1439"/>
      <c r="HO3" s="1439">
        <v>9050</v>
      </c>
      <c r="HP3" s="1439"/>
      <c r="HQ3" s="1438">
        <v>35316</v>
      </c>
      <c r="HR3" s="1438">
        <v>113832</v>
      </c>
      <c r="HS3" s="1439"/>
      <c r="HT3" s="1438">
        <v>87938.39</v>
      </c>
      <c r="HU3" s="1441">
        <v>35861.300000000003</v>
      </c>
      <c r="HV3" s="1439"/>
      <c r="HW3" s="1439"/>
      <c r="HX3" s="1438">
        <v>25594</v>
      </c>
      <c r="HY3" s="1439">
        <v>48018</v>
      </c>
      <c r="HZ3" s="1439">
        <v>27800</v>
      </c>
      <c r="IA3" s="1438">
        <v>55575</v>
      </c>
      <c r="IB3" s="1439"/>
      <c r="IC3" s="1438">
        <v>152111</v>
      </c>
      <c r="ID3" s="1438">
        <v>121404</v>
      </c>
      <c r="IE3" s="1441">
        <v>24914</v>
      </c>
      <c r="IF3" s="1439">
        <f>P_A+1000</f>
        <v>13570</v>
      </c>
      <c r="IG3" s="1439">
        <f>P_A-1000</f>
        <v>11570</v>
      </c>
      <c r="IH3" s="1441">
        <v>30093</v>
      </c>
      <c r="II3" s="1438">
        <v>99516</v>
      </c>
      <c r="IJ3" s="1438">
        <v>18954.55</v>
      </c>
      <c r="IK3" s="1441">
        <v>117418.73</v>
      </c>
      <c r="IL3" s="1438">
        <v>101810</v>
      </c>
      <c r="IM3" s="1438">
        <v>21358</v>
      </c>
      <c r="IN3" s="1439"/>
      <c r="IO3" s="1438">
        <v>9269</v>
      </c>
      <c r="IP3" s="1439"/>
      <c r="IQ3" s="1439"/>
      <c r="IR3" s="1439"/>
      <c r="IS3" s="1439">
        <v>175921</v>
      </c>
      <c r="IT3" s="1439"/>
      <c r="IU3" s="1438">
        <v>1065169</v>
      </c>
      <c r="IV3" s="1439"/>
      <c r="IW3" s="1438">
        <v>72320.850000000006</v>
      </c>
      <c r="IX3" s="1438">
        <v>23881921</v>
      </c>
      <c r="IY3" s="1439">
        <v>19789</v>
      </c>
      <c r="IZ3" s="1439">
        <v>33254</v>
      </c>
      <c r="JA3" s="1439"/>
      <c r="JB3" s="1438">
        <v>44022</v>
      </c>
      <c r="JC3" s="1439"/>
      <c r="JD3" s="1438">
        <v>509890</v>
      </c>
      <c r="JE3" s="1439">
        <v>33254</v>
      </c>
      <c r="JF3" s="1439">
        <v>35254</v>
      </c>
      <c r="JG3" s="1439"/>
      <c r="JH3" s="1438">
        <v>868213</v>
      </c>
      <c r="JI3" s="1439"/>
      <c r="JJ3" s="1439">
        <v>180325</v>
      </c>
      <c r="JK3" s="1442">
        <v>3978</v>
      </c>
      <c r="JL3" s="1441">
        <v>84353.21</v>
      </c>
      <c r="JM3" s="1439"/>
      <c r="JN3" s="1439">
        <f>P_A</f>
        <v>12570</v>
      </c>
      <c r="JO3" s="1439">
        <f>P_A+BR_band</f>
        <v>50270</v>
      </c>
      <c r="JP3" s="1439">
        <f>P_A-4300</f>
        <v>8270</v>
      </c>
      <c r="JQ3" s="1442">
        <v>69901.47</v>
      </c>
      <c r="JR3" s="351"/>
      <c r="JS3" s="1470"/>
      <c r="JT3" s="450" t="s">
        <v>2224</v>
      </c>
    </row>
    <row r="4" spans="1:280" ht="12.5" x14ac:dyDescent="0.25">
      <c r="A4" s="1367">
        <v>3</v>
      </c>
      <c r="B4" s="1434" t="str">
        <f>IF(EMP_A_IND&gt;1,IF(HLOOKUP(EMP_A_IND-1,EMP_RANGE_A,A4)="","",HLOOKUP(EMP_A_IND-1,EMP_RANGE_A,A4)),"")</f>
        <v/>
      </c>
      <c r="C4" s="1435" t="s">
        <v>2594</v>
      </c>
      <c r="D4" s="1443" t="s">
        <v>2595</v>
      </c>
      <c r="E4" s="1444"/>
      <c r="F4" s="1445"/>
      <c r="G4" s="1446"/>
      <c r="H4" s="1446"/>
      <c r="I4" s="1447"/>
      <c r="J4" s="1447"/>
      <c r="K4" s="1444"/>
      <c r="L4" s="1447"/>
      <c r="M4" s="1447"/>
      <c r="N4" s="1447"/>
      <c r="O4" s="1444"/>
      <c r="P4" s="1447"/>
      <c r="Q4" s="1444"/>
      <c r="R4" s="1444"/>
      <c r="S4" s="1447"/>
      <c r="T4" s="1447"/>
      <c r="U4" s="1447"/>
      <c r="V4" s="1444"/>
      <c r="W4" s="1444"/>
      <c r="X4" s="1444"/>
      <c r="Y4" s="1444"/>
      <c r="Z4" s="1448"/>
      <c r="AA4" s="1444"/>
      <c r="AB4" s="1447"/>
      <c r="AC4" s="1445"/>
      <c r="AD4" s="1444"/>
      <c r="AE4" s="1445"/>
      <c r="AF4" s="1445"/>
      <c r="AG4" s="1445"/>
      <c r="AH4" s="1445"/>
      <c r="AI4" s="1444"/>
      <c r="AJ4" s="1448"/>
      <c r="AK4" s="1445"/>
      <c r="AL4" s="1448"/>
      <c r="AM4" s="1448"/>
      <c r="AN4" s="1447"/>
      <c r="AO4" s="1447"/>
      <c r="AP4" s="1444"/>
      <c r="AQ4" s="1444"/>
      <c r="AR4" s="1448"/>
      <c r="AS4" s="1445"/>
      <c r="AT4" s="1445"/>
      <c r="AU4" s="1445"/>
      <c r="AV4" s="1445"/>
      <c r="AW4" s="1445"/>
      <c r="AX4" s="1445"/>
      <c r="AY4" s="1445"/>
      <c r="AZ4" s="1445"/>
      <c r="BA4" s="1445"/>
      <c r="BB4" s="1445"/>
      <c r="BC4" s="1445"/>
      <c r="BD4" s="1445"/>
      <c r="BE4" s="1445"/>
      <c r="BF4" s="1445"/>
      <c r="BG4" s="1445"/>
      <c r="BH4" s="1446"/>
      <c r="BI4" s="1446"/>
      <c r="BJ4" s="1445"/>
      <c r="BK4" s="1446"/>
      <c r="BL4" s="1446"/>
      <c r="BM4" s="1446"/>
      <c r="BN4" s="1446"/>
      <c r="BO4" s="1446"/>
      <c r="BP4" s="1445"/>
      <c r="BQ4" s="1446"/>
      <c r="BR4" s="1446"/>
      <c r="BS4" s="1446"/>
      <c r="BT4" s="1446"/>
      <c r="BU4" s="1446"/>
      <c r="BV4" s="1446"/>
      <c r="BW4" s="1446"/>
      <c r="BX4" s="1446"/>
      <c r="BY4" s="1446"/>
      <c r="BZ4" s="1446"/>
      <c r="CA4" s="1446"/>
      <c r="CB4" s="1446"/>
      <c r="CC4" s="1446"/>
      <c r="CD4" s="1445"/>
      <c r="CE4" s="1447"/>
      <c r="CF4" s="1445"/>
      <c r="CG4" s="1445"/>
      <c r="CH4" s="1445"/>
      <c r="CI4" s="1445"/>
      <c r="CJ4" s="1445"/>
      <c r="CK4" s="1445"/>
      <c r="CL4" s="1445"/>
      <c r="CM4" s="1445"/>
      <c r="CN4" s="1445"/>
      <c r="CO4" s="1445"/>
      <c r="CP4" s="1445"/>
      <c r="CQ4" s="1445"/>
      <c r="CR4" s="1445"/>
      <c r="CS4" s="1445"/>
      <c r="CT4" s="1445"/>
      <c r="CU4" s="1445"/>
      <c r="CV4" s="1445"/>
      <c r="CW4" s="1445"/>
      <c r="CX4" s="1445"/>
      <c r="CY4" s="1445"/>
      <c r="CZ4" s="1445"/>
      <c r="DA4" s="1445"/>
      <c r="DB4" s="1445"/>
      <c r="DC4" s="1445"/>
      <c r="DD4" s="1445"/>
      <c r="DE4" s="1445"/>
      <c r="DF4" s="1445"/>
      <c r="DG4" s="1445"/>
      <c r="DH4" s="1445"/>
      <c r="DI4" s="1445"/>
      <c r="DJ4" s="1445"/>
      <c r="DK4" s="1445"/>
      <c r="DL4" s="1445"/>
      <c r="DM4" s="1445"/>
      <c r="DN4" s="1445"/>
      <c r="DO4" s="1445"/>
      <c r="DP4" s="1445"/>
      <c r="DQ4" s="1445"/>
      <c r="DR4" s="1445"/>
      <c r="DS4" s="1445"/>
      <c r="DT4" s="1445"/>
      <c r="DU4" s="1445"/>
      <c r="DV4" s="1444">
        <v>2975</v>
      </c>
      <c r="DW4" s="1444"/>
      <c r="DX4" s="1445"/>
      <c r="DY4" s="1445"/>
      <c r="DZ4" s="1445"/>
      <c r="EA4" s="1444"/>
      <c r="EB4" s="1444"/>
      <c r="EC4" s="1444"/>
      <c r="ED4" s="1444"/>
      <c r="EE4" s="1444"/>
      <c r="EF4" s="1444"/>
      <c r="EG4" s="1448"/>
      <c r="EH4" s="1444"/>
      <c r="EI4" s="1444"/>
      <c r="EJ4" s="1444"/>
      <c r="EK4" s="1444"/>
      <c r="EL4" s="1444"/>
      <c r="EM4" s="1445"/>
      <c r="EN4" s="1444"/>
      <c r="EO4" s="1444"/>
      <c r="EP4" s="1444"/>
      <c r="EQ4" s="1444"/>
      <c r="ER4" s="1445"/>
      <c r="ES4" s="1445"/>
      <c r="ET4" s="1444"/>
      <c r="EU4" s="1444"/>
      <c r="EV4" s="1444"/>
      <c r="EW4" s="1444"/>
      <c r="EX4" s="1444"/>
      <c r="EZ4" s="1445"/>
      <c r="FA4" s="1445"/>
      <c r="FB4" s="1445"/>
      <c r="FC4" s="1444"/>
      <c r="FD4" s="1445"/>
      <c r="FE4" s="1445"/>
      <c r="FF4" s="1445"/>
      <c r="FG4" s="1445"/>
      <c r="FH4" s="1445"/>
      <c r="FI4" s="1445"/>
      <c r="FJ4" s="1445"/>
      <c r="FK4" s="1445"/>
      <c r="FL4" s="1445"/>
      <c r="FM4" s="1445"/>
      <c r="FN4" s="1445"/>
      <c r="FO4" s="1445"/>
      <c r="FP4" s="1447"/>
      <c r="FQ4" s="1445"/>
      <c r="FR4" s="1445"/>
      <c r="FS4" s="1445"/>
      <c r="FT4" s="1445"/>
      <c r="FU4" s="1445"/>
      <c r="FV4" s="1445"/>
      <c r="FW4" s="1445"/>
      <c r="FX4" s="1445"/>
      <c r="FY4" s="1445"/>
      <c r="FZ4" s="1445"/>
      <c r="GA4" s="1445"/>
      <c r="GB4" s="1445"/>
      <c r="GC4" s="1438"/>
      <c r="GD4" s="1444"/>
      <c r="GE4" s="1445"/>
      <c r="GF4" s="1445"/>
      <c r="GG4" s="1445"/>
      <c r="GH4" s="1445"/>
      <c r="GI4" s="1445"/>
      <c r="GJ4" s="1445"/>
      <c r="GK4" s="1445"/>
      <c r="GL4" s="1445"/>
      <c r="GM4" s="1445"/>
      <c r="GN4" s="1445"/>
      <c r="GO4" s="1445"/>
      <c r="GP4" s="1445"/>
      <c r="GQ4" s="1445"/>
      <c r="GR4" s="1445"/>
      <c r="GS4" s="1445"/>
      <c r="GT4" s="1445"/>
      <c r="GU4" s="1445"/>
      <c r="GV4" s="1444"/>
      <c r="GW4" s="1445"/>
      <c r="GX4" s="1445"/>
      <c r="GY4" s="1445"/>
      <c r="GZ4" s="1445"/>
      <c r="HA4" s="1445"/>
      <c r="HB4" s="1445"/>
      <c r="HC4" s="1445"/>
      <c r="HD4" s="1445"/>
      <c r="HE4" s="1445"/>
      <c r="HF4" s="1445"/>
      <c r="HG4" s="1445"/>
      <c r="HH4" s="1445"/>
      <c r="HI4" s="1445"/>
      <c r="HJ4" s="1445"/>
      <c r="HK4" s="1445"/>
      <c r="HL4" s="1445"/>
      <c r="HM4" s="1445"/>
      <c r="HN4" s="1445"/>
      <c r="HO4" s="1445"/>
      <c r="HP4" s="1445"/>
      <c r="HQ4" s="1445"/>
      <c r="HR4" s="1444"/>
      <c r="HS4" s="1445"/>
      <c r="HT4" s="1445"/>
      <c r="HU4" s="1445"/>
      <c r="HV4" s="1445"/>
      <c r="HW4" s="1445"/>
      <c r="HX4" s="1444"/>
      <c r="HY4" s="1444"/>
      <c r="HZ4" s="1444"/>
      <c r="IA4" s="1444"/>
      <c r="IB4" s="1444"/>
      <c r="IC4" s="1445"/>
      <c r="ID4" s="1445"/>
      <c r="IE4" s="1445"/>
      <c r="IF4" s="1445"/>
      <c r="IG4" s="1444"/>
      <c r="IH4" s="1444"/>
      <c r="II4" s="1445"/>
      <c r="IJ4" s="1445"/>
      <c r="IK4" s="1445"/>
      <c r="IL4" s="1445"/>
      <c r="IM4" s="1445"/>
      <c r="IN4" s="1445"/>
      <c r="IO4" s="1445"/>
      <c r="IP4" s="1445"/>
      <c r="IQ4" s="1445"/>
      <c r="IR4" s="1445"/>
      <c r="IS4" s="1445"/>
      <c r="IT4" s="1445"/>
      <c r="IU4" s="1445"/>
      <c r="IV4" s="1445"/>
      <c r="IW4" s="1445"/>
      <c r="IX4" s="1445"/>
      <c r="IY4" s="1445"/>
      <c r="IZ4" s="1445"/>
      <c r="JA4" s="1445"/>
      <c r="JB4" s="1445"/>
      <c r="JC4" s="1445"/>
      <c r="JD4" s="1445"/>
      <c r="JE4" s="1445"/>
      <c r="JF4" s="1445"/>
      <c r="JG4" s="1445"/>
      <c r="JH4" s="1445"/>
      <c r="JI4" s="1445"/>
      <c r="JJ4" s="1445"/>
      <c r="JK4" s="1449"/>
      <c r="JL4" s="1445"/>
      <c r="JM4" s="1445"/>
      <c r="JN4" s="1445"/>
      <c r="JO4" s="1445"/>
      <c r="JP4" s="1445"/>
      <c r="JQ4" s="1450"/>
      <c r="JR4" s="351"/>
      <c r="JS4" s="1470"/>
      <c r="JT4" s="450"/>
    </row>
    <row r="5" spans="1:280" ht="12.5" x14ac:dyDescent="0.25">
      <c r="A5" s="1367">
        <v>4</v>
      </c>
      <c r="B5" s="1434">
        <f t="shared" ref="B5:B29" si="0">IF(EMP_A_IND&gt;1,IF(HLOOKUP(EMP_A_IND-1,EMP_RANGE_A,A5)="","",HLOOKUP(EMP_A_IND-1,EMP_RANGE_A,A5)),"")</f>
        <v>14056</v>
      </c>
      <c r="C5" s="1435" t="s">
        <v>2596</v>
      </c>
      <c r="D5" s="1436" t="s">
        <v>2597</v>
      </c>
      <c r="E5" s="1437"/>
      <c r="F5" s="1437">
        <v>2000</v>
      </c>
      <c r="G5" s="1437">
        <f>MAX((G3+G18+G19+G20+G21+G22+G23+G24+G25-P_A)*BR_rate,0)+MAX((G3+G18+G19+G20+G21+G22+G23+G24+G25-P_A-HR_band)*BR_rate,0)</f>
        <v>3829.4</v>
      </c>
      <c r="H5" s="1437">
        <f>MAX((H3+H18+H19+H20+H21+H22+H23+H24+H25-P_A)*BR_rate,0)+MAX((H3+H18+H19+H20+H21+H22+H23+H24+H25-P_A-HR_band)*BR_rate,0)</f>
        <v>7470</v>
      </c>
      <c r="I5" s="1437"/>
      <c r="J5" s="1437"/>
      <c r="K5" s="1437">
        <f>MAX((K3+K18+K19+K20+K21+K22+K23+K24+K25-P_A)*BR_rate,0)+MAX((K3+K18+K19+K20+K21+K22+K23+K24+K25-P_A-HR_band)*BR_rate,0)</f>
        <v>4856.2</v>
      </c>
      <c r="L5" s="1437"/>
      <c r="M5" s="1437"/>
      <c r="N5" s="1437"/>
      <c r="O5" s="1437">
        <f>MAX((O3+O18+O19+O20+O21+O22+O23+O24+O25-P_A)*BR_rate,0)+MAX((O3+O18+O19+O20+O21+O22+O23+O24+O25-P_A-HR_band)*BR_rate,0)</f>
        <v>2221.6</v>
      </c>
      <c r="P5" s="1437"/>
      <c r="Q5" s="1437">
        <v>7196.8</v>
      </c>
      <c r="R5" s="1437">
        <f>MAX((R3+R18+R19+R20+R21+R22+R23+R24+R25-P_A)*BR_rate,0)+MAX((R3+R18+R19+R20+R21+R22+R23+R24+R25-P_A-HR_band)*BR_rate,0)</f>
        <v>6876.8</v>
      </c>
      <c r="S5" s="1439"/>
      <c r="T5" s="1439"/>
      <c r="U5" s="1439">
        <f>MAX((U3+U18+U19+U20+U21+U22+U23+U24+U25-P_A)*BR_rate,0)+MAX((U3+U18+U19+U20+U21+U22+U23+U24+U25-P_A-HR_band)*BR_rate,0)</f>
        <v>16986.8</v>
      </c>
      <c r="V5" s="1439">
        <v>7680.8</v>
      </c>
      <c r="W5" s="1441">
        <f>MAX((W3+W18+W19+W20+W21+W22+W23+W24+W25-W26-P_A)*BR_rate,0)+MAX((W3+W18+W19+W20+W21+W22+W23+W24+W25-W26-P_A-HR_band)*BR_rate,0)</f>
        <v>8592</v>
      </c>
      <c r="X5" s="1439">
        <f>MAX((X3+X18+X19+X20+X21+X22+X23+X24+X25-X26-P_A)*BR_rate,0)+MAX((X3+X18+X19+X20+X21+X22+X23+X24+X25-X26-P_A-HR_band)*BR_rate,0)</f>
        <v>0</v>
      </c>
      <c r="Y5" s="1439">
        <f>MAX((Y3+Y18+Y19+Y20+Y21+Y22+Y23+Y24+Y25-Y26-P_A)*BR_rate,0)+MAX((Y3+Y18+Y19+Y20+Y21+Y22+Y23+Y24+Y25-Y26-P_A-HR_band)*BR_rate,0)</f>
        <v>1092.4000000000001</v>
      </c>
      <c r="Z5" s="1439">
        <v>30043.200000000001</v>
      </c>
      <c r="AA5" s="1439">
        <v>6309.6</v>
      </c>
      <c r="AB5" s="1439"/>
      <c r="AC5" s="1439">
        <f>MAX((AC3+AC18+AC19+AC20+AC21+AC22+AC23+AC24+AC25-P_A)*BR_rate,0)+MAX((AC3+AC18+AC19+AC20+AC21+AC22+AC23+AC24+AC25-P_A-HR_band)*BR_rate,0)</f>
        <v>0</v>
      </c>
      <c r="AD5" s="1439">
        <f>MAX((AD3+AD18+AD19+AD20+AD21+AD22+AD23+AD24+AD25-P_A)*BR_rate,0)+MAX((AD3+AD18+AD19+AD20+AD21+AD22+AD23+AD24+AD25-P_A-HR_band)*BR_rate,0)</f>
        <v>8969</v>
      </c>
      <c r="AE5" s="1439">
        <v>452</v>
      </c>
      <c r="AF5" s="1439"/>
      <c r="AG5" s="1439">
        <v>55077.64</v>
      </c>
      <c r="AH5" s="1439">
        <v>46192</v>
      </c>
      <c r="AI5" s="1439">
        <f>MAX((AI3+AI18+AI19+AI20+AI21+AI22+AI23+AI24+AI25-P_A)*BR_rate,0)+MAX((AI3+AI18+AI19+AI20+AI21+AI22+AI23+AI24+AI25-P_A-HR_band)*BR_rate,0)</f>
        <v>3436</v>
      </c>
      <c r="AJ5" s="1439">
        <f>MAX((AJ3+AJ18+AJ19+AJ20+AJ21+AJ22+AJ23+AJ24+AJ25-P_A)*BR_rate,0)+MAX((AJ3+AJ18+AJ19+AJ20+AJ21+AJ22+AJ23+AJ24+AJ25-P_A-HR_band)*BR_rate,0)</f>
        <v>4776</v>
      </c>
      <c r="AK5" s="1439">
        <f>MAX((AK3+AK18+AK19+AK20+AK21+AK22+AK23+AK24+AK25-P_A)*BR_rate,0)+MAX((AK3+AK18+AK19+AK20+AK21+AK22+AK23+AK24+AK25-P_A-HR_band)*BR_rate,0)</f>
        <v>5211.8</v>
      </c>
      <c r="AL5" s="1439">
        <f>MAX((AL3+AL18+AL19+AL20+AL21+AL22+AL23+AL24+AL25-P_A)*BR_rate,0)+MAX((AL3+AL18+AL19+AL20+AL21+AL22+AL23+AL24+AL25-P_A-HR_band)*BR_rate,0)</f>
        <v>11969</v>
      </c>
      <c r="AM5" s="1439"/>
      <c r="AN5" s="1439"/>
      <c r="AO5" s="1439"/>
      <c r="AP5" s="1439">
        <f>MAX((AP3+AP18+AP19+AP20+AP21+AP22+AP23+AP24+AP25-P_A)*BR_rate,0)+MAX((AP3+AP18+AP19+AP20+AP21+AP22+AP23+AP24+AP25-P_A-HR_band)*BR_rate,0)</f>
        <v>0</v>
      </c>
      <c r="AQ5" s="1439">
        <f>MAX((AQ3+AQ18+AQ19+AQ20+AQ21+AQ22+AQ23+AQ24+AQ25-P_A)*BR_rate,0)+MAX((AQ3+AQ18+AQ19+AQ20+AQ21+AQ22+AQ23+AQ24+AQ25-P_A-HR_band)*BR_rate,0)</f>
        <v>23684</v>
      </c>
      <c r="AR5" s="1439">
        <v>14345.8</v>
      </c>
      <c r="AS5" s="1439">
        <f>MAX((AS3+AS18+AS19+AS20+AS21+AS22+AS23+AS24+AS25-P_A)*BR_rate,0)+MAX((AS3+AS18+AS19+AS20+AS21+AS22+AS23+AS24+AS25-P_A-HR_band)*BR_rate,0)</f>
        <v>1306</v>
      </c>
      <c r="AT5" s="1441">
        <f>MAX((AT3+AT18+AT19+AT20+AT21+AT22+AT23+AT24+AT25-P_A)*BR_rate,0)+MAX((AT3+AT18+AT19+AT20+AT21+AT22+AT23+AT24+AT25-P_A-HR_band)*BR_rate,0)</f>
        <v>7236</v>
      </c>
      <c r="AU5" s="1441">
        <f>MAX((AU3+AU18+AU19+AU20+AU21+AU22+AU23+AU24+AU25-P_A)*BR_rate,0)+MAX((AU3+AU18+AU19+AU20+AU21+AU22+AU23+AU24+AU25-P_A-HR_band)*BR_rate,0)</f>
        <v>8140.2000000000007</v>
      </c>
      <c r="AV5" s="1439"/>
      <c r="AW5" s="1439"/>
      <c r="AX5" s="1439"/>
      <c r="AY5" s="1439">
        <v>0</v>
      </c>
      <c r="AZ5" s="1439"/>
      <c r="BA5" s="1439">
        <f>MAX((BA3+BA18+BA19+BA20+BA21+BA22+BA23+BA24+BA25-P_A)*BR_rate,0)+MAX((BA3+BA18+BA19+BA20+BA21+BA22+BA23+BA24+BA25-P_A-HR_band)*BR_rate,0)</f>
        <v>3584</v>
      </c>
      <c r="BB5" s="1439">
        <f>MAX((BB3+BB18+BB19+BB20+BB21+BB22+BB23+BB24+BB25-P_A)*BR_rate,0)+MAX((BB3+BB18+BB19+BB20+BB21+BB22+BB23+BB24+BB25-P_A-HR_band)*BR_rate,0)</f>
        <v>0</v>
      </c>
      <c r="BC5" s="1439">
        <v>26400</v>
      </c>
      <c r="BD5" s="1439">
        <f>MAX((BD3+BD18+BD19+BD20+BD21+BD22+BD23+BD24+BD25-P_A)*BR_rate,0)+MAX((BD3+BD18+BD19+BD20+BD21+BD22+BD23+BD24+BD25-P_A-HR_band)*BR_rate,0)</f>
        <v>1306</v>
      </c>
      <c r="BE5" s="1439">
        <v>400</v>
      </c>
      <c r="BF5" s="1439">
        <f>MAX((BF3+BF18+BF19+BF20+BF21+BF22+BF23+BF24+BF25-P_A)*BR_rate,0)+MAX((BF3+BF18+BF19+BF20+BF21+BF22+BF23+BF24+BF25-P_A-HR_band)*BR_rate,0)</f>
        <v>3181</v>
      </c>
      <c r="BG5" s="1441">
        <v>11619</v>
      </c>
      <c r="BH5" s="1439">
        <f>MAX((BH3+BH18+BH19+BH20+BH21+BH22+BH23+BH24+BH25-P_A)*BR_rate,0)+MAX((BH3+BH18+BH19+BH20+BH21+BH22+BH23+BH24+BH25-P_A-HR_band)*BR_rate,0)</f>
        <v>0</v>
      </c>
      <c r="BI5" s="1439">
        <f>MAX((BI3+BI18+BI19+BI20+BI21+BI22+BI23+BI24+BI25-P_A)*BR_rate,0)+MAX((BI3+BI18+BI19+BI20+BI21+BI22+BI23+BI24+BI25-P_A-HR_band)*BR_rate,0)</f>
        <v>4006</v>
      </c>
      <c r="BJ5" s="1441">
        <v>14439.17</v>
      </c>
      <c r="BK5" s="1439"/>
      <c r="BL5" s="1439"/>
      <c r="BM5" s="1439">
        <f>MAX((BM3+BM18+BM19+BM20+BM21+BM22+BM23+BM24+BM25-P_A)*BR_rate,0)+MAX((BM3+BM18+BM19+BM20+BM21+BM22+BM23+BM24+BM25-P_A-HR_band)*BR_rate,0)</f>
        <v>3584</v>
      </c>
      <c r="BN5" s="1439"/>
      <c r="BO5" s="1439">
        <f>MAX((BO3+BO18+BO19+BO20+BO21+BO22+BO23+BO24+BO25-P_A)*BR_rate,0)+MAX((BO3+BO18+BO19+BO20+BO21+BO22+BO23+BO24+BO25-P_A-HR_band)*BR_rate,0)</f>
        <v>4136.8</v>
      </c>
      <c r="BP5" s="1441">
        <v>3593</v>
      </c>
      <c r="BQ5" s="1439"/>
      <c r="BR5" s="1439"/>
      <c r="BS5" s="1439">
        <f>MAX((BS3+BS18+BS19+BS20+BS21+BS22+BS23+BS24+BS25-P_A)*BR_rate,0)+MAX((BS3+BS18+BS19+BS20+BS21+BS22+BS23+BS24+BS25-P_A-HR_band)*BR_rate,0)</f>
        <v>0</v>
      </c>
      <c r="BT5" s="1439"/>
      <c r="BU5" s="1439"/>
      <c r="BV5" s="1439"/>
      <c r="BW5" s="1439"/>
      <c r="BX5" s="1439"/>
      <c r="BY5" s="1439"/>
      <c r="BZ5" s="1439"/>
      <c r="CA5" s="1439"/>
      <c r="CB5" s="1439"/>
      <c r="CC5" s="1439"/>
      <c r="CD5" s="1439">
        <f>MAX((CD3+CD18+CD19+CD20+CD21+CD22+CD23+CD24+CD25-P_A)*BR_rate,0)+MAX((CD3+CD18+CD19+CD20+CD21+CD22+CD23+CD24+CD25-P_A-HR_band)*BR_rate,0)</f>
        <v>0</v>
      </c>
      <c r="CE5" s="1439">
        <f>MAX((CE3+CE18+CE19+CE20+CE21+CE22+CE23+CE24+CE25-P_A)*BR_rate,0)+MAX((CE3+CE18+CE19+CE20+CE21+CE22+CE23+CE24+CE25-P_A-HR_band)*BR_rate,0)</f>
        <v>11826</v>
      </c>
      <c r="CF5" s="1439">
        <f>MAX((CF3+CF18+CF19+CF20+CF21+CF22+CF23+CF24+CF25-P_A)*BR_rate,0)+MAX((CF3+CF18+CF19+CF20+CF21+CF22+CF23+CF24+CF25-P_A-HR_band)*BR_rate,0)</f>
        <v>4136.8</v>
      </c>
      <c r="CG5" s="1439"/>
      <c r="CH5" s="1439">
        <f>MAX((CH3+CH18+CH19+CH20+CH21+CH22+CH23+CH24+CH25-P_A)*BR_rate,0)+MAX((CH3+CH18+CH19+CH20+CH21+CH22+CH23+CH24+CH25-P_A-HR_band)*BR_rate,0)</f>
        <v>4136.8</v>
      </c>
      <c r="CI5" s="1439"/>
      <c r="CJ5" s="1439"/>
      <c r="CK5" s="1439"/>
      <c r="CL5" s="1439"/>
      <c r="CM5" s="1439"/>
      <c r="CN5" s="1439">
        <f>MAX((CN3+CN18+CN19+CN20+CN21+CN22+CN23+CN24+CN25-P_A)*BR_rate,0)+MAX((CN3+CN18+CN19+CN20+CN21+CN22+CN23+CN24+CN25-P_A-HR_band)*BR_rate,0)</f>
        <v>1306</v>
      </c>
      <c r="CO5" s="1439">
        <f>MAX((CO3+CO18+CO19+CO20+CO21+CO22+CO23+CO24+CO25-P_A)*BR_rate,0)+MAX((CO3+CO18+CO19+CO20+CO21+CO22+CO23+CO24+CO25-P_A-HR_band)*BR_rate,0)</f>
        <v>1306</v>
      </c>
      <c r="CP5" s="1439"/>
      <c r="CQ5" s="1439">
        <f>MAX((CQ3+CQ18+CQ19+CQ20+CQ21+CQ22+CQ23+CQ24+CQ25-P_A)*BR_rate,0)+MAX((CQ3+CQ18+CQ19+CQ20+CQ21+CQ22+CQ23+CQ24+CQ25-P_A-HR_band)*BR_rate,0)</f>
        <v>0</v>
      </c>
      <c r="CR5" s="1439"/>
      <c r="CS5" s="1439"/>
      <c r="CT5" s="1439"/>
      <c r="CU5" s="1439"/>
      <c r="CV5" s="1439">
        <f>MAX((CV3+CV18+CV19+CV20+CV21+CV22+CV23+CV24+CV25-P_A)*BR_rate,0)+MAX((CV3+CV18+CV19+CV20+CV21+CV22+CV23+CV24+CV25-P_A-HR_band)*BR_rate,0)</f>
        <v>3584</v>
      </c>
      <c r="CW5" s="1439"/>
      <c r="CX5" s="1439"/>
      <c r="CY5" s="1439"/>
      <c r="CZ5" s="1439"/>
      <c r="DA5" s="1439"/>
      <c r="DB5" s="1439">
        <v>6133.6</v>
      </c>
      <c r="DC5" s="1439"/>
      <c r="DD5" s="1439">
        <f>MAX((DD3+DD18+DD19+DD20+DD21+DD22+DD23+DD24+DD25-P_A)*BR_rate,0)+MAX((DD3+DD18+DD19+DD20+DD21+DD22+DD23+DD24+DD25-P_A-HR_band)*BR_rate,0)</f>
        <v>0</v>
      </c>
      <c r="DE5" s="1439">
        <f>MAX((DE3+DE18+DE19+DE20+DE21+DE22+DE23+DE24+DE25-P_A)*BR_rate,0)+MAX((DE3+DE18+DE19+DE20+DE21+DE22+DE23+DE24+DE25-P_A-HR_band)*BR_rate,0)</f>
        <v>1306</v>
      </c>
      <c r="DF5" s="1441">
        <f>MAX((DF3+DF18+DF19+DF20+DF21+DF22+DF23+DF24+DF25-P_A)*BR_rate,0)+MAX((DF3+DF18+DF19+DF20+DF21+DF22+DF23+DF24+DF25-P_A-HR_band)*BR_rate,0)</f>
        <v>6486</v>
      </c>
      <c r="DG5" s="1439"/>
      <c r="DH5" s="1439"/>
      <c r="DI5" s="1441">
        <f>MAX((DI3+DI18+DI19+DI20+DI21+DI22+DI23+DI24+DI25-P_A)*BR_rate,0)+MAX((DI3+DI18+DI19+DI20+DI21+DI22+DI23+DI24+DI25-P_A-HR_band)*BR_rate,0)</f>
        <v>6506.2000000000007</v>
      </c>
      <c r="DJ5" s="1439"/>
      <c r="DK5" s="1439">
        <f>MAX((DK3+DK18+DK19+DK20+DK21+DK22+DK23+DK24+DK25-P_A)*BR_rate,0)+MAX((DK3+DK18+DK19+DK20+DK21+DK22+DK23+DK24+DK25-P_A-HR_band)*BR_rate,0)</f>
        <v>3584</v>
      </c>
      <c r="DL5" s="1439">
        <f>MAX((DL3+DL18+DL19+DL20+DL21+DL22+DL23+DL24+DL25-P_A)*BR_rate,0)+MAX((DL3+DL18+DL19+DL20+DL21+DL22+DL23+DL24+DL25-P_A-HR_band)*BR_rate,0)</f>
        <v>23084</v>
      </c>
      <c r="DM5" s="1439"/>
      <c r="DN5" s="1441">
        <v>776</v>
      </c>
      <c r="DO5" s="1441">
        <v>282352.75</v>
      </c>
      <c r="DP5" s="1441">
        <v>60241.05</v>
      </c>
      <c r="DQ5" s="1439"/>
      <c r="DR5" s="1441">
        <v>907</v>
      </c>
      <c r="DS5" s="1441">
        <v>550382</v>
      </c>
      <c r="DT5" s="1441">
        <v>230104</v>
      </c>
      <c r="DU5" s="1439">
        <f>MAX((DU3+DU18+DU19+DU20+DU21+DU22+DU23+DU24+DU25-P_A)*BR_rate,0)+MAX((DU3+DU18+DU19+DU20+DU21+DU22+DU23+DU24+DU25-P_A-HR_band)*BR_rate,0)</f>
        <v>0</v>
      </c>
      <c r="DV5" s="1439">
        <f>MAX((DV3+DV18+DV19+DV20+DV21+DV22+DV23+DV24+DV25-P_A)*BR_rate,0)+MAX((DV3+DV18+DV19+DV20+DV21+DV22+DV23+DV24+DV25-P_A-HR_band)*BR_rate,0)</f>
        <v>3584</v>
      </c>
      <c r="DW5" s="1439"/>
      <c r="DX5" s="1441">
        <v>375</v>
      </c>
      <c r="DY5" s="1441">
        <v>2279</v>
      </c>
      <c r="DZ5" s="1441">
        <v>5051.8</v>
      </c>
      <c r="EA5" s="1439">
        <v>250</v>
      </c>
      <c r="EB5" s="1439"/>
      <c r="EC5" s="1439"/>
      <c r="ED5" s="1439">
        <f>MAX((ED3+ED18+ED19+ED20+ED21+ED22+ED23+ED24+ED25-P_A)*BR_rate,0)+MAX((ED3+ED18+ED19+ED20+ED21+ED22+ED23+ED24+ED25-P_A-HR_band)*BR_rate,0)</f>
        <v>4136.8</v>
      </c>
      <c r="EE5" s="1439">
        <f>MAX((EE3+EE18+EE19+EE20+EE21+EE22+EE23+EE24+EE25-P_A)*BR_rate,0)+MAX((EE3+EE18+EE19+EE20+EE21+EE22+EE23+EE24+EE25-P_A-HR_band)*BR_rate,0)</f>
        <v>4136.8</v>
      </c>
      <c r="EF5" s="1439"/>
      <c r="EG5" s="1441">
        <v>4110.8599999999997</v>
      </c>
      <c r="EH5" s="1439">
        <f t="shared" ref="EH5:EL5" si="1">MAX((EH3+EH18+EH19+EH20+EH21+EH22+EH23+EH24+EH25-P_A)*BR_rate,0)+MAX((EH3+EH18+EH19+EH20+EH21+EH22+EH23+EH24+EH25-P_A-HR_band)*BR_rate,0)</f>
        <v>11826</v>
      </c>
      <c r="EI5" s="1439">
        <f t="shared" si="1"/>
        <v>23084</v>
      </c>
      <c r="EJ5" s="1439">
        <f t="shared" si="1"/>
        <v>0</v>
      </c>
      <c r="EK5" s="1439">
        <f t="shared" si="1"/>
        <v>0</v>
      </c>
      <c r="EL5" s="1439">
        <f t="shared" si="1"/>
        <v>25481.600000000002</v>
      </c>
      <c r="EM5" s="1441">
        <v>31855</v>
      </c>
      <c r="EN5" s="1441">
        <v>2695.6</v>
      </c>
      <c r="EO5" s="1439">
        <v>0</v>
      </c>
      <c r="EP5" s="1441">
        <v>7406</v>
      </c>
      <c r="EQ5" s="1439"/>
      <c r="ER5" s="1441">
        <v>95114</v>
      </c>
      <c r="ES5" s="1441">
        <v>37.4</v>
      </c>
      <c r="ET5" s="1439"/>
      <c r="EU5" s="1439"/>
      <c r="EV5" s="1439"/>
      <c r="EW5" s="1439"/>
      <c r="EX5" s="1439"/>
      <c r="EY5" s="1438">
        <v>53508.06</v>
      </c>
      <c r="EZ5" s="1439">
        <f>MAX((EZ3+EZ18+EZ19+EZ20+EZ21+EZ22+EZ23+EZ24+EZ25-P_A)*BR_rate,0)+MAX((EZ3+EZ18+EZ19+EZ20+EZ21+EZ22+EZ23+EZ24+EZ25-P_A-HR_band)*BR_rate,0)</f>
        <v>1306</v>
      </c>
      <c r="FA5" s="1441">
        <v>446688</v>
      </c>
      <c r="FB5" s="1441">
        <v>2840.6</v>
      </c>
      <c r="FC5" s="1439">
        <f>MAX((FC3+FC18+FC19+FC20+FC21+FC22+FC23+FC24+FC25-P_A)*BR_rate,0)+MAX((FC3+FC18+FC19+FC20+FC21+FC22+FC23+FC24+FC25-P_A-HR_band)*BR_rate,0)</f>
        <v>74649.600000000006</v>
      </c>
      <c r="FD5" s="1441">
        <f>MAX((FD3+FD18+FD19+FD20+FD21+FD22+FD23+FD24+FD25-P_A)*BR_rate,0)+MAX((FD3+FD18+FD19+FD20+FD21+FD22+FD23+FD24+FD25-P_A-HR_band)*BR_rate,0)</f>
        <v>9402</v>
      </c>
      <c r="FE5" s="1439"/>
      <c r="FF5" s="1441">
        <f t="shared" ref="FF5:FQ5" si="2">MAX((FF3+FF18+FF19+FF20+FF21+FF22+FF23+FF24+FF25-P_A)*BR_rate,0)+MAX((FF3+FF18+FF19+FF20+FF21+FF22+FF23+FF24+FF25-P_A-HR_band)*BR_rate,0)</f>
        <v>289369.2</v>
      </c>
      <c r="FG5" s="1439">
        <f t="shared" si="2"/>
        <v>0</v>
      </c>
      <c r="FH5" s="1441">
        <f t="shared" si="2"/>
        <v>12121.2</v>
      </c>
      <c r="FI5" s="1441">
        <f t="shared" si="2"/>
        <v>12196.326000000001</v>
      </c>
      <c r="FJ5" s="1441">
        <f t="shared" si="2"/>
        <v>5219</v>
      </c>
      <c r="FK5" s="1439">
        <f t="shared" si="2"/>
        <v>0</v>
      </c>
      <c r="FL5" s="1439">
        <f t="shared" si="2"/>
        <v>0</v>
      </c>
      <c r="FM5" s="1439">
        <f t="shared" si="2"/>
        <v>0</v>
      </c>
      <c r="FN5" s="1439">
        <f t="shared" si="2"/>
        <v>11826</v>
      </c>
      <c r="FO5" s="1439">
        <f t="shared" si="2"/>
        <v>16466</v>
      </c>
      <c r="FP5" s="1441">
        <v>14056</v>
      </c>
      <c r="FQ5" s="1439">
        <f t="shared" si="2"/>
        <v>4136.8</v>
      </c>
      <c r="FR5" s="1441">
        <v>39144.800000000003</v>
      </c>
      <c r="FS5" s="1439"/>
      <c r="FT5" s="1439"/>
      <c r="FU5" s="1439"/>
      <c r="FV5" s="1439"/>
      <c r="FW5" s="1439">
        <f>MAX((FW3+FW18+FW19+FW20+FW21+FW22+FW23+FW24+FW25-P_A)*BR_rate,0)+MAX((FW3+FW18+FW19+FW20+FW21+FW22+FW23+FW24+FW25-P_A-HR_band)*BR_rate,0)</f>
        <v>1306</v>
      </c>
      <c r="FX5" s="1439"/>
      <c r="FY5" s="1439"/>
      <c r="FZ5" s="1439"/>
      <c r="GA5" s="1439"/>
      <c r="GB5" s="1441">
        <v>0</v>
      </c>
      <c r="GC5" s="1441">
        <v>0</v>
      </c>
      <c r="GD5" s="1441">
        <v>0</v>
      </c>
      <c r="GE5" s="1439"/>
      <c r="GF5" s="1441">
        <v>3150</v>
      </c>
      <c r="GG5" s="1439"/>
      <c r="GH5" s="1439"/>
      <c r="GI5" s="1439"/>
      <c r="GJ5" s="1439"/>
      <c r="GK5" s="1441">
        <f>MAX((GK3+GK18+GK19+GK20+GK21+GK22+GK23+GK24+GK25-P_A)*BR_rate,0)+MAX((GK3+GK18+GK19+GK20+GK21+GK22+GK23+GK24+GK25-P_A-HR_band)*BR_rate,0)</f>
        <v>0</v>
      </c>
      <c r="GL5" s="1439"/>
      <c r="GM5" s="1439"/>
      <c r="GN5" s="1439"/>
      <c r="GO5" s="1439">
        <f>MAX((GO3+GO18+GO19+GO20+GO21+GO22+GO23+GO24+GO25-P_A)*BR_rate,0)+MAX((GO3+GO18+GO19+GO20+GO21+GO22+GO23+GO24+GO25-P_A-HR_band)*BR_rate,0)</f>
        <v>4136.8</v>
      </c>
      <c r="GP5" s="1439">
        <f>MAX((GP3+GP18+GP19+GP20+GP21+GP22+GP23+GP24+GP25-P_A)*BR_rate,0)+MAX((GP3+GP18+GP19+GP20+GP21+GP22+GP23+GP24+GP25-P_A-HR_band)*BR_rate,0)</f>
        <v>52819.199999999997</v>
      </c>
      <c r="GQ5" s="1439">
        <f>MAX((GQ3+GQ18+GQ19+GQ20+GQ21+GQ22+GQ23+GQ24+GQ25-P_A)*BR_rate,0)+MAX((GQ3+GQ18+GQ19+GQ20+GQ21+GQ22+GQ23+GQ24+GQ25-P_A-HR_band)*BR_rate,0)</f>
        <v>1306</v>
      </c>
      <c r="GR5" s="1441"/>
      <c r="GS5" s="1439">
        <f>MAX((GS3+GS18+GS19+GS20+GS21+GS22+GS23+GS24+GS25-P_A)*BR_rate,0)+MAX((GS3+GS18+GS19+GS20+GS21+GS22+GS23+GS24+GS25-P_A-HR_band)*BR_rate,0)</f>
        <v>11826</v>
      </c>
      <c r="GT5" s="1441">
        <v>5777.8</v>
      </c>
      <c r="GU5" s="1439"/>
      <c r="GV5" s="1439"/>
      <c r="GW5" s="1441">
        <v>7058.2</v>
      </c>
      <c r="GX5" s="1439">
        <f>MAX((GX3+GX18+GX19+GX20+GX21+GX22+GX23+GX24+GX25-P_A)*BR_rate,0)+MAX((GX3+GX18+GX19+GX20+GX21+GX22+GX23+GX24+GX25-P_A-HR_band)*BR_rate,0)</f>
        <v>16938</v>
      </c>
      <c r="GY5" s="1439"/>
      <c r="GZ5" s="1439">
        <f>MAX((GZ3+GZ18+GZ19+GZ20+GZ21+GZ22+GZ23+GZ24+GZ25-P_A)*BR_rate,0)+MAX((GZ3+GZ18+GZ19+GZ20+GZ21+GZ22+GZ23+GZ24+GZ25-P_A-HR_band)*BR_rate,0)</f>
        <v>23084</v>
      </c>
      <c r="HA5" s="1439">
        <f>MAX((HA3+HA18+HA19+HA20+HA21+HA22+HA23+HA24+HA25-P_A)*BR_rate,0)+MAX((HA3+HA18+HA19+HA20+HA21+HA22+HA23+HA24+HA25-P_A-HR_band)*BR_rate,0)</f>
        <v>11826</v>
      </c>
      <c r="HB5" s="1439">
        <f>MAX((HB3+HB18+HB19+HB20+HB21+HB22+HB23+HB24+HB25-P_A)*BR_rate,0)+MAX((HB3+HB18+HB19+HB20+HB21+HB22+HB23+HB24+HB25-P_A-HR_band)*BR_rate,0)</f>
        <v>100684</v>
      </c>
      <c r="HC5" s="1439"/>
      <c r="HD5" s="1439"/>
      <c r="HE5" s="1439"/>
      <c r="HF5" s="1439"/>
      <c r="HG5" s="1439"/>
      <c r="HH5" s="1439"/>
      <c r="HI5" s="1441">
        <v>505489</v>
      </c>
      <c r="HJ5" s="1439"/>
      <c r="HK5" s="1439"/>
      <c r="HL5" s="1441">
        <v>8418</v>
      </c>
      <c r="HM5" s="1441">
        <v>713734</v>
      </c>
      <c r="HN5" s="1439"/>
      <c r="HO5" s="1439">
        <f>MAX((HO3+HO18+HO19+HO20+HO21+HO22+HO23+HO24+HO25-P_A)*BR_rate,0)+MAX((HO3+HO18+HO19+HO20+HO21+HO22+HO23+HO24+HO25-P_A-HR_band)*BR_rate,0)</f>
        <v>0</v>
      </c>
      <c r="HP5" s="1439"/>
      <c r="HQ5" s="1441">
        <v>605</v>
      </c>
      <c r="HR5" s="1441">
        <v>44064</v>
      </c>
      <c r="HS5" s="1439"/>
      <c r="HT5" s="1441">
        <v>2687</v>
      </c>
      <c r="HU5" s="1441">
        <v>5678</v>
      </c>
      <c r="HV5" s="1439"/>
      <c r="HW5" s="1439"/>
      <c r="HX5" s="1439"/>
      <c r="HY5" s="1439">
        <f>MAX((HY3+HY18+HY19+HY20+HY21+HY22+HY23+HY24+HY25-P_A)*SBR_rate,0)+MAX((HY3+HY18+HY19+HY20+HY21+HY22+HY23+HY24+HY25-P_A-SHR_band)*BR_rate,0)</f>
        <v>7911.6</v>
      </c>
      <c r="HZ5" s="1439">
        <f>MAX((HZ3+HZ18+HZ19+HZ20+HZ21+HZ22+HZ23+HZ24+HZ25-P_A)*SBR_rate,0)+MAX((HZ3+HZ18+HZ19+HZ20+HZ21+HZ22+HZ23+HZ24+HZ25-P_A-SHR_band)*BR_rate,0)</f>
        <v>3095</v>
      </c>
      <c r="IA5" s="1441">
        <v>12245</v>
      </c>
      <c r="IB5" s="1439"/>
      <c r="IC5" s="1441">
        <v>52843.92</v>
      </c>
      <c r="ID5" s="1441">
        <v>46623.15</v>
      </c>
      <c r="IE5" s="1441">
        <v>13976.73</v>
      </c>
      <c r="IF5" s="1439">
        <f>MAX((IF3+IF18+IF19+IF20+IF21+IF22+IF23+IF24+IF25-P_A)*BR_rate,0)+MAX((IF3+IF18+IF19+IF20+IF21+IF22+IF23+IF24+IF25-P_A-HR_band)*BR_rate,0)</f>
        <v>200</v>
      </c>
      <c r="IG5" s="1439">
        <f>MAX((IG3+IG18+IG19+IG20+IG21+IG22+IG23+IG24+IG25-P_A)*SBR_rate,0)+MAX((IG3+IG18+IG19+IG20+IG21+IG22+IG23+IG24+IG25-P_A-SHR_band)*BR_rate,0)</f>
        <v>57.2</v>
      </c>
      <c r="IH5" s="1441">
        <v>1012</v>
      </c>
      <c r="II5" s="1441">
        <v>34435</v>
      </c>
      <c r="IJ5" s="1441">
        <v>10733.93</v>
      </c>
      <c r="IK5" s="1441">
        <v>55028.53</v>
      </c>
      <c r="IL5" s="1441">
        <v>45794.65</v>
      </c>
      <c r="IM5" s="1439"/>
      <c r="IN5" s="1439"/>
      <c r="IO5" s="1441">
        <v>1946.49</v>
      </c>
      <c r="IP5" s="1439"/>
      <c r="IQ5" s="1439"/>
      <c r="IR5" s="1439"/>
      <c r="IS5" s="1439">
        <v>60739</v>
      </c>
      <c r="IT5" s="1439"/>
      <c r="IU5" s="1441">
        <v>467777</v>
      </c>
      <c r="IV5" s="1439"/>
      <c r="IW5" s="1441">
        <v>32544</v>
      </c>
      <c r="IX5" s="1441">
        <v>10762792</v>
      </c>
      <c r="IY5" s="1439">
        <f>MAX((IY3+IY18+IY19+IY20+IY21+IY22+IY23+IY24+IY25-P_A)*BR_rate,0)+MAX((IY3+IY18+IY19+IY20+IY21+IY22+IY23+IY24+IY25-P_A-HR_band)*BR_rate,0)</f>
        <v>1443.8000000000002</v>
      </c>
      <c r="IZ5" s="1439">
        <f>MAX((IZ3+IZ18+IZ19+IZ20+IZ21+IZ22+IZ23+IZ24+IZ25-P_A)*BR_rate,0)+MAX((IZ3+IZ18+IZ19+IZ20+IZ21+IZ22+IZ23+IZ24+IZ25-P_A-HR_band)*BR_rate,0)</f>
        <v>4136.8</v>
      </c>
      <c r="JA5" s="1439"/>
      <c r="JB5" s="1441">
        <v>19811</v>
      </c>
      <c r="JC5" s="1439"/>
      <c r="JD5" s="1441">
        <v>215611</v>
      </c>
      <c r="JE5" s="1439">
        <f>MAX((JE3+JE18+JE19+JE20+JE21+JE22+JE23+JE24+JE25-P_A)*BR_rate,0)+MAX((JE3+JE18+JE19+JE20+JE21+JE22+JE23+JE24+JE25-P_A-HR_band)*BR_rate,0)</f>
        <v>4136.8</v>
      </c>
      <c r="JF5" s="1439">
        <f>MAX((JF3+JF18+JF19+JF20+JF21+JF22+JF23+JF24+JF25-P_A)*BR_rate,0)+MAX((JF3+JF18+JF19+JF20+JF21+JF22+JF23+JF24+JF25-P_A-HR_band)*BR_rate,0)</f>
        <v>4536.8</v>
      </c>
      <c r="JG5" s="1439"/>
      <c r="JH5" s="1441">
        <v>362337</v>
      </c>
      <c r="JI5" s="1439"/>
      <c r="JJ5" s="1439">
        <v>1126</v>
      </c>
      <c r="JK5" s="1451">
        <v>1525</v>
      </c>
      <c r="JL5" s="1441">
        <v>31753.3</v>
      </c>
      <c r="JM5" s="1439"/>
      <c r="JN5" s="1439">
        <v>0</v>
      </c>
      <c r="JO5" s="1439">
        <v>7500</v>
      </c>
      <c r="JP5" s="1439">
        <v>7500</v>
      </c>
      <c r="JQ5" s="1451">
        <v>20742.599999999999</v>
      </c>
      <c r="JR5" s="351"/>
      <c r="JS5" s="1470"/>
      <c r="JT5" s="450" t="s">
        <v>2253</v>
      </c>
    </row>
    <row r="6" spans="1:280" ht="12.5" x14ac:dyDescent="0.25">
      <c r="A6" s="1367">
        <v>5</v>
      </c>
      <c r="B6" s="1434" t="str">
        <f t="shared" si="0"/>
        <v/>
      </c>
      <c r="C6" s="1435" t="s">
        <v>2598</v>
      </c>
      <c r="D6" s="1436" t="s">
        <v>2599</v>
      </c>
      <c r="E6" s="1452"/>
      <c r="F6" s="1452"/>
      <c r="G6" s="1452"/>
      <c r="H6" s="1453"/>
      <c r="I6" s="1453"/>
      <c r="J6" s="1453"/>
      <c r="K6" s="1452"/>
      <c r="L6" s="1453"/>
      <c r="M6" s="1453"/>
      <c r="N6" s="1453"/>
      <c r="O6" s="1452"/>
      <c r="P6" s="1453"/>
      <c r="Q6" s="1452"/>
      <c r="R6" s="1452"/>
      <c r="S6" s="1453"/>
      <c r="T6" s="1453"/>
      <c r="U6" s="1453"/>
      <c r="V6" s="1452"/>
      <c r="W6" s="1452"/>
      <c r="X6" s="1452"/>
      <c r="Y6" s="1452"/>
      <c r="Z6" s="1453"/>
      <c r="AA6" s="1452"/>
      <c r="AB6" s="1453"/>
      <c r="AC6" s="1452"/>
      <c r="AD6" s="1452"/>
      <c r="AE6" s="1452"/>
      <c r="AF6" s="1452"/>
      <c r="AG6" s="1452"/>
      <c r="AH6" s="1452"/>
      <c r="AI6" s="1452"/>
      <c r="AJ6" s="1453"/>
      <c r="AK6" s="1452"/>
      <c r="AL6" s="1453"/>
      <c r="AM6" s="1453"/>
      <c r="AN6" s="1453"/>
      <c r="AO6" s="1453"/>
      <c r="AP6" s="1452"/>
      <c r="AQ6" s="1452"/>
      <c r="AR6" s="1453"/>
      <c r="AS6" s="1452"/>
      <c r="AT6" s="1452"/>
      <c r="AU6" s="1452"/>
      <c r="AV6" s="1453"/>
      <c r="AW6" s="1452"/>
      <c r="AX6" s="1452"/>
      <c r="AY6" s="1452"/>
      <c r="AZ6" s="1452"/>
      <c r="BA6" s="1452"/>
      <c r="BB6" s="1452">
        <v>50</v>
      </c>
      <c r="BC6" s="1452"/>
      <c r="BD6" s="1452"/>
      <c r="BE6" s="1452"/>
      <c r="BF6" s="1452"/>
      <c r="BG6" s="1452"/>
      <c r="BH6" s="1452"/>
      <c r="BI6" s="1452"/>
      <c r="BJ6" s="1452"/>
      <c r="BK6" s="1452"/>
      <c r="BL6" s="1452"/>
      <c r="BM6" s="1452"/>
      <c r="BN6" s="1452"/>
      <c r="BO6" s="1452"/>
      <c r="BP6" s="1452"/>
      <c r="BQ6" s="1452"/>
      <c r="BR6" s="1452"/>
      <c r="BS6" s="1452">
        <v>50</v>
      </c>
      <c r="BT6" s="1452"/>
      <c r="BU6" s="1452"/>
      <c r="BV6" s="1452"/>
      <c r="BW6" s="1452"/>
      <c r="BX6" s="1452"/>
      <c r="BY6" s="1452"/>
      <c r="BZ6" s="1452"/>
      <c r="CA6" s="1452"/>
      <c r="CB6" s="1452"/>
      <c r="CC6" s="1452"/>
      <c r="CD6" s="1454"/>
      <c r="CE6" s="1453"/>
      <c r="CF6" s="1452"/>
      <c r="CG6" s="1452"/>
      <c r="CH6" s="1452"/>
      <c r="CI6" s="1452"/>
      <c r="CJ6" s="1452"/>
      <c r="CK6" s="1452"/>
      <c r="CL6" s="1452"/>
      <c r="CM6" s="1452"/>
      <c r="CN6" s="1452"/>
      <c r="CO6" s="1452"/>
      <c r="CP6" s="1452"/>
      <c r="CQ6" s="1452"/>
      <c r="CR6" s="1452"/>
      <c r="CS6" s="1452"/>
      <c r="CT6" s="1452"/>
      <c r="CU6" s="1452"/>
      <c r="CV6" s="1452"/>
      <c r="CW6" s="1452"/>
      <c r="CX6" s="1452"/>
      <c r="CY6" s="1452"/>
      <c r="CZ6" s="1452"/>
      <c r="DA6" s="1452"/>
      <c r="DB6" s="1452"/>
      <c r="DC6" s="1452"/>
      <c r="DD6" s="1452">
        <v>50</v>
      </c>
      <c r="DE6" s="1452"/>
      <c r="DF6" s="1452"/>
      <c r="DG6" s="1452"/>
      <c r="DH6" s="1452"/>
      <c r="DI6" s="1452"/>
      <c r="DJ6" s="1452"/>
      <c r="DK6" s="1452"/>
      <c r="DL6" s="1452"/>
      <c r="DM6" s="1452"/>
      <c r="DN6" s="1452"/>
      <c r="DO6" s="1452"/>
      <c r="DP6" s="1452"/>
      <c r="DQ6" s="1452"/>
      <c r="DR6" s="1452"/>
      <c r="DS6" s="1452"/>
      <c r="DT6" s="1452"/>
      <c r="DU6" s="1452">
        <v>50</v>
      </c>
      <c r="DV6" s="1452"/>
      <c r="DW6" s="1452"/>
      <c r="DX6" s="1452"/>
      <c r="DY6" s="1452"/>
      <c r="DZ6" s="1454">
        <v>10</v>
      </c>
      <c r="EA6" s="1452"/>
      <c r="EB6" s="1452"/>
      <c r="EC6" s="1452"/>
      <c r="ED6" s="1452"/>
      <c r="EE6" s="1452"/>
      <c r="EF6" s="1452"/>
      <c r="EG6" s="1453"/>
      <c r="EH6" s="1453"/>
      <c r="EI6" s="1452"/>
      <c r="EJ6" s="1452">
        <v>50</v>
      </c>
      <c r="EK6" s="1452">
        <v>50</v>
      </c>
      <c r="EL6" s="1452"/>
      <c r="EM6" s="1452"/>
      <c r="EN6" s="1452"/>
      <c r="EO6" s="1452"/>
      <c r="EP6" s="1452"/>
      <c r="EQ6" s="1452"/>
      <c r="ER6" s="1452"/>
      <c r="ES6" s="1452"/>
      <c r="ET6" s="1452"/>
      <c r="EU6" s="1452"/>
      <c r="EV6" s="1452"/>
      <c r="EW6" s="1452"/>
      <c r="EX6" s="1452"/>
      <c r="EY6" s="1452"/>
      <c r="EZ6" s="1452"/>
      <c r="FA6" s="1452"/>
      <c r="FB6" s="1452"/>
      <c r="FC6" s="1452"/>
      <c r="FD6" s="1452"/>
      <c r="FE6" s="1452"/>
      <c r="FF6" s="1452"/>
      <c r="FG6" s="1452"/>
      <c r="FH6" s="1452"/>
      <c r="FI6" s="1452"/>
      <c r="FJ6" s="1452"/>
      <c r="FK6" s="1452"/>
      <c r="FL6" s="1452"/>
      <c r="FM6" s="1454"/>
      <c r="FN6" s="1453"/>
      <c r="FO6" s="1453"/>
      <c r="FP6" s="1453"/>
      <c r="FQ6" s="1452"/>
      <c r="FR6" s="1452"/>
      <c r="FS6" s="1452"/>
      <c r="FT6" s="1452"/>
      <c r="FU6" s="1452"/>
      <c r="FV6" s="1452"/>
      <c r="FW6" s="1452"/>
      <c r="FX6" s="1452"/>
      <c r="FY6" s="1452"/>
      <c r="FZ6" s="1452"/>
      <c r="GA6" s="1452"/>
      <c r="GB6" s="1452"/>
      <c r="GC6" s="1452"/>
      <c r="GD6" s="1452"/>
      <c r="GE6" s="1452"/>
      <c r="GF6" s="1452"/>
      <c r="GG6" s="1452"/>
      <c r="GH6" s="1452"/>
      <c r="GI6" s="1452"/>
      <c r="GJ6" s="1452"/>
      <c r="GK6" s="1452"/>
      <c r="GL6" s="1452"/>
      <c r="GM6" s="1452"/>
      <c r="GN6" s="1452"/>
      <c r="GO6" s="1452"/>
      <c r="GP6" s="1452"/>
      <c r="GQ6" s="1452"/>
      <c r="GR6" s="1452"/>
      <c r="GS6" s="1453"/>
      <c r="GT6" s="1452"/>
      <c r="GU6" s="1452"/>
      <c r="GV6" s="1452"/>
      <c r="GW6" s="1452"/>
      <c r="GX6" s="1452"/>
      <c r="GY6" s="1452"/>
      <c r="GZ6" s="1452"/>
      <c r="HA6" s="1453"/>
      <c r="HB6" s="1452"/>
      <c r="HC6" s="1452"/>
      <c r="HD6" s="1452"/>
      <c r="HE6" s="1452"/>
      <c r="HF6" s="1452"/>
      <c r="HG6" s="1452"/>
      <c r="HH6" s="1452"/>
      <c r="HI6" s="1452"/>
      <c r="HJ6" s="1454">
        <v>526599</v>
      </c>
      <c r="HK6" s="1452"/>
      <c r="HL6" s="1452"/>
      <c r="HM6" s="1452"/>
      <c r="HN6" s="1452"/>
      <c r="HO6" s="1452"/>
      <c r="HP6" s="1452"/>
      <c r="HQ6" s="1452"/>
      <c r="HR6" s="1452"/>
      <c r="HS6" s="1452"/>
      <c r="HT6" s="1452"/>
      <c r="HU6" s="1452"/>
      <c r="HV6" s="1452"/>
      <c r="HW6" s="1452"/>
      <c r="HX6" s="1452"/>
      <c r="HY6" s="1452"/>
      <c r="HZ6" s="1452"/>
      <c r="IA6" s="1452"/>
      <c r="IB6" s="1452"/>
      <c r="IC6" s="1452"/>
      <c r="ID6" s="1452"/>
      <c r="IE6" s="1452"/>
      <c r="IF6" s="1452"/>
      <c r="IG6" s="1452"/>
      <c r="IH6" s="1452"/>
      <c r="II6" s="1452"/>
      <c r="IJ6" s="1452"/>
      <c r="IK6" s="1452"/>
      <c r="IL6" s="1452"/>
      <c r="IM6" s="1452"/>
      <c r="IN6" s="1452"/>
      <c r="IO6" s="1452"/>
      <c r="IP6" s="1452"/>
      <c r="IQ6" s="1452"/>
      <c r="IR6" s="1452"/>
      <c r="IS6" s="1452"/>
      <c r="IT6" s="1452"/>
      <c r="IU6" s="1452"/>
      <c r="IV6" s="1452"/>
      <c r="IW6" s="1452"/>
      <c r="IX6" s="1452"/>
      <c r="IY6" s="1453"/>
      <c r="IZ6" s="1452"/>
      <c r="JA6" s="1452"/>
      <c r="JB6" s="1452"/>
      <c r="JC6" s="1452"/>
      <c r="JD6" s="1452"/>
      <c r="JE6" s="1452"/>
      <c r="JF6" s="1452"/>
      <c r="JG6" s="1452"/>
      <c r="JH6" s="1452"/>
      <c r="JI6" s="1452"/>
      <c r="JJ6" s="1452"/>
      <c r="JK6" s="1455"/>
      <c r="JL6" s="1455"/>
      <c r="JM6" s="1455"/>
      <c r="JN6" s="1452"/>
      <c r="JO6" s="1452"/>
      <c r="JP6" s="1452"/>
      <c r="JQ6" s="1455"/>
      <c r="JR6" s="351"/>
      <c r="JS6" s="1470"/>
      <c r="JT6" s="450" t="s">
        <v>2242</v>
      </c>
    </row>
    <row r="7" spans="1:280" ht="12.5" x14ac:dyDescent="0.25">
      <c r="A7" s="1367">
        <v>6</v>
      </c>
      <c r="B7" s="1434" t="str">
        <f t="shared" si="0"/>
        <v/>
      </c>
      <c r="C7" s="2532" t="s">
        <v>2600</v>
      </c>
      <c r="D7" s="1456" t="s">
        <v>2601</v>
      </c>
      <c r="E7" s="1452"/>
      <c r="F7" s="1452"/>
      <c r="G7" s="1452"/>
      <c r="H7" s="1453"/>
      <c r="I7" s="1453"/>
      <c r="J7" s="1453"/>
      <c r="K7" s="1452"/>
      <c r="L7" s="1453"/>
      <c r="M7" s="1453"/>
      <c r="N7" s="1453"/>
      <c r="O7" s="1452"/>
      <c r="P7" s="1453"/>
      <c r="Q7" s="1452"/>
      <c r="R7" s="1452"/>
      <c r="S7" s="1453"/>
      <c r="T7" s="1453"/>
      <c r="U7" s="1453"/>
      <c r="V7" s="1452"/>
      <c r="W7" s="1452"/>
      <c r="X7" s="1452"/>
      <c r="Y7" s="1452"/>
      <c r="Z7" s="1453"/>
      <c r="AA7" s="1452"/>
      <c r="AB7" s="1453"/>
      <c r="AC7" s="1452"/>
      <c r="AD7" s="1452"/>
      <c r="AE7" s="1452"/>
      <c r="AF7" s="1452"/>
      <c r="AG7" s="1452"/>
      <c r="AH7" s="1452"/>
      <c r="AI7" s="1452"/>
      <c r="AJ7" s="1453"/>
      <c r="AK7" s="1452"/>
      <c r="AL7" s="1453"/>
      <c r="AM7" s="1453"/>
      <c r="AN7" s="1453"/>
      <c r="AO7" s="1453"/>
      <c r="AP7" s="1452"/>
      <c r="AQ7" s="1452"/>
      <c r="AR7" s="1453"/>
      <c r="AS7" s="1452"/>
      <c r="AT7" s="1452"/>
      <c r="AU7" s="1452"/>
      <c r="AV7" s="1453"/>
      <c r="AW7" s="1452"/>
      <c r="AX7" s="1452"/>
      <c r="AY7" s="1452"/>
      <c r="AZ7" s="1452"/>
      <c r="BA7" s="1452"/>
      <c r="BB7" s="1452"/>
      <c r="BC7" s="1452"/>
      <c r="BD7" s="1452"/>
      <c r="BE7" s="1452"/>
      <c r="BF7" s="1452"/>
      <c r="BG7" s="1452"/>
      <c r="BH7" s="1452"/>
      <c r="BI7" s="1452"/>
      <c r="BJ7" s="1452"/>
      <c r="BK7" s="1452"/>
      <c r="BL7" s="1452"/>
      <c r="BM7" s="1452"/>
      <c r="BN7" s="1452"/>
      <c r="BO7" s="1452"/>
      <c r="BP7" s="1452"/>
      <c r="BQ7" s="1452"/>
      <c r="BR7" s="1452"/>
      <c r="BS7" s="1452"/>
      <c r="BT7" s="1452"/>
      <c r="BU7" s="1452"/>
      <c r="BV7" s="1452"/>
      <c r="BW7" s="1452"/>
      <c r="BX7" s="1452"/>
      <c r="BY7" s="1452"/>
      <c r="BZ7" s="1452"/>
      <c r="CA7" s="1452"/>
      <c r="CB7" s="1452"/>
      <c r="CC7" s="1452"/>
      <c r="CD7" s="1452"/>
      <c r="CE7" s="1453"/>
      <c r="CF7" s="1452"/>
      <c r="CG7" s="1452"/>
      <c r="CH7" s="1452"/>
      <c r="CI7" s="1452"/>
      <c r="CJ7" s="1452"/>
      <c r="CK7" s="1452"/>
      <c r="CL7" s="1452"/>
      <c r="CM7" s="1452"/>
      <c r="CN7" s="1452"/>
      <c r="CO7" s="1452"/>
      <c r="CP7" s="1452"/>
      <c r="CQ7" s="1452"/>
      <c r="CR7" s="1452"/>
      <c r="CS7" s="1452"/>
      <c r="CT7" s="1452"/>
      <c r="CU7" s="1452"/>
      <c r="CV7" s="1452"/>
      <c r="CW7" s="1452"/>
      <c r="CX7" s="1452"/>
      <c r="CY7" s="1452"/>
      <c r="CZ7" s="1452"/>
      <c r="DA7" s="1452"/>
      <c r="DB7" s="1452"/>
      <c r="DC7" s="1452"/>
      <c r="DD7" s="1452"/>
      <c r="DE7" s="1452"/>
      <c r="DF7" s="1452"/>
      <c r="DG7" s="1452"/>
      <c r="DH7" s="1452"/>
      <c r="DI7" s="1452"/>
      <c r="DJ7" s="1452"/>
      <c r="DK7" s="1452"/>
      <c r="DL7" s="1452"/>
      <c r="DM7" s="1452"/>
      <c r="DN7" s="1452"/>
      <c r="DO7" s="1452"/>
      <c r="DP7" s="1452"/>
      <c r="DQ7" s="1452"/>
      <c r="DR7" s="1452"/>
      <c r="DS7" s="1452"/>
      <c r="DT7" s="1452"/>
      <c r="DU7" s="1452"/>
      <c r="DV7" s="1452"/>
      <c r="DW7" s="1452"/>
      <c r="DX7" s="1452"/>
      <c r="DY7" s="1452"/>
      <c r="DZ7" s="1452"/>
      <c r="EA7" s="1452"/>
      <c r="EB7" s="1452"/>
      <c r="EC7" s="1452"/>
      <c r="ED7" s="1452"/>
      <c r="EE7" s="1452"/>
      <c r="EF7" s="1452"/>
      <c r="EG7" s="1453"/>
      <c r="EH7" s="1453"/>
      <c r="EI7" s="1452"/>
      <c r="EJ7" s="1452"/>
      <c r="EK7" s="1452"/>
      <c r="EL7" s="1452"/>
      <c r="EM7" s="1452"/>
      <c r="EN7" s="1452"/>
      <c r="EO7" s="1452"/>
      <c r="EP7" s="1452"/>
      <c r="EQ7" s="1452"/>
      <c r="ER7" s="1452"/>
      <c r="ES7" s="1452"/>
      <c r="ET7" s="1452"/>
      <c r="EU7" s="1452"/>
      <c r="EV7" s="1452"/>
      <c r="EW7" s="1452"/>
      <c r="EX7" s="1452"/>
      <c r="EY7" s="1452"/>
      <c r="EZ7" s="1452"/>
      <c r="FA7" s="1452"/>
      <c r="FB7" s="1452"/>
      <c r="FC7" s="1452"/>
      <c r="FD7" s="1452"/>
      <c r="FE7" s="1452"/>
      <c r="FF7" s="1452"/>
      <c r="FG7" s="1452"/>
      <c r="FH7" s="1452"/>
      <c r="FI7" s="1452"/>
      <c r="FJ7" s="1452"/>
      <c r="FK7" s="1452"/>
      <c r="FL7" s="1452"/>
      <c r="FM7" s="1452"/>
      <c r="FN7" s="1453"/>
      <c r="FO7" s="1453"/>
      <c r="FP7" s="1453"/>
      <c r="FQ7" s="1452"/>
      <c r="FR7" s="1452"/>
      <c r="FS7" s="1452"/>
      <c r="FT7" s="1452"/>
      <c r="FU7" s="1452"/>
      <c r="FV7" s="1452"/>
      <c r="FW7" s="1452"/>
      <c r="FX7" s="1452"/>
      <c r="FY7" s="1452"/>
      <c r="FZ7" s="1452"/>
      <c r="GA7" s="1452"/>
      <c r="GB7" s="1452"/>
      <c r="GC7" s="1452"/>
      <c r="GD7" s="1452"/>
      <c r="GE7" s="1452"/>
      <c r="GF7" s="1452"/>
      <c r="GG7" s="1452"/>
      <c r="GH7" s="1452"/>
      <c r="GI7" s="1452"/>
      <c r="GJ7" s="1452"/>
      <c r="GK7" s="1452"/>
      <c r="GL7" s="1452"/>
      <c r="GM7" s="1452"/>
      <c r="GN7" s="1452"/>
      <c r="GO7" s="1452"/>
      <c r="GP7" s="1452"/>
      <c r="GQ7" s="1452"/>
      <c r="GR7" s="1452"/>
      <c r="GS7" s="1453"/>
      <c r="GT7" s="1452"/>
      <c r="GU7" s="1452"/>
      <c r="GV7" s="1452"/>
      <c r="GW7" s="1452"/>
      <c r="GX7" s="1452"/>
      <c r="GY7" s="1452"/>
      <c r="GZ7" s="1452"/>
      <c r="HA7" s="1453"/>
      <c r="HB7" s="1452"/>
      <c r="HC7" s="1452"/>
      <c r="HD7" s="1452"/>
      <c r="HE7" s="1452"/>
      <c r="HF7" s="1452"/>
      <c r="HG7" s="1452"/>
      <c r="HH7" s="1452"/>
      <c r="HI7" s="1452"/>
      <c r="HJ7" s="1452"/>
      <c r="HK7" s="1452"/>
      <c r="HL7" s="1452"/>
      <c r="HM7" s="1452"/>
      <c r="HN7" s="1452"/>
      <c r="HO7" s="1452"/>
      <c r="HP7" s="1452"/>
      <c r="HQ7" s="1452"/>
      <c r="HR7" s="1452"/>
      <c r="HS7" s="1452"/>
      <c r="HT7" s="1452"/>
      <c r="HU7" s="1452"/>
      <c r="HV7" s="1452"/>
      <c r="HW7" s="1452"/>
      <c r="HX7" s="1452"/>
      <c r="HY7" s="1452"/>
      <c r="HZ7" s="1452"/>
      <c r="IA7" s="1452"/>
      <c r="IB7" s="1452"/>
      <c r="IC7" s="1452"/>
      <c r="ID7" s="1452"/>
      <c r="IE7" s="1452"/>
      <c r="IF7" s="1452"/>
      <c r="IG7" s="1452"/>
      <c r="IH7" s="1452"/>
      <c r="II7" s="1452"/>
      <c r="IJ7" s="1452"/>
      <c r="IK7" s="1452"/>
      <c r="IL7" s="1452"/>
      <c r="IM7" s="1452"/>
      <c r="IN7" s="1452"/>
      <c r="IO7" s="1452"/>
      <c r="IP7" s="1452"/>
      <c r="IQ7" s="1452"/>
      <c r="IR7" s="1452"/>
      <c r="IS7" s="1452"/>
      <c r="IT7" s="1452"/>
      <c r="IU7" s="1452"/>
      <c r="IV7" s="1452"/>
      <c r="IW7" s="1452"/>
      <c r="IX7" s="1452"/>
      <c r="IY7" s="1453"/>
      <c r="IZ7" s="1452"/>
      <c r="JA7" s="1452"/>
      <c r="JB7" s="1452"/>
      <c r="JC7" s="1452"/>
      <c r="JD7" s="1452"/>
      <c r="JE7" s="1452"/>
      <c r="JF7" s="1452"/>
      <c r="JG7" s="1452"/>
      <c r="JH7" s="1452"/>
      <c r="JI7" s="1452"/>
      <c r="JJ7" s="1452"/>
      <c r="JK7" s="1455"/>
      <c r="JL7" s="1455"/>
      <c r="JM7" s="1455"/>
      <c r="JN7" s="1452"/>
      <c r="JO7" s="1452"/>
      <c r="JP7" s="1452"/>
      <c r="JQ7" s="1455"/>
      <c r="JR7" s="351"/>
      <c r="JS7" s="1470"/>
      <c r="JT7" s="450"/>
    </row>
    <row r="8" spans="1:280" ht="12.5" x14ac:dyDescent="0.25">
      <c r="A8" s="1367">
        <v>7</v>
      </c>
      <c r="B8" s="1434" t="str">
        <f t="shared" si="0"/>
        <v>525/444</v>
      </c>
      <c r="C8" s="1435" t="s">
        <v>2602</v>
      </c>
      <c r="D8" s="1436" t="s">
        <v>2603</v>
      </c>
      <c r="E8" s="1457"/>
      <c r="F8" s="1457" t="s">
        <v>2604</v>
      </c>
      <c r="G8" s="1457" t="s">
        <v>2604</v>
      </c>
      <c r="H8" s="1381" t="s">
        <v>2605</v>
      </c>
      <c r="I8" s="1381"/>
      <c r="J8" s="1381"/>
      <c r="K8" s="1457" t="s">
        <v>2604</v>
      </c>
      <c r="L8" s="1381"/>
      <c r="M8" s="1381"/>
      <c r="N8" s="1381"/>
      <c r="O8" s="1457" t="s">
        <v>2604</v>
      </c>
      <c r="P8" s="1381"/>
      <c r="Q8" s="1457" t="s">
        <v>2606</v>
      </c>
      <c r="R8" s="1457" t="s">
        <v>2604</v>
      </c>
      <c r="S8" s="1381"/>
      <c r="T8" s="1381"/>
      <c r="U8" s="1381" t="s">
        <v>2604</v>
      </c>
      <c r="V8" s="1457" t="s">
        <v>2607</v>
      </c>
      <c r="W8" s="1457" t="s">
        <v>2608</v>
      </c>
      <c r="X8" s="1457" t="s">
        <v>2609</v>
      </c>
      <c r="Y8" s="1457" t="s">
        <v>2610</v>
      </c>
      <c r="Z8" s="1381" t="s">
        <v>2611</v>
      </c>
      <c r="AA8" s="1457" t="s">
        <v>2604</v>
      </c>
      <c r="AB8" s="1381"/>
      <c r="AC8" s="1457" t="s">
        <v>2608</v>
      </c>
      <c r="AD8" s="1457" t="s">
        <v>2612</v>
      </c>
      <c r="AE8" s="1457" t="s">
        <v>2613</v>
      </c>
      <c r="AF8" s="1457"/>
      <c r="AG8" s="1457" t="s">
        <v>2604</v>
      </c>
      <c r="AH8" s="1457" t="s">
        <v>2614</v>
      </c>
      <c r="AI8" s="1457" t="s">
        <v>2615</v>
      </c>
      <c r="AJ8" s="1381" t="s">
        <v>2616</v>
      </c>
      <c r="AK8" s="1457" t="s">
        <v>2604</v>
      </c>
      <c r="AL8" s="1457" t="s">
        <v>2604</v>
      </c>
      <c r="AM8" s="1381" t="s">
        <v>2614</v>
      </c>
      <c r="AN8" s="1381"/>
      <c r="AO8" s="1381"/>
      <c r="AP8" s="1457" t="s">
        <v>2614</v>
      </c>
      <c r="AQ8" s="1457" t="s">
        <v>2617</v>
      </c>
      <c r="AR8" s="1381" t="s">
        <v>2618</v>
      </c>
      <c r="AS8" s="1457" t="s">
        <v>2619</v>
      </c>
      <c r="AT8" s="1457" t="s">
        <v>2609</v>
      </c>
      <c r="AU8" s="1457" t="s">
        <v>2620</v>
      </c>
      <c r="AV8" s="1381"/>
      <c r="AW8" s="1457"/>
      <c r="AX8" s="1457"/>
      <c r="AY8" s="1458" t="s">
        <v>2621</v>
      </c>
      <c r="AZ8" s="1457"/>
      <c r="BA8" s="1457" t="s">
        <v>2622</v>
      </c>
      <c r="BB8" s="1457" t="s">
        <v>2623</v>
      </c>
      <c r="BC8" s="1457" t="s">
        <v>2624</v>
      </c>
      <c r="BD8" s="1457" t="s">
        <v>2619</v>
      </c>
      <c r="BE8" s="1457" t="s">
        <v>2625</v>
      </c>
      <c r="BF8" s="1457" t="s">
        <v>2622</v>
      </c>
      <c r="BG8" s="1458" t="s">
        <v>2626</v>
      </c>
      <c r="BH8" s="1457" t="s">
        <v>2619</v>
      </c>
      <c r="BI8" s="1457" t="s">
        <v>2622</v>
      </c>
      <c r="BJ8" s="1458" t="s">
        <v>2627</v>
      </c>
      <c r="BK8" s="1457"/>
      <c r="BL8" s="1457"/>
      <c r="BM8" s="1457" t="s">
        <v>2622</v>
      </c>
      <c r="BN8" s="1457"/>
      <c r="BO8" s="1457" t="s">
        <v>2604</v>
      </c>
      <c r="BP8" s="1458" t="s">
        <v>2628</v>
      </c>
      <c r="BQ8" s="1457"/>
      <c r="BR8" s="1457"/>
      <c r="BS8" s="1457" t="s">
        <v>2623</v>
      </c>
      <c r="BT8" s="1457"/>
      <c r="BU8" s="1457"/>
      <c r="BV8" s="1457"/>
      <c r="BW8" s="1457"/>
      <c r="BX8" s="1457"/>
      <c r="BY8" s="1457"/>
      <c r="BZ8" s="1457"/>
      <c r="CA8" s="1457"/>
      <c r="CB8" s="1457"/>
      <c r="CC8" s="1457"/>
      <c r="CD8" s="1457" t="s">
        <v>2604</v>
      </c>
      <c r="CE8" s="1381" t="s">
        <v>2629</v>
      </c>
      <c r="CF8" s="1457" t="s">
        <v>2604</v>
      </c>
      <c r="CG8" s="1457"/>
      <c r="CH8" s="1457" t="s">
        <v>2604</v>
      </c>
      <c r="CI8" s="1457"/>
      <c r="CJ8" s="1458" t="s">
        <v>2630</v>
      </c>
      <c r="CK8" s="1457"/>
      <c r="CL8" s="1457"/>
      <c r="CM8" s="1457"/>
      <c r="CN8" s="1457" t="s">
        <v>2619</v>
      </c>
      <c r="CO8" s="1457" t="s">
        <v>2619</v>
      </c>
      <c r="CP8" s="1457"/>
      <c r="CQ8" s="1457" t="s">
        <v>2608</v>
      </c>
      <c r="CR8" s="1457"/>
      <c r="CS8" s="1457"/>
      <c r="CT8" s="1457"/>
      <c r="CU8" s="1457"/>
      <c r="CV8" s="1457" t="s">
        <v>2622</v>
      </c>
      <c r="CW8" s="1457"/>
      <c r="CX8" s="1457"/>
      <c r="CY8" s="1457"/>
      <c r="CZ8" s="1457"/>
      <c r="DA8" s="1458" t="s">
        <v>2631</v>
      </c>
      <c r="DB8" s="1457" t="s">
        <v>2623</v>
      </c>
      <c r="DC8" s="1457"/>
      <c r="DD8" s="1457" t="s">
        <v>2623</v>
      </c>
      <c r="DE8" s="1457" t="s">
        <v>2619</v>
      </c>
      <c r="DF8" s="1458" t="s">
        <v>2632</v>
      </c>
      <c r="DG8" s="1457"/>
      <c r="DH8" s="1457"/>
      <c r="DI8" s="1457" t="s">
        <v>2608</v>
      </c>
      <c r="DJ8" s="1457"/>
      <c r="DK8" s="1457" t="s">
        <v>2622</v>
      </c>
      <c r="DL8" s="1457" t="s">
        <v>2620</v>
      </c>
      <c r="DM8" s="1457"/>
      <c r="DN8" s="1457"/>
      <c r="DO8" s="1458" t="s">
        <v>2633</v>
      </c>
      <c r="DP8" s="1458" t="s">
        <v>2633</v>
      </c>
      <c r="DQ8" s="1457"/>
      <c r="DR8" s="1458" t="s">
        <v>2634</v>
      </c>
      <c r="DS8" s="1458" t="s">
        <v>2633</v>
      </c>
      <c r="DT8" s="1458" t="s">
        <v>2633</v>
      </c>
      <c r="DU8" s="1457" t="s">
        <v>2623</v>
      </c>
      <c r="DV8" s="1457" t="s">
        <v>2622</v>
      </c>
      <c r="DW8" s="1457"/>
      <c r="DX8" s="1458" t="s">
        <v>2635</v>
      </c>
      <c r="DY8" s="1458" t="s">
        <v>2636</v>
      </c>
      <c r="DZ8" s="1458" t="s">
        <v>2637</v>
      </c>
      <c r="EA8" s="1457" t="s">
        <v>2638</v>
      </c>
      <c r="EB8" s="1457"/>
      <c r="EC8" s="1457"/>
      <c r="ED8" s="1457" t="s">
        <v>2604</v>
      </c>
      <c r="EE8" s="1457" t="s">
        <v>2604</v>
      </c>
      <c r="EF8" s="1457"/>
      <c r="EG8" s="1382" t="s">
        <v>2633</v>
      </c>
      <c r="EH8" s="1381" t="s">
        <v>2629</v>
      </c>
      <c r="EI8" s="1457" t="s">
        <v>2620</v>
      </c>
      <c r="EJ8" s="1457" t="s">
        <v>2623</v>
      </c>
      <c r="EK8" s="1457" t="s">
        <v>2623</v>
      </c>
      <c r="EL8" s="1457" t="s">
        <v>2622</v>
      </c>
      <c r="EM8" s="1458" t="s">
        <v>2639</v>
      </c>
      <c r="EN8" s="1458" t="s">
        <v>2640</v>
      </c>
      <c r="EO8" s="1457" t="s">
        <v>2641</v>
      </c>
      <c r="EP8" s="1458" t="s">
        <v>2642</v>
      </c>
      <c r="EQ8" s="1457"/>
      <c r="ER8" s="1458" t="s">
        <v>2643</v>
      </c>
      <c r="ES8" s="1458" t="s">
        <v>2644</v>
      </c>
      <c r="ET8" s="1458" t="s">
        <v>2604</v>
      </c>
      <c r="EU8" s="1457"/>
      <c r="EV8" s="1458" t="s">
        <v>2645</v>
      </c>
      <c r="EW8" s="1457"/>
      <c r="EX8" s="1457"/>
      <c r="EY8" s="1458" t="s">
        <v>2646</v>
      </c>
      <c r="EZ8" s="1457" t="s">
        <v>2619</v>
      </c>
      <c r="FA8" s="1458" t="s">
        <v>2647</v>
      </c>
      <c r="FB8" s="1458" t="s">
        <v>2648</v>
      </c>
      <c r="FC8" s="1457" t="s">
        <v>2649</v>
      </c>
      <c r="FD8" s="1458" t="s">
        <v>2650</v>
      </c>
      <c r="FE8" s="1457"/>
      <c r="FF8" s="1458" t="s">
        <v>2651</v>
      </c>
      <c r="FG8" s="1457"/>
      <c r="FH8" s="1458" t="s">
        <v>2652</v>
      </c>
      <c r="FI8" s="1458" t="s">
        <v>2653</v>
      </c>
      <c r="FJ8" s="1458" t="s">
        <v>2654</v>
      </c>
      <c r="FK8" s="1458" t="s">
        <v>2655</v>
      </c>
      <c r="FL8" s="1457"/>
      <c r="FM8" s="1458"/>
      <c r="FN8" s="1381" t="s">
        <v>2629</v>
      </c>
      <c r="FO8" s="1381" t="s">
        <v>2629</v>
      </c>
      <c r="FP8" s="1381" t="s">
        <v>2629</v>
      </c>
      <c r="FQ8" s="1457" t="s">
        <v>2604</v>
      </c>
      <c r="FR8" s="1457" t="s">
        <v>2604</v>
      </c>
      <c r="FS8" s="1457"/>
      <c r="FT8" s="1457"/>
      <c r="FU8" s="1457"/>
      <c r="FV8" s="1457"/>
      <c r="FW8" s="1457" t="s">
        <v>2619</v>
      </c>
      <c r="FX8" s="1457"/>
      <c r="FY8" s="1457" t="s">
        <v>2604</v>
      </c>
      <c r="FZ8" s="1457" t="s">
        <v>2604</v>
      </c>
      <c r="GA8" s="1457" t="s">
        <v>2604</v>
      </c>
      <c r="GB8" s="1457" t="s">
        <v>2604</v>
      </c>
      <c r="GC8" s="1457" t="s">
        <v>2604</v>
      </c>
      <c r="GD8" s="1457" t="s">
        <v>2619</v>
      </c>
      <c r="GE8" s="1457"/>
      <c r="GF8" s="1457" t="s">
        <v>2620</v>
      </c>
      <c r="GG8" s="1457"/>
      <c r="GH8" s="1457"/>
      <c r="GI8" s="1457" t="s">
        <v>2620</v>
      </c>
      <c r="GJ8" s="1457"/>
      <c r="GK8" s="1457" t="s">
        <v>2619</v>
      </c>
      <c r="GL8" s="1457" t="s">
        <v>2620</v>
      </c>
      <c r="GM8" s="1457" t="s">
        <v>2620</v>
      </c>
      <c r="GN8" s="1457" t="s">
        <v>2620</v>
      </c>
      <c r="GO8" s="1457" t="s">
        <v>2604</v>
      </c>
      <c r="GP8" s="1457" t="s">
        <v>2607</v>
      </c>
      <c r="GQ8" s="1457" t="s">
        <v>2619</v>
      </c>
      <c r="GR8" s="1457" t="s">
        <v>2607</v>
      </c>
      <c r="GS8" s="1381" t="s">
        <v>2629</v>
      </c>
      <c r="GT8" s="1457" t="s">
        <v>2620</v>
      </c>
      <c r="GU8" s="1457"/>
      <c r="GV8" s="1457" t="s">
        <v>2656</v>
      </c>
      <c r="GW8" s="1457" t="s">
        <v>2604</v>
      </c>
      <c r="GX8" s="1457" t="s">
        <v>2620</v>
      </c>
      <c r="GY8" s="1457"/>
      <c r="GZ8" s="1457" t="s">
        <v>2620</v>
      </c>
      <c r="HA8" s="1381" t="s">
        <v>2629</v>
      </c>
      <c r="HB8" s="1457" t="s">
        <v>2649</v>
      </c>
      <c r="HC8" s="1457"/>
      <c r="HD8" s="1457" t="s">
        <v>2620</v>
      </c>
      <c r="HE8" s="1457"/>
      <c r="HF8" s="1457" t="s">
        <v>2641</v>
      </c>
      <c r="HG8" s="1457" t="s">
        <v>2641</v>
      </c>
      <c r="HH8" s="1457"/>
      <c r="HI8" s="1457" t="s">
        <v>2604</v>
      </c>
      <c r="HJ8" s="1457" t="s">
        <v>2620</v>
      </c>
      <c r="HK8" s="1457"/>
      <c r="HL8" s="1457" t="s">
        <v>2620</v>
      </c>
      <c r="HM8" s="1457" t="s">
        <v>2620</v>
      </c>
      <c r="HN8" s="1457"/>
      <c r="HO8" s="1457" t="s">
        <v>2608</v>
      </c>
      <c r="HP8" s="1457"/>
      <c r="HQ8" s="1457" t="s">
        <v>2620</v>
      </c>
      <c r="HR8" s="1457" t="s">
        <v>2657</v>
      </c>
      <c r="HS8" s="1457"/>
      <c r="HT8" s="1457" t="s">
        <v>2620</v>
      </c>
      <c r="HU8" s="1457"/>
      <c r="HV8" s="1457"/>
      <c r="HW8" s="1457"/>
      <c r="HX8" s="1457" t="s">
        <v>2620</v>
      </c>
      <c r="HY8" s="1457" t="s">
        <v>2658</v>
      </c>
      <c r="HZ8" s="1457" t="s">
        <v>2658</v>
      </c>
      <c r="IA8" s="1457" t="s">
        <v>2620</v>
      </c>
      <c r="IB8" s="1457"/>
      <c r="IC8" s="1458" t="s">
        <v>2659</v>
      </c>
      <c r="ID8" s="1458" t="s">
        <v>2660</v>
      </c>
      <c r="IE8" s="1457" t="s">
        <v>2609</v>
      </c>
      <c r="IF8" s="1457" t="s">
        <v>2610</v>
      </c>
      <c r="IG8" s="1457" t="s">
        <v>2661</v>
      </c>
      <c r="IH8" s="1457" t="s">
        <v>2662</v>
      </c>
      <c r="II8" s="1457" t="s">
        <v>2663</v>
      </c>
      <c r="IJ8" s="1458" t="s">
        <v>2664</v>
      </c>
      <c r="IK8" s="1457" t="s">
        <v>2665</v>
      </c>
      <c r="IL8" s="1457" t="s">
        <v>2620</v>
      </c>
      <c r="IM8" s="1457" t="s">
        <v>2620</v>
      </c>
      <c r="IN8" s="1457"/>
      <c r="IO8" s="1457" t="s">
        <v>2666</v>
      </c>
      <c r="IP8" s="1457"/>
      <c r="IQ8" s="1457"/>
      <c r="IR8" s="1457"/>
      <c r="IS8" s="1457" t="s">
        <v>2622</v>
      </c>
      <c r="IT8" s="1457"/>
      <c r="IU8" s="1457" t="s">
        <v>2620</v>
      </c>
      <c r="IV8" s="1457"/>
      <c r="IW8" s="1457" t="s">
        <v>2620</v>
      </c>
      <c r="IX8" s="1457" t="s">
        <v>2615</v>
      </c>
      <c r="IY8" s="1381" t="s">
        <v>2616</v>
      </c>
      <c r="IZ8" s="1457" t="s">
        <v>2604</v>
      </c>
      <c r="JA8" s="1457"/>
      <c r="JB8" s="1457" t="s">
        <v>2620</v>
      </c>
      <c r="JC8" s="1457"/>
      <c r="JD8" s="1457" t="s">
        <v>2620</v>
      </c>
      <c r="JE8" s="1457" t="s">
        <v>2604</v>
      </c>
      <c r="JF8" s="1457" t="s">
        <v>2604</v>
      </c>
      <c r="JG8" s="1457"/>
      <c r="JH8" s="1457" t="s">
        <v>2620</v>
      </c>
      <c r="JI8" s="1457"/>
      <c r="JJ8" s="1457" t="s">
        <v>2667</v>
      </c>
      <c r="JK8" s="1457" t="s">
        <v>2620</v>
      </c>
      <c r="JL8" s="1474" t="s">
        <v>2620</v>
      </c>
      <c r="JM8" s="1459"/>
      <c r="JN8" s="1457" t="s">
        <v>2668</v>
      </c>
      <c r="JO8" s="1457" t="s">
        <v>2669</v>
      </c>
      <c r="JP8" s="1457" t="s">
        <v>2669</v>
      </c>
      <c r="JQ8" s="1459" t="s">
        <v>2670</v>
      </c>
      <c r="JR8" s="351"/>
      <c r="JS8" s="1460" t="s">
        <v>2671</v>
      </c>
      <c r="JT8" s="450" t="s">
        <v>2291</v>
      </c>
    </row>
    <row r="9" spans="1:280" ht="47" x14ac:dyDescent="0.35">
      <c r="A9" s="1367">
        <v>8</v>
      </c>
      <c r="B9" s="1434" t="str">
        <f t="shared" si="0"/>
        <v/>
      </c>
      <c r="C9" s="1435" t="s">
        <v>2672</v>
      </c>
      <c r="D9" s="1436" t="s">
        <v>2673</v>
      </c>
      <c r="E9" s="1381"/>
      <c r="F9" s="1457"/>
      <c r="G9" s="1457"/>
      <c r="H9" s="1381"/>
      <c r="I9" s="1381"/>
      <c r="J9" s="1381"/>
      <c r="K9" s="1457"/>
      <c r="L9" s="1381"/>
      <c r="M9" s="1381"/>
      <c r="N9" s="1381"/>
      <c r="O9" s="1457"/>
      <c r="P9" s="1381"/>
      <c r="Q9" s="1457"/>
      <c r="R9" s="1457"/>
      <c r="S9" s="1381"/>
      <c r="T9" s="1381"/>
      <c r="U9" s="1381"/>
      <c r="V9" s="1381"/>
      <c r="W9" s="1381"/>
      <c r="X9" s="1381"/>
      <c r="Y9" s="1381"/>
      <c r="Z9" s="1381"/>
      <c r="AA9" s="1457"/>
      <c r="AB9" s="1381"/>
      <c r="AC9" s="1381"/>
      <c r="AD9" s="1381"/>
      <c r="AE9" s="1381"/>
      <c r="AF9" s="1381"/>
      <c r="AG9" s="1381"/>
      <c r="AH9" s="1381"/>
      <c r="AI9" s="1381"/>
      <c r="AJ9" s="1381"/>
      <c r="AK9" s="1457"/>
      <c r="AL9" s="1381"/>
      <c r="AM9" s="1381"/>
      <c r="AN9" s="1381"/>
      <c r="AO9" s="1381"/>
      <c r="AP9" s="1457"/>
      <c r="AQ9" s="1457"/>
      <c r="AR9" s="1381"/>
      <c r="AS9" s="1457"/>
      <c r="AT9" s="1381"/>
      <c r="AU9" s="1381"/>
      <c r="AV9" s="1381"/>
      <c r="AW9" s="1457"/>
      <c r="AX9" s="1381"/>
      <c r="AY9" s="1458" t="s">
        <v>2674</v>
      </c>
      <c r="AZ9" s="1381"/>
      <c r="BA9" s="1461" t="s">
        <v>2675</v>
      </c>
      <c r="BB9" s="1457"/>
      <c r="BC9" s="1381"/>
      <c r="BD9" s="1457"/>
      <c r="BE9" s="1461"/>
      <c r="BF9" s="1461" t="s">
        <v>2675</v>
      </c>
      <c r="BG9" s="1458" t="s">
        <v>2676</v>
      </c>
      <c r="BH9" s="1457"/>
      <c r="BI9" s="1461" t="s">
        <v>2677</v>
      </c>
      <c r="BJ9" s="1382" t="s">
        <v>2678</v>
      </c>
      <c r="BK9" s="1381"/>
      <c r="BL9" s="1381"/>
      <c r="BM9" s="1461" t="s">
        <v>2675</v>
      </c>
      <c r="BN9" s="1381"/>
      <c r="BO9" s="1457"/>
      <c r="BP9" s="1382" t="s">
        <v>2679</v>
      </c>
      <c r="BQ9" s="1381"/>
      <c r="BR9" s="1381"/>
      <c r="BS9" s="1457"/>
      <c r="BT9" s="1381"/>
      <c r="BU9" s="1381"/>
      <c r="BV9" s="1381"/>
      <c r="BW9" s="1381"/>
      <c r="BX9" s="1381"/>
      <c r="BY9" s="1381"/>
      <c r="BZ9" s="1381"/>
      <c r="CA9" s="1381"/>
      <c r="CB9" s="1381"/>
      <c r="CC9" s="1381"/>
      <c r="CD9" s="1457"/>
      <c r="CE9" s="1381"/>
      <c r="CF9" s="1457"/>
      <c r="CG9" s="1381"/>
      <c r="CH9" s="1457"/>
      <c r="CI9" s="1381"/>
      <c r="CJ9" s="1382" t="s">
        <v>2680</v>
      </c>
      <c r="CK9" s="1381"/>
      <c r="CL9" s="1381"/>
      <c r="CM9" s="1381"/>
      <c r="CN9" s="1457"/>
      <c r="CO9" s="1457"/>
      <c r="CP9" s="1381"/>
      <c r="CQ9" s="1381"/>
      <c r="CR9" s="1381"/>
      <c r="CS9" s="1381"/>
      <c r="CT9" s="1381"/>
      <c r="CU9" s="1381"/>
      <c r="CV9" s="1461" t="s">
        <v>2675</v>
      </c>
      <c r="CW9" s="1381"/>
      <c r="CX9" s="1381"/>
      <c r="CY9" s="1381"/>
      <c r="CZ9" s="1381"/>
      <c r="DA9" s="1462" t="s">
        <v>2681</v>
      </c>
      <c r="DB9" s="1461"/>
      <c r="DC9" s="1381"/>
      <c r="DD9" s="1457"/>
      <c r="DE9" s="1457"/>
      <c r="DF9" s="1458" t="s">
        <v>2682</v>
      </c>
      <c r="DG9" s="1381"/>
      <c r="DH9" s="1381"/>
      <c r="DI9" s="1381"/>
      <c r="DJ9" s="1381"/>
      <c r="DK9" s="1461" t="s">
        <v>2675</v>
      </c>
      <c r="DL9" s="1381"/>
      <c r="DM9" s="1381"/>
      <c r="DN9" s="1381"/>
      <c r="DO9" s="1382" t="s">
        <v>2683</v>
      </c>
      <c r="DP9" s="1382" t="s">
        <v>2684</v>
      </c>
      <c r="DQ9" s="1381"/>
      <c r="DR9" s="1382" t="s">
        <v>2685</v>
      </c>
      <c r="DS9" s="1382" t="s">
        <v>2683</v>
      </c>
      <c r="DT9" s="1382" t="s">
        <v>2684</v>
      </c>
      <c r="DU9" s="1457"/>
      <c r="DV9" s="1461" t="s">
        <v>2675</v>
      </c>
      <c r="DW9" s="1381"/>
      <c r="DX9" s="1382" t="s">
        <v>2686</v>
      </c>
      <c r="DY9" s="1382" t="s">
        <v>2687</v>
      </c>
      <c r="DZ9" s="1382" t="s">
        <v>2688</v>
      </c>
      <c r="EA9" s="1381"/>
      <c r="EB9" s="1381"/>
      <c r="EC9" s="1381"/>
      <c r="ED9" s="1457"/>
      <c r="EE9" s="1457"/>
      <c r="EF9" s="1381"/>
      <c r="EG9" s="1462" t="s">
        <v>2689</v>
      </c>
      <c r="EH9" s="1381"/>
      <c r="EI9" s="1381"/>
      <c r="EJ9" s="1457"/>
      <c r="EK9" s="1457"/>
      <c r="EL9" s="1457" t="s">
        <v>2675</v>
      </c>
      <c r="EM9" s="1381"/>
      <c r="EN9" s="1382" t="s">
        <v>2690</v>
      </c>
      <c r="EO9" s="1381"/>
      <c r="EP9" s="1382" t="s">
        <v>2691</v>
      </c>
      <c r="EQ9" s="1381"/>
      <c r="ER9" s="1382" t="s">
        <v>2692</v>
      </c>
      <c r="ES9" s="1382" t="s">
        <v>2693</v>
      </c>
      <c r="ET9" s="1382" t="s">
        <v>2694</v>
      </c>
      <c r="EU9" s="1381"/>
      <c r="EV9" s="1382" t="s">
        <v>2695</v>
      </c>
      <c r="EW9" s="1381"/>
      <c r="EX9" s="1381"/>
      <c r="EY9" s="1009" t="s">
        <v>2696</v>
      </c>
      <c r="EZ9" s="1457"/>
      <c r="FA9" s="1382" t="s">
        <v>2697</v>
      </c>
      <c r="FB9" s="1382" t="s">
        <v>2698</v>
      </c>
      <c r="FC9" s="1382" t="s">
        <v>2699</v>
      </c>
      <c r="FD9" s="1381" t="s">
        <v>2700</v>
      </c>
      <c r="FE9" s="1381"/>
      <c r="FF9" s="1381"/>
      <c r="FG9" s="1381"/>
      <c r="FH9" s="1381"/>
      <c r="FI9" s="1382" t="s">
        <v>2701</v>
      </c>
      <c r="FJ9" s="1382" t="s">
        <v>2702</v>
      </c>
      <c r="FK9" s="1382" t="s">
        <v>2703</v>
      </c>
      <c r="FL9" s="1381"/>
      <c r="FM9" s="1457"/>
      <c r="FN9" s="1381"/>
      <c r="FO9" s="1381"/>
      <c r="FP9" s="1381"/>
      <c r="FQ9" s="1457"/>
      <c r="FR9" s="1381"/>
      <c r="FS9" s="1381"/>
      <c r="FT9" s="1381"/>
      <c r="FU9" s="1381"/>
      <c r="FV9" s="1381"/>
      <c r="FW9" s="1457"/>
      <c r="FX9" s="1381"/>
      <c r="FY9" s="1381"/>
      <c r="FZ9" s="1381"/>
      <c r="GA9" s="1381"/>
      <c r="GB9" s="1381"/>
      <c r="GC9" s="1457"/>
      <c r="GD9" s="1457"/>
      <c r="GE9" s="1381"/>
      <c r="GF9" s="1381"/>
      <c r="GG9" s="1381"/>
      <c r="GH9" s="1381"/>
      <c r="GI9" s="1381"/>
      <c r="GJ9" s="1381"/>
      <c r="GK9" s="1457"/>
      <c r="GL9" s="1381"/>
      <c r="GM9" s="1381"/>
      <c r="GN9" s="1381"/>
      <c r="GO9" s="1457"/>
      <c r="GP9" s="1381"/>
      <c r="GQ9" s="1457"/>
      <c r="GR9" s="1381"/>
      <c r="GS9" s="1381"/>
      <c r="GT9" s="1381"/>
      <c r="GU9" s="1381"/>
      <c r="GV9" s="1381"/>
      <c r="GW9" s="1457"/>
      <c r="GX9" s="1381"/>
      <c r="GY9" s="1381"/>
      <c r="GZ9" s="1381"/>
      <c r="HA9" s="1381"/>
      <c r="HB9" s="1381"/>
      <c r="HC9" s="1381"/>
      <c r="HD9" s="1381"/>
      <c r="HE9" s="1381"/>
      <c r="HF9" s="1381"/>
      <c r="HG9" s="1381"/>
      <c r="HH9" s="1381"/>
      <c r="HI9" s="1457"/>
      <c r="HJ9" s="1381"/>
      <c r="HK9" s="1381"/>
      <c r="HL9" s="1381"/>
      <c r="HM9" s="1381"/>
      <c r="HN9" s="1381"/>
      <c r="HO9" s="1381"/>
      <c r="HP9" s="1381"/>
      <c r="HQ9" s="1381"/>
      <c r="HR9" s="1381"/>
      <c r="HS9" s="1381"/>
      <c r="HT9" s="1381"/>
      <c r="HU9" s="1381"/>
      <c r="HV9" s="1381"/>
      <c r="HW9" s="1381"/>
      <c r="HX9" s="1381"/>
      <c r="HY9" s="1381"/>
      <c r="HZ9" s="1381"/>
      <c r="IA9" s="1381"/>
      <c r="IB9" s="1381"/>
      <c r="IC9" s="1382" t="s">
        <v>2704</v>
      </c>
      <c r="ID9" s="1382" t="s">
        <v>2705</v>
      </c>
      <c r="IE9" s="1381"/>
      <c r="IF9" s="1381"/>
      <c r="IG9" s="1381"/>
      <c r="IH9" s="1381"/>
      <c r="II9" s="1381"/>
      <c r="IJ9" s="1381"/>
      <c r="IK9" s="1381"/>
      <c r="IL9" s="1381"/>
      <c r="IM9" s="1381"/>
      <c r="IN9" s="1381"/>
      <c r="IO9" s="1381"/>
      <c r="IP9" s="1381"/>
      <c r="IQ9" s="1381"/>
      <c r="IR9" s="1381"/>
      <c r="IS9" s="1461" t="s">
        <v>2706</v>
      </c>
      <c r="IT9" s="1381"/>
      <c r="IU9" s="1381"/>
      <c r="IV9" s="1381"/>
      <c r="IW9" s="1381"/>
      <c r="IX9" s="1381"/>
      <c r="IY9" s="1381"/>
      <c r="IZ9" s="1457"/>
      <c r="JA9" s="1381"/>
      <c r="JB9" s="1381"/>
      <c r="JC9" s="1381"/>
      <c r="JD9" s="1381"/>
      <c r="JE9" s="1457"/>
      <c r="JF9" s="1457"/>
      <c r="JG9" s="1381"/>
      <c r="JH9" s="1381"/>
      <c r="JI9" s="1461"/>
      <c r="JJ9" s="1461" t="s">
        <v>2707</v>
      </c>
      <c r="JK9" s="1414"/>
      <c r="JL9" s="1414"/>
      <c r="JM9" s="1414"/>
      <c r="JN9" s="1461" t="s">
        <v>2708</v>
      </c>
      <c r="JO9" s="1461" t="s">
        <v>2709</v>
      </c>
      <c r="JP9" s="1461" t="s">
        <v>2710</v>
      </c>
      <c r="JQ9" s="1463" t="s">
        <v>2711</v>
      </c>
      <c r="JR9" s="351"/>
      <c r="JS9" s="1460"/>
      <c r="JT9" s="450" t="s">
        <v>2215</v>
      </c>
    </row>
    <row r="10" spans="1:280" ht="12.5" x14ac:dyDescent="0.25">
      <c r="A10" s="1367">
        <v>9</v>
      </c>
      <c r="B10" s="1434" t="str">
        <f t="shared" si="0"/>
        <v>Y</v>
      </c>
      <c r="C10" s="1435" t="s">
        <v>2712</v>
      </c>
      <c r="D10" s="1436" t="s">
        <v>2713</v>
      </c>
      <c r="E10" s="1381"/>
      <c r="F10" s="1381" t="s">
        <v>1615</v>
      </c>
      <c r="G10" s="1381" t="s">
        <v>1615</v>
      </c>
      <c r="H10" s="1381" t="s">
        <v>1615</v>
      </c>
      <c r="I10" s="1381"/>
      <c r="J10" s="1381"/>
      <c r="K10" s="1381" t="s">
        <v>1615</v>
      </c>
      <c r="L10" s="1381"/>
      <c r="M10" s="1381"/>
      <c r="N10" s="1381"/>
      <c r="O10" s="1381" t="s">
        <v>1615</v>
      </c>
      <c r="P10" s="1381"/>
      <c r="Q10" s="1382" t="s">
        <v>1707</v>
      </c>
      <c r="R10" s="1381" t="s">
        <v>1615</v>
      </c>
      <c r="S10" s="1381"/>
      <c r="T10" s="1381"/>
      <c r="U10" s="1381" t="s">
        <v>1615</v>
      </c>
      <c r="V10" s="1381" t="s">
        <v>1615</v>
      </c>
      <c r="W10" s="1381" t="s">
        <v>1615</v>
      </c>
      <c r="X10" s="1381" t="s">
        <v>1615</v>
      </c>
      <c r="Y10" s="1382" t="s">
        <v>1707</v>
      </c>
      <c r="Z10" s="1381" t="s">
        <v>1615</v>
      </c>
      <c r="AA10" s="1381" t="s">
        <v>1615</v>
      </c>
      <c r="AB10" s="1381"/>
      <c r="AC10" s="1381" t="s">
        <v>1615</v>
      </c>
      <c r="AD10" s="1381" t="s">
        <v>1615</v>
      </c>
      <c r="AE10" s="1381" t="s">
        <v>1615</v>
      </c>
      <c r="AF10" s="1381"/>
      <c r="AG10" s="1381" t="s">
        <v>1615</v>
      </c>
      <c r="AH10" s="1381" t="s">
        <v>1615</v>
      </c>
      <c r="AI10" s="1381" t="s">
        <v>1615</v>
      </c>
      <c r="AJ10" s="1381" t="s">
        <v>1615</v>
      </c>
      <c r="AK10" s="1381" t="s">
        <v>1615</v>
      </c>
      <c r="AL10" s="1381" t="s">
        <v>1615</v>
      </c>
      <c r="AM10" s="1381" t="s">
        <v>1615</v>
      </c>
      <c r="AN10" s="1381"/>
      <c r="AO10" s="1381"/>
      <c r="AP10" s="1381" t="s">
        <v>1615</v>
      </c>
      <c r="AQ10" s="1381" t="s">
        <v>1615</v>
      </c>
      <c r="AR10" s="1381" t="s">
        <v>1615</v>
      </c>
      <c r="AS10" s="1381" t="s">
        <v>1615</v>
      </c>
      <c r="AT10" s="1381" t="s">
        <v>1615</v>
      </c>
      <c r="AU10" s="1381" t="s">
        <v>1615</v>
      </c>
      <c r="AV10" s="1381"/>
      <c r="AW10" s="1381"/>
      <c r="AX10" s="1381"/>
      <c r="AY10" s="1382" t="s">
        <v>1615</v>
      </c>
      <c r="AZ10" s="1381"/>
      <c r="BA10" s="1381" t="s">
        <v>1615</v>
      </c>
      <c r="BB10" s="1381" t="s">
        <v>1615</v>
      </c>
      <c r="BC10" s="1381" t="s">
        <v>1615</v>
      </c>
      <c r="BD10" s="1381" t="s">
        <v>1615</v>
      </c>
      <c r="BE10" s="1381" t="s">
        <v>1615</v>
      </c>
      <c r="BF10" s="1381" t="s">
        <v>1615</v>
      </c>
      <c r="BG10" s="1382" t="s">
        <v>1707</v>
      </c>
      <c r="BH10" s="1381" t="s">
        <v>1615</v>
      </c>
      <c r="BI10" s="1381" t="s">
        <v>1615</v>
      </c>
      <c r="BJ10" s="1382" t="s">
        <v>1707</v>
      </c>
      <c r="BK10" s="1381"/>
      <c r="BL10" s="1381"/>
      <c r="BM10" s="1381" t="s">
        <v>1615</v>
      </c>
      <c r="BN10" s="1381"/>
      <c r="BO10" s="1381" t="s">
        <v>1615</v>
      </c>
      <c r="BP10" s="1382" t="s">
        <v>1707</v>
      </c>
      <c r="BQ10" s="1381"/>
      <c r="BR10" s="1381"/>
      <c r="BS10" s="1381" t="s">
        <v>1615</v>
      </c>
      <c r="BT10" s="1381"/>
      <c r="BU10" s="1381"/>
      <c r="BV10" s="1381"/>
      <c r="BW10" s="1381"/>
      <c r="BX10" s="1381"/>
      <c r="BY10" s="1381"/>
      <c r="BZ10" s="1381"/>
      <c r="CA10" s="1381"/>
      <c r="CB10" s="1381"/>
      <c r="CC10" s="1381"/>
      <c r="CD10" s="1382" t="s">
        <v>1615</v>
      </c>
      <c r="CE10" s="1381" t="s">
        <v>1707</v>
      </c>
      <c r="CF10" s="1381" t="s">
        <v>1615</v>
      </c>
      <c r="CG10" s="1381"/>
      <c r="CH10" s="1381" t="s">
        <v>1615</v>
      </c>
      <c r="CI10" s="1381"/>
      <c r="CJ10" s="1382" t="s">
        <v>1707</v>
      </c>
      <c r="CK10" s="1381"/>
      <c r="CL10" s="1381"/>
      <c r="CM10" s="1381"/>
      <c r="CN10" s="1381" t="s">
        <v>1615</v>
      </c>
      <c r="CO10" s="1381" t="s">
        <v>1615</v>
      </c>
      <c r="CP10" s="1381"/>
      <c r="CQ10" s="1381" t="s">
        <v>1615</v>
      </c>
      <c r="CR10" s="1381"/>
      <c r="CS10" s="1381"/>
      <c r="CT10" s="1381"/>
      <c r="CU10" s="1381"/>
      <c r="CV10" s="1381" t="s">
        <v>1615</v>
      </c>
      <c r="CW10" s="1381"/>
      <c r="CX10" s="1381"/>
      <c r="CY10" s="1381"/>
      <c r="CZ10" s="1381"/>
      <c r="DA10" s="1382" t="s">
        <v>1707</v>
      </c>
      <c r="DB10" s="1381" t="s">
        <v>1615</v>
      </c>
      <c r="DC10" s="1381"/>
      <c r="DD10" s="1381" t="s">
        <v>1615</v>
      </c>
      <c r="DE10" s="1381" t="s">
        <v>1615</v>
      </c>
      <c r="DF10" s="1381" t="s">
        <v>1615</v>
      </c>
      <c r="DG10" s="1381"/>
      <c r="DH10" s="1381"/>
      <c r="DI10" s="1381" t="s">
        <v>1615</v>
      </c>
      <c r="DJ10" s="1381"/>
      <c r="DK10" s="1381" t="s">
        <v>1615</v>
      </c>
      <c r="DL10" s="1381" t="s">
        <v>1615</v>
      </c>
      <c r="DM10" s="1381"/>
      <c r="DN10" s="1381"/>
      <c r="DO10" s="1382" t="s">
        <v>1615</v>
      </c>
      <c r="DP10" s="1381" t="s">
        <v>1615</v>
      </c>
      <c r="DQ10" s="1381"/>
      <c r="DR10" s="1382" t="s">
        <v>1615</v>
      </c>
      <c r="DS10" s="1382" t="s">
        <v>1615</v>
      </c>
      <c r="DT10" s="1381" t="s">
        <v>1615</v>
      </c>
      <c r="DU10" s="1381" t="s">
        <v>1615</v>
      </c>
      <c r="DV10" s="1381" t="s">
        <v>1615</v>
      </c>
      <c r="DW10" s="1381"/>
      <c r="DX10" s="1382" t="s">
        <v>1615</v>
      </c>
      <c r="DY10" s="1382" t="s">
        <v>1615</v>
      </c>
      <c r="DZ10" s="1382" t="s">
        <v>1615</v>
      </c>
      <c r="EA10" s="1381" t="s">
        <v>1615</v>
      </c>
      <c r="EB10" s="1381"/>
      <c r="EC10" s="1381"/>
      <c r="ED10" s="1381" t="s">
        <v>1615</v>
      </c>
      <c r="EE10" s="1381" t="s">
        <v>1615</v>
      </c>
      <c r="EF10" s="1381"/>
      <c r="EG10" s="1382" t="s">
        <v>1615</v>
      </c>
      <c r="EH10" s="1381" t="s">
        <v>1707</v>
      </c>
      <c r="EI10" s="1381" t="s">
        <v>1615</v>
      </c>
      <c r="EJ10" s="1381" t="s">
        <v>1615</v>
      </c>
      <c r="EK10" s="1381" t="s">
        <v>1615</v>
      </c>
      <c r="EL10" s="1381" t="s">
        <v>1615</v>
      </c>
      <c r="EM10" s="1382" t="s">
        <v>1707</v>
      </c>
      <c r="EN10" s="1381" t="s">
        <v>1615</v>
      </c>
      <c r="EO10" s="1381" t="s">
        <v>1615</v>
      </c>
      <c r="EP10" s="1381" t="s">
        <v>1615</v>
      </c>
      <c r="EQ10" s="1381"/>
      <c r="ER10" s="1382" t="s">
        <v>1615</v>
      </c>
      <c r="ES10" s="1382" t="s">
        <v>1615</v>
      </c>
      <c r="ET10" s="1382" t="s">
        <v>1707</v>
      </c>
      <c r="EU10" s="1381"/>
      <c r="EV10" s="1382" t="s">
        <v>1707</v>
      </c>
      <c r="EW10" s="1381"/>
      <c r="EX10" s="1381"/>
      <c r="EY10" s="1382" t="s">
        <v>1615</v>
      </c>
      <c r="EZ10" s="1381" t="s">
        <v>1615</v>
      </c>
      <c r="FA10" s="1382" t="s">
        <v>1615</v>
      </c>
      <c r="FB10" s="1382" t="s">
        <v>1707</v>
      </c>
      <c r="FC10" s="1381" t="s">
        <v>1615</v>
      </c>
      <c r="FD10" s="1381" t="s">
        <v>1615</v>
      </c>
      <c r="FE10" s="1381"/>
      <c r="FF10" s="1382" t="s">
        <v>1707</v>
      </c>
      <c r="FG10" s="1381"/>
      <c r="FH10" s="1382" t="s">
        <v>1707</v>
      </c>
      <c r="FI10" s="1382" t="s">
        <v>1615</v>
      </c>
      <c r="FJ10" s="1382" t="s">
        <v>1707</v>
      </c>
      <c r="FK10" s="1382" t="s">
        <v>1615</v>
      </c>
      <c r="FL10" s="1381"/>
      <c r="FM10" s="1382"/>
      <c r="FN10" s="1381" t="s">
        <v>1707</v>
      </c>
      <c r="FO10" s="1381" t="s">
        <v>1707</v>
      </c>
      <c r="FP10" s="1381" t="s">
        <v>1707</v>
      </c>
      <c r="FQ10" s="1381" t="s">
        <v>1615</v>
      </c>
      <c r="FR10" s="1382" t="s">
        <v>1615</v>
      </c>
      <c r="FS10" s="1381"/>
      <c r="FT10" s="1381"/>
      <c r="FU10" s="1381"/>
      <c r="FV10" s="1381"/>
      <c r="FW10" s="1381" t="s">
        <v>1615</v>
      </c>
      <c r="FX10" s="1381"/>
      <c r="FY10" s="1382" t="s">
        <v>1615</v>
      </c>
      <c r="FZ10" s="1382" t="s">
        <v>1615</v>
      </c>
      <c r="GA10" s="1382" t="s">
        <v>1615</v>
      </c>
      <c r="GB10" s="1382" t="s">
        <v>1615</v>
      </c>
      <c r="GC10" s="1381" t="s">
        <v>1615</v>
      </c>
      <c r="GD10" s="1381" t="s">
        <v>1707</v>
      </c>
      <c r="GE10" s="1381"/>
      <c r="GF10" s="1381" t="s">
        <v>1615</v>
      </c>
      <c r="GG10" s="1381"/>
      <c r="GH10" s="1381"/>
      <c r="GI10" s="1382" t="s">
        <v>1615</v>
      </c>
      <c r="GJ10" s="1381"/>
      <c r="GK10" s="1381" t="s">
        <v>1615</v>
      </c>
      <c r="GL10" s="1382" t="s">
        <v>1615</v>
      </c>
      <c r="GM10" s="1382" t="s">
        <v>1615</v>
      </c>
      <c r="GN10" s="1382" t="s">
        <v>1615</v>
      </c>
      <c r="GO10" s="1381" t="s">
        <v>1615</v>
      </c>
      <c r="GP10" s="1381" t="s">
        <v>1707</v>
      </c>
      <c r="GQ10" s="1381" t="s">
        <v>1615</v>
      </c>
      <c r="GR10" s="1381" t="s">
        <v>1615</v>
      </c>
      <c r="GS10" s="1381" t="s">
        <v>1707</v>
      </c>
      <c r="GT10" s="1382" t="s">
        <v>1615</v>
      </c>
      <c r="GU10" s="1381"/>
      <c r="GV10" s="1381" t="s">
        <v>1615</v>
      </c>
      <c r="GW10" s="1381" t="s">
        <v>1615</v>
      </c>
      <c r="GX10" s="1381" t="s">
        <v>1615</v>
      </c>
      <c r="GY10" s="1381"/>
      <c r="GZ10" s="1381" t="s">
        <v>1615</v>
      </c>
      <c r="HA10" s="1381" t="s">
        <v>1707</v>
      </c>
      <c r="HB10" s="1381" t="s">
        <v>1615</v>
      </c>
      <c r="HC10" s="1381"/>
      <c r="HD10" s="1382" t="s">
        <v>1615</v>
      </c>
      <c r="HE10" s="1381"/>
      <c r="HF10" s="1381" t="s">
        <v>1615</v>
      </c>
      <c r="HG10" s="1381" t="s">
        <v>1615</v>
      </c>
      <c r="HH10" s="1381"/>
      <c r="HI10" s="1381" t="s">
        <v>1615</v>
      </c>
      <c r="HJ10" s="1382" t="s">
        <v>1615</v>
      </c>
      <c r="HK10" s="1381"/>
      <c r="HL10" s="1382" t="s">
        <v>1615</v>
      </c>
      <c r="HM10" s="1382" t="s">
        <v>1615</v>
      </c>
      <c r="HN10" s="1381"/>
      <c r="HO10" s="1381" t="s">
        <v>1615</v>
      </c>
      <c r="HP10" s="1381"/>
      <c r="HQ10" s="1381" t="s">
        <v>1615</v>
      </c>
      <c r="HR10" s="1381" t="s">
        <v>1615</v>
      </c>
      <c r="HS10" s="1381"/>
      <c r="HT10" s="1382" t="s">
        <v>1615</v>
      </c>
      <c r="HU10" s="1381" t="s">
        <v>1615</v>
      </c>
      <c r="HV10" s="1381"/>
      <c r="HW10" s="1381"/>
      <c r="HX10" s="1382" t="s">
        <v>1707</v>
      </c>
      <c r="HY10" s="1381" t="s">
        <v>1615</v>
      </c>
      <c r="HZ10" s="1381" t="s">
        <v>1615</v>
      </c>
      <c r="IA10" s="1382" t="s">
        <v>1615</v>
      </c>
      <c r="IB10" s="1381"/>
      <c r="IC10" s="1382" t="s">
        <v>1615</v>
      </c>
      <c r="ID10" s="1382" t="s">
        <v>1615</v>
      </c>
      <c r="IE10" s="1381" t="s">
        <v>1615</v>
      </c>
      <c r="IF10" s="1381" t="s">
        <v>1615</v>
      </c>
      <c r="IG10" s="1381" t="s">
        <v>1615</v>
      </c>
      <c r="IH10" s="1381" t="s">
        <v>1615</v>
      </c>
      <c r="II10" s="1381" t="s">
        <v>1615</v>
      </c>
      <c r="IJ10" s="1382" t="s">
        <v>1615</v>
      </c>
      <c r="IK10" s="1381" t="s">
        <v>1615</v>
      </c>
      <c r="IL10" s="1382" t="s">
        <v>1707</v>
      </c>
      <c r="IM10" s="1382" t="s">
        <v>1615</v>
      </c>
      <c r="IN10" s="1381"/>
      <c r="IO10" s="1381" t="s">
        <v>1615</v>
      </c>
      <c r="IP10" s="1381"/>
      <c r="IQ10" s="1381"/>
      <c r="IR10" s="1381"/>
      <c r="IS10" s="1381" t="s">
        <v>1615</v>
      </c>
      <c r="IT10" s="1381"/>
      <c r="IU10" s="1382" t="s">
        <v>1615</v>
      </c>
      <c r="IV10" s="1381"/>
      <c r="IW10" s="1382" t="s">
        <v>1707</v>
      </c>
      <c r="IX10" s="1382" t="s">
        <v>1707</v>
      </c>
      <c r="IY10" s="1381" t="s">
        <v>1615</v>
      </c>
      <c r="IZ10" s="1381" t="s">
        <v>1615</v>
      </c>
      <c r="JA10" s="1381"/>
      <c r="JB10" s="1382" t="s">
        <v>1615</v>
      </c>
      <c r="JC10" s="1381"/>
      <c r="JD10" s="1381" t="s">
        <v>1615</v>
      </c>
      <c r="JE10" s="1381" t="s">
        <v>1615</v>
      </c>
      <c r="JF10" s="1381" t="s">
        <v>1615</v>
      </c>
      <c r="JG10" s="1381"/>
      <c r="JH10" s="1381" t="s">
        <v>1615</v>
      </c>
      <c r="JI10" s="1381"/>
      <c r="JJ10" s="1381" t="s">
        <v>1615</v>
      </c>
      <c r="JK10" s="1464" t="s">
        <v>1615</v>
      </c>
      <c r="JL10" s="1414" t="s">
        <v>1615</v>
      </c>
      <c r="JM10" s="1414"/>
      <c r="JN10" s="1381" t="s">
        <v>1615</v>
      </c>
      <c r="JO10" s="1381" t="s">
        <v>1615</v>
      </c>
      <c r="JP10" s="1381" t="s">
        <v>1615</v>
      </c>
      <c r="JQ10" s="1414" t="s">
        <v>1615</v>
      </c>
      <c r="JR10" s="351"/>
      <c r="JS10" s="1460"/>
      <c r="JT10" s="450" t="s">
        <v>2715</v>
      </c>
    </row>
    <row r="11" spans="1:280" ht="34.5" x14ac:dyDescent="0.25">
      <c r="A11" s="1367">
        <v>10</v>
      </c>
      <c r="B11" s="1434" t="str">
        <f t="shared" si="0"/>
        <v/>
      </c>
      <c r="C11" s="1435" t="s">
        <v>2716</v>
      </c>
      <c r="D11" s="1436" t="str">
        <f>"If you ceased being a director before 6 April "&amp;Tax_year_end&amp;", put the date the directorship ceased in the box DD MM YYYY"</f>
        <v>If you ceased being a director before 6 April 2026, put the date the directorship ceased in the box DD MM YYYY</v>
      </c>
      <c r="E11" s="1381"/>
      <c r="F11" s="1381"/>
      <c r="G11" s="1381"/>
      <c r="H11" s="1381"/>
      <c r="I11" s="1381"/>
      <c r="J11" s="1381"/>
      <c r="K11" s="1381"/>
      <c r="L11" s="1381"/>
      <c r="M11" s="1381"/>
      <c r="N11" s="1381"/>
      <c r="O11" s="1381"/>
      <c r="P11" s="1381"/>
      <c r="Q11" s="1381"/>
      <c r="R11" s="1381"/>
      <c r="S11" s="1381"/>
      <c r="T11" s="1381"/>
      <c r="U11" s="1381"/>
      <c r="V11" s="1381"/>
      <c r="W11" s="1381"/>
      <c r="X11" s="1381"/>
      <c r="Y11" s="1381"/>
      <c r="Z11" s="1381"/>
      <c r="AA11" s="1381"/>
      <c r="AB11" s="1381"/>
      <c r="AC11" s="1381"/>
      <c r="AD11" s="1381"/>
      <c r="AE11" s="1381"/>
      <c r="AF11" s="1381"/>
      <c r="AG11" s="1381"/>
      <c r="AH11" s="1381"/>
      <c r="AI11" s="1381"/>
      <c r="AJ11" s="1381"/>
      <c r="AK11" s="1381"/>
      <c r="AL11" s="1381"/>
      <c r="AM11" s="1381"/>
      <c r="AN11" s="1381"/>
      <c r="AO11" s="1381"/>
      <c r="AP11" s="1381"/>
      <c r="AQ11" s="1381"/>
      <c r="AR11" s="1381"/>
      <c r="AS11" s="1381"/>
      <c r="AT11" s="1381"/>
      <c r="AU11" s="1381"/>
      <c r="AV11" s="1381"/>
      <c r="AW11" s="1381"/>
      <c r="AX11" s="1381"/>
      <c r="AY11" s="1381"/>
      <c r="AZ11" s="1381"/>
      <c r="BA11" s="1381"/>
      <c r="BB11" s="1381"/>
      <c r="BC11" s="1381"/>
      <c r="BD11" s="1381"/>
      <c r="BE11" s="1381"/>
      <c r="BF11" s="1381"/>
      <c r="BG11" s="1465">
        <v>45230</v>
      </c>
      <c r="BH11" s="1381"/>
      <c r="BI11" s="1381"/>
      <c r="BJ11" s="1381"/>
      <c r="BK11" s="1381"/>
      <c r="BL11" s="1381"/>
      <c r="BM11" s="1381"/>
      <c r="BN11" s="1381"/>
      <c r="BO11" s="1381"/>
      <c r="BP11" s="1381"/>
      <c r="BQ11" s="1381"/>
      <c r="BR11" s="1381"/>
      <c r="BS11" s="1381"/>
      <c r="BT11" s="1381"/>
      <c r="BU11" s="1381"/>
      <c r="BV11" s="1381"/>
      <c r="BW11" s="1381"/>
      <c r="BX11" s="1381"/>
      <c r="BY11" s="1381"/>
      <c r="BZ11" s="1381"/>
      <c r="CA11" s="1381"/>
      <c r="CB11" s="1381"/>
      <c r="CC11" s="1381"/>
      <c r="CD11" s="1381"/>
      <c r="CE11" s="1381" t="str">
        <f>"02/07/"&amp;Tax_year_start</f>
        <v>02/07/2025</v>
      </c>
      <c r="CF11" s="1381"/>
      <c r="CG11" s="1381"/>
      <c r="CH11" s="1381"/>
      <c r="CI11" s="1381"/>
      <c r="CJ11" s="1381"/>
      <c r="CK11" s="1381"/>
      <c r="CL11" s="1381"/>
      <c r="CM11" s="1381"/>
      <c r="CN11" s="1381"/>
      <c r="CO11" s="1381"/>
      <c r="CP11" s="1381"/>
      <c r="CQ11" s="1381"/>
      <c r="CR11" s="1381"/>
      <c r="CS11" s="1381"/>
      <c r="CT11" s="1381"/>
      <c r="CU11" s="1381"/>
      <c r="CV11" s="1381"/>
      <c r="CW11" s="1381"/>
      <c r="CX11" s="1381"/>
      <c r="CY11" s="1381"/>
      <c r="CZ11" s="1381"/>
      <c r="DA11" s="1381"/>
      <c r="DB11" s="1381"/>
      <c r="DC11" s="1381"/>
      <c r="DD11" s="1381"/>
      <c r="DE11" s="1381"/>
      <c r="DF11" s="1381"/>
      <c r="DG11" s="1381"/>
      <c r="DH11" s="1381"/>
      <c r="DI11" s="1381"/>
      <c r="DJ11" s="1381"/>
      <c r="DK11" s="1381"/>
      <c r="DL11" s="1381"/>
      <c r="DM11" s="1381"/>
      <c r="DN11" s="1381"/>
      <c r="DO11" s="1381"/>
      <c r="DP11" s="1381"/>
      <c r="DQ11" s="1381"/>
      <c r="DR11" s="1381"/>
      <c r="DS11" s="1381"/>
      <c r="DT11" s="1381"/>
      <c r="DU11" s="1381"/>
      <c r="DV11" s="1381"/>
      <c r="DW11" s="1381"/>
      <c r="DX11" s="1381"/>
      <c r="DY11" s="1381"/>
      <c r="DZ11" s="1381"/>
      <c r="EA11" s="1381"/>
      <c r="EB11" s="1381"/>
      <c r="EC11" s="1381"/>
      <c r="ED11" s="1381"/>
      <c r="EE11" s="1381"/>
      <c r="EF11" s="1381"/>
      <c r="EG11" s="1382"/>
      <c r="EH11" s="1381" t="str">
        <f>"02/07/"&amp;Tax_year_start</f>
        <v>02/07/2025</v>
      </c>
      <c r="EI11" s="1381"/>
      <c r="EJ11" s="1381"/>
      <c r="EK11" s="1381"/>
      <c r="EL11" s="1381"/>
      <c r="EM11" s="1465" t="str">
        <f>"03/10/"&amp;Tax_year_start</f>
        <v>03/10/2025</v>
      </c>
      <c r="EN11" s="1381"/>
      <c r="EO11" s="1381"/>
      <c r="EP11" s="1381"/>
      <c r="EQ11" s="1381"/>
      <c r="ER11" s="1381"/>
      <c r="ES11" s="1381"/>
      <c r="ET11" s="1381"/>
      <c r="EU11" s="1381"/>
      <c r="EV11" s="1381"/>
      <c r="EW11" s="1381"/>
      <c r="EX11" s="1381"/>
      <c r="EY11" s="1381"/>
      <c r="EZ11" s="1381"/>
      <c r="FA11" s="1381"/>
      <c r="FB11" s="1381"/>
      <c r="FC11" s="1381"/>
      <c r="FD11" s="1381"/>
      <c r="FE11" s="1381"/>
      <c r="FF11" s="1381"/>
      <c r="FG11" s="1381"/>
      <c r="FH11" s="1382"/>
      <c r="FI11" s="1381"/>
      <c r="FJ11" s="1381"/>
      <c r="FK11" s="1381"/>
      <c r="FL11" s="1381"/>
      <c r="FM11" s="1381"/>
      <c r="FN11" s="1381" t="str">
        <f>"02/07/"&amp;Tax_year_start</f>
        <v>02/07/2025</v>
      </c>
      <c r="FO11" s="1381" t="str">
        <f>"02/07/"&amp;Tax_year_start</f>
        <v>02/07/2025</v>
      </c>
      <c r="FP11" s="1382"/>
      <c r="FQ11" s="1381"/>
      <c r="FR11" s="1381"/>
      <c r="FS11" s="1381"/>
      <c r="FT11" s="1381"/>
      <c r="FU11" s="1381"/>
      <c r="FV11" s="1381"/>
      <c r="FW11" s="1381"/>
      <c r="FX11" s="1381"/>
      <c r="FY11" s="1381"/>
      <c r="FZ11" s="1381"/>
      <c r="GA11" s="1381"/>
      <c r="GB11" s="1381"/>
      <c r="GC11" s="1381"/>
      <c r="GD11" s="1381"/>
      <c r="GE11" s="1381"/>
      <c r="GF11" s="1381"/>
      <c r="GG11" s="1381"/>
      <c r="GH11" s="1381"/>
      <c r="GI11" s="1381"/>
      <c r="GJ11" s="1381"/>
      <c r="GK11" s="1381"/>
      <c r="GL11" s="1381"/>
      <c r="GM11" s="1381"/>
      <c r="GN11" s="1381"/>
      <c r="GO11" s="1381"/>
      <c r="GP11" s="1381"/>
      <c r="GQ11" s="1381"/>
      <c r="GR11" s="1381"/>
      <c r="GS11" s="1381" t="str">
        <f>"02/07/"&amp;Tax_year_start</f>
        <v>02/07/2025</v>
      </c>
      <c r="GT11" s="1381"/>
      <c r="GU11" s="1381"/>
      <c r="GV11" s="1381"/>
      <c r="GW11" s="1381"/>
      <c r="GX11" s="1381"/>
      <c r="GY11" s="1381"/>
      <c r="GZ11" s="1381"/>
      <c r="HA11" s="1381" t="str">
        <f>"02/07/"&amp;Tax_year_start</f>
        <v>02/07/2025</v>
      </c>
      <c r="HB11" s="1381"/>
      <c r="HC11" s="1381"/>
      <c r="HD11" s="1381"/>
      <c r="HE11" s="1381"/>
      <c r="HF11" s="1381"/>
      <c r="HG11" s="1381"/>
      <c r="HH11" s="1381"/>
      <c r="HI11" s="1381"/>
      <c r="HJ11" s="1381"/>
      <c r="HK11" s="1381"/>
      <c r="HL11" s="1381"/>
      <c r="HM11" s="1381"/>
      <c r="HN11" s="1381"/>
      <c r="HO11" s="1381"/>
      <c r="HP11" s="1381"/>
      <c r="HQ11" s="1381"/>
      <c r="HR11" s="1381"/>
      <c r="HS11" s="1381"/>
      <c r="HT11" s="1381"/>
      <c r="HU11" s="1381"/>
      <c r="HV11" s="1381"/>
      <c r="HW11" s="1381"/>
      <c r="HX11" s="1382" t="str">
        <f>"24/04/"&amp;Tax_year_start</f>
        <v>24/04/2025</v>
      </c>
      <c r="HY11" s="1381"/>
      <c r="HZ11" s="1381"/>
      <c r="IA11" s="1381"/>
      <c r="IB11" s="1381"/>
      <c r="IC11" s="1381"/>
      <c r="ID11" s="1381"/>
      <c r="IE11" s="1381"/>
      <c r="IF11" s="1381"/>
      <c r="IG11" s="1381"/>
      <c r="IH11" s="1381"/>
      <c r="II11" s="1381"/>
      <c r="IJ11" s="1381"/>
      <c r="IK11" s="1381"/>
      <c r="IL11" s="1381"/>
      <c r="IM11" s="1381"/>
      <c r="IN11" s="1381"/>
      <c r="IO11" s="1381"/>
      <c r="IP11" s="1381"/>
      <c r="IQ11" s="1381"/>
      <c r="IR11" s="1381"/>
      <c r="IS11" s="1381"/>
      <c r="IT11" s="1381"/>
      <c r="IU11" s="1381"/>
      <c r="IV11" s="1381"/>
      <c r="IW11" s="1381"/>
      <c r="IX11" s="1381"/>
      <c r="IY11" s="1381"/>
      <c r="IZ11" s="1381"/>
      <c r="JA11" s="1381"/>
      <c r="JB11" s="1381"/>
      <c r="JC11" s="1381"/>
      <c r="JD11" s="1381"/>
      <c r="JE11" s="1381"/>
      <c r="JF11" s="1381"/>
      <c r="JG11" s="1381"/>
      <c r="JH11" s="1381"/>
      <c r="JI11" s="1381"/>
      <c r="JJ11" s="1381"/>
      <c r="JK11" s="1414"/>
      <c r="JL11" s="1414"/>
      <c r="JM11" s="1414"/>
      <c r="JN11" s="1381"/>
      <c r="JO11" s="1381"/>
      <c r="JP11" s="1381"/>
      <c r="JQ11" s="1466"/>
      <c r="JR11" s="351"/>
      <c r="JS11" s="1460" t="s">
        <v>2717</v>
      </c>
      <c r="JT11" s="450" t="s">
        <v>2208</v>
      </c>
    </row>
    <row r="12" spans="1:280" ht="12.5" x14ac:dyDescent="0.25">
      <c r="A12" s="1367">
        <v>11</v>
      </c>
      <c r="B12" s="1434" t="str">
        <f t="shared" si="0"/>
        <v/>
      </c>
      <c r="C12" s="1435" t="s">
        <v>2718</v>
      </c>
      <c r="D12" s="1436" t="s">
        <v>2719</v>
      </c>
      <c r="E12" s="1381"/>
      <c r="F12" s="1381" t="s">
        <v>1615</v>
      </c>
      <c r="G12" s="1381" t="s">
        <v>1615</v>
      </c>
      <c r="H12" s="1381" t="s">
        <v>1615</v>
      </c>
      <c r="I12" s="1381"/>
      <c r="J12" s="1381"/>
      <c r="K12" s="1381" t="s">
        <v>1615</v>
      </c>
      <c r="L12" s="1381"/>
      <c r="M12" s="1381"/>
      <c r="N12" s="1381"/>
      <c r="O12" s="1381" t="s">
        <v>1615</v>
      </c>
      <c r="P12" s="1381"/>
      <c r="Q12" s="1382" t="s">
        <v>1707</v>
      </c>
      <c r="R12" s="1381" t="s">
        <v>1615</v>
      </c>
      <c r="S12" s="1381"/>
      <c r="T12" s="1381"/>
      <c r="U12" s="1381" t="s">
        <v>1615</v>
      </c>
      <c r="V12" s="1381" t="s">
        <v>1615</v>
      </c>
      <c r="W12" s="1381" t="s">
        <v>1615</v>
      </c>
      <c r="X12" s="1381" t="s">
        <v>1615</v>
      </c>
      <c r="Y12" s="1382" t="s">
        <v>1707</v>
      </c>
      <c r="Z12" s="1381" t="s">
        <v>1615</v>
      </c>
      <c r="AA12" s="1381" t="s">
        <v>1615</v>
      </c>
      <c r="AB12" s="1381"/>
      <c r="AC12" s="1381" t="s">
        <v>1615</v>
      </c>
      <c r="AD12" s="1381" t="s">
        <v>1615</v>
      </c>
      <c r="AE12" s="1381" t="s">
        <v>1615</v>
      </c>
      <c r="AF12" s="1381"/>
      <c r="AG12" s="1381" t="s">
        <v>1615</v>
      </c>
      <c r="AH12" s="1381" t="s">
        <v>1615</v>
      </c>
      <c r="AI12" s="1381" t="s">
        <v>1615</v>
      </c>
      <c r="AJ12" s="1381" t="s">
        <v>1615</v>
      </c>
      <c r="AK12" s="1381" t="s">
        <v>1615</v>
      </c>
      <c r="AL12" s="1381" t="s">
        <v>1615</v>
      </c>
      <c r="AM12" s="1381" t="s">
        <v>1615</v>
      </c>
      <c r="AN12" s="1381"/>
      <c r="AO12" s="1381"/>
      <c r="AP12" s="1381" t="s">
        <v>1615</v>
      </c>
      <c r="AQ12" s="1381" t="s">
        <v>1615</v>
      </c>
      <c r="AR12" s="1381" t="s">
        <v>1615</v>
      </c>
      <c r="AS12" s="1381" t="s">
        <v>1615</v>
      </c>
      <c r="AT12" s="1381" t="s">
        <v>1615</v>
      </c>
      <c r="AU12" s="1381" t="s">
        <v>1615</v>
      </c>
      <c r="AV12" s="1381"/>
      <c r="AW12" s="1381"/>
      <c r="AX12" s="1381"/>
      <c r="AY12" s="1382" t="s">
        <v>1615</v>
      </c>
      <c r="AZ12" s="1381"/>
      <c r="BA12" s="1381" t="s">
        <v>1615</v>
      </c>
      <c r="BB12" s="1381" t="s">
        <v>1615</v>
      </c>
      <c r="BC12" s="1381" t="s">
        <v>1615</v>
      </c>
      <c r="BD12" s="1381" t="s">
        <v>1615</v>
      </c>
      <c r="BE12" s="1381" t="s">
        <v>1615</v>
      </c>
      <c r="BF12" s="1381" t="s">
        <v>1615</v>
      </c>
      <c r="BG12" s="1382" t="s">
        <v>1707</v>
      </c>
      <c r="BH12" s="1381" t="s">
        <v>1615</v>
      </c>
      <c r="BI12" s="1381" t="s">
        <v>1615</v>
      </c>
      <c r="BJ12" s="1381" t="s">
        <v>1615</v>
      </c>
      <c r="BK12" s="1381"/>
      <c r="BL12" s="1381"/>
      <c r="BM12" s="1381" t="s">
        <v>1615</v>
      </c>
      <c r="BN12" s="1381"/>
      <c r="BO12" s="1381" t="s">
        <v>1615</v>
      </c>
      <c r="BP12" s="1382" t="s">
        <v>1707</v>
      </c>
      <c r="BQ12" s="1381"/>
      <c r="BR12" s="1381"/>
      <c r="BS12" s="1381" t="s">
        <v>1615</v>
      </c>
      <c r="BT12" s="1381"/>
      <c r="BU12" s="1381"/>
      <c r="BV12" s="1381"/>
      <c r="BW12" s="1381"/>
      <c r="BX12" s="1381"/>
      <c r="BY12" s="1381"/>
      <c r="BZ12" s="1381"/>
      <c r="CA12" s="1381"/>
      <c r="CB12" s="1381"/>
      <c r="CC12" s="1381"/>
      <c r="CD12" s="1382" t="s">
        <v>1615</v>
      </c>
      <c r="CE12" s="1382" t="s">
        <v>1707</v>
      </c>
      <c r="CF12" s="1381" t="s">
        <v>1615</v>
      </c>
      <c r="CG12" s="1381"/>
      <c r="CH12" s="1381" t="s">
        <v>1615</v>
      </c>
      <c r="CI12" s="1381"/>
      <c r="CJ12" s="1382" t="s">
        <v>1707</v>
      </c>
      <c r="CK12" s="1381"/>
      <c r="CL12" s="1381"/>
      <c r="CM12" s="1381"/>
      <c r="CN12" s="1381" t="s">
        <v>1615</v>
      </c>
      <c r="CO12" s="1381" t="s">
        <v>1615</v>
      </c>
      <c r="CP12" s="1381"/>
      <c r="CQ12" s="1381" t="s">
        <v>1615</v>
      </c>
      <c r="CR12" s="1381"/>
      <c r="CS12" s="1381"/>
      <c r="CT12" s="1381"/>
      <c r="CU12" s="1381"/>
      <c r="CV12" s="1381" t="s">
        <v>1615</v>
      </c>
      <c r="CW12" s="1381"/>
      <c r="CX12" s="1381"/>
      <c r="CY12" s="1381"/>
      <c r="CZ12" s="1381"/>
      <c r="DA12" s="1382" t="s">
        <v>1707</v>
      </c>
      <c r="DB12" s="1381" t="s">
        <v>1615</v>
      </c>
      <c r="DC12" s="1381"/>
      <c r="DD12" s="1381" t="s">
        <v>1615</v>
      </c>
      <c r="DE12" s="1381" t="s">
        <v>1615</v>
      </c>
      <c r="DF12" s="1381" t="s">
        <v>1615</v>
      </c>
      <c r="DG12" s="1381"/>
      <c r="DH12" s="1381"/>
      <c r="DI12" s="1381" t="s">
        <v>1615</v>
      </c>
      <c r="DJ12" s="1381"/>
      <c r="DK12" s="1381" t="s">
        <v>1615</v>
      </c>
      <c r="DL12" s="1381" t="s">
        <v>1615</v>
      </c>
      <c r="DM12" s="1381"/>
      <c r="DN12" s="1381"/>
      <c r="DO12" s="1382" t="s">
        <v>1615</v>
      </c>
      <c r="DP12" s="1381" t="s">
        <v>1615</v>
      </c>
      <c r="DQ12" s="1381"/>
      <c r="DR12" s="1382" t="s">
        <v>1615</v>
      </c>
      <c r="DS12" s="1382" t="s">
        <v>1615</v>
      </c>
      <c r="DT12" s="1381" t="s">
        <v>1615</v>
      </c>
      <c r="DU12" s="1381" t="s">
        <v>1615</v>
      </c>
      <c r="DV12" s="1381" t="s">
        <v>1615</v>
      </c>
      <c r="DW12" s="1381"/>
      <c r="DX12" s="1382" t="s">
        <v>1615</v>
      </c>
      <c r="DY12" s="1382" t="s">
        <v>1615</v>
      </c>
      <c r="DZ12" s="1382" t="s">
        <v>1615</v>
      </c>
      <c r="EA12" s="1381" t="s">
        <v>1615</v>
      </c>
      <c r="EB12" s="1381"/>
      <c r="EC12" s="1381"/>
      <c r="ED12" s="1381" t="s">
        <v>1615</v>
      </c>
      <c r="EE12" s="1381" t="s">
        <v>1615</v>
      </c>
      <c r="EF12" s="1381"/>
      <c r="EG12" s="1382" t="s">
        <v>1615</v>
      </c>
      <c r="EH12" s="1381" t="s">
        <v>1707</v>
      </c>
      <c r="EI12" s="1381" t="s">
        <v>1615</v>
      </c>
      <c r="EJ12" s="1381" t="s">
        <v>1615</v>
      </c>
      <c r="EK12" s="1381" t="s">
        <v>1615</v>
      </c>
      <c r="EL12" s="1381" t="s">
        <v>1615</v>
      </c>
      <c r="EM12" s="1382" t="s">
        <v>1615</v>
      </c>
      <c r="EN12" s="1382" t="s">
        <v>1615</v>
      </c>
      <c r="EO12" s="1381" t="s">
        <v>1615</v>
      </c>
      <c r="EP12" s="1382" t="s">
        <v>1615</v>
      </c>
      <c r="EQ12" s="1381"/>
      <c r="ER12" s="1382" t="s">
        <v>1615</v>
      </c>
      <c r="ES12" s="1382" t="s">
        <v>1615</v>
      </c>
      <c r="ET12" s="1382" t="s">
        <v>1707</v>
      </c>
      <c r="EU12" s="1381"/>
      <c r="EV12" s="1382" t="s">
        <v>1615</v>
      </c>
      <c r="EW12" s="1381"/>
      <c r="EX12" s="1381"/>
      <c r="EY12" s="1382" t="s">
        <v>1615</v>
      </c>
      <c r="EZ12" s="1381" t="s">
        <v>1615</v>
      </c>
      <c r="FA12" s="1381"/>
      <c r="FB12" s="1381"/>
      <c r="FC12" s="1381" t="s">
        <v>1615</v>
      </c>
      <c r="FD12" s="1381" t="s">
        <v>1615</v>
      </c>
      <c r="FE12" s="1381"/>
      <c r="FF12" s="1382" t="s">
        <v>1615</v>
      </c>
      <c r="FG12" s="1381"/>
      <c r="FH12" s="1382" t="s">
        <v>1615</v>
      </c>
      <c r="FI12" s="1382" t="s">
        <v>1615</v>
      </c>
      <c r="FJ12" s="1381"/>
      <c r="FK12" s="1382" t="s">
        <v>1615</v>
      </c>
      <c r="FL12" s="1381"/>
      <c r="FM12" s="1382"/>
      <c r="FN12" s="1381" t="s">
        <v>1707</v>
      </c>
      <c r="FO12" s="1381" t="s">
        <v>1707</v>
      </c>
      <c r="FP12" s="1382"/>
      <c r="FQ12" s="1381" t="s">
        <v>1615</v>
      </c>
      <c r="FR12" s="1382" t="s">
        <v>1615</v>
      </c>
      <c r="FS12" s="1381"/>
      <c r="FT12" s="1381"/>
      <c r="FU12" s="1381"/>
      <c r="FV12" s="1381"/>
      <c r="FW12" s="1381" t="s">
        <v>1615</v>
      </c>
      <c r="FX12" s="1381"/>
      <c r="FY12" s="1382" t="s">
        <v>1615</v>
      </c>
      <c r="FZ12" s="1382" t="s">
        <v>1615</v>
      </c>
      <c r="GA12" s="1382" t="s">
        <v>1615</v>
      </c>
      <c r="GB12" s="1382" t="s">
        <v>1615</v>
      </c>
      <c r="GC12" s="1381" t="s">
        <v>1615</v>
      </c>
      <c r="GD12" s="1381" t="s">
        <v>1615</v>
      </c>
      <c r="GE12" s="1381"/>
      <c r="GF12" s="1382" t="s">
        <v>1707</v>
      </c>
      <c r="GG12" s="1381"/>
      <c r="GH12" s="1381"/>
      <c r="GI12" s="1382" t="s">
        <v>1615</v>
      </c>
      <c r="GJ12" s="1381"/>
      <c r="GK12" s="1381" t="s">
        <v>1615</v>
      </c>
      <c r="GL12" s="1382" t="s">
        <v>1615</v>
      </c>
      <c r="GM12" s="1382" t="s">
        <v>1615</v>
      </c>
      <c r="GN12" s="1382" t="s">
        <v>1615</v>
      </c>
      <c r="GO12" s="1381" t="s">
        <v>1615</v>
      </c>
      <c r="GP12" s="1381" t="s">
        <v>1615</v>
      </c>
      <c r="GQ12" s="1381" t="s">
        <v>1615</v>
      </c>
      <c r="GR12" s="1381" t="s">
        <v>1615</v>
      </c>
      <c r="GS12" s="1381" t="s">
        <v>1707</v>
      </c>
      <c r="GT12" s="1382" t="s">
        <v>1615</v>
      </c>
      <c r="GU12" s="1381"/>
      <c r="GV12" s="1381" t="s">
        <v>1615</v>
      </c>
      <c r="GW12" s="1381" t="s">
        <v>1615</v>
      </c>
      <c r="GX12" s="1381" t="s">
        <v>1615</v>
      </c>
      <c r="GY12" s="1381"/>
      <c r="GZ12" s="1381" t="s">
        <v>1615</v>
      </c>
      <c r="HA12" s="1381" t="s">
        <v>1707</v>
      </c>
      <c r="HB12" s="1381" t="s">
        <v>1615</v>
      </c>
      <c r="HC12" s="1381"/>
      <c r="HD12" s="1382" t="s">
        <v>1615</v>
      </c>
      <c r="HE12" s="1381"/>
      <c r="HF12" s="1381" t="s">
        <v>1615</v>
      </c>
      <c r="HG12" s="1381" t="s">
        <v>1615</v>
      </c>
      <c r="HH12" s="1381"/>
      <c r="HI12" s="1381" t="s">
        <v>1615</v>
      </c>
      <c r="HJ12" s="1381" t="s">
        <v>1615</v>
      </c>
      <c r="HK12" s="1381"/>
      <c r="HL12" s="1381" t="s">
        <v>1615</v>
      </c>
      <c r="HM12" s="1381" t="s">
        <v>1615</v>
      </c>
      <c r="HN12" s="1381"/>
      <c r="HO12" s="1381" t="s">
        <v>1615</v>
      </c>
      <c r="HP12" s="1381"/>
      <c r="HQ12" s="1381" t="s">
        <v>1615</v>
      </c>
      <c r="HR12" s="1381" t="s">
        <v>1615</v>
      </c>
      <c r="HS12" s="1381"/>
      <c r="HT12" s="1381" t="s">
        <v>1615</v>
      </c>
      <c r="HU12" s="1381" t="s">
        <v>1615</v>
      </c>
      <c r="HV12" s="1381"/>
      <c r="HW12" s="1381"/>
      <c r="HX12" s="1381" t="s">
        <v>1615</v>
      </c>
      <c r="HY12" s="1381" t="s">
        <v>1615</v>
      </c>
      <c r="HZ12" s="1381" t="s">
        <v>1615</v>
      </c>
      <c r="IA12" s="1381" t="s">
        <v>1615</v>
      </c>
      <c r="IB12" s="1381"/>
      <c r="IC12" s="1382" t="s">
        <v>1615</v>
      </c>
      <c r="ID12" s="1382" t="s">
        <v>1615</v>
      </c>
      <c r="IE12" s="1381" t="s">
        <v>1615</v>
      </c>
      <c r="IF12" s="1381" t="s">
        <v>1615</v>
      </c>
      <c r="IG12" s="1381" t="s">
        <v>1615</v>
      </c>
      <c r="IH12" s="1381" t="s">
        <v>1615</v>
      </c>
      <c r="II12" s="1381" t="s">
        <v>1615</v>
      </c>
      <c r="IJ12" s="1382" t="s">
        <v>1615</v>
      </c>
      <c r="IK12" s="1381" t="s">
        <v>1615</v>
      </c>
      <c r="IL12" s="1382" t="s">
        <v>1707</v>
      </c>
      <c r="IM12" s="1382" t="s">
        <v>1615</v>
      </c>
      <c r="IN12" s="1381"/>
      <c r="IO12" s="1381" t="s">
        <v>1615</v>
      </c>
      <c r="IP12" s="1381"/>
      <c r="IQ12" s="1381"/>
      <c r="IR12" s="1381"/>
      <c r="IS12" s="1381" t="s">
        <v>1615</v>
      </c>
      <c r="IT12" s="1381"/>
      <c r="IU12" s="1382" t="s">
        <v>1615</v>
      </c>
      <c r="IV12" s="1381"/>
      <c r="IW12" s="1382" t="s">
        <v>1707</v>
      </c>
      <c r="IX12" s="1381" t="s">
        <v>1615</v>
      </c>
      <c r="IY12" s="1381" t="s">
        <v>1615</v>
      </c>
      <c r="IZ12" s="1381" t="s">
        <v>1615</v>
      </c>
      <c r="JA12" s="1381"/>
      <c r="JB12" s="1381" t="s">
        <v>1615</v>
      </c>
      <c r="JC12" s="1381"/>
      <c r="JD12" s="1381" t="s">
        <v>1615</v>
      </c>
      <c r="JE12" s="1381" t="s">
        <v>1615</v>
      </c>
      <c r="JF12" s="1381" t="s">
        <v>1615</v>
      </c>
      <c r="JG12" s="1381"/>
      <c r="JH12" s="1381" t="s">
        <v>1615</v>
      </c>
      <c r="JI12" s="1381"/>
      <c r="JJ12" s="1381" t="s">
        <v>1615</v>
      </c>
      <c r="JK12" s="1414"/>
      <c r="JL12" s="1464" t="s">
        <v>1615</v>
      </c>
      <c r="JM12" s="1414"/>
      <c r="JN12" s="1381" t="s">
        <v>1615</v>
      </c>
      <c r="JO12" s="1381" t="s">
        <v>1615</v>
      </c>
      <c r="JP12" s="1381" t="s">
        <v>1615</v>
      </c>
      <c r="JQ12" s="1466" t="s">
        <v>1615</v>
      </c>
      <c r="JR12" s="351"/>
      <c r="JS12" s="1470"/>
      <c r="JT12" s="450" t="s">
        <v>2319</v>
      </c>
    </row>
    <row r="13" spans="1:280" ht="34.5" x14ac:dyDescent="0.25">
      <c r="A13" s="1367">
        <v>12</v>
      </c>
      <c r="B13" s="1434" t="str">
        <f t="shared" si="0"/>
        <v/>
      </c>
      <c r="C13" s="2533" t="s">
        <v>2720</v>
      </c>
      <c r="D13" s="1467" t="s">
        <v>2721</v>
      </c>
      <c r="E13" s="1381"/>
      <c r="F13" s="1381"/>
      <c r="G13" s="1381"/>
      <c r="H13" s="1381"/>
      <c r="I13" s="1381"/>
      <c r="J13" s="1381"/>
      <c r="K13" s="1381"/>
      <c r="L13" s="1381"/>
      <c r="M13" s="1381"/>
      <c r="N13" s="1381"/>
      <c r="O13" s="1381"/>
      <c r="P13" s="1381"/>
      <c r="Q13" s="1462" t="s">
        <v>2722</v>
      </c>
      <c r="R13" s="1381"/>
      <c r="S13" s="1381"/>
      <c r="T13" s="1381"/>
      <c r="U13" s="1381"/>
      <c r="V13" s="1381"/>
      <c r="W13" s="1381"/>
      <c r="X13" s="1381"/>
      <c r="Y13" s="1382" t="s">
        <v>2723</v>
      </c>
      <c r="Z13" s="1381"/>
      <c r="AA13" s="1381"/>
      <c r="AB13" s="1381"/>
      <c r="AC13" s="1381"/>
      <c r="AD13" s="1381"/>
      <c r="AE13" s="1381"/>
      <c r="AF13" s="1381"/>
      <c r="AG13" s="1381"/>
      <c r="AH13" s="1381"/>
      <c r="AI13" s="1381"/>
      <c r="AJ13" s="1381"/>
      <c r="AK13" s="1381"/>
      <c r="AL13" s="1381"/>
      <c r="AM13" s="1381"/>
      <c r="AN13" s="1381"/>
      <c r="AO13" s="1381"/>
      <c r="AP13" s="1381"/>
      <c r="AQ13" s="1381"/>
      <c r="AR13" s="1381"/>
      <c r="AS13" s="1381"/>
      <c r="AT13" s="1381"/>
      <c r="AU13" s="1381"/>
      <c r="AV13" s="1381"/>
      <c r="AW13" s="1381"/>
      <c r="AX13" s="1381"/>
      <c r="AY13" s="1381"/>
      <c r="AZ13" s="1381"/>
      <c r="BA13" s="1381"/>
      <c r="BB13" s="1381"/>
      <c r="BC13" s="1381"/>
      <c r="BD13" s="1381"/>
      <c r="BE13" s="1381"/>
      <c r="BF13" s="1381"/>
      <c r="BG13" s="1462" t="s">
        <v>2724</v>
      </c>
      <c r="BH13" s="1381"/>
      <c r="BI13" s="1381"/>
      <c r="BJ13" s="1381"/>
      <c r="BK13" s="1381"/>
      <c r="BL13" s="1381"/>
      <c r="BM13" s="1381"/>
      <c r="BN13" s="1381"/>
      <c r="BO13" s="1381"/>
      <c r="BP13" s="1462" t="s">
        <v>2725</v>
      </c>
      <c r="BQ13" s="1381"/>
      <c r="BR13" s="1381"/>
      <c r="BS13" s="1381"/>
      <c r="BT13" s="1381"/>
      <c r="BU13" s="1381"/>
      <c r="BV13" s="1381"/>
      <c r="BW13" s="1381"/>
      <c r="BX13" s="1381"/>
      <c r="BY13" s="1381"/>
      <c r="BZ13" s="1381"/>
      <c r="CA13" s="1381"/>
      <c r="CB13" s="1381"/>
      <c r="CC13" s="1381"/>
      <c r="CD13" s="1382"/>
      <c r="CE13" s="1462" t="s">
        <v>2726</v>
      </c>
      <c r="CF13" s="1381"/>
      <c r="CG13" s="1381"/>
      <c r="CH13" s="1381"/>
      <c r="CI13" s="1381"/>
      <c r="CJ13" s="1381"/>
      <c r="CK13" s="1381"/>
      <c r="CL13" s="1381"/>
      <c r="CM13" s="1381"/>
      <c r="CN13" s="1381"/>
      <c r="CO13" s="1381"/>
      <c r="CP13" s="1381"/>
      <c r="CQ13" s="1381"/>
      <c r="CR13" s="1381"/>
      <c r="CS13" s="1381"/>
      <c r="CT13" s="1381"/>
      <c r="CU13" s="1381"/>
      <c r="CV13" s="1381"/>
      <c r="CW13" s="1381"/>
      <c r="CX13" s="1381"/>
      <c r="CY13" s="1381"/>
      <c r="CZ13" s="1381"/>
      <c r="DA13" s="1462" t="s">
        <v>2727</v>
      </c>
      <c r="DB13" s="1381"/>
      <c r="DC13" s="1381"/>
      <c r="DD13" s="1381"/>
      <c r="DE13" s="1381"/>
      <c r="DF13" s="1381"/>
      <c r="DG13" s="1381"/>
      <c r="DH13" s="1381"/>
      <c r="DI13" s="1381"/>
      <c r="DJ13" s="1381"/>
      <c r="DK13" s="1381"/>
      <c r="DL13" s="1381"/>
      <c r="DM13" s="1381"/>
      <c r="DN13" s="1381"/>
      <c r="DO13" s="1381"/>
      <c r="DP13" s="1381"/>
      <c r="DQ13" s="1381"/>
      <c r="DR13" s="1381"/>
      <c r="DS13" s="1381"/>
      <c r="DT13" s="1381"/>
      <c r="DU13" s="1381"/>
      <c r="DV13" s="1381"/>
      <c r="DW13" s="1381"/>
      <c r="DX13" s="1381"/>
      <c r="DY13" s="1381"/>
      <c r="DZ13" s="1381"/>
      <c r="EA13" s="1381"/>
      <c r="EB13" s="1381"/>
      <c r="EC13" s="1381"/>
      <c r="ED13" s="1381"/>
      <c r="EE13" s="1381"/>
      <c r="EF13" s="1381"/>
      <c r="EG13" s="1382"/>
      <c r="EH13" s="1462" t="s">
        <v>2727</v>
      </c>
      <c r="EI13" s="1381"/>
      <c r="EJ13" s="1381"/>
      <c r="EK13" s="1381"/>
      <c r="EL13" s="1381"/>
      <c r="EM13" s="1381"/>
      <c r="EN13" s="1382"/>
      <c r="EO13" s="1381"/>
      <c r="EP13" s="1382"/>
      <c r="EQ13" s="1381"/>
      <c r="ER13" s="1381"/>
      <c r="ES13" s="1381"/>
      <c r="ET13" s="1462" t="s">
        <v>2728</v>
      </c>
      <c r="EU13" s="1381"/>
      <c r="EV13" s="1381"/>
      <c r="EW13" s="1381"/>
      <c r="EX13" s="1381"/>
      <c r="EY13" s="1381"/>
      <c r="EZ13" s="1381"/>
      <c r="FA13" s="1381"/>
      <c r="FB13" s="1381"/>
      <c r="FC13" s="1381"/>
      <c r="FD13" s="1381"/>
      <c r="FE13" s="1381"/>
      <c r="FF13" s="1381"/>
      <c r="FG13" s="1381"/>
      <c r="FH13" s="1381"/>
      <c r="FI13" s="1381"/>
      <c r="FJ13" s="1381"/>
      <c r="FK13" s="1381"/>
      <c r="FL13" s="1381"/>
      <c r="FM13" s="1382"/>
      <c r="FN13" s="1462" t="s">
        <v>2729</v>
      </c>
      <c r="FO13" s="1462" t="s">
        <v>2730</v>
      </c>
      <c r="FP13" s="1382"/>
      <c r="FQ13" s="1381"/>
      <c r="FR13" s="1381"/>
      <c r="FS13" s="1381"/>
      <c r="FT13" s="1381"/>
      <c r="FU13" s="1381"/>
      <c r="FV13" s="1381"/>
      <c r="FW13" s="1381"/>
      <c r="FX13" s="1381"/>
      <c r="FY13" s="1381"/>
      <c r="FZ13" s="1381"/>
      <c r="GA13" s="1381"/>
      <c r="GB13" s="1381"/>
      <c r="GC13" s="1381"/>
      <c r="GD13" s="1381"/>
      <c r="GE13" s="1381"/>
      <c r="GF13" s="1462" t="s">
        <v>2731</v>
      </c>
      <c r="GG13" s="1381"/>
      <c r="GH13" s="1381"/>
      <c r="GI13" s="1381"/>
      <c r="GJ13" s="1381"/>
      <c r="GK13" s="1381"/>
      <c r="GL13" s="1381"/>
      <c r="GM13" s="1381"/>
      <c r="GN13" s="1381"/>
      <c r="GO13" s="1381"/>
      <c r="GP13" s="1381"/>
      <c r="GQ13" s="1381"/>
      <c r="GR13" s="1381"/>
      <c r="GS13" s="1462" t="s">
        <v>2732</v>
      </c>
      <c r="GT13" s="1381"/>
      <c r="GU13" s="1381"/>
      <c r="GV13" s="1381"/>
      <c r="GW13" s="1381"/>
      <c r="GX13" s="1381"/>
      <c r="GY13" s="1381"/>
      <c r="GZ13" s="1381"/>
      <c r="HA13" s="1462" t="s">
        <v>2733</v>
      </c>
      <c r="HB13" s="1381"/>
      <c r="HC13" s="1381"/>
      <c r="HD13" s="1381"/>
      <c r="HE13" s="1381"/>
      <c r="HF13" s="1381"/>
      <c r="HG13" s="1381"/>
      <c r="HH13" s="1381"/>
      <c r="HI13" s="1381"/>
      <c r="HJ13" s="1381"/>
      <c r="HK13" s="1381"/>
      <c r="HL13" s="1381"/>
      <c r="HM13" s="1381"/>
      <c r="HN13" s="1381"/>
      <c r="HO13" s="1381"/>
      <c r="HP13" s="1381"/>
      <c r="HQ13" s="1381"/>
      <c r="HR13" s="1381"/>
      <c r="HS13" s="1381"/>
      <c r="HT13" s="1381"/>
      <c r="HU13" s="1381"/>
      <c r="HV13" s="1381"/>
      <c r="HW13" s="1381"/>
      <c r="HX13" s="1381"/>
      <c r="HY13" s="1381"/>
      <c r="HZ13" s="1381"/>
      <c r="IA13" s="1381"/>
      <c r="IB13" s="1381"/>
      <c r="IC13" s="1381"/>
      <c r="ID13" s="1381"/>
      <c r="IE13" s="1381"/>
      <c r="IF13" s="1381"/>
      <c r="IG13" s="1381"/>
      <c r="IH13" s="1381"/>
      <c r="II13" s="1381"/>
      <c r="IJ13" s="1381"/>
      <c r="IK13" s="1381"/>
      <c r="IL13" s="1382" t="s">
        <v>2734</v>
      </c>
      <c r="IM13" s="1381"/>
      <c r="IN13" s="1381"/>
      <c r="IO13" s="1381"/>
      <c r="IP13" s="1381"/>
      <c r="IQ13" s="1381"/>
      <c r="IR13" s="1381"/>
      <c r="IS13" s="1381"/>
      <c r="IT13" s="1381"/>
      <c r="IU13" s="1381"/>
      <c r="IV13" s="1381"/>
      <c r="IW13" s="1382" t="s">
        <v>2735</v>
      </c>
      <c r="IX13" s="1381"/>
      <c r="IY13" s="1381"/>
      <c r="IZ13" s="1381"/>
      <c r="JA13" s="1381"/>
      <c r="JB13" s="1381"/>
      <c r="JC13" s="1381"/>
      <c r="JD13" s="1381"/>
      <c r="JE13" s="1381"/>
      <c r="JF13" s="1381"/>
      <c r="JG13" s="1381"/>
      <c r="JH13" s="1381"/>
      <c r="JI13" s="1381"/>
      <c r="JJ13" s="1381"/>
      <c r="JK13" s="1414"/>
      <c r="JL13" s="1414"/>
      <c r="JM13" s="1414"/>
      <c r="JN13" s="1414"/>
      <c r="JO13" s="1414"/>
      <c r="JP13" s="1414"/>
      <c r="JQ13" s="1466"/>
      <c r="JR13" s="351"/>
      <c r="JS13" s="1470"/>
      <c r="JT13" s="450"/>
    </row>
    <row r="14" spans="1:280" ht="12.5" x14ac:dyDescent="0.25">
      <c r="A14" s="1367">
        <v>13</v>
      </c>
      <c r="B14" s="2422" t="str">
        <f t="shared" si="0"/>
        <v/>
      </c>
      <c r="C14" s="2533" t="s">
        <v>2736</v>
      </c>
      <c r="D14" s="1467" t="s">
        <v>2737</v>
      </c>
      <c r="E14" s="1561"/>
      <c r="F14" s="1561"/>
      <c r="G14" s="1561"/>
      <c r="H14" s="1561"/>
      <c r="I14" s="1561"/>
      <c r="J14" s="1561"/>
      <c r="K14" s="1561"/>
      <c r="L14" s="1561"/>
      <c r="M14" s="1561"/>
      <c r="N14" s="1561"/>
      <c r="O14" s="1561"/>
      <c r="P14" s="1561"/>
      <c r="Q14" s="1562">
        <v>91027391</v>
      </c>
      <c r="R14" s="1561"/>
      <c r="S14" s="1561"/>
      <c r="T14" s="1561"/>
      <c r="U14" s="1561"/>
      <c r="V14" s="1561"/>
      <c r="W14" s="1561"/>
      <c r="X14" s="1561"/>
      <c r="Y14" s="1562">
        <v>16629911</v>
      </c>
      <c r="Z14" s="1561"/>
      <c r="AA14" s="1561"/>
      <c r="AB14" s="1561"/>
      <c r="AC14" s="1561"/>
      <c r="AD14" s="1561"/>
      <c r="AE14" s="1561"/>
      <c r="AF14" s="1561"/>
      <c r="AG14" s="1561"/>
      <c r="AH14" s="1561"/>
      <c r="AI14" s="1561"/>
      <c r="AJ14" s="1561"/>
      <c r="AK14" s="1561"/>
      <c r="AL14" s="1561"/>
      <c r="AM14" s="1561"/>
      <c r="AN14" s="1561"/>
      <c r="AO14" s="1561"/>
      <c r="AP14" s="1561"/>
      <c r="AQ14" s="1561"/>
      <c r="AR14" s="1561"/>
      <c r="AS14" s="1561"/>
      <c r="AT14" s="1561"/>
      <c r="AU14" s="1561"/>
      <c r="AV14" s="1561"/>
      <c r="AW14" s="1561"/>
      <c r="AX14" s="1561"/>
      <c r="AY14" s="1561"/>
      <c r="AZ14" s="1561"/>
      <c r="BA14" s="1561"/>
      <c r="BB14" s="1561"/>
      <c r="BC14" s="1561"/>
      <c r="BD14" s="1561"/>
      <c r="BE14" s="1561"/>
      <c r="BF14" s="1561"/>
      <c r="BG14" s="1562">
        <v>73820193</v>
      </c>
      <c r="BH14" s="1561"/>
      <c r="BI14" s="1561"/>
      <c r="BJ14" s="1561"/>
      <c r="BK14" s="1561"/>
      <c r="BL14" s="1561"/>
      <c r="BM14" s="1561"/>
      <c r="BN14" s="1561"/>
      <c r="BO14" s="1561"/>
      <c r="BP14" s="1562">
        <v>73820193</v>
      </c>
      <c r="BQ14" s="1561"/>
      <c r="BR14" s="1561"/>
      <c r="BS14" s="1561"/>
      <c r="BT14" s="1561"/>
      <c r="BU14" s="1561"/>
      <c r="BV14" s="1561"/>
      <c r="BW14" s="1561"/>
      <c r="BX14" s="1561"/>
      <c r="BY14" s="1561"/>
      <c r="BZ14" s="1561"/>
      <c r="CA14" s="1561"/>
      <c r="CB14" s="1561"/>
      <c r="CC14" s="1561"/>
      <c r="CD14" s="1562"/>
      <c r="CE14" s="1562">
        <v>94820019</v>
      </c>
      <c r="CF14" s="1561"/>
      <c r="CG14" s="1561"/>
      <c r="CH14" s="1561"/>
      <c r="CI14" s="1561"/>
      <c r="CJ14" s="1561"/>
      <c r="CK14" s="1561"/>
      <c r="CL14" s="1561"/>
      <c r="CM14" s="1561"/>
      <c r="CN14" s="1561"/>
      <c r="CO14" s="1561"/>
      <c r="CP14" s="1561"/>
      <c r="CQ14" s="1561"/>
      <c r="CR14" s="1561"/>
      <c r="CS14" s="1561"/>
      <c r="CT14" s="1561"/>
      <c r="CU14" s="1561"/>
      <c r="CV14" s="1561"/>
      <c r="CW14" s="1561"/>
      <c r="CX14" s="1561"/>
      <c r="CY14" s="1561"/>
      <c r="CZ14" s="1561"/>
      <c r="DA14" s="1562">
        <v>12930092</v>
      </c>
      <c r="DB14" s="1561"/>
      <c r="DC14" s="1561"/>
      <c r="DD14" s="1561"/>
      <c r="DE14" s="1561"/>
      <c r="DF14" s="1561"/>
      <c r="DG14" s="1561"/>
      <c r="DH14" s="1561"/>
      <c r="DI14" s="1561"/>
      <c r="DJ14" s="1561"/>
      <c r="DK14" s="1561"/>
      <c r="DL14" s="1561"/>
      <c r="DM14" s="1561"/>
      <c r="DN14" s="1561"/>
      <c r="DO14" s="1561"/>
      <c r="DP14" s="1561"/>
      <c r="DQ14" s="1561"/>
      <c r="DR14" s="1561"/>
      <c r="DS14" s="1561"/>
      <c r="DT14" s="1561"/>
      <c r="DU14" s="1561"/>
      <c r="DV14" s="1561"/>
      <c r="DW14" s="1561"/>
      <c r="DX14" s="1561"/>
      <c r="DY14" s="1561"/>
      <c r="DZ14" s="1561"/>
      <c r="EA14" s="1561"/>
      <c r="EB14" s="1561"/>
      <c r="EC14" s="1561"/>
      <c r="ED14" s="1561"/>
      <c r="EE14" s="1561"/>
      <c r="EF14" s="1561"/>
      <c r="EG14" s="1562"/>
      <c r="EH14" s="1562">
        <v>82826637</v>
      </c>
      <c r="EI14" s="1561"/>
      <c r="EJ14" s="1561"/>
      <c r="EK14" s="1561"/>
      <c r="EL14" s="1561"/>
      <c r="EM14" s="1561"/>
      <c r="EN14" s="1562"/>
      <c r="EO14" s="1561"/>
      <c r="EP14" s="1562"/>
      <c r="EQ14" s="1561"/>
      <c r="ER14" s="1561"/>
      <c r="ES14" s="1561"/>
      <c r="ET14" s="1562">
        <v>38199931</v>
      </c>
      <c r="EU14" s="1561"/>
      <c r="EV14" s="1561"/>
      <c r="EW14" s="1561"/>
      <c r="EX14" s="1561"/>
      <c r="EY14" s="1561"/>
      <c r="EZ14" s="1561"/>
      <c r="FA14" s="1561"/>
      <c r="FB14" s="1561"/>
      <c r="FC14" s="1561"/>
      <c r="FD14" s="1561"/>
      <c r="FE14" s="1561"/>
      <c r="FF14" s="1561"/>
      <c r="FG14" s="1561"/>
      <c r="FH14" s="1561"/>
      <c r="FI14" s="1561"/>
      <c r="FJ14" s="1561"/>
      <c r="FK14" s="1561"/>
      <c r="FL14" s="1561"/>
      <c r="FM14" s="1562"/>
      <c r="FN14" s="1562">
        <v>45930912</v>
      </c>
      <c r="FO14" s="1562">
        <v>71119938</v>
      </c>
      <c r="FP14" s="1562"/>
      <c r="FQ14" s="1561"/>
      <c r="FR14" s="1561"/>
      <c r="FS14" s="1561"/>
      <c r="FT14" s="1561"/>
      <c r="FU14" s="1561"/>
      <c r="FV14" s="1561"/>
      <c r="FW14" s="1561"/>
      <c r="FX14" s="1561"/>
      <c r="FY14" s="1561"/>
      <c r="FZ14" s="1561"/>
      <c r="GA14" s="1561"/>
      <c r="GB14" s="1561"/>
      <c r="GC14" s="1561"/>
      <c r="GD14" s="1561"/>
      <c r="GE14" s="1561"/>
      <c r="GF14" s="1562">
        <v>39110394</v>
      </c>
      <c r="GG14" s="1561"/>
      <c r="GH14" s="1561"/>
      <c r="GI14" s="1561"/>
      <c r="GJ14" s="1561"/>
      <c r="GK14" s="1561"/>
      <c r="GL14" s="1561"/>
      <c r="GM14" s="1561"/>
      <c r="GN14" s="1561"/>
      <c r="GO14" s="1561"/>
      <c r="GP14" s="1561"/>
      <c r="GQ14" s="1561"/>
      <c r="GR14" s="1561"/>
      <c r="GS14" s="1562">
        <v>21010399</v>
      </c>
      <c r="GT14" s="1561"/>
      <c r="GU14" s="1561"/>
      <c r="GV14" s="1561"/>
      <c r="GW14" s="1561"/>
      <c r="GX14" s="1561"/>
      <c r="GY14" s="1561"/>
      <c r="GZ14" s="1561"/>
      <c r="HA14" s="1562">
        <v>83010999</v>
      </c>
      <c r="HB14" s="1561"/>
      <c r="HC14" s="1561"/>
      <c r="HD14" s="1561"/>
      <c r="HE14" s="1561"/>
      <c r="HF14" s="1561"/>
      <c r="HG14" s="1561"/>
      <c r="HH14" s="1561"/>
      <c r="HI14" s="1561"/>
      <c r="HJ14" s="1561"/>
      <c r="HK14" s="1561"/>
      <c r="HL14" s="1561"/>
      <c r="HM14" s="1561"/>
      <c r="HN14" s="1561"/>
      <c r="HO14" s="1561"/>
      <c r="HP14" s="1561"/>
      <c r="HQ14" s="1561"/>
      <c r="HR14" s="1561"/>
      <c r="HS14" s="1561"/>
      <c r="HT14" s="1561"/>
      <c r="HU14" s="1561"/>
      <c r="HV14" s="1561"/>
      <c r="HW14" s="1561"/>
      <c r="HX14" s="1561"/>
      <c r="HY14" s="1561"/>
      <c r="HZ14" s="1561"/>
      <c r="IA14" s="1561"/>
      <c r="IB14" s="1561"/>
      <c r="IC14" s="1561"/>
      <c r="ID14" s="1561"/>
      <c r="IE14" s="1561"/>
      <c r="IF14" s="1561"/>
      <c r="IG14" s="1561"/>
      <c r="IH14" s="1561"/>
      <c r="II14" s="1561"/>
      <c r="IJ14" s="1561"/>
      <c r="IK14" s="1561"/>
      <c r="IL14" s="1562" t="s">
        <v>2738</v>
      </c>
      <c r="IM14" s="1561"/>
      <c r="IN14" s="1561"/>
      <c r="IO14" s="1561"/>
      <c r="IP14" s="1561"/>
      <c r="IQ14" s="1561"/>
      <c r="IR14" s="1561"/>
      <c r="IS14" s="1561"/>
      <c r="IT14" s="1561"/>
      <c r="IU14" s="1561"/>
      <c r="IV14" s="1561"/>
      <c r="IW14" s="1562" t="s">
        <v>2739</v>
      </c>
      <c r="IX14" s="1561"/>
      <c r="IY14" s="1561"/>
      <c r="IZ14" s="1561"/>
      <c r="JA14" s="1561"/>
      <c r="JB14" s="1561"/>
      <c r="JC14" s="1561"/>
      <c r="JD14" s="1561"/>
      <c r="JE14" s="1561"/>
      <c r="JF14" s="1561"/>
      <c r="JG14" s="1561"/>
      <c r="JH14" s="1561"/>
      <c r="JI14" s="1561"/>
      <c r="JJ14" s="1561"/>
      <c r="JK14" s="2423"/>
      <c r="JL14" s="2423"/>
      <c r="JM14" s="2423"/>
      <c r="JN14" s="2423"/>
      <c r="JO14" s="2423"/>
      <c r="JP14" s="2423"/>
      <c r="JQ14" s="2429"/>
      <c r="JR14" s="351"/>
      <c r="JS14" s="1470"/>
      <c r="JT14" s="450"/>
    </row>
    <row r="15" spans="1:280" ht="12.5" x14ac:dyDescent="0.25">
      <c r="A15" s="1367">
        <v>14</v>
      </c>
      <c r="B15" s="1434" t="str">
        <f t="shared" si="0"/>
        <v/>
      </c>
      <c r="C15" s="2533" t="s">
        <v>2740</v>
      </c>
      <c r="D15" s="1468" t="s">
        <v>2741</v>
      </c>
      <c r="E15" s="1381"/>
      <c r="F15" s="1381"/>
      <c r="G15" s="1381"/>
      <c r="H15" s="1381"/>
      <c r="I15" s="1381"/>
      <c r="J15" s="1381"/>
      <c r="K15" s="1381"/>
      <c r="L15" s="1381"/>
      <c r="M15" s="1381"/>
      <c r="N15" s="1381"/>
      <c r="O15" s="1381"/>
      <c r="P15" s="1381"/>
      <c r="Q15" s="1417">
        <v>1055</v>
      </c>
      <c r="R15" s="1381"/>
      <c r="S15" s="1381"/>
      <c r="T15" s="1381"/>
      <c r="U15" s="1381"/>
      <c r="V15" s="1381"/>
      <c r="W15" s="1381"/>
      <c r="X15" s="1381"/>
      <c r="Y15" s="1417">
        <v>6801</v>
      </c>
      <c r="Z15" s="1381"/>
      <c r="AA15" s="1381"/>
      <c r="AB15" s="1381"/>
      <c r="AC15" s="1381"/>
      <c r="AD15" s="1381"/>
      <c r="AE15" s="1381"/>
      <c r="AF15" s="1381"/>
      <c r="AG15" s="1381"/>
      <c r="AH15" s="1381"/>
      <c r="AI15" s="1381"/>
      <c r="AJ15" s="1381"/>
      <c r="AK15" s="1381"/>
      <c r="AL15" s="1381"/>
      <c r="AM15" s="1381"/>
      <c r="AN15" s="1381"/>
      <c r="AO15" s="1381"/>
      <c r="AP15" s="1381"/>
      <c r="AQ15" s="1381"/>
      <c r="AR15" s="1381"/>
      <c r="AS15" s="1381"/>
      <c r="AT15" s="1381"/>
      <c r="AU15" s="1381"/>
      <c r="AV15" s="1381"/>
      <c r="AW15" s="1381"/>
      <c r="AX15" s="1381"/>
      <c r="AY15" s="1381"/>
      <c r="AZ15" s="1381"/>
      <c r="BA15" s="1381"/>
      <c r="BB15" s="1381"/>
      <c r="BC15" s="1381"/>
      <c r="BD15" s="1381"/>
      <c r="BE15" s="1381"/>
      <c r="BF15" s="1381"/>
      <c r="BG15" s="1382">
        <v>0</v>
      </c>
      <c r="BH15" s="1381"/>
      <c r="BI15" s="1381"/>
      <c r="BJ15" s="1381"/>
      <c r="BK15" s="1381"/>
      <c r="BL15" s="1381"/>
      <c r="BM15" s="1381"/>
      <c r="BN15" s="1381"/>
      <c r="BO15" s="1381"/>
      <c r="BP15" s="1417">
        <v>0</v>
      </c>
      <c r="BQ15" s="1381"/>
      <c r="BR15" s="1381"/>
      <c r="BS15" s="1381"/>
      <c r="BT15" s="1381"/>
      <c r="BU15" s="1381"/>
      <c r="BV15" s="1381"/>
      <c r="BW15" s="1381"/>
      <c r="BX15" s="1381"/>
      <c r="BY15" s="1381"/>
      <c r="BZ15" s="1381"/>
      <c r="CA15" s="1381"/>
      <c r="CB15" s="1381"/>
      <c r="CC15" s="1381"/>
      <c r="CD15" s="1382"/>
      <c r="CE15" s="1417">
        <v>0</v>
      </c>
      <c r="CF15" s="1381"/>
      <c r="CG15" s="1381"/>
      <c r="CH15" s="1381"/>
      <c r="CI15" s="1381"/>
      <c r="CJ15" s="1381"/>
      <c r="CK15" s="1381"/>
      <c r="CL15" s="1381"/>
      <c r="CM15" s="1381"/>
      <c r="CN15" s="1381"/>
      <c r="CO15" s="1381"/>
      <c r="CP15" s="1381"/>
      <c r="CQ15" s="1381"/>
      <c r="CR15" s="1381"/>
      <c r="CS15" s="1381"/>
      <c r="CT15" s="1381"/>
      <c r="CU15" s="1381"/>
      <c r="CV15" s="1381"/>
      <c r="CW15" s="1381"/>
      <c r="CX15" s="1381"/>
      <c r="CY15" s="1381"/>
      <c r="CZ15" s="1381"/>
      <c r="DA15" s="1417">
        <v>10299</v>
      </c>
      <c r="DB15" s="1381"/>
      <c r="DC15" s="1381"/>
      <c r="DD15" s="1381"/>
      <c r="DE15" s="1381"/>
      <c r="DF15" s="1381"/>
      <c r="DG15" s="1381"/>
      <c r="DH15" s="1381"/>
      <c r="DI15" s="1381"/>
      <c r="DJ15" s="1381"/>
      <c r="DK15" s="1381"/>
      <c r="DL15" s="1381"/>
      <c r="DM15" s="1381"/>
      <c r="DN15" s="1381"/>
      <c r="DO15" s="1381"/>
      <c r="DP15" s="1381"/>
      <c r="DQ15" s="1381"/>
      <c r="DR15" s="1381"/>
      <c r="DS15" s="1381"/>
      <c r="DT15" s="1381"/>
      <c r="DU15" s="1381"/>
      <c r="DV15" s="1381"/>
      <c r="DW15" s="1381"/>
      <c r="DX15" s="1381"/>
      <c r="DY15" s="1381"/>
      <c r="DZ15" s="1381"/>
      <c r="EA15" s="1381"/>
      <c r="EB15" s="1381"/>
      <c r="EC15" s="1381"/>
      <c r="ED15" s="1381"/>
      <c r="EE15" s="1381"/>
      <c r="EF15" s="1381"/>
      <c r="EG15" s="1382"/>
      <c r="EH15" s="1417">
        <v>887</v>
      </c>
      <c r="EI15" s="1381"/>
      <c r="EJ15" s="1381"/>
      <c r="EK15" s="1381"/>
      <c r="EL15" s="1381"/>
      <c r="EM15" s="1381"/>
      <c r="EN15" s="1382"/>
      <c r="EO15" s="1381"/>
      <c r="EP15" s="1382"/>
      <c r="EQ15" s="1381"/>
      <c r="ER15" s="1381"/>
      <c r="ES15" s="1381"/>
      <c r="ET15" s="1417">
        <v>16993</v>
      </c>
      <c r="EU15" s="1381"/>
      <c r="EV15" s="1381"/>
      <c r="EW15" s="1381"/>
      <c r="EX15" s="1381"/>
      <c r="EY15" s="1381"/>
      <c r="EZ15" s="1381"/>
      <c r="FA15" s="1381"/>
      <c r="FB15" s="1381"/>
      <c r="FC15" s="1381"/>
      <c r="FD15" s="1381"/>
      <c r="FE15" s="1381"/>
      <c r="FF15" s="1381"/>
      <c r="FG15" s="1381"/>
      <c r="FH15" s="1381"/>
      <c r="FI15" s="1381"/>
      <c r="FJ15" s="1381"/>
      <c r="FK15" s="1381"/>
      <c r="FL15" s="1381"/>
      <c r="FM15" s="1382"/>
      <c r="FN15" s="1417">
        <v>0</v>
      </c>
      <c r="FO15" s="1417">
        <v>0</v>
      </c>
      <c r="FP15" s="1382"/>
      <c r="FQ15" s="1381"/>
      <c r="FR15" s="1381"/>
      <c r="FS15" s="1381"/>
      <c r="FT15" s="1381"/>
      <c r="FU15" s="1381"/>
      <c r="FV15" s="1381"/>
      <c r="FW15" s="1381"/>
      <c r="FX15" s="1381"/>
      <c r="FY15" s="1381"/>
      <c r="FZ15" s="1381"/>
      <c r="GA15" s="1381"/>
      <c r="GB15" s="1381"/>
      <c r="GC15" s="1381"/>
      <c r="GD15" s="1381"/>
      <c r="GE15" s="1381"/>
      <c r="GF15" s="1417">
        <v>1241</v>
      </c>
      <c r="GG15" s="1381"/>
      <c r="GH15" s="1381"/>
      <c r="GI15" s="1381"/>
      <c r="GJ15" s="1381"/>
      <c r="GK15" s="1381"/>
      <c r="GL15" s="1381"/>
      <c r="GM15" s="1381"/>
      <c r="GN15" s="1381"/>
      <c r="GO15" s="1381"/>
      <c r="GP15" s="1381"/>
      <c r="GQ15" s="1381"/>
      <c r="GR15" s="1381"/>
      <c r="GS15" s="1417">
        <v>400332</v>
      </c>
      <c r="GT15" s="1381"/>
      <c r="GU15" s="1381"/>
      <c r="GV15" s="1381"/>
      <c r="GW15" s="1381"/>
      <c r="GX15" s="1381"/>
      <c r="GY15" s="1381"/>
      <c r="GZ15" s="1381"/>
      <c r="HA15" s="1417">
        <v>0</v>
      </c>
      <c r="HB15" s="1381"/>
      <c r="HC15" s="1381"/>
      <c r="HD15" s="1381"/>
      <c r="HE15" s="1381"/>
      <c r="HF15" s="1381"/>
      <c r="HG15" s="1381"/>
      <c r="HH15" s="1381"/>
      <c r="HI15" s="1381"/>
      <c r="HJ15" s="1381"/>
      <c r="HK15" s="1381"/>
      <c r="HL15" s="1381"/>
      <c r="HM15" s="1381"/>
      <c r="HN15" s="1381"/>
      <c r="HO15" s="1381"/>
      <c r="HP15" s="1381"/>
      <c r="HQ15" s="1381"/>
      <c r="HR15" s="1381"/>
      <c r="HS15" s="1381"/>
      <c r="HT15" s="1381"/>
      <c r="HU15" s="1381"/>
      <c r="HV15" s="1381"/>
      <c r="HW15" s="1381"/>
      <c r="HX15" s="1381"/>
      <c r="HY15" s="1381"/>
      <c r="HZ15" s="1381"/>
      <c r="IA15" s="1381"/>
      <c r="IB15" s="1381"/>
      <c r="IC15" s="1381"/>
      <c r="ID15" s="1381"/>
      <c r="IE15" s="1381"/>
      <c r="IF15" s="1381"/>
      <c r="IG15" s="1381"/>
      <c r="IH15" s="1381"/>
      <c r="II15" s="1381"/>
      <c r="IJ15" s="1381"/>
      <c r="IK15" s="1381"/>
      <c r="IL15" s="1454">
        <v>0</v>
      </c>
      <c r="IM15" s="1381"/>
      <c r="IN15" s="1381"/>
      <c r="IO15" s="1381"/>
      <c r="IP15" s="1381"/>
      <c r="IQ15" s="1381"/>
      <c r="IR15" s="1381"/>
      <c r="IS15" s="1381"/>
      <c r="IT15" s="1381"/>
      <c r="IU15" s="1381"/>
      <c r="IV15" s="1381"/>
      <c r="IW15" s="1441">
        <v>606249</v>
      </c>
      <c r="IX15" s="1381"/>
      <c r="IY15" s="1381"/>
      <c r="IZ15" s="1381"/>
      <c r="JA15" s="1381"/>
      <c r="JB15" s="1381"/>
      <c r="JC15" s="1381"/>
      <c r="JD15" s="1381"/>
      <c r="JE15" s="1381"/>
      <c r="JF15" s="1381"/>
      <c r="JG15" s="1381"/>
      <c r="JH15" s="1381"/>
      <c r="JI15" s="1381"/>
      <c r="JJ15" s="1381"/>
      <c r="JK15" s="1414"/>
      <c r="JL15" s="1414"/>
      <c r="JM15" s="1414"/>
      <c r="JN15" s="1414"/>
      <c r="JO15" s="1414"/>
      <c r="JP15" s="1414"/>
      <c r="JQ15" s="1466"/>
      <c r="JR15" s="351"/>
      <c r="JS15" s="1470"/>
      <c r="JT15" s="450"/>
    </row>
    <row r="16" spans="1:280" ht="12.5" x14ac:dyDescent="0.25">
      <c r="A16" s="1367">
        <v>15</v>
      </c>
      <c r="B16" s="2422" t="str">
        <f t="shared" si="0"/>
        <v/>
      </c>
      <c r="C16" s="2533" t="s">
        <v>2742</v>
      </c>
      <c r="D16" s="1468" t="s">
        <v>2743</v>
      </c>
      <c r="E16" s="1561"/>
      <c r="F16" s="1561"/>
      <c r="G16" s="1561"/>
      <c r="H16" s="1561"/>
      <c r="I16" s="1561"/>
      <c r="J16" s="1561"/>
      <c r="K16" s="1561"/>
      <c r="L16" s="1561"/>
      <c r="M16" s="1561"/>
      <c r="N16" s="1561"/>
      <c r="O16" s="1561"/>
      <c r="P16" s="1561"/>
      <c r="Q16" s="1562">
        <v>50</v>
      </c>
      <c r="R16" s="1561"/>
      <c r="S16" s="1561"/>
      <c r="T16" s="1561"/>
      <c r="U16" s="1561"/>
      <c r="V16" s="1561"/>
      <c r="W16" s="1561"/>
      <c r="X16" s="1561"/>
      <c r="Y16" s="1562">
        <v>92</v>
      </c>
      <c r="Z16" s="1561"/>
      <c r="AA16" s="1561"/>
      <c r="AB16" s="1561"/>
      <c r="AC16" s="1561"/>
      <c r="AD16" s="1561"/>
      <c r="AE16" s="1561"/>
      <c r="AF16" s="1561"/>
      <c r="AG16" s="1561"/>
      <c r="AH16" s="1561"/>
      <c r="AI16" s="1561"/>
      <c r="AJ16" s="1561"/>
      <c r="AK16" s="1561"/>
      <c r="AL16" s="1561"/>
      <c r="AM16" s="1561"/>
      <c r="AN16" s="1561"/>
      <c r="AO16" s="1561"/>
      <c r="AP16" s="1561"/>
      <c r="AQ16" s="1561"/>
      <c r="AR16" s="1561"/>
      <c r="AS16" s="1561"/>
      <c r="AT16" s="1561"/>
      <c r="AU16" s="1561"/>
      <c r="AV16" s="1561"/>
      <c r="AW16" s="1561"/>
      <c r="AX16" s="1561"/>
      <c r="AY16" s="1561"/>
      <c r="AZ16" s="1561"/>
      <c r="BA16" s="1561"/>
      <c r="BB16" s="1561"/>
      <c r="BC16" s="1561"/>
      <c r="BD16" s="1561"/>
      <c r="BE16" s="1561"/>
      <c r="BF16" s="1561"/>
      <c r="BG16" s="1484">
        <v>63</v>
      </c>
      <c r="BH16" s="1561"/>
      <c r="BI16" s="1561"/>
      <c r="BJ16" s="1561"/>
      <c r="BK16" s="1561"/>
      <c r="BL16" s="1561"/>
      <c r="BM16" s="1561"/>
      <c r="BN16" s="1561"/>
      <c r="BO16" s="1561"/>
      <c r="BP16" s="1562">
        <v>100</v>
      </c>
      <c r="BQ16" s="1561"/>
      <c r="BR16" s="1561"/>
      <c r="BS16" s="1561"/>
      <c r="BT16" s="1561"/>
      <c r="BU16" s="1561"/>
      <c r="BV16" s="1561"/>
      <c r="BW16" s="1561"/>
      <c r="BX16" s="1561"/>
      <c r="BY16" s="1561"/>
      <c r="BZ16" s="1561"/>
      <c r="CA16" s="1561"/>
      <c r="CB16" s="1561"/>
      <c r="CC16" s="1561"/>
      <c r="CD16" s="1562"/>
      <c r="CE16" s="1562">
        <v>68</v>
      </c>
      <c r="CF16" s="1561"/>
      <c r="CG16" s="1561"/>
      <c r="CH16" s="1561"/>
      <c r="CI16" s="1561"/>
      <c r="CJ16" s="1561"/>
      <c r="CK16" s="1561"/>
      <c r="CL16" s="1561"/>
      <c r="CM16" s="1561"/>
      <c r="CN16" s="1561"/>
      <c r="CO16" s="1561"/>
      <c r="CP16" s="1561"/>
      <c r="CQ16" s="1561"/>
      <c r="CR16" s="1561"/>
      <c r="CS16" s="1561"/>
      <c r="CT16" s="1561"/>
      <c r="CU16" s="1561"/>
      <c r="CV16" s="1561"/>
      <c r="CW16" s="1561"/>
      <c r="CX16" s="1561"/>
      <c r="CY16" s="1561"/>
      <c r="CZ16" s="1561"/>
      <c r="DA16" s="1562">
        <v>77</v>
      </c>
      <c r="DB16" s="1561"/>
      <c r="DC16" s="1561"/>
      <c r="DD16" s="1561"/>
      <c r="DE16" s="1561"/>
      <c r="DF16" s="1561"/>
      <c r="DG16" s="1561"/>
      <c r="DH16" s="1561"/>
      <c r="DI16" s="1561"/>
      <c r="DJ16" s="1561"/>
      <c r="DK16" s="1561"/>
      <c r="DL16" s="1561"/>
      <c r="DM16" s="1561"/>
      <c r="DN16" s="1561"/>
      <c r="DO16" s="1561"/>
      <c r="DP16" s="1561"/>
      <c r="DQ16" s="1561"/>
      <c r="DR16" s="1561"/>
      <c r="DS16" s="1561"/>
      <c r="DT16" s="1561"/>
      <c r="DU16" s="1561"/>
      <c r="DV16" s="1561"/>
      <c r="DW16" s="1561"/>
      <c r="DX16" s="1561"/>
      <c r="DY16" s="1561"/>
      <c r="DZ16" s="1561"/>
      <c r="EA16" s="1561"/>
      <c r="EB16" s="1561"/>
      <c r="EC16" s="1561"/>
      <c r="ED16" s="1561"/>
      <c r="EE16" s="1561"/>
      <c r="EF16" s="1561"/>
      <c r="EG16" s="1562"/>
      <c r="EH16" s="1562">
        <v>31</v>
      </c>
      <c r="EI16" s="1561"/>
      <c r="EJ16" s="1561"/>
      <c r="EK16" s="1561"/>
      <c r="EL16" s="1561"/>
      <c r="EM16" s="1561"/>
      <c r="EN16" s="1562"/>
      <c r="EO16" s="1561"/>
      <c r="EP16" s="1562"/>
      <c r="EQ16" s="1561"/>
      <c r="ER16" s="1561"/>
      <c r="ES16" s="1561"/>
      <c r="ET16" s="1562">
        <v>62</v>
      </c>
      <c r="EU16" s="1561"/>
      <c r="EV16" s="1561"/>
      <c r="EW16" s="1561"/>
      <c r="EX16" s="1561"/>
      <c r="EY16" s="1561"/>
      <c r="EZ16" s="1561"/>
      <c r="FA16" s="1561"/>
      <c r="FB16" s="1561"/>
      <c r="FC16" s="1561"/>
      <c r="FD16" s="1561"/>
      <c r="FE16" s="1561"/>
      <c r="FF16" s="1561"/>
      <c r="FG16" s="1561"/>
      <c r="FH16" s="1561"/>
      <c r="FI16" s="1561"/>
      <c r="FJ16" s="1561"/>
      <c r="FK16" s="1561"/>
      <c r="FL16" s="1561"/>
      <c r="FM16" s="1562"/>
      <c r="FN16" s="1562">
        <v>31</v>
      </c>
      <c r="FO16" s="1562">
        <v>54</v>
      </c>
      <c r="FP16" s="1562"/>
      <c r="FQ16" s="1561"/>
      <c r="FR16" s="1561"/>
      <c r="FS16" s="1561"/>
      <c r="FT16" s="1561"/>
      <c r="FU16" s="1561"/>
      <c r="FV16" s="1561"/>
      <c r="FW16" s="1561"/>
      <c r="FX16" s="1561"/>
      <c r="FY16" s="1561"/>
      <c r="FZ16" s="1561"/>
      <c r="GA16" s="1561"/>
      <c r="GB16" s="1561"/>
      <c r="GC16" s="1561"/>
      <c r="GD16" s="1561"/>
      <c r="GE16" s="1561"/>
      <c r="GF16" s="1562">
        <v>72</v>
      </c>
      <c r="GG16" s="1561"/>
      <c r="GH16" s="1561"/>
      <c r="GI16" s="1561"/>
      <c r="GJ16" s="1561"/>
      <c r="GK16" s="1561"/>
      <c r="GL16" s="1561"/>
      <c r="GM16" s="1561"/>
      <c r="GN16" s="1561"/>
      <c r="GO16" s="1561"/>
      <c r="GP16" s="1561"/>
      <c r="GQ16" s="1561"/>
      <c r="GR16" s="1561"/>
      <c r="GS16" s="1562">
        <v>28</v>
      </c>
      <c r="GT16" s="1561"/>
      <c r="GU16" s="1561"/>
      <c r="GV16" s="1561"/>
      <c r="GW16" s="1561"/>
      <c r="GX16" s="1561"/>
      <c r="GY16" s="1561"/>
      <c r="GZ16" s="1561"/>
      <c r="HA16" s="1562">
        <v>99</v>
      </c>
      <c r="HB16" s="1561"/>
      <c r="HC16" s="1561"/>
      <c r="HD16" s="1561"/>
      <c r="HE16" s="1561"/>
      <c r="HF16" s="1561"/>
      <c r="HG16" s="1561"/>
      <c r="HH16" s="1561"/>
      <c r="HI16" s="1561"/>
      <c r="HJ16" s="1561"/>
      <c r="HK16" s="1561"/>
      <c r="HL16" s="1561"/>
      <c r="HM16" s="1561"/>
      <c r="HN16" s="1561"/>
      <c r="HO16" s="1561"/>
      <c r="HP16" s="1561"/>
      <c r="HQ16" s="1561"/>
      <c r="HR16" s="1561"/>
      <c r="HS16" s="1561"/>
      <c r="HT16" s="1561"/>
      <c r="HU16" s="1561"/>
      <c r="HV16" s="1561"/>
      <c r="HW16" s="1561"/>
      <c r="HX16" s="1561"/>
      <c r="HY16" s="1561"/>
      <c r="HZ16" s="1561"/>
      <c r="IA16" s="1561"/>
      <c r="IB16" s="1561"/>
      <c r="IC16" s="1561"/>
      <c r="ID16" s="1561"/>
      <c r="IE16" s="1561"/>
      <c r="IF16" s="1561"/>
      <c r="IG16" s="1561"/>
      <c r="IH16" s="1561"/>
      <c r="II16" s="1561"/>
      <c r="IJ16" s="1561"/>
      <c r="IK16" s="1561"/>
      <c r="IL16" s="1562">
        <v>0</v>
      </c>
      <c r="IM16" s="1561"/>
      <c r="IN16" s="1561"/>
      <c r="IO16" s="1561"/>
      <c r="IP16" s="1561"/>
      <c r="IQ16" s="1561"/>
      <c r="IR16" s="1561"/>
      <c r="IS16" s="1561"/>
      <c r="IT16" s="1561"/>
      <c r="IU16" s="1561"/>
      <c r="IV16" s="1561"/>
      <c r="IW16" s="1562">
        <v>38</v>
      </c>
      <c r="IX16" s="1561"/>
      <c r="IY16" s="1561"/>
      <c r="IZ16" s="1561"/>
      <c r="JA16" s="1561"/>
      <c r="JB16" s="1561"/>
      <c r="JC16" s="1561"/>
      <c r="JD16" s="1561"/>
      <c r="JE16" s="1561"/>
      <c r="JF16" s="1561"/>
      <c r="JG16" s="1561"/>
      <c r="JH16" s="1561"/>
      <c r="JI16" s="1561"/>
      <c r="JJ16" s="1561"/>
      <c r="JK16" s="2423"/>
      <c r="JL16" s="2423"/>
      <c r="JM16" s="2423"/>
      <c r="JN16" s="2423"/>
      <c r="JO16" s="2423"/>
      <c r="JP16" s="2423"/>
      <c r="JQ16" s="2429"/>
      <c r="JR16" s="351"/>
      <c r="JS16" s="1470"/>
      <c r="JT16" s="450"/>
    </row>
    <row r="17" spans="1:280" ht="12.5" x14ac:dyDescent="0.25">
      <c r="A17" s="1367">
        <v>16</v>
      </c>
      <c r="B17" s="1434" t="str">
        <f t="shared" si="0"/>
        <v/>
      </c>
      <c r="C17" s="1435" t="s">
        <v>2744</v>
      </c>
      <c r="D17" s="1436" t="s">
        <v>2745</v>
      </c>
      <c r="E17" s="1381"/>
      <c r="F17" s="1381"/>
      <c r="G17" s="1381"/>
      <c r="H17" s="1381"/>
      <c r="I17" s="1381"/>
      <c r="J17" s="1381"/>
      <c r="K17" s="1381"/>
      <c r="L17" s="1381"/>
      <c r="M17" s="1381"/>
      <c r="N17" s="1381"/>
      <c r="O17" s="1381"/>
      <c r="P17" s="1381"/>
      <c r="Q17" s="1381"/>
      <c r="R17" s="1381"/>
      <c r="S17" s="1381"/>
      <c r="T17" s="1381"/>
      <c r="U17" s="1381"/>
      <c r="V17" s="1381"/>
      <c r="W17" s="1381"/>
      <c r="X17" s="1381"/>
      <c r="Y17" s="1381"/>
      <c r="Z17" s="1381"/>
      <c r="AA17" s="1381"/>
      <c r="AB17" s="1381"/>
      <c r="AC17" s="1381"/>
      <c r="AD17" s="1381"/>
      <c r="AE17" s="1381"/>
      <c r="AF17" s="1381"/>
      <c r="AG17" s="1381"/>
      <c r="AH17" s="1381"/>
      <c r="AI17" s="1381"/>
      <c r="AJ17" s="1381"/>
      <c r="AK17" s="1457"/>
      <c r="AL17" s="1381"/>
      <c r="AM17" s="1381"/>
      <c r="AN17" s="1381"/>
      <c r="AO17" s="1381"/>
      <c r="AP17" s="1457"/>
      <c r="AQ17" s="1457"/>
      <c r="AR17" s="1381"/>
      <c r="AS17" s="1457"/>
      <c r="AT17" s="1381"/>
      <c r="AU17" s="1381"/>
      <c r="AV17" s="1381"/>
      <c r="AW17" s="1457"/>
      <c r="AX17" s="1381"/>
      <c r="AY17" s="1381"/>
      <c r="AZ17" s="1381"/>
      <c r="BA17" s="1457"/>
      <c r="BB17" s="1381"/>
      <c r="BC17" s="1381" t="s">
        <v>1707</v>
      </c>
      <c r="BD17" s="1457"/>
      <c r="BE17" s="1457"/>
      <c r="BF17" s="1457"/>
      <c r="BH17" s="1457"/>
      <c r="BI17" s="1457"/>
      <c r="BJ17" s="1381"/>
      <c r="BK17" s="1381"/>
      <c r="BL17" s="1381"/>
      <c r="BM17" s="1457"/>
      <c r="BN17" s="1381"/>
      <c r="BO17" s="1457"/>
      <c r="BP17" s="1381"/>
      <c r="BQ17" s="1381"/>
      <c r="BR17" s="1381"/>
      <c r="BS17" s="1381"/>
      <c r="BT17" s="1381"/>
      <c r="BU17" s="1381"/>
      <c r="BV17" s="1381"/>
      <c r="BW17" s="1381"/>
      <c r="BX17" s="1381"/>
      <c r="BY17" s="1381"/>
      <c r="BZ17" s="1381"/>
      <c r="CA17" s="1381"/>
      <c r="CB17" s="1381"/>
      <c r="CC17" s="1381"/>
      <c r="CD17" s="1381"/>
      <c r="CE17" s="1381"/>
      <c r="CF17" s="1457"/>
      <c r="CG17" s="1381"/>
      <c r="CH17" s="1457"/>
      <c r="CI17" s="1381"/>
      <c r="CJ17" s="1381"/>
      <c r="CK17" s="1381"/>
      <c r="CL17" s="1381"/>
      <c r="CM17" s="1381"/>
      <c r="CN17" s="1457"/>
      <c r="CO17" s="1457"/>
      <c r="CP17" s="1381"/>
      <c r="CQ17" s="1381"/>
      <c r="CR17" s="1381"/>
      <c r="CS17" s="1381"/>
      <c r="CT17" s="1381"/>
      <c r="CU17" s="1381"/>
      <c r="CV17" s="1457"/>
      <c r="CW17" s="1381"/>
      <c r="CX17" s="1381"/>
      <c r="CY17" s="1381"/>
      <c r="CZ17" s="1381"/>
      <c r="DA17" s="1381"/>
      <c r="DB17" s="1457"/>
      <c r="DC17" s="1381"/>
      <c r="DD17" s="1381"/>
      <c r="DE17" s="1457"/>
      <c r="DF17" s="1457"/>
      <c r="DG17" s="1381"/>
      <c r="DH17" s="1381"/>
      <c r="DI17" s="1381"/>
      <c r="DJ17" s="1381"/>
      <c r="DK17" s="1457"/>
      <c r="DL17" s="1381"/>
      <c r="DM17" s="1381"/>
      <c r="DN17" s="1381"/>
      <c r="DO17" s="1381"/>
      <c r="DP17" s="1381"/>
      <c r="DQ17" s="1381"/>
      <c r="DR17" s="1381"/>
      <c r="DS17" s="1381"/>
      <c r="DT17" s="1381"/>
      <c r="DU17" s="1381"/>
      <c r="DV17" s="1457"/>
      <c r="DW17" s="1381"/>
      <c r="DX17" s="1381"/>
      <c r="DY17" s="1381"/>
      <c r="DZ17" s="1381"/>
      <c r="EA17" s="1381"/>
      <c r="EB17" s="1381"/>
      <c r="EC17" s="1381"/>
      <c r="ED17" s="1457"/>
      <c r="EE17" s="1457"/>
      <c r="EF17" s="1381"/>
      <c r="EG17" s="1381"/>
      <c r="EH17" s="1381"/>
      <c r="EI17" s="1381"/>
      <c r="EJ17" s="1381"/>
      <c r="EK17" s="1381"/>
      <c r="EL17" s="1381"/>
      <c r="EM17" s="1381"/>
      <c r="EN17" s="1381"/>
      <c r="EO17" s="1381"/>
      <c r="EP17" s="1381"/>
      <c r="EQ17" s="1381"/>
      <c r="ER17" s="1381"/>
      <c r="ES17" s="1381"/>
      <c r="ET17" s="1381"/>
      <c r="EU17" s="1381"/>
      <c r="EV17" s="1381"/>
      <c r="EW17" s="1381"/>
      <c r="EX17" s="1381"/>
      <c r="EY17" s="1381"/>
      <c r="EZ17" s="1457"/>
      <c r="FA17" s="1381"/>
      <c r="FB17" s="1381"/>
      <c r="FC17" s="1381"/>
      <c r="FD17" s="1381"/>
      <c r="FE17" s="1381"/>
      <c r="FF17" s="1381"/>
      <c r="FG17" s="1381"/>
      <c r="FH17" s="1381"/>
      <c r="FI17" s="1381"/>
      <c r="FJ17" s="1381"/>
      <c r="FK17" s="1381"/>
      <c r="FL17" s="1381"/>
      <c r="FM17" s="1381"/>
      <c r="FN17" s="1381"/>
      <c r="FO17" s="1381"/>
      <c r="FP17" s="1381"/>
      <c r="FQ17" s="1457"/>
      <c r="FR17" s="1381"/>
      <c r="FS17" s="1381"/>
      <c r="FT17" s="1381"/>
      <c r="FU17" s="1381"/>
      <c r="FV17" s="1381"/>
      <c r="FW17" s="1457"/>
      <c r="FX17" s="1381"/>
      <c r="FY17" s="1381"/>
      <c r="FZ17" s="1381"/>
      <c r="GA17" s="1381"/>
      <c r="GB17" s="1381"/>
      <c r="GC17" s="1457"/>
      <c r="GD17" s="1457"/>
      <c r="GE17" s="1381"/>
      <c r="GF17" s="1381"/>
      <c r="GG17" s="1381"/>
      <c r="GH17" s="1381"/>
      <c r="GI17" s="1381"/>
      <c r="GJ17" s="1381"/>
      <c r="GK17" s="1457"/>
      <c r="GL17" s="1381"/>
      <c r="GM17" s="1381"/>
      <c r="GN17" s="1381"/>
      <c r="GO17" s="1457"/>
      <c r="GP17" s="1381"/>
      <c r="GQ17" s="1457"/>
      <c r="GR17" s="1381"/>
      <c r="GS17" s="1381"/>
      <c r="GT17" s="1381"/>
      <c r="GU17" s="1381"/>
      <c r="GV17" s="1381"/>
      <c r="GW17" s="1457"/>
      <c r="GX17" s="1381"/>
      <c r="GY17" s="1381"/>
      <c r="GZ17" s="1381"/>
      <c r="HA17" s="1381"/>
      <c r="HB17" s="1381"/>
      <c r="HC17" s="1381"/>
      <c r="HD17" s="1381"/>
      <c r="HE17" s="1381"/>
      <c r="HF17" s="1381"/>
      <c r="HG17" s="1381"/>
      <c r="HH17" s="1381"/>
      <c r="HI17" s="1457"/>
      <c r="HJ17" s="1381"/>
      <c r="HK17" s="1381"/>
      <c r="HL17" s="1381"/>
      <c r="HM17" s="1381"/>
      <c r="HN17" s="1381"/>
      <c r="HO17" s="1381"/>
      <c r="HP17" s="1381"/>
      <c r="HQ17" s="1381"/>
      <c r="HR17" s="1381"/>
      <c r="HS17" s="1381"/>
      <c r="HT17" s="1381"/>
      <c r="HU17" s="1381"/>
      <c r="HV17" s="1381"/>
      <c r="HW17" s="1381"/>
      <c r="HX17" s="1381"/>
      <c r="HY17" s="1381"/>
      <c r="HZ17" s="1381"/>
      <c r="IA17" s="1381"/>
      <c r="IB17" s="1381"/>
      <c r="IC17" s="1381"/>
      <c r="ID17" s="1381"/>
      <c r="IE17" s="1381"/>
      <c r="IF17" s="1381"/>
      <c r="IG17" s="1381"/>
      <c r="IH17" s="1381"/>
      <c r="II17" s="1381"/>
      <c r="IJ17" s="1381"/>
      <c r="IK17" s="1381"/>
      <c r="IL17" s="1381"/>
      <c r="IM17" s="1381"/>
      <c r="IN17" s="1381"/>
      <c r="IO17" s="1381"/>
      <c r="IP17" s="1381"/>
      <c r="IQ17" s="1381"/>
      <c r="IR17" s="1381"/>
      <c r="IS17" s="1381"/>
      <c r="IT17" s="1381"/>
      <c r="IU17" s="1381"/>
      <c r="IV17" s="1381"/>
      <c r="IW17" s="1381"/>
      <c r="IX17" s="1381"/>
      <c r="IY17" s="1381"/>
      <c r="IZ17" s="1381"/>
      <c r="JA17" s="1381"/>
      <c r="JB17" s="1381"/>
      <c r="JC17" s="1381"/>
      <c r="JD17" s="1381"/>
      <c r="JE17" s="1381"/>
      <c r="JF17" s="1381"/>
      <c r="JG17" s="1381"/>
      <c r="JH17" s="1381"/>
      <c r="JI17" s="1381"/>
      <c r="JJ17" s="1381"/>
      <c r="JK17" s="1414"/>
      <c r="JL17" s="1414"/>
      <c r="JM17" s="1414"/>
      <c r="JN17" s="1414"/>
      <c r="JO17" s="1414"/>
      <c r="JP17" s="1414"/>
      <c r="JQ17" s="1466"/>
      <c r="JR17" s="351"/>
      <c r="JS17" s="1470" t="s">
        <v>2746</v>
      </c>
      <c r="JT17" s="450" t="s">
        <v>2319</v>
      </c>
    </row>
    <row r="18" spans="1:280" ht="12.5" x14ac:dyDescent="0.25">
      <c r="A18" s="1367">
        <v>17</v>
      </c>
      <c r="B18" s="1434" t="str">
        <f t="shared" si="0"/>
        <v/>
      </c>
      <c r="C18" s="1435" t="s">
        <v>2747</v>
      </c>
      <c r="D18" s="1436" t="s">
        <v>2748</v>
      </c>
      <c r="E18" s="1452"/>
      <c r="F18" s="1452"/>
      <c r="G18" s="1452"/>
      <c r="H18" s="1453"/>
      <c r="I18" s="1453"/>
      <c r="J18" s="1453"/>
      <c r="K18" s="1452"/>
      <c r="L18" s="1453"/>
      <c r="M18" s="1453"/>
      <c r="N18" s="1453"/>
      <c r="O18" s="1452"/>
      <c r="P18" s="1453"/>
      <c r="Q18" s="1452"/>
      <c r="R18" s="1452"/>
      <c r="S18" s="1453"/>
      <c r="T18" s="1453"/>
      <c r="U18" s="1453"/>
      <c r="V18" s="1452"/>
      <c r="W18" s="1452"/>
      <c r="X18" s="1452">
        <v>1000</v>
      </c>
      <c r="Y18" s="1452">
        <v>6325</v>
      </c>
      <c r="Z18" s="1453"/>
      <c r="AA18" s="1452"/>
      <c r="AB18" s="1453"/>
      <c r="AC18" s="1452"/>
      <c r="AD18" s="1452"/>
      <c r="AE18" s="1452"/>
      <c r="AF18" s="1452"/>
      <c r="AG18" s="1452"/>
      <c r="AH18" s="1452"/>
      <c r="AI18" s="1452"/>
      <c r="AJ18" s="1453"/>
      <c r="AK18" s="1452"/>
      <c r="AL18" s="1453">
        <v>7950</v>
      </c>
      <c r="AM18" s="1453"/>
      <c r="AN18" s="1453"/>
      <c r="AO18" s="1453"/>
      <c r="AP18" s="1452"/>
      <c r="AQ18" s="1452"/>
      <c r="AR18" s="1453">
        <v>4798</v>
      </c>
      <c r="AS18" s="1452"/>
      <c r="AT18" s="1452"/>
      <c r="AU18" s="1452"/>
      <c r="AV18" s="1453"/>
      <c r="AW18" s="1452"/>
      <c r="AX18" s="1452"/>
      <c r="AY18" s="1452"/>
      <c r="AZ18" s="1452"/>
      <c r="BA18" s="1452">
        <v>2250</v>
      </c>
      <c r="BB18" s="1452"/>
      <c r="BC18" s="1452"/>
      <c r="BD18" s="1452"/>
      <c r="BE18" s="1452"/>
      <c r="BF18" s="1452">
        <v>2250</v>
      </c>
      <c r="BG18" s="1452"/>
      <c r="BH18" s="1452"/>
      <c r="BI18" s="1452"/>
      <c r="BJ18" s="1452"/>
      <c r="BK18" s="1452"/>
      <c r="BL18" s="1452"/>
      <c r="BM18" s="1452">
        <v>2250</v>
      </c>
      <c r="BN18" s="1452"/>
      <c r="BO18" s="1452"/>
      <c r="BP18" s="1452"/>
      <c r="BQ18" s="1452"/>
      <c r="BR18" s="1452"/>
      <c r="BS18" s="1452"/>
      <c r="BT18" s="1452"/>
      <c r="BU18" s="1452"/>
      <c r="BV18" s="1452"/>
      <c r="BW18" s="1452"/>
      <c r="BX18" s="1452"/>
      <c r="BY18" s="1452"/>
      <c r="BZ18" s="1452"/>
      <c r="CA18" s="1452"/>
      <c r="CB18" s="1452"/>
      <c r="CC18" s="1452"/>
      <c r="CD18" s="1452"/>
      <c r="CE18" s="1453">
        <v>3600</v>
      </c>
      <c r="CF18" s="1452"/>
      <c r="CG18" s="1452"/>
      <c r="CH18" s="1452"/>
      <c r="CI18" s="1452"/>
      <c r="CJ18" s="1452"/>
      <c r="CK18" s="1452"/>
      <c r="CL18" s="1452"/>
      <c r="CM18" s="1452"/>
      <c r="CN18" s="1452"/>
      <c r="CO18" s="1452"/>
      <c r="CP18" s="1452"/>
      <c r="CQ18" s="1452"/>
      <c r="CR18" s="1452"/>
      <c r="CS18" s="1452"/>
      <c r="CT18" s="1452"/>
      <c r="CU18" s="1452"/>
      <c r="CV18" s="1452">
        <v>2250</v>
      </c>
      <c r="CW18" s="1452"/>
      <c r="CX18" s="1452"/>
      <c r="CY18" s="1452"/>
      <c r="CZ18" s="1452"/>
      <c r="DA18" s="1454">
        <v>1195</v>
      </c>
      <c r="DB18" s="1452"/>
      <c r="DC18" s="1452"/>
      <c r="DD18" s="1452"/>
      <c r="DE18" s="1452"/>
      <c r="DF18" s="1452"/>
      <c r="DG18" s="1452"/>
      <c r="DH18" s="1452"/>
      <c r="DI18" s="1452"/>
      <c r="DJ18" s="1452"/>
      <c r="DK18" s="1452">
        <v>2250</v>
      </c>
      <c r="DL18" s="1452"/>
      <c r="DM18" s="1452"/>
      <c r="DN18" s="1452"/>
      <c r="DO18" s="1452"/>
      <c r="DP18" s="1452"/>
      <c r="DQ18" s="1452"/>
      <c r="DR18" s="1452"/>
      <c r="DS18" s="1452"/>
      <c r="DT18" s="1452"/>
      <c r="DU18" s="1452"/>
      <c r="DV18" s="1452"/>
      <c r="DW18" s="1452"/>
      <c r="DX18" s="1452"/>
      <c r="DY18" s="1452"/>
      <c r="DZ18" s="1452"/>
      <c r="EA18" s="1452"/>
      <c r="EB18" s="1452"/>
      <c r="EC18" s="1452"/>
      <c r="ED18" s="1452"/>
      <c r="EE18" s="1452"/>
      <c r="EF18" s="1452"/>
      <c r="EG18" s="1453"/>
      <c r="EH18" s="1453">
        <v>3600</v>
      </c>
      <c r="EI18" s="1452"/>
      <c r="EJ18" s="1452"/>
      <c r="EK18" s="1452"/>
      <c r="EL18" s="1452">
        <v>12689</v>
      </c>
      <c r="EM18" s="1452"/>
      <c r="EN18" s="1452"/>
      <c r="EO18" s="1452"/>
      <c r="EP18" s="1452"/>
      <c r="EQ18" s="1452"/>
      <c r="ER18" s="1452"/>
      <c r="ES18" s="1452"/>
      <c r="ET18" s="1452"/>
      <c r="EU18" s="1452"/>
      <c r="EV18" s="1452"/>
      <c r="EW18" s="1452"/>
      <c r="EX18" s="1452"/>
      <c r="EY18" s="1452"/>
      <c r="EZ18" s="1452"/>
      <c r="FA18" s="1452"/>
      <c r="FB18" s="1452"/>
      <c r="FC18" s="1454"/>
      <c r="FD18" s="1452">
        <v>9000</v>
      </c>
      <c r="FE18" s="1452"/>
      <c r="FF18" s="1452"/>
      <c r="FG18" s="1452"/>
      <c r="FH18" s="1452"/>
      <c r="FI18" s="1452"/>
      <c r="FJ18" s="1452"/>
      <c r="FK18" s="1452"/>
      <c r="FL18" s="1452"/>
      <c r="FM18" s="1452"/>
      <c r="FN18" s="1453">
        <v>3600</v>
      </c>
      <c r="FO18" s="1453">
        <v>3600</v>
      </c>
      <c r="FP18" s="1469"/>
      <c r="FQ18" s="1452"/>
      <c r="FR18" s="1452"/>
      <c r="FS18" s="1452"/>
      <c r="FT18" s="1452"/>
      <c r="FU18" s="1452"/>
      <c r="FV18" s="1452"/>
      <c r="FW18" s="1452"/>
      <c r="FX18" s="1452"/>
      <c r="FY18" s="1452"/>
      <c r="FZ18" s="1452"/>
      <c r="GA18" s="1452"/>
      <c r="GB18" s="1452"/>
      <c r="GC18" s="1452"/>
      <c r="GD18" s="1452"/>
      <c r="GE18" s="1452"/>
      <c r="GF18" s="1454">
        <v>1487</v>
      </c>
      <c r="GG18" s="1452"/>
      <c r="GH18" s="1452"/>
      <c r="GI18" s="1452"/>
      <c r="GJ18" s="1452"/>
      <c r="GK18" s="1452"/>
      <c r="GL18" s="1452"/>
      <c r="GM18" s="1452"/>
      <c r="GN18" s="1452"/>
      <c r="GO18" s="1452"/>
      <c r="GP18" s="1452">
        <v>5360</v>
      </c>
      <c r="GQ18" s="1452"/>
      <c r="GR18" s="1452"/>
      <c r="GS18" s="1453">
        <v>3600</v>
      </c>
      <c r="GT18" s="1452"/>
      <c r="GU18" s="1452"/>
      <c r="GV18" s="1452"/>
      <c r="GW18" s="1452"/>
      <c r="GX18" s="1452"/>
      <c r="GY18" s="1452"/>
      <c r="GZ18" s="1452"/>
      <c r="HA18" s="1453">
        <v>3600</v>
      </c>
      <c r="HB18" s="1452">
        <v>9000</v>
      </c>
      <c r="HC18" s="1452"/>
      <c r="HD18" s="1452"/>
      <c r="HE18" s="1452"/>
      <c r="HF18" s="1452"/>
      <c r="HG18" s="1452"/>
      <c r="HH18" s="1452"/>
      <c r="HI18" s="1452"/>
      <c r="HJ18" s="1452"/>
      <c r="HK18" s="1452"/>
      <c r="HL18" s="1452"/>
      <c r="HM18" s="1452"/>
      <c r="HN18" s="1452"/>
      <c r="HO18" s="1452"/>
      <c r="HP18" s="1452"/>
      <c r="HQ18" s="1452"/>
      <c r="HR18" s="1452"/>
      <c r="HS18" s="1452"/>
      <c r="HT18" s="1452"/>
      <c r="HU18" s="1452"/>
      <c r="HV18" s="1452"/>
      <c r="HW18" s="1452"/>
      <c r="HX18" s="1454">
        <v>94</v>
      </c>
      <c r="HY18" s="1452"/>
      <c r="HZ18" s="1452"/>
      <c r="IA18" s="1452"/>
      <c r="IB18" s="1452"/>
      <c r="IC18" s="1452"/>
      <c r="ID18" s="1452"/>
      <c r="IE18" s="1452"/>
      <c r="IF18" s="1452"/>
      <c r="IG18" s="1452"/>
      <c r="IH18" s="1452"/>
      <c r="II18" s="1452"/>
      <c r="IJ18" s="1452"/>
      <c r="IK18" s="1452"/>
      <c r="IL18" s="1452"/>
      <c r="IM18" s="1452"/>
      <c r="IN18" s="1452"/>
      <c r="IO18" s="1452"/>
      <c r="IP18" s="1452"/>
      <c r="IQ18" s="1452"/>
      <c r="IR18" s="1452"/>
      <c r="IS18" s="1452"/>
      <c r="IT18" s="1452"/>
      <c r="IU18" s="1452"/>
      <c r="IV18" s="1452"/>
      <c r="IW18" s="1452"/>
      <c r="IX18" s="1452"/>
      <c r="IY18" s="1453"/>
      <c r="IZ18" s="1452"/>
      <c r="JA18" s="1452"/>
      <c r="JB18" s="1452"/>
      <c r="JC18" s="1452"/>
      <c r="JD18" s="1452"/>
      <c r="JE18" s="1452"/>
      <c r="JF18" s="1452"/>
      <c r="JG18" s="1452"/>
      <c r="JH18" s="1452"/>
      <c r="JI18" s="1452"/>
      <c r="JJ18" s="1452"/>
      <c r="JK18" s="1455"/>
      <c r="JL18" s="1455"/>
      <c r="JM18" s="1455"/>
      <c r="JN18" s="1455"/>
      <c r="JO18" s="1455"/>
      <c r="JP18" s="1455"/>
      <c r="JQ18" s="1477"/>
      <c r="JR18" s="351"/>
      <c r="JS18" s="1470"/>
      <c r="JT18" s="450" t="s">
        <v>2242</v>
      </c>
    </row>
    <row r="19" spans="1:280" ht="12.5" x14ac:dyDescent="0.25">
      <c r="A19" s="1367">
        <v>18</v>
      </c>
      <c r="B19" s="1434" t="str">
        <f t="shared" si="0"/>
        <v/>
      </c>
      <c r="C19" s="1435" t="s">
        <v>2749</v>
      </c>
      <c r="D19" s="1436" t="s">
        <v>2750</v>
      </c>
      <c r="E19" s="1452"/>
      <c r="F19" s="1452"/>
      <c r="G19" s="1452"/>
      <c r="H19" s="1453"/>
      <c r="I19" s="1453"/>
      <c r="J19" s="1453"/>
      <c r="K19" s="1452"/>
      <c r="L19" s="1453"/>
      <c r="M19" s="1453"/>
      <c r="N19" s="1453"/>
      <c r="O19" s="1452"/>
      <c r="P19" s="1453"/>
      <c r="Q19" s="1452"/>
      <c r="R19" s="1452"/>
      <c r="S19" s="1453"/>
      <c r="T19" s="1453"/>
      <c r="U19" s="1453"/>
      <c r="V19" s="1452"/>
      <c r="W19" s="1452"/>
      <c r="X19" s="1452"/>
      <c r="Y19" s="1452"/>
      <c r="Z19" s="1453"/>
      <c r="AA19" s="1452"/>
      <c r="AB19" s="1453"/>
      <c r="AC19" s="1452"/>
      <c r="AD19" s="1452"/>
      <c r="AE19" s="1452"/>
      <c r="AF19" s="1452"/>
      <c r="AG19" s="1452"/>
      <c r="AH19" s="1452"/>
      <c r="AI19" s="1452"/>
      <c r="AJ19" s="1453"/>
      <c r="AK19" s="1452"/>
      <c r="AL19" s="1453">
        <v>3000</v>
      </c>
      <c r="AM19" s="1453"/>
      <c r="AN19" s="1453"/>
      <c r="AO19" s="1453"/>
      <c r="AP19" s="1452"/>
      <c r="AQ19" s="1452"/>
      <c r="AR19" s="1453">
        <v>1200</v>
      </c>
      <c r="AS19" s="1452"/>
      <c r="AT19" s="1452"/>
      <c r="AU19" s="1452"/>
      <c r="AV19" s="1453"/>
      <c r="AW19" s="1452"/>
      <c r="AX19" s="1452"/>
      <c r="AY19" s="1452"/>
      <c r="AZ19" s="1452"/>
      <c r="BA19" s="1452">
        <v>650</v>
      </c>
      <c r="BB19" s="1452"/>
      <c r="BC19" s="1452"/>
      <c r="BD19" s="1452"/>
      <c r="BE19" s="1452"/>
      <c r="BF19" s="1452">
        <v>650</v>
      </c>
      <c r="BG19" s="1452"/>
      <c r="BH19" s="1452"/>
      <c r="BI19" s="1452"/>
      <c r="BJ19" s="1452"/>
      <c r="BK19" s="1452"/>
      <c r="BL19" s="1452"/>
      <c r="BM19" s="1452">
        <v>650</v>
      </c>
      <c r="BN19" s="1452"/>
      <c r="BO19" s="1452"/>
      <c r="BP19" s="1452"/>
      <c r="BQ19" s="1452"/>
      <c r="BR19" s="1452"/>
      <c r="BS19" s="1452"/>
      <c r="BT19" s="1452"/>
      <c r="BU19" s="1452"/>
      <c r="BV19" s="1452"/>
      <c r="BW19" s="1452"/>
      <c r="BX19" s="1452"/>
      <c r="BY19" s="1452"/>
      <c r="BZ19" s="1452"/>
      <c r="CA19" s="1452"/>
      <c r="CB19" s="1452"/>
      <c r="CC19" s="1452"/>
      <c r="CD19" s="1452"/>
      <c r="CE19" s="1453"/>
      <c r="CF19" s="1452"/>
      <c r="CG19" s="1452"/>
      <c r="CH19" s="1452"/>
      <c r="CI19" s="1452"/>
      <c r="CJ19" s="1452"/>
      <c r="CK19" s="1452"/>
      <c r="CL19" s="1452"/>
      <c r="CM19" s="1452"/>
      <c r="CN19" s="1452"/>
      <c r="CO19" s="1452"/>
      <c r="CP19" s="1452"/>
      <c r="CQ19" s="1452"/>
      <c r="CR19" s="1452"/>
      <c r="CS19" s="1452"/>
      <c r="CT19" s="1452"/>
      <c r="CU19" s="1452"/>
      <c r="CV19" s="1452">
        <v>650</v>
      </c>
      <c r="CW19" s="1452"/>
      <c r="CX19" s="1452"/>
      <c r="CY19" s="1452"/>
      <c r="CZ19" s="1452"/>
      <c r="DA19" s="1452"/>
      <c r="DB19" s="1452"/>
      <c r="DC19" s="1452"/>
      <c r="DD19" s="1452"/>
      <c r="DE19" s="1452"/>
      <c r="DF19" s="1452"/>
      <c r="DG19" s="1452"/>
      <c r="DH19" s="1452"/>
      <c r="DI19" s="1452"/>
      <c r="DJ19" s="1452"/>
      <c r="DK19" s="1452">
        <v>650</v>
      </c>
      <c r="DL19" s="1452"/>
      <c r="DM19" s="1452"/>
      <c r="DN19" s="1452"/>
      <c r="DO19" s="1452"/>
      <c r="DP19" s="1452"/>
      <c r="DQ19" s="1452"/>
      <c r="DR19" s="1452"/>
      <c r="DS19" s="1452"/>
      <c r="DT19" s="1452"/>
      <c r="DU19" s="1452"/>
      <c r="DV19" s="1452"/>
      <c r="DW19" s="1452"/>
      <c r="DX19" s="1452"/>
      <c r="DY19" s="1452"/>
      <c r="DZ19" s="1452"/>
      <c r="EA19" s="1452"/>
      <c r="EB19" s="1452"/>
      <c r="EC19" s="1452"/>
      <c r="ED19" s="1452"/>
      <c r="EE19" s="1452"/>
      <c r="EF19" s="1452"/>
      <c r="EG19" s="1453"/>
      <c r="EH19" s="1453"/>
      <c r="EI19" s="1452"/>
      <c r="EJ19" s="1452"/>
      <c r="EK19" s="1452"/>
      <c r="EL19" s="1452">
        <v>5550</v>
      </c>
      <c r="EM19" s="1452"/>
      <c r="EN19" s="1452"/>
      <c r="EO19" s="1452"/>
      <c r="EP19" s="1452"/>
      <c r="EQ19" s="1452"/>
      <c r="ER19" s="1452"/>
      <c r="ES19" s="1452"/>
      <c r="ET19" s="1452"/>
      <c r="EU19" s="1452"/>
      <c r="EV19" s="1452"/>
      <c r="EW19" s="1452"/>
      <c r="EX19" s="1452"/>
      <c r="EY19" s="1452"/>
      <c r="EZ19" s="1452"/>
      <c r="FA19" s="1452"/>
      <c r="FB19" s="1452"/>
      <c r="FC19" s="1452"/>
      <c r="FD19" s="1452"/>
      <c r="FE19" s="1452"/>
      <c r="FF19" s="1452"/>
      <c r="FG19" s="1452"/>
      <c r="FH19" s="1452"/>
      <c r="FI19" s="1452"/>
      <c r="FJ19" s="1452"/>
      <c r="FK19" s="1452"/>
      <c r="FL19" s="1452"/>
      <c r="FM19" s="1452"/>
      <c r="FN19" s="1453"/>
      <c r="FO19" s="1453"/>
      <c r="FP19" s="1453"/>
      <c r="FQ19" s="1452"/>
      <c r="FR19" s="1452"/>
      <c r="FS19" s="1452"/>
      <c r="FT19" s="1452"/>
      <c r="FU19" s="1452"/>
      <c r="FV19" s="1452"/>
      <c r="FW19" s="1452"/>
      <c r="FX19" s="1452"/>
      <c r="FY19" s="1452"/>
      <c r="FZ19" s="1452"/>
      <c r="GA19" s="1452"/>
      <c r="GB19" s="1452"/>
      <c r="GC19" s="1452"/>
      <c r="GD19" s="1452"/>
      <c r="GE19" s="1452"/>
      <c r="GF19" s="1452"/>
      <c r="GG19" s="1452"/>
      <c r="GH19" s="1452"/>
      <c r="GI19" s="1452"/>
      <c r="GJ19" s="1452"/>
      <c r="GK19" s="1452"/>
      <c r="GL19" s="1452"/>
      <c r="GM19" s="1452"/>
      <c r="GN19" s="1452"/>
      <c r="GO19" s="1452"/>
      <c r="GP19" s="1452"/>
      <c r="GQ19" s="1452"/>
      <c r="GR19" s="1452"/>
      <c r="GS19" s="1453"/>
      <c r="GT19" s="1452"/>
      <c r="GU19" s="1452"/>
      <c r="GV19" s="1452"/>
      <c r="GW19" s="1452"/>
      <c r="GX19" s="1452"/>
      <c r="GY19" s="1452"/>
      <c r="GZ19" s="1452"/>
      <c r="HA19" s="1453"/>
      <c r="HB19" s="1452"/>
      <c r="HC19" s="1452"/>
      <c r="HD19" s="1452"/>
      <c r="HE19" s="1452"/>
      <c r="HF19" s="1452"/>
      <c r="HG19" s="1452"/>
      <c r="HH19" s="1452"/>
      <c r="HI19" s="1452"/>
      <c r="HJ19" s="1452"/>
      <c r="HK19" s="1452"/>
      <c r="HL19" s="1452"/>
      <c r="HM19" s="1452"/>
      <c r="HN19" s="1452"/>
      <c r="HO19" s="1452"/>
      <c r="HP19" s="1452"/>
      <c r="HQ19" s="1452"/>
      <c r="HR19" s="1452"/>
      <c r="HS19" s="1452"/>
      <c r="HT19" s="1452"/>
      <c r="HU19" s="1452"/>
      <c r="HV19" s="1452"/>
      <c r="HW19" s="1452"/>
      <c r="HX19" s="1452"/>
      <c r="HY19" s="1452"/>
      <c r="HZ19" s="1452"/>
      <c r="IA19" s="1452"/>
      <c r="IB19" s="1452"/>
      <c r="IC19" s="1452"/>
      <c r="ID19" s="1452"/>
      <c r="IE19" s="1452"/>
      <c r="IF19" s="1452"/>
      <c r="IG19" s="1452"/>
      <c r="IH19" s="1452"/>
      <c r="II19" s="1452"/>
      <c r="IJ19" s="1452"/>
      <c r="IK19" s="1452"/>
      <c r="IL19" s="1452"/>
      <c r="IM19" s="1452"/>
      <c r="IN19" s="1452"/>
      <c r="IO19" s="1452"/>
      <c r="IP19" s="1452"/>
      <c r="IQ19" s="1452"/>
      <c r="IR19" s="1452"/>
      <c r="IS19" s="1452"/>
      <c r="IT19" s="1452"/>
      <c r="IU19" s="1452"/>
      <c r="IV19" s="1452"/>
      <c r="IW19" s="1452"/>
      <c r="IX19" s="1452"/>
      <c r="IY19" s="1453"/>
      <c r="IZ19" s="1452"/>
      <c r="JA19" s="1452"/>
      <c r="JB19" s="1452"/>
      <c r="JC19" s="1452"/>
      <c r="JD19" s="1452"/>
      <c r="JE19" s="1452"/>
      <c r="JF19" s="1452"/>
      <c r="JG19" s="1452"/>
      <c r="JH19" s="1452"/>
      <c r="JI19" s="1452"/>
      <c r="JJ19" s="1452"/>
      <c r="JK19" s="1455"/>
      <c r="JL19" s="1455"/>
      <c r="JM19" s="1455"/>
      <c r="JN19" s="1455"/>
      <c r="JO19" s="1455"/>
      <c r="JP19" s="1455"/>
      <c r="JQ19" s="1477"/>
      <c r="JR19" s="351"/>
      <c r="JS19" s="1470"/>
      <c r="JT19" s="450" t="s">
        <v>2242</v>
      </c>
    </row>
    <row r="20" spans="1:280" ht="12.5" x14ac:dyDescent="0.25">
      <c r="A20" s="1367">
        <v>19</v>
      </c>
      <c r="B20" s="1434">
        <f t="shared" si="0"/>
        <v>8303</v>
      </c>
      <c r="C20" s="1435" t="s">
        <v>2751</v>
      </c>
      <c r="D20" s="1436" t="s">
        <v>2752</v>
      </c>
      <c r="E20" s="1452"/>
      <c r="F20" s="1452"/>
      <c r="G20" s="1452"/>
      <c r="H20" s="1453"/>
      <c r="I20" s="1453"/>
      <c r="J20" s="1453"/>
      <c r="K20" s="1452"/>
      <c r="L20" s="1453"/>
      <c r="M20" s="1453"/>
      <c r="N20" s="1453"/>
      <c r="O20" s="1452"/>
      <c r="P20" s="1453"/>
      <c r="Q20" s="1452"/>
      <c r="R20" s="1452"/>
      <c r="S20" s="1453"/>
      <c r="T20" s="1453"/>
      <c r="U20" s="1453"/>
      <c r="V20" s="1452"/>
      <c r="W20" s="1452"/>
      <c r="X20" s="1452"/>
      <c r="Y20" s="1452"/>
      <c r="Z20" s="1453"/>
      <c r="AA20" s="1452"/>
      <c r="AB20" s="1453"/>
      <c r="AC20" s="1452"/>
      <c r="AD20" s="1452"/>
      <c r="AE20" s="1452"/>
      <c r="AF20" s="1452"/>
      <c r="AG20" s="1452"/>
      <c r="AH20" s="1452"/>
      <c r="AI20" s="1452"/>
      <c r="AJ20" s="1453">
        <v>700</v>
      </c>
      <c r="AK20" s="1452"/>
      <c r="AL20" s="1453">
        <v>1500</v>
      </c>
      <c r="AM20" s="1453"/>
      <c r="AN20" s="1453"/>
      <c r="AO20" s="1453"/>
      <c r="AP20" s="1452"/>
      <c r="AQ20" s="1452"/>
      <c r="AR20" s="1453">
        <v>800</v>
      </c>
      <c r="AS20" s="1452"/>
      <c r="AT20" s="1452"/>
      <c r="AU20" s="1452">
        <v>500</v>
      </c>
      <c r="AV20" s="1453"/>
      <c r="AW20" s="1452"/>
      <c r="AX20" s="1452"/>
      <c r="AY20" s="1452"/>
      <c r="AZ20" s="1452"/>
      <c r="BA20" s="1452">
        <v>75</v>
      </c>
      <c r="BB20" s="1452"/>
      <c r="BC20" s="1452"/>
      <c r="BD20" s="1452"/>
      <c r="BE20" s="1452"/>
      <c r="BF20" s="1452">
        <v>75</v>
      </c>
      <c r="BG20" s="1452"/>
      <c r="BH20" s="1452"/>
      <c r="BI20" s="1452"/>
      <c r="BJ20" s="1452"/>
      <c r="BK20" s="1452"/>
      <c r="BL20" s="1452"/>
      <c r="BM20" s="1452">
        <v>75</v>
      </c>
      <c r="BN20" s="1452"/>
      <c r="BO20" s="1452"/>
      <c r="BP20" s="1452"/>
      <c r="BQ20" s="1452"/>
      <c r="BR20" s="1452"/>
      <c r="BS20" s="1452"/>
      <c r="BT20" s="1452"/>
      <c r="BU20" s="1452"/>
      <c r="BV20" s="1452"/>
      <c r="BW20" s="1452"/>
      <c r="BX20" s="1452"/>
      <c r="BY20" s="1452"/>
      <c r="BZ20" s="1452"/>
      <c r="CA20" s="1452"/>
      <c r="CB20" s="1452"/>
      <c r="CC20" s="1452"/>
      <c r="CD20" s="1452"/>
      <c r="CE20" s="1453">
        <v>350</v>
      </c>
      <c r="CF20" s="1452"/>
      <c r="CG20" s="1452"/>
      <c r="CH20" s="1452"/>
      <c r="CI20" s="1452"/>
      <c r="CJ20" s="1452"/>
      <c r="CK20" s="1452"/>
      <c r="CL20" s="1452"/>
      <c r="CM20" s="1452"/>
      <c r="CN20" s="1452"/>
      <c r="CO20" s="1452"/>
      <c r="CP20" s="1452"/>
      <c r="CQ20" s="1452"/>
      <c r="CR20" s="1452"/>
      <c r="CS20" s="1452"/>
      <c r="CT20" s="1452"/>
      <c r="CU20" s="1452"/>
      <c r="CV20" s="1452">
        <v>75</v>
      </c>
      <c r="CW20" s="1452"/>
      <c r="CX20" s="1452"/>
      <c r="CY20" s="1452"/>
      <c r="CZ20" s="1452"/>
      <c r="DA20" s="1452"/>
      <c r="DB20" s="1452"/>
      <c r="DC20" s="1452"/>
      <c r="DD20" s="1452"/>
      <c r="DE20" s="1452"/>
      <c r="DF20" s="1452"/>
      <c r="DG20" s="1452"/>
      <c r="DH20" s="1452"/>
      <c r="DI20" s="1452"/>
      <c r="DJ20" s="1452"/>
      <c r="DK20" s="1452">
        <v>75</v>
      </c>
      <c r="DL20" s="1452">
        <v>500</v>
      </c>
      <c r="DM20" s="1452"/>
      <c r="DN20" s="1452"/>
      <c r="DO20" s="1452"/>
      <c r="DP20" s="1452">
        <v>500</v>
      </c>
      <c r="DQ20" s="1452"/>
      <c r="DR20" s="1452"/>
      <c r="DS20" s="1452"/>
      <c r="DT20" s="1452">
        <v>500</v>
      </c>
      <c r="DU20" s="1452"/>
      <c r="DV20" s="1452"/>
      <c r="DW20" s="1452"/>
      <c r="DX20" s="1452"/>
      <c r="DY20" s="1452"/>
      <c r="DZ20" s="1452"/>
      <c r="EA20" s="1452"/>
      <c r="EB20" s="1452"/>
      <c r="EC20" s="1452"/>
      <c r="ED20" s="1452"/>
      <c r="EE20" s="1452"/>
      <c r="EF20" s="1452"/>
      <c r="EG20" s="1453"/>
      <c r="EH20" s="1453">
        <v>350</v>
      </c>
      <c r="EI20" s="1452">
        <v>500</v>
      </c>
      <c r="EJ20" s="1452"/>
      <c r="EK20" s="1452"/>
      <c r="EL20" s="1452">
        <v>757</v>
      </c>
      <c r="EM20" s="1452"/>
      <c r="EN20" s="1452"/>
      <c r="EO20" s="1452"/>
      <c r="EP20" s="1454">
        <v>4011</v>
      </c>
      <c r="EQ20" s="1452"/>
      <c r="ER20" s="1452"/>
      <c r="ES20" s="1452"/>
      <c r="ET20" s="1452"/>
      <c r="EU20" s="1452"/>
      <c r="EV20" s="1454">
        <v>7095</v>
      </c>
      <c r="EW20" s="1452"/>
      <c r="EX20" s="1452"/>
      <c r="EY20" s="1452"/>
      <c r="EZ20" s="1452"/>
      <c r="FA20" s="1452"/>
      <c r="FB20" s="1452"/>
      <c r="FC20" s="1452"/>
      <c r="FD20" s="1452"/>
      <c r="FE20" s="1452"/>
      <c r="FF20" s="1452"/>
      <c r="FG20" s="1452"/>
      <c r="FH20" s="1452"/>
      <c r="FI20" s="1452"/>
      <c r="FJ20" s="1452"/>
      <c r="FK20" s="1452"/>
      <c r="FL20" s="1452"/>
      <c r="FM20" s="1452"/>
      <c r="FN20" s="1453">
        <v>350</v>
      </c>
      <c r="FO20" s="1453">
        <v>350</v>
      </c>
      <c r="FP20" s="1469">
        <v>8303</v>
      </c>
      <c r="FQ20" s="1452"/>
      <c r="FR20" s="1452"/>
      <c r="FS20" s="1452"/>
      <c r="FT20" s="1452"/>
      <c r="FU20" s="1452"/>
      <c r="FV20" s="1452"/>
      <c r="FW20" s="1452"/>
      <c r="FX20" s="1452"/>
      <c r="FY20" s="1452"/>
      <c r="FZ20" s="1452"/>
      <c r="GA20" s="1452"/>
      <c r="GB20" s="1452"/>
      <c r="GC20" s="1452"/>
      <c r="GD20" s="1452"/>
      <c r="GE20" s="1452"/>
      <c r="GF20" s="1452">
        <v>500</v>
      </c>
      <c r="GG20" s="1452"/>
      <c r="GH20" s="1452"/>
      <c r="GI20" s="1452"/>
      <c r="GJ20" s="1452"/>
      <c r="GK20" s="1452"/>
      <c r="GL20" s="1452"/>
      <c r="GM20" s="1452"/>
      <c r="GN20" s="1452"/>
      <c r="GO20" s="1452"/>
      <c r="GP20" s="1452">
        <v>200</v>
      </c>
      <c r="GQ20" s="1452"/>
      <c r="GR20" s="1452"/>
      <c r="GS20" s="1453">
        <v>350</v>
      </c>
      <c r="GT20" s="1454">
        <v>3126</v>
      </c>
      <c r="GU20" s="1452"/>
      <c r="GV20" s="1452">
        <v>175</v>
      </c>
      <c r="GW20" s="1452"/>
      <c r="GX20" s="1454">
        <v>360</v>
      </c>
      <c r="GY20" s="1452"/>
      <c r="GZ20" s="1452">
        <v>500</v>
      </c>
      <c r="HA20" s="1453">
        <v>350</v>
      </c>
      <c r="HB20" s="1452"/>
      <c r="HC20" s="1452"/>
      <c r="HD20" s="1452"/>
      <c r="HE20" s="1452"/>
      <c r="HF20" s="1452"/>
      <c r="HG20" s="1452"/>
      <c r="HH20" s="1452"/>
      <c r="HI20" s="1452"/>
      <c r="HJ20" s="1452"/>
      <c r="HK20" s="1452"/>
      <c r="HL20" s="1452"/>
      <c r="HM20" s="1454">
        <v>1403</v>
      </c>
      <c r="HN20" s="1452"/>
      <c r="HO20" s="1452"/>
      <c r="HP20" s="1452"/>
      <c r="HQ20" s="1452"/>
      <c r="HR20" s="1452"/>
      <c r="HS20" s="1452"/>
      <c r="HT20" s="1454">
        <v>208</v>
      </c>
      <c r="HU20" s="1454">
        <v>4579</v>
      </c>
      <c r="HV20" s="1452"/>
      <c r="HW20" s="1452"/>
      <c r="HX20" s="1454">
        <v>227</v>
      </c>
      <c r="HY20" s="1452"/>
      <c r="HZ20" s="1452">
        <v>245</v>
      </c>
      <c r="IA20" s="1452"/>
      <c r="IB20" s="1452"/>
      <c r="IC20" s="1452"/>
      <c r="ID20" s="1454">
        <v>2719</v>
      </c>
      <c r="IE20" s="1452"/>
      <c r="IF20" s="1452"/>
      <c r="IG20" s="1452">
        <v>1286</v>
      </c>
      <c r="IH20" s="1452"/>
      <c r="II20" s="1452"/>
      <c r="IJ20" s="1452"/>
      <c r="IK20" s="1454">
        <v>507.19</v>
      </c>
      <c r="IL20" s="1452"/>
      <c r="IM20" s="1452"/>
      <c r="IN20" s="1452"/>
      <c r="IO20" s="1452"/>
      <c r="IP20" s="1452"/>
      <c r="IQ20" s="1452"/>
      <c r="IR20" s="1452"/>
      <c r="IS20" s="1452"/>
      <c r="IT20" s="1452"/>
      <c r="IU20" s="1452"/>
      <c r="IV20" s="1452"/>
      <c r="IW20" s="1454">
        <v>7150.84</v>
      </c>
      <c r="IX20" s="1452"/>
      <c r="IY20" s="1453"/>
      <c r="IZ20" s="1452"/>
      <c r="JA20" s="1452"/>
      <c r="JB20" s="1454">
        <v>6573</v>
      </c>
      <c r="JC20" s="1452"/>
      <c r="JD20" s="1452"/>
      <c r="JE20" s="1452"/>
      <c r="JF20" s="1452"/>
      <c r="JG20" s="1452"/>
      <c r="JH20" s="1454">
        <v>2533</v>
      </c>
      <c r="JI20" s="1454"/>
      <c r="JJ20" s="1454">
        <v>1916</v>
      </c>
      <c r="JK20" s="1455"/>
      <c r="JL20" s="1455"/>
      <c r="JM20" s="1455"/>
      <c r="JN20" s="1455"/>
      <c r="JO20" s="1455"/>
      <c r="JP20" s="1455"/>
      <c r="JQ20" s="2536">
        <v>950.43</v>
      </c>
      <c r="JR20" s="351"/>
      <c r="JS20" s="1470"/>
      <c r="JT20" s="450" t="s">
        <v>2242</v>
      </c>
    </row>
    <row r="21" spans="1:280" ht="12.5" x14ac:dyDescent="0.25">
      <c r="A21" s="1367">
        <v>20</v>
      </c>
      <c r="B21" s="1434" t="str">
        <f t="shared" si="0"/>
        <v/>
      </c>
      <c r="C21" s="1435" t="s">
        <v>2753</v>
      </c>
      <c r="D21" s="1436" t="s">
        <v>2754</v>
      </c>
      <c r="E21" s="1452"/>
      <c r="F21" s="1452"/>
      <c r="G21" s="1452"/>
      <c r="H21" s="1453"/>
      <c r="I21" s="1453"/>
      <c r="J21" s="1453"/>
      <c r="K21" s="1452"/>
      <c r="L21" s="1453"/>
      <c r="M21" s="1453"/>
      <c r="N21" s="1453"/>
      <c r="O21" s="1452"/>
      <c r="P21" s="1453"/>
      <c r="Q21" s="1452"/>
      <c r="R21" s="1452"/>
      <c r="S21" s="1453"/>
      <c r="T21" s="1453"/>
      <c r="U21" s="1453"/>
      <c r="V21" s="1452"/>
      <c r="W21" s="1452"/>
      <c r="X21" s="1452"/>
      <c r="Y21" s="1452"/>
      <c r="Z21" s="1453"/>
      <c r="AA21" s="1452"/>
      <c r="AB21" s="1453"/>
      <c r="AC21" s="1452"/>
      <c r="AD21" s="1452"/>
      <c r="AE21" s="1452"/>
      <c r="AF21" s="1452"/>
      <c r="AG21" s="1452"/>
      <c r="AH21" s="1452"/>
      <c r="AI21" s="1452"/>
      <c r="AJ21" s="1453"/>
      <c r="AK21" s="1452"/>
      <c r="AL21" s="1453">
        <v>3500</v>
      </c>
      <c r="AM21" s="1453"/>
      <c r="AN21" s="1453"/>
      <c r="AO21" s="1453"/>
      <c r="AP21" s="1452"/>
      <c r="AQ21" s="1452"/>
      <c r="AR21" s="1453"/>
      <c r="AS21" s="1452">
        <v>600</v>
      </c>
      <c r="AT21" s="1452"/>
      <c r="AU21" s="1452"/>
      <c r="AV21" s="1453"/>
      <c r="AW21" s="1452"/>
      <c r="AX21" s="1452"/>
      <c r="AY21" s="1452"/>
      <c r="AZ21" s="1452"/>
      <c r="BA21" s="1452"/>
      <c r="BB21" s="1452"/>
      <c r="BC21" s="1452"/>
      <c r="BD21" s="1452">
        <v>600</v>
      </c>
      <c r="BE21" s="1452"/>
      <c r="BF21" s="1452"/>
      <c r="BG21" s="1452"/>
      <c r="BH21" s="1452"/>
      <c r="BI21" s="1452"/>
      <c r="BJ21" s="1452"/>
      <c r="BK21" s="1452"/>
      <c r="BL21" s="1452"/>
      <c r="BM21" s="1452"/>
      <c r="BN21" s="1452"/>
      <c r="BO21" s="1452"/>
      <c r="BP21" s="1452"/>
      <c r="BQ21" s="1452"/>
      <c r="BR21" s="1452"/>
      <c r="BS21" s="1452"/>
      <c r="BT21" s="1452"/>
      <c r="BU21" s="1452"/>
      <c r="BV21" s="1452"/>
      <c r="BW21" s="1452"/>
      <c r="BX21" s="1452"/>
      <c r="BY21" s="1452"/>
      <c r="BZ21" s="1452"/>
      <c r="CA21" s="1452"/>
      <c r="CB21" s="1452"/>
      <c r="CC21" s="1452"/>
      <c r="CD21" s="1452"/>
      <c r="CE21" s="1453"/>
      <c r="CF21" s="1452"/>
      <c r="CG21" s="1452"/>
      <c r="CH21" s="1452"/>
      <c r="CI21" s="1452"/>
      <c r="CJ21" s="1452"/>
      <c r="CK21" s="1452"/>
      <c r="CL21" s="1452"/>
      <c r="CM21" s="1452"/>
      <c r="CN21" s="1452">
        <v>600</v>
      </c>
      <c r="CO21" s="1452">
        <v>600</v>
      </c>
      <c r="CP21" s="1452"/>
      <c r="CQ21" s="1452"/>
      <c r="CR21" s="1452"/>
      <c r="CS21" s="1452"/>
      <c r="CT21" s="1452"/>
      <c r="CU21" s="1452"/>
      <c r="CV21" s="1452"/>
      <c r="CW21" s="1452"/>
      <c r="CX21" s="1452"/>
      <c r="CY21" s="1452"/>
      <c r="CZ21" s="1452"/>
      <c r="DA21" s="1452"/>
      <c r="DB21" s="1452"/>
      <c r="DC21" s="1452"/>
      <c r="DD21" s="1452"/>
      <c r="DE21" s="1452">
        <v>600</v>
      </c>
      <c r="DF21" s="1452"/>
      <c r="DG21" s="1452"/>
      <c r="DH21" s="1452"/>
      <c r="DI21" s="1452"/>
      <c r="DJ21" s="1452"/>
      <c r="DK21" s="1452"/>
      <c r="DL21" s="1452"/>
      <c r="DM21" s="1452"/>
      <c r="DN21" s="1452"/>
      <c r="DO21" s="1452"/>
      <c r="DP21" s="1452"/>
      <c r="DQ21" s="1452"/>
      <c r="DR21" s="1452"/>
      <c r="DS21" s="1452"/>
      <c r="DT21" s="1452"/>
      <c r="DU21" s="1452"/>
      <c r="DV21" s="1452"/>
      <c r="DW21" s="1452"/>
      <c r="DX21" s="1452"/>
      <c r="DY21" s="1452"/>
      <c r="DZ21" s="1452"/>
      <c r="EA21" s="1452"/>
      <c r="EB21" s="1452"/>
      <c r="EC21" s="1452"/>
      <c r="ED21" s="1452"/>
      <c r="EE21" s="1452"/>
      <c r="EF21" s="1452"/>
      <c r="EG21" s="1453"/>
      <c r="EH21" s="1453"/>
      <c r="EI21" s="1452"/>
      <c r="EJ21" s="1452"/>
      <c r="EK21" s="1452"/>
      <c r="EL21" s="1452"/>
      <c r="EM21" s="1452"/>
      <c r="EN21" s="1452"/>
      <c r="EO21" s="1452"/>
      <c r="EP21" s="1452"/>
      <c r="EQ21" s="1452"/>
      <c r="ER21" s="1452"/>
      <c r="ES21" s="1452"/>
      <c r="ET21" s="1452"/>
      <c r="EU21" s="1452"/>
      <c r="EV21" s="1452"/>
      <c r="EW21" s="1452"/>
      <c r="EX21" s="1452"/>
      <c r="EY21" s="1452"/>
      <c r="EZ21" s="1452">
        <v>600</v>
      </c>
      <c r="FA21" s="1452"/>
      <c r="FB21" s="1452"/>
      <c r="FC21" s="1452"/>
      <c r="FD21" s="1452"/>
      <c r="FE21" s="1452"/>
      <c r="FF21" s="1452"/>
      <c r="FG21" s="1452"/>
      <c r="FH21" s="1452"/>
      <c r="FI21" s="1452"/>
      <c r="FJ21" s="1452"/>
      <c r="FK21" s="1452"/>
      <c r="FL21" s="1452"/>
      <c r="FM21" s="1452"/>
      <c r="FN21" s="1453"/>
      <c r="FO21" s="1453"/>
      <c r="FP21" s="1453"/>
      <c r="FQ21" s="1452"/>
      <c r="FR21" s="1452"/>
      <c r="FS21" s="1452"/>
      <c r="FT21" s="1452"/>
      <c r="FU21" s="1452"/>
      <c r="FV21" s="1452"/>
      <c r="FW21" s="1452">
        <v>600</v>
      </c>
      <c r="FX21" s="1452"/>
      <c r="FY21" s="1452"/>
      <c r="FZ21" s="1452"/>
      <c r="GA21" s="1452"/>
      <c r="GB21" s="1452"/>
      <c r="GC21" s="1452"/>
      <c r="GD21" s="1452"/>
      <c r="GE21" s="1452"/>
      <c r="GF21" s="1452"/>
      <c r="GG21" s="1452"/>
      <c r="GH21" s="1452"/>
      <c r="GI21" s="1452"/>
      <c r="GJ21" s="1452"/>
      <c r="GK21" s="1452">
        <v>600</v>
      </c>
      <c r="GL21" s="1452"/>
      <c r="GM21" s="1452"/>
      <c r="GN21" s="1452"/>
      <c r="GO21" s="1452"/>
      <c r="GP21" s="1452"/>
      <c r="GQ21" s="1452">
        <v>600</v>
      </c>
      <c r="GR21" s="1452"/>
      <c r="GS21" s="1453"/>
      <c r="GT21" s="1452"/>
      <c r="GU21" s="1452"/>
      <c r="GV21" s="1452"/>
      <c r="GW21" s="1452"/>
      <c r="GX21" s="1452"/>
      <c r="GY21" s="1452"/>
      <c r="GZ21" s="1452"/>
      <c r="HA21" s="1453"/>
      <c r="HB21" s="1452"/>
      <c r="HC21" s="1452"/>
      <c r="HD21" s="1452"/>
      <c r="HE21" s="1452"/>
      <c r="HF21" s="1452"/>
      <c r="HG21" s="1452"/>
      <c r="HH21" s="1452"/>
      <c r="HI21" s="1452"/>
      <c r="HJ21" s="1452"/>
      <c r="HK21" s="1452"/>
      <c r="HL21" s="1452"/>
      <c r="HM21" s="1452"/>
      <c r="HN21" s="1452"/>
      <c r="HO21" s="1452"/>
      <c r="HP21" s="1452"/>
      <c r="HQ21" s="1452"/>
      <c r="HR21" s="1452"/>
      <c r="HS21" s="1452"/>
      <c r="HT21" s="1452"/>
      <c r="HU21" s="1454">
        <v>518</v>
      </c>
      <c r="HV21" s="1452"/>
      <c r="HW21" s="1452"/>
      <c r="HX21" s="1452"/>
      <c r="HY21" s="1452"/>
      <c r="HZ21" s="1452"/>
      <c r="IA21" s="1452"/>
      <c r="IB21" s="1452"/>
      <c r="IC21" s="1452"/>
      <c r="ID21" s="1452"/>
      <c r="IE21" s="1452"/>
      <c r="IF21" s="1452"/>
      <c r="IG21" s="1452"/>
      <c r="IH21" s="1452"/>
      <c r="II21" s="1452"/>
      <c r="IJ21" s="1452"/>
      <c r="IK21" s="1452"/>
      <c r="IL21" s="1452"/>
      <c r="IM21" s="1452"/>
      <c r="IN21" s="1452"/>
      <c r="IO21" s="1452"/>
      <c r="IP21" s="1452"/>
      <c r="IQ21" s="1452"/>
      <c r="IR21" s="1452"/>
      <c r="IS21" s="1452"/>
      <c r="IT21" s="1452"/>
      <c r="IU21" s="1452"/>
      <c r="IV21" s="1452"/>
      <c r="IW21" s="1452"/>
      <c r="IX21" s="1452"/>
      <c r="IY21" s="1453"/>
      <c r="IZ21" s="1452"/>
      <c r="JA21" s="1452"/>
      <c r="JB21" s="1452"/>
      <c r="JC21" s="1452"/>
      <c r="JD21" s="1452"/>
      <c r="JE21" s="1452"/>
      <c r="JF21" s="1452"/>
      <c r="JG21" s="1452"/>
      <c r="JH21" s="1452"/>
      <c r="JI21" s="1452"/>
      <c r="JJ21" s="1452"/>
      <c r="JK21" s="1455"/>
      <c r="JL21" s="1455"/>
      <c r="JM21" s="1455"/>
      <c r="JN21" s="1455"/>
      <c r="JO21" s="1455"/>
      <c r="JP21" s="1455"/>
      <c r="JQ21" s="1477"/>
      <c r="JR21" s="351"/>
      <c r="JS21" s="1470"/>
      <c r="JT21" s="450" t="s">
        <v>2242</v>
      </c>
    </row>
    <row r="22" spans="1:280" ht="12.5" x14ac:dyDescent="0.25">
      <c r="A22" s="1367">
        <v>21</v>
      </c>
      <c r="B22" s="1434" t="str">
        <f t="shared" si="0"/>
        <v/>
      </c>
      <c r="C22" s="1435" t="s">
        <v>2755</v>
      </c>
      <c r="D22" s="1436" t="s">
        <v>2756</v>
      </c>
      <c r="E22" s="1452"/>
      <c r="F22" s="1452"/>
      <c r="G22" s="1452"/>
      <c r="H22" s="1453"/>
      <c r="I22" s="1453"/>
      <c r="J22" s="1453"/>
      <c r="K22" s="1452"/>
      <c r="L22" s="1453"/>
      <c r="M22" s="1453"/>
      <c r="N22" s="1453"/>
      <c r="O22" s="1452"/>
      <c r="P22" s="1453"/>
      <c r="Q22" s="1452"/>
      <c r="R22" s="1452"/>
      <c r="S22" s="1453"/>
      <c r="T22" s="1453"/>
      <c r="U22" s="1453"/>
      <c r="V22" s="1452"/>
      <c r="W22" s="1452"/>
      <c r="X22" s="1452"/>
      <c r="Y22" s="1452"/>
      <c r="Z22" s="1453"/>
      <c r="AA22" s="1452"/>
      <c r="AB22" s="1453"/>
      <c r="AC22" s="1452"/>
      <c r="AD22" s="1452"/>
      <c r="AE22" s="1452"/>
      <c r="AF22" s="1452"/>
      <c r="AG22" s="1452"/>
      <c r="AH22" s="1452"/>
      <c r="AI22" s="1452"/>
      <c r="AJ22" s="1453"/>
      <c r="AK22" s="1452"/>
      <c r="AL22" s="1453"/>
      <c r="AM22" s="1453"/>
      <c r="AN22" s="1453"/>
      <c r="AO22" s="1453"/>
      <c r="AP22" s="1452"/>
      <c r="AQ22" s="1452"/>
      <c r="AR22" s="1453"/>
      <c r="AS22" s="1452"/>
      <c r="AT22" s="1452"/>
      <c r="AU22" s="1452">
        <v>5000</v>
      </c>
      <c r="AV22" s="1453"/>
      <c r="AW22" s="1452"/>
      <c r="AX22" s="1452"/>
      <c r="AY22" s="1452"/>
      <c r="AZ22" s="1452"/>
      <c r="BA22" s="1452"/>
      <c r="BB22" s="1452"/>
      <c r="BC22" s="1452"/>
      <c r="BD22" s="1452"/>
      <c r="BE22" s="1452"/>
      <c r="BF22" s="1452"/>
      <c r="BG22" s="1452"/>
      <c r="BH22" s="1452"/>
      <c r="BI22" s="1452"/>
      <c r="BJ22" s="1452"/>
      <c r="BK22" s="1452"/>
      <c r="BL22" s="1452"/>
      <c r="BM22" s="1452"/>
      <c r="BN22" s="1452"/>
      <c r="BO22" s="1452"/>
      <c r="BP22" s="1452"/>
      <c r="BQ22" s="1452"/>
      <c r="BR22" s="1452"/>
      <c r="BS22" s="1452"/>
      <c r="BT22" s="1452"/>
      <c r="BU22" s="1452"/>
      <c r="BV22" s="1452"/>
      <c r="BW22" s="1452"/>
      <c r="BX22" s="1452"/>
      <c r="BY22" s="1452"/>
      <c r="BZ22" s="1452"/>
      <c r="CA22" s="1452"/>
      <c r="CB22" s="1452"/>
      <c r="CC22" s="1452"/>
      <c r="CD22" s="1452"/>
      <c r="CE22" s="1453"/>
      <c r="CF22" s="1452"/>
      <c r="CG22" s="1452"/>
      <c r="CH22" s="1452"/>
      <c r="CI22" s="1452"/>
      <c r="CJ22" s="1452"/>
      <c r="CK22" s="1452"/>
      <c r="CL22" s="1452"/>
      <c r="CM22" s="1452"/>
      <c r="CN22" s="1452"/>
      <c r="CO22" s="1452"/>
      <c r="CP22" s="1452"/>
      <c r="CQ22" s="1452"/>
      <c r="CR22" s="1452"/>
      <c r="CS22" s="1452"/>
      <c r="CT22" s="1452"/>
      <c r="CU22" s="1452"/>
      <c r="CV22" s="1452"/>
      <c r="CW22" s="1452"/>
      <c r="CX22" s="1452"/>
      <c r="CY22" s="1452"/>
      <c r="CZ22" s="1452"/>
      <c r="DA22" s="1452"/>
      <c r="DB22" s="1452"/>
      <c r="DC22" s="1452"/>
      <c r="DD22" s="1452"/>
      <c r="DE22" s="1452"/>
      <c r="DF22" s="1452"/>
      <c r="DG22" s="1452"/>
      <c r="DH22" s="1452"/>
      <c r="DI22" s="1452"/>
      <c r="DJ22" s="1452"/>
      <c r="DK22" s="1452"/>
      <c r="DL22" s="1452">
        <v>5000</v>
      </c>
      <c r="DM22" s="1452"/>
      <c r="DN22" s="1452"/>
      <c r="DO22" s="1452"/>
      <c r="DP22" s="1452">
        <v>5000</v>
      </c>
      <c r="DQ22" s="1452"/>
      <c r="DR22" s="1452"/>
      <c r="DS22" s="1452"/>
      <c r="DT22" s="1452">
        <v>5000</v>
      </c>
      <c r="DU22" s="1452"/>
      <c r="DV22" s="1452"/>
      <c r="DW22" s="1452"/>
      <c r="DX22" s="1452"/>
      <c r="DY22" s="1452"/>
      <c r="DZ22" s="1452"/>
      <c r="EA22" s="1452"/>
      <c r="EB22" s="1452"/>
      <c r="EC22" s="1452"/>
      <c r="ED22" s="1452"/>
      <c r="EE22" s="1452"/>
      <c r="EF22" s="1452"/>
      <c r="EG22" s="1453"/>
      <c r="EH22" s="1453"/>
      <c r="EI22" s="1452">
        <v>5000</v>
      </c>
      <c r="EJ22" s="1452"/>
      <c r="EK22" s="1452"/>
      <c r="EL22" s="1452"/>
      <c r="EM22" s="1452"/>
      <c r="EN22" s="1452"/>
      <c r="EO22" s="1452"/>
      <c r="EP22" s="1452"/>
      <c r="EQ22" s="1452"/>
      <c r="ER22" s="1452"/>
      <c r="ES22" s="1452"/>
      <c r="ET22" s="1452"/>
      <c r="EU22" s="1452"/>
      <c r="EV22" s="1452"/>
      <c r="EW22" s="1452"/>
      <c r="EX22" s="1452"/>
      <c r="EY22" s="1452"/>
      <c r="EZ22" s="1452"/>
      <c r="FA22" s="1452"/>
      <c r="FB22" s="1452"/>
      <c r="FC22" s="1452"/>
      <c r="FD22" s="1452"/>
      <c r="FE22" s="1452"/>
      <c r="FF22" s="1452"/>
      <c r="FG22" s="1452"/>
      <c r="FH22" s="1452"/>
      <c r="FI22" s="1452"/>
      <c r="FJ22" s="1452"/>
      <c r="FK22" s="1452"/>
      <c r="FL22" s="1452"/>
      <c r="FM22" s="1452"/>
      <c r="FN22" s="1453"/>
      <c r="FO22" s="1453"/>
      <c r="FP22" s="1453"/>
      <c r="FQ22" s="1452"/>
      <c r="FR22" s="1452"/>
      <c r="FS22" s="1452"/>
      <c r="FT22" s="1452"/>
      <c r="FU22" s="1452"/>
      <c r="FV22" s="1452"/>
      <c r="FW22" s="1452"/>
      <c r="FX22" s="1452"/>
      <c r="FY22" s="1452"/>
      <c r="FZ22" s="1452"/>
      <c r="GA22" s="1452"/>
      <c r="GB22" s="1452"/>
      <c r="GC22" s="1452"/>
      <c r="GD22" s="1452"/>
      <c r="GE22" s="1452"/>
      <c r="GF22" s="1452">
        <v>5000</v>
      </c>
      <c r="GG22" s="1452"/>
      <c r="GH22" s="1452"/>
      <c r="GI22" s="1452"/>
      <c r="GJ22" s="1452"/>
      <c r="GK22" s="1452"/>
      <c r="GL22" s="1452"/>
      <c r="GM22" s="1452"/>
      <c r="GN22" s="1452"/>
      <c r="GO22" s="1452"/>
      <c r="GP22" s="1452"/>
      <c r="GQ22" s="1452"/>
      <c r="GR22" s="1452"/>
      <c r="GS22" s="1453"/>
      <c r="GT22" s="1452"/>
      <c r="GU22" s="1452"/>
      <c r="GV22" s="1452"/>
      <c r="GW22" s="1452"/>
      <c r="GX22" s="1454">
        <v>12000</v>
      </c>
      <c r="GY22" s="1452"/>
      <c r="GZ22" s="1452">
        <v>5000</v>
      </c>
      <c r="HA22" s="1453"/>
      <c r="HB22" s="1452"/>
      <c r="HC22" s="1452"/>
      <c r="HD22" s="1452"/>
      <c r="HE22" s="1452"/>
      <c r="HF22" s="1452"/>
      <c r="HG22" s="1452"/>
      <c r="HH22" s="1452"/>
      <c r="HI22" s="1452"/>
      <c r="HJ22" s="1452"/>
      <c r="HK22" s="1452"/>
      <c r="HL22" s="1452"/>
      <c r="HM22" s="1452"/>
      <c r="HN22" s="1452"/>
      <c r="HO22" s="1452"/>
      <c r="HP22" s="1452"/>
      <c r="HQ22" s="1452"/>
      <c r="HR22" s="1452"/>
      <c r="HS22" s="1452"/>
      <c r="HT22" s="1452"/>
      <c r="HU22" s="1452"/>
      <c r="HV22" s="1452"/>
      <c r="HW22" s="1452"/>
      <c r="HX22" s="1452"/>
      <c r="HY22" s="1452"/>
      <c r="HZ22" s="1452"/>
      <c r="IA22" s="1452"/>
      <c r="IB22" s="1452"/>
      <c r="IC22" s="1452"/>
      <c r="ID22" s="1452"/>
      <c r="IE22" s="1452"/>
      <c r="IF22" s="1452"/>
      <c r="IG22" s="1452"/>
      <c r="IH22" s="1452"/>
      <c r="II22" s="1452"/>
      <c r="IJ22" s="1452"/>
      <c r="IK22" s="1452"/>
      <c r="IL22" s="1452"/>
      <c r="IM22" s="1452"/>
      <c r="IN22" s="1452"/>
      <c r="IO22" s="1452"/>
      <c r="IP22" s="1452"/>
      <c r="IQ22" s="1452"/>
      <c r="IR22" s="1452"/>
      <c r="IS22" s="1452"/>
      <c r="IT22" s="1452"/>
      <c r="IU22" s="1452"/>
      <c r="IV22" s="1452"/>
      <c r="IW22" s="1452"/>
      <c r="IX22" s="1452"/>
      <c r="IY22" s="1453"/>
      <c r="IZ22" s="1452"/>
      <c r="JA22" s="1452"/>
      <c r="JB22" s="1452"/>
      <c r="JC22" s="1452"/>
      <c r="JD22" s="1452"/>
      <c r="JE22" s="1452"/>
      <c r="JF22" s="1452"/>
      <c r="JG22" s="1452"/>
      <c r="JH22" s="1452"/>
      <c r="JI22" s="1452"/>
      <c r="JJ22" s="1452"/>
      <c r="JK22" s="1455"/>
      <c r="JL22" s="1455"/>
      <c r="JM22" s="1455"/>
      <c r="JN22" s="1455"/>
      <c r="JO22" s="1455"/>
      <c r="JP22" s="1455"/>
      <c r="JQ22" s="1455"/>
      <c r="JR22" s="351"/>
      <c r="JS22" s="1470"/>
      <c r="JT22" s="450" t="s">
        <v>2242</v>
      </c>
    </row>
    <row r="23" spans="1:280" ht="12.5" x14ac:dyDescent="0.25">
      <c r="A23" s="1367">
        <v>22</v>
      </c>
      <c r="B23" s="1434" t="str">
        <f t="shared" si="0"/>
        <v/>
      </c>
      <c r="C23" s="1435" t="s">
        <v>2757</v>
      </c>
      <c r="D23" s="1436" t="s">
        <v>2758</v>
      </c>
      <c r="E23" s="1452"/>
      <c r="F23" s="1452"/>
      <c r="G23" s="1452"/>
      <c r="H23" s="1453"/>
      <c r="I23" s="1453"/>
      <c r="J23" s="1453"/>
      <c r="K23" s="1452"/>
      <c r="L23" s="1453"/>
      <c r="M23" s="1453"/>
      <c r="N23" s="1453"/>
      <c r="O23" s="1452"/>
      <c r="P23" s="1453"/>
      <c r="Q23" s="1452"/>
      <c r="R23" s="1452"/>
      <c r="S23" s="1453"/>
      <c r="T23" s="1453"/>
      <c r="U23" s="1453"/>
      <c r="V23" s="1452"/>
      <c r="W23" s="1452"/>
      <c r="X23" s="1452"/>
      <c r="Y23" s="1452"/>
      <c r="Z23" s="1453"/>
      <c r="AA23" s="1452"/>
      <c r="AB23" s="1453"/>
      <c r="AC23" s="1452"/>
      <c r="AD23" s="1452"/>
      <c r="AE23" s="1452"/>
      <c r="AF23" s="1452"/>
      <c r="AG23" s="1452"/>
      <c r="AH23" s="1452"/>
      <c r="AI23" s="1452"/>
      <c r="AJ23" s="1453">
        <v>2000</v>
      </c>
      <c r="AK23" s="1452"/>
      <c r="AL23" s="1453"/>
      <c r="AM23" s="1453"/>
      <c r="AN23" s="1453"/>
      <c r="AO23" s="1453"/>
      <c r="AP23" s="1452"/>
      <c r="AQ23" s="1452"/>
      <c r="AR23" s="1453"/>
      <c r="AS23" s="1452"/>
      <c r="AT23" s="1452"/>
      <c r="AU23" s="1452">
        <v>7500</v>
      </c>
      <c r="AV23" s="1453"/>
      <c r="AW23" s="1452"/>
      <c r="AX23" s="1452"/>
      <c r="AY23" s="1452"/>
      <c r="AZ23" s="1452"/>
      <c r="BA23" s="1452"/>
      <c r="BB23" s="1452"/>
      <c r="BC23" s="1452"/>
      <c r="BD23" s="1452"/>
      <c r="BE23" s="1452"/>
      <c r="BF23" s="1452"/>
      <c r="BG23" s="1452"/>
      <c r="BH23" s="1452"/>
      <c r="BI23" s="1452"/>
      <c r="BJ23" s="1452"/>
      <c r="BK23" s="1452"/>
      <c r="BL23" s="1452"/>
      <c r="BM23" s="1452"/>
      <c r="BN23" s="1452"/>
      <c r="BO23" s="1452"/>
      <c r="BP23" s="1452"/>
      <c r="BQ23" s="1452"/>
      <c r="BR23" s="1452"/>
      <c r="BS23" s="1452"/>
      <c r="BT23" s="1452"/>
      <c r="BU23" s="1452"/>
      <c r="BV23" s="1452"/>
      <c r="BW23" s="1452"/>
      <c r="BX23" s="1452"/>
      <c r="BY23" s="1452"/>
      <c r="BZ23" s="1452"/>
      <c r="CA23" s="1452"/>
      <c r="CB23" s="1452"/>
      <c r="CC23" s="1452"/>
      <c r="CD23" s="1452"/>
      <c r="CE23" s="1453"/>
      <c r="CF23" s="1452"/>
      <c r="CG23" s="1452"/>
      <c r="CH23" s="1452"/>
      <c r="CI23" s="1452"/>
      <c r="CJ23" s="1452"/>
      <c r="CK23" s="1452"/>
      <c r="CL23" s="1452"/>
      <c r="CM23" s="1452"/>
      <c r="CN23" s="1452"/>
      <c r="CO23" s="1452"/>
      <c r="CP23" s="1452"/>
      <c r="CQ23" s="1452"/>
      <c r="CR23" s="1452"/>
      <c r="CS23" s="1452"/>
      <c r="CT23" s="1452"/>
      <c r="CU23" s="1452"/>
      <c r="CV23" s="1452"/>
      <c r="CW23" s="1452"/>
      <c r="CX23" s="1452"/>
      <c r="CY23" s="1452"/>
      <c r="CZ23" s="1452"/>
      <c r="DA23" s="1452"/>
      <c r="DB23" s="1452"/>
      <c r="DC23" s="1452"/>
      <c r="DD23" s="1452"/>
      <c r="DE23" s="1452"/>
      <c r="DF23" s="1452"/>
      <c r="DG23" s="1452"/>
      <c r="DH23" s="1452"/>
      <c r="DI23" s="1452"/>
      <c r="DJ23" s="1452"/>
      <c r="DK23" s="1452"/>
      <c r="DL23" s="1452">
        <v>7500</v>
      </c>
      <c r="DM23" s="1452"/>
      <c r="DN23" s="1452"/>
      <c r="DO23" s="1452"/>
      <c r="DP23" s="1452">
        <v>7500</v>
      </c>
      <c r="DQ23" s="1452"/>
      <c r="DR23" s="1452"/>
      <c r="DS23" s="1452"/>
      <c r="DT23" s="1452">
        <v>7500</v>
      </c>
      <c r="DU23" s="1452"/>
      <c r="DV23" s="1452"/>
      <c r="DW23" s="1452"/>
      <c r="DX23" s="1452"/>
      <c r="DY23" s="1452"/>
      <c r="DZ23" s="1452"/>
      <c r="EA23" s="1452"/>
      <c r="EB23" s="1452"/>
      <c r="EC23" s="1452"/>
      <c r="ED23" s="1452"/>
      <c r="EE23" s="1452"/>
      <c r="EF23" s="1452"/>
      <c r="EG23" s="1453"/>
      <c r="EH23" s="1453"/>
      <c r="EI23" s="1452">
        <v>7500</v>
      </c>
      <c r="EJ23" s="1452"/>
      <c r="EK23" s="1452"/>
      <c r="EL23" s="1452"/>
      <c r="EM23" s="1452"/>
      <c r="EN23" s="1452"/>
      <c r="EO23" s="1452"/>
      <c r="EP23" s="1452"/>
      <c r="EQ23" s="1452"/>
      <c r="ER23" s="1452"/>
      <c r="ES23" s="1452"/>
      <c r="ET23" s="1452"/>
      <c r="EU23" s="1452"/>
      <c r="EV23" s="1452"/>
      <c r="EW23" s="1452"/>
      <c r="EX23" s="1452"/>
      <c r="EY23" s="1452"/>
      <c r="EZ23" s="1452"/>
      <c r="FA23" s="1452"/>
      <c r="FB23" s="1452"/>
      <c r="FC23" s="1452"/>
      <c r="FD23" s="1452"/>
      <c r="FE23" s="1452"/>
      <c r="FF23" s="1452"/>
      <c r="FG23" s="1452"/>
      <c r="FH23" s="1452"/>
      <c r="FI23" s="1452"/>
      <c r="FJ23" s="1452"/>
      <c r="FK23" s="1452"/>
      <c r="FL23" s="1452"/>
      <c r="FM23" s="1452"/>
      <c r="FN23" s="1453"/>
      <c r="FO23" s="1453"/>
      <c r="FP23" s="1453"/>
      <c r="FQ23" s="1452"/>
      <c r="FR23" s="1452"/>
      <c r="FS23" s="1452"/>
      <c r="FT23" s="1452"/>
      <c r="FU23" s="1452"/>
      <c r="FV23" s="1452"/>
      <c r="FW23" s="1452"/>
      <c r="FX23" s="1452"/>
      <c r="FY23" s="1452"/>
      <c r="FZ23" s="1452"/>
      <c r="GA23" s="1452"/>
      <c r="GB23" s="1452"/>
      <c r="GC23" s="1452"/>
      <c r="GD23" s="1452"/>
      <c r="GE23" s="1452"/>
      <c r="GF23" s="1452">
        <v>7500</v>
      </c>
      <c r="GG23" s="1452"/>
      <c r="GH23" s="1452"/>
      <c r="GI23" s="1452"/>
      <c r="GJ23" s="1452"/>
      <c r="GK23" s="1452"/>
      <c r="GL23" s="1452"/>
      <c r="GM23" s="1452"/>
      <c r="GN23" s="1452"/>
      <c r="GO23" s="1452"/>
      <c r="GP23" s="1452"/>
      <c r="GQ23" s="1452"/>
      <c r="GR23" s="1452"/>
      <c r="GS23" s="1453"/>
      <c r="GT23" s="1452"/>
      <c r="GU23" s="1452"/>
      <c r="GV23" s="1452"/>
      <c r="GW23" s="1452"/>
      <c r="GX23" s="1454">
        <v>8900</v>
      </c>
      <c r="GY23" s="1452"/>
      <c r="GZ23" s="1452">
        <v>7500</v>
      </c>
      <c r="HA23" s="1453"/>
      <c r="HB23" s="1452"/>
      <c r="HC23" s="1452"/>
      <c r="HD23" s="1452"/>
      <c r="HE23" s="1452"/>
      <c r="HF23" s="1452"/>
      <c r="HG23" s="1452"/>
      <c r="HH23" s="1452"/>
      <c r="HI23" s="1452"/>
      <c r="HJ23" s="1452"/>
      <c r="HK23" s="1452"/>
      <c r="HL23" s="1452"/>
      <c r="HM23" s="1452"/>
      <c r="HN23" s="1452"/>
      <c r="HO23" s="1452"/>
      <c r="HP23" s="1452"/>
      <c r="HQ23" s="1452"/>
      <c r="HR23" s="1452"/>
      <c r="HS23" s="1452"/>
      <c r="HT23" s="1452"/>
      <c r="HU23" s="1452"/>
      <c r="HV23" s="1452"/>
      <c r="HW23" s="1452"/>
      <c r="HX23" s="1452"/>
      <c r="HY23" s="1452"/>
      <c r="HZ23" s="1452"/>
      <c r="IA23" s="1452"/>
      <c r="IB23" s="1452"/>
      <c r="IC23" s="1452"/>
      <c r="ID23" s="1452"/>
      <c r="IE23" s="1452"/>
      <c r="IF23" s="1452"/>
      <c r="IG23" s="1452"/>
      <c r="IH23" s="1452"/>
      <c r="II23" s="1452"/>
      <c r="IJ23" s="1452"/>
      <c r="IK23" s="1452"/>
      <c r="IL23" s="1452"/>
      <c r="IM23" s="1452"/>
      <c r="IN23" s="1452"/>
      <c r="IO23" s="1452"/>
      <c r="IP23" s="1452"/>
      <c r="IQ23" s="1452"/>
      <c r="IR23" s="1452"/>
      <c r="IS23" s="1452"/>
      <c r="IT23" s="1452"/>
      <c r="IU23" s="1452"/>
      <c r="IV23" s="1452"/>
      <c r="IW23" s="1452"/>
      <c r="IX23" s="1452"/>
      <c r="IY23" s="1453"/>
      <c r="IZ23" s="1452"/>
      <c r="JA23" s="1452"/>
      <c r="JB23" s="1452"/>
      <c r="JC23" s="1452"/>
      <c r="JD23" s="1452"/>
      <c r="JE23" s="1452"/>
      <c r="JF23" s="1452"/>
      <c r="JG23" s="1452"/>
      <c r="JH23" s="1452"/>
      <c r="JI23" s="1452"/>
      <c r="JJ23" s="1452"/>
      <c r="JK23" s="1455"/>
      <c r="JL23" s="1455"/>
      <c r="JM23" s="1455"/>
      <c r="JN23" s="1455"/>
      <c r="JO23" s="1455"/>
      <c r="JP23" s="1455"/>
      <c r="JQ23" s="1455"/>
      <c r="JR23" s="351"/>
      <c r="JS23" s="1470"/>
      <c r="JT23" s="450" t="s">
        <v>2242</v>
      </c>
    </row>
    <row r="24" spans="1:280" ht="12.5" x14ac:dyDescent="0.25">
      <c r="A24" s="1367">
        <v>23</v>
      </c>
      <c r="B24" s="1434" t="str">
        <f t="shared" si="0"/>
        <v/>
      </c>
      <c r="C24" s="1435" t="s">
        <v>2759</v>
      </c>
      <c r="D24" s="1436" t="s">
        <v>2760</v>
      </c>
      <c r="E24" s="1452"/>
      <c r="F24" s="1452"/>
      <c r="G24" s="1452"/>
      <c r="H24" s="1453"/>
      <c r="I24" s="1453"/>
      <c r="J24" s="1453"/>
      <c r="K24" s="1452"/>
      <c r="L24" s="1453"/>
      <c r="M24" s="1453"/>
      <c r="N24" s="1453"/>
      <c r="O24" s="1452"/>
      <c r="P24" s="1453"/>
      <c r="Q24" s="1452"/>
      <c r="R24" s="1452"/>
      <c r="S24" s="1453"/>
      <c r="T24" s="1453"/>
      <c r="U24" s="1453"/>
      <c r="V24" s="1452"/>
      <c r="W24" s="1452"/>
      <c r="X24" s="1452"/>
      <c r="Y24" s="1452"/>
      <c r="Z24" s="1453"/>
      <c r="AA24" s="1452"/>
      <c r="AB24" s="1453"/>
      <c r="AC24" s="1452"/>
      <c r="AD24" s="1452"/>
      <c r="AE24" s="1452"/>
      <c r="AF24" s="1452"/>
      <c r="AG24" s="1452"/>
      <c r="AH24" s="1452"/>
      <c r="AI24" s="1452"/>
      <c r="AJ24" s="1453"/>
      <c r="AK24" s="1452"/>
      <c r="AL24" s="1453"/>
      <c r="AM24" s="1453"/>
      <c r="AN24" s="1453"/>
      <c r="AO24" s="1453"/>
      <c r="AP24" s="1452"/>
      <c r="AQ24" s="1452"/>
      <c r="AR24" s="1453"/>
      <c r="AS24" s="1452"/>
      <c r="AT24" s="1452"/>
      <c r="AU24" s="1452"/>
      <c r="AV24" s="1453"/>
      <c r="AW24" s="1452"/>
      <c r="AX24" s="1452"/>
      <c r="AY24" s="1452"/>
      <c r="AZ24" s="1452"/>
      <c r="BA24" s="1452"/>
      <c r="BB24" s="1452"/>
      <c r="BC24" s="1452"/>
      <c r="BD24" s="1452"/>
      <c r="BE24" s="1452"/>
      <c r="BF24" s="1452"/>
      <c r="BG24" s="1452"/>
      <c r="BH24" s="1452"/>
      <c r="BI24" s="1452"/>
      <c r="BJ24" s="1452"/>
      <c r="BK24" s="1452"/>
      <c r="BL24" s="1452"/>
      <c r="BM24" s="1452"/>
      <c r="BN24" s="1452"/>
      <c r="BO24" s="1452"/>
      <c r="BP24" s="1452"/>
      <c r="BQ24" s="1452"/>
      <c r="BR24" s="1452"/>
      <c r="BS24" s="1452"/>
      <c r="BT24" s="1452"/>
      <c r="BU24" s="1452"/>
      <c r="BV24" s="1452"/>
      <c r="BW24" s="1452"/>
      <c r="BX24" s="1452"/>
      <c r="BY24" s="1452"/>
      <c r="BZ24" s="1452"/>
      <c r="CA24" s="1452"/>
      <c r="CB24" s="1452"/>
      <c r="CC24" s="1452"/>
      <c r="CD24" s="1452"/>
      <c r="CE24" s="1453">
        <v>7500</v>
      </c>
      <c r="CF24" s="1452"/>
      <c r="CG24" s="1452"/>
      <c r="CH24" s="1452"/>
      <c r="CI24" s="1452"/>
      <c r="CJ24" s="1452"/>
      <c r="CK24" s="1452"/>
      <c r="CL24" s="1452"/>
      <c r="CM24" s="1452"/>
      <c r="CN24" s="1452"/>
      <c r="CO24" s="1452"/>
      <c r="CP24" s="1452"/>
      <c r="CQ24" s="1452"/>
      <c r="CR24" s="1452"/>
      <c r="CS24" s="1452"/>
      <c r="CT24" s="1452"/>
      <c r="CU24" s="1452"/>
      <c r="CV24" s="1452"/>
      <c r="CW24" s="1452"/>
      <c r="CX24" s="1452"/>
      <c r="CY24" s="1452"/>
      <c r="CZ24" s="1452"/>
      <c r="DA24" s="1452"/>
      <c r="DB24" s="1452"/>
      <c r="DC24" s="1452"/>
      <c r="DD24" s="1452"/>
      <c r="DE24" s="1452"/>
      <c r="DF24" s="1452"/>
      <c r="DG24" s="1452"/>
      <c r="DH24" s="1452"/>
      <c r="DI24" s="1452"/>
      <c r="DJ24" s="1452"/>
      <c r="DK24" s="1452"/>
      <c r="DL24" s="1452"/>
      <c r="DM24" s="1452"/>
      <c r="DN24" s="1452"/>
      <c r="DO24" s="1452"/>
      <c r="DP24" s="1454">
        <v>700</v>
      </c>
      <c r="DQ24" s="1452"/>
      <c r="DR24" s="1452"/>
      <c r="DS24" s="1452"/>
      <c r="DT24" s="1454">
        <v>700</v>
      </c>
      <c r="DU24" s="1452"/>
      <c r="DV24" s="1452"/>
      <c r="DW24" s="1452"/>
      <c r="DX24" s="1452"/>
      <c r="DY24" s="1452"/>
      <c r="DZ24" s="1452"/>
      <c r="EA24" s="1452"/>
      <c r="EB24" s="1452"/>
      <c r="EC24" s="1452"/>
      <c r="ED24" s="1452"/>
      <c r="EE24" s="1452"/>
      <c r="EF24" s="1452"/>
      <c r="EG24" s="1453"/>
      <c r="EH24" s="1453">
        <v>7500</v>
      </c>
      <c r="EI24" s="1452"/>
      <c r="EJ24" s="1452"/>
      <c r="EK24" s="1452"/>
      <c r="EL24" s="1452"/>
      <c r="EM24" s="1454">
        <v>3751</v>
      </c>
      <c r="EN24" s="1452"/>
      <c r="EO24" s="1452"/>
      <c r="EP24" s="1452"/>
      <c r="EQ24" s="1452"/>
      <c r="ER24" s="1452"/>
      <c r="ES24" s="1452"/>
      <c r="ET24" s="1452"/>
      <c r="EU24" s="1452"/>
      <c r="EV24" s="1452"/>
      <c r="EW24" s="1452"/>
      <c r="EX24" s="1452"/>
      <c r="EY24" s="1452"/>
      <c r="EZ24" s="1452"/>
      <c r="FA24" s="1452"/>
      <c r="FB24" s="1452"/>
      <c r="FC24" s="1452"/>
      <c r="FD24" s="1452"/>
      <c r="FE24" s="1452"/>
      <c r="FF24" s="1452"/>
      <c r="FG24" s="1452"/>
      <c r="FH24" s="1452"/>
      <c r="FI24" s="1452"/>
      <c r="FJ24" s="1452"/>
      <c r="FK24" s="1452"/>
      <c r="FL24" s="1452"/>
      <c r="FM24" s="1452"/>
      <c r="FN24" s="1453">
        <v>7500</v>
      </c>
      <c r="FO24" s="1453">
        <v>7500</v>
      </c>
      <c r="FP24" s="1469"/>
      <c r="FQ24" s="1452"/>
      <c r="FR24" s="1452"/>
      <c r="FS24" s="1452"/>
      <c r="FT24" s="1452"/>
      <c r="FU24" s="1452"/>
      <c r="FV24" s="1452"/>
      <c r="FW24" s="1452"/>
      <c r="FX24" s="1452"/>
      <c r="FY24" s="1452"/>
      <c r="FZ24" s="1452"/>
      <c r="GA24" s="1452"/>
      <c r="GB24" s="1452"/>
      <c r="GC24" s="1452"/>
      <c r="GD24" s="1452"/>
      <c r="GE24" s="1452"/>
      <c r="GF24" s="1452"/>
      <c r="GG24" s="1452"/>
      <c r="GH24" s="1452"/>
      <c r="GI24" s="1452"/>
      <c r="GJ24" s="1452"/>
      <c r="GK24" s="1452"/>
      <c r="GL24" s="1452"/>
      <c r="GM24" s="1452"/>
      <c r="GN24" s="1452"/>
      <c r="GO24" s="1452"/>
      <c r="GP24" s="1452"/>
      <c r="GQ24" s="1452"/>
      <c r="GR24" s="1452"/>
      <c r="GS24" s="1453">
        <v>7500</v>
      </c>
      <c r="GT24" s="1452"/>
      <c r="GU24" s="1452"/>
      <c r="GV24" s="1452"/>
      <c r="GW24" s="1452"/>
      <c r="GX24" s="1452"/>
      <c r="GY24" s="1452"/>
      <c r="GZ24" s="1452"/>
      <c r="HA24" s="1453">
        <v>7500</v>
      </c>
      <c r="HB24" s="1452"/>
      <c r="HC24" s="1452"/>
      <c r="HD24" s="1452"/>
      <c r="HE24" s="1452"/>
      <c r="HF24" s="1452"/>
      <c r="HG24" s="1452"/>
      <c r="HH24" s="1452"/>
      <c r="HI24" s="1452"/>
      <c r="HJ24" s="1452"/>
      <c r="HK24" s="1452"/>
      <c r="HL24" s="1452"/>
      <c r="HM24" s="1454">
        <v>8309</v>
      </c>
      <c r="HN24" s="1452"/>
      <c r="HO24" s="1452"/>
      <c r="HP24" s="1452"/>
      <c r="HQ24" s="1452"/>
      <c r="HR24" s="1452"/>
      <c r="HS24" s="1452"/>
      <c r="HT24" s="1452"/>
      <c r="HU24" s="1452"/>
      <c r="HV24" s="1452"/>
      <c r="HW24" s="1452"/>
      <c r="HX24" s="1452"/>
      <c r="HY24" s="1452"/>
      <c r="HZ24" s="1452"/>
      <c r="IA24" s="1452"/>
      <c r="IB24" s="1452"/>
      <c r="IC24" s="1452"/>
      <c r="ID24" s="1452"/>
      <c r="IE24" s="1452"/>
      <c r="IF24" s="1452"/>
      <c r="IG24" s="1452"/>
      <c r="IH24" s="1452"/>
      <c r="II24" s="1452"/>
      <c r="IJ24" s="1452"/>
      <c r="IK24" s="1454">
        <v>491.25</v>
      </c>
      <c r="IL24" s="1452"/>
      <c r="IM24" s="1452"/>
      <c r="IN24" s="1452"/>
      <c r="IO24" s="1452"/>
      <c r="IP24" s="1452"/>
      <c r="IQ24" s="1452"/>
      <c r="IR24" s="1452"/>
      <c r="IS24" s="1452"/>
      <c r="IT24" s="1452"/>
      <c r="IU24" s="1452"/>
      <c r="IV24" s="1452"/>
      <c r="IW24" s="1452"/>
      <c r="IX24" s="1454">
        <v>100769</v>
      </c>
      <c r="IY24" s="1453"/>
      <c r="IZ24" s="1452"/>
      <c r="JA24" s="1452"/>
      <c r="JB24" s="1452"/>
      <c r="JC24" s="1452"/>
      <c r="JD24" s="1454">
        <v>3098</v>
      </c>
      <c r="JE24" s="1452"/>
      <c r="JF24" s="1452"/>
      <c r="JG24" s="1452"/>
      <c r="JH24" s="1452"/>
      <c r="JI24" s="1452"/>
      <c r="JJ24" s="1452"/>
      <c r="JK24" s="1455"/>
      <c r="JL24" s="1455"/>
      <c r="JM24" s="1455"/>
      <c r="JN24" s="1455"/>
      <c r="JO24" s="1455"/>
      <c r="JP24" s="1455"/>
      <c r="JQ24" s="1455"/>
      <c r="JR24" s="351"/>
      <c r="JS24" s="1470"/>
      <c r="JT24" s="450" t="s">
        <v>2242</v>
      </c>
    </row>
    <row r="25" spans="1:280" ht="12.5" x14ac:dyDescent="0.25">
      <c r="A25" s="1367">
        <v>24</v>
      </c>
      <c r="B25" s="1434" t="str">
        <f t="shared" si="0"/>
        <v/>
      </c>
      <c r="C25" s="1435" t="s">
        <v>2761</v>
      </c>
      <c r="D25" s="1436" t="s">
        <v>2762</v>
      </c>
      <c r="E25" s="1452"/>
      <c r="F25" s="1452"/>
      <c r="G25" s="1452"/>
      <c r="H25" s="1453"/>
      <c r="I25" s="1453"/>
      <c r="J25" s="1453"/>
      <c r="K25" s="1452"/>
      <c r="L25" s="1453"/>
      <c r="M25" s="1453"/>
      <c r="N25" s="1453"/>
      <c r="O25" s="1452"/>
      <c r="P25" s="1453"/>
      <c r="Q25" s="1452"/>
      <c r="R25" s="1452"/>
      <c r="S25" s="1453"/>
      <c r="T25" s="1453"/>
      <c r="U25" s="1453"/>
      <c r="V25" s="1452"/>
      <c r="W25" s="1452"/>
      <c r="X25" s="1452"/>
      <c r="Y25" s="1452"/>
      <c r="Z25" s="1453"/>
      <c r="AA25" s="1452"/>
      <c r="AB25" s="1453"/>
      <c r="AC25" s="1452"/>
      <c r="AD25" s="1452"/>
      <c r="AE25" s="1452"/>
      <c r="AF25" s="1452"/>
      <c r="AG25" s="1452"/>
      <c r="AH25" s="1452"/>
      <c r="AI25" s="1452"/>
      <c r="AJ25" s="1453"/>
      <c r="AK25" s="1452"/>
      <c r="AL25" s="1453"/>
      <c r="AM25" s="1453"/>
      <c r="AN25" s="1453"/>
      <c r="AO25" s="1453"/>
      <c r="AP25" s="1452"/>
      <c r="AQ25" s="1452"/>
      <c r="AR25" s="1453"/>
      <c r="AS25" s="1452"/>
      <c r="AT25" s="1452"/>
      <c r="AU25" s="1452"/>
      <c r="AV25" s="1453"/>
      <c r="AW25" s="1452"/>
      <c r="AX25" s="1452"/>
      <c r="AY25" s="1452"/>
      <c r="AZ25" s="1452"/>
      <c r="BA25" s="1452"/>
      <c r="BB25" s="1452"/>
      <c r="BC25" s="1452"/>
      <c r="BD25" s="1452"/>
      <c r="BE25" s="1452"/>
      <c r="BF25" s="1452"/>
      <c r="BG25" s="1452"/>
      <c r="BH25" s="1452"/>
      <c r="BI25" s="1452"/>
      <c r="BJ25" s="1452"/>
      <c r="BK25" s="1452"/>
      <c r="BL25" s="1452"/>
      <c r="BM25" s="1452"/>
      <c r="BN25" s="1452"/>
      <c r="BO25" s="1452"/>
      <c r="BP25" s="1452"/>
      <c r="BQ25" s="1452"/>
      <c r="BR25" s="1452"/>
      <c r="BS25" s="1452"/>
      <c r="BT25" s="1452"/>
      <c r="BU25" s="1452"/>
      <c r="BV25" s="1452"/>
      <c r="BW25" s="1452"/>
      <c r="BX25" s="1452"/>
      <c r="BY25" s="1452"/>
      <c r="BZ25" s="1452"/>
      <c r="CA25" s="1452"/>
      <c r="CB25" s="1452"/>
      <c r="CC25" s="1452"/>
      <c r="CD25" s="1452"/>
      <c r="CE25" s="1453">
        <v>4500</v>
      </c>
      <c r="CF25" s="1452"/>
      <c r="CG25" s="1452"/>
      <c r="CH25" s="1452"/>
      <c r="CI25" s="1452"/>
      <c r="CJ25" s="1452"/>
      <c r="CK25" s="1452"/>
      <c r="CL25" s="1452"/>
      <c r="CM25" s="1452"/>
      <c r="CN25" s="1452"/>
      <c r="CO25" s="1452"/>
      <c r="CP25" s="1452"/>
      <c r="CQ25" s="1452"/>
      <c r="CR25" s="1452"/>
      <c r="CS25" s="1452"/>
      <c r="CT25" s="1452"/>
      <c r="CU25" s="1452"/>
      <c r="CV25" s="1452"/>
      <c r="CW25" s="1452"/>
      <c r="CX25" s="1452"/>
      <c r="CY25" s="1452"/>
      <c r="CZ25" s="1452"/>
      <c r="DA25" s="1452"/>
      <c r="DB25" s="1452"/>
      <c r="DC25" s="1452"/>
      <c r="DD25" s="1452"/>
      <c r="DE25" s="1452"/>
      <c r="DF25" s="1452"/>
      <c r="DG25" s="1452"/>
      <c r="DH25" s="1452"/>
      <c r="DI25" s="1452"/>
      <c r="DJ25" s="1452"/>
      <c r="DK25" s="1452"/>
      <c r="DL25" s="1452"/>
      <c r="DM25" s="1452"/>
      <c r="DN25" s="1452"/>
      <c r="DO25" s="1452"/>
      <c r="DP25" s="1452"/>
      <c r="DQ25" s="1452"/>
      <c r="DR25" s="1452"/>
      <c r="DS25" s="1452"/>
      <c r="DT25" s="1452"/>
      <c r="DU25" s="1452"/>
      <c r="DV25" s="1452"/>
      <c r="DW25" s="1452"/>
      <c r="DX25" s="1452"/>
      <c r="DY25" s="1452"/>
      <c r="DZ25" s="1452"/>
      <c r="EA25" s="1452"/>
      <c r="EB25" s="1452"/>
      <c r="EC25" s="1452"/>
      <c r="ED25" s="1452"/>
      <c r="EE25" s="1452"/>
      <c r="EF25" s="1452"/>
      <c r="EG25" s="1453"/>
      <c r="EH25" s="1453">
        <v>4500</v>
      </c>
      <c r="EI25" s="1452"/>
      <c r="EJ25" s="1452"/>
      <c r="EK25" s="1452"/>
      <c r="EL25" s="1452"/>
      <c r="EM25" s="1452"/>
      <c r="EN25" s="1452"/>
      <c r="EO25" s="1452"/>
      <c r="EP25" s="1452"/>
      <c r="EQ25" s="1452"/>
      <c r="ER25" s="1452"/>
      <c r="ES25" s="1452"/>
      <c r="ET25" s="1452"/>
      <c r="EU25" s="1452"/>
      <c r="EV25" s="1452"/>
      <c r="EW25" s="1452"/>
      <c r="EX25" s="1452"/>
      <c r="EY25" s="1452"/>
      <c r="EZ25" s="1452"/>
      <c r="FA25" s="1452"/>
      <c r="FB25" s="1452"/>
      <c r="FC25" s="1452"/>
      <c r="FD25" s="1452"/>
      <c r="FE25" s="1452"/>
      <c r="FF25" s="1452"/>
      <c r="FG25" s="1452"/>
      <c r="FH25" s="1452"/>
      <c r="FI25" s="1452"/>
      <c r="FJ25" s="1452"/>
      <c r="FK25" s="1452"/>
      <c r="FL25" s="1452"/>
      <c r="FM25" s="1452"/>
      <c r="FN25" s="1453">
        <v>4500</v>
      </c>
      <c r="FO25" s="1453">
        <v>4500</v>
      </c>
      <c r="FP25" s="1469"/>
      <c r="FQ25" s="1452"/>
      <c r="FR25" s="1452"/>
      <c r="FS25" s="1452"/>
      <c r="FT25" s="1452"/>
      <c r="FU25" s="1452"/>
      <c r="FV25" s="1452"/>
      <c r="FW25" s="1452"/>
      <c r="FX25" s="1452"/>
      <c r="FY25" s="1452"/>
      <c r="FZ25" s="1452"/>
      <c r="GA25" s="1452"/>
      <c r="GB25" s="1452"/>
      <c r="GC25" s="1452"/>
      <c r="GD25" s="1452"/>
      <c r="GE25" s="1452"/>
      <c r="GF25" s="1452"/>
      <c r="GG25" s="1452"/>
      <c r="GH25" s="1452"/>
      <c r="GI25" s="1452"/>
      <c r="GJ25" s="1452"/>
      <c r="GK25" s="1452"/>
      <c r="GL25" s="1452"/>
      <c r="GM25" s="1452"/>
      <c r="GN25" s="1452"/>
      <c r="GO25" s="1452"/>
      <c r="GP25" s="1452">
        <v>16800</v>
      </c>
      <c r="GQ25" s="1452"/>
      <c r="GR25" s="1452"/>
      <c r="GS25" s="1453">
        <v>4500</v>
      </c>
      <c r="GT25" s="1452"/>
      <c r="GU25" s="1452"/>
      <c r="GV25" s="1452"/>
      <c r="GW25" s="1452"/>
      <c r="GX25" s="1452"/>
      <c r="GY25" s="1452"/>
      <c r="GZ25" s="1452"/>
      <c r="HA25" s="1453">
        <v>4500</v>
      </c>
      <c r="HB25" s="1452"/>
      <c r="HC25" s="1452"/>
      <c r="HD25" s="1452"/>
      <c r="HE25" s="1452"/>
      <c r="HF25" s="1452"/>
      <c r="HG25" s="1452"/>
      <c r="HH25" s="1452"/>
      <c r="HI25" s="1452"/>
      <c r="HJ25" s="1452"/>
      <c r="HK25" s="1452"/>
      <c r="HL25" s="1452"/>
      <c r="HM25" s="1452"/>
      <c r="HN25" s="1452"/>
      <c r="HO25" s="1452"/>
      <c r="HP25" s="1452"/>
      <c r="HQ25" s="1452"/>
      <c r="HR25" s="1452"/>
      <c r="HS25" s="1452"/>
      <c r="HT25" s="1452"/>
      <c r="HU25" s="1452"/>
      <c r="HV25" s="1452"/>
      <c r="HW25" s="1452"/>
      <c r="HX25" s="1452"/>
      <c r="HY25" s="1452"/>
      <c r="HZ25" s="1452"/>
      <c r="IA25" s="1452"/>
      <c r="IB25" s="1452"/>
      <c r="IC25" s="1452"/>
      <c r="ID25" s="1452"/>
      <c r="IE25" s="1452"/>
      <c r="IF25" s="1452"/>
      <c r="IG25" s="1452"/>
      <c r="IH25" s="1452"/>
      <c r="II25" s="1452"/>
      <c r="IJ25" s="1452"/>
      <c r="IK25" s="1452"/>
      <c r="IL25" s="1452"/>
      <c r="IM25" s="1452"/>
      <c r="IN25" s="1452"/>
      <c r="IO25" s="1452"/>
      <c r="IP25" s="1452"/>
      <c r="IQ25" s="1452"/>
      <c r="IR25" s="1452"/>
      <c r="IS25" s="1452"/>
      <c r="IT25" s="1452"/>
      <c r="IU25" s="1452"/>
      <c r="IV25" s="1452"/>
      <c r="IW25" s="1452"/>
      <c r="IX25" s="1452"/>
      <c r="IY25" s="1453"/>
      <c r="IZ25" s="1452"/>
      <c r="JA25" s="1452"/>
      <c r="JB25" s="1452"/>
      <c r="JC25" s="1452"/>
      <c r="JD25" s="1452"/>
      <c r="JE25" s="1452"/>
      <c r="JF25" s="1452"/>
      <c r="JG25" s="1452"/>
      <c r="JH25" s="1452"/>
      <c r="JI25" s="1452"/>
      <c r="JJ25" s="1452"/>
      <c r="JK25" s="1455"/>
      <c r="JL25" s="1455"/>
      <c r="JM25" s="1455"/>
      <c r="JN25" s="1455"/>
      <c r="JO25" s="1455"/>
      <c r="JP25" s="1455"/>
      <c r="JQ25" s="1455"/>
      <c r="JR25" s="351"/>
      <c r="JS25" s="1470"/>
      <c r="JT25" s="450" t="s">
        <v>2242</v>
      </c>
    </row>
    <row r="26" spans="1:280" ht="12.5" x14ac:dyDescent="0.25">
      <c r="A26" s="1367">
        <v>25</v>
      </c>
      <c r="B26" s="1434" t="str">
        <f t="shared" si="0"/>
        <v/>
      </c>
      <c r="C26" s="1435" t="s">
        <v>2763</v>
      </c>
      <c r="D26" s="1436" t="s">
        <v>2764</v>
      </c>
      <c r="E26" s="1452"/>
      <c r="F26" s="1452"/>
      <c r="G26" s="1452"/>
      <c r="H26" s="1453"/>
      <c r="I26" s="1453"/>
      <c r="J26" s="1453"/>
      <c r="K26" s="1452">
        <v>1995</v>
      </c>
      <c r="L26" s="1453"/>
      <c r="M26" s="1453"/>
      <c r="N26" s="1453"/>
      <c r="O26" s="1452"/>
      <c r="P26" s="1453"/>
      <c r="Q26" s="1452"/>
      <c r="R26" s="1452"/>
      <c r="S26" s="1453"/>
      <c r="T26" s="1453"/>
      <c r="U26" s="1453"/>
      <c r="V26" s="1452"/>
      <c r="W26" s="1452"/>
      <c r="X26" s="1452"/>
      <c r="Y26" s="1452">
        <v>2167</v>
      </c>
      <c r="Z26" s="1453"/>
      <c r="AA26" s="1452"/>
      <c r="AB26" s="1453"/>
      <c r="AC26" s="1452"/>
      <c r="AD26" s="1452"/>
      <c r="AE26" s="1452"/>
      <c r="AF26" s="1452"/>
      <c r="AG26" s="1452"/>
      <c r="AH26" s="1452"/>
      <c r="AI26" s="1452"/>
      <c r="AJ26" s="1453"/>
      <c r="AK26" s="1452"/>
      <c r="AL26" s="1453">
        <v>5000</v>
      </c>
      <c r="AM26" s="1453"/>
      <c r="AN26" s="1453"/>
      <c r="AO26" s="1453"/>
      <c r="AP26" s="1452"/>
      <c r="AQ26" s="1452"/>
      <c r="AR26" s="1453"/>
      <c r="AS26" s="1452"/>
      <c r="AT26" s="1452"/>
      <c r="AU26" s="1452"/>
      <c r="AV26" s="1453"/>
      <c r="AW26" s="1452"/>
      <c r="AX26" s="1452"/>
      <c r="AY26" s="1452"/>
      <c r="AZ26" s="1452"/>
      <c r="BA26" s="1452"/>
      <c r="BB26" s="1452"/>
      <c r="BC26" s="1452"/>
      <c r="BD26" s="1452"/>
      <c r="BE26" s="1452"/>
      <c r="BF26" s="1452"/>
      <c r="BG26" s="1452"/>
      <c r="BH26" s="1452"/>
      <c r="BI26" s="1452"/>
      <c r="BJ26" s="1454">
        <v>850</v>
      </c>
      <c r="BK26" s="1452"/>
      <c r="BL26" s="1452"/>
      <c r="BM26" s="1452"/>
      <c r="BN26" s="1452"/>
      <c r="BO26" s="1452"/>
      <c r="BP26" s="1452"/>
      <c r="BQ26" s="1452"/>
      <c r="BR26" s="1452"/>
      <c r="BS26" s="1452"/>
      <c r="BT26" s="1452"/>
      <c r="BU26" s="1452"/>
      <c r="BV26" s="1452"/>
      <c r="BW26" s="1452"/>
      <c r="BX26" s="1452"/>
      <c r="BY26" s="1452"/>
      <c r="BZ26" s="1452"/>
      <c r="CA26" s="1452"/>
      <c r="CB26" s="1452"/>
      <c r="CC26" s="1452"/>
      <c r="CD26" s="1452"/>
      <c r="CE26" s="1453">
        <v>5000</v>
      </c>
      <c r="CF26" s="1452"/>
      <c r="CG26" s="1452"/>
      <c r="CH26" s="1452"/>
      <c r="CI26" s="1452"/>
      <c r="CJ26" s="1452"/>
      <c r="CK26" s="1452"/>
      <c r="CL26" s="1452"/>
      <c r="CM26" s="1452"/>
      <c r="CN26" s="1452"/>
      <c r="CO26" s="1452"/>
      <c r="CP26" s="1452"/>
      <c r="CQ26" s="1452"/>
      <c r="CR26" s="1452"/>
      <c r="CS26" s="1452"/>
      <c r="CT26" s="1452"/>
      <c r="CU26" s="1452"/>
      <c r="CV26" s="1452"/>
      <c r="CW26" s="1452"/>
      <c r="CX26" s="1452"/>
      <c r="CY26" s="1452"/>
      <c r="CZ26" s="1452"/>
      <c r="DA26" s="1452"/>
      <c r="DB26" s="1452"/>
      <c r="DC26" s="1452"/>
      <c r="DD26" s="1452"/>
      <c r="DE26" s="1452"/>
      <c r="DF26" s="1452"/>
      <c r="DG26" s="1452"/>
      <c r="DH26" s="1452"/>
      <c r="DI26" s="1452"/>
      <c r="DJ26" s="1452"/>
      <c r="DK26" s="1452"/>
      <c r="DL26" s="1452"/>
      <c r="DM26" s="1452"/>
      <c r="DN26" s="1452"/>
      <c r="DO26" s="1452"/>
      <c r="DP26" s="1452"/>
      <c r="DQ26" s="1452"/>
      <c r="DR26" s="1452"/>
      <c r="DS26" s="1452"/>
      <c r="DT26" s="1452"/>
      <c r="DU26" s="1452"/>
      <c r="DV26" s="1452"/>
      <c r="DW26" s="1452"/>
      <c r="DX26" s="1452"/>
      <c r="DY26" s="1452"/>
      <c r="DZ26" s="1454">
        <v>100</v>
      </c>
      <c r="EA26" s="1452"/>
      <c r="EB26" s="1452"/>
      <c r="EC26" s="1452"/>
      <c r="ED26" s="1452"/>
      <c r="EE26" s="1452"/>
      <c r="EF26" s="1452"/>
      <c r="EG26" s="1453"/>
      <c r="EH26" s="1453">
        <v>5000</v>
      </c>
      <c r="EI26" s="1452"/>
      <c r="EJ26" s="1452"/>
      <c r="EK26" s="1452"/>
      <c r="EL26" s="1452"/>
      <c r="EM26" s="1452"/>
      <c r="EN26" s="1452"/>
      <c r="EO26" s="1452"/>
      <c r="EP26" s="1452"/>
      <c r="EQ26" s="1452"/>
      <c r="ER26" s="1452"/>
      <c r="ES26" s="1452"/>
      <c r="ET26" s="1452"/>
      <c r="EU26" s="1452"/>
      <c r="EV26" s="1452"/>
      <c r="EW26" s="1452"/>
      <c r="EX26" s="1452"/>
      <c r="EY26" s="1452"/>
      <c r="EZ26" s="1452"/>
      <c r="FA26" s="1452"/>
      <c r="FB26" s="1452"/>
      <c r="FC26" s="1452"/>
      <c r="FD26" s="1452"/>
      <c r="FE26" s="1452"/>
      <c r="FF26" s="1452"/>
      <c r="FG26" s="1452"/>
      <c r="FH26" s="1452"/>
      <c r="FI26" s="1452"/>
      <c r="FJ26" s="1452"/>
      <c r="FK26" s="1452"/>
      <c r="FL26" s="1452"/>
      <c r="FM26" s="1452"/>
      <c r="FN26" s="1453">
        <v>5000</v>
      </c>
      <c r="FO26" s="1453">
        <v>5000</v>
      </c>
      <c r="FP26" s="1469"/>
      <c r="FQ26" s="1452"/>
      <c r="FR26" s="1452"/>
      <c r="FS26" s="1452"/>
      <c r="FT26" s="1452"/>
      <c r="FU26" s="1452"/>
      <c r="FV26" s="1452"/>
      <c r="FW26" s="1452"/>
      <c r="FX26" s="1452"/>
      <c r="FY26" s="1452"/>
      <c r="FZ26" s="1452"/>
      <c r="GA26" s="1452"/>
      <c r="GB26" s="1452"/>
      <c r="GC26" s="1452"/>
      <c r="GD26" s="1452"/>
      <c r="GE26" s="1452"/>
      <c r="GF26" s="1452"/>
      <c r="GG26" s="1452"/>
      <c r="GH26" s="1452"/>
      <c r="GI26" s="1452"/>
      <c r="GJ26" s="1452"/>
      <c r="GK26" s="1452"/>
      <c r="GL26" s="1452"/>
      <c r="GM26" s="1452"/>
      <c r="GN26" s="1452"/>
      <c r="GO26" s="1452"/>
      <c r="GP26" s="1452"/>
      <c r="GQ26" s="1452"/>
      <c r="GR26" s="1452"/>
      <c r="GS26" s="1453">
        <v>5000</v>
      </c>
      <c r="GT26" s="1452"/>
      <c r="GU26" s="1452"/>
      <c r="GV26" s="1452"/>
      <c r="GW26" s="1452"/>
      <c r="GX26" s="1452"/>
      <c r="GY26" s="1452"/>
      <c r="GZ26" s="1452"/>
      <c r="HA26" s="1453">
        <v>5000</v>
      </c>
      <c r="HB26" s="1452"/>
      <c r="HC26" s="1452"/>
      <c r="HD26" s="1452"/>
      <c r="HE26" s="1452"/>
      <c r="HF26" s="1452"/>
      <c r="HG26" s="1452"/>
      <c r="HH26" s="1452"/>
      <c r="HI26" s="1452"/>
      <c r="HJ26" s="1452"/>
      <c r="HK26" s="1452"/>
      <c r="HL26" s="1452"/>
      <c r="HM26" s="1452"/>
      <c r="HN26" s="1452"/>
      <c r="HO26" s="1452"/>
      <c r="HP26" s="1452"/>
      <c r="HQ26" s="1452"/>
      <c r="HR26" s="1452"/>
      <c r="HS26" s="1452"/>
      <c r="HT26" s="1452"/>
      <c r="HU26" s="1452"/>
      <c r="HV26" s="1452"/>
      <c r="HW26" s="1452"/>
      <c r="HX26" s="1454">
        <v>84</v>
      </c>
      <c r="HY26" s="1452"/>
      <c r="HZ26" s="1452"/>
      <c r="IA26" s="1452"/>
      <c r="IB26" s="1452"/>
      <c r="IC26" s="1452"/>
      <c r="ID26" s="1452"/>
      <c r="IE26" s="1452"/>
      <c r="IF26" s="1452"/>
      <c r="IG26" s="1452"/>
      <c r="IH26" s="1452"/>
      <c r="II26" s="1452"/>
      <c r="IJ26" s="1452"/>
      <c r="IK26" s="1452"/>
      <c r="IL26" s="1452"/>
      <c r="IM26" s="1452"/>
      <c r="IN26" s="1452"/>
      <c r="IO26" s="1452"/>
      <c r="IP26" s="1452"/>
      <c r="IQ26" s="1452"/>
      <c r="IR26" s="1452"/>
      <c r="IS26" s="1452"/>
      <c r="IT26" s="1452"/>
      <c r="IU26" s="1452"/>
      <c r="IV26" s="1452"/>
      <c r="IW26" s="1452"/>
      <c r="IX26" s="1452"/>
      <c r="IY26" s="1453"/>
      <c r="IZ26" s="1452"/>
      <c r="JA26" s="1452"/>
      <c r="JB26" s="1452"/>
      <c r="JC26" s="1452"/>
      <c r="JD26" s="1452"/>
      <c r="JE26" s="1452"/>
      <c r="JF26" s="1454">
        <v>9556</v>
      </c>
      <c r="JG26" s="1452"/>
      <c r="JH26" s="1452"/>
      <c r="JI26" s="1452"/>
      <c r="JJ26" s="1452"/>
      <c r="JK26" s="1455"/>
      <c r="JL26" s="1455"/>
      <c r="JM26" s="1455"/>
      <c r="JN26" s="1455"/>
      <c r="JO26" s="1455"/>
      <c r="JP26" s="1455"/>
      <c r="JQ26" s="1455"/>
      <c r="JR26" s="351"/>
      <c r="JS26" s="1470"/>
      <c r="JT26" s="450" t="s">
        <v>2242</v>
      </c>
    </row>
    <row r="27" spans="1:280" ht="12.5" x14ac:dyDescent="0.25">
      <c r="A27" s="1367">
        <v>26</v>
      </c>
      <c r="B27" s="1434" t="str">
        <f t="shared" si="0"/>
        <v/>
      </c>
      <c r="C27" s="1435" t="s">
        <v>2765</v>
      </c>
      <c r="D27" s="1436" t="s">
        <v>2766</v>
      </c>
      <c r="E27" s="1452"/>
      <c r="F27" s="1452"/>
      <c r="G27" s="1452"/>
      <c r="H27" s="1453"/>
      <c r="I27" s="1453"/>
      <c r="J27" s="1453"/>
      <c r="K27" s="1452"/>
      <c r="L27" s="1453"/>
      <c r="M27" s="1453"/>
      <c r="N27" s="1453"/>
      <c r="O27" s="1452"/>
      <c r="P27" s="1453"/>
      <c r="Q27" s="1452"/>
      <c r="R27" s="1452"/>
      <c r="S27" s="1453"/>
      <c r="T27" s="1453"/>
      <c r="U27" s="1453"/>
      <c r="V27" s="1452">
        <v>450</v>
      </c>
      <c r="W27" s="1452"/>
      <c r="X27" s="1452"/>
      <c r="Y27" s="1452"/>
      <c r="Z27" s="1453"/>
      <c r="AA27" s="1452"/>
      <c r="AB27" s="1453"/>
      <c r="AC27" s="1452"/>
      <c r="AD27" s="1452">
        <v>700</v>
      </c>
      <c r="AE27" s="1452"/>
      <c r="AF27" s="1452"/>
      <c r="AG27" s="1452"/>
      <c r="AH27" s="1452"/>
      <c r="AI27" s="1452"/>
      <c r="AJ27" s="1453"/>
      <c r="AK27" s="1452"/>
      <c r="AL27" s="1453"/>
      <c r="AM27" s="1453"/>
      <c r="AN27" s="1453"/>
      <c r="AO27" s="1453"/>
      <c r="AP27" s="1452"/>
      <c r="AQ27" s="1452"/>
      <c r="AR27" s="1453"/>
      <c r="AS27" s="1452"/>
      <c r="AT27" s="1452"/>
      <c r="AU27" s="1452"/>
      <c r="AV27" s="1453"/>
      <c r="AW27" s="1452"/>
      <c r="AX27" s="1452"/>
      <c r="AY27" s="1452"/>
      <c r="AZ27" s="1452"/>
      <c r="BA27" s="1452">
        <v>75</v>
      </c>
      <c r="BB27" s="1452"/>
      <c r="BC27" s="1452"/>
      <c r="BD27" s="1452"/>
      <c r="BE27" s="1452"/>
      <c r="BF27" s="1452">
        <v>75</v>
      </c>
      <c r="BG27" s="1452"/>
      <c r="BH27" s="1452"/>
      <c r="BI27" s="1452"/>
      <c r="BJ27" s="1452"/>
      <c r="BK27" s="1452"/>
      <c r="BL27" s="1452"/>
      <c r="BM27" s="1452">
        <v>75</v>
      </c>
      <c r="BN27" s="1452"/>
      <c r="BO27" s="1452"/>
      <c r="BP27" s="1454">
        <v>312</v>
      </c>
      <c r="BQ27" s="1452"/>
      <c r="BR27" s="1452"/>
      <c r="BS27" s="1452"/>
      <c r="BT27" s="1452"/>
      <c r="BU27" s="1452"/>
      <c r="BV27" s="1452"/>
      <c r="BW27" s="1452"/>
      <c r="BX27" s="1452"/>
      <c r="BY27" s="1452"/>
      <c r="BZ27" s="1452"/>
      <c r="CA27" s="1452"/>
      <c r="CB27" s="1452"/>
      <c r="CC27" s="1452"/>
      <c r="CD27" s="1452"/>
      <c r="CE27" s="1453"/>
      <c r="CF27" s="1452"/>
      <c r="CG27" s="1452"/>
      <c r="CH27" s="1452"/>
      <c r="CI27" s="1452"/>
      <c r="CJ27" s="1452"/>
      <c r="CK27" s="1452"/>
      <c r="CL27" s="1452"/>
      <c r="CM27" s="1452"/>
      <c r="CN27" s="1452"/>
      <c r="CO27" s="1452"/>
      <c r="CP27" s="1452"/>
      <c r="CQ27" s="1452"/>
      <c r="CR27" s="1452"/>
      <c r="CS27" s="1452"/>
      <c r="CT27" s="1452"/>
      <c r="CU27" s="1452"/>
      <c r="CV27" s="1452">
        <v>75</v>
      </c>
      <c r="CW27" s="1452"/>
      <c r="CX27" s="1452"/>
      <c r="CY27" s="1452"/>
      <c r="CZ27" s="1452"/>
      <c r="DA27" s="1452"/>
      <c r="DB27" s="1452"/>
      <c r="DC27" s="1452"/>
      <c r="DD27" s="1452"/>
      <c r="DE27" s="1452"/>
      <c r="DF27" s="1452"/>
      <c r="DG27" s="1452"/>
      <c r="DH27" s="1452"/>
      <c r="DI27" s="1452"/>
      <c r="DJ27" s="1452"/>
      <c r="DK27" s="1452">
        <v>75</v>
      </c>
      <c r="DL27" s="1452"/>
      <c r="DM27" s="1452"/>
      <c r="DN27" s="1452"/>
      <c r="DO27" s="1452"/>
      <c r="DP27" s="1452"/>
      <c r="DQ27" s="1452"/>
      <c r="DR27" s="1452"/>
      <c r="DS27" s="1452"/>
      <c r="DT27" s="1452"/>
      <c r="DU27" s="1452"/>
      <c r="DV27" s="1452">
        <v>75</v>
      </c>
      <c r="DW27" s="1452"/>
      <c r="DX27" s="1452"/>
      <c r="DY27" s="1452"/>
      <c r="DZ27" s="1452"/>
      <c r="EA27" s="1452"/>
      <c r="EB27" s="1452"/>
      <c r="EC27" s="1452"/>
      <c r="ED27" s="1452"/>
      <c r="EE27" s="1452"/>
      <c r="EF27" s="1452"/>
      <c r="EG27" s="1453"/>
      <c r="EH27" s="1453"/>
      <c r="EI27" s="1452"/>
      <c r="EJ27" s="1452"/>
      <c r="EK27" s="1452"/>
      <c r="EL27" s="1452"/>
      <c r="EM27" s="1452"/>
      <c r="EN27" s="1452"/>
      <c r="EO27" s="1452">
        <v>450</v>
      </c>
      <c r="EP27" s="1452"/>
      <c r="EQ27" s="1452"/>
      <c r="ER27" s="1452"/>
      <c r="ES27" s="1452"/>
      <c r="ET27" s="1452"/>
      <c r="EU27" s="1452"/>
      <c r="EV27" s="1452"/>
      <c r="EW27" s="1452"/>
      <c r="EX27" s="1452"/>
      <c r="EY27" s="1452"/>
      <c r="EZ27" s="1452"/>
      <c r="FA27" s="1452"/>
      <c r="FB27" s="1452"/>
      <c r="FC27" s="1452"/>
      <c r="FD27" s="1452"/>
      <c r="FE27" s="1452"/>
      <c r="FF27" s="1452"/>
      <c r="FG27" s="1452"/>
      <c r="FH27" s="1452"/>
      <c r="FI27" s="1452"/>
      <c r="FJ27" s="1452"/>
      <c r="FK27" s="1452"/>
      <c r="FL27" s="1452"/>
      <c r="FM27" s="1452"/>
      <c r="FN27" s="1453"/>
      <c r="FO27" s="1453"/>
      <c r="FP27" s="1453"/>
      <c r="FQ27" s="1452"/>
      <c r="FR27" s="1452"/>
      <c r="FS27" s="1452"/>
      <c r="FT27" s="1452"/>
      <c r="FU27" s="1452"/>
      <c r="FV27" s="1452"/>
      <c r="FW27" s="1452"/>
      <c r="FX27" s="1452"/>
      <c r="FY27" s="1452"/>
      <c r="FZ27" s="1452"/>
      <c r="GA27" s="1452"/>
      <c r="GB27" s="1452"/>
      <c r="GC27" s="1452"/>
      <c r="GD27" s="1452"/>
      <c r="GE27" s="1452"/>
      <c r="GF27" s="1452"/>
      <c r="GG27" s="1452"/>
      <c r="GH27" s="1452"/>
      <c r="GI27" s="1452"/>
      <c r="GJ27" s="1452"/>
      <c r="GK27" s="1452"/>
      <c r="GL27" s="1452"/>
      <c r="GM27" s="1452"/>
      <c r="GN27" s="1452"/>
      <c r="GO27" s="1452"/>
      <c r="GP27" s="1452">
        <v>450</v>
      </c>
      <c r="GQ27" s="1452"/>
      <c r="GR27" s="1452">
        <v>450</v>
      </c>
      <c r="GS27" s="1453"/>
      <c r="GT27" s="1452"/>
      <c r="GU27" s="1452"/>
      <c r="GV27" s="1452"/>
      <c r="GW27" s="1452"/>
      <c r="GX27" s="1452"/>
      <c r="GY27" s="1452"/>
      <c r="GZ27" s="1452"/>
      <c r="HA27" s="1453"/>
      <c r="HB27" s="1452"/>
      <c r="HC27" s="1452"/>
      <c r="HD27" s="1452"/>
      <c r="HE27" s="1452"/>
      <c r="HF27" s="1452">
        <v>450</v>
      </c>
      <c r="HG27" s="1452">
        <v>450</v>
      </c>
      <c r="HH27" s="1452"/>
      <c r="HI27" s="1452"/>
      <c r="HJ27" s="1452"/>
      <c r="HK27" s="1452"/>
      <c r="HL27" s="1452"/>
      <c r="HM27" s="1452"/>
      <c r="HN27" s="1452"/>
      <c r="HO27" s="1452"/>
      <c r="HP27" s="1452"/>
      <c r="HQ27" s="1452"/>
      <c r="HR27" s="1452"/>
      <c r="HS27" s="1452"/>
      <c r="HT27" s="1452"/>
      <c r="HU27" s="1452"/>
      <c r="HV27" s="1452"/>
      <c r="HW27" s="1452"/>
      <c r="HX27" s="1452"/>
      <c r="HY27" s="1452"/>
      <c r="HZ27" s="1452"/>
      <c r="IA27" s="1452"/>
      <c r="IB27" s="1452"/>
      <c r="IC27" s="1452"/>
      <c r="ID27" s="1452"/>
      <c r="IE27" s="1452"/>
      <c r="IF27" s="1452"/>
      <c r="IG27" s="1452"/>
      <c r="IH27" s="1452"/>
      <c r="II27" s="1452"/>
      <c r="IJ27" s="1452"/>
      <c r="IK27" s="1452"/>
      <c r="IL27" s="1452"/>
      <c r="IM27" s="1452"/>
      <c r="IN27" s="1452"/>
      <c r="IO27" s="1452"/>
      <c r="IP27" s="1452"/>
      <c r="IQ27" s="1452"/>
      <c r="IR27" s="1452"/>
      <c r="IS27" s="1452"/>
      <c r="IT27" s="1452"/>
      <c r="IU27" s="1452"/>
      <c r="IV27" s="1452"/>
      <c r="IW27" s="1452"/>
      <c r="IX27" s="1452"/>
      <c r="IY27" s="1453"/>
      <c r="IZ27" s="1452"/>
      <c r="JA27" s="1452"/>
      <c r="JB27" s="1452"/>
      <c r="JC27" s="1452"/>
      <c r="JD27" s="1452"/>
      <c r="JE27" s="1452"/>
      <c r="JF27" s="1454">
        <v>150</v>
      </c>
      <c r="JG27" s="1452"/>
      <c r="JH27" s="1452"/>
      <c r="JI27" s="1452"/>
      <c r="JJ27" s="1452"/>
      <c r="JK27" s="1455"/>
      <c r="JL27" s="1455"/>
      <c r="JM27" s="1455"/>
      <c r="JN27" s="1455"/>
      <c r="JO27" s="1455"/>
      <c r="JP27" s="1455"/>
      <c r="JQ27" s="1455"/>
      <c r="JR27" s="351"/>
      <c r="JS27" s="1470"/>
      <c r="JT27" s="450" t="s">
        <v>2242</v>
      </c>
    </row>
    <row r="28" spans="1:280" ht="12.5" x14ac:dyDescent="0.25">
      <c r="A28" s="1367">
        <v>27</v>
      </c>
      <c r="B28" s="1434" t="str">
        <f t="shared" si="0"/>
        <v/>
      </c>
      <c r="C28" s="1435" t="s">
        <v>2767</v>
      </c>
      <c r="D28" s="1436" t="s">
        <v>2768</v>
      </c>
      <c r="E28" s="1452"/>
      <c r="F28" s="1452"/>
      <c r="G28" s="1452"/>
      <c r="H28" s="1453"/>
      <c r="I28" s="1453"/>
      <c r="J28" s="1453"/>
      <c r="K28" s="1452">
        <v>660</v>
      </c>
      <c r="L28" s="1453"/>
      <c r="M28" s="1453"/>
      <c r="N28" s="1453"/>
      <c r="O28" s="1452"/>
      <c r="P28" s="1453"/>
      <c r="Q28" s="1452">
        <v>4527</v>
      </c>
      <c r="R28" s="1452"/>
      <c r="S28" s="1453"/>
      <c r="T28" s="1453"/>
      <c r="U28" s="1453"/>
      <c r="V28" s="1452"/>
      <c r="W28" s="1452"/>
      <c r="X28" s="1452"/>
      <c r="Y28" s="1452"/>
      <c r="Z28" s="1453">
        <v>583</v>
      </c>
      <c r="AA28" s="1452"/>
      <c r="AB28" s="1453"/>
      <c r="AC28" s="1452"/>
      <c r="AD28" s="1452">
        <v>300</v>
      </c>
      <c r="AE28" s="1452"/>
      <c r="AF28" s="1452"/>
      <c r="AG28" s="1452"/>
      <c r="AH28" s="1452"/>
      <c r="AI28" s="1452"/>
      <c r="AJ28" s="1453"/>
      <c r="AK28" s="1452"/>
      <c r="AL28" s="1453"/>
      <c r="AM28" s="1453"/>
      <c r="AN28" s="1453"/>
      <c r="AO28" s="1453"/>
      <c r="AP28" s="1452"/>
      <c r="AQ28" s="1452"/>
      <c r="AR28" s="1453"/>
      <c r="AS28" s="1452">
        <v>150</v>
      </c>
      <c r="AT28" s="1452"/>
      <c r="AU28" s="1452">
        <v>175</v>
      </c>
      <c r="AV28" s="1453"/>
      <c r="AW28" s="1452"/>
      <c r="AX28" s="1452"/>
      <c r="AY28" s="1452"/>
      <c r="AZ28" s="1452"/>
      <c r="BA28" s="1452"/>
      <c r="BB28" s="1452"/>
      <c r="BC28" s="1452"/>
      <c r="BD28" s="1452">
        <v>150</v>
      </c>
      <c r="BE28" s="1452"/>
      <c r="BF28" s="1452"/>
      <c r="BG28" s="1452"/>
      <c r="BH28" s="1452"/>
      <c r="BI28" s="1452"/>
      <c r="BJ28" s="1454">
        <v>200</v>
      </c>
      <c r="BK28" s="1452"/>
      <c r="BL28" s="1452"/>
      <c r="BM28" s="1452"/>
      <c r="BN28" s="1452"/>
      <c r="BO28" s="1452"/>
      <c r="BP28" s="1452"/>
      <c r="BQ28" s="1452"/>
      <c r="BR28" s="1452"/>
      <c r="BS28" s="1452"/>
      <c r="BT28" s="1452"/>
      <c r="BU28" s="1452"/>
      <c r="BV28" s="1452"/>
      <c r="BW28" s="1452"/>
      <c r="BX28" s="1452"/>
      <c r="BY28" s="1452"/>
      <c r="BZ28" s="1452"/>
      <c r="CA28" s="1452"/>
      <c r="CB28" s="1452"/>
      <c r="CC28" s="1452"/>
      <c r="CD28" s="1452"/>
      <c r="CE28" s="1453"/>
      <c r="CF28" s="1452"/>
      <c r="CG28" s="1452"/>
      <c r="CH28" s="1452"/>
      <c r="CI28" s="1452"/>
      <c r="CJ28" s="1452"/>
      <c r="CK28" s="1452"/>
      <c r="CL28" s="1452"/>
      <c r="CM28" s="1452"/>
      <c r="CN28" s="1452">
        <v>150</v>
      </c>
      <c r="CO28" s="1452">
        <v>150</v>
      </c>
      <c r="CP28" s="1452"/>
      <c r="CQ28" s="1452"/>
      <c r="CR28" s="1452"/>
      <c r="CS28" s="1452"/>
      <c r="CT28" s="1452"/>
      <c r="CU28" s="1452"/>
      <c r="CV28" s="1452"/>
      <c r="CW28" s="1452"/>
      <c r="CX28" s="1452"/>
      <c r="CY28" s="1452"/>
      <c r="CZ28" s="1452"/>
      <c r="DA28" s="1452"/>
      <c r="DB28" s="1452"/>
      <c r="DC28" s="1452"/>
      <c r="DD28" s="1452"/>
      <c r="DE28" s="1452">
        <v>150</v>
      </c>
      <c r="DF28" s="1452"/>
      <c r="DG28" s="1452"/>
      <c r="DH28" s="1452"/>
      <c r="DI28" s="1452"/>
      <c r="DJ28" s="1452"/>
      <c r="DK28" s="1452"/>
      <c r="DL28" s="1452">
        <v>175</v>
      </c>
      <c r="DM28" s="1452"/>
      <c r="DN28" s="1452"/>
      <c r="DO28" s="1452"/>
      <c r="DP28" s="1452">
        <v>175</v>
      </c>
      <c r="DQ28" s="1452"/>
      <c r="DR28" s="1452"/>
      <c r="DS28" s="1452"/>
      <c r="DT28" s="1452">
        <v>175</v>
      </c>
      <c r="DU28" s="1452"/>
      <c r="DV28" s="1452"/>
      <c r="DW28" s="1452"/>
      <c r="DX28" s="1452"/>
      <c r="DY28" s="1452"/>
      <c r="DZ28" s="1452"/>
      <c r="EA28" s="1452"/>
      <c r="EB28" s="1452"/>
      <c r="EC28" s="1452"/>
      <c r="ED28" s="1452"/>
      <c r="EE28" s="1452"/>
      <c r="EF28" s="1452"/>
      <c r="EG28" s="1453"/>
      <c r="EH28" s="1453"/>
      <c r="EI28" s="1452">
        <v>175</v>
      </c>
      <c r="EJ28" s="1452"/>
      <c r="EK28" s="1452"/>
      <c r="EL28" s="1452"/>
      <c r="EM28" s="1452"/>
      <c r="EN28" s="1452"/>
      <c r="EO28" s="1452"/>
      <c r="EP28" s="1452"/>
      <c r="EQ28" s="1452"/>
      <c r="ER28" s="1452"/>
      <c r="ES28" s="1452"/>
      <c r="ET28" s="1452"/>
      <c r="EU28" s="1452"/>
      <c r="EV28" s="1452"/>
      <c r="EW28" s="1452"/>
      <c r="EX28" s="1452"/>
      <c r="EY28" s="1452"/>
      <c r="EZ28" s="1452">
        <v>150</v>
      </c>
      <c r="FA28" s="1452"/>
      <c r="FB28" s="1452"/>
      <c r="FC28" s="1452"/>
      <c r="FD28" s="1452"/>
      <c r="FE28" s="1452"/>
      <c r="FF28" s="1452"/>
      <c r="FG28" s="1452"/>
      <c r="FH28" s="1452"/>
      <c r="FI28" s="1452"/>
      <c r="FJ28" s="1454">
        <v>2656</v>
      </c>
      <c r="FK28" s="1452"/>
      <c r="FL28" s="1452"/>
      <c r="FM28" s="1452"/>
      <c r="FN28" s="1453"/>
      <c r="FO28" s="1453"/>
      <c r="FP28" s="1453"/>
      <c r="FQ28" s="1452"/>
      <c r="FR28" s="1452"/>
      <c r="FS28" s="1452"/>
      <c r="FT28" s="1452"/>
      <c r="FU28" s="1452"/>
      <c r="FV28" s="1452"/>
      <c r="FW28" s="1452">
        <v>150</v>
      </c>
      <c r="FX28" s="1452"/>
      <c r="FY28" s="1452"/>
      <c r="FZ28" s="1452"/>
      <c r="GA28" s="1452"/>
      <c r="GB28" s="1452"/>
      <c r="GC28" s="1452"/>
      <c r="GD28" s="1452"/>
      <c r="GE28" s="1452"/>
      <c r="GF28" s="1452">
        <v>175</v>
      </c>
      <c r="GG28" s="1452"/>
      <c r="GH28" s="1452"/>
      <c r="GI28" s="1452"/>
      <c r="GJ28" s="1452"/>
      <c r="GK28" s="1452">
        <v>150</v>
      </c>
      <c r="GL28" s="1452"/>
      <c r="GM28" s="1452"/>
      <c r="GN28" s="1452"/>
      <c r="GO28" s="1452"/>
      <c r="GP28" s="1452">
        <v>250</v>
      </c>
      <c r="GQ28" s="1452">
        <v>150</v>
      </c>
      <c r="GR28" s="1452"/>
      <c r="GS28" s="1453"/>
      <c r="GT28" s="1452"/>
      <c r="GU28" s="1452"/>
      <c r="GV28" s="1452"/>
      <c r="GW28" s="1452"/>
      <c r="GX28" s="1454">
        <v>740</v>
      </c>
      <c r="GY28" s="1452"/>
      <c r="GZ28" s="1452">
        <v>175</v>
      </c>
      <c r="HA28" s="1453"/>
      <c r="HB28" s="1452"/>
      <c r="HC28" s="1452"/>
      <c r="HD28" s="1452"/>
      <c r="HE28" s="1452"/>
      <c r="HF28" s="1452"/>
      <c r="HG28" s="1452"/>
      <c r="HH28" s="1452"/>
      <c r="HI28" s="1452"/>
      <c r="HJ28" s="1452"/>
      <c r="HK28" s="1452"/>
      <c r="HL28" s="1452"/>
      <c r="HM28" s="1452"/>
      <c r="HN28" s="1452"/>
      <c r="HO28" s="1452"/>
      <c r="HP28" s="1452"/>
      <c r="HQ28" s="1452"/>
      <c r="HR28" s="1452"/>
      <c r="HS28" s="1452"/>
      <c r="HT28" s="1452"/>
      <c r="HU28" s="1452"/>
      <c r="HV28" s="1452"/>
      <c r="HW28" s="1452"/>
      <c r="HX28" s="1452"/>
      <c r="HY28" s="1452"/>
      <c r="HZ28" s="1452"/>
      <c r="IA28" s="1452"/>
      <c r="IB28" s="1452"/>
      <c r="IC28" s="1452"/>
      <c r="ID28" s="1452"/>
      <c r="IE28" s="1452"/>
      <c r="IF28" s="1452"/>
      <c r="IG28" s="1452"/>
      <c r="IH28" s="1452"/>
      <c r="II28" s="1452"/>
      <c r="IJ28" s="1452"/>
      <c r="IK28" s="1452"/>
      <c r="IL28" s="1452"/>
      <c r="IM28" s="1452"/>
      <c r="IN28" s="1452"/>
      <c r="IO28" s="1452"/>
      <c r="IP28" s="1452"/>
      <c r="IQ28" s="1452"/>
      <c r="IR28" s="1452"/>
      <c r="IS28" s="1452"/>
      <c r="IT28" s="1452"/>
      <c r="IU28" s="1452"/>
      <c r="IV28" s="1452"/>
      <c r="IW28" s="1452"/>
      <c r="IX28" s="1452"/>
      <c r="IY28" s="1453"/>
      <c r="IZ28" s="1452"/>
      <c r="JA28" s="1452"/>
      <c r="JB28" s="1452"/>
      <c r="JC28" s="1452"/>
      <c r="JD28" s="1452"/>
      <c r="JE28" s="1452"/>
      <c r="JF28" s="1452"/>
      <c r="JG28" s="1452"/>
      <c r="JH28" s="1452"/>
      <c r="JI28" s="1452"/>
      <c r="JJ28" s="1452"/>
      <c r="JK28" s="1455"/>
      <c r="JL28" s="1455"/>
      <c r="JM28" s="1455"/>
      <c r="JN28" s="1455"/>
      <c r="JO28" s="1455"/>
      <c r="JP28" s="1455"/>
      <c r="JQ28" s="1455"/>
      <c r="JR28" s="351"/>
      <c r="JS28" s="1470"/>
      <c r="JT28" s="450" t="s">
        <v>2242</v>
      </c>
    </row>
    <row r="29" spans="1:280" ht="13" thickBot="1" x14ac:dyDescent="0.3">
      <c r="A29" s="1367">
        <v>28</v>
      </c>
      <c r="B29" s="1434" t="str">
        <f t="shared" si="0"/>
        <v/>
      </c>
      <c r="C29" s="721" t="s">
        <v>2769</v>
      </c>
      <c r="D29" s="722" t="s">
        <v>2770</v>
      </c>
      <c r="E29" s="723"/>
      <c r="F29" s="723"/>
      <c r="G29" s="723"/>
      <c r="H29" s="724"/>
      <c r="I29" s="724"/>
      <c r="J29" s="724"/>
      <c r="K29" s="723"/>
      <c r="L29" s="724"/>
      <c r="M29" s="724"/>
      <c r="N29" s="724"/>
      <c r="O29" s="723"/>
      <c r="P29" s="724"/>
      <c r="Q29" s="723"/>
      <c r="R29" s="723"/>
      <c r="S29" s="724"/>
      <c r="T29" s="724"/>
      <c r="U29" s="724"/>
      <c r="V29" s="723"/>
      <c r="W29" s="723"/>
      <c r="X29" s="723"/>
      <c r="Y29" s="723"/>
      <c r="Z29" s="724"/>
      <c r="AA29" s="723"/>
      <c r="AB29" s="724"/>
      <c r="AC29" s="723"/>
      <c r="AD29" s="723">
        <v>2000</v>
      </c>
      <c r="AE29" s="723"/>
      <c r="AF29" s="723"/>
      <c r="AG29" s="723"/>
      <c r="AH29" s="723"/>
      <c r="AI29" s="723"/>
      <c r="AJ29" s="724"/>
      <c r="AK29" s="723"/>
      <c r="AL29" s="724"/>
      <c r="AM29" s="724"/>
      <c r="AN29" s="724"/>
      <c r="AO29" s="724"/>
      <c r="AP29" s="723"/>
      <c r="AQ29" s="723"/>
      <c r="AR29" s="724">
        <v>3799</v>
      </c>
      <c r="AS29" s="723">
        <v>85</v>
      </c>
      <c r="AT29" s="723"/>
      <c r="AU29" s="723"/>
      <c r="AV29" s="724"/>
      <c r="AW29" s="723"/>
      <c r="AX29" s="723"/>
      <c r="AY29" s="723"/>
      <c r="AZ29" s="723"/>
      <c r="BA29" s="723"/>
      <c r="BB29" s="723"/>
      <c r="BC29" s="723"/>
      <c r="BD29" s="723">
        <v>85</v>
      </c>
      <c r="BE29" s="723"/>
      <c r="BF29" s="723"/>
      <c r="BG29" s="723"/>
      <c r="BH29" s="723"/>
      <c r="BI29" s="723"/>
      <c r="BJ29" s="1001">
        <v>950</v>
      </c>
      <c r="BK29" s="723"/>
      <c r="BL29" s="723"/>
      <c r="BM29" s="723"/>
      <c r="BN29" s="723"/>
      <c r="BO29" s="723"/>
      <c r="BP29" s="723"/>
      <c r="BQ29" s="723"/>
      <c r="BR29" s="723"/>
      <c r="BS29" s="723"/>
      <c r="BT29" s="723"/>
      <c r="BU29" s="723"/>
      <c r="BV29" s="723"/>
      <c r="BW29" s="723"/>
      <c r="BX29" s="723"/>
      <c r="BY29" s="723"/>
      <c r="BZ29" s="723"/>
      <c r="CA29" s="723"/>
      <c r="CB29" s="723"/>
      <c r="CC29" s="723"/>
      <c r="CD29" s="723"/>
      <c r="CE29" s="724"/>
      <c r="CF29" s="723"/>
      <c r="CG29" s="723"/>
      <c r="CH29" s="723"/>
      <c r="CI29" s="723"/>
      <c r="CJ29" s="723"/>
      <c r="CK29" s="723"/>
      <c r="CL29" s="723"/>
      <c r="CM29" s="723"/>
      <c r="CN29" s="723">
        <v>85</v>
      </c>
      <c r="CO29" s="723">
        <v>85</v>
      </c>
      <c r="CP29" s="723"/>
      <c r="CQ29" s="723"/>
      <c r="CR29" s="723"/>
      <c r="CS29" s="723"/>
      <c r="CT29" s="723"/>
      <c r="CU29" s="723"/>
      <c r="CV29" s="723"/>
      <c r="CW29" s="723"/>
      <c r="CX29" s="723"/>
      <c r="CY29" s="723"/>
      <c r="CZ29" s="723"/>
      <c r="DA29" s="723"/>
      <c r="DB29" s="723"/>
      <c r="DC29" s="723"/>
      <c r="DD29" s="723"/>
      <c r="DE29" s="723">
        <v>85</v>
      </c>
      <c r="DF29" s="723"/>
      <c r="DG29" s="723"/>
      <c r="DH29" s="723"/>
      <c r="DI29" s="723"/>
      <c r="DJ29" s="723"/>
      <c r="DK29" s="723"/>
      <c r="DL29" s="723"/>
      <c r="DM29" s="723"/>
      <c r="DN29" s="723"/>
      <c r="DO29" s="723"/>
      <c r="DP29" s="723"/>
      <c r="DQ29" s="723"/>
      <c r="DR29" s="723"/>
      <c r="DS29" s="723"/>
      <c r="DT29" s="723"/>
      <c r="DU29" s="723"/>
      <c r="DV29" s="723"/>
      <c r="DW29" s="723"/>
      <c r="DX29" s="723"/>
      <c r="DY29" s="723"/>
      <c r="DZ29" s="1001">
        <v>300</v>
      </c>
      <c r="EA29" s="723"/>
      <c r="EB29" s="723"/>
      <c r="EC29" s="723"/>
      <c r="ED29" s="723"/>
      <c r="EE29" s="723"/>
      <c r="EF29" s="723"/>
      <c r="EG29" s="724"/>
      <c r="EH29" s="724"/>
      <c r="EI29" s="723"/>
      <c r="EJ29" s="723"/>
      <c r="EK29" s="723"/>
      <c r="EL29" s="723"/>
      <c r="EM29" s="723"/>
      <c r="EN29" s="723"/>
      <c r="EO29" s="723"/>
      <c r="EP29" s="723"/>
      <c r="EQ29" s="723"/>
      <c r="ER29" s="723"/>
      <c r="ES29" s="723"/>
      <c r="ET29" s="723"/>
      <c r="EU29" s="723"/>
      <c r="EV29" s="723"/>
      <c r="EW29" s="723"/>
      <c r="EX29" s="723"/>
      <c r="EY29" s="723"/>
      <c r="EZ29" s="723">
        <v>85</v>
      </c>
      <c r="FA29" s="723"/>
      <c r="FB29" s="723"/>
      <c r="FC29" s="723"/>
      <c r="FD29" s="723"/>
      <c r="FE29" s="723"/>
      <c r="FF29" s="723"/>
      <c r="FG29" s="723"/>
      <c r="FH29" s="723"/>
      <c r="FI29" s="723"/>
      <c r="FJ29" s="723"/>
      <c r="FK29" s="723"/>
      <c r="FL29" s="723"/>
      <c r="FM29" s="723"/>
      <c r="FN29" s="724"/>
      <c r="FO29" s="724"/>
      <c r="FP29" s="724"/>
      <c r="FQ29" s="723"/>
      <c r="FR29" s="723"/>
      <c r="FS29" s="723"/>
      <c r="FT29" s="723"/>
      <c r="FU29" s="723"/>
      <c r="FV29" s="723"/>
      <c r="FW29" s="723">
        <v>85</v>
      </c>
      <c r="FX29" s="723"/>
      <c r="FY29" s="723"/>
      <c r="FZ29" s="723"/>
      <c r="GA29" s="723"/>
      <c r="GB29" s="723"/>
      <c r="GC29" s="723"/>
      <c r="GD29" s="723"/>
      <c r="GE29" s="723"/>
      <c r="GF29" s="723"/>
      <c r="GG29" s="723"/>
      <c r="GH29" s="723"/>
      <c r="GI29" s="723"/>
      <c r="GJ29" s="723"/>
      <c r="GK29" s="723">
        <v>85</v>
      </c>
      <c r="GL29" s="723"/>
      <c r="GM29" s="723"/>
      <c r="GN29" s="723"/>
      <c r="GO29" s="723"/>
      <c r="GP29" s="723">
        <v>600</v>
      </c>
      <c r="GQ29" s="723">
        <v>85</v>
      </c>
      <c r="GR29" s="723"/>
      <c r="GS29" s="724"/>
      <c r="GT29" s="723"/>
      <c r="GU29" s="723"/>
      <c r="GV29" s="723"/>
      <c r="GW29" s="723"/>
      <c r="GX29" s="723"/>
      <c r="GY29" s="723"/>
      <c r="GZ29" s="723"/>
      <c r="HA29" s="724"/>
      <c r="HB29" s="723"/>
      <c r="HC29" s="723"/>
      <c r="HD29" s="723"/>
      <c r="HE29" s="723"/>
      <c r="HF29" s="723"/>
      <c r="HG29" s="723"/>
      <c r="HH29" s="723"/>
      <c r="HI29" s="723"/>
      <c r="HJ29" s="723"/>
      <c r="HK29" s="723"/>
      <c r="HL29" s="723"/>
      <c r="HM29" s="723"/>
      <c r="HN29" s="723"/>
      <c r="HO29" s="723"/>
      <c r="HP29" s="723"/>
      <c r="HQ29" s="723"/>
      <c r="HR29" s="723"/>
      <c r="HS29" s="723"/>
      <c r="HT29" s="723"/>
      <c r="HU29" s="723"/>
      <c r="HV29" s="723"/>
      <c r="HW29" s="723"/>
      <c r="HX29" s="723"/>
      <c r="HY29" s="723"/>
      <c r="HZ29" s="723"/>
      <c r="IA29" s="1001">
        <v>252</v>
      </c>
      <c r="IB29" s="723"/>
      <c r="IC29" s="723"/>
      <c r="ID29" s="723"/>
      <c r="IE29" s="723"/>
      <c r="IF29" s="723"/>
      <c r="IG29" s="723"/>
      <c r="IH29" s="723"/>
      <c r="II29" s="723"/>
      <c r="IJ29" s="723"/>
      <c r="IK29" s="723"/>
      <c r="IL29" s="723"/>
      <c r="IM29" s="723"/>
      <c r="IN29" s="723"/>
      <c r="IO29" s="723"/>
      <c r="IP29" s="723"/>
      <c r="IQ29" s="723"/>
      <c r="IR29" s="723"/>
      <c r="IS29" s="723"/>
      <c r="IT29" s="723"/>
      <c r="IU29" s="723"/>
      <c r="IV29" s="723"/>
      <c r="IW29" s="723"/>
      <c r="IX29" s="723"/>
      <c r="IY29" s="724"/>
      <c r="IZ29" s="723"/>
      <c r="JA29" s="723"/>
      <c r="JB29" s="723"/>
      <c r="JC29" s="723"/>
      <c r="JD29" s="723"/>
      <c r="JE29" s="723"/>
      <c r="JF29" s="1001">
        <v>17899</v>
      </c>
      <c r="JG29" s="723"/>
      <c r="JH29" s="723"/>
      <c r="JI29" s="723"/>
      <c r="JJ29" s="723"/>
      <c r="JK29" s="725"/>
      <c r="JL29" s="725"/>
      <c r="JM29" s="725"/>
      <c r="JN29" s="725"/>
      <c r="JO29" s="725"/>
      <c r="JP29" s="725"/>
      <c r="JQ29" s="725"/>
      <c r="JR29" s="351"/>
      <c r="JS29" s="1470"/>
      <c r="JT29" s="450" t="s">
        <v>2242</v>
      </c>
    </row>
    <row r="30" spans="1:280" ht="12" thickBot="1" x14ac:dyDescent="0.3"/>
    <row r="31" spans="1:280" ht="12.5" x14ac:dyDescent="0.25">
      <c r="A31" s="1367" t="s">
        <v>2201</v>
      </c>
      <c r="B31" s="591" t="str">
        <f>"selected "&amp;EMP_B_IND-1</f>
        <v>selected 0</v>
      </c>
      <c r="C31" s="313" t="s">
        <v>1493</v>
      </c>
      <c r="D31" s="449"/>
      <c r="E31" s="451">
        <v>1</v>
      </c>
      <c r="F31" s="452">
        <v>2</v>
      </c>
      <c r="G31" s="452">
        <v>3</v>
      </c>
      <c r="H31" s="452">
        <v>4</v>
      </c>
      <c r="I31" s="452">
        <v>5</v>
      </c>
      <c r="J31" s="452">
        <v>6</v>
      </c>
      <c r="K31" s="452">
        <v>7</v>
      </c>
      <c r="L31" s="452">
        <v>8</v>
      </c>
      <c r="M31" s="452">
        <v>9</v>
      </c>
      <c r="N31" s="452">
        <v>10</v>
      </c>
      <c r="O31" s="452">
        <v>11</v>
      </c>
      <c r="P31" s="452">
        <v>12</v>
      </c>
      <c r="Q31" s="452">
        <v>13</v>
      </c>
      <c r="R31" s="452">
        <v>14</v>
      </c>
      <c r="S31" s="452">
        <v>15</v>
      </c>
      <c r="T31" s="452">
        <v>16</v>
      </c>
      <c r="U31" s="452">
        <v>17</v>
      </c>
      <c r="V31" s="452">
        <v>18</v>
      </c>
      <c r="W31" s="452">
        <v>19</v>
      </c>
      <c r="X31" s="452">
        <v>20</v>
      </c>
      <c r="Y31" s="452">
        <v>21</v>
      </c>
      <c r="Z31" s="452">
        <v>22</v>
      </c>
      <c r="AA31" s="452">
        <v>23</v>
      </c>
      <c r="AB31" s="452">
        <v>24</v>
      </c>
      <c r="AC31" s="452">
        <v>25</v>
      </c>
      <c r="AD31" s="452">
        <v>26</v>
      </c>
      <c r="AE31" s="452">
        <v>27</v>
      </c>
      <c r="AF31" s="452">
        <v>28</v>
      </c>
      <c r="AG31" s="452">
        <v>29</v>
      </c>
      <c r="AH31" s="452">
        <v>30</v>
      </c>
      <c r="AI31" s="452">
        <v>31</v>
      </c>
      <c r="AJ31" s="418">
        <v>32</v>
      </c>
      <c r="AK31" s="418">
        <v>33</v>
      </c>
      <c r="AL31" s="418">
        <v>34</v>
      </c>
      <c r="AM31" s="418">
        <v>35</v>
      </c>
      <c r="AN31" s="418">
        <v>36</v>
      </c>
      <c r="AO31" s="418">
        <v>37</v>
      </c>
      <c r="AP31" s="418">
        <v>38</v>
      </c>
      <c r="AQ31" s="418">
        <v>39</v>
      </c>
      <c r="AR31" s="418">
        <v>40</v>
      </c>
      <c r="AS31" s="418">
        <v>41</v>
      </c>
      <c r="AT31" s="418">
        <v>42</v>
      </c>
      <c r="AU31" s="418">
        <v>43</v>
      </c>
      <c r="AV31" s="418">
        <v>44</v>
      </c>
      <c r="AW31" s="418">
        <v>45</v>
      </c>
      <c r="AX31" s="418">
        <v>46</v>
      </c>
      <c r="AY31" s="418">
        <v>47</v>
      </c>
      <c r="AZ31" s="418">
        <v>48</v>
      </c>
      <c r="BA31" s="418">
        <v>49</v>
      </c>
      <c r="BB31" s="418">
        <v>50</v>
      </c>
      <c r="BC31" s="418">
        <v>51</v>
      </c>
      <c r="BD31" s="418">
        <v>52</v>
      </c>
      <c r="BE31" s="418">
        <v>53</v>
      </c>
      <c r="BF31" s="418">
        <v>54</v>
      </c>
      <c r="BG31" s="418">
        <v>55</v>
      </c>
      <c r="BH31" s="418">
        <v>56</v>
      </c>
      <c r="BI31" s="418">
        <v>57</v>
      </c>
      <c r="BJ31" s="418">
        <v>58</v>
      </c>
      <c r="BK31" s="418">
        <v>59</v>
      </c>
      <c r="BL31" s="418">
        <v>60</v>
      </c>
      <c r="BM31" s="418">
        <v>61</v>
      </c>
      <c r="BN31" s="418">
        <v>62</v>
      </c>
      <c r="BO31" s="418">
        <v>63</v>
      </c>
      <c r="BP31" s="418">
        <v>64</v>
      </c>
      <c r="BQ31" s="418">
        <v>65</v>
      </c>
      <c r="BR31" s="418">
        <v>66</v>
      </c>
      <c r="BS31" s="418">
        <v>67</v>
      </c>
      <c r="BT31" s="418">
        <v>68</v>
      </c>
      <c r="BU31" s="418">
        <v>69</v>
      </c>
      <c r="BV31" s="418">
        <v>70</v>
      </c>
      <c r="BW31" s="418">
        <v>71</v>
      </c>
      <c r="BX31" s="418">
        <v>72</v>
      </c>
      <c r="BY31" s="418">
        <v>73</v>
      </c>
      <c r="BZ31" s="418">
        <v>74</v>
      </c>
      <c r="CA31" s="418">
        <v>75</v>
      </c>
      <c r="CB31" s="418">
        <v>76</v>
      </c>
      <c r="CC31" s="418">
        <v>77</v>
      </c>
      <c r="CD31" s="418">
        <v>78</v>
      </c>
      <c r="CE31" s="418">
        <v>79</v>
      </c>
      <c r="CF31" s="418">
        <v>80</v>
      </c>
      <c r="CG31" s="418">
        <v>81</v>
      </c>
      <c r="CH31" s="418">
        <v>82</v>
      </c>
      <c r="CI31" s="418">
        <v>83</v>
      </c>
      <c r="CJ31" s="418">
        <v>84</v>
      </c>
      <c r="CK31" s="418">
        <v>85</v>
      </c>
      <c r="CL31" s="418">
        <v>86</v>
      </c>
      <c r="CM31" s="418">
        <v>87</v>
      </c>
      <c r="CN31" s="418">
        <v>88</v>
      </c>
      <c r="CO31" s="418">
        <v>89</v>
      </c>
      <c r="CP31" s="418">
        <v>90</v>
      </c>
      <c r="CQ31" s="418">
        <v>91</v>
      </c>
      <c r="CR31" s="418">
        <v>92</v>
      </c>
      <c r="CS31" s="418">
        <v>93</v>
      </c>
      <c r="CT31" s="418">
        <v>94</v>
      </c>
      <c r="CU31" s="418">
        <v>95</v>
      </c>
      <c r="CV31" s="418">
        <v>96</v>
      </c>
      <c r="CW31" s="418">
        <v>97</v>
      </c>
      <c r="CX31" s="418">
        <v>98</v>
      </c>
      <c r="CY31" s="418">
        <v>99</v>
      </c>
      <c r="CZ31" s="418">
        <v>100</v>
      </c>
      <c r="DA31" s="418">
        <v>101</v>
      </c>
      <c r="DB31" s="418">
        <v>102</v>
      </c>
      <c r="DC31" s="418">
        <v>103</v>
      </c>
      <c r="DD31" s="418">
        <v>104</v>
      </c>
      <c r="DE31" s="418">
        <v>105</v>
      </c>
      <c r="DF31" s="418">
        <v>106</v>
      </c>
      <c r="DG31" s="418">
        <v>107</v>
      </c>
      <c r="DH31" s="418">
        <v>108</v>
      </c>
      <c r="DI31" s="418">
        <v>109</v>
      </c>
      <c r="DJ31" s="418">
        <v>110</v>
      </c>
      <c r="DK31" s="418">
        <v>111</v>
      </c>
      <c r="DL31" s="418">
        <v>112</v>
      </c>
      <c r="DM31" s="418">
        <v>113</v>
      </c>
      <c r="DN31" s="418">
        <v>114</v>
      </c>
      <c r="DO31" s="418">
        <v>115</v>
      </c>
      <c r="DP31" s="418">
        <v>116</v>
      </c>
      <c r="DQ31" s="418">
        <v>117</v>
      </c>
      <c r="DR31" s="418">
        <v>118</v>
      </c>
      <c r="DS31" s="418">
        <v>119</v>
      </c>
      <c r="DT31" s="418">
        <v>120</v>
      </c>
      <c r="DU31" s="418">
        <v>121</v>
      </c>
      <c r="DV31" s="418">
        <v>122</v>
      </c>
      <c r="DW31" s="418">
        <v>123</v>
      </c>
      <c r="DX31" s="418">
        <v>124</v>
      </c>
      <c r="DY31" s="418">
        <v>125</v>
      </c>
      <c r="DZ31" s="418">
        <v>126</v>
      </c>
      <c r="EA31" s="418">
        <v>127</v>
      </c>
      <c r="EB31" s="418">
        <v>128</v>
      </c>
      <c r="EC31" s="418">
        <v>129</v>
      </c>
      <c r="ED31" s="418">
        <v>130</v>
      </c>
      <c r="EE31" s="418">
        <v>131</v>
      </c>
      <c r="EF31" s="418">
        <v>132</v>
      </c>
      <c r="EG31" s="418">
        <v>133</v>
      </c>
      <c r="EH31" s="418">
        <v>134</v>
      </c>
      <c r="EI31" s="418">
        <v>135</v>
      </c>
      <c r="EJ31" s="418">
        <v>136</v>
      </c>
      <c r="EK31" s="418">
        <v>137</v>
      </c>
      <c r="EL31" s="418">
        <v>138</v>
      </c>
      <c r="EM31" s="418">
        <v>139</v>
      </c>
      <c r="EN31" s="418">
        <v>140</v>
      </c>
      <c r="EO31" s="418">
        <v>141</v>
      </c>
      <c r="EP31" s="418">
        <v>142</v>
      </c>
      <c r="EQ31" s="418">
        <v>143</v>
      </c>
      <c r="ER31" s="418">
        <v>144</v>
      </c>
      <c r="ES31" s="418">
        <v>145</v>
      </c>
      <c r="ET31" s="418">
        <v>146</v>
      </c>
      <c r="EU31" s="418">
        <v>147</v>
      </c>
      <c r="EV31" s="418">
        <v>148</v>
      </c>
      <c r="EW31" s="418">
        <v>149</v>
      </c>
      <c r="EX31" s="418">
        <v>150</v>
      </c>
      <c r="EY31" s="418">
        <v>151</v>
      </c>
      <c r="EZ31" s="418">
        <v>152</v>
      </c>
      <c r="FA31" s="418">
        <v>153</v>
      </c>
      <c r="FB31" s="418">
        <v>154</v>
      </c>
      <c r="FC31" s="418">
        <v>155</v>
      </c>
      <c r="FD31" s="418">
        <v>156</v>
      </c>
      <c r="FE31" s="418">
        <v>157</v>
      </c>
      <c r="FF31" s="418">
        <v>158</v>
      </c>
      <c r="FG31" s="418">
        <v>159</v>
      </c>
      <c r="FH31" s="418">
        <v>160</v>
      </c>
      <c r="FI31" s="418">
        <v>161</v>
      </c>
      <c r="FJ31" s="418">
        <v>162</v>
      </c>
      <c r="FK31" s="418">
        <v>163</v>
      </c>
      <c r="FL31" s="418">
        <v>164</v>
      </c>
      <c r="FM31" s="418">
        <v>165</v>
      </c>
      <c r="FN31" s="418">
        <v>166</v>
      </c>
      <c r="FO31" s="418">
        <v>167</v>
      </c>
      <c r="FP31" s="418">
        <v>168</v>
      </c>
      <c r="FQ31" s="418">
        <v>169</v>
      </c>
      <c r="FR31" s="418">
        <v>170</v>
      </c>
      <c r="FS31" s="418">
        <v>171</v>
      </c>
      <c r="FT31" s="418">
        <v>172</v>
      </c>
      <c r="FU31" s="418">
        <v>173</v>
      </c>
      <c r="FV31" s="418">
        <v>174</v>
      </c>
      <c r="FW31" s="418">
        <v>175</v>
      </c>
      <c r="FX31" s="418">
        <v>176</v>
      </c>
      <c r="FY31" s="418">
        <v>177</v>
      </c>
      <c r="FZ31" s="418">
        <v>178</v>
      </c>
      <c r="GA31" s="418">
        <v>179</v>
      </c>
      <c r="GB31" s="418">
        <v>180</v>
      </c>
      <c r="GC31" s="418">
        <v>181</v>
      </c>
      <c r="GD31" s="418">
        <v>182</v>
      </c>
      <c r="GE31" s="418">
        <v>183</v>
      </c>
      <c r="GF31" s="418">
        <v>184</v>
      </c>
      <c r="GG31" s="418">
        <v>185</v>
      </c>
      <c r="GH31" s="418">
        <v>186</v>
      </c>
      <c r="GI31" s="418">
        <v>187</v>
      </c>
      <c r="GJ31" s="418">
        <v>188</v>
      </c>
      <c r="GK31" s="418">
        <v>189</v>
      </c>
      <c r="GL31" s="418">
        <v>190</v>
      </c>
      <c r="GM31" s="418">
        <v>191</v>
      </c>
      <c r="GN31" s="418">
        <v>192</v>
      </c>
      <c r="GO31" s="418">
        <v>193</v>
      </c>
      <c r="GP31" s="418">
        <v>194</v>
      </c>
      <c r="GQ31" s="418">
        <v>195</v>
      </c>
      <c r="GR31" s="418">
        <v>196</v>
      </c>
      <c r="GS31" s="418">
        <v>197</v>
      </c>
      <c r="GT31" s="418">
        <v>198</v>
      </c>
      <c r="GU31" s="418">
        <v>199</v>
      </c>
      <c r="GV31" s="418">
        <v>200</v>
      </c>
      <c r="GW31" s="418">
        <v>201</v>
      </c>
      <c r="GX31" s="418">
        <v>202</v>
      </c>
      <c r="GY31" s="418">
        <v>203</v>
      </c>
      <c r="GZ31" s="418">
        <v>204</v>
      </c>
      <c r="HA31" s="418">
        <v>205</v>
      </c>
      <c r="HB31" s="418">
        <v>206</v>
      </c>
      <c r="HC31" s="418">
        <v>207</v>
      </c>
      <c r="HD31" s="418">
        <v>208</v>
      </c>
      <c r="HE31" s="418">
        <v>209</v>
      </c>
      <c r="HF31" s="418">
        <v>210</v>
      </c>
      <c r="HG31" s="418">
        <v>211</v>
      </c>
      <c r="HH31" s="418">
        <v>212</v>
      </c>
      <c r="HI31" s="418">
        <v>213</v>
      </c>
      <c r="HJ31" s="418">
        <v>214</v>
      </c>
      <c r="HK31" s="418">
        <v>215</v>
      </c>
      <c r="HL31" s="418">
        <v>216</v>
      </c>
      <c r="HM31" s="418">
        <v>217</v>
      </c>
      <c r="HN31" s="418">
        <v>218</v>
      </c>
      <c r="HO31" s="418">
        <v>219</v>
      </c>
      <c r="HP31" s="418">
        <v>220</v>
      </c>
      <c r="HQ31" s="418">
        <v>221</v>
      </c>
      <c r="HR31" s="418">
        <v>222</v>
      </c>
      <c r="HS31" s="418">
        <v>223</v>
      </c>
      <c r="HT31" s="418">
        <v>224</v>
      </c>
      <c r="HU31" s="418">
        <v>225</v>
      </c>
      <c r="HV31" s="418">
        <v>226</v>
      </c>
      <c r="HW31" s="418">
        <v>227</v>
      </c>
      <c r="HX31" s="418">
        <v>228</v>
      </c>
      <c r="HY31" s="418">
        <v>229</v>
      </c>
      <c r="HZ31" s="418">
        <v>230</v>
      </c>
      <c r="IA31" s="418">
        <v>231</v>
      </c>
      <c r="IB31" s="418">
        <v>232</v>
      </c>
      <c r="IC31" s="418">
        <v>233</v>
      </c>
      <c r="ID31" s="418">
        <v>234</v>
      </c>
      <c r="IE31" s="418">
        <v>235</v>
      </c>
      <c r="IF31" s="418">
        <v>236</v>
      </c>
      <c r="IG31" s="418">
        <v>237</v>
      </c>
      <c r="IH31" s="418">
        <v>238</v>
      </c>
      <c r="II31" s="418">
        <v>239</v>
      </c>
      <c r="IJ31" s="418">
        <v>240</v>
      </c>
      <c r="IK31" s="418">
        <v>241</v>
      </c>
      <c r="IL31" s="418">
        <v>242</v>
      </c>
      <c r="IM31" s="418">
        <v>243</v>
      </c>
      <c r="IN31" s="418">
        <v>244</v>
      </c>
      <c r="IO31" s="418">
        <v>245</v>
      </c>
      <c r="IP31" s="418">
        <v>246</v>
      </c>
      <c r="IQ31" s="418">
        <v>247</v>
      </c>
      <c r="IR31" s="418">
        <v>248</v>
      </c>
      <c r="IS31" s="418">
        <v>249</v>
      </c>
      <c r="IT31" s="418">
        <v>250</v>
      </c>
      <c r="IU31" s="418">
        <v>251</v>
      </c>
      <c r="IV31" s="418">
        <v>252</v>
      </c>
      <c r="IW31" s="418">
        <v>253</v>
      </c>
      <c r="IX31" s="418">
        <v>254</v>
      </c>
      <c r="IY31" s="418">
        <v>255</v>
      </c>
      <c r="IZ31" s="418">
        <v>256</v>
      </c>
      <c r="JA31" s="418">
        <v>257</v>
      </c>
      <c r="JB31" s="418">
        <v>258</v>
      </c>
      <c r="JC31" s="418">
        <v>259</v>
      </c>
      <c r="JD31" s="418">
        <v>260</v>
      </c>
      <c r="JE31" s="418">
        <v>261</v>
      </c>
      <c r="JF31" s="418">
        <v>262</v>
      </c>
      <c r="JG31" s="418">
        <v>263</v>
      </c>
      <c r="JH31" s="418">
        <v>264</v>
      </c>
      <c r="JI31" s="418">
        <v>265</v>
      </c>
      <c r="JJ31" s="418">
        <v>266</v>
      </c>
      <c r="JK31" s="418">
        <v>267</v>
      </c>
      <c r="JL31" s="418">
        <v>268</v>
      </c>
      <c r="JM31" s="418">
        <v>269</v>
      </c>
      <c r="JN31" s="418">
        <v>270</v>
      </c>
      <c r="JO31" s="418">
        <v>271</v>
      </c>
      <c r="JP31" s="418">
        <v>272</v>
      </c>
      <c r="JQ31" s="418">
        <v>273</v>
      </c>
      <c r="JR31" s="351"/>
      <c r="JS31" s="1470" t="s">
        <v>2198</v>
      </c>
      <c r="JT31" s="450" t="s">
        <v>2199</v>
      </c>
    </row>
    <row r="32" spans="1:280" ht="12.5" x14ac:dyDescent="0.25">
      <c r="A32" s="1367">
        <v>2</v>
      </c>
      <c r="B32" s="1471" t="str">
        <f t="shared" ref="B32:B58" si="3">IF(EMP_B_IND&gt;1,IF(HLOOKUP(EMP_B_IND-1,EMP_RANGE_B,A32)="","",HLOOKUP(EMP_B_IND-1,EMP_RANGE_B,A32)),"")</f>
        <v/>
      </c>
      <c r="C32" s="1435" t="s">
        <v>2592</v>
      </c>
      <c r="D32" s="1436" t="s">
        <v>2593</v>
      </c>
      <c r="E32" s="1437"/>
      <c r="F32" s="1437"/>
      <c r="G32" s="1437"/>
      <c r="H32" s="1437"/>
      <c r="I32" s="1437"/>
      <c r="J32" s="1437"/>
      <c r="K32" s="1437"/>
      <c r="L32" s="1437"/>
      <c r="M32" s="1437"/>
      <c r="N32" s="1437"/>
      <c r="O32" s="1437"/>
      <c r="P32" s="1437"/>
      <c r="Q32" s="1437"/>
      <c r="R32" s="1437"/>
      <c r="S32" s="1437"/>
      <c r="T32" s="1437"/>
      <c r="U32" s="1437"/>
      <c r="V32" s="1437"/>
      <c r="W32" s="1437"/>
      <c r="X32" s="1437"/>
      <c r="Y32" s="1437"/>
      <c r="Z32" s="1437"/>
      <c r="AA32" s="1437"/>
      <c r="AB32" s="1437"/>
      <c r="AC32" s="1437"/>
      <c r="AD32" s="1437"/>
      <c r="AE32" s="1437"/>
      <c r="AF32" s="1437"/>
      <c r="AG32" s="1437"/>
      <c r="AH32" s="1437"/>
      <c r="AI32" s="1437"/>
      <c r="AJ32" s="1437"/>
      <c r="AK32" s="1437"/>
      <c r="AL32" s="1437"/>
      <c r="AM32" s="1437"/>
      <c r="AN32" s="1437"/>
      <c r="AO32" s="1437"/>
      <c r="AP32" s="1437"/>
      <c r="AQ32" s="1437"/>
      <c r="AR32" s="1437"/>
      <c r="AS32" s="1437">
        <v>55750</v>
      </c>
      <c r="AT32" s="1437"/>
      <c r="AU32" s="1437"/>
      <c r="AV32" s="1437"/>
      <c r="AW32" s="1437"/>
      <c r="AX32" s="1437"/>
      <c r="AY32" s="1437"/>
      <c r="AZ32" s="1437"/>
      <c r="BA32" s="1437">
        <v>101000</v>
      </c>
      <c r="BB32" s="1437">
        <v>9050</v>
      </c>
      <c r="BC32" s="1437"/>
      <c r="BD32" s="1437">
        <v>89000</v>
      </c>
      <c r="BE32" s="1437"/>
      <c r="BF32" s="1437">
        <v>18504</v>
      </c>
      <c r="BG32" s="1437"/>
      <c r="BH32" s="1437"/>
      <c r="BI32" s="1437">
        <v>7460</v>
      </c>
      <c r="BJ32" s="1437"/>
      <c r="BK32" s="1437"/>
      <c r="BL32" s="1437"/>
      <c r="BM32" s="1437"/>
      <c r="BN32" s="1437"/>
      <c r="BO32" s="1437"/>
      <c r="BP32" s="1437"/>
      <c r="BQ32" s="1437"/>
      <c r="BR32" s="1437"/>
      <c r="BS32" s="1437"/>
      <c r="BT32" s="1437"/>
      <c r="BU32" s="1437"/>
      <c r="BV32" s="1437"/>
      <c r="BW32" s="1437"/>
      <c r="BX32" s="1437"/>
      <c r="BY32" s="1437"/>
      <c r="BZ32" s="1437"/>
      <c r="CA32" s="1437"/>
      <c r="CB32" s="1437"/>
      <c r="CC32" s="1437"/>
      <c r="CD32" s="1437"/>
      <c r="CE32" s="1437">
        <v>18500</v>
      </c>
      <c r="CF32" s="1437"/>
      <c r="CG32" s="1437"/>
      <c r="CH32" s="1437"/>
      <c r="CI32" s="1437"/>
      <c r="CJ32" s="1437"/>
      <c r="CK32" s="1437"/>
      <c r="CL32" s="1437"/>
      <c r="CM32" s="1437"/>
      <c r="CN32" s="1437">
        <v>8000</v>
      </c>
      <c r="CO32" s="1437"/>
      <c r="CP32" s="1437"/>
      <c r="CQ32" s="1437"/>
      <c r="CR32" s="1437"/>
      <c r="CS32" s="1437"/>
      <c r="CT32" s="1437"/>
      <c r="CU32" s="1437"/>
      <c r="CV32" s="1437"/>
      <c r="CW32" s="1437"/>
      <c r="CX32" s="1437"/>
      <c r="CY32" s="1437"/>
      <c r="CZ32" s="1437"/>
      <c r="DA32" s="1442">
        <v>212064.22</v>
      </c>
      <c r="DB32" s="1437">
        <v>320347</v>
      </c>
      <c r="DC32" s="1437"/>
      <c r="DD32" s="1437"/>
      <c r="DE32" s="1437"/>
      <c r="DF32" s="1437"/>
      <c r="DG32" s="1437"/>
      <c r="DH32" s="1437"/>
      <c r="DI32" s="1437">
        <v>5049</v>
      </c>
      <c r="DJ32" s="1437"/>
      <c r="DK32" s="1437"/>
      <c r="DL32" s="1437">
        <v>18500</v>
      </c>
      <c r="DM32" s="1437"/>
      <c r="DN32" s="1441">
        <v>16996</v>
      </c>
      <c r="DO32" s="1442">
        <v>16996</v>
      </c>
      <c r="DP32" s="1437"/>
      <c r="DQ32" s="1437"/>
      <c r="DR32" s="1442">
        <v>15000</v>
      </c>
      <c r="DS32" s="1442">
        <v>16996</v>
      </c>
      <c r="DT32" s="1437"/>
      <c r="DU32" s="1437"/>
      <c r="DV32" s="1437"/>
      <c r="DW32" s="1437"/>
      <c r="DX32" s="1437"/>
      <c r="DY32" s="1437"/>
      <c r="DZ32" s="1442">
        <v>8000</v>
      </c>
      <c r="EA32" s="1437"/>
      <c r="EB32" s="1437"/>
      <c r="EC32" s="1437"/>
      <c r="ED32" s="1437"/>
      <c r="EE32" s="1437">
        <v>55750</v>
      </c>
      <c r="EF32" s="1437"/>
      <c r="EG32" s="1437"/>
      <c r="EH32" s="1437"/>
      <c r="EI32" s="1437"/>
      <c r="EJ32" s="1437"/>
      <c r="EK32" s="1437"/>
      <c r="EL32" s="1437"/>
      <c r="EM32" s="1437"/>
      <c r="EN32" s="1442">
        <v>14230.77</v>
      </c>
      <c r="EO32" s="1437"/>
      <c r="EP32" s="1437"/>
      <c r="EQ32" s="1437"/>
      <c r="ER32" s="1437"/>
      <c r="ES32" s="1437"/>
      <c r="ET32" s="1437"/>
      <c r="EU32" s="1437"/>
      <c r="EV32" s="1437"/>
      <c r="EW32" s="1437"/>
      <c r="EX32" s="1437"/>
      <c r="EY32" s="1437"/>
      <c r="EZ32" s="1437"/>
      <c r="FA32" s="1437"/>
      <c r="FB32" s="1437"/>
      <c r="FC32" s="1437"/>
      <c r="FD32" s="1441">
        <v>22596</v>
      </c>
      <c r="FE32" s="1437"/>
      <c r="FF32" s="1437"/>
      <c r="FG32" s="1437"/>
      <c r="FH32" s="1437"/>
      <c r="FI32" s="1437"/>
      <c r="FJ32" s="1442">
        <v>69999</v>
      </c>
      <c r="FK32" s="1437"/>
      <c r="FL32" s="1437"/>
      <c r="FM32" s="1437"/>
      <c r="FN32" s="1437"/>
      <c r="FO32" s="1442">
        <v>125000</v>
      </c>
      <c r="FP32" s="1437"/>
      <c r="FQ32" s="1437"/>
      <c r="FR32" s="1437"/>
      <c r="FS32" s="1437"/>
      <c r="FT32" s="1437"/>
      <c r="FU32" s="1437"/>
      <c r="FV32" s="1437"/>
      <c r="FW32" s="1437"/>
      <c r="FX32" s="1437"/>
      <c r="FY32" s="1437"/>
      <c r="FZ32" s="1437"/>
      <c r="GA32" s="1437"/>
      <c r="GB32" s="1437"/>
      <c r="GC32" s="1437">
        <v>27515</v>
      </c>
      <c r="GD32" s="1437">
        <v>2750</v>
      </c>
      <c r="GE32" s="1437"/>
      <c r="GF32" s="1437"/>
      <c r="GG32" s="1437"/>
      <c r="GH32" s="1437"/>
      <c r="GI32" s="1437"/>
      <c r="GJ32" s="1437"/>
      <c r="GK32" s="1437"/>
      <c r="GL32" s="1437"/>
      <c r="GM32" s="1437"/>
      <c r="GN32" s="1437"/>
      <c r="GO32" s="1437"/>
      <c r="GP32" s="1437"/>
      <c r="GQ32" s="1437"/>
      <c r="GR32" s="1437"/>
      <c r="GS32" s="1437"/>
      <c r="GT32" s="1437"/>
      <c r="GU32" s="1437"/>
      <c r="GV32" s="1437"/>
      <c r="GW32" s="1441">
        <v>5400</v>
      </c>
      <c r="GX32" s="1441">
        <v>94000</v>
      </c>
      <c r="GY32" s="1437"/>
      <c r="GZ32" s="1437"/>
      <c r="HA32" s="1437"/>
      <c r="HB32" s="1437">
        <v>47000</v>
      </c>
      <c r="HC32" s="1437"/>
      <c r="HD32" s="1437"/>
      <c r="HE32" s="1437"/>
      <c r="HF32" s="1437"/>
      <c r="HG32" s="1437"/>
      <c r="HH32" s="1437"/>
      <c r="HI32" s="1437"/>
      <c r="HJ32" s="1437"/>
      <c r="HK32" s="1437"/>
      <c r="HL32" s="1437"/>
      <c r="HM32" s="1437"/>
      <c r="HN32" s="1437"/>
      <c r="HO32" s="1437"/>
      <c r="HP32" s="1437"/>
      <c r="HQ32" s="1437"/>
      <c r="HR32" s="1437">
        <v>9000</v>
      </c>
      <c r="HS32" s="1437"/>
      <c r="HT32" s="1442">
        <v>70032.070000000007</v>
      </c>
      <c r="HU32" s="1437"/>
      <c r="HV32" s="1437"/>
      <c r="HW32" s="1437"/>
      <c r="HX32" s="1437"/>
      <c r="HY32" s="1437"/>
      <c r="HZ32" s="1437"/>
      <c r="IA32" s="1437"/>
      <c r="IB32" s="1437"/>
      <c r="IC32" s="1437"/>
      <c r="ID32" s="1437"/>
      <c r="IE32" s="1442">
        <v>7600</v>
      </c>
      <c r="IF32" s="1437"/>
      <c r="IG32" s="1437"/>
      <c r="IH32" s="1441">
        <v>5011</v>
      </c>
      <c r="II32" s="1437">
        <v>14904</v>
      </c>
      <c r="IJ32" s="1437"/>
      <c r="IK32" s="1437"/>
      <c r="IL32" s="1437"/>
      <c r="IM32" s="1437"/>
      <c r="IN32" s="1437"/>
      <c r="IO32" s="1437"/>
      <c r="IP32" s="1437"/>
      <c r="IQ32" s="1437"/>
      <c r="IR32" s="1437"/>
      <c r="IS32" s="1437"/>
      <c r="IT32" s="1437"/>
      <c r="IU32" s="1437"/>
      <c r="IV32" s="1437"/>
      <c r="IW32" s="1442">
        <v>15000</v>
      </c>
      <c r="IX32" s="1437"/>
      <c r="IY32" s="1437">
        <v>6666</v>
      </c>
      <c r="IZ32" s="1437"/>
      <c r="JA32" s="1437"/>
      <c r="JB32" s="1442">
        <v>235845</v>
      </c>
      <c r="JC32" s="1437"/>
      <c r="JD32" s="1437"/>
      <c r="JE32" s="1437"/>
      <c r="JF32" s="1437"/>
      <c r="JG32" s="1437"/>
      <c r="JH32" s="1437"/>
      <c r="JI32" s="1437"/>
      <c r="JJ32" s="1437"/>
      <c r="JK32" s="1442">
        <v>9096</v>
      </c>
      <c r="JL32" s="1441">
        <v>17500</v>
      </c>
      <c r="JM32" s="1437"/>
      <c r="JN32" s="1437"/>
      <c r="JO32" s="1437"/>
      <c r="JP32" s="1437"/>
      <c r="JQ32" s="1437"/>
      <c r="JR32" s="351"/>
      <c r="JS32" s="1470"/>
      <c r="JT32" s="450" t="s">
        <v>2224</v>
      </c>
    </row>
    <row r="33" spans="1:280" ht="12.5" x14ac:dyDescent="0.25">
      <c r="A33" s="1367">
        <v>3</v>
      </c>
      <c r="B33" s="1471" t="str">
        <f t="shared" si="3"/>
        <v/>
      </c>
      <c r="C33" s="1435" t="s">
        <v>2594</v>
      </c>
      <c r="D33" s="1443" t="s">
        <v>2595</v>
      </c>
      <c r="E33" s="1445"/>
      <c r="F33" s="1445"/>
      <c r="G33" s="1445"/>
      <c r="H33" s="1447"/>
      <c r="I33" s="1447"/>
      <c r="J33" s="1447"/>
      <c r="K33" s="1445"/>
      <c r="L33" s="1447"/>
      <c r="M33" s="1447"/>
      <c r="N33" s="1447"/>
      <c r="O33" s="1445"/>
      <c r="P33" s="1447"/>
      <c r="Q33" s="1445"/>
      <c r="R33" s="1445"/>
      <c r="S33" s="1447"/>
      <c r="T33" s="1447"/>
      <c r="U33" s="1447"/>
      <c r="V33" s="1445"/>
      <c r="W33" s="1445"/>
      <c r="X33" s="1445"/>
      <c r="Y33" s="1445"/>
      <c r="Z33" s="1445"/>
      <c r="AA33" s="1445"/>
      <c r="AB33" s="1445"/>
      <c r="AC33" s="1445"/>
      <c r="AD33" s="1445"/>
      <c r="AE33" s="1445"/>
      <c r="AF33" s="1445"/>
      <c r="AG33" s="1445"/>
      <c r="AH33" s="1445"/>
      <c r="AI33" s="1445"/>
      <c r="AJ33" s="1445"/>
      <c r="AK33" s="1445"/>
      <c r="AL33" s="1445"/>
      <c r="AM33" s="1445"/>
      <c r="AN33" s="1445"/>
      <c r="AO33" s="1445"/>
      <c r="AP33" s="1445"/>
      <c r="AQ33" s="1445"/>
      <c r="AR33" s="1445"/>
      <c r="AS33" s="1445"/>
      <c r="AT33" s="1445"/>
      <c r="AU33" s="1445"/>
      <c r="AV33" s="1445"/>
      <c r="AW33" s="1445"/>
      <c r="AX33" s="1445"/>
      <c r="AY33" s="1445"/>
      <c r="AZ33" s="1445"/>
      <c r="BA33" s="1445"/>
      <c r="BB33" s="1445"/>
      <c r="BC33" s="1445"/>
      <c r="BD33" s="1445"/>
      <c r="BE33" s="1445"/>
      <c r="BF33" s="1445"/>
      <c r="BG33" s="1445"/>
      <c r="BH33" s="1445"/>
      <c r="BI33" s="1445"/>
      <c r="BJ33" s="1445"/>
      <c r="BK33" s="1445"/>
      <c r="BL33" s="1445"/>
      <c r="BM33" s="1445"/>
      <c r="BN33" s="1445"/>
      <c r="BO33" s="1445"/>
      <c r="BP33" s="1445"/>
      <c r="BQ33" s="1445"/>
      <c r="BR33" s="1445"/>
      <c r="BS33" s="1445"/>
      <c r="BT33" s="1445"/>
      <c r="BU33" s="1445"/>
      <c r="BV33" s="1445"/>
      <c r="BW33" s="1445"/>
      <c r="BX33" s="1445"/>
      <c r="BY33" s="1445"/>
      <c r="BZ33" s="1445"/>
      <c r="CA33" s="1445"/>
      <c r="CB33" s="1445"/>
      <c r="CC33" s="1445"/>
      <c r="CD33" s="1445"/>
      <c r="CE33" s="1445"/>
      <c r="CF33" s="1445"/>
      <c r="CG33" s="1445"/>
      <c r="CH33" s="1445"/>
      <c r="CI33" s="1445"/>
      <c r="CJ33" s="1445"/>
      <c r="CK33" s="1445"/>
      <c r="CL33" s="1445"/>
      <c r="CM33" s="1445"/>
      <c r="CN33" s="1445"/>
      <c r="CO33" s="1445"/>
      <c r="CP33" s="1445"/>
      <c r="CQ33" s="1445"/>
      <c r="CR33" s="1445"/>
      <c r="CS33" s="1445"/>
      <c r="CT33" s="1445"/>
      <c r="CU33" s="1445"/>
      <c r="CV33" s="1445"/>
      <c r="CW33" s="1445"/>
      <c r="CX33" s="1445"/>
      <c r="CY33" s="1445"/>
      <c r="CZ33" s="1445"/>
      <c r="DA33" s="1442">
        <v>84825.600000000006</v>
      </c>
      <c r="DB33" s="1445"/>
      <c r="DC33" s="1445"/>
      <c r="DD33" s="1445"/>
      <c r="DE33" s="1445"/>
      <c r="DF33" s="1445"/>
      <c r="DG33" s="1445"/>
      <c r="DH33" s="1445"/>
      <c r="DI33" s="1445"/>
      <c r="DJ33" s="1445"/>
      <c r="DK33" s="1445"/>
      <c r="DL33" s="1445"/>
      <c r="DM33" s="1445"/>
      <c r="DN33" s="1445"/>
      <c r="DO33" s="1449"/>
      <c r="DP33" s="1445"/>
      <c r="DQ33" s="1445"/>
      <c r="DR33" s="1449"/>
      <c r="DS33" s="1449"/>
      <c r="DT33" s="1445"/>
      <c r="DU33" s="1445"/>
      <c r="DV33" s="1445"/>
      <c r="DW33" s="1445"/>
      <c r="DX33" s="1445"/>
      <c r="DY33" s="1445"/>
      <c r="DZ33" s="1449"/>
      <c r="EA33" s="1445"/>
      <c r="EB33" s="1445"/>
      <c r="EC33" s="1445"/>
      <c r="ED33" s="1445"/>
      <c r="EE33" s="1445"/>
      <c r="EF33" s="1445"/>
      <c r="EG33" s="1445"/>
      <c r="EH33" s="1445"/>
      <c r="EI33" s="1445"/>
      <c r="EJ33" s="1445"/>
      <c r="EK33" s="1445"/>
      <c r="EL33" s="1445"/>
      <c r="EM33" s="1445"/>
      <c r="EN33" s="1449"/>
      <c r="EO33" s="1445"/>
      <c r="EP33" s="1445"/>
      <c r="EQ33" s="1445"/>
      <c r="ER33" s="1445"/>
      <c r="ES33" s="1445"/>
      <c r="ET33" s="1445"/>
      <c r="EU33" s="1445"/>
      <c r="EV33" s="1445"/>
      <c r="EW33" s="1445"/>
      <c r="EX33" s="1445"/>
      <c r="EY33" s="1445"/>
      <c r="EZ33" s="1445"/>
      <c r="FA33" s="1445"/>
      <c r="FB33" s="1445"/>
      <c r="FC33" s="1445"/>
      <c r="FD33" s="1445"/>
      <c r="FE33" s="1445"/>
      <c r="FF33" s="1445"/>
      <c r="FG33" s="1445"/>
      <c r="FH33" s="1445"/>
      <c r="FI33" s="1445"/>
      <c r="FJ33" s="1449"/>
      <c r="FK33" s="1445"/>
      <c r="FL33" s="1445"/>
      <c r="FM33" s="1445"/>
      <c r="FN33" s="1445"/>
      <c r="FO33" s="1449"/>
      <c r="FP33" s="1445"/>
      <c r="FQ33" s="1445"/>
      <c r="FR33" s="1445"/>
      <c r="FS33" s="1445"/>
      <c r="FT33" s="1445"/>
      <c r="FU33" s="1445"/>
      <c r="FV33" s="1445"/>
      <c r="FW33" s="1445"/>
      <c r="FX33" s="1445"/>
      <c r="FY33" s="1445"/>
      <c r="FZ33" s="1445"/>
      <c r="GA33" s="1445"/>
      <c r="GB33" s="1445"/>
      <c r="GC33" s="1445"/>
      <c r="GD33" s="1445"/>
      <c r="GE33" s="1445"/>
      <c r="GF33" s="1445"/>
      <c r="GG33" s="1445"/>
      <c r="GH33" s="1445"/>
      <c r="GI33" s="1445"/>
      <c r="GJ33" s="1445"/>
      <c r="GK33" s="1445"/>
      <c r="GL33" s="1445"/>
      <c r="GM33" s="1445"/>
      <c r="GN33" s="1445"/>
      <c r="GO33" s="1445"/>
      <c r="GP33" s="1445"/>
      <c r="GQ33" s="1445"/>
      <c r="GR33" s="1445"/>
      <c r="GS33" s="1445"/>
      <c r="GT33" s="1445"/>
      <c r="GU33" s="1445"/>
      <c r="GV33" s="1445"/>
      <c r="GW33" s="1445"/>
      <c r="GX33" s="1445"/>
      <c r="GY33" s="1445"/>
      <c r="GZ33" s="1445"/>
      <c r="HA33" s="1445"/>
      <c r="HB33" s="1445"/>
      <c r="HC33" s="1445"/>
      <c r="HD33" s="1445"/>
      <c r="HE33" s="1445"/>
      <c r="HF33" s="1445"/>
      <c r="HG33" s="1445"/>
      <c r="HH33" s="1445"/>
      <c r="HI33" s="1445"/>
      <c r="HJ33" s="1445"/>
      <c r="HK33" s="1445"/>
      <c r="HL33" s="1445"/>
      <c r="HM33" s="1445"/>
      <c r="HN33" s="1445"/>
      <c r="HO33" s="1445"/>
      <c r="HP33" s="1445"/>
      <c r="HQ33" s="1445"/>
      <c r="HR33" s="1445"/>
      <c r="HS33" s="1445"/>
      <c r="HT33" s="1449"/>
      <c r="HU33" s="1445"/>
      <c r="HV33" s="1445"/>
      <c r="HW33" s="1445"/>
      <c r="HX33" s="1445"/>
      <c r="HY33" s="1445"/>
      <c r="HZ33" s="1445"/>
      <c r="IA33" s="1445"/>
      <c r="IB33" s="1445"/>
      <c r="IC33" s="1445"/>
      <c r="ID33" s="1445"/>
      <c r="IE33" s="1449"/>
      <c r="IF33" s="1445"/>
      <c r="IG33" s="1445"/>
      <c r="IH33" s="1445"/>
      <c r="II33" s="1445"/>
      <c r="IJ33" s="1445"/>
      <c r="IK33" s="1445"/>
      <c r="IL33" s="1445"/>
      <c r="IM33" s="1445"/>
      <c r="IN33" s="1445"/>
      <c r="IO33" s="1445"/>
      <c r="IP33" s="1445"/>
      <c r="IQ33" s="1445"/>
      <c r="IR33" s="1445"/>
      <c r="IS33" s="1445"/>
      <c r="IT33" s="1445"/>
      <c r="IU33" s="1445"/>
      <c r="IV33" s="1445"/>
      <c r="IW33" s="1449"/>
      <c r="IX33" s="1445"/>
      <c r="IY33" s="1445"/>
      <c r="IZ33" s="1445"/>
      <c r="JA33" s="1445"/>
      <c r="JB33" s="1449"/>
      <c r="JC33" s="1445"/>
      <c r="JD33" s="1445"/>
      <c r="JE33" s="1445"/>
      <c r="JF33" s="1445"/>
      <c r="JG33" s="1445"/>
      <c r="JH33" s="1445"/>
      <c r="JI33" s="1445"/>
      <c r="JJ33" s="1445"/>
      <c r="JK33" s="1449"/>
      <c r="JL33" s="1445"/>
      <c r="JM33" s="1445"/>
      <c r="JN33" s="1445"/>
      <c r="JO33" s="1445"/>
      <c r="JP33" s="1445"/>
      <c r="JQ33" s="1445"/>
      <c r="JR33" s="351"/>
      <c r="JS33" s="1470"/>
      <c r="JT33" s="450"/>
    </row>
    <row r="34" spans="1:280" ht="12.5" x14ac:dyDescent="0.25">
      <c r="A34" s="1367">
        <v>4</v>
      </c>
      <c r="B34" s="1471" t="str">
        <f t="shared" si="3"/>
        <v/>
      </c>
      <c r="C34" s="1435" t="s">
        <v>2596</v>
      </c>
      <c r="D34" s="1436" t="s">
        <v>2597</v>
      </c>
      <c r="E34" s="1437"/>
      <c r="F34" s="1437"/>
      <c r="G34" s="1437"/>
      <c r="H34" s="1437"/>
      <c r="I34" s="1437"/>
      <c r="J34" s="1437"/>
      <c r="K34" s="1437"/>
      <c r="L34" s="1437"/>
      <c r="M34" s="1437"/>
      <c r="N34" s="1437"/>
      <c r="O34" s="1437"/>
      <c r="P34" s="1437"/>
      <c r="Q34" s="1437"/>
      <c r="R34" s="1437"/>
      <c r="S34" s="1437"/>
      <c r="T34" s="1437"/>
      <c r="U34" s="1437"/>
      <c r="V34" s="1437"/>
      <c r="W34" s="1437"/>
      <c r="X34" s="1437"/>
      <c r="Y34" s="1437"/>
      <c r="Z34" s="1437"/>
      <c r="AA34" s="1437"/>
      <c r="AB34" s="1437"/>
      <c r="AC34" s="1437"/>
      <c r="AD34" s="1437"/>
      <c r="AE34" s="1437"/>
      <c r="AF34" s="1437"/>
      <c r="AG34" s="1437"/>
      <c r="AH34" s="1437"/>
      <c r="AI34" s="1437"/>
      <c r="AJ34" s="1437"/>
      <c r="AK34" s="1437"/>
      <c r="AL34" s="1437"/>
      <c r="AM34" s="1437"/>
      <c r="AN34" s="1437"/>
      <c r="AO34" s="1437"/>
      <c r="AP34" s="1437"/>
      <c r="AQ34" s="1437"/>
      <c r="AR34" s="1437"/>
      <c r="AS34" s="1437">
        <f>MAX((AS32+AS47+AS48+AS49+AS50+AS51+AS52+AS53+AS54-P_A)*BR_rate,0)+MAX((AS32+AS47+AS48+AS49+AS50+AS51+AS52+AS53+AS54-P_A-HR_band)*BR_rate,0)</f>
        <v>11826</v>
      </c>
      <c r="AT34" s="1437"/>
      <c r="AU34" s="1437"/>
      <c r="AV34" s="1437"/>
      <c r="AW34" s="1437"/>
      <c r="AX34" s="1437"/>
      <c r="AY34" s="1437"/>
      <c r="AZ34" s="1437"/>
      <c r="BA34" s="1437">
        <f>MAX((BA32+BA47+BA48+BA49+BA50+BA51+BA52+BA53+BA54-P_A)*BR_rate,0)+MAX((BA32+BA47+BA48+BA49+BA50+BA51+BA52+BA53+BA54-P_A-HR_band)*BR_rate,0)</f>
        <v>23084</v>
      </c>
      <c r="BB34" s="1437">
        <f>MAX((BB32+BB47+BB48+BB49+BB50+BB51+BB52+BB53+BB54-P_A)*BR_rate,0)+MAX((BB32+BB47+BB48+BB49+BB50+BB51+BB52+BB53+BB54-P_A-HR_band)*BR_rate,0)</f>
        <v>0</v>
      </c>
      <c r="BC34" s="1437"/>
      <c r="BD34" s="1437">
        <f>MAX((BD32+BD47+BD48+BD49+BD50+BD51+BD52+BD53+BD54-P_A)*BR_rate,0)+MAX((BD32+BD47+BD48+BD49+BD50+BD51+BD52+BD53+BD54-P_A-HR_band)*BR_rate,0)</f>
        <v>17086</v>
      </c>
      <c r="BE34" s="1437"/>
      <c r="BF34" s="1437">
        <f>MAX((BF32+BF47+BF48+BF49+BF50+BF51+BF52+BF53+BF54-P_A)*BR_rate,0)+MAX((BF32+BF47+BF48+BF49+BF50+BF51+BF52+BF53+BF54-P_A-HR_band)*BR_rate,0)</f>
        <v>1306.8000000000002</v>
      </c>
      <c r="BG34" s="1437"/>
      <c r="BH34" s="1437"/>
      <c r="BI34" s="1437">
        <f>MAX((BI32+BI47+BI48+BI49+BI50+BI51+BI52+BI53+BI54-P_A)*BR_rate,0)+MAX((BI32+BI47+BI48+BI49+BI50+BI51+BI52+BI53+BI54-P_A-HR_band)*BR_rate,0)</f>
        <v>0</v>
      </c>
      <c r="BJ34" s="1437"/>
      <c r="BK34" s="1437"/>
      <c r="BL34" s="1437"/>
      <c r="BM34" s="1437"/>
      <c r="BN34" s="1437"/>
      <c r="BO34" s="1437"/>
      <c r="BP34" s="1437"/>
      <c r="BQ34" s="1437"/>
      <c r="BR34" s="1437"/>
      <c r="BS34" s="1437"/>
      <c r="BT34" s="1437"/>
      <c r="BU34" s="1437"/>
      <c r="BV34" s="1437"/>
      <c r="BW34" s="1437"/>
      <c r="BX34" s="1437"/>
      <c r="BY34" s="1437"/>
      <c r="BZ34" s="1437"/>
      <c r="CA34" s="1437"/>
      <c r="CB34" s="1437"/>
      <c r="CC34" s="1437"/>
      <c r="CD34" s="1437"/>
      <c r="CE34" s="1437">
        <f>MAX((CE32+CE47+CE48+CE49+CE50+CE51+CE52+CE53+CE54-P_A)*BR_rate,0)+MAX((CE32+CE47+CE48+CE49+CE50+CE51+CE52+CE53+CE54-P_A-HR_band)*BR_rate,0)</f>
        <v>1306</v>
      </c>
      <c r="CF34" s="1437"/>
      <c r="CG34" s="1437"/>
      <c r="CH34" s="1437"/>
      <c r="CI34" s="1437"/>
      <c r="CJ34" s="1437"/>
      <c r="CK34" s="1437"/>
      <c r="CL34" s="1437"/>
      <c r="CM34" s="1437"/>
      <c r="CN34" s="1437">
        <f>MAX((CN32+CN47+CN48+CN49+CN50+CN51+CN52+CN53+CN54-P_A)*BR_rate,0)+MAX((CN32+CN47+CN48+CN49+CN50+CN51+CN52+CN53+CN54-P_A-HR_band)*BR_rate,0)</f>
        <v>0</v>
      </c>
      <c r="CO34" s="1437"/>
      <c r="CP34" s="1437"/>
      <c r="CQ34" s="1437"/>
      <c r="CR34" s="1437"/>
      <c r="CS34" s="1437"/>
      <c r="CT34" s="1437"/>
      <c r="CU34" s="1437"/>
      <c r="CV34" s="1437"/>
      <c r="CW34" s="1437"/>
      <c r="CX34" s="1437"/>
      <c r="CY34" s="1437"/>
      <c r="CZ34" s="1437"/>
      <c r="DA34" s="1437"/>
      <c r="DB34" s="1437">
        <v>129156.15</v>
      </c>
      <c r="DC34" s="1437"/>
      <c r="DD34" s="1437"/>
      <c r="DE34" s="1437"/>
      <c r="DF34" s="1437"/>
      <c r="DG34" s="1437"/>
      <c r="DH34" s="1437"/>
      <c r="DI34" s="1437">
        <f>MAX((DI32+DI47+DI48+DI49+DI50+DI51+DI52+DI53+DI54-P_A)*BR_rate,0)+MAX((DI32+DI47+DI48+DI49+DI50+DI51+DI52+DI53+DI54-P_A-HR_band)*BR_rate,0)</f>
        <v>0</v>
      </c>
      <c r="DJ34" s="1437"/>
      <c r="DK34" s="1437"/>
      <c r="DL34" s="1437">
        <f>MAX((DL32+DL47+DL48+DL49+DL50+DL51+DL52+DL53+DL54-P_A)*BR_rate,0)+MAX((DL32+DL47+DL48+DL49+DL50+DL51+DL52+DL53+DL54-P_A-HR_band)*BR_rate,0)</f>
        <v>1306</v>
      </c>
      <c r="DM34" s="1437"/>
      <c r="DN34" s="1437"/>
      <c r="DO34" s="1451">
        <v>6798.4</v>
      </c>
      <c r="DP34" s="1437"/>
      <c r="DQ34" s="1437"/>
      <c r="DR34" s="1451">
        <v>12</v>
      </c>
      <c r="DS34" s="1451">
        <v>6798.4</v>
      </c>
      <c r="DT34" s="1437"/>
      <c r="DU34" s="1437"/>
      <c r="DV34" s="1437"/>
      <c r="DW34" s="1437"/>
      <c r="DX34" s="1437"/>
      <c r="DY34" s="1437"/>
      <c r="DZ34" s="1451">
        <v>100</v>
      </c>
      <c r="EA34" s="1437"/>
      <c r="EB34" s="1437"/>
      <c r="EC34" s="1437"/>
      <c r="ED34" s="1437"/>
      <c r="EE34" s="1437">
        <f>MAX((EE32+EE47+EE48+EE49+EE50+EE51+EE52+EE53+EE54-P_A)*BR_rate,0)+MAX((EE32+EE47+EE48+EE49+EE50+EE51+EE52+EE53+EE54-P_A-HR_band)*BR_rate,0)</f>
        <v>11826</v>
      </c>
      <c r="EF34" s="1437"/>
      <c r="EG34" s="1437"/>
      <c r="EH34" s="1437"/>
      <c r="EI34" s="1437"/>
      <c r="EJ34" s="1437"/>
      <c r="EK34" s="1437"/>
      <c r="EL34" s="1437"/>
      <c r="EM34" s="1437"/>
      <c r="EN34" s="1451">
        <v>2313</v>
      </c>
      <c r="EO34" s="1437"/>
      <c r="EP34" s="1437"/>
      <c r="EQ34" s="1437"/>
      <c r="ER34" s="1437"/>
      <c r="ES34" s="1437"/>
      <c r="ET34" s="1437"/>
      <c r="EU34" s="1437"/>
      <c r="EV34" s="1437"/>
      <c r="EW34" s="1437"/>
      <c r="EX34" s="1437"/>
      <c r="EY34" s="1437"/>
      <c r="EZ34" s="1437"/>
      <c r="FA34" s="1437"/>
      <c r="FB34" s="1437"/>
      <c r="FC34" s="1437"/>
      <c r="FD34" s="1441">
        <v>4519</v>
      </c>
      <c r="FE34" s="1437"/>
      <c r="FF34" s="1437"/>
      <c r="FG34" s="1437"/>
      <c r="FH34" s="1437"/>
      <c r="FI34" s="1437"/>
      <c r="FJ34" s="1451">
        <v>14000</v>
      </c>
      <c r="FK34" s="1437"/>
      <c r="FL34" s="1437"/>
      <c r="FM34" s="1437"/>
      <c r="FN34" s="1437"/>
      <c r="FO34" s="1451">
        <v>25000</v>
      </c>
      <c r="FP34" s="1437"/>
      <c r="FQ34" s="1437"/>
      <c r="FR34" s="1437"/>
      <c r="FS34" s="1437"/>
      <c r="FT34" s="1437"/>
      <c r="FU34" s="1437"/>
      <c r="FV34" s="1437"/>
      <c r="FW34" s="1437"/>
      <c r="FX34" s="1437"/>
      <c r="FY34" s="1437"/>
      <c r="FZ34" s="1437"/>
      <c r="GA34" s="1437"/>
      <c r="GB34" s="1437"/>
      <c r="GC34" s="1437">
        <f>MAX((GC32+GC47+GC48+GC49+GC50+GC51+GC52+GC53+GC54-P_A)*BR_rate,0)+MAX((GC32+GC47+GC48+GC49+GC50+GC51+GC52+GC53+GC54-P_A-HR_band)*BR_rate,0)</f>
        <v>3584</v>
      </c>
      <c r="GD34" s="1437">
        <f>MAX((GD32+GD47+GD48+GD49+GD50+GD51+GD52+GD53+GD54-P_A)*BR_rate,0)+MAX((GD32+GD47+GD48+GD49+GD50+GD51+GD52+GD53+GD54-P_A-HR_band)*BR_rate,0)</f>
        <v>0</v>
      </c>
      <c r="GE34" s="1437"/>
      <c r="GF34" s="1437"/>
      <c r="GG34" s="1437"/>
      <c r="GH34" s="1437"/>
      <c r="GI34" s="1437"/>
      <c r="GJ34" s="1437"/>
      <c r="GK34" s="1437"/>
      <c r="GL34" s="1437"/>
      <c r="GM34" s="1437"/>
      <c r="GN34" s="1437"/>
      <c r="GO34" s="1437"/>
      <c r="GP34" s="1437"/>
      <c r="GQ34" s="1437"/>
      <c r="GR34" s="1437"/>
      <c r="GS34" s="1437"/>
      <c r="GT34" s="1437"/>
      <c r="GU34" s="1437"/>
      <c r="GV34" s="1437"/>
      <c r="GW34" s="1437">
        <f>MAX((GW32+GW47+GW48+GW49+GW50+GW51+GW52+GW53+GW54-P_A)*BR_rate,0)+MAX((GW32+GW47+GW48+GW49+GW50+GW51+GW52+GW53+GW54-P_A-HR_band)*BR_rate,0)</f>
        <v>0</v>
      </c>
      <c r="GX34" s="1437">
        <f>MAX((GX32+GX47+GX48+GX49+GX50+GX51+GX52+GX53+GX54-P_A)*BR_rate,0)+MAX((GX32+GX47+GX48+GX49+GX50+GX51+GX52+GX53+GX54-P_A-HR_band)*BR_rate,0)</f>
        <v>17564</v>
      </c>
      <c r="GY34" s="1437"/>
      <c r="GZ34" s="1437"/>
      <c r="HA34" s="1437"/>
      <c r="HB34" s="1437"/>
      <c r="HC34" s="1437"/>
      <c r="HD34" s="1437"/>
      <c r="HE34" s="1437"/>
      <c r="HF34" s="1437"/>
      <c r="HG34" s="1437"/>
      <c r="HH34" s="1437"/>
      <c r="HI34" s="1437"/>
      <c r="HJ34" s="1437"/>
      <c r="HK34" s="1437"/>
      <c r="HL34" s="1437"/>
      <c r="HM34" s="1437"/>
      <c r="HN34" s="1437"/>
      <c r="HO34" s="1437"/>
      <c r="HP34" s="1437"/>
      <c r="HQ34" s="1437"/>
      <c r="HR34" s="1437">
        <v>1800</v>
      </c>
      <c r="HS34" s="1437"/>
      <c r="HT34" s="1451">
        <v>17662</v>
      </c>
      <c r="HU34" s="1437"/>
      <c r="HV34" s="1437"/>
      <c r="HW34" s="1437"/>
      <c r="HX34" s="1437"/>
      <c r="HY34" s="1437"/>
      <c r="HZ34" s="1437"/>
      <c r="IA34" s="1437"/>
      <c r="IB34" s="1437"/>
      <c r="IC34" s="1437"/>
      <c r="ID34" s="1437"/>
      <c r="IE34" s="1451">
        <v>-4365.53</v>
      </c>
      <c r="IF34" s="1437"/>
      <c r="IG34" s="1437"/>
      <c r="IH34" s="1441">
        <v>458</v>
      </c>
      <c r="II34" s="1437"/>
      <c r="IJ34" s="1437"/>
      <c r="IK34" s="1437"/>
      <c r="IL34" s="1437"/>
      <c r="IM34" s="1437"/>
      <c r="IN34" s="1437"/>
      <c r="IO34" s="1437"/>
      <c r="IP34" s="1437"/>
      <c r="IQ34" s="1437"/>
      <c r="IR34" s="1437"/>
      <c r="IS34" s="1437"/>
      <c r="IT34" s="1437"/>
      <c r="IU34" s="1437"/>
      <c r="IV34" s="1437"/>
      <c r="IW34" s="1451">
        <v>6750</v>
      </c>
      <c r="IX34" s="1437"/>
      <c r="IY34" s="1437">
        <f>MAX((IY32+IY47+IY48+IY49+IY50+IY51+IY52+IY53+IY54-P_A)*BR_rate,0)+MAX((IY32+IY47+IY48+IY49+IY50+IY51+IY52+IY53+IY54-P_A-HR_band)*BR_rate,0)</f>
        <v>0</v>
      </c>
      <c r="IZ34" s="1437"/>
      <c r="JA34" s="1437"/>
      <c r="JB34" s="1451">
        <v>106130</v>
      </c>
      <c r="JC34" s="1437"/>
      <c r="JD34" s="1437"/>
      <c r="JE34" s="1437"/>
      <c r="JF34" s="1437"/>
      <c r="JG34" s="1437"/>
      <c r="JH34" s="1437"/>
      <c r="JI34" s="1437"/>
      <c r="JJ34" s="1437"/>
      <c r="JK34" s="1451">
        <v>2693</v>
      </c>
      <c r="JL34" s="1441">
        <v>3615</v>
      </c>
      <c r="JM34" s="1437"/>
      <c r="JN34" s="1437"/>
      <c r="JO34" s="1437"/>
      <c r="JP34" s="1437"/>
      <c r="JQ34" s="1437"/>
      <c r="JR34" s="351"/>
      <c r="JS34" s="1470"/>
      <c r="JT34" s="450" t="s">
        <v>2253</v>
      </c>
    </row>
    <row r="35" spans="1:280" ht="12.5" x14ac:dyDescent="0.25">
      <c r="A35" s="1367">
        <v>5</v>
      </c>
      <c r="B35" s="1471" t="str">
        <f t="shared" si="3"/>
        <v/>
      </c>
      <c r="C35" s="1435" t="s">
        <v>2598</v>
      </c>
      <c r="D35" s="1436" t="s">
        <v>2599</v>
      </c>
      <c r="E35" s="1452"/>
      <c r="F35" s="1452"/>
      <c r="G35" s="1452"/>
      <c r="H35" s="1453"/>
      <c r="I35" s="1453"/>
      <c r="J35" s="1453"/>
      <c r="K35" s="1452"/>
      <c r="L35" s="1453"/>
      <c r="M35" s="1453"/>
      <c r="N35" s="1453"/>
      <c r="O35" s="1452"/>
      <c r="P35" s="1453"/>
      <c r="Q35" s="1452"/>
      <c r="R35" s="1452"/>
      <c r="S35" s="1453"/>
      <c r="T35" s="1453"/>
      <c r="U35" s="1453"/>
      <c r="V35" s="1452"/>
      <c r="W35" s="1452"/>
      <c r="X35" s="1452"/>
      <c r="Y35" s="1452"/>
      <c r="Z35" s="1453"/>
      <c r="AA35" s="1452"/>
      <c r="AB35" s="1453"/>
      <c r="AC35" s="1452"/>
      <c r="AD35" s="1452"/>
      <c r="AE35" s="1452"/>
      <c r="AF35" s="1452"/>
      <c r="AG35" s="1452"/>
      <c r="AH35" s="1452"/>
      <c r="AI35" s="1452"/>
      <c r="AJ35" s="1453"/>
      <c r="AK35" s="1452"/>
      <c r="AL35" s="1453"/>
      <c r="AM35" s="1453"/>
      <c r="AN35" s="1453"/>
      <c r="AO35" s="1453"/>
      <c r="AP35" s="1452"/>
      <c r="AQ35" s="1452"/>
      <c r="AR35" s="1453"/>
      <c r="AS35" s="1453"/>
      <c r="AT35" s="1452"/>
      <c r="AU35" s="1452"/>
      <c r="AV35" s="1453"/>
      <c r="AW35" s="1452"/>
      <c r="AX35" s="1452"/>
      <c r="AY35" s="1452"/>
      <c r="AZ35" s="1452"/>
      <c r="BA35" s="1452"/>
      <c r="BB35" s="1452"/>
      <c r="BC35" s="1452"/>
      <c r="BD35" s="1452"/>
      <c r="BE35" s="1452"/>
      <c r="BF35" s="1452"/>
      <c r="BG35" s="1452"/>
      <c r="BH35" s="1452"/>
      <c r="BI35" s="1452"/>
      <c r="BJ35" s="1452"/>
      <c r="BK35" s="1452"/>
      <c r="BL35" s="1452"/>
      <c r="BM35" s="1452"/>
      <c r="BN35" s="1452"/>
      <c r="BO35" s="1452"/>
      <c r="BP35" s="1452"/>
      <c r="BQ35" s="1452"/>
      <c r="BR35" s="1452"/>
      <c r="BS35" s="1452"/>
      <c r="BT35" s="1452"/>
      <c r="BU35" s="1452"/>
      <c r="BV35" s="1452"/>
      <c r="BW35" s="1452"/>
      <c r="BX35" s="1452"/>
      <c r="BY35" s="1452"/>
      <c r="BZ35" s="1452"/>
      <c r="CA35" s="1452"/>
      <c r="CB35" s="1455"/>
      <c r="CC35" s="1455"/>
      <c r="CD35" s="1455"/>
      <c r="CE35" s="1452"/>
      <c r="CF35" s="1455"/>
      <c r="CG35" s="1455"/>
      <c r="CH35" s="1455"/>
      <c r="CI35" s="1455"/>
      <c r="CJ35" s="1455"/>
      <c r="CK35" s="1455"/>
      <c r="CL35" s="1455"/>
      <c r="CM35" s="1455"/>
      <c r="CN35" s="1452">
        <v>50</v>
      </c>
      <c r="CO35" s="1455"/>
      <c r="CP35" s="1455"/>
      <c r="CQ35" s="1455"/>
      <c r="CR35" s="1455"/>
      <c r="CS35" s="1455"/>
      <c r="CT35" s="1455"/>
      <c r="CU35" s="1455"/>
      <c r="CV35" s="1455"/>
      <c r="CW35" s="1455"/>
      <c r="CX35" s="1455"/>
      <c r="CY35" s="1455"/>
      <c r="CZ35" s="1455"/>
      <c r="DA35" s="1455"/>
      <c r="DB35" s="1455"/>
      <c r="DC35" s="1455"/>
      <c r="DD35" s="1455"/>
      <c r="DE35" s="1455"/>
      <c r="DF35" s="1455"/>
      <c r="DG35" s="1455"/>
      <c r="DH35" s="1455"/>
      <c r="DI35" s="1452"/>
      <c r="DJ35" s="1455"/>
      <c r="DK35" s="1455"/>
      <c r="DL35" s="1452"/>
      <c r="DM35" s="1455"/>
      <c r="DN35" s="1455"/>
      <c r="DO35" s="1455"/>
      <c r="DP35" s="1455"/>
      <c r="DQ35" s="1455"/>
      <c r="DR35" s="1455"/>
      <c r="DS35" s="1455"/>
      <c r="DT35" s="1455"/>
      <c r="DU35" s="1455"/>
      <c r="DV35" s="1455"/>
      <c r="DW35" s="1455"/>
      <c r="DX35" s="1455"/>
      <c r="DY35" s="1455"/>
      <c r="DZ35" s="1472">
        <v>20</v>
      </c>
      <c r="EA35" s="1455"/>
      <c r="EB35" s="1455"/>
      <c r="EC35" s="1455"/>
      <c r="ED35" s="1455"/>
      <c r="EE35" s="1453"/>
      <c r="EF35" s="1455"/>
      <c r="EG35" s="1455"/>
      <c r="EH35" s="1455"/>
      <c r="EI35" s="1455"/>
      <c r="EJ35" s="1455"/>
      <c r="EK35" s="1455"/>
      <c r="EL35" s="1455"/>
      <c r="EM35" s="1455"/>
      <c r="EN35" s="1455"/>
      <c r="EO35" s="1455"/>
      <c r="EP35" s="1455"/>
      <c r="EQ35" s="1455"/>
      <c r="ER35" s="1455"/>
      <c r="ES35" s="1455"/>
      <c r="ET35" s="1455"/>
      <c r="EU35" s="1455"/>
      <c r="EV35" s="1455"/>
      <c r="EW35" s="1455"/>
      <c r="EX35" s="1455"/>
      <c r="EY35" s="1455"/>
      <c r="EZ35" s="1455"/>
      <c r="FA35" s="1455"/>
      <c r="FB35" s="1455"/>
      <c r="FC35" s="1455"/>
      <c r="FD35" s="1455"/>
      <c r="FE35" s="1455"/>
      <c r="FF35" s="1455"/>
      <c r="FG35" s="1455"/>
      <c r="FH35" s="1455"/>
      <c r="FI35" s="1455"/>
      <c r="FJ35" s="1455"/>
      <c r="FK35" s="1455"/>
      <c r="FL35" s="1455"/>
      <c r="FM35" s="1455"/>
      <c r="FN35" s="1455"/>
      <c r="FO35" s="1455"/>
      <c r="FP35" s="1455"/>
      <c r="FQ35" s="1455"/>
      <c r="FR35" s="1455"/>
      <c r="FS35" s="1455"/>
      <c r="FT35" s="1455"/>
      <c r="FU35" s="1455"/>
      <c r="FV35" s="1455"/>
      <c r="FW35" s="1455"/>
      <c r="FX35" s="1455"/>
      <c r="FY35" s="1455"/>
      <c r="FZ35" s="1455"/>
      <c r="GA35" s="1455"/>
      <c r="GB35" s="1455"/>
      <c r="GC35" s="1452"/>
      <c r="GD35" s="1452"/>
      <c r="GE35" s="1455"/>
      <c r="GF35" s="1455"/>
      <c r="GG35" s="1455"/>
      <c r="GH35" s="1455"/>
      <c r="GI35" s="1455"/>
      <c r="GJ35" s="1455"/>
      <c r="GK35" s="1455"/>
      <c r="GL35" s="1455"/>
      <c r="GM35" s="1455"/>
      <c r="GN35" s="1455"/>
      <c r="GO35" s="1455"/>
      <c r="GP35" s="1455"/>
      <c r="GQ35" s="1455"/>
      <c r="GR35" s="1455"/>
      <c r="GS35" s="1455"/>
      <c r="GT35" s="1455"/>
      <c r="GU35" s="1455"/>
      <c r="GV35" s="1455"/>
      <c r="GW35" s="1454">
        <v>100</v>
      </c>
      <c r="GX35" s="1452"/>
      <c r="GY35" s="1455"/>
      <c r="GZ35" s="1455"/>
      <c r="HA35" s="1455"/>
      <c r="HB35" s="1455"/>
      <c r="HC35" s="1455"/>
      <c r="HD35" s="1455"/>
      <c r="HE35" s="1455"/>
      <c r="HF35" s="1455"/>
      <c r="HG35" s="1455"/>
      <c r="HH35" s="1455"/>
      <c r="HI35" s="1455"/>
      <c r="HJ35" s="1455"/>
      <c r="HK35" s="1455"/>
      <c r="HL35" s="1455"/>
      <c r="HM35" s="1455"/>
      <c r="HN35" s="1455"/>
      <c r="HO35" s="1455"/>
      <c r="HP35" s="1455"/>
      <c r="HQ35" s="1455"/>
      <c r="HR35" s="1455"/>
      <c r="HS35" s="1455"/>
      <c r="HT35" s="1455"/>
      <c r="HU35" s="1455"/>
      <c r="HV35" s="1455"/>
      <c r="HW35" s="1455"/>
      <c r="HX35" s="1455"/>
      <c r="HY35" s="1455"/>
      <c r="HZ35" s="1455"/>
      <c r="IA35" s="1455"/>
      <c r="IB35" s="1455"/>
      <c r="IC35" s="1455"/>
      <c r="ID35" s="1455"/>
      <c r="IE35" s="1455"/>
      <c r="IF35" s="1455"/>
      <c r="IG35" s="1455"/>
      <c r="IH35" s="1455"/>
      <c r="II35" s="1455"/>
      <c r="IJ35" s="1455"/>
      <c r="IK35" s="1455"/>
      <c r="IL35" s="1455"/>
      <c r="IM35" s="1455"/>
      <c r="IN35" s="1455"/>
      <c r="IO35" s="1455"/>
      <c r="IP35" s="1455"/>
      <c r="IQ35" s="1455"/>
      <c r="IR35" s="1455"/>
      <c r="IS35" s="1455"/>
      <c r="IT35" s="1455"/>
      <c r="IU35" s="1455"/>
      <c r="IV35" s="1455"/>
      <c r="IW35" s="1455"/>
      <c r="IX35" s="1455"/>
      <c r="IY35" s="1453"/>
      <c r="IZ35" s="1455"/>
      <c r="JA35" s="1455"/>
      <c r="JB35" s="1455"/>
      <c r="JC35" s="1455"/>
      <c r="JD35" s="1455"/>
      <c r="JE35" s="1455"/>
      <c r="JF35" s="1455"/>
      <c r="JG35" s="1455"/>
      <c r="JH35" s="1455"/>
      <c r="JI35" s="1455"/>
      <c r="JJ35" s="1455"/>
      <c r="JK35" s="1455"/>
      <c r="JL35" s="1455"/>
      <c r="JM35" s="1455"/>
      <c r="JN35" s="1455"/>
      <c r="JO35" s="1455"/>
      <c r="JP35" s="1455"/>
      <c r="JQ35" s="1473"/>
      <c r="JR35" s="351"/>
      <c r="JS35" s="1470"/>
      <c r="JT35" s="450" t="s">
        <v>2242</v>
      </c>
    </row>
    <row r="36" spans="1:280" ht="12.5" x14ac:dyDescent="0.25">
      <c r="A36" s="1367">
        <v>6</v>
      </c>
      <c r="B36" s="1471" t="str">
        <f t="shared" si="3"/>
        <v/>
      </c>
      <c r="C36" s="2532" t="s">
        <v>2600</v>
      </c>
      <c r="D36" s="1456" t="s">
        <v>2601</v>
      </c>
      <c r="E36" s="1452"/>
      <c r="F36" s="1452"/>
      <c r="G36" s="1452"/>
      <c r="H36" s="1453"/>
      <c r="I36" s="1453"/>
      <c r="J36" s="1453"/>
      <c r="K36" s="1452"/>
      <c r="L36" s="1453"/>
      <c r="M36" s="1453"/>
      <c r="N36" s="1453"/>
      <c r="O36" s="1452"/>
      <c r="P36" s="1453"/>
      <c r="Q36" s="1452"/>
      <c r="R36" s="1452"/>
      <c r="S36" s="1453"/>
      <c r="T36" s="1453"/>
      <c r="U36" s="1453"/>
      <c r="V36" s="1452"/>
      <c r="W36" s="1452"/>
      <c r="X36" s="1452"/>
      <c r="Y36" s="1452"/>
      <c r="Z36" s="1453"/>
      <c r="AA36" s="1452"/>
      <c r="AB36" s="1453"/>
      <c r="AC36" s="1452"/>
      <c r="AD36" s="1452"/>
      <c r="AE36" s="1452"/>
      <c r="AF36" s="1452"/>
      <c r="AG36" s="1452"/>
      <c r="AH36" s="1452"/>
      <c r="AI36" s="1452"/>
      <c r="AJ36" s="1453"/>
      <c r="AK36" s="1452"/>
      <c r="AL36" s="1453"/>
      <c r="AM36" s="1453"/>
      <c r="AN36" s="1453"/>
      <c r="AO36" s="1453"/>
      <c r="AP36" s="1452"/>
      <c r="AQ36" s="1452"/>
      <c r="AR36" s="1453"/>
      <c r="AS36" s="1453"/>
      <c r="AT36" s="1452"/>
      <c r="AU36" s="1452"/>
      <c r="AV36" s="1453"/>
      <c r="AW36" s="1452"/>
      <c r="AX36" s="1452"/>
      <c r="AY36" s="1452"/>
      <c r="AZ36" s="1452"/>
      <c r="BA36" s="1452"/>
      <c r="BB36" s="1452"/>
      <c r="BC36" s="1452"/>
      <c r="BD36" s="1452"/>
      <c r="BE36" s="1452"/>
      <c r="BF36" s="1452"/>
      <c r="BG36" s="1452"/>
      <c r="BH36" s="1452"/>
      <c r="BI36" s="1452"/>
      <c r="BJ36" s="1452"/>
      <c r="BK36" s="1452"/>
      <c r="BL36" s="1452"/>
      <c r="BM36" s="1452"/>
      <c r="BN36" s="1452"/>
      <c r="BO36" s="1452"/>
      <c r="BP36" s="1452"/>
      <c r="BQ36" s="1452"/>
      <c r="BR36" s="1452"/>
      <c r="BS36" s="1452"/>
      <c r="BT36" s="1452"/>
      <c r="BU36" s="1452"/>
      <c r="BV36" s="1452"/>
      <c r="BW36" s="1452"/>
      <c r="BX36" s="1452"/>
      <c r="BY36" s="1452"/>
      <c r="BZ36" s="1452"/>
      <c r="CA36" s="1452"/>
      <c r="CB36" s="1455"/>
      <c r="CC36" s="1455"/>
      <c r="CD36" s="1455"/>
      <c r="CE36" s="1452"/>
      <c r="CF36" s="1455"/>
      <c r="CG36" s="1455"/>
      <c r="CH36" s="1455"/>
      <c r="CI36" s="1455"/>
      <c r="CJ36" s="1455"/>
      <c r="CK36" s="1455"/>
      <c r="CL36" s="1455"/>
      <c r="CM36" s="1455"/>
      <c r="CN36" s="1452"/>
      <c r="CO36" s="1455"/>
      <c r="CP36" s="1455"/>
      <c r="CQ36" s="1455"/>
      <c r="CR36" s="1455"/>
      <c r="CS36" s="1455"/>
      <c r="CT36" s="1455"/>
      <c r="CU36" s="1455"/>
      <c r="CV36" s="1455"/>
      <c r="CW36" s="1455"/>
      <c r="CX36" s="1455"/>
      <c r="CY36" s="1455"/>
      <c r="CZ36" s="1455"/>
      <c r="DA36" s="1455"/>
      <c r="DB36" s="1455"/>
      <c r="DC36" s="1455"/>
      <c r="DD36" s="1455"/>
      <c r="DE36" s="1455"/>
      <c r="DF36" s="1455"/>
      <c r="DG36" s="1455"/>
      <c r="DH36" s="1455"/>
      <c r="DI36" s="1452"/>
      <c r="DJ36" s="1455"/>
      <c r="DK36" s="1455"/>
      <c r="DL36" s="1452"/>
      <c r="DM36" s="1455"/>
      <c r="DN36" s="1455"/>
      <c r="DO36" s="1455"/>
      <c r="DP36" s="1455"/>
      <c r="DQ36" s="1455"/>
      <c r="DR36" s="1455"/>
      <c r="DS36" s="1455"/>
      <c r="DT36" s="1455"/>
      <c r="DU36" s="1455"/>
      <c r="DV36" s="1455"/>
      <c r="DW36" s="1455"/>
      <c r="DX36" s="1455"/>
      <c r="DY36" s="1455"/>
      <c r="DZ36" s="1455"/>
      <c r="EA36" s="1455"/>
      <c r="EB36" s="1455"/>
      <c r="EC36" s="1455"/>
      <c r="ED36" s="1455"/>
      <c r="EE36" s="1453"/>
      <c r="EF36" s="1455"/>
      <c r="EG36" s="1455"/>
      <c r="EH36" s="1455"/>
      <c r="EI36" s="1455"/>
      <c r="EJ36" s="1455"/>
      <c r="EK36" s="1455"/>
      <c r="EL36" s="1455"/>
      <c r="EM36" s="1455"/>
      <c r="EN36" s="1455"/>
      <c r="EO36" s="1455"/>
      <c r="EP36" s="1455"/>
      <c r="EQ36" s="1455"/>
      <c r="ER36" s="1455"/>
      <c r="ES36" s="1455"/>
      <c r="ET36" s="1455"/>
      <c r="EU36" s="1455"/>
      <c r="EV36" s="1455"/>
      <c r="EW36" s="1455"/>
      <c r="EX36" s="1455"/>
      <c r="EY36" s="1455"/>
      <c r="EZ36" s="1455"/>
      <c r="FA36" s="1455"/>
      <c r="FB36" s="1455"/>
      <c r="FC36" s="1455"/>
      <c r="FD36" s="1455"/>
      <c r="FE36" s="1455"/>
      <c r="FF36" s="1455"/>
      <c r="FG36" s="1455"/>
      <c r="FH36" s="1455"/>
      <c r="FI36" s="1455"/>
      <c r="FJ36" s="1455"/>
      <c r="FK36" s="1455"/>
      <c r="FL36" s="1455"/>
      <c r="FM36" s="1455"/>
      <c r="FN36" s="1455"/>
      <c r="FO36" s="1455"/>
      <c r="FP36" s="1455"/>
      <c r="FQ36" s="1455"/>
      <c r="FR36" s="1455"/>
      <c r="FS36" s="1455"/>
      <c r="FT36" s="1455"/>
      <c r="FU36" s="1455"/>
      <c r="FV36" s="1455"/>
      <c r="FW36" s="1455"/>
      <c r="FX36" s="1455"/>
      <c r="FY36" s="1455"/>
      <c r="FZ36" s="1455"/>
      <c r="GA36" s="1455"/>
      <c r="GB36" s="1455"/>
      <c r="GC36" s="1452"/>
      <c r="GD36" s="1452"/>
      <c r="GE36" s="1455"/>
      <c r="GF36" s="1455"/>
      <c r="GG36" s="1455"/>
      <c r="GH36" s="1455"/>
      <c r="GI36" s="1455"/>
      <c r="GJ36" s="1455"/>
      <c r="GK36" s="1455"/>
      <c r="GL36" s="1455"/>
      <c r="GM36" s="1455"/>
      <c r="GN36" s="1455"/>
      <c r="GO36" s="1455"/>
      <c r="GP36" s="1455"/>
      <c r="GQ36" s="1455"/>
      <c r="GR36" s="1455"/>
      <c r="GS36" s="1455"/>
      <c r="GT36" s="1455"/>
      <c r="GU36" s="1455"/>
      <c r="GV36" s="1455"/>
      <c r="GW36" s="1452"/>
      <c r="GX36" s="1452"/>
      <c r="GY36" s="1455"/>
      <c r="GZ36" s="1455"/>
      <c r="HA36" s="1455"/>
      <c r="HB36" s="1455"/>
      <c r="HC36" s="1455"/>
      <c r="HD36" s="1455"/>
      <c r="HE36" s="1455"/>
      <c r="HF36" s="1455"/>
      <c r="HG36" s="1455"/>
      <c r="HH36" s="1455"/>
      <c r="HI36" s="1455"/>
      <c r="HJ36" s="1455"/>
      <c r="HK36" s="1455"/>
      <c r="HL36" s="1455"/>
      <c r="HM36" s="1455"/>
      <c r="HN36" s="1455"/>
      <c r="HO36" s="1455"/>
      <c r="HP36" s="1455"/>
      <c r="HQ36" s="1455"/>
      <c r="HR36" s="1455"/>
      <c r="HS36" s="1455"/>
      <c r="HT36" s="1455"/>
      <c r="HU36" s="1455"/>
      <c r="HV36" s="1455"/>
      <c r="HW36" s="1455"/>
      <c r="HX36" s="1455"/>
      <c r="HY36" s="1455"/>
      <c r="HZ36" s="1455"/>
      <c r="IA36" s="1455"/>
      <c r="IB36" s="1455"/>
      <c r="IC36" s="1455"/>
      <c r="ID36" s="1455"/>
      <c r="IE36" s="1455"/>
      <c r="IF36" s="1455"/>
      <c r="IG36" s="1455"/>
      <c r="IH36" s="1455"/>
      <c r="II36" s="1455"/>
      <c r="IJ36" s="1455"/>
      <c r="IK36" s="1455"/>
      <c r="IL36" s="1455"/>
      <c r="IM36" s="1455"/>
      <c r="IN36" s="1455"/>
      <c r="IO36" s="1455"/>
      <c r="IP36" s="1455"/>
      <c r="IQ36" s="1455"/>
      <c r="IR36" s="1455"/>
      <c r="IS36" s="1455"/>
      <c r="IT36" s="1455"/>
      <c r="IU36" s="1455"/>
      <c r="IV36" s="1455"/>
      <c r="IW36" s="1455"/>
      <c r="IX36" s="1455"/>
      <c r="IY36" s="1453"/>
      <c r="IZ36" s="1455"/>
      <c r="JA36" s="1455"/>
      <c r="JB36" s="1455"/>
      <c r="JC36" s="1455"/>
      <c r="JD36" s="1455"/>
      <c r="JE36" s="1455"/>
      <c r="JF36" s="1455"/>
      <c r="JG36" s="1455"/>
      <c r="JH36" s="1455"/>
      <c r="JI36" s="1455"/>
      <c r="JJ36" s="1455"/>
      <c r="JK36" s="1455"/>
      <c r="JL36" s="1455"/>
      <c r="JM36" s="1455"/>
      <c r="JN36" s="1455"/>
      <c r="JO36" s="1455"/>
      <c r="JP36" s="1455"/>
      <c r="JQ36" s="1473"/>
      <c r="JR36" s="351"/>
      <c r="JS36" s="1470"/>
      <c r="JT36" s="450"/>
    </row>
    <row r="37" spans="1:280" ht="12.5" x14ac:dyDescent="0.25">
      <c r="A37" s="1367">
        <v>7</v>
      </c>
      <c r="B37" s="1471" t="str">
        <f t="shared" si="3"/>
        <v/>
      </c>
      <c r="C37" s="1435" t="s">
        <v>2602</v>
      </c>
      <c r="D37" s="1436" t="s">
        <v>2603</v>
      </c>
      <c r="E37" s="1457"/>
      <c r="F37" s="1457"/>
      <c r="G37" s="1457"/>
      <c r="H37" s="1381"/>
      <c r="I37" s="1381"/>
      <c r="J37" s="1381"/>
      <c r="K37" s="1457"/>
      <c r="L37" s="1381"/>
      <c r="M37" s="1381"/>
      <c r="N37" s="1381"/>
      <c r="O37" s="1457"/>
      <c r="P37" s="1381"/>
      <c r="Q37" s="1457"/>
      <c r="R37" s="1457"/>
      <c r="S37" s="1381"/>
      <c r="T37" s="1381"/>
      <c r="U37" s="1381"/>
      <c r="V37" s="1457"/>
      <c r="W37" s="1457"/>
      <c r="X37" s="1457"/>
      <c r="Y37" s="1457"/>
      <c r="Z37" s="1381"/>
      <c r="AA37" s="1457"/>
      <c r="AB37" s="1381"/>
      <c r="AC37" s="1457"/>
      <c r="AD37" s="1457"/>
      <c r="AE37" s="1457"/>
      <c r="AF37" s="1457"/>
      <c r="AG37" s="1457"/>
      <c r="AH37" s="1457"/>
      <c r="AI37" s="1457"/>
      <c r="AJ37" s="1381"/>
      <c r="AK37" s="1457"/>
      <c r="AL37" s="1381"/>
      <c r="AM37" s="1381"/>
      <c r="AN37" s="1381"/>
      <c r="AO37" s="1381"/>
      <c r="AP37" s="1457"/>
      <c r="AQ37" s="1457"/>
      <c r="AR37" s="1381"/>
      <c r="AS37" s="1381" t="s">
        <v>2629</v>
      </c>
      <c r="AT37" s="1457"/>
      <c r="AU37" s="1457"/>
      <c r="AV37" s="1381"/>
      <c r="AW37" s="1457"/>
      <c r="AX37" s="1457"/>
      <c r="AY37" s="1457"/>
      <c r="AZ37" s="1457"/>
      <c r="BA37" s="1457" t="s">
        <v>2620</v>
      </c>
      <c r="BB37" s="1457" t="s">
        <v>2608</v>
      </c>
      <c r="BC37" s="1457"/>
      <c r="BD37" s="1457" t="s">
        <v>2649</v>
      </c>
      <c r="BE37" s="1457"/>
      <c r="BF37" s="1457" t="s">
        <v>2619</v>
      </c>
      <c r="BG37" s="1457"/>
      <c r="BH37" s="1457"/>
      <c r="BI37" s="1457" t="s">
        <v>2649</v>
      </c>
      <c r="BJ37" s="1457"/>
      <c r="BK37" s="1457"/>
      <c r="BL37" s="1457"/>
      <c r="BM37" s="1457"/>
      <c r="BN37" s="1457"/>
      <c r="BO37" s="1457"/>
      <c r="BP37" s="1457"/>
      <c r="BQ37" s="1457"/>
      <c r="BR37" s="1457"/>
      <c r="BS37" s="1457"/>
      <c r="BT37" s="1457"/>
      <c r="BU37" s="1457"/>
      <c r="BV37" s="1457"/>
      <c r="BW37" s="1457"/>
      <c r="BX37" s="1457"/>
      <c r="BY37" s="1457"/>
      <c r="BZ37" s="1457"/>
      <c r="CA37" s="1457"/>
      <c r="CB37" s="1459"/>
      <c r="CC37" s="1459"/>
      <c r="CD37" s="1459"/>
      <c r="CE37" s="1457" t="s">
        <v>2619</v>
      </c>
      <c r="CF37" s="1459"/>
      <c r="CG37" s="1459"/>
      <c r="CH37" s="1459"/>
      <c r="CI37" s="1459"/>
      <c r="CJ37" s="1459"/>
      <c r="CK37" s="1459"/>
      <c r="CL37" s="1459"/>
      <c r="CM37" s="1459"/>
      <c r="CN37" s="1457" t="s">
        <v>2623</v>
      </c>
      <c r="CO37" s="1459"/>
      <c r="CP37" s="1459"/>
      <c r="CQ37" s="1459"/>
      <c r="CR37" s="1459"/>
      <c r="CS37" s="1459"/>
      <c r="CT37" s="1459"/>
      <c r="CU37" s="1459"/>
      <c r="CV37" s="1459"/>
      <c r="CW37" s="1459"/>
      <c r="CX37" s="1459"/>
      <c r="CY37" s="1459"/>
      <c r="CZ37" s="1459"/>
      <c r="DA37" s="1474" t="s">
        <v>2771</v>
      </c>
      <c r="DB37" s="1459" t="s">
        <v>2619</v>
      </c>
      <c r="DC37" s="1459"/>
      <c r="DD37" s="1459"/>
      <c r="DE37" s="1459"/>
      <c r="DF37" s="1459"/>
      <c r="DG37" s="1459"/>
      <c r="DH37" s="1459"/>
      <c r="DI37" s="1457" t="s">
        <v>2608</v>
      </c>
      <c r="DJ37" s="1459"/>
      <c r="DK37" s="1459"/>
      <c r="DL37" s="1457" t="s">
        <v>2619</v>
      </c>
      <c r="DM37" s="1459"/>
      <c r="DN37" s="1459"/>
      <c r="DO37" s="1474" t="s">
        <v>2772</v>
      </c>
      <c r="DP37" s="1474" t="s">
        <v>2633</v>
      </c>
      <c r="DQ37" s="1459"/>
      <c r="DR37" s="1474" t="s">
        <v>2772</v>
      </c>
      <c r="DS37" s="1474" t="s">
        <v>2772</v>
      </c>
      <c r="DT37" s="1474" t="s">
        <v>2633</v>
      </c>
      <c r="DU37" s="1459"/>
      <c r="DV37" s="1459"/>
      <c r="DW37" s="1459"/>
      <c r="DX37" s="1459"/>
      <c r="DY37" s="1459"/>
      <c r="DZ37" s="1474" t="s">
        <v>2633</v>
      </c>
      <c r="EA37" s="1459"/>
      <c r="EB37" s="1459"/>
      <c r="EC37" s="1459"/>
      <c r="ED37" s="1459"/>
      <c r="EE37" s="1381" t="s">
        <v>2629</v>
      </c>
      <c r="EF37" s="1459"/>
      <c r="EG37" s="1459"/>
      <c r="EH37" s="1474" t="s">
        <v>2633</v>
      </c>
      <c r="EI37" s="1459"/>
      <c r="EJ37" s="1459"/>
      <c r="EK37" s="1459"/>
      <c r="EL37" s="1459"/>
      <c r="EM37" s="1459"/>
      <c r="EN37" s="1474" t="s">
        <v>2773</v>
      </c>
      <c r="EO37" s="1459"/>
      <c r="EP37" s="1459"/>
      <c r="EQ37" s="1459"/>
      <c r="ER37" s="1459"/>
      <c r="ES37" s="1459"/>
      <c r="ET37" s="1459"/>
      <c r="EU37" s="1459"/>
      <c r="EV37" s="1459"/>
      <c r="EW37" s="1459"/>
      <c r="EX37" s="1459"/>
      <c r="EY37" s="1459"/>
      <c r="EZ37" s="1459"/>
      <c r="FA37" s="1459"/>
      <c r="FB37" s="1459"/>
      <c r="FC37" s="1459"/>
      <c r="FD37" s="1474" t="s">
        <v>2774</v>
      </c>
      <c r="FE37" s="1459"/>
      <c r="FF37" s="1459"/>
      <c r="FG37" s="1459"/>
      <c r="FH37" s="1459"/>
      <c r="FI37" s="1459"/>
      <c r="FJ37" s="1474" t="s">
        <v>2774</v>
      </c>
      <c r="FK37" s="1459"/>
      <c r="FL37" s="1459"/>
      <c r="FM37" s="1459"/>
      <c r="FN37" s="1459"/>
      <c r="FO37" s="1474" t="s">
        <v>2772</v>
      </c>
      <c r="FP37" s="1459"/>
      <c r="FQ37" s="1459"/>
      <c r="FR37" s="1459"/>
      <c r="FS37" s="1459"/>
      <c r="FT37" s="1459"/>
      <c r="FU37" s="1459"/>
      <c r="FV37" s="1459"/>
      <c r="FW37" s="1459"/>
      <c r="FX37" s="1459"/>
      <c r="FY37" s="1459"/>
      <c r="FZ37" s="1459"/>
      <c r="GA37" s="1459"/>
      <c r="GB37" s="1459"/>
      <c r="GC37" s="1457" t="s">
        <v>2622</v>
      </c>
      <c r="GD37" s="1457" t="s">
        <v>2623</v>
      </c>
      <c r="GE37" s="1459"/>
      <c r="GF37" s="1459"/>
      <c r="GG37" s="1459"/>
      <c r="GH37" s="1459"/>
      <c r="GI37" s="1459"/>
      <c r="GJ37" s="1459"/>
      <c r="GK37" s="1459"/>
      <c r="GL37" s="1459"/>
      <c r="GM37" s="1459"/>
      <c r="GN37" s="1459"/>
      <c r="GO37" s="1459"/>
      <c r="GP37" s="1459"/>
      <c r="GQ37" s="1459"/>
      <c r="GR37" s="1459"/>
      <c r="GS37" s="1459"/>
      <c r="GT37" s="1459"/>
      <c r="GU37" s="1459"/>
      <c r="GV37" s="1459"/>
      <c r="GW37" s="1457" t="s">
        <v>2623</v>
      </c>
      <c r="GX37" s="1457" t="s">
        <v>2649</v>
      </c>
      <c r="GY37" s="1459"/>
      <c r="GZ37" s="1459"/>
      <c r="HA37" s="1459"/>
      <c r="HB37" s="1459" t="s">
        <v>2775</v>
      </c>
      <c r="HC37" s="1459"/>
      <c r="HD37" s="1459"/>
      <c r="HE37" s="1459"/>
      <c r="HF37" s="1459"/>
      <c r="HG37" s="1459"/>
      <c r="HH37" s="1459"/>
      <c r="HI37" s="1459"/>
      <c r="HJ37" s="1459"/>
      <c r="HK37" s="1459"/>
      <c r="HL37" s="1459"/>
      <c r="HM37" s="1459"/>
      <c r="HN37" s="1459"/>
      <c r="HO37" s="1459"/>
      <c r="HP37" s="1459"/>
      <c r="HQ37" s="1459"/>
      <c r="HR37" s="1459" t="s">
        <v>2776</v>
      </c>
      <c r="HS37" s="1459"/>
      <c r="HT37" s="1474" t="s">
        <v>2772</v>
      </c>
      <c r="HU37" s="1459"/>
      <c r="HV37" s="1459"/>
      <c r="HW37" s="1459"/>
      <c r="HX37" s="1459"/>
      <c r="HY37" s="1459"/>
      <c r="HZ37" s="1459"/>
      <c r="IA37" s="1459"/>
      <c r="IB37" s="1459"/>
      <c r="IC37" s="1459"/>
      <c r="ID37" s="1459"/>
      <c r="IE37" s="1474" t="s">
        <v>2777</v>
      </c>
      <c r="IF37" s="1459"/>
      <c r="IG37" s="1459"/>
      <c r="IH37" s="1474" t="s">
        <v>9658</v>
      </c>
      <c r="II37" s="1474" t="s">
        <v>2772</v>
      </c>
      <c r="IJ37" s="1459"/>
      <c r="IK37" s="1459"/>
      <c r="IL37" s="1459"/>
      <c r="IM37" s="1459"/>
      <c r="IN37" s="1459"/>
      <c r="IO37" s="1459"/>
      <c r="IP37" s="1459"/>
      <c r="IQ37" s="1459"/>
      <c r="IR37" s="1459"/>
      <c r="IS37" s="1459"/>
      <c r="IT37" s="1459"/>
      <c r="IU37" s="1459"/>
      <c r="IV37" s="1459"/>
      <c r="IW37" s="1474" t="s">
        <v>2772</v>
      </c>
      <c r="IX37" s="1459"/>
      <c r="IY37" s="1381" t="s">
        <v>2778</v>
      </c>
      <c r="IZ37" s="1459"/>
      <c r="JA37" s="1459"/>
      <c r="JB37" s="1474" t="s">
        <v>2772</v>
      </c>
      <c r="JC37" s="1459"/>
      <c r="JD37" s="1459"/>
      <c r="JE37" s="1459"/>
      <c r="JF37" s="1459"/>
      <c r="JG37" s="1459"/>
      <c r="JH37" s="1459"/>
      <c r="JI37" s="1459"/>
      <c r="JJ37" s="1459"/>
      <c r="JK37" s="1474" t="s">
        <v>2772</v>
      </c>
      <c r="JL37" s="1474" t="s">
        <v>9657</v>
      </c>
      <c r="JM37" s="1459"/>
      <c r="JN37" s="1459"/>
      <c r="JO37" s="1459"/>
      <c r="JP37" s="1459"/>
      <c r="JQ37" s="1475"/>
      <c r="JR37" s="351"/>
      <c r="JS37" s="1460" t="s">
        <v>2671</v>
      </c>
      <c r="JT37" s="450" t="s">
        <v>2291</v>
      </c>
    </row>
    <row r="38" spans="1:280" ht="23" x14ac:dyDescent="0.25">
      <c r="A38" s="1367">
        <v>8</v>
      </c>
      <c r="B38" s="1471" t="str">
        <f t="shared" si="3"/>
        <v/>
      </c>
      <c r="C38" s="1435" t="s">
        <v>2672</v>
      </c>
      <c r="D38" s="1436" t="s">
        <v>2673</v>
      </c>
      <c r="E38" s="1381"/>
      <c r="F38" s="1457"/>
      <c r="G38" s="1457"/>
      <c r="H38" s="1381"/>
      <c r="I38" s="1381"/>
      <c r="J38" s="1381"/>
      <c r="K38" s="1457"/>
      <c r="L38" s="1381"/>
      <c r="M38" s="1381"/>
      <c r="N38" s="1381"/>
      <c r="O38" s="1457"/>
      <c r="P38" s="1381"/>
      <c r="Q38" s="1457"/>
      <c r="R38" s="1457"/>
      <c r="S38" s="1381"/>
      <c r="T38" s="1381"/>
      <c r="U38" s="1381"/>
      <c r="V38" s="1381"/>
      <c r="W38" s="1381"/>
      <c r="X38" s="1381"/>
      <c r="Y38" s="1381"/>
      <c r="Z38" s="1381"/>
      <c r="AA38" s="1457"/>
      <c r="AB38" s="1381"/>
      <c r="AC38" s="1381"/>
      <c r="AD38" s="1381"/>
      <c r="AE38" s="1381"/>
      <c r="AF38" s="1381"/>
      <c r="AG38" s="1381"/>
      <c r="AH38" s="1381"/>
      <c r="AI38" s="1381"/>
      <c r="AJ38" s="1381"/>
      <c r="AK38" s="1457"/>
      <c r="AL38" s="1381"/>
      <c r="AM38" s="1381"/>
      <c r="AN38" s="1381"/>
      <c r="AO38" s="1381"/>
      <c r="AP38" s="1457"/>
      <c r="AQ38" s="1457"/>
      <c r="AR38" s="1381"/>
      <c r="AS38" s="1381"/>
      <c r="AT38" s="1461"/>
      <c r="AU38" s="1457"/>
      <c r="AV38" s="1381"/>
      <c r="AW38" s="1457"/>
      <c r="AX38" s="1381"/>
      <c r="AY38" s="1457"/>
      <c r="AZ38" s="1381"/>
      <c r="BA38" s="1381"/>
      <c r="BB38" s="1381"/>
      <c r="BC38" s="1381"/>
      <c r="BD38" s="1381"/>
      <c r="BE38" s="1381"/>
      <c r="BF38" s="1381"/>
      <c r="BG38" s="1381"/>
      <c r="BH38" s="1381"/>
      <c r="BI38" s="1381"/>
      <c r="BJ38" s="1381"/>
      <c r="BK38" s="1381"/>
      <c r="BL38" s="1381"/>
      <c r="BM38" s="1381"/>
      <c r="BN38" s="1381"/>
      <c r="BO38" s="1381"/>
      <c r="BP38" s="1381"/>
      <c r="BQ38" s="1381"/>
      <c r="BR38" s="1381"/>
      <c r="BS38" s="1381"/>
      <c r="BT38" s="1381"/>
      <c r="BU38" s="1381"/>
      <c r="BV38" s="1381"/>
      <c r="BW38" s="1381"/>
      <c r="BX38" s="1381"/>
      <c r="BY38" s="1381"/>
      <c r="BZ38" s="1381"/>
      <c r="CA38" s="1381"/>
      <c r="CB38" s="1414"/>
      <c r="CC38" s="1414"/>
      <c r="CD38" s="1414"/>
      <c r="CE38" s="1457"/>
      <c r="CF38" s="1414"/>
      <c r="CG38" s="1414"/>
      <c r="CH38" s="1414"/>
      <c r="CI38" s="1414"/>
      <c r="CJ38" s="1414"/>
      <c r="CK38" s="1414"/>
      <c r="CL38" s="1414"/>
      <c r="CM38" s="1414"/>
      <c r="CN38" s="1457"/>
      <c r="CO38" s="1414"/>
      <c r="CP38" s="1414"/>
      <c r="CQ38" s="1414"/>
      <c r="CR38" s="1414"/>
      <c r="CS38" s="1414"/>
      <c r="CT38" s="1414"/>
      <c r="CU38" s="1414"/>
      <c r="CV38" s="1414"/>
      <c r="CW38" s="1414"/>
      <c r="CX38" s="1414"/>
      <c r="CY38" s="1414"/>
      <c r="CZ38" s="1414"/>
      <c r="DA38" s="1476" t="s">
        <v>2779</v>
      </c>
      <c r="DB38" s="1414"/>
      <c r="DC38" s="1414"/>
      <c r="DD38" s="1414"/>
      <c r="DE38" s="1414"/>
      <c r="DF38" s="1414"/>
      <c r="DG38" s="1414"/>
      <c r="DH38" s="1414"/>
      <c r="DI38" s="1381"/>
      <c r="DJ38" s="1414"/>
      <c r="DK38" s="1414"/>
      <c r="DL38" s="1457"/>
      <c r="DM38" s="1414"/>
      <c r="DN38" s="1414"/>
      <c r="DO38" s="1464" t="s">
        <v>2780</v>
      </c>
      <c r="DP38" s="1464" t="s">
        <v>2781</v>
      </c>
      <c r="DQ38" s="1414"/>
      <c r="DR38" s="1464" t="s">
        <v>2782</v>
      </c>
      <c r="DS38" s="1464" t="s">
        <v>2780</v>
      </c>
      <c r="DT38" s="1464" t="s">
        <v>2781</v>
      </c>
      <c r="DU38" s="1414"/>
      <c r="DV38" s="1414"/>
      <c r="DW38" s="1414"/>
      <c r="DX38" s="1414"/>
      <c r="DY38" s="1414"/>
      <c r="DZ38" s="1464" t="s">
        <v>2783</v>
      </c>
      <c r="EA38" s="1414"/>
      <c r="EB38" s="1414"/>
      <c r="EC38" s="1414"/>
      <c r="ED38" s="1414"/>
      <c r="EE38" s="1381"/>
      <c r="EF38" s="1414"/>
      <c r="EG38" s="1414"/>
      <c r="EH38" s="1476" t="s">
        <v>2784</v>
      </c>
      <c r="EI38" s="1414"/>
      <c r="EJ38" s="1414"/>
      <c r="EK38" s="1414"/>
      <c r="EL38" s="1414"/>
      <c r="EM38" s="1414"/>
      <c r="EN38" s="1476" t="s">
        <v>2785</v>
      </c>
      <c r="EO38" s="1414"/>
      <c r="EP38" s="1414"/>
      <c r="EQ38" s="1414"/>
      <c r="ER38" s="1414"/>
      <c r="ES38" s="1414"/>
      <c r="ET38" s="1414"/>
      <c r="EU38" s="1414"/>
      <c r="EV38" s="1414"/>
      <c r="EW38" s="1414"/>
      <c r="EX38" s="1414"/>
      <c r="EY38" s="1414"/>
      <c r="EZ38" s="1414"/>
      <c r="FA38" s="1414"/>
      <c r="FB38" s="1414"/>
      <c r="FC38" s="1414"/>
      <c r="FD38" s="1414"/>
      <c r="FE38" s="1414"/>
      <c r="FF38" s="1414"/>
      <c r="FG38" s="1414"/>
      <c r="FH38" s="1414"/>
      <c r="FI38" s="1414"/>
      <c r="FJ38" s="1414"/>
      <c r="FK38" s="1414"/>
      <c r="FL38" s="1414"/>
      <c r="FM38" s="1414"/>
      <c r="FN38" s="1414"/>
      <c r="FO38" s="1414"/>
      <c r="FP38" s="1414"/>
      <c r="FQ38" s="1414"/>
      <c r="FR38" s="1414"/>
      <c r="FS38" s="1414"/>
      <c r="FT38" s="1414"/>
      <c r="FU38" s="1414"/>
      <c r="FV38" s="1414"/>
      <c r="FW38" s="1414"/>
      <c r="FX38" s="1414"/>
      <c r="FY38" s="1414"/>
      <c r="FZ38" s="1414"/>
      <c r="GA38" s="1414"/>
      <c r="GB38" s="1414"/>
      <c r="GC38" s="1461" t="s">
        <v>2675</v>
      </c>
      <c r="GD38" s="1457"/>
      <c r="GE38" s="1414"/>
      <c r="GF38" s="1414"/>
      <c r="GG38" s="1414"/>
      <c r="GH38" s="1414"/>
      <c r="GI38" s="1414"/>
      <c r="GJ38" s="1414"/>
      <c r="GK38" s="1414"/>
      <c r="GL38" s="1414"/>
      <c r="GM38" s="1414"/>
      <c r="GN38" s="1414"/>
      <c r="GO38" s="1414"/>
      <c r="GP38" s="1414"/>
      <c r="GQ38" s="1414"/>
      <c r="GR38" s="1414"/>
      <c r="GS38" s="1414"/>
      <c r="GT38" s="1414"/>
      <c r="GU38" s="1414"/>
      <c r="GV38" s="1414"/>
      <c r="GW38" s="1457"/>
      <c r="GX38" s="1381"/>
      <c r="GY38" s="1414"/>
      <c r="GZ38" s="1414"/>
      <c r="HA38" s="1414"/>
      <c r="HB38" s="1414"/>
      <c r="HC38" s="1414"/>
      <c r="HD38" s="1414"/>
      <c r="HE38" s="1414"/>
      <c r="HF38" s="1414"/>
      <c r="HG38" s="1414"/>
      <c r="HH38" s="1414"/>
      <c r="HI38" s="1414"/>
      <c r="HJ38" s="1414"/>
      <c r="HK38" s="1414"/>
      <c r="HL38" s="1414"/>
      <c r="HM38" s="1414"/>
      <c r="HN38" s="1414"/>
      <c r="HO38" s="1414"/>
      <c r="HP38" s="1414"/>
      <c r="HQ38" s="1414"/>
      <c r="HR38" s="1414"/>
      <c r="HS38" s="1414"/>
      <c r="HT38" s="1414"/>
      <c r="HU38" s="1414"/>
      <c r="HV38" s="1414"/>
      <c r="HW38" s="1414"/>
      <c r="HX38" s="1414"/>
      <c r="HY38" s="1414"/>
      <c r="HZ38" s="1414"/>
      <c r="IA38" s="1414"/>
      <c r="IB38" s="1414"/>
      <c r="IC38" s="1414"/>
      <c r="ID38" s="1414"/>
      <c r="IE38" s="1414"/>
      <c r="IF38" s="1414"/>
      <c r="IG38" s="1414"/>
      <c r="IH38" s="1414"/>
      <c r="II38" s="1414"/>
      <c r="IJ38" s="1414"/>
      <c r="IK38" s="1414"/>
      <c r="IL38" s="1414"/>
      <c r="IM38" s="1414"/>
      <c r="IN38" s="1414"/>
      <c r="IO38" s="1414"/>
      <c r="IP38" s="1414"/>
      <c r="IQ38" s="1414"/>
      <c r="IR38" s="1414"/>
      <c r="IS38" s="1414"/>
      <c r="IT38" s="1414"/>
      <c r="IU38" s="1414"/>
      <c r="IV38" s="1414"/>
      <c r="IW38" s="1414"/>
      <c r="IX38" s="1414"/>
      <c r="IY38" s="1381"/>
      <c r="IZ38" s="1414"/>
      <c r="JA38" s="1414"/>
      <c r="JB38" s="1414"/>
      <c r="JC38" s="1414"/>
      <c r="JD38" s="1414"/>
      <c r="JE38" s="1414"/>
      <c r="JF38" s="1414"/>
      <c r="JG38" s="1414"/>
      <c r="JH38" s="1414"/>
      <c r="JI38" s="1414"/>
      <c r="JJ38" s="1414"/>
      <c r="JK38" s="1414"/>
      <c r="JL38" s="1414"/>
      <c r="JM38" s="1414"/>
      <c r="JN38" s="1414"/>
      <c r="JO38" s="1414"/>
      <c r="JP38" s="1414"/>
      <c r="JQ38" s="1466"/>
      <c r="JR38" s="351"/>
      <c r="JS38" s="1460"/>
      <c r="JT38" s="450" t="s">
        <v>2215</v>
      </c>
    </row>
    <row r="39" spans="1:280" ht="12.5" x14ac:dyDescent="0.25">
      <c r="A39" s="1367">
        <v>9</v>
      </c>
      <c r="B39" s="1471" t="str">
        <f t="shared" si="3"/>
        <v/>
      </c>
      <c r="C39" s="1435" t="s">
        <v>2712</v>
      </c>
      <c r="D39" s="1436" t="s">
        <v>2713</v>
      </c>
      <c r="E39" s="1381"/>
      <c r="F39" s="1381"/>
      <c r="G39" s="1381"/>
      <c r="H39" s="1381"/>
      <c r="I39" s="1381"/>
      <c r="J39" s="1381"/>
      <c r="K39" s="1381"/>
      <c r="L39" s="1381"/>
      <c r="M39" s="1381"/>
      <c r="N39" s="1381"/>
      <c r="O39" s="1381"/>
      <c r="P39" s="1381"/>
      <c r="Q39" s="1381"/>
      <c r="R39" s="1381"/>
      <c r="S39" s="1381"/>
      <c r="T39" s="1381"/>
      <c r="U39" s="1381"/>
      <c r="V39" s="1381"/>
      <c r="W39" s="1381"/>
      <c r="X39" s="1381"/>
      <c r="Y39" s="1381"/>
      <c r="Z39" s="1381"/>
      <c r="AA39" s="1381"/>
      <c r="AB39" s="1381"/>
      <c r="AC39" s="1381"/>
      <c r="AD39" s="1381"/>
      <c r="AE39" s="1381"/>
      <c r="AF39" s="1381"/>
      <c r="AG39" s="1381"/>
      <c r="AH39" s="1381"/>
      <c r="AI39" s="1381"/>
      <c r="AJ39" s="1381"/>
      <c r="AK39" s="1381"/>
      <c r="AL39" s="1381"/>
      <c r="AM39" s="1381"/>
      <c r="AN39" s="1381"/>
      <c r="AO39" s="1381"/>
      <c r="AP39" s="1381"/>
      <c r="AQ39" s="1381"/>
      <c r="AR39" s="1381"/>
      <c r="AS39" s="1381" t="s">
        <v>1707</v>
      </c>
      <c r="AT39" s="1381"/>
      <c r="AU39" s="1381"/>
      <c r="AV39" s="1381"/>
      <c r="AW39" s="1381"/>
      <c r="AX39" s="1381"/>
      <c r="AY39" s="1381"/>
      <c r="AZ39" s="1381"/>
      <c r="BA39" s="1381" t="s">
        <v>1615</v>
      </c>
      <c r="BB39" s="1381" t="s">
        <v>1615</v>
      </c>
      <c r="BC39" s="1381"/>
      <c r="BD39" s="1381" t="s">
        <v>1615</v>
      </c>
      <c r="BE39" s="1381"/>
      <c r="BF39" s="1381" t="s">
        <v>1615</v>
      </c>
      <c r="BG39" s="1381"/>
      <c r="BH39" s="1381"/>
      <c r="BI39" s="1381" t="s">
        <v>1615</v>
      </c>
      <c r="BJ39" s="1381"/>
      <c r="BK39" s="1381"/>
      <c r="BL39" s="1381"/>
      <c r="BM39" s="1381"/>
      <c r="BN39" s="1381"/>
      <c r="BO39" s="1381"/>
      <c r="BP39" s="1381"/>
      <c r="BQ39" s="1381"/>
      <c r="BR39" s="1381"/>
      <c r="BS39" s="1381"/>
      <c r="BT39" s="1381"/>
      <c r="BU39" s="1381"/>
      <c r="BV39" s="1381"/>
      <c r="BW39" s="1381"/>
      <c r="BX39" s="1381"/>
      <c r="BY39" s="1381"/>
      <c r="BZ39" s="1381"/>
      <c r="CA39" s="1381"/>
      <c r="CB39" s="1381"/>
      <c r="CC39" s="1381"/>
      <c r="CD39" s="1381"/>
      <c r="CE39" s="1381" t="s">
        <v>1615</v>
      </c>
      <c r="CF39" s="1414"/>
      <c r="CG39" s="1414"/>
      <c r="CH39" s="1414"/>
      <c r="CI39" s="1414"/>
      <c r="CJ39" s="1414"/>
      <c r="CK39" s="1414"/>
      <c r="CL39" s="1414"/>
      <c r="CM39" s="1414"/>
      <c r="CN39" s="1381" t="s">
        <v>1615</v>
      </c>
      <c r="CO39" s="1414"/>
      <c r="CP39" s="1414"/>
      <c r="CQ39" s="1414"/>
      <c r="CR39" s="1414"/>
      <c r="CS39" s="1414"/>
      <c r="CT39" s="1414"/>
      <c r="CU39" s="1414"/>
      <c r="CV39" s="1414"/>
      <c r="CW39" s="1414"/>
      <c r="CX39" s="1414"/>
      <c r="CY39" s="1414"/>
      <c r="CZ39" s="1414"/>
      <c r="DA39" s="1464" t="s">
        <v>1615</v>
      </c>
      <c r="DB39" s="1414" t="s">
        <v>1615</v>
      </c>
      <c r="DC39" s="1414"/>
      <c r="DD39" s="1414"/>
      <c r="DE39" s="1414"/>
      <c r="DF39" s="1414"/>
      <c r="DG39" s="1414"/>
      <c r="DH39" s="1414"/>
      <c r="DI39" s="1381" t="s">
        <v>1615</v>
      </c>
      <c r="DJ39" s="1414"/>
      <c r="DK39" s="1414"/>
      <c r="DL39" s="1381" t="s">
        <v>1615</v>
      </c>
      <c r="DM39" s="1414"/>
      <c r="DN39" s="1414"/>
      <c r="DO39" s="1464" t="s">
        <v>1615</v>
      </c>
      <c r="DP39" s="1464" t="s">
        <v>1707</v>
      </c>
      <c r="DQ39" s="1414"/>
      <c r="DR39" s="1464" t="s">
        <v>1615</v>
      </c>
      <c r="DS39" s="1464" t="s">
        <v>1615</v>
      </c>
      <c r="DT39" s="1464" t="s">
        <v>1707</v>
      </c>
      <c r="DU39" s="1414"/>
      <c r="DV39" s="1414"/>
      <c r="DW39" s="1414"/>
      <c r="DX39" s="1414"/>
      <c r="DY39" s="1414"/>
      <c r="DZ39" s="1464" t="s">
        <v>1615</v>
      </c>
      <c r="EA39" s="1414"/>
      <c r="EB39" s="1414"/>
      <c r="EC39" s="1414"/>
      <c r="ED39" s="1414"/>
      <c r="EE39" s="1381" t="s">
        <v>1707</v>
      </c>
      <c r="EF39" s="1414"/>
      <c r="EG39" s="1414"/>
      <c r="EH39" s="1464" t="s">
        <v>1707</v>
      </c>
      <c r="EI39" s="1414"/>
      <c r="EJ39" s="1414"/>
      <c r="EK39" s="1414"/>
      <c r="EL39" s="1414"/>
      <c r="EM39" s="1414"/>
      <c r="EN39" s="1464" t="s">
        <v>1615</v>
      </c>
      <c r="EO39" s="1414"/>
      <c r="EP39" s="1414"/>
      <c r="EQ39" s="1414"/>
      <c r="ER39" s="1414"/>
      <c r="ES39" s="1414"/>
      <c r="ET39" s="1414"/>
      <c r="EU39" s="1414"/>
      <c r="EV39" s="1414"/>
      <c r="EW39" s="1414"/>
      <c r="EX39" s="1414"/>
      <c r="EY39" s="1414"/>
      <c r="EZ39" s="1414"/>
      <c r="FA39" s="1414"/>
      <c r="FB39" s="1414"/>
      <c r="FC39" s="1414"/>
      <c r="FD39" s="1464" t="s">
        <v>1615</v>
      </c>
      <c r="FE39" s="1414"/>
      <c r="FF39" s="1414"/>
      <c r="FG39" s="1414"/>
      <c r="FH39" s="1414"/>
      <c r="FI39" s="1414"/>
      <c r="FJ39" s="1464" t="s">
        <v>1615</v>
      </c>
      <c r="FK39" s="1414"/>
      <c r="FL39" s="1414"/>
      <c r="FM39" s="1414"/>
      <c r="FN39" s="1414"/>
      <c r="FO39" s="1464" t="s">
        <v>1615</v>
      </c>
      <c r="FP39" s="1414"/>
      <c r="FQ39" s="1414"/>
      <c r="FR39" s="1414"/>
      <c r="FS39" s="1414"/>
      <c r="FT39" s="1414"/>
      <c r="FU39" s="1414"/>
      <c r="FV39" s="1414"/>
      <c r="FW39" s="1414"/>
      <c r="FX39" s="1414"/>
      <c r="FY39" s="1414"/>
      <c r="FZ39" s="1414"/>
      <c r="GA39" s="1414"/>
      <c r="GB39" s="1414"/>
      <c r="GC39" s="1381" t="s">
        <v>1615</v>
      </c>
      <c r="GD39" s="1381" t="s">
        <v>1615</v>
      </c>
      <c r="GE39" s="1414"/>
      <c r="GF39" s="1414"/>
      <c r="GG39" s="1414"/>
      <c r="GH39" s="1414"/>
      <c r="GI39" s="1414"/>
      <c r="GJ39" s="1414"/>
      <c r="GK39" s="1414"/>
      <c r="GL39" s="1414"/>
      <c r="GM39" s="1414"/>
      <c r="GN39" s="1414"/>
      <c r="GO39" s="1414"/>
      <c r="GP39" s="1414"/>
      <c r="GQ39" s="1414"/>
      <c r="GR39" s="1414"/>
      <c r="GS39" s="1414"/>
      <c r="GT39" s="1414"/>
      <c r="GU39" s="1414"/>
      <c r="GV39" s="1414"/>
      <c r="GW39" s="1381" t="s">
        <v>1615</v>
      </c>
      <c r="GX39" s="1381" t="s">
        <v>1615</v>
      </c>
      <c r="GY39" s="1414"/>
      <c r="GZ39" s="1414"/>
      <c r="HA39" s="1414"/>
      <c r="HB39" s="1414" t="s">
        <v>1615</v>
      </c>
      <c r="HC39" s="1414"/>
      <c r="HD39" s="1414"/>
      <c r="HE39" s="1414"/>
      <c r="HF39" s="1414"/>
      <c r="HG39" s="1414"/>
      <c r="HH39" s="1414"/>
      <c r="HI39" s="1414"/>
      <c r="HJ39" s="1414"/>
      <c r="HK39" s="1414"/>
      <c r="HL39" s="1414"/>
      <c r="HM39" s="1414"/>
      <c r="HN39" s="1414"/>
      <c r="HO39" s="1414"/>
      <c r="HP39" s="1414"/>
      <c r="HQ39" s="1414"/>
      <c r="HR39" s="1414" t="s">
        <v>1615</v>
      </c>
      <c r="HS39" s="1414"/>
      <c r="HT39" s="1464" t="s">
        <v>1615</v>
      </c>
      <c r="HU39" s="1414"/>
      <c r="HV39" s="1414"/>
      <c r="HW39" s="1414"/>
      <c r="HX39" s="1414"/>
      <c r="HY39" s="1414"/>
      <c r="HZ39" s="1414"/>
      <c r="IA39" s="1414"/>
      <c r="IB39" s="1414"/>
      <c r="IC39" s="1414"/>
      <c r="ID39" s="1414"/>
      <c r="IE39" s="1464" t="s">
        <v>1615</v>
      </c>
      <c r="IF39" s="1414"/>
      <c r="IG39" s="1414"/>
      <c r="IH39" s="1464" t="s">
        <v>1615</v>
      </c>
      <c r="II39" s="1464" t="s">
        <v>1615</v>
      </c>
      <c r="IJ39" s="1414"/>
      <c r="IK39" s="1414"/>
      <c r="IL39" s="1414"/>
      <c r="IM39" s="1414"/>
      <c r="IN39" s="1414"/>
      <c r="IO39" s="1414"/>
      <c r="IP39" s="1414"/>
      <c r="IQ39" s="1414"/>
      <c r="IR39" s="1414"/>
      <c r="IS39" s="1414"/>
      <c r="IT39" s="1414"/>
      <c r="IU39" s="1414"/>
      <c r="IV39" s="1414"/>
      <c r="IW39" s="1464" t="s">
        <v>1615</v>
      </c>
      <c r="IX39" s="1414"/>
      <c r="IY39" s="1381" t="s">
        <v>1615</v>
      </c>
      <c r="IZ39" s="1414"/>
      <c r="JA39" s="1414"/>
      <c r="JB39" s="1464" t="s">
        <v>1615</v>
      </c>
      <c r="JC39" s="1414"/>
      <c r="JD39" s="1414"/>
      <c r="JE39" s="1414"/>
      <c r="JF39" s="1414"/>
      <c r="JG39" s="1414"/>
      <c r="JH39" s="1414"/>
      <c r="JI39" s="1414"/>
      <c r="JJ39" s="1414"/>
      <c r="JK39" s="1464" t="s">
        <v>1707</v>
      </c>
      <c r="JL39" s="1464" t="s">
        <v>1615</v>
      </c>
      <c r="JM39" s="1414"/>
      <c r="JN39" s="1414"/>
      <c r="JO39" s="1414"/>
      <c r="JP39" s="1414"/>
      <c r="JQ39" s="1466"/>
      <c r="JR39" s="351"/>
      <c r="JS39" s="1460"/>
      <c r="JT39" s="450" t="s">
        <v>2715</v>
      </c>
    </row>
    <row r="40" spans="1:280" ht="34.5" x14ac:dyDescent="0.25">
      <c r="A40" s="1367">
        <v>10</v>
      </c>
      <c r="B40" s="1471" t="str">
        <f t="shared" si="3"/>
        <v/>
      </c>
      <c r="C40" s="1435" t="s">
        <v>2716</v>
      </c>
      <c r="D40" s="1436" t="str">
        <f>"If you ceased being a director before 6 April "&amp;Tax_year_end&amp;", put the date the directorship ceased in the box DD MM YYYY"</f>
        <v>If you ceased being a director before 6 April 2026, put the date the directorship ceased in the box DD MM YYYY</v>
      </c>
      <c r="E40" s="1381"/>
      <c r="F40" s="1381"/>
      <c r="G40" s="1381"/>
      <c r="H40" s="1381"/>
      <c r="I40" s="1381"/>
      <c r="J40" s="1381"/>
      <c r="K40" s="1381"/>
      <c r="L40" s="1381"/>
      <c r="M40" s="1381"/>
      <c r="N40" s="1381"/>
      <c r="O40" s="1381"/>
      <c r="P40" s="1381"/>
      <c r="Q40" s="1381"/>
      <c r="R40" s="1381"/>
      <c r="S40" s="1381"/>
      <c r="T40" s="1381"/>
      <c r="U40" s="1381"/>
      <c r="V40" s="1381"/>
      <c r="W40" s="1381"/>
      <c r="X40" s="1381"/>
      <c r="Y40" s="1381"/>
      <c r="Z40" s="1381"/>
      <c r="AA40" s="1381"/>
      <c r="AB40" s="1381"/>
      <c r="AC40" s="1381"/>
      <c r="AD40" s="1381"/>
      <c r="AE40" s="1381"/>
      <c r="AF40" s="1381"/>
      <c r="AG40" s="1381"/>
      <c r="AH40" s="1381"/>
      <c r="AI40" s="1381"/>
      <c r="AJ40" s="1381"/>
      <c r="AK40" s="1381"/>
      <c r="AL40" s="1381"/>
      <c r="AM40" s="1381"/>
      <c r="AN40" s="1381"/>
      <c r="AO40" s="1381"/>
      <c r="AP40" s="1381"/>
      <c r="AQ40" s="1381"/>
      <c r="AR40" s="1381"/>
      <c r="AS40" s="1382" t="str">
        <f>"02/07/"&amp;Tax_year_start</f>
        <v>02/07/2025</v>
      </c>
      <c r="AT40" s="1381"/>
      <c r="AU40" s="1381"/>
      <c r="AV40" s="1381"/>
      <c r="AW40" s="1381"/>
      <c r="AX40" s="1381"/>
      <c r="AY40" s="1381"/>
      <c r="AZ40" s="1381"/>
      <c r="BA40" s="1381"/>
      <c r="BB40" s="1381"/>
      <c r="BC40" s="1381"/>
      <c r="BD40" s="1381"/>
      <c r="BE40" s="1381"/>
      <c r="BF40" s="1381"/>
      <c r="BG40" s="1381"/>
      <c r="BH40" s="1381"/>
      <c r="BI40" s="1381"/>
      <c r="BJ40" s="1381"/>
      <c r="BK40" s="1381"/>
      <c r="BL40" s="1381"/>
      <c r="BM40" s="1381"/>
      <c r="BN40" s="1381"/>
      <c r="BO40" s="1381"/>
      <c r="BP40" s="1381"/>
      <c r="BQ40" s="1381"/>
      <c r="BR40" s="1381"/>
      <c r="BS40" s="1381"/>
      <c r="BT40" s="1381"/>
      <c r="BU40" s="1381"/>
      <c r="BV40" s="1381"/>
      <c r="BW40" s="1381"/>
      <c r="BX40" s="1381"/>
      <c r="BY40" s="1381"/>
      <c r="BZ40" s="1381"/>
      <c r="CA40" s="1381"/>
      <c r="CB40" s="1381"/>
      <c r="CC40" s="1381"/>
      <c r="CD40" s="1381"/>
      <c r="CE40" s="1381"/>
      <c r="CF40" s="1414"/>
      <c r="CG40" s="1414"/>
      <c r="CH40" s="1414"/>
      <c r="CI40" s="1414"/>
      <c r="CJ40" s="1414"/>
      <c r="CK40" s="1414"/>
      <c r="CL40" s="1414"/>
      <c r="CM40" s="1414"/>
      <c r="CN40" s="1381"/>
      <c r="CO40" s="1414"/>
      <c r="CP40" s="1414"/>
      <c r="CQ40" s="1414"/>
      <c r="CR40" s="1414"/>
      <c r="CS40" s="1414"/>
      <c r="CT40" s="1414"/>
      <c r="CU40" s="1414"/>
      <c r="CV40" s="1414"/>
      <c r="CW40" s="1414"/>
      <c r="CX40" s="1414"/>
      <c r="CY40" s="1414"/>
      <c r="CZ40" s="1414"/>
      <c r="DA40" s="1414"/>
      <c r="DB40" s="1414"/>
      <c r="DC40" s="1414"/>
      <c r="DD40" s="1414"/>
      <c r="DE40" s="1414"/>
      <c r="DF40" s="1414"/>
      <c r="DG40" s="1414"/>
      <c r="DH40" s="1414"/>
      <c r="DI40" s="1381"/>
      <c r="DJ40" s="1414"/>
      <c r="DK40" s="1414"/>
      <c r="DL40" s="1381"/>
      <c r="DM40" s="1414"/>
      <c r="DN40" s="1414"/>
      <c r="DO40" s="1414"/>
      <c r="DP40" s="1414"/>
      <c r="DQ40" s="1414"/>
      <c r="DR40" s="1414"/>
      <c r="DS40" s="1414"/>
      <c r="DT40" s="1414"/>
      <c r="DU40" s="1414"/>
      <c r="DV40" s="1414"/>
      <c r="DW40" s="1414"/>
      <c r="DX40" s="1414"/>
      <c r="DY40" s="1414"/>
      <c r="DZ40" s="1414"/>
      <c r="EA40" s="1414"/>
      <c r="EB40" s="1414"/>
      <c r="EC40" s="1414"/>
      <c r="ED40" s="1414"/>
      <c r="EE40" s="1381" t="str">
        <f>"02/07/"&amp;Tax_year_start</f>
        <v>02/07/2025</v>
      </c>
      <c r="EF40" s="1414"/>
      <c r="EG40" s="1414"/>
      <c r="EH40" s="1414"/>
      <c r="EI40" s="1414"/>
      <c r="EJ40" s="1414"/>
      <c r="EK40" s="1414"/>
      <c r="EL40" s="1414"/>
      <c r="EM40" s="1414"/>
      <c r="EN40" s="1414"/>
      <c r="EO40" s="1414"/>
      <c r="EP40" s="1414"/>
      <c r="EQ40" s="1414"/>
      <c r="ER40" s="1414"/>
      <c r="ES40" s="1414"/>
      <c r="ET40" s="1414"/>
      <c r="EU40" s="1414"/>
      <c r="EV40" s="1414"/>
      <c r="EW40" s="1414"/>
      <c r="EX40" s="1414"/>
      <c r="EY40" s="1414"/>
      <c r="EZ40" s="1414"/>
      <c r="FA40" s="1414"/>
      <c r="FB40" s="1414"/>
      <c r="FC40" s="1414"/>
      <c r="FD40" s="1414"/>
      <c r="FE40" s="1414"/>
      <c r="FF40" s="1414"/>
      <c r="FG40" s="1414"/>
      <c r="FH40" s="1414"/>
      <c r="FI40" s="1414"/>
      <c r="FJ40" s="1414"/>
      <c r="FK40" s="1414"/>
      <c r="FL40" s="1414"/>
      <c r="FM40" s="1414"/>
      <c r="FN40" s="1414"/>
      <c r="FO40" s="1414"/>
      <c r="FP40" s="1414"/>
      <c r="FQ40" s="1414"/>
      <c r="FR40" s="1414"/>
      <c r="FS40" s="1414"/>
      <c r="FT40" s="1414"/>
      <c r="FU40" s="1414"/>
      <c r="FV40" s="1414"/>
      <c r="FW40" s="1414"/>
      <c r="FX40" s="1414"/>
      <c r="FY40" s="1414"/>
      <c r="FZ40" s="1414"/>
      <c r="GA40" s="1414"/>
      <c r="GB40" s="1414"/>
      <c r="GC40" s="1381"/>
      <c r="GD40" s="1381"/>
      <c r="GE40" s="1414"/>
      <c r="GF40" s="1381"/>
      <c r="GG40" s="1414"/>
      <c r="GH40" s="1414"/>
      <c r="GI40" s="1414"/>
      <c r="GJ40" s="1414"/>
      <c r="GK40" s="1414"/>
      <c r="GL40" s="1414"/>
      <c r="GM40" s="1414"/>
      <c r="GN40" s="1414"/>
      <c r="GO40" s="1414"/>
      <c r="GP40" s="1414"/>
      <c r="GQ40" s="1414"/>
      <c r="GR40" s="1414"/>
      <c r="GS40" s="1414"/>
      <c r="GT40" s="1414"/>
      <c r="GU40" s="1414"/>
      <c r="GV40" s="1414"/>
      <c r="GW40" s="1381"/>
      <c r="GX40" s="1381"/>
      <c r="GY40" s="1414"/>
      <c r="GZ40" s="1414"/>
      <c r="HA40" s="1414"/>
      <c r="HB40" s="1414"/>
      <c r="HC40" s="1414"/>
      <c r="HD40" s="1414"/>
      <c r="HE40" s="1414"/>
      <c r="HF40" s="1414"/>
      <c r="HG40" s="1414"/>
      <c r="HH40" s="1414"/>
      <c r="HI40" s="1414"/>
      <c r="HJ40" s="1414"/>
      <c r="HK40" s="1414"/>
      <c r="HL40" s="1414"/>
      <c r="HM40" s="1414"/>
      <c r="HN40" s="1414"/>
      <c r="HO40" s="1414"/>
      <c r="HP40" s="1414"/>
      <c r="HQ40" s="1414"/>
      <c r="HR40" s="1414"/>
      <c r="HS40" s="1414"/>
      <c r="HT40" s="1414"/>
      <c r="HU40" s="1414"/>
      <c r="HV40" s="1414"/>
      <c r="HW40" s="1414"/>
      <c r="HX40" s="1414"/>
      <c r="HY40" s="1414"/>
      <c r="HZ40" s="1414"/>
      <c r="IA40" s="1414"/>
      <c r="IB40" s="1414"/>
      <c r="IC40" s="1414"/>
      <c r="ID40" s="1414"/>
      <c r="IE40" s="1414"/>
      <c r="IF40" s="1414"/>
      <c r="IG40" s="1414"/>
      <c r="IH40" s="1414"/>
      <c r="II40" s="1414"/>
      <c r="IJ40" s="1414"/>
      <c r="IK40" s="1414"/>
      <c r="IL40" s="1414"/>
      <c r="IM40" s="1414"/>
      <c r="IN40" s="1414"/>
      <c r="IO40" s="1414"/>
      <c r="IP40" s="1414"/>
      <c r="IQ40" s="1414"/>
      <c r="IR40" s="1414"/>
      <c r="IS40" s="1414"/>
      <c r="IT40" s="1414"/>
      <c r="IU40" s="1414"/>
      <c r="IV40" s="1414"/>
      <c r="IW40" s="1414"/>
      <c r="IX40" s="1414"/>
      <c r="IY40" s="1381"/>
      <c r="IZ40" s="1414"/>
      <c r="JA40" s="1414"/>
      <c r="JB40" s="1414"/>
      <c r="JC40" s="1414"/>
      <c r="JD40" s="1414"/>
      <c r="JE40" s="1414"/>
      <c r="JF40" s="1414"/>
      <c r="JG40" s="1414"/>
      <c r="JH40" s="1414"/>
      <c r="JI40" s="1414"/>
      <c r="JJ40" s="1414"/>
      <c r="JK40" s="1414"/>
      <c r="JL40" s="1414"/>
      <c r="JM40" s="1414"/>
      <c r="JN40" s="1414"/>
      <c r="JO40" s="1414"/>
      <c r="JP40" s="1414"/>
      <c r="JQ40" s="1466"/>
      <c r="JR40" s="351"/>
      <c r="JS40" s="1460" t="s">
        <v>2717</v>
      </c>
      <c r="JT40" s="450" t="s">
        <v>2208</v>
      </c>
    </row>
    <row r="41" spans="1:280" ht="12.5" x14ac:dyDescent="0.25">
      <c r="A41" s="1367">
        <v>11</v>
      </c>
      <c r="B41" s="1471" t="str">
        <f t="shared" si="3"/>
        <v/>
      </c>
      <c r="C41" s="1435" t="s">
        <v>2718</v>
      </c>
      <c r="D41" s="1436" t="s">
        <v>2719</v>
      </c>
      <c r="E41" s="1381"/>
      <c r="F41" s="1381"/>
      <c r="G41" s="1381"/>
      <c r="H41" s="1381"/>
      <c r="I41" s="1381"/>
      <c r="J41" s="1381"/>
      <c r="K41" s="1381"/>
      <c r="L41" s="1381"/>
      <c r="M41" s="1381"/>
      <c r="N41" s="1381"/>
      <c r="O41" s="1381"/>
      <c r="P41" s="1381"/>
      <c r="Q41" s="1381"/>
      <c r="R41" s="1381"/>
      <c r="S41" s="1381"/>
      <c r="T41" s="1381"/>
      <c r="U41" s="1381"/>
      <c r="V41" s="1381"/>
      <c r="W41" s="1381"/>
      <c r="X41" s="1381"/>
      <c r="Y41" s="1381"/>
      <c r="Z41" s="1381"/>
      <c r="AA41" s="1381"/>
      <c r="AB41" s="1381"/>
      <c r="AC41" s="1381"/>
      <c r="AD41" s="1381"/>
      <c r="AE41" s="1381"/>
      <c r="AF41" s="1381"/>
      <c r="AG41" s="1381"/>
      <c r="AH41" s="1381"/>
      <c r="AI41" s="1381"/>
      <c r="AJ41" s="1381"/>
      <c r="AK41" s="1381"/>
      <c r="AL41" s="1381"/>
      <c r="AM41" s="1381"/>
      <c r="AN41" s="1381"/>
      <c r="AO41" s="1381"/>
      <c r="AP41" s="1381"/>
      <c r="AQ41" s="1381"/>
      <c r="AR41" s="1381"/>
      <c r="AS41" s="1381" t="s">
        <v>1707</v>
      </c>
      <c r="AT41" s="1381"/>
      <c r="AU41" s="1381"/>
      <c r="AV41" s="1381"/>
      <c r="AW41" s="1381"/>
      <c r="AX41" s="1381"/>
      <c r="AY41" s="1381"/>
      <c r="AZ41" s="1381"/>
      <c r="BA41" s="1381" t="s">
        <v>1615</v>
      </c>
      <c r="BB41" s="1381" t="s">
        <v>1615</v>
      </c>
      <c r="BC41" s="1381"/>
      <c r="BD41" s="1381" t="s">
        <v>1615</v>
      </c>
      <c r="BE41" s="1381"/>
      <c r="BF41" s="1381" t="s">
        <v>1615</v>
      </c>
      <c r="BG41" s="1381"/>
      <c r="BH41" s="1381"/>
      <c r="BI41" s="1381" t="s">
        <v>1615</v>
      </c>
      <c r="BJ41" s="1381"/>
      <c r="BK41" s="1381"/>
      <c r="BL41" s="1381"/>
      <c r="BM41" s="1381"/>
      <c r="BN41" s="1381"/>
      <c r="BO41" s="1381"/>
      <c r="BP41" s="1381"/>
      <c r="BQ41" s="1381"/>
      <c r="BR41" s="1381"/>
      <c r="BS41" s="1381"/>
      <c r="BT41" s="1381"/>
      <c r="BU41" s="1381"/>
      <c r="BV41" s="1381"/>
      <c r="BW41" s="1381"/>
      <c r="BX41" s="1381"/>
      <c r="BY41" s="1381"/>
      <c r="BZ41" s="1381"/>
      <c r="CA41" s="1381"/>
      <c r="CB41" s="1381"/>
      <c r="CC41" s="1381"/>
      <c r="CD41" s="1381"/>
      <c r="CE41" s="1381" t="s">
        <v>1615</v>
      </c>
      <c r="CF41" s="1414"/>
      <c r="CG41" s="1414"/>
      <c r="CH41" s="1414"/>
      <c r="CI41" s="1414"/>
      <c r="CJ41" s="1414"/>
      <c r="CK41" s="1414"/>
      <c r="CL41" s="1414"/>
      <c r="CM41" s="1414"/>
      <c r="CN41" s="1381" t="s">
        <v>1615</v>
      </c>
      <c r="CO41" s="1414"/>
      <c r="CP41" s="1414"/>
      <c r="CQ41" s="1414"/>
      <c r="CR41" s="1414"/>
      <c r="CS41" s="1414"/>
      <c r="CT41" s="1414"/>
      <c r="CU41" s="1414"/>
      <c r="CV41" s="1414"/>
      <c r="CW41" s="1414"/>
      <c r="CX41" s="1414"/>
      <c r="CY41" s="1414"/>
      <c r="CZ41" s="1414"/>
      <c r="DA41" s="1464" t="s">
        <v>1615</v>
      </c>
      <c r="DB41" s="1414" t="s">
        <v>1615</v>
      </c>
      <c r="DC41" s="1414"/>
      <c r="DD41" s="1414"/>
      <c r="DE41" s="1414"/>
      <c r="DF41" s="1414"/>
      <c r="DG41" s="1414"/>
      <c r="DH41" s="1414"/>
      <c r="DI41" s="1381" t="s">
        <v>1615</v>
      </c>
      <c r="DJ41" s="1414"/>
      <c r="DK41" s="1414"/>
      <c r="DL41" s="1381" t="s">
        <v>1615</v>
      </c>
      <c r="DM41" s="1414"/>
      <c r="DN41" s="1414"/>
      <c r="DO41" s="1414"/>
      <c r="DP41" s="1464" t="s">
        <v>1707</v>
      </c>
      <c r="DQ41" s="1414"/>
      <c r="DR41" s="1464" t="s">
        <v>1615</v>
      </c>
      <c r="DS41" s="1464" t="s">
        <v>1615</v>
      </c>
      <c r="DT41" s="1464" t="s">
        <v>1707</v>
      </c>
      <c r="DU41" s="1414"/>
      <c r="DV41" s="1414"/>
      <c r="DW41" s="1414"/>
      <c r="DX41" s="1414"/>
      <c r="DY41" s="1414"/>
      <c r="DZ41" s="1464" t="s">
        <v>1615</v>
      </c>
      <c r="EA41" s="1414"/>
      <c r="EB41" s="1414"/>
      <c r="EC41" s="1414"/>
      <c r="ED41" s="1414"/>
      <c r="EE41" s="1381" t="s">
        <v>1707</v>
      </c>
      <c r="EF41" s="1414"/>
      <c r="EG41" s="1414"/>
      <c r="EH41" s="1464" t="s">
        <v>1707</v>
      </c>
      <c r="EI41" s="1414"/>
      <c r="EJ41" s="1414"/>
      <c r="EK41" s="1414"/>
      <c r="EL41" s="1414"/>
      <c r="EM41" s="1414"/>
      <c r="EN41" s="1464" t="s">
        <v>1615</v>
      </c>
      <c r="EO41" s="1414"/>
      <c r="EP41" s="1414"/>
      <c r="EQ41" s="1414"/>
      <c r="ER41" s="1414"/>
      <c r="ES41" s="1414"/>
      <c r="ET41" s="1414"/>
      <c r="EU41" s="1414"/>
      <c r="EV41" s="1414"/>
      <c r="EW41" s="1414"/>
      <c r="EX41" s="1414"/>
      <c r="EY41" s="1414"/>
      <c r="EZ41" s="1414"/>
      <c r="FA41" s="1414"/>
      <c r="FB41" s="1414"/>
      <c r="FC41" s="1414"/>
      <c r="FD41" s="1464" t="s">
        <v>1615</v>
      </c>
      <c r="FE41" s="1414"/>
      <c r="FF41" s="1414"/>
      <c r="FG41" s="1414"/>
      <c r="FH41" s="1414"/>
      <c r="FI41" s="1414"/>
      <c r="FJ41" s="1464" t="s">
        <v>1615</v>
      </c>
      <c r="FK41" s="1414"/>
      <c r="FL41" s="1414"/>
      <c r="FM41" s="1414"/>
      <c r="FN41" s="1414"/>
      <c r="FO41" s="1464" t="s">
        <v>1615</v>
      </c>
      <c r="FP41" s="1414"/>
      <c r="FQ41" s="1414"/>
      <c r="FR41" s="1414"/>
      <c r="FS41" s="1414"/>
      <c r="FT41" s="1414"/>
      <c r="FU41" s="1414"/>
      <c r="FV41" s="1414"/>
      <c r="FW41" s="1414"/>
      <c r="FX41" s="1414"/>
      <c r="FY41" s="1414"/>
      <c r="FZ41" s="1414"/>
      <c r="GA41" s="1414"/>
      <c r="GB41" s="1414"/>
      <c r="GC41" s="1381" t="s">
        <v>1615</v>
      </c>
      <c r="GD41" s="1381" t="s">
        <v>1615</v>
      </c>
      <c r="GE41" s="1414"/>
      <c r="GF41" s="1381"/>
      <c r="GG41" s="1414"/>
      <c r="GH41" s="1414"/>
      <c r="GI41" s="1414"/>
      <c r="GJ41" s="1414"/>
      <c r="GK41" s="1414"/>
      <c r="GL41" s="1414"/>
      <c r="GM41" s="1414"/>
      <c r="GN41" s="1414"/>
      <c r="GO41" s="1414"/>
      <c r="GP41" s="1414"/>
      <c r="GQ41" s="1414"/>
      <c r="GR41" s="1414"/>
      <c r="GS41" s="1414"/>
      <c r="GT41" s="1414"/>
      <c r="GU41" s="1414"/>
      <c r="GV41" s="1414"/>
      <c r="GW41" s="1381" t="s">
        <v>1615</v>
      </c>
      <c r="GX41" s="1381" t="s">
        <v>1615</v>
      </c>
      <c r="GY41" s="1414"/>
      <c r="GZ41" s="1414"/>
      <c r="HA41" s="1414"/>
      <c r="HB41" s="1414" t="s">
        <v>1615</v>
      </c>
      <c r="HC41" s="1414"/>
      <c r="HD41" s="1414"/>
      <c r="HE41" s="1414"/>
      <c r="HF41" s="1414"/>
      <c r="HG41" s="1414"/>
      <c r="HH41" s="1414"/>
      <c r="HI41" s="1414"/>
      <c r="HJ41" s="1414"/>
      <c r="HK41" s="1414"/>
      <c r="HL41" s="1414"/>
      <c r="HM41" s="1414"/>
      <c r="HN41" s="1414"/>
      <c r="HO41" s="1414"/>
      <c r="HP41" s="1414"/>
      <c r="HQ41" s="1414"/>
      <c r="HR41" s="1414" t="s">
        <v>1615</v>
      </c>
      <c r="HS41" s="1414"/>
      <c r="HT41" s="1464" t="s">
        <v>1615</v>
      </c>
      <c r="HU41" s="1414"/>
      <c r="HV41" s="1414"/>
      <c r="HW41" s="1414"/>
      <c r="HX41" s="1414"/>
      <c r="HY41" s="1414"/>
      <c r="HZ41" s="1414"/>
      <c r="IA41" s="1414"/>
      <c r="IB41" s="1414"/>
      <c r="IC41" s="1414"/>
      <c r="ID41" s="1414"/>
      <c r="IE41" s="1464" t="s">
        <v>1615</v>
      </c>
      <c r="IF41" s="1414"/>
      <c r="IG41" s="1414"/>
      <c r="IH41" s="1464" t="s">
        <v>1615</v>
      </c>
      <c r="II41" s="1464" t="s">
        <v>1615</v>
      </c>
      <c r="IJ41" s="1414"/>
      <c r="IK41" s="1414"/>
      <c r="IL41" s="1414"/>
      <c r="IM41" s="1414"/>
      <c r="IN41" s="1414"/>
      <c r="IO41" s="1414"/>
      <c r="IP41" s="1414"/>
      <c r="IQ41" s="1414"/>
      <c r="IR41" s="1414"/>
      <c r="IS41" s="1414"/>
      <c r="IT41" s="1414"/>
      <c r="IU41" s="1414"/>
      <c r="IV41" s="1414"/>
      <c r="IW41" s="1464" t="s">
        <v>1615</v>
      </c>
      <c r="IX41" s="1414"/>
      <c r="IY41" s="1381" t="s">
        <v>1615</v>
      </c>
      <c r="IZ41" s="1414"/>
      <c r="JA41" s="1414"/>
      <c r="JB41" s="1464" t="s">
        <v>1615</v>
      </c>
      <c r="JC41" s="1414"/>
      <c r="JD41" s="1414"/>
      <c r="JE41" s="1414"/>
      <c r="JF41" s="1414"/>
      <c r="JG41" s="1414"/>
      <c r="JH41" s="1414"/>
      <c r="JI41" s="1414"/>
      <c r="JJ41" s="1414"/>
      <c r="JK41" s="1464" t="s">
        <v>1615</v>
      </c>
      <c r="JL41" s="1464" t="s">
        <v>1615</v>
      </c>
      <c r="JM41" s="1414"/>
      <c r="JN41" s="1414"/>
      <c r="JO41" s="1414"/>
      <c r="JP41" s="1414"/>
      <c r="JQ41" s="1466"/>
      <c r="JR41" s="351"/>
      <c r="JS41" s="1470"/>
      <c r="JT41" s="450" t="s">
        <v>2319</v>
      </c>
    </row>
    <row r="42" spans="1:280" ht="34.5" x14ac:dyDescent="0.25">
      <c r="A42" s="1367">
        <v>12</v>
      </c>
      <c r="B42" s="1471" t="str">
        <f t="shared" si="3"/>
        <v/>
      </c>
      <c r="C42" s="2533" t="s">
        <v>2720</v>
      </c>
      <c r="D42" s="1467" t="s">
        <v>2721</v>
      </c>
      <c r="E42" s="1381"/>
      <c r="F42" s="1381"/>
      <c r="G42" s="1381"/>
      <c r="H42" s="1381"/>
      <c r="I42" s="1381"/>
      <c r="J42" s="1381"/>
      <c r="K42" s="1381"/>
      <c r="L42" s="1381"/>
      <c r="M42" s="1381"/>
      <c r="N42" s="1381"/>
      <c r="O42" s="1381"/>
      <c r="P42" s="1381"/>
      <c r="Q42" s="1381"/>
      <c r="R42" s="1381"/>
      <c r="S42" s="1381"/>
      <c r="T42" s="1381"/>
      <c r="U42" s="1381"/>
      <c r="V42" s="1381"/>
      <c r="W42" s="1381"/>
      <c r="X42" s="1381"/>
      <c r="Y42" s="1381"/>
      <c r="Z42" s="1381"/>
      <c r="AA42" s="1381"/>
      <c r="AB42" s="1381"/>
      <c r="AC42" s="1381"/>
      <c r="AD42" s="1381"/>
      <c r="AE42" s="1381"/>
      <c r="AF42" s="1381"/>
      <c r="AG42" s="1381"/>
      <c r="AH42" s="1381"/>
      <c r="AI42" s="1381"/>
      <c r="AJ42" s="1381"/>
      <c r="AK42" s="1381"/>
      <c r="AL42" s="1381"/>
      <c r="AM42" s="1381"/>
      <c r="AN42" s="1381"/>
      <c r="AO42" s="1381"/>
      <c r="AP42" s="1381"/>
      <c r="AQ42" s="1381"/>
      <c r="AR42" s="1381"/>
      <c r="AS42" s="1462" t="s">
        <v>2786</v>
      </c>
      <c r="AT42" s="1381"/>
      <c r="AU42" s="1381"/>
      <c r="AV42" s="1381"/>
      <c r="AW42" s="1381"/>
      <c r="AX42" s="1381"/>
      <c r="AY42" s="1381"/>
      <c r="AZ42" s="1381"/>
      <c r="BA42" s="1381"/>
      <c r="BB42" s="1381"/>
      <c r="BC42" s="1381"/>
      <c r="BD42" s="1381"/>
      <c r="BE42" s="1381"/>
      <c r="BF42" s="1381"/>
      <c r="BG42" s="1381"/>
      <c r="BH42" s="1381"/>
      <c r="BI42" s="1381"/>
      <c r="BJ42" s="1381"/>
      <c r="BK42" s="1381"/>
      <c r="BL42" s="1381"/>
      <c r="BM42" s="1381"/>
      <c r="BN42" s="1381"/>
      <c r="BO42" s="1381"/>
      <c r="BP42" s="1381"/>
      <c r="BQ42" s="1381"/>
      <c r="BR42" s="1381"/>
      <c r="BS42" s="1381"/>
      <c r="BT42" s="1381"/>
      <c r="BU42" s="1381"/>
      <c r="BV42" s="1381"/>
      <c r="BW42" s="1381"/>
      <c r="BX42" s="1381"/>
      <c r="BY42" s="1381"/>
      <c r="BZ42" s="1381"/>
      <c r="CA42" s="1381"/>
      <c r="CB42" s="1381"/>
      <c r="CC42" s="1381"/>
      <c r="CD42" s="1381"/>
      <c r="CE42" s="1381"/>
      <c r="CF42" s="1381"/>
      <c r="CG42" s="1381"/>
      <c r="CH42" s="1381"/>
      <c r="CI42" s="1381"/>
      <c r="CJ42" s="1381"/>
      <c r="CK42" s="1381"/>
      <c r="CL42" s="1381"/>
      <c r="CM42" s="1381"/>
      <c r="CN42" s="1381"/>
      <c r="CO42" s="1381"/>
      <c r="CP42" s="1381"/>
      <c r="CQ42" s="1381"/>
      <c r="CR42" s="1381"/>
      <c r="CS42" s="1381"/>
      <c r="CT42" s="1381"/>
      <c r="CU42" s="1381"/>
      <c r="CV42" s="1381"/>
      <c r="CW42" s="1381"/>
      <c r="CX42" s="1381"/>
      <c r="CY42" s="1381"/>
      <c r="CZ42" s="1381"/>
      <c r="DA42" s="1381"/>
      <c r="DB42" s="1381"/>
      <c r="DC42" s="1381"/>
      <c r="DD42" s="1381"/>
      <c r="DE42" s="1381"/>
      <c r="DF42" s="1381"/>
      <c r="DG42" s="1381"/>
      <c r="DH42" s="1381"/>
      <c r="DI42" s="1381"/>
      <c r="DJ42" s="1381"/>
      <c r="DK42" s="1381"/>
      <c r="DL42" s="1381"/>
      <c r="DM42" s="1381"/>
      <c r="DN42" s="1381"/>
      <c r="DO42" s="1381"/>
      <c r="DP42" s="1382" t="s">
        <v>2787</v>
      </c>
      <c r="DQ42" s="1381"/>
      <c r="DR42" s="1381"/>
      <c r="DS42" s="1381"/>
      <c r="DT42" s="1382" t="s">
        <v>2787</v>
      </c>
      <c r="DU42" s="1381"/>
      <c r="DV42" s="1381"/>
      <c r="DW42" s="1381"/>
      <c r="DX42" s="1381"/>
      <c r="DY42" s="1381"/>
      <c r="DZ42" s="1381"/>
      <c r="EA42" s="1381"/>
      <c r="EB42" s="1381"/>
      <c r="EC42" s="1381"/>
      <c r="ED42" s="1381"/>
      <c r="EE42" s="1464" t="s">
        <v>2788</v>
      </c>
      <c r="EF42" s="1381"/>
      <c r="EG42" s="1414"/>
      <c r="EH42" s="1382" t="s">
        <v>2789</v>
      </c>
      <c r="EI42" s="1381"/>
      <c r="EJ42" s="1381"/>
      <c r="EK42" s="1381"/>
      <c r="EL42" s="1381"/>
      <c r="EM42" s="1381"/>
      <c r="EN42" s="1381"/>
      <c r="EO42" s="1381"/>
      <c r="EP42" s="1381"/>
      <c r="EQ42" s="1381"/>
      <c r="ER42" s="1381"/>
      <c r="ES42" s="1381"/>
      <c r="ET42" s="1381"/>
      <c r="EU42" s="1381"/>
      <c r="EV42" s="1381"/>
      <c r="EW42" s="1381"/>
      <c r="EX42" s="1381"/>
      <c r="EY42" s="1381"/>
      <c r="EZ42" s="1381"/>
      <c r="FA42" s="1381"/>
      <c r="FB42" s="1381"/>
      <c r="FC42" s="1381"/>
      <c r="FD42" s="1381"/>
      <c r="FE42" s="1381"/>
      <c r="FF42" s="1381"/>
      <c r="FG42" s="1381"/>
      <c r="FH42" s="1381"/>
      <c r="FI42" s="1381"/>
      <c r="FJ42" s="1381"/>
      <c r="FK42" s="1381"/>
      <c r="FL42" s="1414"/>
      <c r="FM42" s="1414"/>
      <c r="FN42" s="1414"/>
      <c r="FO42" s="1414"/>
      <c r="FP42" s="1414"/>
      <c r="FQ42" s="1414"/>
      <c r="FR42" s="1414"/>
      <c r="FS42" s="1381"/>
      <c r="FT42" s="1381"/>
      <c r="FU42" s="1381"/>
      <c r="FV42" s="1381"/>
      <c r="FW42" s="1381"/>
      <c r="FX42" s="1381"/>
      <c r="FY42" s="1381"/>
      <c r="FZ42" s="1381"/>
      <c r="GA42" s="1381"/>
      <c r="GB42" s="1381"/>
      <c r="GC42" s="1381"/>
      <c r="GD42" s="1381"/>
      <c r="GE42" s="1381"/>
      <c r="GF42" s="1381"/>
      <c r="GG42" s="1381"/>
      <c r="GH42" s="1381"/>
      <c r="GI42" s="1381"/>
      <c r="GJ42" s="1381"/>
      <c r="GK42" s="1381"/>
      <c r="GL42" s="1381"/>
      <c r="GM42" s="1381"/>
      <c r="GN42" s="1381"/>
      <c r="GO42" s="1381"/>
      <c r="GP42" s="1381"/>
      <c r="GQ42" s="1381"/>
      <c r="GR42" s="1381"/>
      <c r="GS42" s="1381"/>
      <c r="GT42" s="1381"/>
      <c r="GU42" s="1381"/>
      <c r="GV42" s="1381"/>
      <c r="GW42" s="1381"/>
      <c r="GX42" s="1381"/>
      <c r="GY42" s="1381"/>
      <c r="GZ42" s="1381"/>
      <c r="HA42" s="1381"/>
      <c r="HB42" s="1381"/>
      <c r="HC42" s="1381"/>
      <c r="HD42" s="1381"/>
      <c r="HE42" s="1381"/>
      <c r="HF42" s="1381"/>
      <c r="HG42" s="1381"/>
      <c r="HH42" s="1381"/>
      <c r="HI42" s="1381"/>
      <c r="HJ42" s="1381"/>
      <c r="HK42" s="1381"/>
      <c r="HL42" s="1381"/>
      <c r="HM42" s="1381"/>
      <c r="HN42" s="1381"/>
      <c r="HO42" s="1381"/>
      <c r="HP42" s="1381"/>
      <c r="HQ42" s="1381"/>
      <c r="HR42" s="1381"/>
      <c r="HS42" s="1381"/>
      <c r="HT42" s="1381"/>
      <c r="HU42" s="1381"/>
      <c r="HV42" s="1381"/>
      <c r="HW42" s="1381"/>
      <c r="HX42" s="1381"/>
      <c r="HY42" s="1381"/>
      <c r="HZ42" s="1381"/>
      <c r="IA42" s="1381"/>
      <c r="IB42" s="1381"/>
      <c r="IC42" s="1381"/>
      <c r="ID42" s="1381"/>
      <c r="IE42" s="1381"/>
      <c r="IF42" s="1381"/>
      <c r="IG42" s="1381"/>
      <c r="IH42" s="1381"/>
      <c r="II42" s="1381"/>
      <c r="IJ42" s="1381"/>
      <c r="IK42" s="1381"/>
      <c r="IL42" s="1381"/>
      <c r="IM42" s="1381"/>
      <c r="IN42" s="1381"/>
      <c r="IO42" s="1381"/>
      <c r="IP42" s="1381"/>
      <c r="IQ42" s="1381"/>
      <c r="IR42" s="1381"/>
      <c r="IS42" s="1381"/>
      <c r="IT42" s="1381"/>
      <c r="IU42" s="1381"/>
      <c r="IV42" s="1381"/>
      <c r="IW42" s="1381"/>
      <c r="IX42" s="1381"/>
      <c r="IY42" s="1381"/>
      <c r="IZ42" s="1381"/>
      <c r="JA42" s="1381"/>
      <c r="JB42" s="1381"/>
      <c r="JC42" s="1381"/>
      <c r="JD42" s="1381"/>
      <c r="JE42" s="1381"/>
      <c r="JF42" s="1381"/>
      <c r="JG42" s="1381"/>
      <c r="JH42" s="1381"/>
      <c r="JI42" s="1381"/>
      <c r="JJ42" s="1381"/>
      <c r="JK42" s="1414"/>
      <c r="JL42" s="1414"/>
      <c r="JM42" s="1414"/>
      <c r="JN42" s="1414"/>
      <c r="JO42" s="1414"/>
      <c r="JP42" s="1414"/>
      <c r="JQ42" s="1466"/>
      <c r="JR42" s="351"/>
      <c r="JS42" s="1470"/>
      <c r="JT42" s="450"/>
    </row>
    <row r="43" spans="1:280" ht="12.5" x14ac:dyDescent="0.25">
      <c r="A43" s="1367">
        <v>13</v>
      </c>
      <c r="B43" s="1677" t="str">
        <f t="shared" si="3"/>
        <v/>
      </c>
      <c r="C43" s="2533" t="s">
        <v>2736</v>
      </c>
      <c r="D43" s="1467" t="s">
        <v>2737</v>
      </c>
      <c r="E43" s="1561"/>
      <c r="F43" s="1561"/>
      <c r="G43" s="1561"/>
      <c r="H43" s="1561"/>
      <c r="I43" s="1561"/>
      <c r="J43" s="1561"/>
      <c r="K43" s="1561"/>
      <c r="L43" s="1561"/>
      <c r="M43" s="1561"/>
      <c r="N43" s="1561"/>
      <c r="O43" s="1561"/>
      <c r="P43" s="1561"/>
      <c r="Q43" s="1561"/>
      <c r="R43" s="1561"/>
      <c r="S43" s="1561"/>
      <c r="T43" s="1561"/>
      <c r="U43" s="1561"/>
      <c r="V43" s="1561"/>
      <c r="W43" s="1561"/>
      <c r="X43" s="1561"/>
      <c r="Y43" s="1561"/>
      <c r="Z43" s="1561"/>
      <c r="AA43" s="1561"/>
      <c r="AB43" s="1561"/>
      <c r="AC43" s="1561"/>
      <c r="AD43" s="1561"/>
      <c r="AE43" s="1561"/>
      <c r="AF43" s="1561"/>
      <c r="AG43" s="1561"/>
      <c r="AH43" s="1561"/>
      <c r="AI43" s="1561"/>
      <c r="AJ43" s="1561"/>
      <c r="AK43" s="1561"/>
      <c r="AL43" s="1561"/>
      <c r="AM43" s="1561"/>
      <c r="AN43" s="1561"/>
      <c r="AO43" s="1561"/>
      <c r="AP43" s="1561"/>
      <c r="AQ43" s="1561"/>
      <c r="AR43" s="1561"/>
      <c r="AS43" s="1562">
        <v>73820223</v>
      </c>
      <c r="AT43" s="1561"/>
      <c r="AU43" s="1561"/>
      <c r="AV43" s="1561"/>
      <c r="AW43" s="1561"/>
      <c r="AX43" s="1561"/>
      <c r="AY43" s="1561"/>
      <c r="AZ43" s="1561"/>
      <c r="BA43" s="1561"/>
      <c r="BB43" s="1561"/>
      <c r="BC43" s="1561"/>
      <c r="BD43" s="1561"/>
      <c r="BE43" s="1561"/>
      <c r="BF43" s="1561"/>
      <c r="BG43" s="1561"/>
      <c r="BH43" s="1561"/>
      <c r="BI43" s="1561"/>
      <c r="BJ43" s="1561"/>
      <c r="BK43" s="1561"/>
      <c r="BL43" s="1561"/>
      <c r="BM43" s="1561"/>
      <c r="BN43" s="1561"/>
      <c r="BO43" s="1561"/>
      <c r="BP43" s="1561"/>
      <c r="BQ43" s="1561"/>
      <c r="BR43" s="1561"/>
      <c r="BS43" s="1561"/>
      <c r="BT43" s="1561"/>
      <c r="BU43" s="1561"/>
      <c r="BV43" s="1561"/>
      <c r="BW43" s="1561"/>
      <c r="BX43" s="1561"/>
      <c r="BY43" s="1561"/>
      <c r="BZ43" s="1561"/>
      <c r="CA43" s="1561"/>
      <c r="CB43" s="1561"/>
      <c r="CC43" s="1561"/>
      <c r="CD43" s="1561"/>
      <c r="CE43" s="1561"/>
      <c r="CF43" s="1561"/>
      <c r="CG43" s="1561"/>
      <c r="CH43" s="1561"/>
      <c r="CI43" s="1561"/>
      <c r="CJ43" s="1561"/>
      <c r="CK43" s="1561"/>
      <c r="CL43" s="1561"/>
      <c r="CM43" s="1561"/>
      <c r="CN43" s="1561"/>
      <c r="CO43" s="1561"/>
      <c r="CP43" s="1561"/>
      <c r="CQ43" s="1561"/>
      <c r="CR43" s="1561"/>
      <c r="CS43" s="1561"/>
      <c r="CT43" s="1561"/>
      <c r="CU43" s="1561"/>
      <c r="CV43" s="1561"/>
      <c r="CW43" s="1561"/>
      <c r="CX43" s="1561"/>
      <c r="CY43" s="1561"/>
      <c r="CZ43" s="1561"/>
      <c r="DA43" s="1561"/>
      <c r="DB43" s="1561"/>
      <c r="DC43" s="1561"/>
      <c r="DD43" s="1561"/>
      <c r="DE43" s="1561"/>
      <c r="DF43" s="1561"/>
      <c r="DG43" s="1561"/>
      <c r="DH43" s="1561"/>
      <c r="DI43" s="1561"/>
      <c r="DJ43" s="1561"/>
      <c r="DK43" s="1561"/>
      <c r="DL43" s="1561"/>
      <c r="DM43" s="1561"/>
      <c r="DN43" s="1561"/>
      <c r="DO43" s="1561"/>
      <c r="DP43" s="1562">
        <v>93820183</v>
      </c>
      <c r="DQ43" s="1561"/>
      <c r="DR43" s="1561"/>
      <c r="DS43" s="1561"/>
      <c r="DT43" s="1562">
        <v>93820183</v>
      </c>
      <c r="DU43" s="1561"/>
      <c r="DV43" s="1561"/>
      <c r="DW43" s="1561"/>
      <c r="DX43" s="1561"/>
      <c r="DY43" s="1561"/>
      <c r="DZ43" s="1561"/>
      <c r="EA43" s="1561"/>
      <c r="EB43" s="1561"/>
      <c r="EC43" s="1561"/>
      <c r="ED43" s="1561"/>
      <c r="EE43" s="1562">
        <v>39201839</v>
      </c>
      <c r="EF43" s="1561"/>
      <c r="EG43" s="2423"/>
      <c r="EH43" s="1562">
        <v>48499112</v>
      </c>
      <c r="EI43" s="1561"/>
      <c r="EJ43" s="1561"/>
      <c r="EK43" s="1561"/>
      <c r="EL43" s="1561"/>
      <c r="EM43" s="1561"/>
      <c r="EN43" s="1561"/>
      <c r="EO43" s="1561"/>
      <c r="EP43" s="1561"/>
      <c r="EQ43" s="1561"/>
      <c r="ER43" s="1561"/>
      <c r="ES43" s="1561"/>
      <c r="ET43" s="1561"/>
      <c r="EU43" s="1561"/>
      <c r="EV43" s="1561"/>
      <c r="EW43" s="1561"/>
      <c r="EX43" s="1561"/>
      <c r="EY43" s="1561"/>
      <c r="EZ43" s="1561"/>
      <c r="FA43" s="1561"/>
      <c r="FB43" s="1561"/>
      <c r="FC43" s="1561"/>
      <c r="FD43" s="1561"/>
      <c r="FE43" s="1561"/>
      <c r="FF43" s="1561"/>
      <c r="FG43" s="1561"/>
      <c r="FH43" s="1561"/>
      <c r="FI43" s="1561"/>
      <c r="FJ43" s="1561"/>
      <c r="FK43" s="1561"/>
      <c r="FL43" s="2423"/>
      <c r="FM43" s="2423"/>
      <c r="FN43" s="2423"/>
      <c r="FO43" s="2423"/>
      <c r="FP43" s="2423"/>
      <c r="FQ43" s="2423"/>
      <c r="FR43" s="2423"/>
      <c r="FS43" s="1561"/>
      <c r="FT43" s="1561"/>
      <c r="FU43" s="1561"/>
      <c r="FV43" s="1561"/>
      <c r="FW43" s="1561"/>
      <c r="FX43" s="1561"/>
      <c r="FY43" s="1561"/>
      <c r="FZ43" s="1561"/>
      <c r="GA43" s="1561"/>
      <c r="GB43" s="1561"/>
      <c r="GC43" s="1561"/>
      <c r="GD43" s="1561"/>
      <c r="GE43" s="1561"/>
      <c r="GF43" s="1561"/>
      <c r="GG43" s="1561"/>
      <c r="GH43" s="1561"/>
      <c r="GI43" s="1561"/>
      <c r="GJ43" s="1561"/>
      <c r="GK43" s="1561"/>
      <c r="GL43" s="1561"/>
      <c r="GM43" s="1561"/>
      <c r="GN43" s="1561"/>
      <c r="GO43" s="1561"/>
      <c r="GP43" s="1561"/>
      <c r="GQ43" s="1561"/>
      <c r="GR43" s="1561"/>
      <c r="GS43" s="1561"/>
      <c r="GT43" s="1561"/>
      <c r="GU43" s="1561"/>
      <c r="GV43" s="1561"/>
      <c r="GW43" s="1561"/>
      <c r="GX43" s="1561"/>
      <c r="GY43" s="1561"/>
      <c r="GZ43" s="1561"/>
      <c r="HA43" s="1561"/>
      <c r="HB43" s="1561"/>
      <c r="HC43" s="1561"/>
      <c r="HD43" s="1561"/>
      <c r="HE43" s="1561"/>
      <c r="HF43" s="1561"/>
      <c r="HG43" s="1561"/>
      <c r="HH43" s="1561"/>
      <c r="HI43" s="1561"/>
      <c r="HJ43" s="1561"/>
      <c r="HK43" s="1561"/>
      <c r="HL43" s="1561"/>
      <c r="HM43" s="1561"/>
      <c r="HN43" s="1561"/>
      <c r="HO43" s="1561"/>
      <c r="HP43" s="1561"/>
      <c r="HQ43" s="1561"/>
      <c r="HR43" s="1561"/>
      <c r="HS43" s="1561"/>
      <c r="HT43" s="1561"/>
      <c r="HU43" s="1561"/>
      <c r="HV43" s="1561"/>
      <c r="HW43" s="1561"/>
      <c r="HX43" s="1561"/>
      <c r="HY43" s="1561"/>
      <c r="HZ43" s="1561"/>
      <c r="IA43" s="1561"/>
      <c r="IB43" s="1561"/>
      <c r="IC43" s="1561"/>
      <c r="ID43" s="1561"/>
      <c r="IE43" s="1561"/>
      <c r="IF43" s="1561"/>
      <c r="IG43" s="1561"/>
      <c r="IH43" s="1561"/>
      <c r="II43" s="1561"/>
      <c r="IJ43" s="1561"/>
      <c r="IK43" s="1561"/>
      <c r="IL43" s="1561"/>
      <c r="IM43" s="1561"/>
      <c r="IN43" s="1561"/>
      <c r="IO43" s="1561"/>
      <c r="IP43" s="1561"/>
      <c r="IQ43" s="1561"/>
      <c r="IR43" s="1561"/>
      <c r="IS43" s="1561"/>
      <c r="IT43" s="1561"/>
      <c r="IU43" s="1561"/>
      <c r="IV43" s="1561"/>
      <c r="IW43" s="1561"/>
      <c r="IX43" s="1561"/>
      <c r="IY43" s="1561"/>
      <c r="IZ43" s="1561"/>
      <c r="JA43" s="1561"/>
      <c r="JB43" s="1561"/>
      <c r="JC43" s="1561"/>
      <c r="JD43" s="1561"/>
      <c r="JE43" s="1561"/>
      <c r="JF43" s="1561"/>
      <c r="JG43" s="1561"/>
      <c r="JH43" s="1561"/>
      <c r="JI43" s="1561"/>
      <c r="JJ43" s="1561"/>
      <c r="JK43" s="2423"/>
      <c r="JL43" s="2423"/>
      <c r="JM43" s="2423"/>
      <c r="JN43" s="2423"/>
      <c r="JO43" s="2423"/>
      <c r="JP43" s="2423"/>
      <c r="JQ43" s="2429"/>
      <c r="JR43" s="351"/>
      <c r="JS43" s="1470"/>
      <c r="JT43" s="450"/>
    </row>
    <row r="44" spans="1:280" ht="12.5" x14ac:dyDescent="0.25">
      <c r="A44" s="1367">
        <v>14</v>
      </c>
      <c r="B44" s="1471" t="str">
        <f t="shared" si="3"/>
        <v/>
      </c>
      <c r="C44" s="2533" t="s">
        <v>2740</v>
      </c>
      <c r="D44" s="1468" t="s">
        <v>2741</v>
      </c>
      <c r="E44" s="1381"/>
      <c r="F44" s="1381"/>
      <c r="G44" s="1381"/>
      <c r="H44" s="1381"/>
      <c r="I44" s="1381"/>
      <c r="J44" s="1381"/>
      <c r="K44" s="1381"/>
      <c r="L44" s="1381"/>
      <c r="M44" s="1381"/>
      <c r="N44" s="1381"/>
      <c r="O44" s="1381"/>
      <c r="P44" s="1381"/>
      <c r="Q44" s="1381"/>
      <c r="R44" s="1381"/>
      <c r="S44" s="1381"/>
      <c r="T44" s="1381"/>
      <c r="U44" s="1381"/>
      <c r="V44" s="1381"/>
      <c r="W44" s="1381"/>
      <c r="X44" s="1381"/>
      <c r="Y44" s="1381"/>
      <c r="Z44" s="1381"/>
      <c r="AA44" s="1381"/>
      <c r="AB44" s="1381"/>
      <c r="AC44" s="1381"/>
      <c r="AD44" s="1381"/>
      <c r="AE44" s="1381"/>
      <c r="AF44" s="1381"/>
      <c r="AG44" s="1381"/>
      <c r="AH44" s="1381"/>
      <c r="AI44" s="1381"/>
      <c r="AJ44" s="1381"/>
      <c r="AK44" s="1381"/>
      <c r="AL44" s="1381"/>
      <c r="AM44" s="1381"/>
      <c r="AN44" s="1381"/>
      <c r="AO44" s="1381"/>
      <c r="AP44" s="1381"/>
      <c r="AQ44" s="1381"/>
      <c r="AR44" s="1381"/>
      <c r="AS44" s="1382">
        <v>0</v>
      </c>
      <c r="AT44" s="1381"/>
      <c r="AU44" s="1381"/>
      <c r="AV44" s="1381"/>
      <c r="AW44" s="1381"/>
      <c r="AX44" s="1381"/>
      <c r="AY44" s="1381"/>
      <c r="AZ44" s="1381"/>
      <c r="BA44" s="1381"/>
      <c r="BB44" s="1381"/>
      <c r="BC44" s="1381"/>
      <c r="BD44" s="1381"/>
      <c r="BE44" s="1381"/>
      <c r="BF44" s="1381"/>
      <c r="BG44" s="1381"/>
      <c r="BH44" s="1381"/>
      <c r="BI44" s="1381"/>
      <c r="BJ44" s="1381"/>
      <c r="BK44" s="1381"/>
      <c r="BL44" s="1381"/>
      <c r="BM44" s="1381"/>
      <c r="BN44" s="1381"/>
      <c r="BO44" s="1381"/>
      <c r="BP44" s="1381"/>
      <c r="BQ44" s="1381"/>
      <c r="BR44" s="1381"/>
      <c r="BS44" s="1381"/>
      <c r="BT44" s="1381"/>
      <c r="BU44" s="1381"/>
      <c r="BV44" s="1381"/>
      <c r="BW44" s="1381"/>
      <c r="BX44" s="1381"/>
      <c r="BY44" s="1381"/>
      <c r="BZ44" s="1381"/>
      <c r="CA44" s="1381"/>
      <c r="CB44" s="1381"/>
      <c r="CC44" s="1381"/>
      <c r="CD44" s="1381"/>
      <c r="CE44" s="1381"/>
      <c r="CF44" s="1381"/>
      <c r="CG44" s="1381"/>
      <c r="CH44" s="1381"/>
      <c r="CI44" s="1381"/>
      <c r="CJ44" s="1381"/>
      <c r="CK44" s="1381"/>
      <c r="CL44" s="1381"/>
      <c r="CM44" s="1381"/>
      <c r="CN44" s="1381"/>
      <c r="CO44" s="1381"/>
      <c r="CP44" s="1381"/>
      <c r="CQ44" s="1381"/>
      <c r="CR44" s="1381"/>
      <c r="CS44" s="1381"/>
      <c r="CT44" s="1381"/>
      <c r="CU44" s="1381"/>
      <c r="CV44" s="1381"/>
      <c r="CW44" s="1381"/>
      <c r="CX44" s="1381"/>
      <c r="CY44" s="1381"/>
      <c r="CZ44" s="1381"/>
      <c r="DA44" s="1381"/>
      <c r="DB44" s="1381"/>
      <c r="DC44" s="1381"/>
      <c r="DD44" s="1381"/>
      <c r="DE44" s="1381"/>
      <c r="DF44" s="1381"/>
      <c r="DG44" s="1381"/>
      <c r="DH44" s="1381"/>
      <c r="DI44" s="1381"/>
      <c r="DJ44" s="1381"/>
      <c r="DK44" s="1381"/>
      <c r="DL44" s="1381"/>
      <c r="DM44" s="1381"/>
      <c r="DN44" s="1381"/>
      <c r="DO44" s="1381"/>
      <c r="DP44" s="1382">
        <v>12750</v>
      </c>
      <c r="DQ44" s="1381"/>
      <c r="DR44" s="1381"/>
      <c r="DS44" s="1381"/>
      <c r="DT44" s="1382">
        <v>12750</v>
      </c>
      <c r="DU44" s="1381"/>
      <c r="DV44" s="1381"/>
      <c r="DW44" s="1381"/>
      <c r="DX44" s="1381"/>
      <c r="DY44" s="1381"/>
      <c r="DZ44" s="1381"/>
      <c r="EA44" s="1381"/>
      <c r="EB44" s="1381"/>
      <c r="EC44" s="1381"/>
      <c r="ED44" s="1381"/>
      <c r="EE44" s="1382">
        <v>4288</v>
      </c>
      <c r="EF44" s="1381"/>
      <c r="EG44" s="1414"/>
      <c r="EH44" s="1382">
        <v>1385</v>
      </c>
      <c r="EI44" s="1381"/>
      <c r="EJ44" s="1381"/>
      <c r="EK44" s="1381"/>
      <c r="EL44" s="1381"/>
      <c r="EM44" s="1381"/>
      <c r="EN44" s="1381"/>
      <c r="EO44" s="1381"/>
      <c r="EP44" s="1381"/>
      <c r="EQ44" s="1381"/>
      <c r="ER44" s="1381"/>
      <c r="ES44" s="1381"/>
      <c r="ET44" s="1381"/>
      <c r="EU44" s="1381"/>
      <c r="EV44" s="1381"/>
      <c r="EW44" s="1381"/>
      <c r="EX44" s="1381"/>
      <c r="EY44" s="1381"/>
      <c r="EZ44" s="1381"/>
      <c r="FA44" s="1381"/>
      <c r="FB44" s="1381"/>
      <c r="FC44" s="1381"/>
      <c r="FD44" s="1381"/>
      <c r="FE44" s="1381"/>
      <c r="FF44" s="1381"/>
      <c r="FG44" s="1381"/>
      <c r="FH44" s="1381"/>
      <c r="FI44" s="1381"/>
      <c r="FJ44" s="1381"/>
      <c r="FK44" s="1381"/>
      <c r="FL44" s="1414"/>
      <c r="FM44" s="1414"/>
      <c r="FN44" s="1414"/>
      <c r="FO44" s="1414"/>
      <c r="FP44" s="1414"/>
      <c r="FQ44" s="1414"/>
      <c r="FR44" s="1414"/>
      <c r="FS44" s="1381"/>
      <c r="FT44" s="1381"/>
      <c r="FU44" s="1381"/>
      <c r="FV44" s="1381"/>
      <c r="FW44" s="1381"/>
      <c r="FX44" s="1381"/>
      <c r="FY44" s="1381"/>
      <c r="FZ44" s="1381"/>
      <c r="GA44" s="1381"/>
      <c r="GB44" s="1381"/>
      <c r="GC44" s="1381"/>
      <c r="GD44" s="1381"/>
      <c r="GE44" s="1381"/>
      <c r="GF44" s="1414"/>
      <c r="GG44" s="1381"/>
      <c r="GH44" s="1381"/>
      <c r="GI44" s="1381"/>
      <c r="GJ44" s="1381"/>
      <c r="GK44" s="1381"/>
      <c r="GL44" s="1381"/>
      <c r="GM44" s="1381"/>
      <c r="GN44" s="1381"/>
      <c r="GO44" s="1381"/>
      <c r="GP44" s="1381"/>
      <c r="GQ44" s="1381"/>
      <c r="GR44" s="1381"/>
      <c r="GS44" s="1381"/>
      <c r="GT44" s="1381"/>
      <c r="GU44" s="1381"/>
      <c r="GV44" s="1381"/>
      <c r="GW44" s="1381"/>
      <c r="GX44" s="1381"/>
      <c r="GY44" s="1381"/>
      <c r="GZ44" s="1381"/>
      <c r="HA44" s="1381"/>
      <c r="HB44" s="1381"/>
      <c r="HC44" s="1381"/>
      <c r="HD44" s="1381"/>
      <c r="HE44" s="1381"/>
      <c r="HF44" s="1381"/>
      <c r="HG44" s="1381"/>
      <c r="HH44" s="1381"/>
      <c r="HI44" s="1381"/>
      <c r="HJ44" s="1381"/>
      <c r="HK44" s="1381"/>
      <c r="HL44" s="1381"/>
      <c r="HM44" s="1381"/>
      <c r="HN44" s="1381"/>
      <c r="HO44" s="1381"/>
      <c r="HP44" s="1381"/>
      <c r="HQ44" s="1381"/>
      <c r="HR44" s="1381"/>
      <c r="HS44" s="1381"/>
      <c r="HT44" s="1381"/>
      <c r="HU44" s="1381"/>
      <c r="HV44" s="1381"/>
      <c r="HW44" s="1381"/>
      <c r="HX44" s="1381"/>
      <c r="HY44" s="1381"/>
      <c r="HZ44" s="1381"/>
      <c r="IA44" s="1381"/>
      <c r="IB44" s="1381"/>
      <c r="IC44" s="1381"/>
      <c r="ID44" s="1381"/>
      <c r="IE44" s="1381"/>
      <c r="IF44" s="1381"/>
      <c r="IG44" s="1381"/>
      <c r="IH44" s="1381"/>
      <c r="II44" s="1381"/>
      <c r="IJ44" s="1381"/>
      <c r="IK44" s="1381"/>
      <c r="IL44" s="1381"/>
      <c r="IM44" s="1381"/>
      <c r="IN44" s="1381"/>
      <c r="IO44" s="1381"/>
      <c r="IP44" s="1381"/>
      <c r="IQ44" s="1381"/>
      <c r="IR44" s="1381"/>
      <c r="IS44" s="1381"/>
      <c r="IT44" s="1381"/>
      <c r="IU44" s="1381"/>
      <c r="IV44" s="1381"/>
      <c r="IW44" s="1381"/>
      <c r="IX44" s="1381"/>
      <c r="IY44" s="1381"/>
      <c r="IZ44" s="1381"/>
      <c r="JA44" s="1381"/>
      <c r="JB44" s="1381"/>
      <c r="JC44" s="1381"/>
      <c r="JD44" s="1381"/>
      <c r="JE44" s="1381"/>
      <c r="JF44" s="1381"/>
      <c r="JG44" s="1381"/>
      <c r="JH44" s="1381"/>
      <c r="JI44" s="1381"/>
      <c r="JJ44" s="1381"/>
      <c r="JK44" s="1414"/>
      <c r="JL44" s="1414"/>
      <c r="JM44" s="1414"/>
      <c r="JN44" s="1414"/>
      <c r="JO44" s="1414"/>
      <c r="JP44" s="1414"/>
      <c r="JQ44" s="1466"/>
      <c r="JR44" s="351"/>
      <c r="JS44" s="1470"/>
      <c r="JT44" s="450"/>
    </row>
    <row r="45" spans="1:280" ht="12.5" x14ac:dyDescent="0.25">
      <c r="A45" s="1367">
        <v>15</v>
      </c>
      <c r="B45" s="1677" t="str">
        <f t="shared" si="3"/>
        <v/>
      </c>
      <c r="C45" s="2533" t="s">
        <v>2742</v>
      </c>
      <c r="D45" s="1468" t="s">
        <v>2743</v>
      </c>
      <c r="E45" s="1561"/>
      <c r="F45" s="1561"/>
      <c r="G45" s="1561"/>
      <c r="H45" s="1561"/>
      <c r="I45" s="1561"/>
      <c r="J45" s="1561"/>
      <c r="K45" s="1561"/>
      <c r="L45" s="1561"/>
      <c r="M45" s="1561"/>
      <c r="N45" s="1561"/>
      <c r="O45" s="1561"/>
      <c r="P45" s="1561"/>
      <c r="Q45" s="1561"/>
      <c r="R45" s="1561"/>
      <c r="S45" s="1561"/>
      <c r="T45" s="1561"/>
      <c r="U45" s="1561"/>
      <c r="V45" s="1561"/>
      <c r="W45" s="1561"/>
      <c r="X45" s="1561"/>
      <c r="Y45" s="1561"/>
      <c r="Z45" s="1561"/>
      <c r="AA45" s="1561"/>
      <c r="AB45" s="1561"/>
      <c r="AC45" s="1561"/>
      <c r="AD45" s="1561"/>
      <c r="AE45" s="1561"/>
      <c r="AF45" s="1561"/>
      <c r="AG45" s="1561"/>
      <c r="AH45" s="1561"/>
      <c r="AI45" s="1561"/>
      <c r="AJ45" s="1561"/>
      <c r="AK45" s="1561"/>
      <c r="AL45" s="1561"/>
      <c r="AM45" s="1561"/>
      <c r="AN45" s="1561"/>
      <c r="AO45" s="1561"/>
      <c r="AP45" s="1561"/>
      <c r="AQ45" s="1561"/>
      <c r="AR45" s="1561"/>
      <c r="AS45" s="1562">
        <v>43</v>
      </c>
      <c r="AT45" s="1561"/>
      <c r="AU45" s="1561"/>
      <c r="AV45" s="1561"/>
      <c r="AW45" s="1561"/>
      <c r="AX45" s="1561"/>
      <c r="AY45" s="1561"/>
      <c r="AZ45" s="1561"/>
      <c r="BA45" s="1561"/>
      <c r="BB45" s="1561"/>
      <c r="BC45" s="1561"/>
      <c r="BD45" s="1561"/>
      <c r="BE45" s="1561"/>
      <c r="BF45" s="1561"/>
      <c r="BG45" s="1561"/>
      <c r="BH45" s="1561"/>
      <c r="BI45" s="1561"/>
      <c r="BJ45" s="1561"/>
      <c r="BK45" s="1561"/>
      <c r="BL45" s="1561"/>
      <c r="BM45" s="1561"/>
      <c r="BN45" s="1561"/>
      <c r="BO45" s="1561"/>
      <c r="BP45" s="1561"/>
      <c r="BQ45" s="1561"/>
      <c r="BR45" s="1561"/>
      <c r="BS45" s="1561"/>
      <c r="BT45" s="1561"/>
      <c r="BU45" s="1561"/>
      <c r="BV45" s="1561"/>
      <c r="BW45" s="1561"/>
      <c r="BX45" s="1561"/>
      <c r="BY45" s="1561"/>
      <c r="BZ45" s="1561"/>
      <c r="CA45" s="1561"/>
      <c r="CB45" s="1561"/>
      <c r="CC45" s="1561"/>
      <c r="CD45" s="1561"/>
      <c r="CE45" s="1561"/>
      <c r="CF45" s="1561"/>
      <c r="CG45" s="1561"/>
      <c r="CH45" s="1561"/>
      <c r="CI45" s="1561"/>
      <c r="CJ45" s="1561"/>
      <c r="CK45" s="1561"/>
      <c r="CL45" s="1561"/>
      <c r="CM45" s="1561"/>
      <c r="CN45" s="1561"/>
      <c r="CO45" s="1561"/>
      <c r="CP45" s="1561"/>
      <c r="CQ45" s="1561"/>
      <c r="CR45" s="1561"/>
      <c r="CS45" s="1561"/>
      <c r="CT45" s="1561"/>
      <c r="CU45" s="1561"/>
      <c r="CV45" s="1561"/>
      <c r="CW45" s="1561"/>
      <c r="CX45" s="1561"/>
      <c r="CY45" s="1561"/>
      <c r="CZ45" s="1561"/>
      <c r="DA45" s="1561"/>
      <c r="DB45" s="1561"/>
      <c r="DC45" s="1561"/>
      <c r="DD45" s="1561"/>
      <c r="DE45" s="1561"/>
      <c r="DF45" s="1561"/>
      <c r="DG45" s="1561"/>
      <c r="DH45" s="1561"/>
      <c r="DI45" s="1561"/>
      <c r="DJ45" s="1561"/>
      <c r="DK45" s="1561"/>
      <c r="DL45" s="1561"/>
      <c r="DM45" s="1561"/>
      <c r="DN45" s="1561"/>
      <c r="DO45" s="1561"/>
      <c r="DP45" s="1562">
        <v>50</v>
      </c>
      <c r="DQ45" s="1561"/>
      <c r="DR45" s="1561"/>
      <c r="DS45" s="1561"/>
      <c r="DT45" s="1562">
        <v>50</v>
      </c>
      <c r="DU45" s="1561"/>
      <c r="DV45" s="1561"/>
      <c r="DW45" s="1561"/>
      <c r="DX45" s="1561"/>
      <c r="DY45" s="1561"/>
      <c r="DZ45" s="1561"/>
      <c r="EA45" s="1561"/>
      <c r="EB45" s="1561"/>
      <c r="EC45" s="1561"/>
      <c r="ED45" s="1561"/>
      <c r="EE45" s="1562">
        <v>100</v>
      </c>
      <c r="EF45" s="1561"/>
      <c r="EG45" s="2423"/>
      <c r="EH45" s="1562">
        <v>1</v>
      </c>
      <c r="EI45" s="1561"/>
      <c r="EJ45" s="1561"/>
      <c r="EK45" s="1561"/>
      <c r="EL45" s="1561"/>
      <c r="EM45" s="1561"/>
      <c r="EN45" s="1561"/>
      <c r="EO45" s="1561"/>
      <c r="EP45" s="1561"/>
      <c r="EQ45" s="1561"/>
      <c r="ER45" s="1561"/>
      <c r="ES45" s="1561"/>
      <c r="ET45" s="1561"/>
      <c r="EU45" s="1561"/>
      <c r="EV45" s="1561"/>
      <c r="EW45" s="1561"/>
      <c r="EX45" s="1561"/>
      <c r="EY45" s="1561"/>
      <c r="EZ45" s="1561"/>
      <c r="FA45" s="1561"/>
      <c r="FB45" s="1561"/>
      <c r="FC45" s="1561"/>
      <c r="FD45" s="1561"/>
      <c r="FE45" s="1561"/>
      <c r="FF45" s="1561"/>
      <c r="FG45" s="1561"/>
      <c r="FH45" s="1561"/>
      <c r="FI45" s="1561"/>
      <c r="FJ45" s="1561"/>
      <c r="FK45" s="1561"/>
      <c r="FL45" s="2423"/>
      <c r="FM45" s="2423"/>
      <c r="FN45" s="2423"/>
      <c r="FO45" s="2423"/>
      <c r="FP45" s="2423"/>
      <c r="FQ45" s="2423"/>
      <c r="FR45" s="2423"/>
      <c r="FS45" s="1561"/>
      <c r="FT45" s="1561"/>
      <c r="FU45" s="1561"/>
      <c r="FV45" s="1561"/>
      <c r="FW45" s="1561"/>
      <c r="FX45" s="1561"/>
      <c r="FY45" s="1561"/>
      <c r="FZ45" s="1561"/>
      <c r="GA45" s="1561"/>
      <c r="GB45" s="1561"/>
      <c r="GC45" s="1561"/>
      <c r="GD45" s="1561"/>
      <c r="GE45" s="1561"/>
      <c r="GF45" s="1561"/>
      <c r="GG45" s="1561"/>
      <c r="GH45" s="1561"/>
      <c r="GI45" s="1561"/>
      <c r="GJ45" s="1561"/>
      <c r="GK45" s="1561"/>
      <c r="GL45" s="1561"/>
      <c r="GM45" s="1561"/>
      <c r="GN45" s="1561"/>
      <c r="GO45" s="1561"/>
      <c r="GP45" s="1561"/>
      <c r="GQ45" s="1561"/>
      <c r="GR45" s="1561"/>
      <c r="GS45" s="1561"/>
      <c r="GT45" s="1561"/>
      <c r="GU45" s="1561"/>
      <c r="GV45" s="1561"/>
      <c r="GW45" s="1561"/>
      <c r="GX45" s="1561"/>
      <c r="GY45" s="1561"/>
      <c r="GZ45" s="1561"/>
      <c r="HA45" s="1561"/>
      <c r="HB45" s="1561"/>
      <c r="HC45" s="1561"/>
      <c r="HD45" s="1561"/>
      <c r="HE45" s="1561"/>
      <c r="HF45" s="1561"/>
      <c r="HG45" s="1561"/>
      <c r="HH45" s="1561"/>
      <c r="HI45" s="1561"/>
      <c r="HJ45" s="1561"/>
      <c r="HK45" s="1561"/>
      <c r="HL45" s="1561"/>
      <c r="HM45" s="1561"/>
      <c r="HN45" s="1561"/>
      <c r="HO45" s="1561"/>
      <c r="HP45" s="1561"/>
      <c r="HQ45" s="1561"/>
      <c r="HR45" s="1561"/>
      <c r="HS45" s="1561"/>
      <c r="HT45" s="1561"/>
      <c r="HU45" s="1561"/>
      <c r="HV45" s="1561"/>
      <c r="HW45" s="1561"/>
      <c r="HX45" s="1561"/>
      <c r="HY45" s="1561"/>
      <c r="HZ45" s="1561"/>
      <c r="IA45" s="1561"/>
      <c r="IB45" s="1561"/>
      <c r="IC45" s="1561"/>
      <c r="ID45" s="1561"/>
      <c r="IE45" s="1561"/>
      <c r="IF45" s="1561"/>
      <c r="IG45" s="1561"/>
      <c r="IH45" s="1561"/>
      <c r="II45" s="1561"/>
      <c r="IJ45" s="1561"/>
      <c r="IK45" s="1561"/>
      <c r="IL45" s="1561"/>
      <c r="IM45" s="1561"/>
      <c r="IN45" s="1561"/>
      <c r="IO45" s="1561"/>
      <c r="IP45" s="1561"/>
      <c r="IQ45" s="1561"/>
      <c r="IR45" s="1561"/>
      <c r="IS45" s="1561"/>
      <c r="IT45" s="1561"/>
      <c r="IU45" s="1561"/>
      <c r="IV45" s="1561"/>
      <c r="IW45" s="1561"/>
      <c r="IX45" s="1561"/>
      <c r="IY45" s="1561"/>
      <c r="IZ45" s="1561"/>
      <c r="JA45" s="1561"/>
      <c r="JB45" s="1561"/>
      <c r="JC45" s="1561"/>
      <c r="JD45" s="1561"/>
      <c r="JE45" s="1561"/>
      <c r="JF45" s="1561"/>
      <c r="JG45" s="1561"/>
      <c r="JH45" s="1561"/>
      <c r="JI45" s="1561"/>
      <c r="JJ45" s="1561"/>
      <c r="JK45" s="2423"/>
      <c r="JL45" s="2423"/>
      <c r="JM45" s="2423"/>
      <c r="JN45" s="2423"/>
      <c r="JO45" s="2423"/>
      <c r="JP45" s="2423"/>
      <c r="JQ45" s="2429"/>
      <c r="JR45" s="351"/>
      <c r="JS45" s="1470"/>
      <c r="JT45" s="450"/>
    </row>
    <row r="46" spans="1:280" ht="12.5" x14ac:dyDescent="0.25">
      <c r="A46" s="1367">
        <v>16</v>
      </c>
      <c r="B46" s="1471" t="str">
        <f t="shared" si="3"/>
        <v/>
      </c>
      <c r="C46" s="1435" t="s">
        <v>2744</v>
      </c>
      <c r="D46" s="1436" t="s">
        <v>2745</v>
      </c>
      <c r="E46" s="1381"/>
      <c r="F46" s="1381"/>
      <c r="G46" s="1381"/>
      <c r="H46" s="1381"/>
      <c r="I46" s="1381"/>
      <c r="J46" s="1381"/>
      <c r="K46" s="1381"/>
      <c r="L46" s="1381"/>
      <c r="M46" s="1381"/>
      <c r="N46" s="1381"/>
      <c r="O46" s="1381"/>
      <c r="P46" s="1381"/>
      <c r="Q46" s="1381"/>
      <c r="R46" s="1381"/>
      <c r="S46" s="1381"/>
      <c r="T46" s="1381"/>
      <c r="U46" s="1381"/>
      <c r="V46" s="1381"/>
      <c r="W46" s="1381"/>
      <c r="X46" s="1381"/>
      <c r="Y46" s="1381"/>
      <c r="Z46" s="1381"/>
      <c r="AA46" s="1381"/>
      <c r="AB46" s="1381"/>
      <c r="AC46" s="1381"/>
      <c r="AD46" s="1381"/>
      <c r="AE46" s="1381"/>
      <c r="AF46" s="1381"/>
      <c r="AG46" s="1381"/>
      <c r="AH46" s="1381"/>
      <c r="AI46" s="1381"/>
      <c r="AJ46" s="1381"/>
      <c r="AK46" s="1457"/>
      <c r="AL46" s="1381"/>
      <c r="AM46" s="1381"/>
      <c r="AN46" s="1381"/>
      <c r="AO46" s="1381"/>
      <c r="AP46" s="1457"/>
      <c r="AQ46" s="1457"/>
      <c r="AR46" s="1381"/>
      <c r="AS46" s="1381"/>
      <c r="AT46" s="1457"/>
      <c r="AU46" s="1381"/>
      <c r="AV46" s="1381"/>
      <c r="AW46" s="1457"/>
      <c r="AX46" s="1381"/>
      <c r="AY46" s="1381"/>
      <c r="AZ46" s="1381"/>
      <c r="BA46" s="1381"/>
      <c r="BB46" s="1381"/>
      <c r="BC46" s="1381"/>
      <c r="BD46" s="1381"/>
      <c r="BE46" s="1381"/>
      <c r="BF46" s="1381"/>
      <c r="BG46" s="1381"/>
      <c r="BH46" s="1381"/>
      <c r="BI46" s="1381"/>
      <c r="BJ46" s="1381"/>
      <c r="BK46" s="1381"/>
      <c r="BL46" s="1381"/>
      <c r="BM46" s="1381"/>
      <c r="BN46" s="1381"/>
      <c r="BO46" s="1381"/>
      <c r="BP46" s="1381"/>
      <c r="BQ46" s="1381"/>
      <c r="BR46" s="1381"/>
      <c r="BS46" s="1381"/>
      <c r="BT46" s="1381"/>
      <c r="BU46" s="1381"/>
      <c r="BV46" s="1381"/>
      <c r="BW46" s="1381"/>
      <c r="BX46" s="1381"/>
      <c r="BY46" s="1381"/>
      <c r="BZ46" s="1381"/>
      <c r="CA46" s="1381"/>
      <c r="CB46" s="1452"/>
      <c r="CC46" s="1452"/>
      <c r="CD46" s="1452"/>
      <c r="CE46" s="1457"/>
      <c r="CF46" s="1414"/>
      <c r="CG46" s="1414"/>
      <c r="CH46" s="1414"/>
      <c r="CI46" s="1414"/>
      <c r="CJ46" s="1414"/>
      <c r="CK46" s="1414"/>
      <c r="CL46" s="1414"/>
      <c r="CM46" s="1414"/>
      <c r="CN46" s="1381"/>
      <c r="CO46" s="1414"/>
      <c r="CP46" s="1414"/>
      <c r="CQ46" s="1414"/>
      <c r="CR46" s="1414"/>
      <c r="CS46" s="1414"/>
      <c r="CT46" s="1414"/>
      <c r="CU46" s="1414"/>
      <c r="CV46" s="1414"/>
      <c r="CW46" s="1414"/>
      <c r="CX46" s="1414"/>
      <c r="CY46" s="1414"/>
      <c r="CZ46" s="1414"/>
      <c r="DA46" s="1414"/>
      <c r="DB46" s="1414"/>
      <c r="DC46" s="1414"/>
      <c r="DD46" s="1414"/>
      <c r="DE46" s="1414"/>
      <c r="DF46" s="1414"/>
      <c r="DG46" s="1414"/>
      <c r="DH46" s="1414"/>
      <c r="DI46" s="1414"/>
      <c r="DJ46" s="1414"/>
      <c r="DK46" s="1414"/>
      <c r="DL46" s="1457"/>
      <c r="DM46" s="1414"/>
      <c r="DN46" s="1414"/>
      <c r="DO46" s="1414"/>
      <c r="DP46" s="1414"/>
      <c r="DQ46" s="1414"/>
      <c r="DR46" s="1414"/>
      <c r="DS46" s="1414"/>
      <c r="DT46" s="1414"/>
      <c r="DU46" s="1414"/>
      <c r="DV46" s="1414"/>
      <c r="DW46" s="1414"/>
      <c r="DX46" s="1414"/>
      <c r="DY46" s="1414"/>
      <c r="DZ46" s="1414"/>
      <c r="EA46" s="1414"/>
      <c r="EB46" s="1414"/>
      <c r="EC46" s="1414"/>
      <c r="ED46" s="1414"/>
      <c r="EE46" s="1381"/>
      <c r="EF46" s="1414"/>
      <c r="EG46" s="1414"/>
      <c r="EH46" s="1414"/>
      <c r="EI46" s="1414"/>
      <c r="EJ46" s="1414"/>
      <c r="EK46" s="1414"/>
      <c r="EL46" s="1414"/>
      <c r="EM46" s="1414"/>
      <c r="EN46" s="1381"/>
      <c r="EO46" s="1381"/>
      <c r="EP46" s="1381"/>
      <c r="EQ46" s="1381"/>
      <c r="ER46" s="1381"/>
      <c r="ES46" s="1381"/>
      <c r="ET46" s="1381"/>
      <c r="EU46" s="1414"/>
      <c r="EV46" s="1414"/>
      <c r="EW46" s="1414"/>
      <c r="EX46" s="1414"/>
      <c r="EY46" s="1414"/>
      <c r="EZ46" s="1414"/>
      <c r="FA46" s="1414"/>
      <c r="FB46" s="1414"/>
      <c r="FC46" s="1414"/>
      <c r="FD46" s="1414"/>
      <c r="FE46" s="1414"/>
      <c r="FF46" s="1414"/>
      <c r="FG46" s="1414"/>
      <c r="FH46" s="1414"/>
      <c r="FI46" s="1414"/>
      <c r="FJ46" s="1414"/>
      <c r="FK46" s="1414"/>
      <c r="FL46" s="1414"/>
      <c r="FM46" s="1414"/>
      <c r="FN46" s="1414"/>
      <c r="FO46" s="1414"/>
      <c r="FP46" s="1414"/>
      <c r="FQ46" s="1414"/>
      <c r="FR46" s="1414"/>
      <c r="FS46" s="1414"/>
      <c r="FT46" s="1414"/>
      <c r="FU46" s="1414"/>
      <c r="FV46" s="1414"/>
      <c r="FW46" s="1414"/>
      <c r="FX46" s="1414"/>
      <c r="FY46" s="1414"/>
      <c r="FZ46" s="1414"/>
      <c r="GA46" s="1414"/>
      <c r="GB46" s="1414"/>
      <c r="GC46" s="1457"/>
      <c r="GD46" s="1381"/>
      <c r="GE46" s="1414"/>
      <c r="GF46" s="1381"/>
      <c r="GG46" s="1414"/>
      <c r="GH46" s="1414"/>
      <c r="GI46" s="1414"/>
      <c r="GJ46" s="1414"/>
      <c r="GK46" s="1414"/>
      <c r="GL46" s="1414"/>
      <c r="GM46" s="1414"/>
      <c r="GN46" s="1414"/>
      <c r="GO46" s="1414"/>
      <c r="GP46" s="1414"/>
      <c r="GQ46" s="1414"/>
      <c r="GR46" s="1414"/>
      <c r="GS46" s="1414"/>
      <c r="GT46" s="1414"/>
      <c r="GU46" s="1414"/>
      <c r="GV46" s="1414"/>
      <c r="GW46" s="1381"/>
      <c r="GX46" s="1381"/>
      <c r="GY46" s="1414"/>
      <c r="GZ46" s="1414"/>
      <c r="HA46" s="1414"/>
      <c r="HB46" s="1414"/>
      <c r="HC46" s="1414"/>
      <c r="HD46" s="1414"/>
      <c r="HE46" s="1414"/>
      <c r="HF46" s="1414"/>
      <c r="HG46" s="1414"/>
      <c r="HH46" s="1414"/>
      <c r="HI46" s="1414"/>
      <c r="HJ46" s="1414"/>
      <c r="HK46" s="1414"/>
      <c r="HL46" s="1414"/>
      <c r="HM46" s="1414"/>
      <c r="HN46" s="1414"/>
      <c r="HO46" s="1414"/>
      <c r="HP46" s="1414"/>
      <c r="HQ46" s="1414"/>
      <c r="HR46" s="1414"/>
      <c r="HS46" s="1414"/>
      <c r="HT46" s="1414"/>
      <c r="HU46" s="1414"/>
      <c r="HV46" s="1414"/>
      <c r="HW46" s="1414"/>
      <c r="HX46" s="1414"/>
      <c r="HY46" s="1414"/>
      <c r="HZ46" s="1414"/>
      <c r="IA46" s="1414"/>
      <c r="IB46" s="1414"/>
      <c r="IC46" s="1414"/>
      <c r="ID46" s="1414"/>
      <c r="IE46" s="1414"/>
      <c r="IF46" s="1414"/>
      <c r="IG46" s="1414"/>
      <c r="IH46" s="1414"/>
      <c r="II46" s="1414"/>
      <c r="IJ46" s="1414"/>
      <c r="IK46" s="1414"/>
      <c r="IL46" s="1414"/>
      <c r="IM46" s="1414"/>
      <c r="IN46" s="1414"/>
      <c r="IO46" s="1414"/>
      <c r="IP46" s="1414"/>
      <c r="IQ46" s="1414"/>
      <c r="IR46" s="1414"/>
      <c r="IS46" s="1414"/>
      <c r="IT46" s="1414"/>
      <c r="IU46" s="1414"/>
      <c r="IV46" s="1414"/>
      <c r="IW46" s="1414"/>
      <c r="IX46" s="1414"/>
      <c r="IY46" s="1381"/>
      <c r="IZ46" s="1414"/>
      <c r="JA46" s="1414"/>
      <c r="JB46" s="1414"/>
      <c r="JC46" s="1414"/>
      <c r="JD46" s="1414"/>
      <c r="JE46" s="1414"/>
      <c r="JF46" s="1414"/>
      <c r="JG46" s="1414"/>
      <c r="JH46" s="1414"/>
      <c r="JI46" s="1414"/>
      <c r="JJ46" s="1414"/>
      <c r="JK46" s="1414"/>
      <c r="JL46" s="1414"/>
      <c r="JM46" s="1414"/>
      <c r="JN46" s="1414"/>
      <c r="JO46" s="1414"/>
      <c r="JP46" s="1414"/>
      <c r="JQ46" s="1466"/>
      <c r="JR46" s="351"/>
      <c r="JS46" s="1470" t="s">
        <v>2746</v>
      </c>
      <c r="JT46" s="450" t="s">
        <v>2319</v>
      </c>
    </row>
    <row r="47" spans="1:280" ht="12.5" x14ac:dyDescent="0.25">
      <c r="A47" s="1367">
        <v>17</v>
      </c>
      <c r="B47" s="1471" t="str">
        <f t="shared" si="3"/>
        <v/>
      </c>
      <c r="C47" s="1435" t="s">
        <v>2747</v>
      </c>
      <c r="D47" s="1436" t="s">
        <v>2748</v>
      </c>
      <c r="E47" s="1452"/>
      <c r="F47" s="1452"/>
      <c r="G47" s="1452"/>
      <c r="H47" s="1453"/>
      <c r="I47" s="1453"/>
      <c r="J47" s="1453"/>
      <c r="K47" s="1452"/>
      <c r="L47" s="1453"/>
      <c r="M47" s="1453"/>
      <c r="N47" s="1453"/>
      <c r="O47" s="1452"/>
      <c r="P47" s="1453"/>
      <c r="Q47" s="1452"/>
      <c r="R47" s="1452"/>
      <c r="S47" s="1453"/>
      <c r="T47" s="1453"/>
      <c r="U47" s="1453"/>
      <c r="V47" s="1452"/>
      <c r="W47" s="1452"/>
      <c r="X47" s="1452"/>
      <c r="Y47" s="1452"/>
      <c r="Z47" s="1453"/>
      <c r="AA47" s="1452"/>
      <c r="AB47" s="1453"/>
      <c r="AC47" s="1452"/>
      <c r="AD47" s="1452"/>
      <c r="AE47" s="1452"/>
      <c r="AF47" s="1452"/>
      <c r="AG47" s="1452"/>
      <c r="AH47" s="1452"/>
      <c r="AI47" s="1452"/>
      <c r="AJ47" s="1453"/>
      <c r="AK47" s="1452"/>
      <c r="AL47" s="1453"/>
      <c r="AM47" s="1453"/>
      <c r="AN47" s="1453"/>
      <c r="AO47" s="1453"/>
      <c r="AP47" s="1452"/>
      <c r="AQ47" s="1452"/>
      <c r="AR47" s="1453"/>
      <c r="AS47" s="1453">
        <v>3600</v>
      </c>
      <c r="AT47" s="1452"/>
      <c r="AU47" s="1452"/>
      <c r="AV47" s="1453"/>
      <c r="AW47" s="1452"/>
      <c r="AX47" s="1452"/>
      <c r="AY47" s="1452"/>
      <c r="AZ47" s="1452"/>
      <c r="BA47" s="1452"/>
      <c r="BB47" s="1452"/>
      <c r="BC47" s="1452"/>
      <c r="BD47" s="1452">
        <v>9000</v>
      </c>
      <c r="BE47" s="1452"/>
      <c r="BF47" s="1452"/>
      <c r="BG47" s="1452"/>
      <c r="BH47" s="1452"/>
      <c r="BI47" s="1452"/>
      <c r="BJ47" s="1452"/>
      <c r="BK47" s="1452"/>
      <c r="BL47" s="1452"/>
      <c r="BM47" s="1452"/>
      <c r="BN47" s="1452"/>
      <c r="BO47" s="1452"/>
      <c r="BP47" s="1452"/>
      <c r="BQ47" s="1452"/>
      <c r="BR47" s="1452"/>
      <c r="BS47" s="1452"/>
      <c r="BT47" s="1452"/>
      <c r="BU47" s="1452"/>
      <c r="BV47" s="1452"/>
      <c r="BW47" s="1452"/>
      <c r="BX47" s="1452"/>
      <c r="BY47" s="1452"/>
      <c r="BZ47" s="1452"/>
      <c r="CA47" s="1452"/>
      <c r="CB47" s="1381"/>
      <c r="CC47" s="1381"/>
      <c r="CD47" s="1381"/>
      <c r="CE47" s="1452"/>
      <c r="CF47" s="1455"/>
      <c r="CG47" s="1455"/>
      <c r="CH47" s="1455"/>
      <c r="CI47" s="1455"/>
      <c r="CJ47" s="1455"/>
      <c r="CK47" s="1455"/>
      <c r="CL47" s="1455"/>
      <c r="CM47" s="1455"/>
      <c r="CN47" s="1452"/>
      <c r="CO47" s="1455"/>
      <c r="CP47" s="1455"/>
      <c r="CQ47" s="1455"/>
      <c r="CR47" s="1455"/>
      <c r="CS47" s="1455"/>
      <c r="CT47" s="1455"/>
      <c r="CU47" s="1455"/>
      <c r="CV47" s="1455"/>
      <c r="CW47" s="1455"/>
      <c r="CX47" s="1455"/>
      <c r="CY47" s="1455"/>
      <c r="CZ47" s="1455"/>
      <c r="DA47" s="1455"/>
      <c r="DB47" s="1455"/>
      <c r="DC47" s="1455"/>
      <c r="DD47" s="1455"/>
      <c r="DE47" s="1455"/>
      <c r="DF47" s="1455"/>
      <c r="DG47" s="1455"/>
      <c r="DH47" s="1455"/>
      <c r="DI47" s="1455"/>
      <c r="DJ47" s="1455"/>
      <c r="DK47" s="1455"/>
      <c r="DL47" s="1452"/>
      <c r="DM47" s="1455"/>
      <c r="DN47" s="1455"/>
      <c r="DO47" s="1455"/>
      <c r="DP47" s="1455"/>
      <c r="DQ47" s="1455"/>
      <c r="DR47" s="1455"/>
      <c r="DS47" s="1455"/>
      <c r="DT47" s="1455"/>
      <c r="DU47" s="1455"/>
      <c r="DV47" s="1455"/>
      <c r="DW47" s="1455"/>
      <c r="DX47" s="1455"/>
      <c r="DY47" s="1455"/>
      <c r="DZ47" s="1455"/>
      <c r="EA47" s="1455"/>
      <c r="EB47" s="1455"/>
      <c r="EC47" s="1455"/>
      <c r="ED47" s="1455"/>
      <c r="EE47" s="1453">
        <v>3600</v>
      </c>
      <c r="EF47" s="1455"/>
      <c r="EG47" s="1414"/>
      <c r="EH47" s="1455"/>
      <c r="EI47" s="1455"/>
      <c r="EJ47" s="1455"/>
      <c r="EK47" s="1455"/>
      <c r="EL47" s="1455"/>
      <c r="EM47" s="1455"/>
      <c r="EN47" s="1455"/>
      <c r="EO47" s="1455"/>
      <c r="EP47" s="1455"/>
      <c r="EQ47" s="1455"/>
      <c r="ER47" s="1455"/>
      <c r="ES47" s="1455"/>
      <c r="ET47" s="1455"/>
      <c r="EU47" s="1455"/>
      <c r="EV47" s="1455"/>
      <c r="EW47" s="1455"/>
      <c r="EX47" s="1455"/>
      <c r="EY47" s="1455"/>
      <c r="EZ47" s="1455"/>
      <c r="FA47" s="1455"/>
      <c r="FB47" s="1455"/>
      <c r="FC47" s="1455"/>
      <c r="FD47" s="1455"/>
      <c r="FE47" s="1455"/>
      <c r="FF47" s="1455"/>
      <c r="FG47" s="1455"/>
      <c r="FH47" s="1455"/>
      <c r="FI47" s="1455"/>
      <c r="FJ47" s="1455"/>
      <c r="FK47" s="1455"/>
      <c r="FL47" s="1455"/>
      <c r="FM47" s="1455"/>
      <c r="FN47" s="1455"/>
      <c r="FO47" s="1455"/>
      <c r="FP47" s="1455"/>
      <c r="FQ47" s="1455"/>
      <c r="FR47" s="1455"/>
      <c r="FS47" s="1455"/>
      <c r="FT47" s="1455"/>
      <c r="FU47" s="1455"/>
      <c r="FV47" s="1455"/>
      <c r="FW47" s="1455"/>
      <c r="FX47" s="1455"/>
      <c r="FY47" s="1455"/>
      <c r="FZ47" s="1455"/>
      <c r="GA47" s="1455"/>
      <c r="GB47" s="1455"/>
      <c r="GC47" s="1452">
        <v>2250</v>
      </c>
      <c r="GD47" s="1452"/>
      <c r="GE47" s="1455"/>
      <c r="GF47" s="1381"/>
      <c r="GG47" s="1455"/>
      <c r="GH47" s="1455"/>
      <c r="GI47" s="1455"/>
      <c r="GJ47" s="1455"/>
      <c r="GK47" s="1455"/>
      <c r="GL47" s="1455"/>
      <c r="GM47" s="1455"/>
      <c r="GN47" s="1455"/>
      <c r="GO47" s="1455"/>
      <c r="GP47" s="1455"/>
      <c r="GQ47" s="1455"/>
      <c r="GR47" s="1455"/>
      <c r="GS47" s="1455"/>
      <c r="GT47" s="1455"/>
      <c r="GU47" s="1455"/>
      <c r="GV47" s="1455"/>
      <c r="GW47" s="1452"/>
      <c r="GX47" s="1454">
        <v>6200</v>
      </c>
      <c r="GY47" s="1455"/>
      <c r="GZ47" s="1455"/>
      <c r="HA47" s="1455"/>
      <c r="HB47" s="1455"/>
      <c r="HC47" s="1455"/>
      <c r="HD47" s="1455"/>
      <c r="HE47" s="1455"/>
      <c r="HF47" s="1455"/>
      <c r="HG47" s="1455"/>
      <c r="HH47" s="1455"/>
      <c r="HI47" s="1455"/>
      <c r="HJ47" s="1455"/>
      <c r="HK47" s="1455"/>
      <c r="HL47" s="1455"/>
      <c r="HM47" s="1455"/>
      <c r="HN47" s="1455"/>
      <c r="HO47" s="1455"/>
      <c r="HP47" s="1455"/>
      <c r="HQ47" s="1455"/>
      <c r="HR47" s="1455"/>
      <c r="HS47" s="1455"/>
      <c r="HT47" s="1455"/>
      <c r="HU47" s="1455"/>
      <c r="HV47" s="1455"/>
      <c r="HW47" s="1455"/>
      <c r="HX47" s="1455"/>
      <c r="HY47" s="1455"/>
      <c r="HZ47" s="1455"/>
      <c r="IA47" s="1455"/>
      <c r="IB47" s="1455"/>
      <c r="IC47" s="1455"/>
      <c r="ID47" s="1455"/>
      <c r="IE47" s="1455"/>
      <c r="IF47" s="1455"/>
      <c r="IG47" s="1455"/>
      <c r="IH47" s="1455"/>
      <c r="II47" s="1455"/>
      <c r="IJ47" s="1455"/>
      <c r="IK47" s="1455"/>
      <c r="IL47" s="1455"/>
      <c r="IM47" s="1455"/>
      <c r="IN47" s="1455"/>
      <c r="IO47" s="1455"/>
      <c r="IP47" s="1455"/>
      <c r="IQ47" s="1455"/>
      <c r="IR47" s="1455"/>
      <c r="IS47" s="1455"/>
      <c r="IT47" s="1455"/>
      <c r="IU47" s="1455"/>
      <c r="IV47" s="1455"/>
      <c r="IW47" s="1455"/>
      <c r="IX47" s="1455"/>
      <c r="IY47" s="1453"/>
      <c r="IZ47" s="1455"/>
      <c r="JA47" s="1455"/>
      <c r="JB47" s="1455"/>
      <c r="JC47" s="1455"/>
      <c r="JD47" s="1455"/>
      <c r="JE47" s="1455"/>
      <c r="JF47" s="1455"/>
      <c r="JG47" s="1455"/>
      <c r="JH47" s="1455"/>
      <c r="JI47" s="1455"/>
      <c r="JJ47" s="1455"/>
      <c r="JK47" s="1455"/>
      <c r="JL47" s="1455"/>
      <c r="JM47" s="1455"/>
      <c r="JN47" s="1455"/>
      <c r="JO47" s="1455"/>
      <c r="JP47" s="1455"/>
      <c r="JQ47" s="1477"/>
      <c r="JR47" s="351"/>
      <c r="JS47" s="1470"/>
      <c r="JT47" s="450" t="s">
        <v>2242</v>
      </c>
    </row>
    <row r="48" spans="1:280" ht="12.5" x14ac:dyDescent="0.25">
      <c r="A48" s="1367">
        <v>18</v>
      </c>
      <c r="B48" s="1471" t="str">
        <f t="shared" si="3"/>
        <v/>
      </c>
      <c r="C48" s="1435" t="s">
        <v>2749</v>
      </c>
      <c r="D48" s="1436" t="s">
        <v>2750</v>
      </c>
      <c r="E48" s="1452"/>
      <c r="F48" s="1452"/>
      <c r="G48" s="1452"/>
      <c r="H48" s="1453"/>
      <c r="I48" s="1453"/>
      <c r="J48" s="1453"/>
      <c r="K48" s="1452"/>
      <c r="L48" s="1453"/>
      <c r="M48" s="1453"/>
      <c r="N48" s="1453"/>
      <c r="O48" s="1452"/>
      <c r="P48" s="1453"/>
      <c r="Q48" s="1452"/>
      <c r="R48" s="1452"/>
      <c r="S48" s="1453"/>
      <c r="T48" s="1453"/>
      <c r="U48" s="1453"/>
      <c r="V48" s="1452"/>
      <c r="W48" s="1452"/>
      <c r="X48" s="1452"/>
      <c r="Y48" s="1452"/>
      <c r="Z48" s="1453"/>
      <c r="AA48" s="1452"/>
      <c r="AB48" s="1453"/>
      <c r="AC48" s="1452"/>
      <c r="AD48" s="1452"/>
      <c r="AE48" s="1452"/>
      <c r="AF48" s="1452"/>
      <c r="AG48" s="1452"/>
      <c r="AH48" s="1452"/>
      <c r="AI48" s="1452"/>
      <c r="AJ48" s="1453"/>
      <c r="AK48" s="1452"/>
      <c r="AL48" s="1453"/>
      <c r="AM48" s="1453"/>
      <c r="AN48" s="1453"/>
      <c r="AO48" s="1453"/>
      <c r="AP48" s="1452"/>
      <c r="AQ48" s="1452"/>
      <c r="AR48" s="1453"/>
      <c r="AS48" s="1453"/>
      <c r="AT48" s="1452"/>
      <c r="AU48" s="1452"/>
      <c r="AV48" s="1453"/>
      <c r="AW48" s="1452"/>
      <c r="AX48" s="1452"/>
      <c r="AY48" s="1452"/>
      <c r="AZ48" s="1452"/>
      <c r="BA48" s="1452"/>
      <c r="BB48" s="1452"/>
      <c r="BC48" s="1452"/>
      <c r="BD48" s="1452"/>
      <c r="BE48" s="1452"/>
      <c r="BF48" s="1452"/>
      <c r="BG48" s="1452"/>
      <c r="BH48" s="1452"/>
      <c r="BI48" s="1452"/>
      <c r="BJ48" s="1452"/>
      <c r="BK48" s="1452"/>
      <c r="BL48" s="1452"/>
      <c r="BM48" s="1452"/>
      <c r="BN48" s="1452"/>
      <c r="BO48" s="1381"/>
      <c r="BP48" s="1381"/>
      <c r="BQ48" s="1452"/>
      <c r="BR48" s="1452"/>
      <c r="BS48" s="1452"/>
      <c r="BT48" s="1452"/>
      <c r="BU48" s="1452"/>
      <c r="BV48" s="1452"/>
      <c r="BW48" s="1452"/>
      <c r="BX48" s="1452"/>
      <c r="BY48" s="1452"/>
      <c r="BZ48" s="1452"/>
      <c r="CA48" s="1452"/>
      <c r="CB48" s="1381"/>
      <c r="CC48" s="1381"/>
      <c r="CD48" s="1381"/>
      <c r="CE48" s="1452"/>
      <c r="CF48" s="1455"/>
      <c r="CG48" s="1455"/>
      <c r="CH48" s="1455"/>
      <c r="CI48" s="1455"/>
      <c r="CJ48" s="1455"/>
      <c r="CK48" s="1455"/>
      <c r="CL48" s="1455"/>
      <c r="CM48" s="1455"/>
      <c r="CN48" s="1452"/>
      <c r="CO48" s="1455"/>
      <c r="CP48" s="1455"/>
      <c r="CQ48" s="1455"/>
      <c r="CR48" s="1455"/>
      <c r="CS48" s="1455"/>
      <c r="CT48" s="1455"/>
      <c r="CU48" s="1455"/>
      <c r="CV48" s="1455"/>
      <c r="CW48" s="1455"/>
      <c r="CX48" s="1455"/>
      <c r="CY48" s="1455"/>
      <c r="CZ48" s="1455"/>
      <c r="DA48" s="1455"/>
      <c r="DB48" s="1455"/>
      <c r="DC48" s="1455"/>
      <c r="DD48" s="1455"/>
      <c r="DE48" s="1455"/>
      <c r="DF48" s="1455"/>
      <c r="DG48" s="1455"/>
      <c r="DH48" s="1455"/>
      <c r="DI48" s="1455"/>
      <c r="DJ48" s="1455"/>
      <c r="DK48" s="1455"/>
      <c r="DL48" s="1452"/>
      <c r="DM48" s="1455"/>
      <c r="DN48" s="1455"/>
      <c r="DO48" s="1455"/>
      <c r="DP48" s="1455"/>
      <c r="DQ48" s="1455"/>
      <c r="DR48" s="1455"/>
      <c r="DS48" s="1455"/>
      <c r="DT48" s="1455"/>
      <c r="DU48" s="1455"/>
      <c r="DV48" s="1455"/>
      <c r="DW48" s="1455"/>
      <c r="DX48" s="1455"/>
      <c r="DY48" s="1455"/>
      <c r="DZ48" s="1455"/>
      <c r="EA48" s="1455"/>
      <c r="EB48" s="1455"/>
      <c r="EC48" s="1455"/>
      <c r="ED48" s="1455"/>
      <c r="EE48" s="1453"/>
      <c r="EF48" s="1455"/>
      <c r="EG48" s="1455"/>
      <c r="EH48" s="1455"/>
      <c r="EI48" s="1455"/>
      <c r="EJ48" s="1455"/>
      <c r="EK48" s="1455"/>
      <c r="EL48" s="1455"/>
      <c r="EM48" s="1455"/>
      <c r="EN48" s="1455"/>
      <c r="EO48" s="1455"/>
      <c r="EP48" s="1455"/>
      <c r="EQ48" s="1455"/>
      <c r="ER48" s="1455"/>
      <c r="ES48" s="1455"/>
      <c r="ET48" s="1455"/>
      <c r="EU48" s="1455"/>
      <c r="EV48" s="1455"/>
      <c r="EW48" s="1455"/>
      <c r="EX48" s="1455"/>
      <c r="EY48" s="1455"/>
      <c r="EZ48" s="1455"/>
      <c r="FA48" s="1455"/>
      <c r="FB48" s="1455"/>
      <c r="FC48" s="1455"/>
      <c r="FD48" s="1455"/>
      <c r="FE48" s="1455"/>
      <c r="FF48" s="1455"/>
      <c r="FG48" s="1455"/>
      <c r="FH48" s="1455"/>
      <c r="FI48" s="1455"/>
      <c r="FJ48" s="1455"/>
      <c r="FK48" s="1455"/>
      <c r="FL48" s="1455"/>
      <c r="FM48" s="1455"/>
      <c r="FN48" s="1455"/>
      <c r="FO48" s="1455"/>
      <c r="FP48" s="1455"/>
      <c r="FQ48" s="1455"/>
      <c r="FR48" s="1455"/>
      <c r="FS48" s="1455"/>
      <c r="FT48" s="1455"/>
      <c r="FU48" s="1455"/>
      <c r="FV48" s="1455"/>
      <c r="FW48" s="1455"/>
      <c r="FX48" s="1455"/>
      <c r="FY48" s="1455"/>
      <c r="FZ48" s="1455"/>
      <c r="GA48" s="1455"/>
      <c r="GB48" s="1455"/>
      <c r="GC48" s="1452">
        <v>650</v>
      </c>
      <c r="GD48" s="1452"/>
      <c r="GE48" s="1455"/>
      <c r="GF48" s="1381"/>
      <c r="GG48" s="1455"/>
      <c r="GH48" s="1455"/>
      <c r="GI48" s="1455"/>
      <c r="GJ48" s="1455"/>
      <c r="GK48" s="1455"/>
      <c r="GL48" s="1455"/>
      <c r="GM48" s="1455"/>
      <c r="GN48" s="1455"/>
      <c r="GO48" s="1455"/>
      <c r="GP48" s="1455"/>
      <c r="GQ48" s="1455"/>
      <c r="GR48" s="1455"/>
      <c r="GS48" s="1455"/>
      <c r="GT48" s="1455"/>
      <c r="GU48" s="1455"/>
      <c r="GV48" s="1455"/>
      <c r="GW48" s="1452"/>
      <c r="GX48" s="1452"/>
      <c r="GY48" s="1455"/>
      <c r="GZ48" s="1455"/>
      <c r="HA48" s="1455"/>
      <c r="HB48" s="1455"/>
      <c r="HC48" s="1455"/>
      <c r="HD48" s="1455"/>
      <c r="HE48" s="1455"/>
      <c r="HF48" s="1455"/>
      <c r="HG48" s="1455"/>
      <c r="HH48" s="1455"/>
      <c r="HI48" s="1455"/>
      <c r="HJ48" s="1455"/>
      <c r="HK48" s="1455"/>
      <c r="HL48" s="1455"/>
      <c r="HM48" s="1455"/>
      <c r="HN48" s="1455"/>
      <c r="HO48" s="1455"/>
      <c r="HP48" s="1455"/>
      <c r="HQ48" s="1455"/>
      <c r="HR48" s="1455"/>
      <c r="HS48" s="1455"/>
      <c r="HT48" s="1455"/>
      <c r="HU48" s="1455"/>
      <c r="HV48" s="1455"/>
      <c r="HW48" s="1455"/>
      <c r="HX48" s="1455"/>
      <c r="HY48" s="1455"/>
      <c r="HZ48" s="1455"/>
      <c r="IA48" s="1455"/>
      <c r="IB48" s="1455"/>
      <c r="IC48" s="1455"/>
      <c r="ID48" s="1455"/>
      <c r="IE48" s="1455"/>
      <c r="IF48" s="1455"/>
      <c r="IG48" s="1455"/>
      <c r="IH48" s="1455"/>
      <c r="II48" s="1455"/>
      <c r="IJ48" s="1455"/>
      <c r="IK48" s="1455"/>
      <c r="IL48" s="1455"/>
      <c r="IM48" s="1455"/>
      <c r="IN48" s="1455"/>
      <c r="IO48" s="1455"/>
      <c r="IP48" s="1455"/>
      <c r="IQ48" s="1455"/>
      <c r="IR48" s="1455"/>
      <c r="IS48" s="1455"/>
      <c r="IT48" s="1455"/>
      <c r="IU48" s="1455"/>
      <c r="IV48" s="1455"/>
      <c r="IW48" s="1455"/>
      <c r="IX48" s="1455"/>
      <c r="IY48" s="1453"/>
      <c r="IZ48" s="1455"/>
      <c r="JA48" s="1455"/>
      <c r="JB48" s="1455"/>
      <c r="JC48" s="1455"/>
      <c r="JD48" s="1455"/>
      <c r="JE48" s="1455"/>
      <c r="JF48" s="1455"/>
      <c r="JG48" s="1455"/>
      <c r="JH48" s="1455"/>
      <c r="JI48" s="1455"/>
      <c r="JJ48" s="1455"/>
      <c r="JK48" s="1455"/>
      <c r="JL48" s="1455"/>
      <c r="JM48" s="1455"/>
      <c r="JN48" s="1455"/>
      <c r="JO48" s="1455"/>
      <c r="JP48" s="1455"/>
      <c r="JQ48" s="1477"/>
      <c r="JR48" s="351"/>
      <c r="JS48" s="1470"/>
      <c r="JT48" s="450" t="s">
        <v>2242</v>
      </c>
    </row>
    <row r="49" spans="1:280" ht="12.5" x14ac:dyDescent="0.25">
      <c r="A49" s="1367">
        <v>19</v>
      </c>
      <c r="B49" s="1471" t="str">
        <f t="shared" si="3"/>
        <v/>
      </c>
      <c r="C49" s="1435" t="s">
        <v>2751</v>
      </c>
      <c r="D49" s="1436" t="s">
        <v>2752</v>
      </c>
      <c r="E49" s="1452"/>
      <c r="F49" s="1452"/>
      <c r="G49" s="1452"/>
      <c r="H49" s="1453"/>
      <c r="I49" s="1453"/>
      <c r="J49" s="1453"/>
      <c r="K49" s="1452"/>
      <c r="L49" s="1453"/>
      <c r="M49" s="1453"/>
      <c r="N49" s="1453"/>
      <c r="O49" s="1452"/>
      <c r="P49" s="1453"/>
      <c r="Q49" s="1452"/>
      <c r="R49" s="1452"/>
      <c r="S49" s="1453"/>
      <c r="T49" s="1453"/>
      <c r="U49" s="1453"/>
      <c r="V49" s="1452"/>
      <c r="W49" s="1452"/>
      <c r="X49" s="1452"/>
      <c r="Y49" s="1452"/>
      <c r="Z49" s="1453"/>
      <c r="AA49" s="1452"/>
      <c r="AB49" s="1453"/>
      <c r="AC49" s="1452"/>
      <c r="AD49" s="1452"/>
      <c r="AE49" s="1452"/>
      <c r="AF49" s="1452"/>
      <c r="AG49" s="1452"/>
      <c r="AH49" s="1452"/>
      <c r="AI49" s="1452"/>
      <c r="AJ49" s="1453"/>
      <c r="AK49" s="1452"/>
      <c r="AL49" s="1453"/>
      <c r="AM49" s="1453"/>
      <c r="AN49" s="1453"/>
      <c r="AO49" s="1453"/>
      <c r="AP49" s="1452"/>
      <c r="AQ49" s="1452"/>
      <c r="AR49" s="1453"/>
      <c r="AS49" s="1453">
        <v>350</v>
      </c>
      <c r="AT49" s="1452"/>
      <c r="AU49" s="1452"/>
      <c r="AV49" s="1453"/>
      <c r="AW49" s="1452"/>
      <c r="AX49" s="1452"/>
      <c r="AY49" s="1452"/>
      <c r="AZ49" s="1452"/>
      <c r="BA49" s="1452">
        <v>500</v>
      </c>
      <c r="BB49" s="1452"/>
      <c r="BC49" s="1452"/>
      <c r="BD49" s="1452"/>
      <c r="BE49" s="1452"/>
      <c r="BF49" s="1452"/>
      <c r="BG49" s="1452"/>
      <c r="BH49" s="1452"/>
      <c r="BI49" s="1452"/>
      <c r="BJ49" s="1452"/>
      <c r="BK49" s="1452"/>
      <c r="BL49" s="1452"/>
      <c r="BM49" s="1452"/>
      <c r="BN49" s="1452"/>
      <c r="BO49" s="1381"/>
      <c r="BP49" s="1381"/>
      <c r="BQ49" s="1452"/>
      <c r="BR49" s="1452"/>
      <c r="BS49" s="1452"/>
      <c r="BT49" s="1452"/>
      <c r="BU49" s="1452"/>
      <c r="BV49" s="1452"/>
      <c r="BW49" s="1452"/>
      <c r="BX49" s="1452"/>
      <c r="BY49" s="1452"/>
      <c r="BZ49" s="1452"/>
      <c r="CA49" s="1452"/>
      <c r="CB49" s="1381"/>
      <c r="CC49" s="1381"/>
      <c r="CD49" s="1381"/>
      <c r="CE49" s="1452"/>
      <c r="CF49" s="1455"/>
      <c r="CG49" s="1455"/>
      <c r="CH49" s="1455"/>
      <c r="CI49" s="1455"/>
      <c r="CJ49" s="1455"/>
      <c r="CK49" s="1455"/>
      <c r="CL49" s="1455"/>
      <c r="CM49" s="1455"/>
      <c r="CN49" s="1452"/>
      <c r="CO49" s="1455"/>
      <c r="CP49" s="1455"/>
      <c r="CQ49" s="1455"/>
      <c r="CR49" s="1455"/>
      <c r="CS49" s="1455"/>
      <c r="CT49" s="1455"/>
      <c r="CU49" s="1455"/>
      <c r="CV49" s="1455"/>
      <c r="CW49" s="1455"/>
      <c r="CX49" s="1455"/>
      <c r="CY49" s="1455"/>
      <c r="CZ49" s="1455"/>
      <c r="DA49" s="1455"/>
      <c r="DB49" s="1455"/>
      <c r="DC49" s="1455"/>
      <c r="DD49" s="1455"/>
      <c r="DE49" s="1455"/>
      <c r="DF49" s="1455"/>
      <c r="DG49" s="1455"/>
      <c r="DH49" s="1455"/>
      <c r="DI49" s="1455"/>
      <c r="DJ49" s="1455"/>
      <c r="DK49" s="1455"/>
      <c r="DL49" s="1452"/>
      <c r="DM49" s="1455"/>
      <c r="DN49" s="1455"/>
      <c r="DO49" s="1455"/>
      <c r="DP49" s="1455"/>
      <c r="DQ49" s="1455"/>
      <c r="DR49" s="1455"/>
      <c r="DS49" s="1455"/>
      <c r="DT49" s="1455"/>
      <c r="DU49" s="1455"/>
      <c r="DV49" s="1455"/>
      <c r="DW49" s="1455"/>
      <c r="DX49" s="1455"/>
      <c r="DY49" s="1455"/>
      <c r="DZ49" s="1455"/>
      <c r="EA49" s="1455"/>
      <c r="EB49" s="1455"/>
      <c r="EC49" s="1455"/>
      <c r="ED49" s="1455"/>
      <c r="EE49" s="1453">
        <v>350</v>
      </c>
      <c r="EF49" s="1455"/>
      <c r="EG49" s="1455"/>
      <c r="EH49" s="1472">
        <v>2711</v>
      </c>
      <c r="EI49" s="1455"/>
      <c r="EJ49" s="1455"/>
      <c r="EK49" s="1455"/>
      <c r="EL49" s="1455"/>
      <c r="EM49" s="1455"/>
      <c r="EN49" s="1455"/>
      <c r="EO49" s="1455"/>
      <c r="EP49" s="1455"/>
      <c r="EQ49" s="1455"/>
      <c r="ER49" s="1455"/>
      <c r="ES49" s="1455"/>
      <c r="ET49" s="1455"/>
      <c r="EU49" s="1455"/>
      <c r="EV49" s="1455"/>
      <c r="EW49" s="1455"/>
      <c r="EX49" s="1455"/>
      <c r="EY49" s="1455"/>
      <c r="EZ49" s="1455"/>
      <c r="FA49" s="1455"/>
      <c r="FB49" s="1455"/>
      <c r="FC49" s="1455"/>
      <c r="FD49" s="1455"/>
      <c r="FE49" s="1455"/>
      <c r="FF49" s="1455"/>
      <c r="FG49" s="1455"/>
      <c r="FH49" s="1455"/>
      <c r="FI49" s="1455"/>
      <c r="FJ49" s="1455"/>
      <c r="FK49" s="1455"/>
      <c r="FL49" s="1455"/>
      <c r="FM49" s="1455"/>
      <c r="FN49" s="1455"/>
      <c r="FO49" s="1455"/>
      <c r="FP49" s="1455"/>
      <c r="FQ49" s="1455"/>
      <c r="FR49" s="1455"/>
      <c r="FS49" s="1455"/>
      <c r="FT49" s="1455"/>
      <c r="FU49" s="1455"/>
      <c r="FV49" s="1455"/>
      <c r="FW49" s="1455"/>
      <c r="FX49" s="1455"/>
      <c r="FY49" s="1455"/>
      <c r="FZ49" s="1455"/>
      <c r="GA49" s="1455"/>
      <c r="GB49" s="1455"/>
      <c r="GC49" s="1452">
        <v>75</v>
      </c>
      <c r="GD49" s="1452"/>
      <c r="GE49" s="1455"/>
      <c r="GF49" s="1455"/>
      <c r="GG49" s="1455"/>
      <c r="GH49" s="1455"/>
      <c r="GI49" s="1455"/>
      <c r="GJ49" s="1455"/>
      <c r="GK49" s="1455"/>
      <c r="GL49" s="1455"/>
      <c r="GM49" s="1455"/>
      <c r="GN49" s="1455"/>
      <c r="GO49" s="1455"/>
      <c r="GP49" s="1455"/>
      <c r="GQ49" s="1455"/>
      <c r="GR49" s="1455"/>
      <c r="GS49" s="1455"/>
      <c r="GT49" s="1455"/>
      <c r="GU49" s="1455"/>
      <c r="GV49" s="1455"/>
      <c r="GW49" s="1452"/>
      <c r="GX49" s="1452"/>
      <c r="GY49" s="1455"/>
      <c r="GZ49" s="1455"/>
      <c r="HA49" s="1455"/>
      <c r="HB49" s="1455"/>
      <c r="HC49" s="1455"/>
      <c r="HD49" s="1455"/>
      <c r="HE49" s="1455"/>
      <c r="HF49" s="1455"/>
      <c r="HG49" s="1455"/>
      <c r="HH49" s="1455"/>
      <c r="HI49" s="1455"/>
      <c r="HJ49" s="1455"/>
      <c r="HK49" s="1455"/>
      <c r="HL49" s="1455"/>
      <c r="HM49" s="1455"/>
      <c r="HN49" s="1455"/>
      <c r="HO49" s="1455"/>
      <c r="HP49" s="1455"/>
      <c r="HQ49" s="1455"/>
      <c r="HR49" s="1455"/>
      <c r="HS49" s="1455"/>
      <c r="HT49" s="1455"/>
      <c r="HU49" s="1455"/>
      <c r="HV49" s="1455"/>
      <c r="HW49" s="1455"/>
      <c r="HX49" s="1455"/>
      <c r="HY49" s="1455"/>
      <c r="HZ49" s="1455"/>
      <c r="IA49" s="1455"/>
      <c r="IB49" s="1455"/>
      <c r="IC49" s="1455"/>
      <c r="ID49" s="1455"/>
      <c r="IE49" s="1455"/>
      <c r="IF49" s="1455"/>
      <c r="IG49" s="1455"/>
      <c r="IH49" s="1455"/>
      <c r="II49" s="1455"/>
      <c r="IJ49" s="1455"/>
      <c r="IK49" s="1455"/>
      <c r="IL49" s="1455"/>
      <c r="IM49" s="1455"/>
      <c r="IN49" s="1455"/>
      <c r="IO49" s="1455"/>
      <c r="IP49" s="1455"/>
      <c r="IQ49" s="1455"/>
      <c r="IR49" s="1455"/>
      <c r="IS49" s="1455"/>
      <c r="IT49" s="1455"/>
      <c r="IU49" s="1455"/>
      <c r="IV49" s="1455"/>
      <c r="IW49" s="1455"/>
      <c r="IX49" s="1455"/>
      <c r="IY49" s="1453"/>
      <c r="IZ49" s="1455"/>
      <c r="JA49" s="1455"/>
      <c r="JB49" s="1472">
        <v>1317</v>
      </c>
      <c r="JC49" s="1455"/>
      <c r="JD49" s="1455"/>
      <c r="JE49" s="1455"/>
      <c r="JF49" s="1455"/>
      <c r="JG49" s="1455"/>
      <c r="JH49" s="1455"/>
      <c r="JI49" s="1455"/>
      <c r="JJ49" s="1455"/>
      <c r="JK49" s="1455"/>
      <c r="JL49" s="1455"/>
      <c r="JM49" s="1455"/>
      <c r="JN49" s="1455"/>
      <c r="JO49" s="1455"/>
      <c r="JP49" s="1455"/>
      <c r="JQ49" s="1477"/>
      <c r="JR49" s="351"/>
      <c r="JS49" s="1470"/>
      <c r="JT49" s="450" t="s">
        <v>2242</v>
      </c>
    </row>
    <row r="50" spans="1:280" ht="12.5" x14ac:dyDescent="0.25">
      <c r="A50" s="1367">
        <v>20</v>
      </c>
      <c r="B50" s="1471" t="str">
        <f t="shared" si="3"/>
        <v/>
      </c>
      <c r="C50" s="1435" t="s">
        <v>2753</v>
      </c>
      <c r="D50" s="1436" t="s">
        <v>2754</v>
      </c>
      <c r="E50" s="1452"/>
      <c r="F50" s="1452"/>
      <c r="G50" s="1452"/>
      <c r="H50" s="1453"/>
      <c r="I50" s="1453"/>
      <c r="J50" s="1453"/>
      <c r="K50" s="1452"/>
      <c r="L50" s="1453"/>
      <c r="M50" s="1453"/>
      <c r="N50" s="1453"/>
      <c r="O50" s="1452"/>
      <c r="P50" s="1453"/>
      <c r="Q50" s="1452"/>
      <c r="R50" s="1452"/>
      <c r="S50" s="1453"/>
      <c r="T50" s="1453"/>
      <c r="U50" s="1453"/>
      <c r="V50" s="1452"/>
      <c r="W50" s="1452"/>
      <c r="X50" s="1452"/>
      <c r="Y50" s="1452"/>
      <c r="Z50" s="1453"/>
      <c r="AA50" s="1452"/>
      <c r="AB50" s="1453"/>
      <c r="AC50" s="1452"/>
      <c r="AD50" s="1452"/>
      <c r="AE50" s="1452"/>
      <c r="AF50" s="1452"/>
      <c r="AG50" s="1452"/>
      <c r="AH50" s="1452"/>
      <c r="AI50" s="1452"/>
      <c r="AJ50" s="1453"/>
      <c r="AK50" s="1452"/>
      <c r="AL50" s="1453"/>
      <c r="AM50" s="1453"/>
      <c r="AN50" s="1453"/>
      <c r="AO50" s="1453"/>
      <c r="AP50" s="1452"/>
      <c r="AQ50" s="1452"/>
      <c r="AR50" s="1453"/>
      <c r="AS50" s="1453"/>
      <c r="AT50" s="1452"/>
      <c r="AU50" s="1452"/>
      <c r="AV50" s="1453"/>
      <c r="AW50" s="1452"/>
      <c r="AX50" s="1452"/>
      <c r="AY50" s="1452"/>
      <c r="AZ50" s="1452"/>
      <c r="BA50" s="1452"/>
      <c r="BB50" s="1452"/>
      <c r="BC50" s="1452"/>
      <c r="BD50" s="1452"/>
      <c r="BE50" s="1452"/>
      <c r="BF50" s="1452">
        <v>600</v>
      </c>
      <c r="BG50" s="1452"/>
      <c r="BH50" s="1452"/>
      <c r="BI50" s="1452"/>
      <c r="BJ50" s="1452"/>
      <c r="BK50" s="1452"/>
      <c r="BL50" s="1452"/>
      <c r="BM50" s="1452"/>
      <c r="BN50" s="1452"/>
      <c r="BO50" s="1381"/>
      <c r="BP50" s="1381"/>
      <c r="BQ50" s="1452"/>
      <c r="BR50" s="1452"/>
      <c r="BS50" s="1452"/>
      <c r="BT50" s="1452"/>
      <c r="BU50" s="1452"/>
      <c r="BV50" s="1452"/>
      <c r="BW50" s="1452"/>
      <c r="BX50" s="1452"/>
      <c r="BY50" s="1452"/>
      <c r="BZ50" s="1452"/>
      <c r="CA50" s="1452"/>
      <c r="CB50" s="1381"/>
      <c r="CC50" s="1381"/>
      <c r="CD50" s="1381"/>
      <c r="CE50" s="1452">
        <v>600</v>
      </c>
      <c r="CF50" s="1455"/>
      <c r="CG50" s="1455"/>
      <c r="CH50" s="1455"/>
      <c r="CI50" s="1455"/>
      <c r="CJ50" s="1455"/>
      <c r="CK50" s="1455"/>
      <c r="CL50" s="1455"/>
      <c r="CM50" s="1455"/>
      <c r="CN50" s="1452"/>
      <c r="CO50" s="1455"/>
      <c r="CP50" s="1455"/>
      <c r="CQ50" s="1455"/>
      <c r="CR50" s="1455"/>
      <c r="CS50" s="1455"/>
      <c r="CT50" s="1455"/>
      <c r="CU50" s="1455"/>
      <c r="CV50" s="1455"/>
      <c r="CW50" s="1455"/>
      <c r="CX50" s="1455"/>
      <c r="CY50" s="1455"/>
      <c r="CZ50" s="1455"/>
      <c r="DA50" s="1381"/>
      <c r="DB50" s="1455">
        <v>600</v>
      </c>
      <c r="DC50" s="1455"/>
      <c r="DD50" s="1455"/>
      <c r="DE50" s="1455"/>
      <c r="DF50" s="1455"/>
      <c r="DG50" s="1455"/>
      <c r="DH50" s="1455"/>
      <c r="DI50" s="1455"/>
      <c r="DJ50" s="1455"/>
      <c r="DK50" s="1455"/>
      <c r="DL50" s="1452">
        <v>600</v>
      </c>
      <c r="DM50" s="1455"/>
      <c r="DN50" s="1455"/>
      <c r="DO50" s="1455"/>
      <c r="DP50" s="1455"/>
      <c r="DQ50" s="1455"/>
      <c r="DR50" s="1455"/>
      <c r="DS50" s="1455"/>
      <c r="DT50" s="1455"/>
      <c r="DU50" s="1455"/>
      <c r="DV50" s="1455"/>
      <c r="DW50" s="1455"/>
      <c r="DX50" s="1455"/>
      <c r="DY50" s="1455"/>
      <c r="DZ50" s="1455"/>
      <c r="EA50" s="1455"/>
      <c r="EB50" s="1455"/>
      <c r="EC50" s="1455"/>
      <c r="ED50" s="1455"/>
      <c r="EE50" s="1453"/>
      <c r="EF50" s="1455"/>
      <c r="EG50" s="1455"/>
      <c r="EH50" s="1455"/>
      <c r="EI50" s="1455"/>
      <c r="EJ50" s="1455"/>
      <c r="EK50" s="1455"/>
      <c r="EL50" s="1455"/>
      <c r="EM50" s="1455"/>
      <c r="EN50" s="1455"/>
      <c r="EO50" s="1455"/>
      <c r="EP50" s="1455"/>
      <c r="EQ50" s="1455"/>
      <c r="ER50" s="1455"/>
      <c r="ES50" s="1455"/>
      <c r="ET50" s="1455"/>
      <c r="EU50" s="1455"/>
      <c r="EV50" s="1455"/>
      <c r="EW50" s="1455"/>
      <c r="EX50" s="1455"/>
      <c r="EY50" s="1455"/>
      <c r="EZ50" s="1455"/>
      <c r="FA50" s="1455"/>
      <c r="FB50" s="1455"/>
      <c r="FC50" s="1455"/>
      <c r="FD50" s="1455"/>
      <c r="FE50" s="1455"/>
      <c r="FF50" s="1455"/>
      <c r="FG50" s="1455"/>
      <c r="FH50" s="1455"/>
      <c r="FI50" s="1455"/>
      <c r="FJ50" s="1455"/>
      <c r="FK50" s="1455"/>
      <c r="FL50" s="1455"/>
      <c r="FM50" s="1455"/>
      <c r="FN50" s="1455"/>
      <c r="FO50" s="1455"/>
      <c r="FP50" s="1455"/>
      <c r="FQ50" s="1455"/>
      <c r="FR50" s="1455"/>
      <c r="FS50" s="1455"/>
      <c r="FT50" s="1455"/>
      <c r="FU50" s="1455"/>
      <c r="FV50" s="1455"/>
      <c r="FW50" s="1455"/>
      <c r="FX50" s="1455"/>
      <c r="FY50" s="1455"/>
      <c r="FZ50" s="1455"/>
      <c r="GA50" s="1455"/>
      <c r="GB50" s="1455"/>
      <c r="GC50" s="1452"/>
      <c r="GD50" s="1452"/>
      <c r="GE50" s="1455"/>
      <c r="GF50" s="1455"/>
      <c r="GG50" s="1455"/>
      <c r="GH50" s="1455"/>
      <c r="GI50" s="1455"/>
      <c r="GJ50" s="1455"/>
      <c r="GK50" s="1455"/>
      <c r="GL50" s="1455"/>
      <c r="GM50" s="1455"/>
      <c r="GN50" s="1455"/>
      <c r="GO50" s="1455"/>
      <c r="GP50" s="1455"/>
      <c r="GQ50" s="1455"/>
      <c r="GR50" s="1455"/>
      <c r="GS50" s="1455"/>
      <c r="GT50" s="1455"/>
      <c r="GU50" s="1455"/>
      <c r="GV50" s="1455"/>
      <c r="GW50" s="1452"/>
      <c r="GX50" s="1452"/>
      <c r="GY50" s="1455"/>
      <c r="GZ50" s="1455"/>
      <c r="HA50" s="1455"/>
      <c r="HB50" s="1455"/>
      <c r="HC50" s="1455"/>
      <c r="HD50" s="1455"/>
      <c r="HE50" s="1455"/>
      <c r="HF50" s="1455"/>
      <c r="HG50" s="1455"/>
      <c r="HH50" s="1455"/>
      <c r="HI50" s="1455"/>
      <c r="HJ50" s="1455"/>
      <c r="HK50" s="1455"/>
      <c r="HL50" s="1455"/>
      <c r="HM50" s="1455"/>
      <c r="HN50" s="1455"/>
      <c r="HO50" s="1455"/>
      <c r="HP50" s="1455"/>
      <c r="HQ50" s="1455"/>
      <c r="HR50" s="1455"/>
      <c r="HS50" s="1455"/>
      <c r="HT50" s="1455"/>
      <c r="HU50" s="1455"/>
      <c r="HV50" s="1455"/>
      <c r="HW50" s="1455"/>
      <c r="HX50" s="1455"/>
      <c r="HY50" s="1455"/>
      <c r="HZ50" s="1455"/>
      <c r="IA50" s="1455"/>
      <c r="IB50" s="1455"/>
      <c r="IC50" s="1455"/>
      <c r="ID50" s="1455"/>
      <c r="IE50" s="1455"/>
      <c r="IF50" s="1455"/>
      <c r="IG50" s="1455"/>
      <c r="IH50" s="1455"/>
      <c r="II50" s="1455"/>
      <c r="IJ50" s="1455"/>
      <c r="IK50" s="1455"/>
      <c r="IL50" s="1381"/>
      <c r="IM50" s="1455"/>
      <c r="IN50" s="1455"/>
      <c r="IO50" s="1455"/>
      <c r="IP50" s="1455"/>
      <c r="IQ50" s="1455"/>
      <c r="IR50" s="1455"/>
      <c r="IS50" s="1455"/>
      <c r="IT50" s="1455"/>
      <c r="IU50" s="1455"/>
      <c r="IV50" s="1455"/>
      <c r="IW50" s="1455"/>
      <c r="IX50" s="1455"/>
      <c r="IY50" s="1453"/>
      <c r="IZ50" s="1455"/>
      <c r="JA50" s="1455"/>
      <c r="JB50" s="1455"/>
      <c r="JC50" s="1455"/>
      <c r="JD50" s="1455"/>
      <c r="JE50" s="1455"/>
      <c r="JF50" s="1455"/>
      <c r="JG50" s="1455"/>
      <c r="JH50" s="1455"/>
      <c r="JI50" s="1455"/>
      <c r="JJ50" s="1455"/>
      <c r="JK50" s="1455"/>
      <c r="JL50" s="1455"/>
      <c r="JM50" s="1455"/>
      <c r="JN50" s="1455"/>
      <c r="JO50" s="1455"/>
      <c r="JP50" s="1455"/>
      <c r="JQ50" s="1477"/>
      <c r="JR50" s="351"/>
      <c r="JS50" s="1470"/>
      <c r="JT50" s="450" t="s">
        <v>2242</v>
      </c>
    </row>
    <row r="51" spans="1:280" ht="12.5" x14ac:dyDescent="0.25">
      <c r="A51" s="1367">
        <v>21</v>
      </c>
      <c r="B51" s="1471" t="str">
        <f t="shared" si="3"/>
        <v/>
      </c>
      <c r="C51" s="1435" t="s">
        <v>2755</v>
      </c>
      <c r="D51" s="1436" t="s">
        <v>2756</v>
      </c>
      <c r="E51" s="1452"/>
      <c r="F51" s="1452"/>
      <c r="G51" s="1452"/>
      <c r="H51" s="1453"/>
      <c r="I51" s="1453"/>
      <c r="J51" s="1453"/>
      <c r="K51" s="1452"/>
      <c r="L51" s="1453"/>
      <c r="M51" s="1453"/>
      <c r="N51" s="1453"/>
      <c r="O51" s="1452"/>
      <c r="P51" s="1453"/>
      <c r="Q51" s="1452"/>
      <c r="R51" s="1452"/>
      <c r="S51" s="1453"/>
      <c r="T51" s="1453"/>
      <c r="U51" s="1453"/>
      <c r="V51" s="1452"/>
      <c r="W51" s="1452"/>
      <c r="X51" s="1452"/>
      <c r="Y51" s="1452"/>
      <c r="Z51" s="1453"/>
      <c r="AA51" s="1452"/>
      <c r="AB51" s="1453"/>
      <c r="AC51" s="1452"/>
      <c r="AD51" s="1452"/>
      <c r="AE51" s="1452"/>
      <c r="AF51" s="1452"/>
      <c r="AG51" s="1452"/>
      <c r="AH51" s="1452"/>
      <c r="AI51" s="1452"/>
      <c r="AJ51" s="1453"/>
      <c r="AK51" s="1452"/>
      <c r="AL51" s="1453"/>
      <c r="AM51" s="1453"/>
      <c r="AN51" s="1453"/>
      <c r="AO51" s="1453"/>
      <c r="AP51" s="1452"/>
      <c r="AQ51" s="1452"/>
      <c r="AR51" s="1453"/>
      <c r="AS51" s="1453"/>
      <c r="AT51" s="1452"/>
      <c r="AU51" s="1452"/>
      <c r="AV51" s="1453"/>
      <c r="AW51" s="1452"/>
      <c r="AX51" s="1452"/>
      <c r="AY51" s="1452"/>
      <c r="AZ51" s="1452"/>
      <c r="BA51" s="1452">
        <v>5000</v>
      </c>
      <c r="BB51" s="1452"/>
      <c r="BC51" s="1452"/>
      <c r="BD51" s="1452"/>
      <c r="BE51" s="1452"/>
      <c r="BF51" s="1452"/>
      <c r="BG51" s="1452"/>
      <c r="BH51" s="1452"/>
      <c r="BI51" s="1452"/>
      <c r="BJ51" s="1452"/>
      <c r="BK51" s="1452"/>
      <c r="BL51" s="1452"/>
      <c r="BM51" s="1452"/>
      <c r="BN51" s="1452"/>
      <c r="BO51" s="1452"/>
      <c r="BP51" s="1452"/>
      <c r="BQ51" s="1452"/>
      <c r="BR51" s="1452"/>
      <c r="BS51" s="1452"/>
      <c r="BT51" s="1452"/>
      <c r="BU51" s="1452"/>
      <c r="BV51" s="1452"/>
      <c r="BW51" s="1452"/>
      <c r="BX51" s="1452"/>
      <c r="BY51" s="1452"/>
      <c r="BZ51" s="1452"/>
      <c r="CA51" s="1452"/>
      <c r="CB51" s="1381"/>
      <c r="CC51" s="1381"/>
      <c r="CD51" s="1381"/>
      <c r="CE51" s="1452"/>
      <c r="CF51" s="1455"/>
      <c r="CG51" s="1455"/>
      <c r="CH51" s="1455"/>
      <c r="CI51" s="1455"/>
      <c r="CJ51" s="1455"/>
      <c r="CK51" s="1455"/>
      <c r="CL51" s="1455"/>
      <c r="CM51" s="1455"/>
      <c r="CN51" s="1452"/>
      <c r="CO51" s="1455"/>
      <c r="CP51" s="1455"/>
      <c r="CQ51" s="1455"/>
      <c r="CR51" s="1455"/>
      <c r="CS51" s="1455"/>
      <c r="CT51" s="1455"/>
      <c r="CU51" s="1455"/>
      <c r="CV51" s="1455"/>
      <c r="CW51" s="1455"/>
      <c r="CX51" s="1455"/>
      <c r="CY51" s="1455"/>
      <c r="CZ51" s="1455"/>
      <c r="DA51" s="1381"/>
      <c r="DB51" s="1455"/>
      <c r="DC51" s="1455"/>
      <c r="DD51" s="1455"/>
      <c r="DE51" s="1455"/>
      <c r="DF51" s="1455"/>
      <c r="DG51" s="1455"/>
      <c r="DH51" s="1455"/>
      <c r="DI51" s="1455"/>
      <c r="DJ51" s="1455"/>
      <c r="DK51" s="1455"/>
      <c r="DL51" s="1452"/>
      <c r="DM51" s="1455"/>
      <c r="DN51" s="1455"/>
      <c r="DO51" s="1455"/>
      <c r="DP51" s="1455"/>
      <c r="DQ51" s="1455"/>
      <c r="DR51" s="1455"/>
      <c r="DS51" s="1455"/>
      <c r="DT51" s="1455"/>
      <c r="DU51" s="1455"/>
      <c r="DV51" s="1455"/>
      <c r="DW51" s="1455"/>
      <c r="DX51" s="1455"/>
      <c r="DY51" s="1455"/>
      <c r="DZ51" s="1455"/>
      <c r="EA51" s="1455"/>
      <c r="EB51" s="1455"/>
      <c r="EC51" s="1455"/>
      <c r="ED51" s="1455"/>
      <c r="EE51" s="1453"/>
      <c r="EF51" s="1455"/>
      <c r="EG51" s="1455"/>
      <c r="EH51" s="1455"/>
      <c r="EI51" s="1455"/>
      <c r="EJ51" s="1455"/>
      <c r="EK51" s="1455"/>
      <c r="EL51" s="1455"/>
      <c r="EM51" s="1455"/>
      <c r="EN51" s="1455"/>
      <c r="EO51" s="1455"/>
      <c r="EP51" s="1455"/>
      <c r="EQ51" s="1455"/>
      <c r="ER51" s="1455"/>
      <c r="ES51" s="1455"/>
      <c r="ET51" s="1455"/>
      <c r="EU51" s="1455"/>
      <c r="EV51" s="1455"/>
      <c r="EW51" s="1455"/>
      <c r="EX51" s="1455"/>
      <c r="EY51" s="1455"/>
      <c r="EZ51" s="1455"/>
      <c r="FA51" s="1455"/>
      <c r="FB51" s="1455"/>
      <c r="FC51" s="1455"/>
      <c r="FD51" s="1455"/>
      <c r="FE51" s="1455"/>
      <c r="FF51" s="1455"/>
      <c r="FG51" s="1455"/>
      <c r="FH51" s="1455"/>
      <c r="FI51" s="1455"/>
      <c r="FJ51" s="1455"/>
      <c r="FK51" s="1455"/>
      <c r="FL51" s="1455"/>
      <c r="FM51" s="1455"/>
      <c r="FN51" s="1455"/>
      <c r="FO51" s="1455"/>
      <c r="FP51" s="1455"/>
      <c r="FQ51" s="1455"/>
      <c r="FR51" s="1455"/>
      <c r="FS51" s="1455"/>
      <c r="FT51" s="1455"/>
      <c r="FU51" s="1455"/>
      <c r="FV51" s="1455"/>
      <c r="FW51" s="1455"/>
      <c r="FX51" s="1455"/>
      <c r="FY51" s="1455"/>
      <c r="FZ51" s="1455"/>
      <c r="GA51" s="1455"/>
      <c r="GB51" s="1455"/>
      <c r="GC51" s="1452"/>
      <c r="GD51" s="1452"/>
      <c r="GE51" s="1455"/>
      <c r="GF51" s="1455"/>
      <c r="GG51" s="1455"/>
      <c r="GH51" s="1455"/>
      <c r="GI51" s="1455"/>
      <c r="GJ51" s="1455"/>
      <c r="GK51" s="1455"/>
      <c r="GL51" s="1455"/>
      <c r="GM51" s="1455"/>
      <c r="GN51" s="1455"/>
      <c r="GO51" s="1455"/>
      <c r="GP51" s="1455"/>
      <c r="GQ51" s="1455"/>
      <c r="GR51" s="1455"/>
      <c r="GS51" s="1455"/>
      <c r="GT51" s="1455"/>
      <c r="GU51" s="1455"/>
      <c r="GV51" s="1455"/>
      <c r="GW51" s="1452"/>
      <c r="GX51" s="1452"/>
      <c r="GY51" s="1455"/>
      <c r="GZ51" s="1455"/>
      <c r="HA51" s="1455"/>
      <c r="HB51" s="1455"/>
      <c r="HC51" s="1455"/>
      <c r="HD51" s="1455"/>
      <c r="HE51" s="1455"/>
      <c r="HF51" s="1455"/>
      <c r="HG51" s="1455"/>
      <c r="HH51" s="1455"/>
      <c r="HI51" s="1455"/>
      <c r="HJ51" s="1455"/>
      <c r="HK51" s="1455"/>
      <c r="HL51" s="1455"/>
      <c r="HM51" s="1455"/>
      <c r="HN51" s="1455"/>
      <c r="HO51" s="1455"/>
      <c r="HP51" s="1455"/>
      <c r="HQ51" s="1455"/>
      <c r="HR51" s="1455"/>
      <c r="HS51" s="1455"/>
      <c r="HT51" s="1455"/>
      <c r="HU51" s="1455"/>
      <c r="HV51" s="1455"/>
      <c r="HW51" s="1455"/>
      <c r="HX51" s="1455"/>
      <c r="HY51" s="1455"/>
      <c r="HZ51" s="1455"/>
      <c r="IA51" s="1455"/>
      <c r="IB51" s="1455"/>
      <c r="IC51" s="1455"/>
      <c r="ID51" s="1455"/>
      <c r="IE51" s="1455"/>
      <c r="IF51" s="1455"/>
      <c r="IG51" s="1455"/>
      <c r="IH51" s="1455"/>
      <c r="II51" s="1455"/>
      <c r="IJ51" s="1455"/>
      <c r="IK51" s="1455"/>
      <c r="IL51" s="1381"/>
      <c r="IM51" s="1455"/>
      <c r="IN51" s="1455"/>
      <c r="IO51" s="1455"/>
      <c r="IP51" s="1455"/>
      <c r="IQ51" s="1455"/>
      <c r="IR51" s="1455"/>
      <c r="IS51" s="1455"/>
      <c r="IT51" s="1455"/>
      <c r="IU51" s="1455"/>
      <c r="IV51" s="1455"/>
      <c r="IW51" s="1455"/>
      <c r="IX51" s="1455"/>
      <c r="IY51" s="1453"/>
      <c r="IZ51" s="1455"/>
      <c r="JA51" s="1455"/>
      <c r="JB51" s="1455"/>
      <c r="JC51" s="1455"/>
      <c r="JD51" s="1455"/>
      <c r="JE51" s="1455"/>
      <c r="JF51" s="1455"/>
      <c r="JG51" s="1455"/>
      <c r="JH51" s="1455"/>
      <c r="JI51" s="1455"/>
      <c r="JJ51" s="1455"/>
      <c r="JK51" s="1455"/>
      <c r="JL51" s="1455"/>
      <c r="JM51" s="1455"/>
      <c r="JN51" s="1455"/>
      <c r="JO51" s="1455"/>
      <c r="JP51" s="1455"/>
      <c r="JQ51" s="1477"/>
      <c r="JR51" s="351"/>
      <c r="JS51" s="1470"/>
      <c r="JT51" s="450" t="s">
        <v>2242</v>
      </c>
    </row>
    <row r="52" spans="1:280" ht="12.5" x14ac:dyDescent="0.25">
      <c r="A52" s="1367">
        <v>22</v>
      </c>
      <c r="B52" s="1471" t="str">
        <f t="shared" si="3"/>
        <v/>
      </c>
      <c r="C52" s="1435" t="s">
        <v>2757</v>
      </c>
      <c r="D52" s="1436" t="s">
        <v>2758</v>
      </c>
      <c r="E52" s="1452"/>
      <c r="F52" s="1452"/>
      <c r="G52" s="1452"/>
      <c r="H52" s="1453"/>
      <c r="I52" s="1453"/>
      <c r="J52" s="1453"/>
      <c r="K52" s="1452"/>
      <c r="L52" s="1453"/>
      <c r="M52" s="1453"/>
      <c r="N52" s="1453"/>
      <c r="O52" s="1452"/>
      <c r="P52" s="1453"/>
      <c r="Q52" s="1452"/>
      <c r="R52" s="1452"/>
      <c r="S52" s="1453"/>
      <c r="T52" s="1453"/>
      <c r="U52" s="1453"/>
      <c r="V52" s="1452"/>
      <c r="W52" s="1452"/>
      <c r="X52" s="1452"/>
      <c r="Y52" s="1452"/>
      <c r="Z52" s="1453"/>
      <c r="AA52" s="1452"/>
      <c r="AB52" s="1453"/>
      <c r="AC52" s="1452"/>
      <c r="AD52" s="1452"/>
      <c r="AE52" s="1452"/>
      <c r="AF52" s="1452"/>
      <c r="AG52" s="1452"/>
      <c r="AH52" s="1452"/>
      <c r="AI52" s="1452"/>
      <c r="AJ52" s="1453"/>
      <c r="AK52" s="1452"/>
      <c r="AL52" s="1453"/>
      <c r="AM52" s="1453"/>
      <c r="AN52" s="1453"/>
      <c r="AO52" s="1453"/>
      <c r="AP52" s="1452"/>
      <c r="AQ52" s="1452"/>
      <c r="AR52" s="1453"/>
      <c r="AS52" s="1453"/>
      <c r="AT52" s="1452"/>
      <c r="AU52" s="1452"/>
      <c r="AV52" s="1453"/>
      <c r="AW52" s="1452"/>
      <c r="AX52" s="1452"/>
      <c r="AY52" s="1452"/>
      <c r="AZ52" s="1452"/>
      <c r="BA52" s="1452">
        <v>7500</v>
      </c>
      <c r="BB52" s="1452"/>
      <c r="BC52" s="1452"/>
      <c r="BD52" s="1452"/>
      <c r="BE52" s="1452"/>
      <c r="BF52" s="1452"/>
      <c r="BG52" s="1452"/>
      <c r="BH52" s="1452"/>
      <c r="BI52" s="1452"/>
      <c r="BJ52" s="1452"/>
      <c r="BK52" s="1452"/>
      <c r="BL52" s="1452"/>
      <c r="BM52" s="1452"/>
      <c r="BN52" s="1452"/>
      <c r="BO52" s="1452"/>
      <c r="BP52" s="1452"/>
      <c r="BQ52" s="1452"/>
      <c r="BR52" s="1452"/>
      <c r="BS52" s="1452"/>
      <c r="BT52" s="1452"/>
      <c r="BU52" s="1452"/>
      <c r="BV52" s="1452"/>
      <c r="BW52" s="1452"/>
      <c r="BX52" s="1452"/>
      <c r="BY52" s="1452"/>
      <c r="BZ52" s="1452"/>
      <c r="CA52" s="1452"/>
      <c r="CB52" s="1455"/>
      <c r="CC52" s="1455"/>
      <c r="CD52" s="1455"/>
      <c r="CE52" s="1452"/>
      <c r="CF52" s="1455"/>
      <c r="CG52" s="1455"/>
      <c r="CH52" s="1455"/>
      <c r="CI52" s="1455"/>
      <c r="CJ52" s="1455"/>
      <c r="CK52" s="1455"/>
      <c r="CL52" s="1455"/>
      <c r="CM52" s="1455"/>
      <c r="CN52" s="1452"/>
      <c r="CO52" s="1455"/>
      <c r="CP52" s="1455"/>
      <c r="CQ52" s="1455"/>
      <c r="CR52" s="1455"/>
      <c r="CS52" s="1455"/>
      <c r="CT52" s="1455"/>
      <c r="CU52" s="1455"/>
      <c r="CV52" s="1455"/>
      <c r="CW52" s="1455"/>
      <c r="CX52" s="1455"/>
      <c r="CY52" s="1455"/>
      <c r="CZ52" s="1455"/>
      <c r="DA52" s="1455"/>
      <c r="DB52" s="1455"/>
      <c r="DC52" s="1455"/>
      <c r="DD52" s="1455"/>
      <c r="DE52" s="1455"/>
      <c r="DF52" s="1455"/>
      <c r="DG52" s="1455"/>
      <c r="DH52" s="1455"/>
      <c r="DI52" s="1455"/>
      <c r="DJ52" s="1455"/>
      <c r="DK52" s="1455"/>
      <c r="DL52" s="1452"/>
      <c r="DM52" s="1455"/>
      <c r="DN52" s="1455"/>
      <c r="DO52" s="1455"/>
      <c r="DP52" s="1455"/>
      <c r="DQ52" s="1455"/>
      <c r="DR52" s="1455"/>
      <c r="DS52" s="1455"/>
      <c r="DT52" s="1455"/>
      <c r="DU52" s="1455"/>
      <c r="DV52" s="1455"/>
      <c r="DW52" s="1455"/>
      <c r="DX52" s="1455"/>
      <c r="DY52" s="1455"/>
      <c r="DZ52" s="1455"/>
      <c r="EA52" s="1455"/>
      <c r="EB52" s="1455"/>
      <c r="EC52" s="1455"/>
      <c r="ED52" s="1455"/>
      <c r="EE52" s="1453"/>
      <c r="EF52" s="1455"/>
      <c r="EG52" s="1455"/>
      <c r="EH52" s="1455"/>
      <c r="EI52" s="1455"/>
      <c r="EJ52" s="1455"/>
      <c r="EK52" s="1455"/>
      <c r="EL52" s="1455"/>
      <c r="EM52" s="1455"/>
      <c r="EN52" s="1455"/>
      <c r="EO52" s="1455"/>
      <c r="EP52" s="1455"/>
      <c r="EQ52" s="1455"/>
      <c r="ER52" s="1455"/>
      <c r="ES52" s="1455"/>
      <c r="ET52" s="1455"/>
      <c r="EU52" s="1455"/>
      <c r="EV52" s="1455"/>
      <c r="EW52" s="1455"/>
      <c r="EX52" s="1455"/>
      <c r="EY52" s="1455"/>
      <c r="EZ52" s="1455"/>
      <c r="FA52" s="1455"/>
      <c r="FB52" s="1455"/>
      <c r="FC52" s="1455"/>
      <c r="FD52" s="1455"/>
      <c r="FE52" s="1455"/>
      <c r="FF52" s="1455"/>
      <c r="FG52" s="1455"/>
      <c r="FH52" s="1455"/>
      <c r="FI52" s="1455"/>
      <c r="FJ52" s="1455"/>
      <c r="FK52" s="1455"/>
      <c r="FL52" s="1455"/>
      <c r="FM52" s="1455"/>
      <c r="FN52" s="1455"/>
      <c r="FO52" s="1455"/>
      <c r="FP52" s="1455"/>
      <c r="FQ52" s="1455"/>
      <c r="FR52" s="1455"/>
      <c r="FS52" s="1455"/>
      <c r="FT52" s="1455"/>
      <c r="FU52" s="1455"/>
      <c r="FV52" s="1455"/>
      <c r="FW52" s="1455"/>
      <c r="FX52" s="1455"/>
      <c r="FY52" s="1455"/>
      <c r="FZ52" s="1455"/>
      <c r="GA52" s="1455"/>
      <c r="GB52" s="1455"/>
      <c r="GC52" s="1452"/>
      <c r="GD52" s="1452"/>
      <c r="GE52" s="1455"/>
      <c r="GF52" s="1455"/>
      <c r="GG52" s="1455"/>
      <c r="GH52" s="1455"/>
      <c r="GI52" s="1455"/>
      <c r="GJ52" s="1455"/>
      <c r="GK52" s="1455"/>
      <c r="GL52" s="1455"/>
      <c r="GM52" s="1455"/>
      <c r="GN52" s="1455"/>
      <c r="GO52" s="1455"/>
      <c r="GP52" s="1455"/>
      <c r="GQ52" s="1455"/>
      <c r="GR52" s="1455"/>
      <c r="GS52" s="1455"/>
      <c r="GT52" s="1455"/>
      <c r="GU52" s="1455"/>
      <c r="GV52" s="1455"/>
      <c r="GW52" s="1452"/>
      <c r="GX52" s="1452"/>
      <c r="GY52" s="1455"/>
      <c r="GZ52" s="1455"/>
      <c r="HA52" s="1455"/>
      <c r="HB52" s="1455"/>
      <c r="HC52" s="1455"/>
      <c r="HD52" s="1455"/>
      <c r="HE52" s="1455"/>
      <c r="HF52" s="1455"/>
      <c r="HG52" s="1455"/>
      <c r="HH52" s="1455"/>
      <c r="HI52" s="1455"/>
      <c r="HJ52" s="1455"/>
      <c r="HK52" s="1455"/>
      <c r="HL52" s="1455"/>
      <c r="HM52" s="1455"/>
      <c r="HN52" s="1455"/>
      <c r="HO52" s="1455"/>
      <c r="HP52" s="1455"/>
      <c r="HQ52" s="1455"/>
      <c r="HR52" s="1455"/>
      <c r="HS52" s="1455"/>
      <c r="HT52" s="1455"/>
      <c r="HU52" s="1455"/>
      <c r="HV52" s="1455"/>
      <c r="HW52" s="1455"/>
      <c r="HX52" s="1455"/>
      <c r="HY52" s="1455"/>
      <c r="HZ52" s="1455"/>
      <c r="IA52" s="1455"/>
      <c r="IB52" s="1455"/>
      <c r="IC52" s="1455"/>
      <c r="ID52" s="1455"/>
      <c r="IE52" s="1455"/>
      <c r="IF52" s="1455"/>
      <c r="IG52" s="1455"/>
      <c r="IH52" s="1455"/>
      <c r="II52" s="1455"/>
      <c r="IJ52" s="1455"/>
      <c r="IK52" s="1455"/>
      <c r="IL52" s="1381"/>
      <c r="IM52" s="1455"/>
      <c r="IN52" s="1455"/>
      <c r="IO52" s="1455"/>
      <c r="IP52" s="1455"/>
      <c r="IQ52" s="1455"/>
      <c r="IR52" s="1455"/>
      <c r="IS52" s="1455"/>
      <c r="IT52" s="1455"/>
      <c r="IU52" s="1455"/>
      <c r="IV52" s="1455"/>
      <c r="IW52" s="1455"/>
      <c r="IX52" s="1455"/>
      <c r="IY52" s="1453"/>
      <c r="IZ52" s="1455"/>
      <c r="JA52" s="1455"/>
      <c r="JB52" s="1455"/>
      <c r="JC52" s="1455"/>
      <c r="JD52" s="1455"/>
      <c r="JE52" s="1455"/>
      <c r="JF52" s="1455"/>
      <c r="JG52" s="1455"/>
      <c r="JH52" s="1455"/>
      <c r="JI52" s="1455"/>
      <c r="JJ52" s="1455"/>
      <c r="JK52" s="1455"/>
      <c r="JL52" s="1455"/>
      <c r="JM52" s="1455"/>
      <c r="JN52" s="1455"/>
      <c r="JO52" s="1455"/>
      <c r="JP52" s="1455"/>
      <c r="JQ52" s="1477"/>
      <c r="JR52" s="351"/>
      <c r="JS52" s="1470"/>
      <c r="JT52" s="450" t="s">
        <v>2242</v>
      </c>
    </row>
    <row r="53" spans="1:280" ht="12.5" x14ac:dyDescent="0.25">
      <c r="A53" s="1367">
        <v>23</v>
      </c>
      <c r="B53" s="1471" t="str">
        <f>IF(EMP_B_IND&gt;1,IF(HLOOKUP(EMP_B_IND-1,EMP_RANGE_B,A53)="","",HLOOKUP(EMP_B_IND-1,EMP_RANGE_B,A53)),"")</f>
        <v/>
      </c>
      <c r="C53" s="1435" t="s">
        <v>2759</v>
      </c>
      <c r="D53" s="1436" t="s">
        <v>2760</v>
      </c>
      <c r="E53" s="1452"/>
      <c r="F53" s="1452"/>
      <c r="G53" s="1452"/>
      <c r="H53" s="1453"/>
      <c r="I53" s="1453"/>
      <c r="J53" s="1453"/>
      <c r="K53" s="1452"/>
      <c r="L53" s="1453"/>
      <c r="M53" s="1453"/>
      <c r="N53" s="1453"/>
      <c r="O53" s="1452"/>
      <c r="P53" s="1453"/>
      <c r="Q53" s="1452"/>
      <c r="R53" s="1452"/>
      <c r="S53" s="1453"/>
      <c r="T53" s="1453"/>
      <c r="U53" s="1453"/>
      <c r="V53" s="1452"/>
      <c r="W53" s="1452"/>
      <c r="X53" s="1452"/>
      <c r="Y53" s="1452"/>
      <c r="Z53" s="1453"/>
      <c r="AA53" s="1452"/>
      <c r="AB53" s="1453"/>
      <c r="AC53" s="1452"/>
      <c r="AD53" s="1452"/>
      <c r="AE53" s="1452"/>
      <c r="AF53" s="1452"/>
      <c r="AG53" s="1452"/>
      <c r="AH53" s="1452"/>
      <c r="AI53" s="1452"/>
      <c r="AJ53" s="1453"/>
      <c r="AK53" s="1452"/>
      <c r="AL53" s="1453"/>
      <c r="AM53" s="1453"/>
      <c r="AN53" s="1453"/>
      <c r="AO53" s="1453"/>
      <c r="AP53" s="1452"/>
      <c r="AQ53" s="1452"/>
      <c r="AR53" s="1453"/>
      <c r="AS53" s="1453">
        <v>7500</v>
      </c>
      <c r="AT53" s="1452"/>
      <c r="AU53" s="1452"/>
      <c r="AV53" s="1453"/>
      <c r="AW53" s="1452"/>
      <c r="AX53" s="1452"/>
      <c r="AY53" s="1452"/>
      <c r="AZ53" s="1452"/>
      <c r="BA53" s="1452"/>
      <c r="BB53" s="1452"/>
      <c r="BC53" s="1452"/>
      <c r="BD53" s="1452"/>
      <c r="BE53" s="1452"/>
      <c r="BF53" s="1452"/>
      <c r="BG53" s="1452"/>
      <c r="BH53" s="1452"/>
      <c r="BI53" s="1452"/>
      <c r="BJ53" s="1452"/>
      <c r="BK53" s="1452"/>
      <c r="BL53" s="1452"/>
      <c r="BM53" s="1452"/>
      <c r="BN53" s="1452"/>
      <c r="BO53" s="1452"/>
      <c r="BP53" s="1452"/>
      <c r="BQ53" s="1452"/>
      <c r="BR53" s="1452"/>
      <c r="BS53" s="1452"/>
      <c r="BT53" s="1452"/>
      <c r="BU53" s="1452"/>
      <c r="BV53" s="1452"/>
      <c r="BW53" s="1452"/>
      <c r="BX53" s="1452"/>
      <c r="BY53" s="1452"/>
      <c r="BZ53" s="1452"/>
      <c r="CA53" s="1452"/>
      <c r="CB53" s="1455"/>
      <c r="CC53" s="1455"/>
      <c r="CD53" s="1455"/>
      <c r="CE53" s="1452"/>
      <c r="CF53" s="1455"/>
      <c r="CG53" s="1455"/>
      <c r="CH53" s="1455"/>
      <c r="CI53" s="1455"/>
      <c r="CJ53" s="1455"/>
      <c r="CK53" s="1455"/>
      <c r="CL53" s="1455"/>
      <c r="CM53" s="1455"/>
      <c r="CN53" s="1452"/>
      <c r="CO53" s="1455"/>
      <c r="CP53" s="1455"/>
      <c r="CQ53" s="1455"/>
      <c r="CR53" s="1455"/>
      <c r="CS53" s="1455"/>
      <c r="CT53" s="1455"/>
      <c r="CU53" s="1455"/>
      <c r="CV53" s="1455"/>
      <c r="CW53" s="1455"/>
      <c r="CX53" s="1455"/>
      <c r="CY53" s="1455"/>
      <c r="CZ53" s="1455"/>
      <c r="DA53" s="1455"/>
      <c r="DB53" s="1455"/>
      <c r="DC53" s="1455"/>
      <c r="DD53" s="1455"/>
      <c r="DE53" s="1455"/>
      <c r="DF53" s="1455"/>
      <c r="DG53" s="1455"/>
      <c r="DH53" s="1455"/>
      <c r="DI53" s="1455"/>
      <c r="DJ53" s="1455"/>
      <c r="DK53" s="1455"/>
      <c r="DL53" s="1452"/>
      <c r="DM53" s="1455"/>
      <c r="DN53" s="1455"/>
      <c r="DO53" s="1455"/>
      <c r="DP53" s="1455"/>
      <c r="DQ53" s="1455"/>
      <c r="DR53" s="1455"/>
      <c r="DS53" s="1455"/>
      <c r="DT53" s="1455"/>
      <c r="DU53" s="1455"/>
      <c r="DV53" s="1455"/>
      <c r="DW53" s="1455"/>
      <c r="DX53" s="1455"/>
      <c r="DY53" s="1455"/>
      <c r="DZ53" s="1455"/>
      <c r="EA53" s="1455"/>
      <c r="EB53" s="1455"/>
      <c r="EC53" s="1455"/>
      <c r="ED53" s="1455"/>
      <c r="EE53" s="1453">
        <v>7500</v>
      </c>
      <c r="EF53" s="1455"/>
      <c r="EG53" s="1455"/>
      <c r="EH53" s="1472">
        <v>4794</v>
      </c>
      <c r="EI53" s="1455"/>
      <c r="EJ53" s="1455"/>
      <c r="EK53" s="1455"/>
      <c r="EL53" s="1455"/>
      <c r="EM53" s="1455"/>
      <c r="EN53" s="1455"/>
      <c r="EO53" s="1455"/>
      <c r="EP53" s="1455"/>
      <c r="EQ53" s="1455"/>
      <c r="ER53" s="1455"/>
      <c r="ES53" s="1455"/>
      <c r="ET53" s="1455"/>
      <c r="EU53" s="1455"/>
      <c r="EV53" s="1455"/>
      <c r="EW53" s="1455"/>
      <c r="EX53" s="1455"/>
      <c r="EY53" s="1455"/>
      <c r="EZ53" s="1455"/>
      <c r="FA53" s="1455"/>
      <c r="FB53" s="1455"/>
      <c r="FC53" s="1455"/>
      <c r="FD53" s="1455"/>
      <c r="FE53" s="1455"/>
      <c r="FF53" s="1455"/>
      <c r="FG53" s="1455"/>
      <c r="FH53" s="1455"/>
      <c r="FI53" s="1455"/>
      <c r="FJ53" s="1455"/>
      <c r="FK53" s="1455"/>
      <c r="FL53" s="1455"/>
      <c r="FM53" s="1455"/>
      <c r="FN53" s="1455"/>
      <c r="FO53" s="1455"/>
      <c r="FP53" s="1455"/>
      <c r="FQ53" s="1455"/>
      <c r="FR53" s="1455"/>
      <c r="FS53" s="1455"/>
      <c r="FT53" s="1455"/>
      <c r="FU53" s="1455"/>
      <c r="FV53" s="1455"/>
      <c r="FW53" s="1455"/>
      <c r="FX53" s="1455"/>
      <c r="FY53" s="1455"/>
      <c r="FZ53" s="1455"/>
      <c r="GA53" s="1455"/>
      <c r="GB53" s="1455"/>
      <c r="GC53" s="1452"/>
      <c r="GD53" s="1452"/>
      <c r="GE53" s="1455"/>
      <c r="GF53" s="1455"/>
      <c r="GG53" s="1455"/>
      <c r="GH53" s="1455"/>
      <c r="GI53" s="1455"/>
      <c r="GJ53" s="1455"/>
      <c r="GK53" s="1455"/>
      <c r="GL53" s="1455"/>
      <c r="GM53" s="1455"/>
      <c r="GN53" s="1455"/>
      <c r="GO53" s="1455"/>
      <c r="GP53" s="1455"/>
      <c r="GQ53" s="1455"/>
      <c r="GR53" s="1455"/>
      <c r="GS53" s="1455"/>
      <c r="GT53" s="1455"/>
      <c r="GU53" s="1455"/>
      <c r="GV53" s="1455"/>
      <c r="GW53" s="1452"/>
      <c r="GX53" s="1452"/>
      <c r="GY53" s="1455"/>
      <c r="GZ53" s="1455"/>
      <c r="HA53" s="1455"/>
      <c r="HB53" s="1455"/>
      <c r="HC53" s="1455"/>
      <c r="HD53" s="1455"/>
      <c r="HE53" s="1455"/>
      <c r="HF53" s="1455"/>
      <c r="HG53" s="1455"/>
      <c r="HH53" s="1455"/>
      <c r="HI53" s="1455"/>
      <c r="HJ53" s="1455"/>
      <c r="HK53" s="1455"/>
      <c r="HL53" s="1455"/>
      <c r="HM53" s="1455"/>
      <c r="HN53" s="1455"/>
      <c r="HO53" s="1455"/>
      <c r="HP53" s="1455"/>
      <c r="HQ53" s="1455"/>
      <c r="HR53" s="1455"/>
      <c r="HS53" s="1455"/>
      <c r="HT53" s="1455"/>
      <c r="HU53" s="1455"/>
      <c r="HV53" s="1455"/>
      <c r="HW53" s="1455"/>
      <c r="HX53" s="1455"/>
      <c r="HY53" s="1455"/>
      <c r="HZ53" s="1455"/>
      <c r="IA53" s="1455"/>
      <c r="IB53" s="1455"/>
      <c r="IC53" s="1455"/>
      <c r="ID53" s="1455"/>
      <c r="IE53" s="1455"/>
      <c r="IF53" s="1455"/>
      <c r="IG53" s="1455"/>
      <c r="IH53" s="1455"/>
      <c r="II53" s="1455"/>
      <c r="IJ53" s="1455"/>
      <c r="IK53" s="1455"/>
      <c r="IL53" s="1381"/>
      <c r="IM53" s="1455"/>
      <c r="IN53" s="1455"/>
      <c r="IO53" s="1455"/>
      <c r="IP53" s="1455"/>
      <c r="IQ53" s="1455"/>
      <c r="IR53" s="1455"/>
      <c r="IS53" s="1455"/>
      <c r="IT53" s="1455"/>
      <c r="IU53" s="1455"/>
      <c r="IV53" s="1455"/>
      <c r="IW53" s="1455"/>
      <c r="IX53" s="1455"/>
      <c r="IY53" s="1453"/>
      <c r="IZ53" s="1455"/>
      <c r="JA53" s="1455"/>
      <c r="JB53" s="1455"/>
      <c r="JC53" s="1455"/>
      <c r="JD53" s="1455"/>
      <c r="JE53" s="1455"/>
      <c r="JF53" s="1455"/>
      <c r="JG53" s="1455"/>
      <c r="JH53" s="1455"/>
      <c r="JI53" s="1455"/>
      <c r="JJ53" s="1455"/>
      <c r="JK53" s="1455"/>
      <c r="JL53" s="1455"/>
      <c r="JM53" s="1455"/>
      <c r="JN53" s="1455"/>
      <c r="JO53" s="1455"/>
      <c r="JP53" s="1455"/>
      <c r="JQ53" s="1477"/>
      <c r="JR53" s="351"/>
      <c r="JS53" s="1470"/>
      <c r="JT53" s="450" t="s">
        <v>2242</v>
      </c>
    </row>
    <row r="54" spans="1:280" ht="12.5" x14ac:dyDescent="0.25">
      <c r="A54" s="1367">
        <v>24</v>
      </c>
      <c r="B54" s="1471" t="str">
        <f t="shared" si="3"/>
        <v/>
      </c>
      <c r="C54" s="1435" t="s">
        <v>2761</v>
      </c>
      <c r="D54" s="1436" t="s">
        <v>2762</v>
      </c>
      <c r="E54" s="1452"/>
      <c r="F54" s="1452"/>
      <c r="G54" s="1452"/>
      <c r="H54" s="1453"/>
      <c r="I54" s="1453"/>
      <c r="J54" s="1453"/>
      <c r="K54" s="1452"/>
      <c r="L54" s="1453"/>
      <c r="M54" s="1453"/>
      <c r="N54" s="1453"/>
      <c r="O54" s="1452"/>
      <c r="P54" s="1453"/>
      <c r="Q54" s="1452"/>
      <c r="R54" s="1452"/>
      <c r="S54" s="1453"/>
      <c r="T54" s="1453"/>
      <c r="U54" s="1453"/>
      <c r="V54" s="1452"/>
      <c r="W54" s="1452"/>
      <c r="X54" s="1452"/>
      <c r="Y54" s="1452"/>
      <c r="Z54" s="1453"/>
      <c r="AA54" s="1452"/>
      <c r="AB54" s="1453"/>
      <c r="AC54" s="1452"/>
      <c r="AD54" s="1452"/>
      <c r="AE54" s="1452"/>
      <c r="AF54" s="1452"/>
      <c r="AG54" s="1452"/>
      <c r="AH54" s="1452"/>
      <c r="AI54" s="1452"/>
      <c r="AJ54" s="1453"/>
      <c r="AK54" s="1452"/>
      <c r="AL54" s="1453"/>
      <c r="AM54" s="1453"/>
      <c r="AN54" s="1453"/>
      <c r="AO54" s="1453"/>
      <c r="AP54" s="1452"/>
      <c r="AQ54" s="1452"/>
      <c r="AR54" s="1453"/>
      <c r="AS54" s="1453">
        <v>4500</v>
      </c>
      <c r="AT54" s="1452"/>
      <c r="AU54" s="1452"/>
      <c r="AV54" s="1453"/>
      <c r="AW54" s="1452"/>
      <c r="AX54" s="1452"/>
      <c r="AY54" s="1452"/>
      <c r="AZ54" s="1452"/>
      <c r="BA54" s="1452"/>
      <c r="BB54" s="1452"/>
      <c r="BC54" s="1452"/>
      <c r="BD54" s="1452"/>
      <c r="BE54" s="1452"/>
      <c r="BF54" s="1452"/>
      <c r="BG54" s="1452"/>
      <c r="BH54" s="1452"/>
      <c r="BI54" s="1452"/>
      <c r="BJ54" s="1452"/>
      <c r="BK54" s="1452"/>
      <c r="BL54" s="1452"/>
      <c r="BM54" s="1452"/>
      <c r="BN54" s="1452"/>
      <c r="BO54" s="1452"/>
      <c r="BP54" s="1452"/>
      <c r="BQ54" s="1452"/>
      <c r="BR54" s="1452"/>
      <c r="BS54" s="1452"/>
      <c r="BT54" s="1452"/>
      <c r="BU54" s="1452"/>
      <c r="BV54" s="1452"/>
      <c r="BW54" s="1452"/>
      <c r="BX54" s="1452"/>
      <c r="BY54" s="1452"/>
      <c r="BZ54" s="1452"/>
      <c r="CA54" s="1452"/>
      <c r="CB54" s="1455"/>
      <c r="CC54" s="1455"/>
      <c r="CD54" s="1455"/>
      <c r="CE54" s="1452"/>
      <c r="CF54" s="1455"/>
      <c r="CG54" s="1455"/>
      <c r="CH54" s="1455"/>
      <c r="CI54" s="1455"/>
      <c r="CJ54" s="1455"/>
      <c r="CK54" s="1455"/>
      <c r="CL54" s="1455"/>
      <c r="CM54" s="1455"/>
      <c r="CN54" s="1452"/>
      <c r="CO54" s="1455"/>
      <c r="CP54" s="1455"/>
      <c r="CQ54" s="1455"/>
      <c r="CR54" s="1455"/>
      <c r="CS54" s="1455"/>
      <c r="CT54" s="1455"/>
      <c r="CU54" s="1455"/>
      <c r="CV54" s="1455"/>
      <c r="CW54" s="1455"/>
      <c r="CX54" s="1455"/>
      <c r="CY54" s="1455"/>
      <c r="CZ54" s="1455"/>
      <c r="DA54" s="1455"/>
      <c r="DB54" s="1455"/>
      <c r="DC54" s="1455"/>
      <c r="DD54" s="1455"/>
      <c r="DE54" s="1455"/>
      <c r="DF54" s="1455"/>
      <c r="DG54" s="1455"/>
      <c r="DH54" s="1455"/>
      <c r="DI54" s="1455"/>
      <c r="DJ54" s="1455"/>
      <c r="DK54" s="1455"/>
      <c r="DL54" s="1452"/>
      <c r="DM54" s="1455"/>
      <c r="DN54" s="1455"/>
      <c r="DO54" s="1455"/>
      <c r="DP54" s="1455"/>
      <c r="DQ54" s="1455"/>
      <c r="DR54" s="1455"/>
      <c r="DS54" s="1455"/>
      <c r="DT54" s="1455"/>
      <c r="DU54" s="1455"/>
      <c r="DV54" s="1455"/>
      <c r="DW54" s="1455"/>
      <c r="DX54" s="1455"/>
      <c r="DY54" s="1455"/>
      <c r="DZ54" s="1455"/>
      <c r="EA54" s="1455"/>
      <c r="EB54" s="1455"/>
      <c r="EC54" s="1455"/>
      <c r="ED54" s="1455"/>
      <c r="EE54" s="1453">
        <v>4500</v>
      </c>
      <c r="EF54" s="1455"/>
      <c r="EG54" s="1455"/>
      <c r="EH54" s="1455"/>
      <c r="EI54" s="1455"/>
      <c r="EJ54" s="1455"/>
      <c r="EK54" s="1455"/>
      <c r="EL54" s="1455"/>
      <c r="EM54" s="1455"/>
      <c r="EN54" s="1455"/>
      <c r="EO54" s="1455"/>
      <c r="EP54" s="1455"/>
      <c r="EQ54" s="1455"/>
      <c r="ER54" s="1455"/>
      <c r="ES54" s="1455"/>
      <c r="ET54" s="1455"/>
      <c r="EU54" s="1455"/>
      <c r="EV54" s="1455"/>
      <c r="EW54" s="1455"/>
      <c r="EX54" s="1455"/>
      <c r="EY54" s="1455"/>
      <c r="EZ54" s="1455"/>
      <c r="FA54" s="1455"/>
      <c r="FB54" s="1455"/>
      <c r="FC54" s="1455"/>
      <c r="FD54" s="1455"/>
      <c r="FE54" s="1455"/>
      <c r="FF54" s="1455"/>
      <c r="FG54" s="1455"/>
      <c r="FH54" s="1455"/>
      <c r="FI54" s="1455"/>
      <c r="FJ54" s="1455"/>
      <c r="FK54" s="1455"/>
      <c r="FL54" s="1455"/>
      <c r="FM54" s="1455"/>
      <c r="FN54" s="1455"/>
      <c r="FO54" s="1455"/>
      <c r="FP54" s="1455"/>
      <c r="FQ54" s="1455"/>
      <c r="FR54" s="1455"/>
      <c r="FS54" s="1455"/>
      <c r="FT54" s="1455"/>
      <c r="FU54" s="1455"/>
      <c r="FV54" s="1455"/>
      <c r="FW54" s="1455"/>
      <c r="FX54" s="1455"/>
      <c r="FY54" s="1455"/>
      <c r="FZ54" s="1455"/>
      <c r="GA54" s="1455"/>
      <c r="GB54" s="1455"/>
      <c r="GC54" s="1452"/>
      <c r="GD54" s="1452"/>
      <c r="GE54" s="1455"/>
      <c r="GF54" s="1455"/>
      <c r="GG54" s="1455"/>
      <c r="GH54" s="1455"/>
      <c r="GI54" s="1455"/>
      <c r="GJ54" s="1455"/>
      <c r="GK54" s="1455"/>
      <c r="GL54" s="1455"/>
      <c r="GM54" s="1455"/>
      <c r="GN54" s="1455"/>
      <c r="GO54" s="1455"/>
      <c r="GP54" s="1455"/>
      <c r="GQ54" s="1455"/>
      <c r="GR54" s="1455"/>
      <c r="GS54" s="1455"/>
      <c r="GT54" s="1455"/>
      <c r="GU54" s="1455"/>
      <c r="GV54" s="1455"/>
      <c r="GW54" s="1452"/>
      <c r="GX54" s="1452"/>
      <c r="GY54" s="1455"/>
      <c r="GZ54" s="1455"/>
      <c r="HA54" s="1455"/>
      <c r="HB54" s="1455"/>
      <c r="HC54" s="1455"/>
      <c r="HD54" s="1455"/>
      <c r="HE54" s="1455"/>
      <c r="HF54" s="1455"/>
      <c r="HG54" s="1455"/>
      <c r="HH54" s="1455"/>
      <c r="HI54" s="1455"/>
      <c r="HJ54" s="1455"/>
      <c r="HK54" s="1455"/>
      <c r="HL54" s="1455"/>
      <c r="HM54" s="1455"/>
      <c r="HN54" s="1455"/>
      <c r="HO54" s="1455"/>
      <c r="HP54" s="1455"/>
      <c r="HQ54" s="1455"/>
      <c r="HR54" s="1455"/>
      <c r="HS54" s="1455"/>
      <c r="HT54" s="1455"/>
      <c r="HU54" s="1455"/>
      <c r="HV54" s="1455"/>
      <c r="HW54" s="1455"/>
      <c r="HX54" s="1455"/>
      <c r="HY54" s="1455"/>
      <c r="HZ54" s="1455"/>
      <c r="IA54" s="1455"/>
      <c r="IB54" s="1455"/>
      <c r="IC54" s="1455"/>
      <c r="ID54" s="1455"/>
      <c r="IE54" s="1455"/>
      <c r="IF54" s="1455"/>
      <c r="IG54" s="1455"/>
      <c r="IH54" s="1455"/>
      <c r="II54" s="1455"/>
      <c r="IJ54" s="1455"/>
      <c r="IK54" s="1455"/>
      <c r="IL54" s="1455"/>
      <c r="IM54" s="1455"/>
      <c r="IN54" s="1455"/>
      <c r="IO54" s="1455"/>
      <c r="IP54" s="1455"/>
      <c r="IQ54" s="1455"/>
      <c r="IR54" s="1455"/>
      <c r="IS54" s="1455"/>
      <c r="IT54" s="1455"/>
      <c r="IU54" s="1455"/>
      <c r="IV54" s="1455"/>
      <c r="IW54" s="1455"/>
      <c r="IX54" s="1455"/>
      <c r="IY54" s="1453"/>
      <c r="IZ54" s="1455"/>
      <c r="JA54" s="1455"/>
      <c r="JB54" s="1455"/>
      <c r="JC54" s="1455"/>
      <c r="JD54" s="1455"/>
      <c r="JE54" s="1455"/>
      <c r="JF54" s="1455"/>
      <c r="JG54" s="1455"/>
      <c r="JH54" s="1455"/>
      <c r="JI54" s="1455"/>
      <c r="JJ54" s="1455"/>
      <c r="JK54" s="1455"/>
      <c r="JL54" s="1455"/>
      <c r="JM54" s="1455"/>
      <c r="JN54" s="1455"/>
      <c r="JO54" s="1455"/>
      <c r="JP54" s="1455"/>
      <c r="JQ54" s="1477"/>
      <c r="JR54" s="351"/>
      <c r="JS54" s="1470"/>
      <c r="JT54" s="450" t="s">
        <v>2242</v>
      </c>
    </row>
    <row r="55" spans="1:280" ht="12.5" x14ac:dyDescent="0.25">
      <c r="A55" s="1367">
        <v>25</v>
      </c>
      <c r="B55" s="1471" t="str">
        <f t="shared" si="3"/>
        <v/>
      </c>
      <c r="C55" s="1435" t="s">
        <v>2763</v>
      </c>
      <c r="D55" s="1436" t="s">
        <v>2764</v>
      </c>
      <c r="E55" s="1452"/>
      <c r="F55" s="1452"/>
      <c r="G55" s="1452"/>
      <c r="H55" s="1453"/>
      <c r="I55" s="1453"/>
      <c r="J55" s="1453"/>
      <c r="K55" s="1452"/>
      <c r="L55" s="1453"/>
      <c r="M55" s="1453"/>
      <c r="N55" s="1453"/>
      <c r="O55" s="1452"/>
      <c r="P55" s="1453"/>
      <c r="Q55" s="1452"/>
      <c r="R55" s="1452"/>
      <c r="S55" s="1453"/>
      <c r="T55" s="1453"/>
      <c r="U55" s="1453"/>
      <c r="V55" s="1452"/>
      <c r="W55" s="1452"/>
      <c r="X55" s="1452"/>
      <c r="Y55" s="1452"/>
      <c r="Z55" s="1453"/>
      <c r="AA55" s="1452"/>
      <c r="AB55" s="1453"/>
      <c r="AC55" s="1452"/>
      <c r="AD55" s="1452"/>
      <c r="AE55" s="1452"/>
      <c r="AF55" s="1452"/>
      <c r="AG55" s="1452"/>
      <c r="AH55" s="1452"/>
      <c r="AI55" s="1452"/>
      <c r="AJ55" s="1453"/>
      <c r="AK55" s="1452"/>
      <c r="AL55" s="1453"/>
      <c r="AM55" s="1453"/>
      <c r="AN55" s="1453"/>
      <c r="AO55" s="1453"/>
      <c r="AP55" s="1452"/>
      <c r="AQ55" s="1452"/>
      <c r="AR55" s="1453"/>
      <c r="AS55" s="1453">
        <v>5000</v>
      </c>
      <c r="AT55" s="1452"/>
      <c r="AU55" s="1452"/>
      <c r="AV55" s="1453"/>
      <c r="AW55" s="1452"/>
      <c r="AX55" s="1452"/>
      <c r="AY55" s="1452"/>
      <c r="AZ55" s="1452"/>
      <c r="BA55" s="1452"/>
      <c r="BB55" s="1452"/>
      <c r="BC55" s="1452"/>
      <c r="BD55" s="1452"/>
      <c r="BE55" s="1452"/>
      <c r="BF55" s="1452"/>
      <c r="BG55" s="1452"/>
      <c r="BH55" s="1452"/>
      <c r="BI55" s="1452"/>
      <c r="BJ55" s="1452"/>
      <c r="BK55" s="1452"/>
      <c r="BL55" s="1452"/>
      <c r="BM55" s="1452"/>
      <c r="BN55" s="1452"/>
      <c r="BO55" s="1452"/>
      <c r="BP55" s="1452"/>
      <c r="BQ55" s="1452"/>
      <c r="BR55" s="1452"/>
      <c r="BS55" s="1452"/>
      <c r="BT55" s="1452"/>
      <c r="BU55" s="1452"/>
      <c r="BV55" s="1452"/>
      <c r="BW55" s="1452"/>
      <c r="BX55" s="1452"/>
      <c r="BY55" s="1452"/>
      <c r="BZ55" s="1452"/>
      <c r="CA55" s="1452"/>
      <c r="CB55" s="1455"/>
      <c r="CC55" s="1455"/>
      <c r="CD55" s="1455"/>
      <c r="CE55" s="1452"/>
      <c r="CF55" s="1455"/>
      <c r="CG55" s="1455"/>
      <c r="CH55" s="1455"/>
      <c r="CI55" s="1455"/>
      <c r="CJ55" s="1455"/>
      <c r="CK55" s="1455"/>
      <c r="CL55" s="1455"/>
      <c r="CM55" s="1455"/>
      <c r="CN55" s="1452"/>
      <c r="CO55" s="1455"/>
      <c r="CP55" s="1455"/>
      <c r="CQ55" s="1455"/>
      <c r="CR55" s="1455"/>
      <c r="CS55" s="1455"/>
      <c r="CT55" s="1455"/>
      <c r="CU55" s="1455"/>
      <c r="CV55" s="1455"/>
      <c r="CW55" s="1455"/>
      <c r="CX55" s="1455"/>
      <c r="CY55" s="1455"/>
      <c r="CZ55" s="1455"/>
      <c r="DA55" s="1455"/>
      <c r="DB55" s="1455"/>
      <c r="DC55" s="1455"/>
      <c r="DD55" s="1455"/>
      <c r="DE55" s="1455"/>
      <c r="DF55" s="1455"/>
      <c r="DG55" s="1455"/>
      <c r="DH55" s="1455"/>
      <c r="DI55" s="1455"/>
      <c r="DJ55" s="1455"/>
      <c r="DK55" s="1455"/>
      <c r="DL55" s="1452"/>
      <c r="DM55" s="1455"/>
      <c r="DN55" s="1455"/>
      <c r="DO55" s="1455"/>
      <c r="DP55" s="1455"/>
      <c r="DQ55" s="1455"/>
      <c r="DR55" s="1455"/>
      <c r="DS55" s="1455"/>
      <c r="DT55" s="1455"/>
      <c r="DU55" s="1455"/>
      <c r="DV55" s="1455"/>
      <c r="DW55" s="1455"/>
      <c r="DX55" s="1455"/>
      <c r="DY55" s="1455"/>
      <c r="DZ55" s="1455"/>
      <c r="EA55" s="1455"/>
      <c r="EB55" s="1455"/>
      <c r="EC55" s="1455"/>
      <c r="ED55" s="1455"/>
      <c r="EE55" s="1453">
        <v>5000</v>
      </c>
      <c r="EF55" s="1455"/>
      <c r="EG55" s="1455"/>
      <c r="EH55" s="1455"/>
      <c r="EI55" s="1455"/>
      <c r="EJ55" s="1455"/>
      <c r="EK55" s="1455"/>
      <c r="EL55" s="1455"/>
      <c r="EM55" s="1455"/>
      <c r="EN55" s="1455"/>
      <c r="EO55" s="1455"/>
      <c r="EP55" s="1455"/>
      <c r="EQ55" s="1455"/>
      <c r="ER55" s="1455"/>
      <c r="ES55" s="1455"/>
      <c r="ET55" s="1455"/>
      <c r="EU55" s="1455"/>
      <c r="EV55" s="1455"/>
      <c r="EW55" s="1455"/>
      <c r="EX55" s="1455"/>
      <c r="EY55" s="1455"/>
      <c r="EZ55" s="1455"/>
      <c r="FA55" s="1455"/>
      <c r="FB55" s="1455"/>
      <c r="FC55" s="1455"/>
      <c r="FD55" s="1455"/>
      <c r="FE55" s="1455"/>
      <c r="FF55" s="1455"/>
      <c r="FG55" s="1455"/>
      <c r="FH55" s="1455"/>
      <c r="FI55" s="1455"/>
      <c r="FJ55" s="1455"/>
      <c r="FK55" s="1455"/>
      <c r="FL55" s="1455"/>
      <c r="FM55" s="1455"/>
      <c r="FN55" s="1455"/>
      <c r="FO55" s="1455"/>
      <c r="FP55" s="1455"/>
      <c r="FQ55" s="1455"/>
      <c r="FR55" s="1455"/>
      <c r="FS55" s="1455"/>
      <c r="FT55" s="1455"/>
      <c r="FU55" s="1455"/>
      <c r="FV55" s="1455"/>
      <c r="FW55" s="1455"/>
      <c r="FX55" s="1455"/>
      <c r="FY55" s="1455"/>
      <c r="FZ55" s="1455"/>
      <c r="GA55" s="1455"/>
      <c r="GB55" s="1455"/>
      <c r="GC55" s="1452"/>
      <c r="GD55" s="1452"/>
      <c r="GE55" s="1455"/>
      <c r="GF55" s="1455"/>
      <c r="GG55" s="1455"/>
      <c r="GH55" s="1455"/>
      <c r="GI55" s="1455"/>
      <c r="GJ55" s="1455"/>
      <c r="GK55" s="1455"/>
      <c r="GL55" s="1455"/>
      <c r="GM55" s="1455"/>
      <c r="GN55" s="1455"/>
      <c r="GO55" s="1455"/>
      <c r="GP55" s="1455"/>
      <c r="GQ55" s="1455"/>
      <c r="GR55" s="1455"/>
      <c r="GS55" s="1455"/>
      <c r="GT55" s="1455"/>
      <c r="GU55" s="1455"/>
      <c r="GV55" s="1455"/>
      <c r="GW55" s="1452"/>
      <c r="GX55" s="1452"/>
      <c r="GY55" s="1455"/>
      <c r="GZ55" s="1455"/>
      <c r="HA55" s="1455"/>
      <c r="HB55" s="1455"/>
      <c r="HC55" s="1455"/>
      <c r="HD55" s="1455"/>
      <c r="HE55" s="1455"/>
      <c r="HF55" s="1455"/>
      <c r="HG55" s="1455"/>
      <c r="HH55" s="1455"/>
      <c r="HI55" s="1455"/>
      <c r="HJ55" s="1455"/>
      <c r="HK55" s="1455"/>
      <c r="HL55" s="1455"/>
      <c r="HM55" s="1455"/>
      <c r="HN55" s="1455"/>
      <c r="HO55" s="1455"/>
      <c r="HP55" s="1455"/>
      <c r="HQ55" s="1455"/>
      <c r="HR55" s="1455"/>
      <c r="HS55" s="1455"/>
      <c r="HT55" s="1455"/>
      <c r="HU55" s="1455"/>
      <c r="HV55" s="1455"/>
      <c r="HW55" s="1455"/>
      <c r="HX55" s="1455"/>
      <c r="HY55" s="1455"/>
      <c r="HZ55" s="1455"/>
      <c r="IA55" s="1455"/>
      <c r="IB55" s="1455"/>
      <c r="IC55" s="1455"/>
      <c r="ID55" s="1455"/>
      <c r="IE55" s="1455"/>
      <c r="IF55" s="1455"/>
      <c r="IG55" s="1455"/>
      <c r="IH55" s="1455"/>
      <c r="II55" s="1455"/>
      <c r="IJ55" s="1455"/>
      <c r="IK55" s="1455"/>
      <c r="IL55" s="1455"/>
      <c r="IM55" s="1455"/>
      <c r="IN55" s="1455"/>
      <c r="IO55" s="1455"/>
      <c r="IP55" s="1455"/>
      <c r="IQ55" s="1455"/>
      <c r="IR55" s="1455"/>
      <c r="IS55" s="1455"/>
      <c r="IT55" s="1455"/>
      <c r="IU55" s="1455"/>
      <c r="IV55" s="1455"/>
      <c r="IW55" s="1455"/>
      <c r="IX55" s="1455"/>
      <c r="IY55" s="1453"/>
      <c r="IZ55" s="1455"/>
      <c r="JA55" s="1455"/>
      <c r="JB55" s="1455"/>
      <c r="JC55" s="1455"/>
      <c r="JD55" s="1455"/>
      <c r="JE55" s="1455"/>
      <c r="JF55" s="1455"/>
      <c r="JG55" s="1455"/>
      <c r="JH55" s="1455"/>
      <c r="JI55" s="1455"/>
      <c r="JJ55" s="1455"/>
      <c r="JK55" s="1455"/>
      <c r="JL55" s="1455"/>
      <c r="JM55" s="1455"/>
      <c r="JN55" s="1455"/>
      <c r="JO55" s="1455"/>
      <c r="JP55" s="1455"/>
      <c r="JQ55" s="1477"/>
      <c r="JR55" s="351"/>
      <c r="JS55" s="1470"/>
      <c r="JT55" s="450" t="s">
        <v>2242</v>
      </c>
    </row>
    <row r="56" spans="1:280" ht="12.5" x14ac:dyDescent="0.25">
      <c r="A56" s="1367">
        <v>26</v>
      </c>
      <c r="B56" s="1471" t="str">
        <f t="shared" si="3"/>
        <v/>
      </c>
      <c r="C56" s="1435" t="s">
        <v>2765</v>
      </c>
      <c r="D56" s="1436" t="s">
        <v>2766</v>
      </c>
      <c r="E56" s="1452"/>
      <c r="F56" s="1452"/>
      <c r="G56" s="1452"/>
      <c r="H56" s="1453"/>
      <c r="I56" s="1453"/>
      <c r="J56" s="1453"/>
      <c r="K56" s="1452"/>
      <c r="L56" s="1453"/>
      <c r="M56" s="1453"/>
      <c r="N56" s="1453"/>
      <c r="O56" s="1452"/>
      <c r="P56" s="1453"/>
      <c r="Q56" s="1452"/>
      <c r="R56" s="1452"/>
      <c r="S56" s="1453"/>
      <c r="T56" s="1453"/>
      <c r="U56" s="1453"/>
      <c r="V56" s="1452"/>
      <c r="W56" s="1452"/>
      <c r="X56" s="1452"/>
      <c r="Y56" s="1452"/>
      <c r="Z56" s="1453"/>
      <c r="AA56" s="1452"/>
      <c r="AB56" s="1453"/>
      <c r="AC56" s="1452"/>
      <c r="AD56" s="1452"/>
      <c r="AE56" s="1452"/>
      <c r="AF56" s="1452"/>
      <c r="AG56" s="1452"/>
      <c r="AH56" s="1452"/>
      <c r="AI56" s="1452"/>
      <c r="AJ56" s="1453"/>
      <c r="AK56" s="1452"/>
      <c r="AL56" s="1453"/>
      <c r="AM56" s="1453"/>
      <c r="AN56" s="1453"/>
      <c r="AO56" s="1453"/>
      <c r="AP56" s="1452"/>
      <c r="AQ56" s="1452"/>
      <c r="AR56" s="1453"/>
      <c r="AS56" s="1453"/>
      <c r="AT56" s="1452"/>
      <c r="AU56" s="1452"/>
      <c r="AV56" s="1453"/>
      <c r="AW56" s="1452"/>
      <c r="AX56" s="1452"/>
      <c r="AY56" s="1452"/>
      <c r="AZ56" s="1452"/>
      <c r="BA56" s="1452"/>
      <c r="BB56" s="1452"/>
      <c r="BC56" s="1452"/>
      <c r="BD56" s="1452"/>
      <c r="BE56" s="1452"/>
      <c r="BF56" s="1452"/>
      <c r="BG56" s="1452"/>
      <c r="BH56" s="1452"/>
      <c r="BI56" s="1452"/>
      <c r="BJ56" s="1452"/>
      <c r="BK56" s="1452"/>
      <c r="BL56" s="1452"/>
      <c r="BM56" s="1452"/>
      <c r="BN56" s="1452"/>
      <c r="BO56" s="1452"/>
      <c r="BP56" s="1452"/>
      <c r="BQ56" s="1452"/>
      <c r="BR56" s="1452"/>
      <c r="BS56" s="1452"/>
      <c r="BT56" s="1452"/>
      <c r="BU56" s="1452"/>
      <c r="BV56" s="1452"/>
      <c r="BW56" s="1452"/>
      <c r="BX56" s="1452"/>
      <c r="BY56" s="1452"/>
      <c r="BZ56" s="1452"/>
      <c r="CA56" s="1452"/>
      <c r="CB56" s="1455"/>
      <c r="CC56" s="1455"/>
      <c r="CD56" s="1455"/>
      <c r="CE56" s="1452"/>
      <c r="CF56" s="1455"/>
      <c r="CG56" s="1455"/>
      <c r="CH56" s="1455"/>
      <c r="CI56" s="1455"/>
      <c r="CJ56" s="1455"/>
      <c r="CK56" s="1455"/>
      <c r="CL56" s="1455"/>
      <c r="CM56" s="1455"/>
      <c r="CN56" s="1452"/>
      <c r="CO56" s="1455"/>
      <c r="CP56" s="1455"/>
      <c r="CQ56" s="1455"/>
      <c r="CR56" s="1455"/>
      <c r="CS56" s="1455"/>
      <c r="CT56" s="1455"/>
      <c r="CU56" s="1455"/>
      <c r="CV56" s="1455"/>
      <c r="CW56" s="1455"/>
      <c r="CX56" s="1455"/>
      <c r="CY56" s="1455"/>
      <c r="CZ56" s="1455"/>
      <c r="DA56" s="1455"/>
      <c r="DB56" s="1455"/>
      <c r="DC56" s="1455"/>
      <c r="DD56" s="1455"/>
      <c r="DE56" s="1455"/>
      <c r="DF56" s="1455"/>
      <c r="DG56" s="1455"/>
      <c r="DH56" s="1455"/>
      <c r="DI56" s="1455"/>
      <c r="DJ56" s="1455"/>
      <c r="DK56" s="1455"/>
      <c r="DL56" s="1452"/>
      <c r="DM56" s="1455"/>
      <c r="DN56" s="1455"/>
      <c r="DO56" s="1455"/>
      <c r="DP56" s="1455"/>
      <c r="DQ56" s="1455"/>
      <c r="DR56" s="1455"/>
      <c r="DS56" s="1455"/>
      <c r="DT56" s="1455"/>
      <c r="DU56" s="1455"/>
      <c r="DV56" s="1455"/>
      <c r="DW56" s="1455"/>
      <c r="DX56" s="1455"/>
      <c r="DY56" s="1455"/>
      <c r="DZ56" s="1455"/>
      <c r="EA56" s="1455"/>
      <c r="EB56" s="1455"/>
      <c r="EC56" s="1455"/>
      <c r="ED56" s="1455"/>
      <c r="EE56" s="1453"/>
      <c r="EF56" s="1455"/>
      <c r="EG56" s="1455"/>
      <c r="EH56" s="1455"/>
      <c r="EI56" s="1455"/>
      <c r="EJ56" s="1455"/>
      <c r="EK56" s="1455"/>
      <c r="EL56" s="1455"/>
      <c r="EM56" s="1455"/>
      <c r="EN56" s="1455"/>
      <c r="EO56" s="1455"/>
      <c r="EP56" s="1455"/>
      <c r="EQ56" s="1455"/>
      <c r="ER56" s="1455"/>
      <c r="ES56" s="1455"/>
      <c r="ET56" s="1455"/>
      <c r="EU56" s="1455"/>
      <c r="EV56" s="1455"/>
      <c r="EW56" s="1455"/>
      <c r="EX56" s="1455"/>
      <c r="EY56" s="1455"/>
      <c r="EZ56" s="1455"/>
      <c r="FA56" s="1455"/>
      <c r="FB56" s="1455"/>
      <c r="FC56" s="1455"/>
      <c r="FD56" s="1455"/>
      <c r="FE56" s="1455"/>
      <c r="FF56" s="1455"/>
      <c r="FG56" s="1455"/>
      <c r="FH56" s="1455"/>
      <c r="FI56" s="1455"/>
      <c r="FJ56" s="1455"/>
      <c r="FK56" s="1455"/>
      <c r="FL56" s="1455"/>
      <c r="FM56" s="1455"/>
      <c r="FN56" s="1455"/>
      <c r="FO56" s="1455"/>
      <c r="FP56" s="1455"/>
      <c r="FQ56" s="1455"/>
      <c r="FR56" s="1455"/>
      <c r="FS56" s="1455"/>
      <c r="FT56" s="1455"/>
      <c r="FU56" s="1455"/>
      <c r="FV56" s="1455"/>
      <c r="FW56" s="1455"/>
      <c r="FX56" s="1455"/>
      <c r="FY56" s="1455"/>
      <c r="FZ56" s="1455"/>
      <c r="GA56" s="1455"/>
      <c r="GB56" s="1455"/>
      <c r="GC56" s="1452">
        <v>75</v>
      </c>
      <c r="GD56" s="1452"/>
      <c r="GE56" s="1455"/>
      <c r="GF56" s="1455"/>
      <c r="GG56" s="1455"/>
      <c r="GH56" s="1455"/>
      <c r="GI56" s="1455"/>
      <c r="GJ56" s="1455"/>
      <c r="GK56" s="1455"/>
      <c r="GL56" s="1455"/>
      <c r="GM56" s="1455"/>
      <c r="GN56" s="1455"/>
      <c r="GO56" s="1455"/>
      <c r="GP56" s="1455"/>
      <c r="GQ56" s="1455"/>
      <c r="GR56" s="1455"/>
      <c r="GS56" s="1455"/>
      <c r="GT56" s="1455"/>
      <c r="GU56" s="1455"/>
      <c r="GV56" s="1455"/>
      <c r="GW56" s="1452"/>
      <c r="GX56" s="1452"/>
      <c r="GY56" s="1455"/>
      <c r="GZ56" s="1455"/>
      <c r="HA56" s="1455"/>
      <c r="HB56" s="1455"/>
      <c r="HC56" s="1455"/>
      <c r="HD56" s="1455"/>
      <c r="HE56" s="1455"/>
      <c r="HF56" s="1455"/>
      <c r="HG56" s="1455"/>
      <c r="HH56" s="1455"/>
      <c r="HI56" s="1455"/>
      <c r="HJ56" s="1455"/>
      <c r="HK56" s="1455"/>
      <c r="HL56" s="1455"/>
      <c r="HM56" s="1455"/>
      <c r="HN56" s="1455"/>
      <c r="HO56" s="1455"/>
      <c r="HP56" s="1455"/>
      <c r="HQ56" s="1455"/>
      <c r="HR56" s="1455"/>
      <c r="HS56" s="1455"/>
      <c r="HT56" s="1455"/>
      <c r="HU56" s="1455"/>
      <c r="HV56" s="1455"/>
      <c r="HW56" s="1455"/>
      <c r="HX56" s="1455"/>
      <c r="HY56" s="1455"/>
      <c r="HZ56" s="1455"/>
      <c r="IA56" s="1455"/>
      <c r="IB56" s="1455"/>
      <c r="IC56" s="1455"/>
      <c r="ID56" s="1455"/>
      <c r="IE56" s="1455"/>
      <c r="IF56" s="1455"/>
      <c r="IG56" s="1455"/>
      <c r="IH56" s="1455"/>
      <c r="II56" s="1455"/>
      <c r="IJ56" s="1455"/>
      <c r="IK56" s="1455"/>
      <c r="IL56" s="1455"/>
      <c r="IM56" s="1455"/>
      <c r="IN56" s="1455"/>
      <c r="IO56" s="1455"/>
      <c r="IP56" s="1455"/>
      <c r="IQ56" s="1455"/>
      <c r="IR56" s="1455"/>
      <c r="IS56" s="1455"/>
      <c r="IT56" s="1455"/>
      <c r="IU56" s="1455"/>
      <c r="IV56" s="1455"/>
      <c r="IW56" s="1455"/>
      <c r="IX56" s="1455"/>
      <c r="IY56" s="1453"/>
      <c r="IZ56" s="1455"/>
      <c r="JA56" s="1455"/>
      <c r="JB56" s="1455"/>
      <c r="JC56" s="1455"/>
      <c r="JD56" s="1455"/>
      <c r="JE56" s="1455"/>
      <c r="JF56" s="1455"/>
      <c r="JG56" s="1455"/>
      <c r="JH56" s="1455"/>
      <c r="JI56" s="1455"/>
      <c r="JJ56" s="1455"/>
      <c r="JK56" s="1455"/>
      <c r="JL56" s="1455"/>
      <c r="JM56" s="1455"/>
      <c r="JN56" s="1455"/>
      <c r="JO56" s="1455"/>
      <c r="JP56" s="1455"/>
      <c r="JQ56" s="1477"/>
      <c r="JR56" s="351"/>
      <c r="JS56" s="1470"/>
      <c r="JT56" s="450" t="s">
        <v>2242</v>
      </c>
    </row>
    <row r="57" spans="1:280" ht="12.5" x14ac:dyDescent="0.25">
      <c r="A57" s="1367">
        <v>27</v>
      </c>
      <c r="B57" s="1471" t="str">
        <f t="shared" si="3"/>
        <v/>
      </c>
      <c r="C57" s="1435" t="s">
        <v>2767</v>
      </c>
      <c r="D57" s="1436" t="s">
        <v>2768</v>
      </c>
      <c r="E57" s="1452"/>
      <c r="F57" s="1452"/>
      <c r="G57" s="1452"/>
      <c r="H57" s="1453"/>
      <c r="I57" s="1453"/>
      <c r="J57" s="1453"/>
      <c r="K57" s="1452"/>
      <c r="L57" s="1453"/>
      <c r="M57" s="1453"/>
      <c r="N57" s="1453"/>
      <c r="O57" s="1452"/>
      <c r="P57" s="1453"/>
      <c r="Q57" s="1452"/>
      <c r="R57" s="1452"/>
      <c r="S57" s="1453"/>
      <c r="T57" s="1453"/>
      <c r="U57" s="1453"/>
      <c r="V57" s="1452"/>
      <c r="W57" s="1452"/>
      <c r="X57" s="1452"/>
      <c r="Y57" s="1452"/>
      <c r="Z57" s="1453"/>
      <c r="AA57" s="1452"/>
      <c r="AB57" s="1453"/>
      <c r="AC57" s="1452"/>
      <c r="AD57" s="1452"/>
      <c r="AE57" s="1452"/>
      <c r="AF57" s="1452"/>
      <c r="AG57" s="1452"/>
      <c r="AH57" s="1452"/>
      <c r="AI57" s="1452"/>
      <c r="AJ57" s="1453"/>
      <c r="AK57" s="1452"/>
      <c r="AL57" s="1453"/>
      <c r="AM57" s="1453"/>
      <c r="AN57" s="1453"/>
      <c r="AO57" s="1453"/>
      <c r="AP57" s="1452"/>
      <c r="AQ57" s="1452"/>
      <c r="AR57" s="1453"/>
      <c r="AS57" s="1453"/>
      <c r="AT57" s="1452"/>
      <c r="AU57" s="1452"/>
      <c r="AV57" s="1453"/>
      <c r="AW57" s="1452"/>
      <c r="AX57" s="1452"/>
      <c r="AY57" s="1452"/>
      <c r="AZ57" s="1452"/>
      <c r="BA57" s="1452">
        <v>175</v>
      </c>
      <c r="BB57" s="1452"/>
      <c r="BC57" s="1452"/>
      <c r="BD57" s="1452"/>
      <c r="BE57" s="1452"/>
      <c r="BF57" s="1452">
        <v>150</v>
      </c>
      <c r="BG57" s="1452"/>
      <c r="BH57" s="1452"/>
      <c r="BI57" s="1452"/>
      <c r="BJ57" s="1452"/>
      <c r="BK57" s="1452"/>
      <c r="BL57" s="1452"/>
      <c r="BM57" s="1452"/>
      <c r="BN57" s="1452"/>
      <c r="BO57" s="1452"/>
      <c r="BP57" s="1452"/>
      <c r="BQ57" s="1452"/>
      <c r="BR57" s="1452"/>
      <c r="BS57" s="1452"/>
      <c r="BT57" s="1452"/>
      <c r="BU57" s="1452"/>
      <c r="BV57" s="1452"/>
      <c r="BW57" s="1452"/>
      <c r="BX57" s="1452"/>
      <c r="BY57" s="1452"/>
      <c r="BZ57" s="1452"/>
      <c r="CA57" s="1452"/>
      <c r="CB57" s="1455"/>
      <c r="CC57" s="1455"/>
      <c r="CD57" s="1455"/>
      <c r="CE57" s="1452">
        <v>150</v>
      </c>
      <c r="CF57" s="1455"/>
      <c r="CG57" s="1455"/>
      <c r="CH57" s="1455"/>
      <c r="CI57" s="1455"/>
      <c r="CJ57" s="1455"/>
      <c r="CK57" s="1455"/>
      <c r="CL57" s="1455"/>
      <c r="CM57" s="1455"/>
      <c r="CN57" s="1452"/>
      <c r="CO57" s="1455"/>
      <c r="CP57" s="1455"/>
      <c r="CQ57" s="1455"/>
      <c r="CR57" s="1455"/>
      <c r="CS57" s="1455"/>
      <c r="CT57" s="1455"/>
      <c r="CU57" s="1455"/>
      <c r="CV57" s="1455"/>
      <c r="CW57" s="1455"/>
      <c r="CX57" s="1455"/>
      <c r="CY57" s="1455"/>
      <c r="CZ57" s="1455"/>
      <c r="DA57" s="1455"/>
      <c r="DB57" s="1455">
        <v>150</v>
      </c>
      <c r="DC57" s="1455"/>
      <c r="DD57" s="1455"/>
      <c r="DE57" s="1455"/>
      <c r="DF57" s="1455"/>
      <c r="DG57" s="1455"/>
      <c r="DH57" s="1455"/>
      <c r="DI57" s="1455"/>
      <c r="DJ57" s="1455"/>
      <c r="DK57" s="1455"/>
      <c r="DL57" s="1452">
        <v>150</v>
      </c>
      <c r="DM57" s="1455"/>
      <c r="DN57" s="1455"/>
      <c r="DO57" s="1455"/>
      <c r="DP57" s="1455"/>
      <c r="DQ57" s="1455"/>
      <c r="DR57" s="1455"/>
      <c r="DS57" s="1455"/>
      <c r="DT57" s="1455"/>
      <c r="DU57" s="1455"/>
      <c r="DV57" s="1455"/>
      <c r="DW57" s="1455"/>
      <c r="DX57" s="1455"/>
      <c r="DY57" s="1455"/>
      <c r="DZ57" s="1455"/>
      <c r="EA57" s="1455"/>
      <c r="EB57" s="1455"/>
      <c r="EC57" s="1455"/>
      <c r="ED57" s="1455"/>
      <c r="EE57" s="1453"/>
      <c r="EF57" s="1455"/>
      <c r="EG57" s="1455"/>
      <c r="EH57" s="1455"/>
      <c r="EI57" s="1455"/>
      <c r="EJ57" s="1455"/>
      <c r="EK57" s="1455"/>
      <c r="EL57" s="1455"/>
      <c r="EM57" s="1455"/>
      <c r="EN57" s="1455"/>
      <c r="EO57" s="1455"/>
      <c r="EP57" s="1455"/>
      <c r="EQ57" s="1455"/>
      <c r="ER57" s="1455"/>
      <c r="ES57" s="1455"/>
      <c r="ET57" s="1455"/>
      <c r="EU57" s="1455"/>
      <c r="EV57" s="1455"/>
      <c r="EW57" s="1455"/>
      <c r="EX57" s="1455"/>
      <c r="EY57" s="1455"/>
      <c r="EZ57" s="1455"/>
      <c r="FA57" s="1455"/>
      <c r="FB57" s="1455"/>
      <c r="FC57" s="1455"/>
      <c r="FD57" s="1455"/>
      <c r="FE57" s="1455"/>
      <c r="FF57" s="1455"/>
      <c r="FG57" s="1455"/>
      <c r="FH57" s="1455"/>
      <c r="FI57" s="1455"/>
      <c r="FJ57" s="1455"/>
      <c r="FK57" s="1455"/>
      <c r="FL57" s="1455"/>
      <c r="FM57" s="1455"/>
      <c r="FN57" s="1455"/>
      <c r="FO57" s="1455"/>
      <c r="FP57" s="1455"/>
      <c r="FQ57" s="1455"/>
      <c r="FR57" s="1455"/>
      <c r="FS57" s="1455"/>
      <c r="FT57" s="1455"/>
      <c r="FU57" s="1455"/>
      <c r="FV57" s="1455"/>
      <c r="FW57" s="1455"/>
      <c r="FX57" s="1455"/>
      <c r="FY57" s="1455"/>
      <c r="FZ57" s="1455"/>
      <c r="GA57" s="1455"/>
      <c r="GB57" s="1455"/>
      <c r="GC57" s="1452"/>
      <c r="GD57" s="1452"/>
      <c r="GE57" s="1455"/>
      <c r="GF57" s="1455"/>
      <c r="GG57" s="1455"/>
      <c r="GH57" s="1455"/>
      <c r="GI57" s="1455"/>
      <c r="GJ57" s="1455"/>
      <c r="GK57" s="1455"/>
      <c r="GL57" s="1455"/>
      <c r="GM57" s="1455"/>
      <c r="GN57" s="1455"/>
      <c r="GO57" s="1455"/>
      <c r="GP57" s="1455"/>
      <c r="GQ57" s="1455"/>
      <c r="GR57" s="1455"/>
      <c r="GS57" s="1455"/>
      <c r="GT57" s="1455"/>
      <c r="GU57" s="1455"/>
      <c r="GV57" s="1455"/>
      <c r="GW57" s="1452"/>
      <c r="GX57" s="1452"/>
      <c r="GY57" s="1455"/>
      <c r="GZ57" s="1455"/>
      <c r="HA57" s="1455"/>
      <c r="HB57" s="1455"/>
      <c r="HC57" s="1455"/>
      <c r="HD57" s="1455"/>
      <c r="HE57" s="1455"/>
      <c r="HF57" s="1455"/>
      <c r="HG57" s="1455"/>
      <c r="HH57" s="1455"/>
      <c r="HI57" s="1455"/>
      <c r="HJ57" s="1455"/>
      <c r="HK57" s="1455"/>
      <c r="HL57" s="1455"/>
      <c r="HM57" s="1455"/>
      <c r="HN57" s="1455"/>
      <c r="HO57" s="1455"/>
      <c r="HP57" s="1455"/>
      <c r="HQ57" s="1455"/>
      <c r="HR57" s="1455"/>
      <c r="HS57" s="1455"/>
      <c r="HT57" s="1455"/>
      <c r="HU57" s="1455"/>
      <c r="HV57" s="1455"/>
      <c r="HW57" s="1455"/>
      <c r="HX57" s="1455"/>
      <c r="HY57" s="1455"/>
      <c r="HZ57" s="1455"/>
      <c r="IA57" s="1455"/>
      <c r="IB57" s="1455"/>
      <c r="IC57" s="1455"/>
      <c r="ID57" s="1455"/>
      <c r="IE57" s="1455"/>
      <c r="IF57" s="1455"/>
      <c r="IG57" s="1455"/>
      <c r="IH57" s="1455"/>
      <c r="II57" s="1455"/>
      <c r="IJ57" s="1455"/>
      <c r="IK57" s="1455"/>
      <c r="IL57" s="1455"/>
      <c r="IM57" s="1455"/>
      <c r="IN57" s="1455"/>
      <c r="IO57" s="1455"/>
      <c r="IP57" s="1455"/>
      <c r="IQ57" s="1455"/>
      <c r="IR57" s="1455"/>
      <c r="IS57" s="1455"/>
      <c r="IT57" s="1455"/>
      <c r="IU57" s="1455"/>
      <c r="IV57" s="1455"/>
      <c r="IW57" s="1455"/>
      <c r="IX57" s="1455"/>
      <c r="IY57" s="1453"/>
      <c r="IZ57" s="1455"/>
      <c r="JA57" s="1455"/>
      <c r="JB57" s="1455"/>
      <c r="JC57" s="1455"/>
      <c r="JD57" s="1455"/>
      <c r="JE57" s="1455"/>
      <c r="JF57" s="1455"/>
      <c r="JG57" s="1455"/>
      <c r="JH57" s="1455"/>
      <c r="JI57" s="1455"/>
      <c r="JJ57" s="1455"/>
      <c r="JK57" s="1455"/>
      <c r="JL57" s="1455"/>
      <c r="JM57" s="1455"/>
      <c r="JN57" s="1455"/>
      <c r="JO57" s="1455"/>
      <c r="JP57" s="1455"/>
      <c r="JQ57" s="1477"/>
      <c r="JR57" s="351"/>
      <c r="JS57" s="1470"/>
      <c r="JT57" s="450" t="s">
        <v>2242</v>
      </c>
    </row>
    <row r="58" spans="1:280" ht="13" thickBot="1" x14ac:dyDescent="0.3">
      <c r="A58" s="1367">
        <v>28</v>
      </c>
      <c r="B58" s="1471" t="str">
        <f t="shared" si="3"/>
        <v/>
      </c>
      <c r="C58" s="721" t="s">
        <v>2769</v>
      </c>
      <c r="D58" s="722" t="s">
        <v>2770</v>
      </c>
      <c r="E58" s="723"/>
      <c r="F58" s="723"/>
      <c r="G58" s="723"/>
      <c r="H58" s="724"/>
      <c r="I58" s="724"/>
      <c r="J58" s="724"/>
      <c r="K58" s="723"/>
      <c r="L58" s="724"/>
      <c r="M58" s="724"/>
      <c r="N58" s="724"/>
      <c r="O58" s="723"/>
      <c r="P58" s="724"/>
      <c r="Q58" s="723"/>
      <c r="R58" s="723"/>
      <c r="S58" s="724"/>
      <c r="T58" s="724"/>
      <c r="U58" s="724"/>
      <c r="V58" s="723"/>
      <c r="W58" s="723"/>
      <c r="X58" s="723"/>
      <c r="Y58" s="723"/>
      <c r="Z58" s="724"/>
      <c r="AA58" s="723"/>
      <c r="AB58" s="724"/>
      <c r="AC58" s="723"/>
      <c r="AD58" s="723"/>
      <c r="AE58" s="723"/>
      <c r="AF58" s="723"/>
      <c r="AG58" s="723"/>
      <c r="AH58" s="723"/>
      <c r="AI58" s="723"/>
      <c r="AJ58" s="724"/>
      <c r="AK58" s="723"/>
      <c r="AL58" s="724"/>
      <c r="AM58" s="724"/>
      <c r="AN58" s="724"/>
      <c r="AO58" s="724"/>
      <c r="AP58" s="723"/>
      <c r="AQ58" s="723"/>
      <c r="AR58" s="724"/>
      <c r="AS58" s="724"/>
      <c r="AT58" s="723"/>
      <c r="AU58" s="723"/>
      <c r="AV58" s="724"/>
      <c r="AW58" s="723"/>
      <c r="AX58" s="723"/>
      <c r="AY58" s="723"/>
      <c r="AZ58" s="723"/>
      <c r="BA58" s="723"/>
      <c r="BB58" s="723"/>
      <c r="BC58" s="723"/>
      <c r="BD58" s="723"/>
      <c r="BE58" s="723"/>
      <c r="BF58" s="723">
        <v>85</v>
      </c>
      <c r="BG58" s="723"/>
      <c r="BH58" s="723"/>
      <c r="BI58" s="723"/>
      <c r="BJ58" s="723"/>
      <c r="BK58" s="723"/>
      <c r="BL58" s="723"/>
      <c r="BM58" s="723"/>
      <c r="BN58" s="723"/>
      <c r="BO58" s="723"/>
      <c r="BP58" s="723"/>
      <c r="BQ58" s="723"/>
      <c r="BR58" s="723"/>
      <c r="BS58" s="723"/>
      <c r="BT58" s="723"/>
      <c r="BU58" s="723"/>
      <c r="BV58" s="723"/>
      <c r="BW58" s="723"/>
      <c r="BX58" s="723"/>
      <c r="BY58" s="723"/>
      <c r="BZ58" s="723"/>
      <c r="CA58" s="723"/>
      <c r="CB58" s="725"/>
      <c r="CC58" s="725"/>
      <c r="CD58" s="725"/>
      <c r="CE58" s="723">
        <v>85</v>
      </c>
      <c r="CF58" s="725"/>
      <c r="CG58" s="725"/>
      <c r="CH58" s="725"/>
      <c r="CI58" s="725"/>
      <c r="CJ58" s="725"/>
      <c r="CK58" s="725"/>
      <c r="CL58" s="725"/>
      <c r="CM58" s="725"/>
      <c r="CN58" s="723"/>
      <c r="CO58" s="725"/>
      <c r="CP58" s="725"/>
      <c r="CQ58" s="725"/>
      <c r="CR58" s="725"/>
      <c r="CS58" s="725"/>
      <c r="CT58" s="725"/>
      <c r="CU58" s="725"/>
      <c r="CV58" s="725"/>
      <c r="CW58" s="725"/>
      <c r="CX58" s="725"/>
      <c r="CY58" s="725"/>
      <c r="CZ58" s="725"/>
      <c r="DA58" s="725"/>
      <c r="DB58" s="725">
        <v>85</v>
      </c>
      <c r="DC58" s="725"/>
      <c r="DD58" s="725"/>
      <c r="DE58" s="725"/>
      <c r="DF58" s="725"/>
      <c r="DG58" s="725"/>
      <c r="DH58" s="725"/>
      <c r="DI58" s="725"/>
      <c r="DJ58" s="725"/>
      <c r="DK58" s="725"/>
      <c r="DL58" s="723">
        <v>85</v>
      </c>
      <c r="DM58" s="725"/>
      <c r="DN58" s="725"/>
      <c r="DO58" s="725"/>
      <c r="DP58" s="725"/>
      <c r="DQ58" s="725"/>
      <c r="DR58" s="725"/>
      <c r="DS58" s="725"/>
      <c r="DT58" s="725"/>
      <c r="DU58" s="725"/>
      <c r="DV58" s="725"/>
      <c r="DW58" s="725"/>
      <c r="DX58" s="725"/>
      <c r="DY58" s="725"/>
      <c r="DZ58" s="1006">
        <v>300</v>
      </c>
      <c r="EA58" s="725"/>
      <c r="EB58" s="725"/>
      <c r="EC58" s="725"/>
      <c r="ED58" s="725"/>
      <c r="EE58" s="724"/>
      <c r="EF58" s="725"/>
      <c r="EG58" s="725"/>
      <c r="EH58" s="725"/>
      <c r="EI58" s="725"/>
      <c r="EJ58" s="725"/>
      <c r="EK58" s="725"/>
      <c r="EL58" s="725"/>
      <c r="EM58" s="725"/>
      <c r="EN58" s="725"/>
      <c r="EO58" s="725"/>
      <c r="EP58" s="725"/>
      <c r="EQ58" s="725"/>
      <c r="ER58" s="725"/>
      <c r="ES58" s="725"/>
      <c r="ET58" s="725"/>
      <c r="EU58" s="725"/>
      <c r="EV58" s="725"/>
      <c r="EW58" s="725"/>
      <c r="EX58" s="725"/>
      <c r="EY58" s="725"/>
      <c r="EZ58" s="725"/>
      <c r="FA58" s="725"/>
      <c r="FB58" s="725"/>
      <c r="FC58" s="725"/>
      <c r="FD58" s="725"/>
      <c r="FE58" s="725"/>
      <c r="FF58" s="725"/>
      <c r="FG58" s="725"/>
      <c r="FH58" s="725"/>
      <c r="FI58" s="725"/>
      <c r="FJ58" s="725"/>
      <c r="FK58" s="725"/>
      <c r="FL58" s="725"/>
      <c r="FM58" s="725"/>
      <c r="FN58" s="725"/>
      <c r="FO58" s="725"/>
      <c r="FP58" s="725"/>
      <c r="FQ58" s="725"/>
      <c r="FR58" s="725"/>
      <c r="FS58" s="725"/>
      <c r="FT58" s="725"/>
      <c r="FU58" s="725"/>
      <c r="FV58" s="725"/>
      <c r="FW58" s="725"/>
      <c r="FX58" s="725"/>
      <c r="FY58" s="725"/>
      <c r="FZ58" s="725"/>
      <c r="GA58" s="725"/>
      <c r="GB58" s="725"/>
      <c r="GC58" s="723"/>
      <c r="GD58" s="723"/>
      <c r="GE58" s="725"/>
      <c r="GF58" s="725"/>
      <c r="GG58" s="725"/>
      <c r="GH58" s="725"/>
      <c r="GI58" s="725"/>
      <c r="GJ58" s="725"/>
      <c r="GK58" s="725"/>
      <c r="GL58" s="725"/>
      <c r="GM58" s="725"/>
      <c r="GN58" s="725"/>
      <c r="GO58" s="725"/>
      <c r="GP58" s="725"/>
      <c r="GQ58" s="725"/>
      <c r="GR58" s="725"/>
      <c r="GS58" s="725"/>
      <c r="GT58" s="725"/>
      <c r="GU58" s="725"/>
      <c r="GV58" s="725"/>
      <c r="GW58" s="723"/>
      <c r="GX58" s="723"/>
      <c r="GY58" s="725"/>
      <c r="GZ58" s="725"/>
      <c r="HA58" s="725"/>
      <c r="HB58" s="725"/>
      <c r="HC58" s="725"/>
      <c r="HD58" s="725"/>
      <c r="HE58" s="725"/>
      <c r="HF58" s="725"/>
      <c r="HG58" s="725"/>
      <c r="HH58" s="725"/>
      <c r="HI58" s="725"/>
      <c r="HJ58" s="725"/>
      <c r="HK58" s="725"/>
      <c r="HL58" s="725"/>
      <c r="HM58" s="725"/>
      <c r="HN58" s="725"/>
      <c r="HO58" s="725"/>
      <c r="HP58" s="725"/>
      <c r="HQ58" s="725"/>
      <c r="HR58" s="725"/>
      <c r="HS58" s="725"/>
      <c r="HT58" s="725"/>
      <c r="HU58" s="725"/>
      <c r="HV58" s="725"/>
      <c r="HW58" s="725"/>
      <c r="HX58" s="725"/>
      <c r="HY58" s="725"/>
      <c r="HZ58" s="725"/>
      <c r="IA58" s="725"/>
      <c r="IB58" s="725"/>
      <c r="IC58" s="725"/>
      <c r="ID58" s="725"/>
      <c r="IE58" s="725"/>
      <c r="IF58" s="725"/>
      <c r="IG58" s="725"/>
      <c r="IH58" s="725"/>
      <c r="II58" s="725"/>
      <c r="IJ58" s="725"/>
      <c r="IK58" s="725"/>
      <c r="IL58" s="725"/>
      <c r="IM58" s="725"/>
      <c r="IN58" s="725"/>
      <c r="IO58" s="725"/>
      <c r="IP58" s="725"/>
      <c r="IQ58" s="725"/>
      <c r="IR58" s="725"/>
      <c r="IS58" s="725"/>
      <c r="IT58" s="725"/>
      <c r="IU58" s="725"/>
      <c r="IV58" s="725"/>
      <c r="IW58" s="725"/>
      <c r="IX58" s="725"/>
      <c r="IY58" s="724"/>
      <c r="IZ58" s="725"/>
      <c r="JA58" s="725"/>
      <c r="JB58" s="725"/>
      <c r="JC58" s="725"/>
      <c r="JD58" s="725"/>
      <c r="JE58" s="725"/>
      <c r="JF58" s="725"/>
      <c r="JG58" s="725"/>
      <c r="JH58" s="725"/>
      <c r="JI58" s="725"/>
      <c r="JJ58" s="725"/>
      <c r="JK58" s="725"/>
      <c r="JL58" s="725"/>
      <c r="JM58" s="725"/>
      <c r="JN58" s="725"/>
      <c r="JO58" s="725"/>
      <c r="JP58" s="725"/>
      <c r="JQ58" s="726"/>
      <c r="JR58" s="351"/>
      <c r="JS58" s="1470"/>
      <c r="JT58" s="450" t="s">
        <v>2242</v>
      </c>
    </row>
    <row r="59" spans="1:280" ht="12" thickBot="1" x14ac:dyDescent="0.3"/>
    <row r="60" spans="1:280" ht="12.5" x14ac:dyDescent="0.25">
      <c r="A60" s="1367" t="s">
        <v>2201</v>
      </c>
      <c r="B60" s="591" t="str">
        <f>"selected "&amp;MOR_IND-1</f>
        <v>selected 0</v>
      </c>
      <c r="C60" s="313" t="s">
        <v>23</v>
      </c>
      <c r="D60" s="592"/>
      <c r="E60" s="538">
        <v>1</v>
      </c>
      <c r="F60" s="418">
        <v>2</v>
      </c>
      <c r="G60" s="418">
        <v>3</v>
      </c>
      <c r="H60" s="418">
        <v>4</v>
      </c>
      <c r="I60" s="418">
        <v>5</v>
      </c>
      <c r="J60" s="418">
        <v>6</v>
      </c>
      <c r="K60" s="418">
        <v>7</v>
      </c>
      <c r="L60" s="418">
        <v>8</v>
      </c>
      <c r="M60" s="418">
        <v>9</v>
      </c>
      <c r="N60" s="418">
        <v>10</v>
      </c>
      <c r="O60" s="418">
        <v>11</v>
      </c>
      <c r="P60" s="447">
        <v>12</v>
      </c>
      <c r="Q60" s="447">
        <v>13</v>
      </c>
      <c r="R60" s="447">
        <v>14</v>
      </c>
      <c r="S60" s="447">
        <v>15</v>
      </c>
      <c r="T60" s="447">
        <v>16</v>
      </c>
      <c r="U60" s="447">
        <v>17</v>
      </c>
      <c r="V60" s="447">
        <v>18</v>
      </c>
      <c r="W60" s="447">
        <v>19</v>
      </c>
      <c r="X60" s="447">
        <v>20</v>
      </c>
      <c r="Y60" s="447">
        <v>21</v>
      </c>
      <c r="Z60" s="447">
        <v>22</v>
      </c>
      <c r="AA60" s="447">
        <v>23</v>
      </c>
      <c r="AB60" s="447">
        <v>24</v>
      </c>
      <c r="AC60" s="447">
        <v>25</v>
      </c>
      <c r="AD60" s="447">
        <v>26</v>
      </c>
      <c r="AE60" s="447">
        <v>27</v>
      </c>
      <c r="AF60" s="447">
        <v>28</v>
      </c>
      <c r="AG60" s="447">
        <v>29</v>
      </c>
      <c r="AH60" s="447">
        <v>30</v>
      </c>
      <c r="AI60" s="447">
        <v>31</v>
      </c>
      <c r="AJ60" s="418">
        <v>32</v>
      </c>
      <c r="AK60" s="418">
        <v>33</v>
      </c>
      <c r="AL60" s="418">
        <v>34</v>
      </c>
      <c r="AM60" s="418">
        <v>35</v>
      </c>
      <c r="AN60" s="418">
        <v>36</v>
      </c>
      <c r="AO60" s="418">
        <v>37</v>
      </c>
      <c r="AP60" s="418">
        <v>38</v>
      </c>
      <c r="AQ60" s="418">
        <v>39</v>
      </c>
      <c r="AR60" s="418">
        <v>40</v>
      </c>
      <c r="AS60" s="418">
        <v>41</v>
      </c>
      <c r="AT60" s="418">
        <v>42</v>
      </c>
      <c r="AU60" s="418">
        <v>43</v>
      </c>
      <c r="AV60" s="418">
        <v>44</v>
      </c>
      <c r="AW60" s="418">
        <v>45</v>
      </c>
      <c r="AX60" s="418">
        <v>46</v>
      </c>
      <c r="AY60" s="418">
        <v>47</v>
      </c>
      <c r="AZ60" s="418">
        <v>48</v>
      </c>
      <c r="BA60" s="418">
        <v>49</v>
      </c>
      <c r="BB60" s="418">
        <v>50</v>
      </c>
      <c r="BC60" s="418">
        <v>51</v>
      </c>
      <c r="BD60" s="418">
        <v>52</v>
      </c>
      <c r="BE60" s="418">
        <v>53</v>
      </c>
      <c r="BF60" s="418">
        <v>54</v>
      </c>
      <c r="BG60" s="418">
        <v>55</v>
      </c>
      <c r="BH60" s="418">
        <v>56</v>
      </c>
      <c r="BI60" s="418">
        <v>57</v>
      </c>
      <c r="BJ60" s="418">
        <v>58</v>
      </c>
      <c r="BK60" s="418">
        <v>59</v>
      </c>
      <c r="BL60" s="418">
        <v>60</v>
      </c>
      <c r="BM60" s="418">
        <v>61</v>
      </c>
      <c r="BN60" s="418">
        <v>62</v>
      </c>
      <c r="BO60" s="418">
        <v>63</v>
      </c>
      <c r="BP60" s="418">
        <v>64</v>
      </c>
      <c r="BQ60" s="418">
        <v>65</v>
      </c>
      <c r="BR60" s="418">
        <v>66</v>
      </c>
      <c r="BS60" s="418">
        <v>67</v>
      </c>
      <c r="BT60" s="418">
        <v>68</v>
      </c>
      <c r="BU60" s="418">
        <v>69</v>
      </c>
      <c r="BV60" s="418">
        <v>70</v>
      </c>
      <c r="BW60" s="418">
        <v>71</v>
      </c>
      <c r="BX60" s="418">
        <v>72</v>
      </c>
      <c r="BY60" s="418">
        <v>73</v>
      </c>
      <c r="BZ60" s="418">
        <v>74</v>
      </c>
      <c r="CA60" s="418">
        <v>75</v>
      </c>
      <c r="CB60" s="418">
        <v>76</v>
      </c>
      <c r="CC60" s="418">
        <v>77</v>
      </c>
      <c r="CD60" s="418">
        <v>78</v>
      </c>
      <c r="CE60" s="418">
        <v>79</v>
      </c>
      <c r="CF60" s="418">
        <v>80</v>
      </c>
      <c r="CG60" s="418">
        <v>81</v>
      </c>
      <c r="CH60" s="418">
        <v>82</v>
      </c>
      <c r="CI60" s="418">
        <v>83</v>
      </c>
      <c r="CJ60" s="418">
        <v>84</v>
      </c>
      <c r="CK60" s="418">
        <v>85</v>
      </c>
      <c r="CL60" s="418">
        <v>86</v>
      </c>
      <c r="CM60" s="418">
        <v>87</v>
      </c>
      <c r="CN60" s="418">
        <v>88</v>
      </c>
      <c r="CO60" s="418">
        <v>89</v>
      </c>
      <c r="CP60" s="418">
        <v>90</v>
      </c>
      <c r="CQ60" s="418">
        <v>91</v>
      </c>
      <c r="CR60" s="418">
        <v>92</v>
      </c>
      <c r="CS60" s="418">
        <v>93</v>
      </c>
      <c r="CT60" s="418">
        <v>94</v>
      </c>
      <c r="CU60" s="418">
        <v>95</v>
      </c>
      <c r="CV60" s="418">
        <v>96</v>
      </c>
      <c r="CW60" s="418">
        <v>97</v>
      </c>
      <c r="CX60" s="418">
        <v>98</v>
      </c>
      <c r="CY60" s="418">
        <v>99</v>
      </c>
      <c r="CZ60" s="418">
        <v>100</v>
      </c>
      <c r="DA60" s="418">
        <v>101</v>
      </c>
      <c r="DB60" s="418">
        <v>102</v>
      </c>
      <c r="DC60" s="418">
        <v>103</v>
      </c>
      <c r="DD60" s="418">
        <v>104</v>
      </c>
      <c r="DE60" s="418">
        <v>105</v>
      </c>
      <c r="DF60" s="418">
        <v>106</v>
      </c>
      <c r="DG60" s="418">
        <v>107</v>
      </c>
      <c r="DH60" s="418">
        <v>108</v>
      </c>
      <c r="DI60" s="418">
        <v>109</v>
      </c>
      <c r="DJ60" s="418">
        <v>110</v>
      </c>
      <c r="DK60" s="418">
        <v>111</v>
      </c>
      <c r="DL60" s="418">
        <v>112</v>
      </c>
      <c r="DM60" s="418">
        <v>113</v>
      </c>
      <c r="DN60" s="418">
        <v>114</v>
      </c>
      <c r="DO60" s="418">
        <v>115</v>
      </c>
      <c r="DP60" s="418">
        <v>116</v>
      </c>
      <c r="DQ60" s="418">
        <v>117</v>
      </c>
      <c r="DR60" s="418">
        <v>118</v>
      </c>
      <c r="DS60" s="418">
        <v>119</v>
      </c>
      <c r="DT60" s="418">
        <v>120</v>
      </c>
      <c r="DU60" s="418">
        <v>121</v>
      </c>
      <c r="DV60" s="418">
        <v>122</v>
      </c>
      <c r="DW60" s="418">
        <v>123</v>
      </c>
      <c r="DX60" s="418">
        <v>124</v>
      </c>
      <c r="DY60" s="418">
        <v>125</v>
      </c>
      <c r="DZ60" s="418">
        <v>126</v>
      </c>
      <c r="EA60" s="418">
        <v>127</v>
      </c>
      <c r="EB60" s="418">
        <v>128</v>
      </c>
      <c r="EC60" s="418">
        <v>129</v>
      </c>
      <c r="ED60" s="418">
        <v>130</v>
      </c>
      <c r="EE60" s="418">
        <v>131</v>
      </c>
      <c r="EF60" s="418">
        <v>132</v>
      </c>
      <c r="EG60" s="418">
        <v>133</v>
      </c>
      <c r="EH60" s="418">
        <v>134</v>
      </c>
      <c r="EI60" s="418">
        <v>135</v>
      </c>
      <c r="EJ60" s="418">
        <v>136</v>
      </c>
      <c r="EK60" s="418">
        <v>137</v>
      </c>
      <c r="EL60" s="418">
        <v>138</v>
      </c>
      <c r="EM60" s="418">
        <v>139</v>
      </c>
      <c r="EN60" s="418">
        <v>140</v>
      </c>
      <c r="EO60" s="418">
        <v>141</v>
      </c>
      <c r="EP60" s="418">
        <v>142</v>
      </c>
      <c r="EQ60" s="418">
        <v>143</v>
      </c>
      <c r="ER60" s="418">
        <v>144</v>
      </c>
      <c r="ES60" s="418">
        <v>145</v>
      </c>
      <c r="ET60" s="418">
        <v>146</v>
      </c>
      <c r="EU60" s="418">
        <v>147</v>
      </c>
      <c r="EV60" s="418">
        <v>148</v>
      </c>
      <c r="EW60" s="418">
        <v>149</v>
      </c>
      <c r="EX60" s="418">
        <v>150</v>
      </c>
      <c r="EY60" s="418">
        <v>151</v>
      </c>
      <c r="EZ60" s="418">
        <v>152</v>
      </c>
      <c r="FA60" s="418">
        <v>153</v>
      </c>
      <c r="FB60" s="418">
        <v>154</v>
      </c>
      <c r="FC60" s="418">
        <v>155</v>
      </c>
      <c r="FD60" s="418">
        <v>156</v>
      </c>
      <c r="FE60" s="418">
        <v>157</v>
      </c>
      <c r="FF60" s="418">
        <v>158</v>
      </c>
      <c r="FG60" s="418">
        <v>159</v>
      </c>
      <c r="FH60" s="418">
        <v>160</v>
      </c>
      <c r="FI60" s="418">
        <v>161</v>
      </c>
      <c r="FJ60" s="418">
        <v>162</v>
      </c>
      <c r="FK60" s="418">
        <v>163</v>
      </c>
      <c r="FL60" s="418">
        <v>164</v>
      </c>
      <c r="FM60" s="418">
        <v>165</v>
      </c>
      <c r="FN60" s="418">
        <v>166</v>
      </c>
      <c r="FO60" s="418">
        <v>167</v>
      </c>
      <c r="FP60" s="418">
        <v>168</v>
      </c>
      <c r="FQ60" s="418">
        <v>169</v>
      </c>
      <c r="FR60" s="418">
        <v>170</v>
      </c>
      <c r="FS60" s="418">
        <v>171</v>
      </c>
      <c r="FT60" s="418">
        <v>172</v>
      </c>
      <c r="FU60" s="418">
        <v>173</v>
      </c>
      <c r="FV60" s="418">
        <v>174</v>
      </c>
      <c r="FW60" s="418">
        <v>175</v>
      </c>
      <c r="FX60" s="418">
        <v>176</v>
      </c>
      <c r="FY60" s="418">
        <v>177</v>
      </c>
      <c r="FZ60" s="418">
        <v>178</v>
      </c>
      <c r="GA60" s="418">
        <v>179</v>
      </c>
      <c r="GB60" s="418">
        <v>180</v>
      </c>
      <c r="GC60" s="418">
        <v>181</v>
      </c>
      <c r="GD60" s="418">
        <v>182</v>
      </c>
      <c r="GE60" s="418">
        <v>183</v>
      </c>
      <c r="GF60" s="418">
        <v>184</v>
      </c>
      <c r="GG60" s="418">
        <v>185</v>
      </c>
      <c r="GH60" s="418">
        <v>186</v>
      </c>
      <c r="GI60" s="418">
        <v>187</v>
      </c>
      <c r="GJ60" s="418">
        <v>188</v>
      </c>
      <c r="GK60" s="418">
        <v>189</v>
      </c>
      <c r="GL60" s="418">
        <v>190</v>
      </c>
      <c r="GM60" s="418">
        <v>191</v>
      </c>
      <c r="GN60" s="418">
        <v>192</v>
      </c>
      <c r="GO60" s="418">
        <v>193</v>
      </c>
      <c r="GP60" s="418">
        <v>194</v>
      </c>
      <c r="GQ60" s="418">
        <v>195</v>
      </c>
      <c r="GR60" s="418">
        <v>196</v>
      </c>
      <c r="GS60" s="418">
        <v>197</v>
      </c>
      <c r="GT60" s="418">
        <v>198</v>
      </c>
      <c r="GU60" s="418">
        <v>199</v>
      </c>
      <c r="GV60" s="418">
        <v>200</v>
      </c>
      <c r="GW60" s="418">
        <v>201</v>
      </c>
      <c r="GX60" s="418">
        <v>202</v>
      </c>
      <c r="GY60" s="418">
        <v>203</v>
      </c>
      <c r="GZ60" s="418">
        <v>204</v>
      </c>
      <c r="HA60" s="418">
        <v>205</v>
      </c>
      <c r="HB60" s="418">
        <v>206</v>
      </c>
      <c r="HC60" s="418">
        <v>207</v>
      </c>
      <c r="HD60" s="418">
        <v>208</v>
      </c>
      <c r="HE60" s="418">
        <v>209</v>
      </c>
      <c r="HF60" s="418">
        <v>210</v>
      </c>
      <c r="HG60" s="418">
        <v>211</v>
      </c>
      <c r="HH60" s="418">
        <v>212</v>
      </c>
      <c r="HI60" s="418">
        <v>213</v>
      </c>
      <c r="HJ60" s="418">
        <v>214</v>
      </c>
      <c r="HK60" s="418">
        <v>215</v>
      </c>
      <c r="HL60" s="418">
        <v>216</v>
      </c>
      <c r="HM60" s="418">
        <v>217</v>
      </c>
      <c r="HN60" s="418">
        <v>218</v>
      </c>
      <c r="HO60" s="418">
        <v>219</v>
      </c>
      <c r="HP60" s="418">
        <v>220</v>
      </c>
      <c r="HQ60" s="418">
        <v>221</v>
      </c>
      <c r="HR60" s="418">
        <v>222</v>
      </c>
      <c r="HS60" s="418">
        <v>223</v>
      </c>
      <c r="HT60" s="418">
        <v>224</v>
      </c>
      <c r="HU60" s="418">
        <v>225</v>
      </c>
      <c r="HV60" s="418">
        <v>226</v>
      </c>
      <c r="HW60" s="418">
        <v>227</v>
      </c>
      <c r="HX60" s="418">
        <v>228</v>
      </c>
      <c r="HY60" s="418">
        <v>229</v>
      </c>
      <c r="HZ60" s="418">
        <v>230</v>
      </c>
      <c r="IA60" s="418">
        <v>231</v>
      </c>
      <c r="IB60" s="418">
        <v>232</v>
      </c>
      <c r="IC60" s="418">
        <v>233</v>
      </c>
      <c r="ID60" s="418">
        <v>234</v>
      </c>
      <c r="IE60" s="418">
        <v>235</v>
      </c>
      <c r="IF60" s="418">
        <v>236</v>
      </c>
      <c r="IG60" s="418">
        <v>237</v>
      </c>
      <c r="IH60" s="418">
        <v>238</v>
      </c>
      <c r="II60" s="418">
        <v>239</v>
      </c>
      <c r="IJ60" s="418">
        <v>240</v>
      </c>
      <c r="IK60" s="418">
        <v>241</v>
      </c>
      <c r="IL60" s="418">
        <v>242</v>
      </c>
      <c r="IM60" s="418">
        <v>243</v>
      </c>
      <c r="IN60" s="418">
        <v>244</v>
      </c>
      <c r="IO60" s="418">
        <v>245</v>
      </c>
      <c r="IP60" s="418">
        <v>246</v>
      </c>
      <c r="IQ60" s="418">
        <v>247</v>
      </c>
      <c r="IR60" s="418">
        <v>248</v>
      </c>
      <c r="IS60" s="418">
        <v>249</v>
      </c>
      <c r="IT60" s="418">
        <v>250</v>
      </c>
      <c r="IU60" s="418">
        <v>251</v>
      </c>
      <c r="IV60" s="418">
        <v>252</v>
      </c>
      <c r="IW60" s="418">
        <v>253</v>
      </c>
      <c r="IX60" s="418">
        <v>254</v>
      </c>
      <c r="IY60" s="418">
        <v>255</v>
      </c>
      <c r="IZ60" s="418">
        <v>256</v>
      </c>
      <c r="JA60" s="418">
        <v>257</v>
      </c>
      <c r="JB60" s="418">
        <v>258</v>
      </c>
      <c r="JC60" s="418">
        <v>259</v>
      </c>
      <c r="JD60" s="418">
        <v>260</v>
      </c>
      <c r="JE60" s="418">
        <v>261</v>
      </c>
      <c r="JF60" s="418">
        <v>262</v>
      </c>
      <c r="JG60" s="418">
        <v>263</v>
      </c>
      <c r="JH60" s="418">
        <v>264</v>
      </c>
      <c r="JI60" s="418">
        <v>265</v>
      </c>
      <c r="JJ60" s="418">
        <v>266</v>
      </c>
      <c r="JK60" s="418">
        <v>267</v>
      </c>
      <c r="JL60" s="418">
        <v>268</v>
      </c>
      <c r="JM60" s="418">
        <v>269</v>
      </c>
      <c r="JN60" s="418">
        <v>270</v>
      </c>
      <c r="JO60" s="418">
        <v>271</v>
      </c>
      <c r="JP60" s="418">
        <v>272</v>
      </c>
      <c r="JQ60" s="418">
        <v>273</v>
      </c>
      <c r="JR60" s="351"/>
      <c r="JS60" s="1365"/>
      <c r="JT60" s="450" t="s">
        <v>2199</v>
      </c>
    </row>
    <row r="61" spans="1:280" ht="12.5" x14ac:dyDescent="0.25">
      <c r="A61" s="1367">
        <v>2</v>
      </c>
      <c r="B61" s="1478" t="str">
        <f t="shared" ref="B61:B101" si="4">IF(MOR_IND&gt;1,IF(HLOOKUP(MOR_IND-1,MOR_RANGE,A61)="","",HLOOKUP(MOR_IND-1,MOR_RANGE,A61)),"")</f>
        <v/>
      </c>
      <c r="C61" s="1435" t="s">
        <v>2790</v>
      </c>
      <c r="D61" s="1443" t="s">
        <v>2791</v>
      </c>
      <c r="E61" s="1453"/>
      <c r="F61" s="1453"/>
      <c r="G61" s="1453"/>
      <c r="H61" s="1453"/>
      <c r="I61" s="1453"/>
      <c r="J61" s="1453"/>
      <c r="K61" s="1453"/>
      <c r="L61" s="1453"/>
      <c r="M61" s="1453"/>
      <c r="N61" s="1453"/>
      <c r="O61" s="1453"/>
      <c r="P61" s="1453"/>
      <c r="Q61" s="1453"/>
      <c r="R61" s="1453"/>
      <c r="S61" s="1453"/>
      <c r="T61" s="1453"/>
      <c r="U61" s="1453"/>
      <c r="V61" s="1453"/>
      <c r="W61" s="1453"/>
      <c r="X61" s="1453"/>
      <c r="Y61" s="1453"/>
      <c r="Z61" s="1453"/>
      <c r="AA61" s="1453"/>
      <c r="AB61" s="1453"/>
      <c r="AC61" s="1453"/>
      <c r="AD61" s="1453"/>
      <c r="AE61" s="1453"/>
      <c r="AF61" s="1453"/>
      <c r="AG61" s="1453"/>
      <c r="AH61" s="1453"/>
      <c r="AI61" s="1453"/>
      <c r="AJ61" s="1453"/>
      <c r="AK61" s="1453"/>
      <c r="AL61" s="1453"/>
      <c r="AM61" s="1453"/>
      <c r="AN61" s="1453"/>
      <c r="AO61" s="1453"/>
      <c r="AP61" s="1453"/>
      <c r="AQ61" s="1453"/>
      <c r="AR61" s="1453"/>
      <c r="AS61" s="1453"/>
      <c r="AT61" s="1453"/>
      <c r="AU61" s="1453"/>
      <c r="AV61" s="1453"/>
      <c r="AW61" s="1453"/>
      <c r="AX61" s="1453"/>
      <c r="AY61" s="1453"/>
      <c r="AZ61" s="1453"/>
      <c r="BA61" s="1453"/>
      <c r="BB61" s="1453"/>
      <c r="BC61" s="1453"/>
      <c r="BD61" s="1453"/>
      <c r="BE61" s="1453"/>
      <c r="BF61" s="1453"/>
      <c r="BG61" s="1453"/>
      <c r="BH61" s="1453"/>
      <c r="BI61" s="1453"/>
      <c r="BJ61" s="1453"/>
      <c r="BK61" s="1453"/>
      <c r="BL61" s="1453"/>
      <c r="BM61" s="1453"/>
      <c r="BN61" s="1453"/>
      <c r="BO61" s="1453"/>
      <c r="BP61" s="1453"/>
      <c r="BQ61" s="1453"/>
      <c r="BR61" s="1453"/>
      <c r="BS61" s="1453"/>
      <c r="BT61" s="1453"/>
      <c r="BU61" s="1453"/>
      <c r="BV61" s="1453"/>
      <c r="BW61" s="1453"/>
      <c r="BX61" s="1453"/>
      <c r="BY61" s="1453"/>
      <c r="BZ61" s="1453"/>
      <c r="CA61" s="1453"/>
      <c r="CB61" s="1453"/>
      <c r="CC61" s="1453"/>
      <c r="CD61" s="1453"/>
      <c r="CE61" s="1453"/>
      <c r="CF61" s="1453"/>
      <c r="CG61" s="1453"/>
      <c r="CH61" s="1453"/>
      <c r="CI61" s="1453"/>
      <c r="CJ61" s="1453"/>
      <c r="CK61" s="1453"/>
      <c r="CL61" s="1453"/>
      <c r="CM61" s="1453"/>
      <c r="CN61" s="1453"/>
      <c r="CO61" s="1453"/>
      <c r="CP61" s="1453"/>
      <c r="CQ61" s="1453"/>
      <c r="CR61" s="1453"/>
      <c r="CS61" s="1453"/>
      <c r="CT61" s="1453" t="s">
        <v>2792</v>
      </c>
      <c r="CU61" s="1453"/>
      <c r="CV61" s="1453"/>
      <c r="CW61" s="1453"/>
      <c r="CX61" s="1453"/>
      <c r="CY61" s="1453"/>
      <c r="CZ61" s="1453"/>
      <c r="DA61" s="1453"/>
      <c r="DB61" s="1453"/>
      <c r="DC61" s="1453"/>
      <c r="DD61" s="1453"/>
      <c r="DE61" s="1453"/>
      <c r="DF61" s="1453"/>
      <c r="DG61" s="1453"/>
      <c r="DH61" s="1453"/>
      <c r="DI61" s="1453"/>
      <c r="DJ61" s="1453"/>
      <c r="DK61" s="1453"/>
      <c r="DL61" s="1453"/>
      <c r="DM61" s="1453"/>
      <c r="DN61" s="1453"/>
      <c r="DO61" s="1453"/>
      <c r="DP61" s="1453"/>
      <c r="DQ61" s="1453"/>
      <c r="DR61" s="1453"/>
      <c r="DS61" s="1453"/>
      <c r="DT61" s="1453"/>
      <c r="DU61" s="1453"/>
      <c r="DV61" s="1453"/>
      <c r="DW61" s="1453"/>
      <c r="DX61" s="1453"/>
      <c r="DY61" s="1453"/>
      <c r="DZ61" s="1453"/>
      <c r="EA61" s="1453" t="s">
        <v>2793</v>
      </c>
      <c r="EB61" s="1453" t="s">
        <v>2794</v>
      </c>
      <c r="EC61" s="1453" t="s">
        <v>2792</v>
      </c>
      <c r="ED61" s="1453"/>
      <c r="EE61" s="1453"/>
      <c r="EF61" s="1453"/>
      <c r="EG61" s="1453"/>
      <c r="EH61" s="1453"/>
      <c r="EI61" s="1453"/>
      <c r="EJ61" s="1453"/>
      <c r="EK61" s="1453"/>
      <c r="EL61" s="1453"/>
      <c r="EM61" s="1453"/>
      <c r="EN61" s="1453"/>
      <c r="EO61" s="1453"/>
      <c r="EP61" s="1453"/>
      <c r="EQ61" s="1453"/>
      <c r="ER61" s="1453"/>
      <c r="ES61" s="1453"/>
      <c r="ET61" s="1453"/>
      <c r="EU61" s="1453"/>
      <c r="EV61" s="1453"/>
      <c r="EW61" s="1453"/>
      <c r="EX61" s="1453"/>
      <c r="EY61" s="1453"/>
      <c r="EZ61" s="1453"/>
      <c r="FA61" s="1453"/>
      <c r="FB61" s="1453" t="s">
        <v>2792</v>
      </c>
      <c r="FC61" s="1453"/>
      <c r="FD61" s="1453"/>
      <c r="FE61" s="1453"/>
      <c r="FF61" s="1453"/>
      <c r="FG61" s="1453"/>
      <c r="FH61" s="1453"/>
      <c r="FI61" s="1453"/>
      <c r="FJ61" s="1453"/>
      <c r="FK61" s="1453"/>
      <c r="FL61" s="1453"/>
      <c r="FM61" s="1453"/>
      <c r="FN61" s="1453"/>
      <c r="FO61" s="1453"/>
      <c r="FP61" s="1453"/>
      <c r="FQ61" s="1453"/>
      <c r="FR61" s="1453"/>
      <c r="FS61" s="1453"/>
      <c r="FT61" s="1453"/>
      <c r="FU61" s="1453"/>
      <c r="FV61" s="1453"/>
      <c r="FW61" s="1453"/>
      <c r="FX61" s="1453"/>
      <c r="FY61" s="1453"/>
      <c r="FZ61" s="1453"/>
      <c r="GA61" s="1453"/>
      <c r="GB61" s="1453"/>
      <c r="GC61" s="1453"/>
      <c r="GD61" s="1453"/>
      <c r="GE61" s="1453"/>
      <c r="GF61" s="1453"/>
      <c r="GG61" s="1453"/>
      <c r="GH61" s="1453"/>
      <c r="GI61" s="1453"/>
      <c r="GJ61" s="1453"/>
      <c r="GK61" s="1453"/>
      <c r="GL61" s="1453"/>
      <c r="GM61" s="1453"/>
      <c r="GN61" s="1453"/>
      <c r="GO61" s="1453"/>
      <c r="GP61" s="1453"/>
      <c r="GQ61" s="1453"/>
      <c r="GR61" s="1453"/>
      <c r="GS61" s="1453"/>
      <c r="GT61" s="1453"/>
      <c r="GU61" s="1453"/>
      <c r="GV61" s="1453"/>
      <c r="GW61" s="1453"/>
      <c r="GX61" s="1453"/>
      <c r="GY61" s="1453"/>
      <c r="GZ61" s="1453"/>
      <c r="HA61" s="1453"/>
      <c r="HB61" s="1453"/>
      <c r="HC61" s="1453"/>
      <c r="HD61" s="1453"/>
      <c r="HE61" s="1453"/>
      <c r="HF61" s="1453"/>
      <c r="HG61" s="1453"/>
      <c r="HH61" s="1453"/>
      <c r="HI61" s="1453"/>
      <c r="HJ61" s="1453"/>
      <c r="HK61" s="1453"/>
      <c r="HL61" s="1453"/>
      <c r="HM61" s="1453"/>
      <c r="HN61" s="1453"/>
      <c r="HO61" s="1453"/>
      <c r="HP61" s="1453"/>
      <c r="HQ61" s="1453"/>
      <c r="HR61" s="1453"/>
      <c r="HS61" s="1453"/>
      <c r="HT61" s="1453"/>
      <c r="HU61" s="1453"/>
      <c r="HV61" s="1453"/>
      <c r="HW61" s="1453"/>
      <c r="HX61" s="1453"/>
      <c r="HY61" s="1453"/>
      <c r="HZ61" s="1453"/>
      <c r="IA61" s="1453"/>
      <c r="IB61" s="1453"/>
      <c r="IC61" s="1453"/>
      <c r="ID61" s="1453"/>
      <c r="IE61" s="1453"/>
      <c r="IF61" s="1453"/>
      <c r="IG61" s="1453"/>
      <c r="IH61" s="1453"/>
      <c r="II61" s="1453"/>
      <c r="IJ61" s="1453"/>
      <c r="IK61" s="1453"/>
      <c r="IL61" s="1453"/>
      <c r="IM61" s="1453"/>
      <c r="IN61" s="1453"/>
      <c r="IO61" s="1453"/>
      <c r="IP61" s="1453"/>
      <c r="IQ61" s="1453"/>
      <c r="IR61" s="1453"/>
      <c r="IS61" s="1453"/>
      <c r="IT61" s="1453"/>
      <c r="IU61" s="1453"/>
      <c r="IV61" s="1453"/>
      <c r="IW61" s="1453"/>
      <c r="IX61" s="1453" t="s">
        <v>2795</v>
      </c>
      <c r="IY61" s="1453"/>
      <c r="IZ61" s="1453"/>
      <c r="JA61" s="1453"/>
      <c r="JB61" s="1453"/>
      <c r="JC61" s="1453"/>
      <c r="JD61" s="1453"/>
      <c r="JE61" s="1453"/>
      <c r="JF61" s="1453"/>
      <c r="JG61" s="1453"/>
      <c r="JH61" s="1453"/>
      <c r="JI61" s="1453"/>
      <c r="JJ61" s="1453"/>
      <c r="JK61" s="1453"/>
      <c r="JL61" s="1453"/>
      <c r="JM61" s="1453"/>
      <c r="JN61" s="1453"/>
      <c r="JO61" s="1453"/>
      <c r="JP61" s="1453"/>
      <c r="JQ61" s="1453"/>
      <c r="JR61" s="351"/>
      <c r="JS61" s="1365"/>
      <c r="JT61" s="450" t="s">
        <v>2215</v>
      </c>
    </row>
    <row r="62" spans="1:280" ht="12.5" x14ac:dyDescent="0.25">
      <c r="A62" s="1367">
        <v>3</v>
      </c>
      <c r="B62" s="1478" t="str">
        <f t="shared" si="4"/>
        <v/>
      </c>
      <c r="C62" s="1435" t="s">
        <v>2796</v>
      </c>
      <c r="D62" s="1443" t="s">
        <v>2797</v>
      </c>
      <c r="E62" s="1453"/>
      <c r="F62" s="1453"/>
      <c r="G62" s="1453"/>
      <c r="H62" s="1453"/>
      <c r="I62" s="1453"/>
      <c r="J62" s="1453"/>
      <c r="K62" s="1453"/>
      <c r="L62" s="1453"/>
      <c r="M62" s="1453"/>
      <c r="N62" s="1453"/>
      <c r="O62" s="1453"/>
      <c r="P62" s="1453"/>
      <c r="Q62" s="1453"/>
      <c r="R62" s="1453"/>
      <c r="S62" s="1453"/>
      <c r="T62" s="1453"/>
      <c r="U62" s="1453"/>
      <c r="V62" s="1453"/>
      <c r="W62" s="1453"/>
      <c r="X62" s="1453"/>
      <c r="Y62" s="1453"/>
      <c r="Z62" s="1453"/>
      <c r="AA62" s="1453"/>
      <c r="AB62" s="1453"/>
      <c r="AC62" s="1453"/>
      <c r="AD62" s="1453"/>
      <c r="AE62" s="1453"/>
      <c r="AF62" s="1453"/>
      <c r="AG62" s="1453"/>
      <c r="AH62" s="1453"/>
      <c r="AI62" s="1453"/>
      <c r="AJ62" s="1453"/>
      <c r="AK62" s="1453"/>
      <c r="AL62" s="1453"/>
      <c r="AM62" s="1453"/>
      <c r="AN62" s="1453"/>
      <c r="AO62" s="1453"/>
      <c r="AP62" s="1453"/>
      <c r="AQ62" s="1453"/>
      <c r="AR62" s="1453"/>
      <c r="AS62" s="1453"/>
      <c r="AT62" s="1453"/>
      <c r="AU62" s="1453"/>
      <c r="AV62" s="1453"/>
      <c r="AW62" s="1453"/>
      <c r="AX62" s="1453"/>
      <c r="AY62" s="1453"/>
      <c r="AZ62" s="1453"/>
      <c r="BA62" s="1453"/>
      <c r="BB62" s="1453"/>
      <c r="BC62" s="1453"/>
      <c r="BD62" s="1453"/>
      <c r="BE62" s="1453"/>
      <c r="BF62" s="1453"/>
      <c r="BG62" s="1453"/>
      <c r="BH62" s="1453"/>
      <c r="BI62" s="1453"/>
      <c r="BJ62" s="1453"/>
      <c r="BK62" s="1453"/>
      <c r="BL62" s="1453"/>
      <c r="BM62" s="1453"/>
      <c r="BN62" s="1453"/>
      <c r="BO62" s="1453"/>
      <c r="BP62" s="1453"/>
      <c r="BQ62" s="1453"/>
      <c r="BR62" s="1453"/>
      <c r="BS62" s="1453"/>
      <c r="BT62" s="1453"/>
      <c r="BU62" s="1453"/>
      <c r="BV62" s="1453"/>
      <c r="BW62" s="1453"/>
      <c r="BX62" s="1453"/>
      <c r="BY62" s="1453"/>
      <c r="BZ62" s="1453"/>
      <c r="CA62" s="1453"/>
      <c r="CB62" s="1453"/>
      <c r="CC62" s="1453"/>
      <c r="CD62" s="1453"/>
      <c r="CE62" s="1453"/>
      <c r="CF62" s="1453"/>
      <c r="CG62" s="1453"/>
      <c r="CH62" s="1453"/>
      <c r="CI62" s="1453"/>
      <c r="CJ62" s="1453"/>
      <c r="CK62" s="1453"/>
      <c r="CL62" s="1453"/>
      <c r="CM62" s="1453"/>
      <c r="CN62" s="1453"/>
      <c r="CO62" s="1453"/>
      <c r="CP62" s="1453"/>
      <c r="CQ62" s="1453"/>
      <c r="CR62" s="1453"/>
      <c r="CS62" s="1453"/>
      <c r="CT62" s="1453">
        <v>14767</v>
      </c>
      <c r="CU62" s="1453"/>
      <c r="CV62" s="1453"/>
      <c r="CW62" s="1453"/>
      <c r="CX62" s="1453"/>
      <c r="CY62" s="1453"/>
      <c r="CZ62" s="1453"/>
      <c r="DA62" s="1453"/>
      <c r="DB62" s="1453"/>
      <c r="DC62" s="1453"/>
      <c r="DD62" s="1453"/>
      <c r="DE62" s="1453"/>
      <c r="DF62" s="1453"/>
      <c r="DG62" s="1453"/>
      <c r="DH62" s="1453"/>
      <c r="DI62" s="1453"/>
      <c r="DJ62" s="1453"/>
      <c r="DK62" s="1453"/>
      <c r="DL62" s="1453"/>
      <c r="DM62" s="1453"/>
      <c r="DN62" s="1453"/>
      <c r="DO62" s="1453"/>
      <c r="DP62" s="1453"/>
      <c r="DQ62" s="1453"/>
      <c r="DR62" s="1453"/>
      <c r="DS62" s="1453"/>
      <c r="DT62" s="1453"/>
      <c r="DU62" s="1453"/>
      <c r="DV62" s="1453"/>
      <c r="DW62" s="1453"/>
      <c r="DX62" s="1453"/>
      <c r="DY62" s="1453"/>
      <c r="DZ62" s="1453"/>
      <c r="EA62" s="1453">
        <v>4500</v>
      </c>
      <c r="EB62" s="1453">
        <v>15250</v>
      </c>
      <c r="EC62" s="1453">
        <v>14767</v>
      </c>
      <c r="ED62" s="1453"/>
      <c r="EE62" s="1453"/>
      <c r="EF62" s="1453"/>
      <c r="EG62" s="1453"/>
      <c r="EH62" s="1453"/>
      <c r="EI62" s="1453"/>
      <c r="EJ62" s="1453"/>
      <c r="EK62" s="1453"/>
      <c r="EL62" s="1453"/>
      <c r="EM62" s="1453"/>
      <c r="EN62" s="1453"/>
      <c r="EO62" s="1453"/>
      <c r="EP62" s="1453"/>
      <c r="EQ62" s="1453"/>
      <c r="ER62" s="1453"/>
      <c r="ES62" s="1453"/>
      <c r="ET62" s="1453"/>
      <c r="EU62" s="1453"/>
      <c r="EV62" s="1453"/>
      <c r="EW62" s="1453"/>
      <c r="EX62" s="1453"/>
      <c r="EY62" s="1453"/>
      <c r="EZ62" s="1453"/>
      <c r="FA62" s="1453"/>
      <c r="FB62" s="1453">
        <v>14767</v>
      </c>
      <c r="FC62" s="1453"/>
      <c r="FD62" s="1453"/>
      <c r="FE62" s="1453"/>
      <c r="FF62" s="1453"/>
      <c r="FG62" s="1453"/>
      <c r="FH62" s="1453"/>
      <c r="FI62" s="1453"/>
      <c r="FJ62" s="1453"/>
      <c r="FK62" s="1453"/>
      <c r="FL62" s="1453"/>
      <c r="FM62" s="1453"/>
      <c r="FN62" s="1453"/>
      <c r="FO62" s="1453"/>
      <c r="FP62" s="1453"/>
      <c r="FQ62" s="1453"/>
      <c r="FR62" s="1453"/>
      <c r="FS62" s="1453"/>
      <c r="FT62" s="1453"/>
      <c r="FU62" s="1453"/>
      <c r="FV62" s="1453"/>
      <c r="FW62" s="1453"/>
      <c r="FX62" s="1453"/>
      <c r="FY62" s="1453"/>
      <c r="FZ62" s="1453"/>
      <c r="GA62" s="1453"/>
      <c r="GB62" s="1453"/>
      <c r="GC62" s="1453"/>
      <c r="GD62" s="1453"/>
      <c r="GE62" s="1453"/>
      <c r="GF62" s="1453"/>
      <c r="GG62" s="1453"/>
      <c r="GH62" s="1453"/>
      <c r="GI62" s="1453"/>
      <c r="GJ62" s="1453"/>
      <c r="GK62" s="1453"/>
      <c r="GL62" s="1453"/>
      <c r="GM62" s="1453"/>
      <c r="GN62" s="1453"/>
      <c r="GO62" s="1453"/>
      <c r="GP62" s="1453"/>
      <c r="GQ62" s="1453"/>
      <c r="GR62" s="1453"/>
      <c r="GS62" s="1453"/>
      <c r="GT62" s="1453"/>
      <c r="GU62" s="1453"/>
      <c r="GV62" s="1453"/>
      <c r="GW62" s="1453"/>
      <c r="GX62" s="1453"/>
      <c r="GY62" s="1453"/>
      <c r="GZ62" s="1453"/>
      <c r="HA62" s="1453"/>
      <c r="HB62" s="1453"/>
      <c r="HC62" s="1453"/>
      <c r="HD62" s="1453"/>
      <c r="HE62" s="1453"/>
      <c r="HF62" s="1453"/>
      <c r="HG62" s="1453"/>
      <c r="HH62" s="1453"/>
      <c r="HI62" s="1453"/>
      <c r="HJ62" s="1453"/>
      <c r="HK62" s="1453"/>
      <c r="HL62" s="1453"/>
      <c r="HM62" s="1453"/>
      <c r="HN62" s="1453"/>
      <c r="HO62" s="1453"/>
      <c r="HP62" s="1453"/>
      <c r="HQ62" s="1453"/>
      <c r="HR62" s="1453"/>
      <c r="HS62" s="1453"/>
      <c r="HT62" s="1453"/>
      <c r="HU62" s="1453"/>
      <c r="HV62" s="1453"/>
      <c r="HW62" s="1453"/>
      <c r="HX62" s="1453"/>
      <c r="HY62" s="1453"/>
      <c r="HZ62" s="1453"/>
      <c r="IA62" s="1453"/>
      <c r="IB62" s="1453"/>
      <c r="IC62" s="1453"/>
      <c r="ID62" s="1453"/>
      <c r="IE62" s="1453"/>
      <c r="IF62" s="1453"/>
      <c r="IG62" s="1453"/>
      <c r="IH62" s="1453"/>
      <c r="II62" s="1453"/>
      <c r="IJ62" s="1453"/>
      <c r="IK62" s="1453"/>
      <c r="IL62" s="1453"/>
      <c r="IM62" s="1453"/>
      <c r="IN62" s="1453"/>
      <c r="IO62" s="1453"/>
      <c r="IP62" s="1453"/>
      <c r="IQ62" s="1453"/>
      <c r="IR62" s="1453"/>
      <c r="IS62" s="1453"/>
      <c r="IT62" s="1453"/>
      <c r="IU62" s="1453"/>
      <c r="IV62" s="1453"/>
      <c r="IW62" s="1453"/>
      <c r="IX62" s="1453">
        <v>8799</v>
      </c>
      <c r="IY62" s="1453"/>
      <c r="IZ62" s="1453"/>
      <c r="JA62" s="1453"/>
      <c r="JB62" s="1453"/>
      <c r="JC62" s="1453"/>
      <c r="JD62" s="1453"/>
      <c r="JE62" s="1453"/>
      <c r="JF62" s="1453"/>
      <c r="JG62" s="1453"/>
      <c r="JH62" s="1453"/>
      <c r="JI62" s="1453"/>
      <c r="JJ62" s="1453"/>
      <c r="JK62" s="1453"/>
      <c r="JL62" s="1453"/>
      <c r="JM62" s="1453"/>
      <c r="JN62" s="1453"/>
      <c r="JO62" s="1453"/>
      <c r="JP62" s="1453"/>
      <c r="JQ62" s="1453"/>
      <c r="JR62" s="351"/>
      <c r="JS62" s="1365"/>
      <c r="JT62" s="450" t="s">
        <v>2242</v>
      </c>
    </row>
    <row r="63" spans="1:280" ht="12.5" x14ac:dyDescent="0.25">
      <c r="A63" s="1367">
        <v>4</v>
      </c>
      <c r="B63" s="1478" t="str">
        <f t="shared" si="4"/>
        <v/>
      </c>
      <c r="C63" s="1435" t="s">
        <v>2798</v>
      </c>
      <c r="D63" s="1443" t="s">
        <v>2799</v>
      </c>
      <c r="E63" s="1453"/>
      <c r="F63" s="1453"/>
      <c r="G63" s="1453"/>
      <c r="H63" s="1453"/>
      <c r="I63" s="1453"/>
      <c r="J63" s="1453"/>
      <c r="K63" s="1453"/>
      <c r="L63" s="1453"/>
      <c r="M63" s="1453"/>
      <c r="N63" s="1453"/>
      <c r="O63" s="1453"/>
      <c r="P63" s="1453"/>
      <c r="Q63" s="1453"/>
      <c r="R63" s="1453"/>
      <c r="S63" s="1453"/>
      <c r="T63" s="1453"/>
      <c r="U63" s="1453"/>
      <c r="V63" s="1453"/>
      <c r="W63" s="1453"/>
      <c r="X63" s="1453"/>
      <c r="Y63" s="1453"/>
      <c r="Z63" s="1453"/>
      <c r="AA63" s="1453"/>
      <c r="AB63" s="1453"/>
      <c r="AC63" s="1453"/>
      <c r="AD63" s="1453"/>
      <c r="AE63" s="1453"/>
      <c r="AF63" s="1453"/>
      <c r="AG63" s="1453"/>
      <c r="AH63" s="1453"/>
      <c r="AI63" s="1453"/>
      <c r="AJ63" s="1453"/>
      <c r="AK63" s="1453"/>
      <c r="AL63" s="1453"/>
      <c r="AM63" s="1453"/>
      <c r="AN63" s="1453"/>
      <c r="AO63" s="1453"/>
      <c r="AP63" s="1453"/>
      <c r="AQ63" s="1453"/>
      <c r="AR63" s="1453"/>
      <c r="AS63" s="1453"/>
      <c r="AT63" s="1453"/>
      <c r="AU63" s="1453"/>
      <c r="AV63" s="1453"/>
      <c r="AW63" s="1453"/>
      <c r="AX63" s="1453"/>
      <c r="AY63" s="1453"/>
      <c r="AZ63" s="1453"/>
      <c r="BA63" s="1453"/>
      <c r="BB63" s="1453"/>
      <c r="BC63" s="1453"/>
      <c r="BD63" s="1453"/>
      <c r="BE63" s="1453"/>
      <c r="BF63" s="1453"/>
      <c r="BG63" s="1453"/>
      <c r="BH63" s="1453"/>
      <c r="BI63" s="1453"/>
      <c r="BJ63" s="1453"/>
      <c r="BK63" s="1453"/>
      <c r="BL63" s="1453"/>
      <c r="BM63" s="1453"/>
      <c r="BN63" s="1453"/>
      <c r="BO63" s="1453"/>
      <c r="BP63" s="1453"/>
      <c r="BQ63" s="1453"/>
      <c r="BR63" s="1453"/>
      <c r="BS63" s="1453"/>
      <c r="BT63" s="1453"/>
      <c r="BU63" s="1453"/>
      <c r="BV63" s="1453"/>
      <c r="BW63" s="1453"/>
      <c r="BX63" s="1453"/>
      <c r="BY63" s="1453"/>
      <c r="BZ63" s="1453"/>
      <c r="CA63" s="1453"/>
      <c r="CB63" s="1453"/>
      <c r="CC63" s="1453"/>
      <c r="CD63" s="1453"/>
      <c r="CE63" s="1453"/>
      <c r="CF63" s="1453"/>
      <c r="CG63" s="1453"/>
      <c r="CH63" s="1453"/>
      <c r="CI63" s="1453"/>
      <c r="CJ63" s="1453"/>
      <c r="CK63" s="1453"/>
      <c r="CL63" s="1453"/>
      <c r="CM63" s="1453"/>
      <c r="CN63" s="1453"/>
      <c r="CO63" s="1453"/>
      <c r="CP63" s="1453"/>
      <c r="CQ63" s="1453"/>
      <c r="CR63" s="1453"/>
      <c r="CS63" s="1453"/>
      <c r="CT63" s="1453"/>
      <c r="CU63" s="1453"/>
      <c r="CV63" s="1453"/>
      <c r="CW63" s="1453"/>
      <c r="CX63" s="1453"/>
      <c r="CY63" s="1453"/>
      <c r="CZ63" s="1453"/>
      <c r="DA63" s="1453"/>
      <c r="DB63" s="1453"/>
      <c r="DC63" s="1453"/>
      <c r="DD63" s="1453"/>
      <c r="DE63" s="1453"/>
      <c r="DF63" s="1453"/>
      <c r="DG63" s="1453"/>
      <c r="DH63" s="1453"/>
      <c r="DI63" s="1453"/>
      <c r="DJ63" s="1453"/>
      <c r="DK63" s="1453"/>
      <c r="DL63" s="1453"/>
      <c r="DM63" s="1453"/>
      <c r="DN63" s="1453"/>
      <c r="DO63" s="1453"/>
      <c r="DP63" s="1453"/>
      <c r="DQ63" s="1453"/>
      <c r="DR63" s="1453"/>
      <c r="DS63" s="1453"/>
      <c r="DT63" s="1453"/>
      <c r="DU63" s="1453"/>
      <c r="DV63" s="1453"/>
      <c r="DW63" s="1453"/>
      <c r="DX63" s="1453"/>
      <c r="DY63" s="1453"/>
      <c r="DZ63" s="1453"/>
      <c r="EA63" s="1453"/>
      <c r="EB63" s="1453"/>
      <c r="EC63" s="1453"/>
      <c r="ED63" s="1453"/>
      <c r="EE63" s="1453"/>
      <c r="EF63" s="1453"/>
      <c r="EG63" s="1453"/>
      <c r="EH63" s="1453"/>
      <c r="EI63" s="1453"/>
      <c r="EJ63" s="1453"/>
      <c r="EK63" s="1453"/>
      <c r="EL63" s="1453"/>
      <c r="EM63" s="1453"/>
      <c r="EN63" s="1453"/>
      <c r="EO63" s="1453"/>
      <c r="EP63" s="1453"/>
      <c r="EQ63" s="1453"/>
      <c r="ER63" s="1453"/>
      <c r="ES63" s="1453"/>
      <c r="ET63" s="1453"/>
      <c r="EU63" s="1453"/>
      <c r="EV63" s="1453"/>
      <c r="EW63" s="1453"/>
      <c r="EX63" s="1453"/>
      <c r="EY63" s="1453"/>
      <c r="EZ63" s="1453"/>
      <c r="FA63" s="1453"/>
      <c r="FB63" s="1453"/>
      <c r="FC63" s="1453"/>
      <c r="FD63" s="1453"/>
      <c r="FE63" s="1453"/>
      <c r="FF63" s="1453"/>
      <c r="FG63" s="1453"/>
      <c r="FH63" s="1453"/>
      <c r="FI63" s="1453"/>
      <c r="FJ63" s="1453"/>
      <c r="FK63" s="1453"/>
      <c r="FL63" s="1453"/>
      <c r="FM63" s="1453"/>
      <c r="FN63" s="1453"/>
      <c r="FO63" s="1453"/>
      <c r="FP63" s="1453"/>
      <c r="FQ63" s="1453"/>
      <c r="FR63" s="1453"/>
      <c r="FS63" s="1453"/>
      <c r="FT63" s="1453"/>
      <c r="FU63" s="1453"/>
      <c r="FV63" s="1453"/>
      <c r="FW63" s="1453"/>
      <c r="FX63" s="1453"/>
      <c r="FY63" s="1453"/>
      <c r="FZ63" s="1453"/>
      <c r="GA63" s="1453"/>
      <c r="GB63" s="1453"/>
      <c r="GC63" s="1453"/>
      <c r="GD63" s="1453"/>
      <c r="GE63" s="1453"/>
      <c r="GF63" s="1453"/>
      <c r="GG63" s="1453"/>
      <c r="GH63" s="1453"/>
      <c r="GI63" s="1453"/>
      <c r="GJ63" s="1453"/>
      <c r="GK63" s="1453"/>
      <c r="GL63" s="1453"/>
      <c r="GM63" s="1453"/>
      <c r="GN63" s="1453"/>
      <c r="GO63" s="1453"/>
      <c r="GP63" s="1453"/>
      <c r="GQ63" s="1453"/>
      <c r="GR63" s="1453"/>
      <c r="GS63" s="1453"/>
      <c r="GT63" s="1453"/>
      <c r="GU63" s="1453"/>
      <c r="GV63" s="1453"/>
      <c r="GW63" s="1453"/>
      <c r="GX63" s="1453"/>
      <c r="GY63" s="1453"/>
      <c r="GZ63" s="1453"/>
      <c r="HA63" s="1453"/>
      <c r="HB63" s="1453"/>
      <c r="HC63" s="1453"/>
      <c r="HD63" s="1453"/>
      <c r="HE63" s="1453"/>
      <c r="HF63" s="1453"/>
      <c r="HG63" s="1453"/>
      <c r="HH63" s="1453"/>
      <c r="HI63" s="1453"/>
      <c r="HJ63" s="1453"/>
      <c r="HK63" s="1453"/>
      <c r="HL63" s="1453"/>
      <c r="HM63" s="1453"/>
      <c r="HN63" s="1453"/>
      <c r="HO63" s="1453"/>
      <c r="HP63" s="1453"/>
      <c r="HQ63" s="1453"/>
      <c r="HR63" s="1453"/>
      <c r="HS63" s="1453"/>
      <c r="HT63" s="1453"/>
      <c r="HU63" s="1453"/>
      <c r="HV63" s="1453"/>
      <c r="HW63" s="1453"/>
      <c r="HX63" s="1453"/>
      <c r="HY63" s="1453"/>
      <c r="HZ63" s="1453"/>
      <c r="IA63" s="1453"/>
      <c r="IB63" s="1453"/>
      <c r="IC63" s="1453"/>
      <c r="ID63" s="1453"/>
      <c r="IE63" s="1453"/>
      <c r="IF63" s="1453"/>
      <c r="IG63" s="1453"/>
      <c r="IH63" s="1453"/>
      <c r="II63" s="1453"/>
      <c r="IJ63" s="1453"/>
      <c r="IK63" s="1453"/>
      <c r="IL63" s="1453"/>
      <c r="IM63" s="1453"/>
      <c r="IN63" s="1453"/>
      <c r="IO63" s="1453"/>
      <c r="IP63" s="1453"/>
      <c r="IQ63" s="1453"/>
      <c r="IR63" s="1453"/>
      <c r="IS63" s="1453"/>
      <c r="IT63" s="1453"/>
      <c r="IU63" s="1453"/>
      <c r="IV63" s="1453"/>
      <c r="IW63" s="1453"/>
      <c r="IX63" s="1453"/>
      <c r="IY63" s="1453"/>
      <c r="IZ63" s="1453"/>
      <c r="JA63" s="1453"/>
      <c r="JB63" s="1453"/>
      <c r="JC63" s="1453"/>
      <c r="JD63" s="1453"/>
      <c r="JE63" s="1453"/>
      <c r="JF63" s="1453"/>
      <c r="JG63" s="1453"/>
      <c r="JH63" s="1453"/>
      <c r="JI63" s="1453"/>
      <c r="JJ63" s="1453"/>
      <c r="JK63" s="1453"/>
      <c r="JL63" s="1453"/>
      <c r="JM63" s="1453"/>
      <c r="JN63" s="1453"/>
      <c r="JO63" s="1453"/>
      <c r="JP63" s="1453"/>
      <c r="JQ63" s="1453"/>
      <c r="JR63" s="351"/>
      <c r="JS63" s="1365"/>
      <c r="JT63" s="450"/>
    </row>
    <row r="64" spans="1:280" ht="12.5" x14ac:dyDescent="0.25">
      <c r="A64" s="1367">
        <v>5</v>
      </c>
      <c r="B64" s="1478" t="str">
        <f t="shared" si="4"/>
        <v/>
      </c>
      <c r="C64" s="1435" t="s">
        <v>2800</v>
      </c>
      <c r="D64" s="1443" t="s">
        <v>2801</v>
      </c>
      <c r="E64" s="1479"/>
      <c r="F64" s="1479"/>
      <c r="G64" s="1479"/>
      <c r="H64" s="1479"/>
      <c r="I64" s="1479"/>
      <c r="J64" s="1479"/>
      <c r="K64" s="1479"/>
      <c r="L64" s="1479"/>
      <c r="M64" s="1479"/>
      <c r="N64" s="1479"/>
      <c r="O64" s="1479"/>
      <c r="P64" s="1479"/>
      <c r="Q64" s="1479"/>
      <c r="R64" s="1479"/>
      <c r="S64" s="1479"/>
      <c r="T64" s="1479"/>
      <c r="U64" s="1479"/>
      <c r="V64" s="1479"/>
      <c r="W64" s="1479"/>
      <c r="X64" s="1479"/>
      <c r="Y64" s="1479"/>
      <c r="Z64" s="1479"/>
      <c r="AA64" s="1479"/>
      <c r="AB64" s="1479"/>
      <c r="AC64" s="1479"/>
      <c r="AD64" s="1479"/>
      <c r="AE64" s="1479"/>
      <c r="AF64" s="1479"/>
      <c r="AG64" s="1479"/>
      <c r="AH64" s="1479"/>
      <c r="AI64" s="1479"/>
      <c r="AJ64" s="1479"/>
      <c r="AK64" s="1479"/>
      <c r="AL64" s="1479"/>
      <c r="AM64" s="1479"/>
      <c r="AN64" s="1479"/>
      <c r="AO64" s="1479"/>
      <c r="AP64" s="1479"/>
      <c r="AQ64" s="1479"/>
      <c r="AR64" s="1479"/>
      <c r="AS64" s="1479"/>
      <c r="AT64" s="1479"/>
      <c r="AU64" s="1479"/>
      <c r="AV64" s="1479"/>
      <c r="AW64" s="1479"/>
      <c r="AX64" s="1479"/>
      <c r="AY64" s="1479"/>
      <c r="AZ64" s="1479"/>
      <c r="BA64" s="1479"/>
      <c r="BB64" s="1479"/>
      <c r="BC64" s="1479"/>
      <c r="BD64" s="1479"/>
      <c r="BE64" s="1479"/>
      <c r="BF64" s="1479"/>
      <c r="BG64" s="1479"/>
      <c r="BH64" s="1479"/>
      <c r="BI64" s="1479"/>
      <c r="BJ64" s="1479"/>
      <c r="BK64" s="1479"/>
      <c r="BL64" s="1479"/>
      <c r="BM64" s="1479"/>
      <c r="BN64" s="1479"/>
      <c r="BO64" s="1479"/>
      <c r="BP64" s="1479"/>
      <c r="BQ64" s="1479"/>
      <c r="BR64" s="1479"/>
      <c r="BS64" s="1479"/>
      <c r="BT64" s="1479"/>
      <c r="BU64" s="1479"/>
      <c r="BV64" s="1479"/>
      <c r="BW64" s="1479"/>
      <c r="BX64" s="1479"/>
      <c r="BY64" s="1479"/>
      <c r="BZ64" s="1479"/>
      <c r="CA64" s="1479"/>
      <c r="CB64" s="1479"/>
      <c r="CC64" s="1479"/>
      <c r="CD64" s="1479"/>
      <c r="CE64" s="1479"/>
      <c r="CF64" s="1479"/>
      <c r="CG64" s="1479"/>
      <c r="CH64" s="1479"/>
      <c r="CI64" s="1479"/>
      <c r="CJ64" s="1479"/>
      <c r="CK64" s="1479"/>
      <c r="CL64" s="1479"/>
      <c r="CM64" s="1479"/>
      <c r="CN64" s="1479"/>
      <c r="CO64" s="1479"/>
      <c r="CP64" s="1479"/>
      <c r="CQ64" s="1479"/>
      <c r="CR64" s="1479"/>
      <c r="CS64" s="1479"/>
      <c r="CT64" s="1479"/>
      <c r="CU64" s="1479"/>
      <c r="CV64" s="1479"/>
      <c r="CW64" s="1479"/>
      <c r="CX64" s="1479"/>
      <c r="CY64" s="1479"/>
      <c r="CZ64" s="1479"/>
      <c r="DA64" s="1479"/>
      <c r="DB64" s="1479"/>
      <c r="DC64" s="1479"/>
      <c r="DD64" s="1479"/>
      <c r="DE64" s="1479"/>
      <c r="DF64" s="1479"/>
      <c r="DG64" s="1479"/>
      <c r="DH64" s="1479"/>
      <c r="DI64" s="1479"/>
      <c r="DJ64" s="1479"/>
      <c r="DK64" s="1479"/>
      <c r="DL64" s="1479"/>
      <c r="DM64" s="1479"/>
      <c r="DN64" s="1479"/>
      <c r="DO64" s="1479"/>
      <c r="DP64" s="1479"/>
      <c r="DQ64" s="1479"/>
      <c r="DR64" s="1479"/>
      <c r="DS64" s="1479"/>
      <c r="DT64" s="1479"/>
      <c r="DU64" s="1479"/>
      <c r="DV64" s="1479"/>
      <c r="DW64" s="1479"/>
      <c r="DX64" s="1479"/>
      <c r="DY64" s="1479"/>
      <c r="DZ64" s="1479"/>
      <c r="EA64" s="1479">
        <v>-250</v>
      </c>
      <c r="EB64" s="1479">
        <f>MAX((EB62-P_A)*BR_rate,0)+MAX((EB62-P_A-HR_band)*BR_rate,0)</f>
        <v>536</v>
      </c>
      <c r="EC64" s="1479">
        <f>MAX((EC62-P_A)*BR_rate,0)+MAX((EC62-P_A-HR_band)*BR_rate,0)</f>
        <v>439.40000000000003</v>
      </c>
      <c r="ED64" s="1479"/>
      <c r="EE64" s="1479"/>
      <c r="EF64" s="1479"/>
      <c r="EG64" s="1479"/>
      <c r="EH64" s="1479"/>
      <c r="EI64" s="1479"/>
      <c r="EJ64" s="1479"/>
      <c r="EK64" s="1479"/>
      <c r="EL64" s="1479"/>
      <c r="EM64" s="1479"/>
      <c r="EN64" s="1479"/>
      <c r="EO64" s="1479"/>
      <c r="EP64" s="1479"/>
      <c r="EQ64" s="1479"/>
      <c r="ER64" s="1479"/>
      <c r="ES64" s="1479"/>
      <c r="ET64" s="1479"/>
      <c r="EU64" s="1479"/>
      <c r="EV64" s="1479"/>
      <c r="EW64" s="1479"/>
      <c r="EX64" s="1479"/>
      <c r="EY64" s="1479"/>
      <c r="EZ64" s="1479"/>
      <c r="FA64" s="1479"/>
      <c r="FB64" s="1479">
        <f>MAX((FB62-P_A)*BR_rate,0)+MAX((FB62-P_A-HR_band)*BR_rate,0)</f>
        <v>439.40000000000003</v>
      </c>
      <c r="FC64" s="1479"/>
      <c r="FD64" s="1479"/>
      <c r="FE64" s="1479"/>
      <c r="FF64" s="1479"/>
      <c r="FG64" s="1479"/>
      <c r="FH64" s="1479"/>
      <c r="FI64" s="1479"/>
      <c r="FJ64" s="1479"/>
      <c r="FK64" s="1479"/>
      <c r="FL64" s="1479"/>
      <c r="FM64" s="1479"/>
      <c r="FN64" s="1479"/>
      <c r="FO64" s="1479"/>
      <c r="FP64" s="1479"/>
      <c r="FQ64" s="1479"/>
      <c r="FR64" s="1479"/>
      <c r="FS64" s="1479"/>
      <c r="FT64" s="1479"/>
      <c r="FU64" s="1479"/>
      <c r="FV64" s="1479"/>
      <c r="FW64" s="1479"/>
      <c r="FX64" s="1479"/>
      <c r="FY64" s="1479"/>
      <c r="FZ64" s="1479"/>
      <c r="GA64" s="1479"/>
      <c r="GB64" s="1479"/>
      <c r="GC64" s="1479"/>
      <c r="GD64" s="1479"/>
      <c r="GE64" s="1479"/>
      <c r="GF64" s="1479"/>
      <c r="GG64" s="1479"/>
      <c r="GH64" s="1479"/>
      <c r="GI64" s="1479"/>
      <c r="GJ64" s="1479"/>
      <c r="GK64" s="1479"/>
      <c r="GL64" s="1479"/>
      <c r="GM64" s="1479"/>
      <c r="GN64" s="1479"/>
      <c r="GO64" s="1479"/>
      <c r="GP64" s="1479"/>
      <c r="GQ64" s="1479"/>
      <c r="GR64" s="1479"/>
      <c r="GS64" s="1479"/>
      <c r="GT64" s="1479"/>
      <c r="GU64" s="1479"/>
      <c r="GV64" s="1479"/>
      <c r="GW64" s="1479"/>
      <c r="GX64" s="1479"/>
      <c r="GY64" s="1479"/>
      <c r="GZ64" s="1479"/>
      <c r="HA64" s="1479"/>
      <c r="HB64" s="1479"/>
      <c r="HC64" s="1479"/>
      <c r="HD64" s="1479"/>
      <c r="HE64" s="1479"/>
      <c r="HF64" s="1479"/>
      <c r="HG64" s="1479"/>
      <c r="HH64" s="1479"/>
      <c r="HI64" s="1479"/>
      <c r="HJ64" s="1479"/>
      <c r="HK64" s="1479"/>
      <c r="HL64" s="1479"/>
      <c r="HM64" s="1479"/>
      <c r="HN64" s="1479"/>
      <c r="HO64" s="1479"/>
      <c r="HP64" s="1479"/>
      <c r="HQ64" s="1479"/>
      <c r="HR64" s="1479"/>
      <c r="HS64" s="1479"/>
      <c r="HT64" s="1479"/>
      <c r="HU64" s="1479"/>
      <c r="HV64" s="1479"/>
      <c r="HW64" s="1479"/>
      <c r="HX64" s="1479"/>
      <c r="HY64" s="1479"/>
      <c r="HZ64" s="1479"/>
      <c r="IA64" s="1479"/>
      <c r="IB64" s="1479"/>
      <c r="IC64" s="1479"/>
      <c r="ID64" s="1479"/>
      <c r="IE64" s="1479"/>
      <c r="IF64" s="1479"/>
      <c r="IG64" s="1479"/>
      <c r="IH64" s="1479"/>
      <c r="II64" s="1479"/>
      <c r="IJ64" s="1479"/>
      <c r="IK64" s="1479"/>
      <c r="IL64" s="1479"/>
      <c r="IM64" s="1479"/>
      <c r="IN64" s="1479"/>
      <c r="IO64" s="1479"/>
      <c r="IP64" s="1479"/>
      <c r="IQ64" s="1479"/>
      <c r="IR64" s="1479"/>
      <c r="IS64" s="1479"/>
      <c r="IT64" s="1479"/>
      <c r="IU64" s="1479"/>
      <c r="IV64" s="1479"/>
      <c r="IW64" s="1479"/>
      <c r="IX64" s="1479">
        <v>250</v>
      </c>
      <c r="IY64" s="1479"/>
      <c r="IZ64" s="1479"/>
      <c r="JA64" s="1479"/>
      <c r="JB64" s="1479"/>
      <c r="JC64" s="1479"/>
      <c r="JD64" s="1479"/>
      <c r="JE64" s="1479"/>
      <c r="JF64" s="1479"/>
      <c r="JG64" s="1479"/>
      <c r="JH64" s="1479"/>
      <c r="JI64" s="1479"/>
      <c r="JJ64" s="1479"/>
      <c r="JK64" s="1479"/>
      <c r="JL64" s="1479"/>
      <c r="JM64" s="1479"/>
      <c r="JN64" s="1479"/>
      <c r="JO64" s="1479"/>
      <c r="JP64" s="1479"/>
      <c r="JQ64" s="1479"/>
      <c r="JR64" s="351"/>
      <c r="JS64" s="1365"/>
      <c r="JT64" s="450" t="s">
        <v>2224</v>
      </c>
    </row>
    <row r="65" spans="1:280" ht="12.5" x14ac:dyDescent="0.25">
      <c r="A65" s="1367">
        <v>6</v>
      </c>
      <c r="B65" s="1478" t="str">
        <f t="shared" si="4"/>
        <v/>
      </c>
      <c r="C65" s="1435" t="s">
        <v>2802</v>
      </c>
      <c r="D65" s="1443" t="s">
        <v>2803</v>
      </c>
      <c r="E65" s="1453"/>
      <c r="F65" s="1453"/>
      <c r="G65" s="1453"/>
      <c r="H65" s="1453"/>
      <c r="I65" s="1453"/>
      <c r="J65" s="1453"/>
      <c r="K65" s="1453"/>
      <c r="L65" s="1453"/>
      <c r="M65" s="1453"/>
      <c r="N65" s="1453"/>
      <c r="O65" s="1453"/>
      <c r="P65" s="1453"/>
      <c r="Q65" s="1453"/>
      <c r="R65" s="1453"/>
      <c r="S65" s="1453"/>
      <c r="T65" s="1453"/>
      <c r="U65" s="1453"/>
      <c r="V65" s="1453"/>
      <c r="W65" s="1453"/>
      <c r="X65" s="1453"/>
      <c r="Y65" s="1453"/>
      <c r="Z65" s="1453"/>
      <c r="AA65" s="1453"/>
      <c r="AB65" s="1453"/>
      <c r="AC65" s="1453"/>
      <c r="AD65" s="1453"/>
      <c r="AE65" s="1453"/>
      <c r="AF65" s="1453"/>
      <c r="AG65" s="1453"/>
      <c r="AH65" s="1453"/>
      <c r="AI65" s="1453"/>
      <c r="AJ65" s="1453"/>
      <c r="AK65" s="1453"/>
      <c r="AL65" s="1453"/>
      <c r="AM65" s="1453"/>
      <c r="AN65" s="1453"/>
      <c r="AO65" s="1453"/>
      <c r="AP65" s="1453"/>
      <c r="AQ65" s="1453"/>
      <c r="AR65" s="1453"/>
      <c r="AS65" s="1453"/>
      <c r="AT65" s="1453"/>
      <c r="AU65" s="1453"/>
      <c r="AV65" s="1453"/>
      <c r="AW65" s="1453"/>
      <c r="AX65" s="1453"/>
      <c r="AY65" s="1453"/>
      <c r="AZ65" s="1453"/>
      <c r="BA65" s="1453"/>
      <c r="BB65" s="1453"/>
      <c r="BC65" s="1453"/>
      <c r="BD65" s="1453"/>
      <c r="BE65" s="1453"/>
      <c r="BF65" s="1453"/>
      <c r="BG65" s="1453"/>
      <c r="BH65" s="1453"/>
      <c r="BI65" s="1453"/>
      <c r="BJ65" s="1453"/>
      <c r="BK65" s="1453"/>
      <c r="BL65" s="1453"/>
      <c r="BM65" s="1453"/>
      <c r="BN65" s="1453"/>
      <c r="BO65" s="1453"/>
      <c r="BP65" s="1453"/>
      <c r="BQ65" s="1453"/>
      <c r="BR65" s="1453"/>
      <c r="BS65" s="1453"/>
      <c r="BT65" s="1453"/>
      <c r="BU65" s="1453"/>
      <c r="BV65" s="1453"/>
      <c r="BW65" s="1453"/>
      <c r="BX65" s="1453"/>
      <c r="BY65" s="1453"/>
      <c r="BZ65" s="1453"/>
      <c r="CA65" s="1453"/>
      <c r="CB65" s="1453"/>
      <c r="CC65" s="1453"/>
      <c r="CD65" s="1453"/>
      <c r="CE65" s="1453"/>
      <c r="CF65" s="1453"/>
      <c r="CG65" s="1453"/>
      <c r="CH65" s="1453"/>
      <c r="CI65" s="1453"/>
      <c r="CJ65" s="1453"/>
      <c r="CK65" s="1453"/>
      <c r="CL65" s="1453"/>
      <c r="CM65" s="1453"/>
      <c r="CN65" s="1453"/>
      <c r="CO65" s="1453"/>
      <c r="CP65" s="1453"/>
      <c r="CQ65" s="1453"/>
      <c r="CR65" s="1453"/>
      <c r="CS65" s="1453"/>
      <c r="CT65" s="1453"/>
      <c r="CU65" s="1453"/>
      <c r="CV65" s="1453"/>
      <c r="CW65" s="1453"/>
      <c r="CX65" s="1453"/>
      <c r="CY65" s="1453"/>
      <c r="CZ65" s="1453"/>
      <c r="DA65" s="1453"/>
      <c r="DB65" s="1453"/>
      <c r="DC65" s="1453"/>
      <c r="DD65" s="1453"/>
      <c r="DE65" s="1453"/>
      <c r="DF65" s="1453"/>
      <c r="DG65" s="1453"/>
      <c r="DH65" s="1453"/>
      <c r="DI65" s="1453"/>
      <c r="DJ65" s="1453"/>
      <c r="DK65" s="1453"/>
      <c r="DL65" s="1453"/>
      <c r="DM65" s="1453"/>
      <c r="DN65" s="1453"/>
      <c r="DO65" s="1453"/>
      <c r="DP65" s="1453"/>
      <c r="DQ65" s="1453"/>
      <c r="DR65" s="1453"/>
      <c r="DS65" s="1453"/>
      <c r="DT65" s="1453"/>
      <c r="DU65" s="1453"/>
      <c r="DV65" s="1453"/>
      <c r="DW65" s="1453"/>
      <c r="DX65" s="1453"/>
      <c r="DY65" s="1453"/>
      <c r="DZ65" s="1453"/>
      <c r="EA65" s="1453"/>
      <c r="EB65" s="1453">
        <v>1200</v>
      </c>
      <c r="EC65" s="1453"/>
      <c r="ED65" s="1453"/>
      <c r="EE65" s="1453"/>
      <c r="EF65" s="1453"/>
      <c r="EG65" s="1453"/>
      <c r="EH65" s="1453"/>
      <c r="EI65" s="1453"/>
      <c r="EJ65" s="1453"/>
      <c r="EK65" s="1453"/>
      <c r="EL65" s="1453"/>
      <c r="EM65" s="1453"/>
      <c r="EN65" s="1453"/>
      <c r="EO65" s="1453"/>
      <c r="EP65" s="1453"/>
      <c r="EQ65" s="1453"/>
      <c r="ER65" s="1453"/>
      <c r="ES65" s="1453"/>
      <c r="ET65" s="1453"/>
      <c r="EU65" s="1453"/>
      <c r="EV65" s="1453"/>
      <c r="EW65" s="1453"/>
      <c r="EX65" s="1453"/>
      <c r="EY65" s="1453"/>
      <c r="EZ65" s="1453"/>
      <c r="FA65" s="1453"/>
      <c r="FB65" s="1453"/>
      <c r="FC65" s="1453"/>
      <c r="FD65" s="1453"/>
      <c r="FE65" s="1453"/>
      <c r="FF65" s="1453"/>
      <c r="FG65" s="1453"/>
      <c r="FH65" s="1453"/>
      <c r="FI65" s="1453"/>
      <c r="FJ65" s="1453"/>
      <c r="FK65" s="1453"/>
      <c r="FL65" s="1453"/>
      <c r="FM65" s="1453"/>
      <c r="FN65" s="1453"/>
      <c r="FO65" s="1453"/>
      <c r="FP65" s="1453"/>
      <c r="FQ65" s="1453"/>
      <c r="FR65" s="1453"/>
      <c r="FS65" s="1453"/>
      <c r="FT65" s="1453"/>
      <c r="FU65" s="1453"/>
      <c r="FV65" s="1453"/>
      <c r="FW65" s="1453"/>
      <c r="FX65" s="1453"/>
      <c r="FY65" s="1453"/>
      <c r="FZ65" s="1453"/>
      <c r="GA65" s="1453"/>
      <c r="GB65" s="1453"/>
      <c r="GC65" s="1453"/>
      <c r="GD65" s="1453"/>
      <c r="GE65" s="1453"/>
      <c r="GF65" s="1453"/>
      <c r="GG65" s="1453"/>
      <c r="GH65" s="1453"/>
      <c r="GI65" s="1453"/>
      <c r="GJ65" s="1453"/>
      <c r="GK65" s="1453"/>
      <c r="GL65" s="1453"/>
      <c r="GM65" s="1453"/>
      <c r="GN65" s="1453"/>
      <c r="GO65" s="1453"/>
      <c r="GP65" s="1453"/>
      <c r="GQ65" s="1453"/>
      <c r="GR65" s="1453"/>
      <c r="GS65" s="1453"/>
      <c r="GT65" s="1453"/>
      <c r="GU65" s="1453"/>
      <c r="GV65" s="1453"/>
      <c r="GW65" s="1453"/>
      <c r="GX65" s="1453"/>
      <c r="GY65" s="1453"/>
      <c r="GZ65" s="1453"/>
      <c r="HA65" s="1453"/>
      <c r="HB65" s="1453"/>
      <c r="HC65" s="1453"/>
      <c r="HD65" s="1453"/>
      <c r="HE65" s="1453"/>
      <c r="HF65" s="1453"/>
      <c r="HG65" s="1453"/>
      <c r="HH65" s="1453"/>
      <c r="HI65" s="1453"/>
      <c r="HJ65" s="1453"/>
      <c r="HK65" s="1453"/>
      <c r="HL65" s="1453"/>
      <c r="HM65" s="1453"/>
      <c r="HN65" s="1453"/>
      <c r="HO65" s="1453"/>
      <c r="HP65" s="1453"/>
      <c r="HQ65" s="1453"/>
      <c r="HR65" s="1453"/>
      <c r="HS65" s="1453"/>
      <c r="HT65" s="1453"/>
      <c r="HU65" s="1453"/>
      <c r="HV65" s="1453"/>
      <c r="HW65" s="1453"/>
      <c r="HX65" s="1453"/>
      <c r="HY65" s="1453"/>
      <c r="HZ65" s="1453"/>
      <c r="IA65" s="1453"/>
      <c r="IB65" s="1453"/>
      <c r="IC65" s="1453"/>
      <c r="ID65" s="1453"/>
      <c r="IE65" s="1453"/>
      <c r="IF65" s="1453"/>
      <c r="IG65" s="1453"/>
      <c r="IH65" s="1453"/>
      <c r="II65" s="1453"/>
      <c r="IJ65" s="1453"/>
      <c r="IK65" s="1453"/>
      <c r="IL65" s="1453"/>
      <c r="IM65" s="1453"/>
      <c r="IN65" s="1453"/>
      <c r="IO65" s="1453"/>
      <c r="IP65" s="1453"/>
      <c r="IQ65" s="1453"/>
      <c r="IR65" s="1453"/>
      <c r="IS65" s="1453"/>
      <c r="IT65" s="1453"/>
      <c r="IU65" s="1453"/>
      <c r="IV65" s="1453"/>
      <c r="IW65" s="1453"/>
      <c r="IX65" s="1453"/>
      <c r="IY65" s="1453"/>
      <c r="IZ65" s="1453"/>
      <c r="JA65" s="1453"/>
      <c r="JB65" s="1453"/>
      <c r="JC65" s="1453"/>
      <c r="JD65" s="1453"/>
      <c r="JE65" s="1453"/>
      <c r="JF65" s="1453"/>
      <c r="JG65" s="1453"/>
      <c r="JH65" s="1453"/>
      <c r="JI65" s="1453"/>
      <c r="JJ65" s="1453"/>
      <c r="JK65" s="1453"/>
      <c r="JL65" s="1453"/>
      <c r="JM65" s="1453"/>
      <c r="JN65" s="1453"/>
      <c r="JO65" s="1453"/>
      <c r="JP65" s="1453"/>
      <c r="JQ65" s="1453"/>
      <c r="JR65" s="351"/>
      <c r="JS65" s="1365"/>
      <c r="JT65" s="450" t="s">
        <v>2242</v>
      </c>
    </row>
    <row r="66" spans="1:280" ht="12.5" x14ac:dyDescent="0.25">
      <c r="A66" s="1367">
        <v>7</v>
      </c>
      <c r="B66" s="1478" t="str">
        <f t="shared" si="4"/>
        <v/>
      </c>
      <c r="C66" s="2532" t="s">
        <v>2804</v>
      </c>
      <c r="D66" s="1456" t="s">
        <v>2601</v>
      </c>
      <c r="E66" s="1453"/>
      <c r="F66" s="1453"/>
      <c r="G66" s="1453"/>
      <c r="H66" s="1453"/>
      <c r="I66" s="1453"/>
      <c r="J66" s="1453"/>
      <c r="K66" s="1453"/>
      <c r="L66" s="1453"/>
      <c r="M66" s="1453"/>
      <c r="N66" s="1453"/>
      <c r="O66" s="1453"/>
      <c r="P66" s="1453"/>
      <c r="Q66" s="1453"/>
      <c r="R66" s="1453"/>
      <c r="S66" s="1453"/>
      <c r="T66" s="1453"/>
      <c r="U66" s="1453"/>
      <c r="V66" s="1453"/>
      <c r="W66" s="1453"/>
      <c r="X66" s="1453"/>
      <c r="Y66" s="1453"/>
      <c r="Z66" s="1453"/>
      <c r="AA66" s="1453"/>
      <c r="AB66" s="1453"/>
      <c r="AC66" s="1453"/>
      <c r="AD66" s="1453"/>
      <c r="AE66" s="1453"/>
      <c r="AF66" s="1453"/>
      <c r="AG66" s="1453"/>
      <c r="AH66" s="1453"/>
      <c r="AI66" s="1453"/>
      <c r="AJ66" s="1453"/>
      <c r="AK66" s="1453"/>
      <c r="AL66" s="1453"/>
      <c r="AM66" s="1453"/>
      <c r="AN66" s="1453"/>
      <c r="AO66" s="1453"/>
      <c r="AP66" s="1453"/>
      <c r="AQ66" s="1453"/>
      <c r="AR66" s="1453"/>
      <c r="AS66" s="1453"/>
      <c r="AT66" s="1453"/>
      <c r="AU66" s="1453"/>
      <c r="AV66" s="1453"/>
      <c r="AW66" s="1453"/>
      <c r="AX66" s="1453"/>
      <c r="AY66" s="1453"/>
      <c r="AZ66" s="1453"/>
      <c r="BA66" s="1453"/>
      <c r="BB66" s="1453"/>
      <c r="BC66" s="1453"/>
      <c r="BD66" s="1453"/>
      <c r="BE66" s="1453"/>
      <c r="BF66" s="1453"/>
      <c r="BG66" s="1453"/>
      <c r="BH66" s="1453"/>
      <c r="BI66" s="1453"/>
      <c r="BJ66" s="1453"/>
      <c r="BK66" s="1453"/>
      <c r="BL66" s="1453"/>
      <c r="BM66" s="1453"/>
      <c r="BN66" s="1453"/>
      <c r="BO66" s="1453"/>
      <c r="BP66" s="1453"/>
      <c r="BQ66" s="1453"/>
      <c r="BR66" s="1453"/>
      <c r="BS66" s="1453"/>
      <c r="BT66" s="1453"/>
      <c r="BU66" s="1453"/>
      <c r="BV66" s="1453"/>
      <c r="BW66" s="1453"/>
      <c r="BX66" s="1453"/>
      <c r="BY66" s="1453"/>
      <c r="BZ66" s="1453"/>
      <c r="CA66" s="1453"/>
      <c r="CB66" s="1453"/>
      <c r="CC66" s="1453"/>
      <c r="CD66" s="1453"/>
      <c r="CE66" s="1453"/>
      <c r="CF66" s="1453"/>
      <c r="CG66" s="1453"/>
      <c r="CH66" s="1453"/>
      <c r="CI66" s="1453"/>
      <c r="CJ66" s="1453"/>
      <c r="CK66" s="1453"/>
      <c r="CL66" s="1453"/>
      <c r="CM66" s="1453"/>
      <c r="CN66" s="1453"/>
      <c r="CO66" s="1453"/>
      <c r="CP66" s="1453"/>
      <c r="CQ66" s="1453"/>
      <c r="CR66" s="1453"/>
      <c r="CS66" s="1453"/>
      <c r="CT66" s="1453"/>
      <c r="CU66" s="1453"/>
      <c r="CV66" s="1453"/>
      <c r="CW66" s="1453"/>
      <c r="CX66" s="1453"/>
      <c r="CY66" s="1453"/>
      <c r="CZ66" s="1453"/>
      <c r="DA66" s="1453"/>
      <c r="DB66" s="1453"/>
      <c r="DC66" s="1453"/>
      <c r="DD66" s="1453"/>
      <c r="DE66" s="1453"/>
      <c r="DF66" s="1453"/>
      <c r="DG66" s="1453"/>
      <c r="DH66" s="1453"/>
      <c r="DI66" s="1453"/>
      <c r="DJ66" s="1453"/>
      <c r="DK66" s="1453"/>
      <c r="DL66" s="1453"/>
      <c r="DM66" s="1453"/>
      <c r="DN66" s="1453"/>
      <c r="DO66" s="1453"/>
      <c r="DP66" s="1453"/>
      <c r="DQ66" s="1453"/>
      <c r="DR66" s="1453"/>
      <c r="DS66" s="1453"/>
      <c r="DT66" s="1453"/>
      <c r="DU66" s="1453"/>
      <c r="DV66" s="1453"/>
      <c r="DW66" s="1453"/>
      <c r="DX66" s="1453"/>
      <c r="DY66" s="1453"/>
      <c r="DZ66" s="1453"/>
      <c r="EA66" s="1453"/>
      <c r="EB66" s="1453"/>
      <c r="EC66" s="1453"/>
      <c r="ED66" s="1453"/>
      <c r="EE66" s="1453"/>
      <c r="EF66" s="1453"/>
      <c r="EG66" s="1453"/>
      <c r="EH66" s="1453"/>
      <c r="EI66" s="1453"/>
      <c r="EJ66" s="1453"/>
      <c r="EK66" s="1453"/>
      <c r="EL66" s="1453"/>
      <c r="EM66" s="1453"/>
      <c r="EN66" s="1453"/>
      <c r="EO66" s="1453"/>
      <c r="EP66" s="1453"/>
      <c r="EQ66" s="1453"/>
      <c r="ER66" s="1453"/>
      <c r="ES66" s="1453"/>
      <c r="ET66" s="1453"/>
      <c r="EU66" s="1453"/>
      <c r="EV66" s="1453"/>
      <c r="EW66" s="1453"/>
      <c r="EX66" s="1453"/>
      <c r="EY66" s="1453"/>
      <c r="EZ66" s="1453"/>
      <c r="FA66" s="1453"/>
      <c r="FB66" s="1453"/>
      <c r="FC66" s="1453"/>
      <c r="FD66" s="1453"/>
      <c r="FE66" s="1453"/>
      <c r="FF66" s="1453"/>
      <c r="FG66" s="1453"/>
      <c r="FH66" s="1453"/>
      <c r="FI66" s="1453"/>
      <c r="FJ66" s="1453"/>
      <c r="FK66" s="1453"/>
      <c r="FL66" s="1453"/>
      <c r="FM66" s="1453"/>
      <c r="FN66" s="1453"/>
      <c r="FO66" s="1453"/>
      <c r="FP66" s="1453"/>
      <c r="FQ66" s="1453"/>
      <c r="FR66" s="1453"/>
      <c r="FS66" s="1453"/>
      <c r="FT66" s="1453"/>
      <c r="FU66" s="1453"/>
      <c r="FV66" s="1453"/>
      <c r="FW66" s="1453"/>
      <c r="FX66" s="1453"/>
      <c r="FY66" s="1453"/>
      <c r="FZ66" s="1453"/>
      <c r="GA66" s="1453"/>
      <c r="GB66" s="1453"/>
      <c r="GC66" s="1453"/>
      <c r="GD66" s="1453"/>
      <c r="GE66" s="1453"/>
      <c r="GF66" s="1453"/>
      <c r="GG66" s="1453"/>
      <c r="GH66" s="1453"/>
      <c r="GI66" s="1453"/>
      <c r="GJ66" s="1453"/>
      <c r="GK66" s="1453"/>
      <c r="GL66" s="1453"/>
      <c r="GM66" s="1453"/>
      <c r="GN66" s="1453"/>
      <c r="GO66" s="1453"/>
      <c r="GP66" s="1453"/>
      <c r="GQ66" s="1453"/>
      <c r="GR66" s="1453"/>
      <c r="GS66" s="1453"/>
      <c r="GT66" s="1453"/>
      <c r="GU66" s="1453"/>
      <c r="GV66" s="1453"/>
      <c r="GW66" s="1453"/>
      <c r="GX66" s="1453"/>
      <c r="GY66" s="1453"/>
      <c r="GZ66" s="1453"/>
      <c r="HA66" s="1453"/>
      <c r="HB66" s="1453"/>
      <c r="HC66" s="1453"/>
      <c r="HD66" s="1453"/>
      <c r="HE66" s="1453"/>
      <c r="HF66" s="1453"/>
      <c r="HG66" s="1453"/>
      <c r="HH66" s="1453"/>
      <c r="HI66" s="1453"/>
      <c r="HJ66" s="1453"/>
      <c r="HK66" s="1453"/>
      <c r="HL66" s="1453"/>
      <c r="HM66" s="1453"/>
      <c r="HN66" s="1453"/>
      <c r="HO66" s="1453"/>
      <c r="HP66" s="1453"/>
      <c r="HQ66" s="1453"/>
      <c r="HR66" s="1453"/>
      <c r="HS66" s="1453"/>
      <c r="HT66" s="1453"/>
      <c r="HU66" s="1453"/>
      <c r="HV66" s="1453"/>
      <c r="HW66" s="1453"/>
      <c r="HX66" s="1453"/>
      <c r="HY66" s="1453"/>
      <c r="HZ66" s="1453"/>
      <c r="IA66" s="1453"/>
      <c r="IB66" s="1453"/>
      <c r="IC66" s="1453"/>
      <c r="ID66" s="1453"/>
      <c r="IE66" s="1453"/>
      <c r="IF66" s="1453"/>
      <c r="IG66" s="1453"/>
      <c r="IH66" s="1453"/>
      <c r="II66" s="1453"/>
      <c r="IJ66" s="1453"/>
      <c r="IK66" s="1453"/>
      <c r="IL66" s="1453"/>
      <c r="IM66" s="1453"/>
      <c r="IN66" s="1453"/>
      <c r="IO66" s="1453"/>
      <c r="IP66" s="1453"/>
      <c r="IQ66" s="1453"/>
      <c r="IR66" s="1453"/>
      <c r="IS66" s="1453"/>
      <c r="IT66" s="1453"/>
      <c r="IU66" s="1453"/>
      <c r="IV66" s="1453"/>
      <c r="IW66" s="1453"/>
      <c r="IX66" s="1453"/>
      <c r="IY66" s="1453"/>
      <c r="IZ66" s="1453"/>
      <c r="JA66" s="1453"/>
      <c r="JB66" s="1453"/>
      <c r="JC66" s="1453"/>
      <c r="JD66" s="1453"/>
      <c r="JE66" s="1453"/>
      <c r="JF66" s="1453"/>
      <c r="JG66" s="1453"/>
      <c r="JH66" s="1453"/>
      <c r="JI66" s="1453"/>
      <c r="JJ66" s="1453"/>
      <c r="JK66" s="1453"/>
      <c r="JL66" s="1453"/>
      <c r="JM66" s="1453"/>
      <c r="JN66" s="1453"/>
      <c r="JO66" s="1453"/>
      <c r="JP66" s="1453"/>
      <c r="JQ66" s="1453"/>
      <c r="JR66" s="351"/>
      <c r="JS66" s="1365"/>
      <c r="JT66" s="450"/>
    </row>
    <row r="67" spans="1:280" ht="12.5" x14ac:dyDescent="0.25">
      <c r="A67" s="1367">
        <v>8</v>
      </c>
      <c r="B67" s="1478" t="str">
        <f t="shared" si="4"/>
        <v/>
      </c>
      <c r="C67" s="1435" t="s">
        <v>2805</v>
      </c>
      <c r="D67" s="1443" t="s">
        <v>2806</v>
      </c>
      <c r="E67" s="1453"/>
      <c r="F67" s="1453"/>
      <c r="G67" s="1453"/>
      <c r="H67" s="1453"/>
      <c r="I67" s="1453"/>
      <c r="J67" s="1453"/>
      <c r="K67" s="1453"/>
      <c r="L67" s="1453"/>
      <c r="M67" s="1453"/>
      <c r="N67" s="1453"/>
      <c r="O67" s="1453"/>
      <c r="P67" s="1453"/>
      <c r="Q67" s="1453"/>
      <c r="R67" s="1453"/>
      <c r="S67" s="1453"/>
      <c r="T67" s="1453"/>
      <c r="U67" s="1453"/>
      <c r="V67" s="1453"/>
      <c r="W67" s="1453"/>
      <c r="X67" s="1453"/>
      <c r="Y67" s="1453"/>
      <c r="Z67" s="1453"/>
      <c r="AA67" s="1453"/>
      <c r="AB67" s="1453"/>
      <c r="AC67" s="1453"/>
      <c r="AD67" s="1453"/>
      <c r="AE67" s="1453"/>
      <c r="AF67" s="1453"/>
      <c r="AG67" s="1453"/>
      <c r="AH67" s="1453"/>
      <c r="AI67" s="1453"/>
      <c r="AJ67" s="1453"/>
      <c r="AK67" s="1453"/>
      <c r="AL67" s="1453"/>
      <c r="AM67" s="1453"/>
      <c r="AN67" s="1453"/>
      <c r="AO67" s="1453"/>
      <c r="AP67" s="1453"/>
      <c r="AQ67" s="1453"/>
      <c r="AR67" s="1453"/>
      <c r="AS67" s="1453"/>
      <c r="AT67" s="1453"/>
      <c r="AU67" s="1453"/>
      <c r="AV67" s="1453"/>
      <c r="AW67" s="1453"/>
      <c r="AX67" s="1453"/>
      <c r="AY67" s="1453"/>
      <c r="AZ67" s="1453"/>
      <c r="BA67" s="1453"/>
      <c r="BB67" s="1453"/>
      <c r="BC67" s="1453"/>
      <c r="BD67" s="1453"/>
      <c r="BE67" s="1453"/>
      <c r="BF67" s="1453"/>
      <c r="BG67" s="1453"/>
      <c r="BH67" s="1453"/>
      <c r="BI67" s="1453"/>
      <c r="BJ67" s="1453"/>
      <c r="BK67" s="1453"/>
      <c r="BL67" s="1453"/>
      <c r="BM67" s="1453"/>
      <c r="BN67" s="1453"/>
      <c r="BO67" s="1453"/>
      <c r="BP67" s="1453"/>
      <c r="BQ67" s="1453"/>
      <c r="BR67" s="1453"/>
      <c r="BS67" s="1453"/>
      <c r="BT67" s="1453"/>
      <c r="BU67" s="1453"/>
      <c r="BV67" s="1453"/>
      <c r="BW67" s="1453"/>
      <c r="BX67" s="1453"/>
      <c r="BY67" s="1453"/>
      <c r="BZ67" s="1453"/>
      <c r="CA67" s="1453"/>
      <c r="CB67" s="1453"/>
      <c r="CC67" s="1453"/>
      <c r="CD67" s="1453"/>
      <c r="CE67" s="1453"/>
      <c r="CF67" s="1453"/>
      <c r="CG67" s="1453"/>
      <c r="CH67" s="1453"/>
      <c r="CI67" s="1453"/>
      <c r="CJ67" s="1453"/>
      <c r="CK67" s="1453"/>
      <c r="CL67" s="1453"/>
      <c r="CM67" s="1453"/>
      <c r="CN67" s="1453"/>
      <c r="CO67" s="1453"/>
      <c r="CP67" s="1453"/>
      <c r="CQ67" s="1453"/>
      <c r="CR67" s="1453"/>
      <c r="CS67" s="1453"/>
      <c r="CT67" s="1453"/>
      <c r="CU67" s="1453"/>
      <c r="CV67" s="1453"/>
      <c r="CW67" s="1453"/>
      <c r="CX67" s="1453"/>
      <c r="CY67" s="1453"/>
      <c r="CZ67" s="1453"/>
      <c r="DA67" s="1453"/>
      <c r="DB67" s="1453"/>
      <c r="DC67" s="1453"/>
      <c r="DD67" s="1453"/>
      <c r="DE67" s="1453"/>
      <c r="DF67" s="1453"/>
      <c r="DG67" s="1453"/>
      <c r="DH67" s="1453"/>
      <c r="DI67" s="1453"/>
      <c r="DJ67" s="1453"/>
      <c r="DK67" s="1453"/>
      <c r="DL67" s="1453"/>
      <c r="DM67" s="1453"/>
      <c r="DN67" s="1453"/>
      <c r="DO67" s="1453"/>
      <c r="DP67" s="1453"/>
      <c r="DQ67" s="1453"/>
      <c r="DR67" s="1453"/>
      <c r="DS67" s="1453"/>
      <c r="DT67" s="1453"/>
      <c r="DU67" s="1453"/>
      <c r="DV67" s="1453"/>
      <c r="DW67" s="1453"/>
      <c r="DX67" s="1453"/>
      <c r="DY67" s="1453"/>
      <c r="DZ67" s="1453"/>
      <c r="EA67" s="1453"/>
      <c r="EB67" s="1453">
        <v>1525</v>
      </c>
      <c r="EC67" s="1453"/>
      <c r="ED67" s="1453"/>
      <c r="EE67" s="1453"/>
      <c r="EF67" s="1453"/>
      <c r="EG67" s="1453"/>
      <c r="EH67" s="1453"/>
      <c r="EI67" s="1453"/>
      <c r="EJ67" s="1453"/>
      <c r="EK67" s="1453"/>
      <c r="EL67" s="1453"/>
      <c r="EM67" s="1453"/>
      <c r="EN67" s="1453"/>
      <c r="EO67" s="1453"/>
      <c r="EP67" s="1453"/>
      <c r="EQ67" s="1453"/>
      <c r="ER67" s="1453"/>
      <c r="ES67" s="1453"/>
      <c r="ET67" s="1453"/>
      <c r="EU67" s="1453"/>
      <c r="EV67" s="1453"/>
      <c r="EW67" s="1453"/>
      <c r="EX67" s="1453"/>
      <c r="EY67" s="1453"/>
      <c r="EZ67" s="1453"/>
      <c r="FA67" s="1453"/>
      <c r="FB67" s="1453"/>
      <c r="FC67" s="1453"/>
      <c r="FD67" s="1453"/>
      <c r="FE67" s="1453"/>
      <c r="FF67" s="1453"/>
      <c r="FG67" s="1453"/>
      <c r="FH67" s="1453"/>
      <c r="FI67" s="1453"/>
      <c r="FJ67" s="1453"/>
      <c r="FK67" s="1453"/>
      <c r="FL67" s="1453"/>
      <c r="FM67" s="1453"/>
      <c r="FN67" s="1453"/>
      <c r="FO67" s="1453"/>
      <c r="FP67" s="1453"/>
      <c r="FQ67" s="1453"/>
      <c r="FR67" s="1453"/>
      <c r="FS67" s="1453"/>
      <c r="FT67" s="1453"/>
      <c r="FU67" s="1453"/>
      <c r="FV67" s="1453"/>
      <c r="FW67" s="1453"/>
      <c r="FX67" s="1453"/>
      <c r="FY67" s="1453"/>
      <c r="FZ67" s="1453"/>
      <c r="GA67" s="1453"/>
      <c r="GB67" s="1453"/>
      <c r="GC67" s="1453"/>
      <c r="GD67" s="1453"/>
      <c r="GE67" s="1453"/>
      <c r="GF67" s="1453"/>
      <c r="GG67" s="1453"/>
      <c r="GH67" s="1453"/>
      <c r="GI67" s="1453"/>
      <c r="GJ67" s="1453"/>
      <c r="GK67" s="1453"/>
      <c r="GL67" s="1453"/>
      <c r="GM67" s="1453"/>
      <c r="GN67" s="1453"/>
      <c r="GO67" s="1453"/>
      <c r="GP67" s="1453"/>
      <c r="GQ67" s="1453"/>
      <c r="GR67" s="1453"/>
      <c r="GS67" s="1453"/>
      <c r="GT67" s="1453"/>
      <c r="GU67" s="1453"/>
      <c r="GV67" s="1453"/>
      <c r="GW67" s="1453"/>
      <c r="GX67" s="1453"/>
      <c r="GY67" s="1453"/>
      <c r="GZ67" s="1453"/>
      <c r="HA67" s="1453"/>
      <c r="HB67" s="1453"/>
      <c r="HC67" s="1453"/>
      <c r="HD67" s="1453"/>
      <c r="HE67" s="1453"/>
      <c r="HF67" s="1453"/>
      <c r="HG67" s="1453"/>
      <c r="HH67" s="1453"/>
      <c r="HI67" s="1453"/>
      <c r="HJ67" s="1453"/>
      <c r="HK67" s="1453"/>
      <c r="HL67" s="1453"/>
      <c r="HM67" s="1453"/>
      <c r="HN67" s="1453"/>
      <c r="HO67" s="1453"/>
      <c r="HP67" s="1453"/>
      <c r="HQ67" s="1453"/>
      <c r="HR67" s="1453"/>
      <c r="HS67" s="1453"/>
      <c r="HT67" s="1453"/>
      <c r="HU67" s="1453"/>
      <c r="HV67" s="1453"/>
      <c r="HW67" s="1453"/>
      <c r="HX67" s="1453"/>
      <c r="HY67" s="1453"/>
      <c r="HZ67" s="1453"/>
      <c r="IA67" s="1453"/>
      <c r="IB67" s="1453"/>
      <c r="IC67" s="1453"/>
      <c r="ID67" s="1453"/>
      <c r="IE67" s="1453"/>
      <c r="IF67" s="1453"/>
      <c r="IG67" s="1453"/>
      <c r="IH67" s="1453"/>
      <c r="II67" s="1453"/>
      <c r="IJ67" s="1453"/>
      <c r="IK67" s="1453"/>
      <c r="IL67" s="1453"/>
      <c r="IM67" s="1453"/>
      <c r="IN67" s="1453"/>
      <c r="IO67" s="1453"/>
      <c r="IP67" s="1453"/>
      <c r="IQ67" s="1453"/>
      <c r="IR67" s="1453"/>
      <c r="IS67" s="1453"/>
      <c r="IT67" s="1453"/>
      <c r="IU67" s="1453"/>
      <c r="IV67" s="1453"/>
      <c r="IW67" s="1453"/>
      <c r="IX67" s="1453"/>
      <c r="IY67" s="1453"/>
      <c r="IZ67" s="1453"/>
      <c r="JA67" s="1453"/>
      <c r="JB67" s="1453"/>
      <c r="JC67" s="1453"/>
      <c r="JD67" s="1453"/>
      <c r="JE67" s="1453"/>
      <c r="JF67" s="1453"/>
      <c r="JG67" s="1453"/>
      <c r="JH67" s="1453"/>
      <c r="JI67" s="1453"/>
      <c r="JJ67" s="1453"/>
      <c r="JK67" s="1453"/>
      <c r="JL67" s="1453"/>
      <c r="JM67" s="1453"/>
      <c r="JN67" s="1453"/>
      <c r="JO67" s="1453"/>
      <c r="JP67" s="1453"/>
      <c r="JQ67" s="1453"/>
      <c r="JR67" s="351"/>
      <c r="JS67" s="1365"/>
      <c r="JT67" s="450" t="s">
        <v>2242</v>
      </c>
    </row>
    <row r="68" spans="1:280" ht="12.5" x14ac:dyDescent="0.25">
      <c r="A68" s="1367">
        <v>9</v>
      </c>
      <c r="B68" s="1478" t="str">
        <f t="shared" si="4"/>
        <v/>
      </c>
      <c r="C68" s="1435" t="s">
        <v>2807</v>
      </c>
      <c r="D68" s="1443" t="s">
        <v>2808</v>
      </c>
      <c r="E68" s="1453"/>
      <c r="F68" s="1453"/>
      <c r="G68" s="1453"/>
      <c r="H68" s="1453"/>
      <c r="I68" s="1453"/>
      <c r="J68" s="1453"/>
      <c r="K68" s="1453"/>
      <c r="L68" s="1453"/>
      <c r="M68" s="1453"/>
      <c r="N68" s="1453"/>
      <c r="O68" s="1453"/>
      <c r="P68" s="1453"/>
      <c r="Q68" s="1453"/>
      <c r="R68" s="1453"/>
      <c r="S68" s="1453"/>
      <c r="T68" s="1453"/>
      <c r="U68" s="1453"/>
      <c r="V68" s="1453"/>
      <c r="W68" s="1453"/>
      <c r="X68" s="1453"/>
      <c r="Y68" s="1453"/>
      <c r="Z68" s="1453"/>
      <c r="AA68" s="1453"/>
      <c r="AB68" s="1453"/>
      <c r="AC68" s="1453"/>
      <c r="AD68" s="1453"/>
      <c r="AE68" s="1453"/>
      <c r="AF68" s="1453"/>
      <c r="AG68" s="1453"/>
      <c r="AH68" s="1453"/>
      <c r="AI68" s="1453"/>
      <c r="AJ68" s="1453"/>
      <c r="AK68" s="1453"/>
      <c r="AL68" s="1453"/>
      <c r="AM68" s="1453"/>
      <c r="AN68" s="1453"/>
      <c r="AO68" s="1453"/>
      <c r="AP68" s="1453"/>
      <c r="AQ68" s="1453"/>
      <c r="AR68" s="1453"/>
      <c r="AS68" s="1453"/>
      <c r="AT68" s="1453"/>
      <c r="AU68" s="1453"/>
      <c r="AV68" s="1453"/>
      <c r="AW68" s="1453"/>
      <c r="AX68" s="1453"/>
      <c r="AY68" s="1453"/>
      <c r="AZ68" s="1453"/>
      <c r="BA68" s="1453"/>
      <c r="BB68" s="1453"/>
      <c r="BC68" s="1453"/>
      <c r="BD68" s="1453"/>
      <c r="BE68" s="1453"/>
      <c r="BF68" s="1453"/>
      <c r="BG68" s="1453"/>
      <c r="BH68" s="1453"/>
      <c r="BI68" s="1453"/>
      <c r="BJ68" s="1453"/>
      <c r="BK68" s="1453"/>
      <c r="BL68" s="1453"/>
      <c r="BM68" s="1453"/>
      <c r="BN68" s="1453"/>
      <c r="BO68" s="1453"/>
      <c r="BP68" s="1453"/>
      <c r="BQ68" s="1453"/>
      <c r="BR68" s="1453"/>
      <c r="BS68" s="1453"/>
      <c r="BT68" s="1453"/>
      <c r="BU68" s="1453"/>
      <c r="BV68" s="1453"/>
      <c r="BW68" s="1453"/>
      <c r="BX68" s="1453"/>
      <c r="BY68" s="1453"/>
      <c r="BZ68" s="1453"/>
      <c r="CA68" s="1453"/>
      <c r="CB68" s="1453"/>
      <c r="CC68" s="1453"/>
      <c r="CD68" s="1453"/>
      <c r="CE68" s="1453"/>
      <c r="CF68" s="1453"/>
      <c r="CG68" s="1453"/>
      <c r="CH68" s="1453"/>
      <c r="CI68" s="1453"/>
      <c r="CJ68" s="1453"/>
      <c r="CK68" s="1453"/>
      <c r="CL68" s="1453"/>
      <c r="CM68" s="1453"/>
      <c r="CN68" s="1453"/>
      <c r="CO68" s="1453"/>
      <c r="CP68" s="1453"/>
      <c r="CQ68" s="1453"/>
      <c r="CR68" s="1453"/>
      <c r="CS68" s="1453"/>
      <c r="CT68" s="1453">
        <v>2500</v>
      </c>
      <c r="CU68" s="1453"/>
      <c r="CV68" s="1453"/>
      <c r="CW68" s="1453"/>
      <c r="CX68" s="1453"/>
      <c r="CY68" s="1453"/>
      <c r="CZ68" s="1453"/>
      <c r="DA68" s="1453"/>
      <c r="DB68" s="1453"/>
      <c r="DC68" s="1453"/>
      <c r="DD68" s="1453"/>
      <c r="DE68" s="1453"/>
      <c r="DF68" s="1453"/>
      <c r="DG68" s="1453"/>
      <c r="DH68" s="1453"/>
      <c r="DI68" s="1453"/>
      <c r="DJ68" s="1453"/>
      <c r="DK68" s="1453"/>
      <c r="DL68" s="1453"/>
      <c r="DM68" s="1453"/>
      <c r="DN68" s="1453"/>
      <c r="DO68" s="1453"/>
      <c r="DP68" s="1453"/>
      <c r="DQ68" s="1453"/>
      <c r="DR68" s="1453"/>
      <c r="DS68" s="1453"/>
      <c r="DT68" s="1453"/>
      <c r="DU68" s="1453"/>
      <c r="DV68" s="1453"/>
      <c r="DW68" s="1453"/>
      <c r="DX68" s="1453"/>
      <c r="DY68" s="1453"/>
      <c r="DZ68" s="1453"/>
      <c r="EA68" s="1453"/>
      <c r="EB68" s="1453"/>
      <c r="EC68" s="1453">
        <v>2500</v>
      </c>
      <c r="ED68" s="1453"/>
      <c r="EE68" s="1453"/>
      <c r="EF68" s="1453"/>
      <c r="EG68" s="1453"/>
      <c r="EH68" s="1453"/>
      <c r="EI68" s="1453"/>
      <c r="EJ68" s="1453"/>
      <c r="EK68" s="1453"/>
      <c r="EL68" s="1453"/>
      <c r="EM68" s="1453"/>
      <c r="EN68" s="1453"/>
      <c r="EO68" s="1453"/>
      <c r="EP68" s="1453"/>
      <c r="EQ68" s="1453"/>
      <c r="ER68" s="1453"/>
      <c r="ES68" s="1453"/>
      <c r="ET68" s="1453"/>
      <c r="EU68" s="1453"/>
      <c r="EV68" s="1453"/>
      <c r="EW68" s="1453"/>
      <c r="EX68" s="1453"/>
      <c r="EY68" s="1453"/>
      <c r="EZ68" s="1453"/>
      <c r="FA68" s="1453"/>
      <c r="FB68" s="1453">
        <v>2500</v>
      </c>
      <c r="FC68" s="1453"/>
      <c r="FD68" s="1453"/>
      <c r="FE68" s="1453"/>
      <c r="FF68" s="1453"/>
      <c r="FG68" s="1453"/>
      <c r="FH68" s="1453"/>
      <c r="FI68" s="1453"/>
      <c r="FJ68" s="1453"/>
      <c r="FK68" s="1453"/>
      <c r="FL68" s="1453"/>
      <c r="FM68" s="1453"/>
      <c r="FN68" s="1453"/>
      <c r="FO68" s="1453"/>
      <c r="FP68" s="1453"/>
      <c r="FQ68" s="1453"/>
      <c r="FR68" s="1453"/>
      <c r="FS68" s="1453"/>
      <c r="FT68" s="1453"/>
      <c r="FU68" s="1453"/>
      <c r="FV68" s="1453"/>
      <c r="FW68" s="1453"/>
      <c r="FX68" s="1453"/>
      <c r="FY68" s="1453"/>
      <c r="FZ68" s="1453"/>
      <c r="GA68" s="1453"/>
      <c r="GB68" s="1453"/>
      <c r="GC68" s="1453"/>
      <c r="GD68" s="1453"/>
      <c r="GE68" s="1453"/>
      <c r="GF68" s="1453"/>
      <c r="GG68" s="1453"/>
      <c r="GH68" s="1453"/>
      <c r="GI68" s="1453"/>
      <c r="GJ68" s="1453"/>
      <c r="GK68" s="1453"/>
      <c r="GL68" s="1453"/>
      <c r="GM68" s="1453"/>
      <c r="GN68" s="1453"/>
      <c r="GO68" s="1453"/>
      <c r="GP68" s="1453"/>
      <c r="GQ68" s="1453"/>
      <c r="GR68" s="1453"/>
      <c r="GS68" s="1453"/>
      <c r="GT68" s="1453"/>
      <c r="GU68" s="1453"/>
      <c r="GV68" s="1453"/>
      <c r="GW68" s="1453"/>
      <c r="GX68" s="1453"/>
      <c r="GY68" s="1453"/>
      <c r="GZ68" s="1453"/>
      <c r="HA68" s="1453"/>
      <c r="HB68" s="1453"/>
      <c r="HC68" s="1453"/>
      <c r="HD68" s="1453"/>
      <c r="HE68" s="1453"/>
      <c r="HF68" s="1453"/>
      <c r="HG68" s="1453"/>
      <c r="HH68" s="1453"/>
      <c r="HI68" s="1453"/>
      <c r="HJ68" s="1453"/>
      <c r="HK68" s="1453"/>
      <c r="HL68" s="1453"/>
      <c r="HM68" s="1453"/>
      <c r="HN68" s="1453"/>
      <c r="HO68" s="1453"/>
      <c r="HP68" s="1453"/>
      <c r="HQ68" s="1453"/>
      <c r="HR68" s="1453"/>
      <c r="HS68" s="1453"/>
      <c r="HT68" s="1453"/>
      <c r="HU68" s="1453"/>
      <c r="HV68" s="1453"/>
      <c r="HW68" s="1453"/>
      <c r="HX68" s="1453"/>
      <c r="HY68" s="1453"/>
      <c r="HZ68" s="1453"/>
      <c r="IA68" s="1453"/>
      <c r="IB68" s="1453"/>
      <c r="IC68" s="1453"/>
      <c r="ID68" s="1453"/>
      <c r="IE68" s="1453"/>
      <c r="IF68" s="1453"/>
      <c r="IG68" s="1453"/>
      <c r="IH68" s="1453"/>
      <c r="II68" s="1453"/>
      <c r="IJ68" s="1453"/>
      <c r="IK68" s="1453"/>
      <c r="IL68" s="1453"/>
      <c r="IM68" s="1453"/>
      <c r="IN68" s="1453"/>
      <c r="IO68" s="1453"/>
      <c r="IP68" s="1453"/>
      <c r="IQ68" s="1453"/>
      <c r="IR68" s="1453"/>
      <c r="IS68" s="1453"/>
      <c r="IT68" s="1453"/>
      <c r="IU68" s="1453"/>
      <c r="IV68" s="1453"/>
      <c r="IW68" s="1453"/>
      <c r="IX68" s="1453"/>
      <c r="IY68" s="1453"/>
      <c r="IZ68" s="1453"/>
      <c r="JA68" s="1453"/>
      <c r="JB68" s="1453"/>
      <c r="JC68" s="1453"/>
      <c r="JD68" s="1453"/>
      <c r="JE68" s="1453"/>
      <c r="JF68" s="1453"/>
      <c r="JG68" s="1453"/>
      <c r="JH68" s="1453"/>
      <c r="JI68" s="1453"/>
      <c r="JJ68" s="1453"/>
      <c r="JK68" s="1453"/>
      <c r="JL68" s="1453"/>
      <c r="JM68" s="1453"/>
      <c r="JN68" s="1453"/>
      <c r="JO68" s="1453"/>
      <c r="JP68" s="1453"/>
      <c r="JQ68" s="1453"/>
      <c r="JR68" s="351"/>
      <c r="JS68" s="1365"/>
      <c r="JT68" s="450" t="s">
        <v>2242</v>
      </c>
    </row>
    <row r="69" spans="1:280" ht="12.5" x14ac:dyDescent="0.25">
      <c r="A69" s="1367">
        <v>10</v>
      </c>
      <c r="B69" s="1478" t="str">
        <f t="shared" si="4"/>
        <v/>
      </c>
      <c r="C69" s="1435" t="s">
        <v>2809</v>
      </c>
      <c r="D69" s="1443" t="s">
        <v>2810</v>
      </c>
      <c r="E69" s="1453"/>
      <c r="F69" s="1453"/>
      <c r="G69" s="1453"/>
      <c r="H69" s="1453"/>
      <c r="I69" s="1453"/>
      <c r="J69" s="1453"/>
      <c r="K69" s="1453"/>
      <c r="L69" s="1453"/>
      <c r="M69" s="1453"/>
      <c r="N69" s="1453"/>
      <c r="O69" s="1453"/>
      <c r="P69" s="1453"/>
      <c r="Q69" s="1453"/>
      <c r="R69" s="1453"/>
      <c r="S69" s="1453"/>
      <c r="T69" s="1453"/>
      <c r="U69" s="1453"/>
      <c r="V69" s="1453"/>
      <c r="W69" s="1453"/>
      <c r="X69" s="1453"/>
      <c r="Y69" s="1453"/>
      <c r="Z69" s="1453"/>
      <c r="AA69" s="1453"/>
      <c r="AB69" s="1453"/>
      <c r="AC69" s="1453"/>
      <c r="AD69" s="1453"/>
      <c r="AE69" s="1453"/>
      <c r="AF69" s="1453"/>
      <c r="AG69" s="1453"/>
      <c r="AH69" s="1453"/>
      <c r="AI69" s="1453"/>
      <c r="AJ69" s="1453"/>
      <c r="AK69" s="1453"/>
      <c r="AL69" s="1453"/>
      <c r="AM69" s="1453"/>
      <c r="AN69" s="1453"/>
      <c r="AO69" s="1453"/>
      <c r="AP69" s="1453"/>
      <c r="AQ69" s="1453"/>
      <c r="AR69" s="1453"/>
      <c r="AS69" s="1453"/>
      <c r="AT69" s="1453"/>
      <c r="AU69" s="1453"/>
      <c r="AV69" s="1453"/>
      <c r="AW69" s="1453"/>
      <c r="AX69" s="1453"/>
      <c r="AY69" s="1453"/>
      <c r="AZ69" s="1453"/>
      <c r="BA69" s="1453"/>
      <c r="BB69" s="1453"/>
      <c r="BC69" s="1453"/>
      <c r="BD69" s="1453"/>
      <c r="BE69" s="1453"/>
      <c r="BF69" s="1453"/>
      <c r="BG69" s="1453"/>
      <c r="BH69" s="1453"/>
      <c r="BI69" s="1453"/>
      <c r="BJ69" s="1453"/>
      <c r="BK69" s="1453"/>
      <c r="BL69" s="1453"/>
      <c r="BM69" s="1453"/>
      <c r="BN69" s="1453"/>
      <c r="BO69" s="1453"/>
      <c r="BP69" s="1453"/>
      <c r="BQ69" s="1453"/>
      <c r="BR69" s="1453"/>
      <c r="BS69" s="1453"/>
      <c r="BT69" s="1453"/>
      <c r="BU69" s="1453"/>
      <c r="BV69" s="1453"/>
      <c r="BW69" s="1453"/>
      <c r="BX69" s="1453"/>
      <c r="BY69" s="1453"/>
      <c r="BZ69" s="1453"/>
      <c r="CA69" s="1453"/>
      <c r="CB69" s="1453"/>
      <c r="CC69" s="1453"/>
      <c r="CD69" s="1453"/>
      <c r="CE69" s="1453"/>
      <c r="CF69" s="1453"/>
      <c r="CG69" s="1453"/>
      <c r="CH69" s="1453"/>
      <c r="CI69" s="1453"/>
      <c r="CJ69" s="1453"/>
      <c r="CK69" s="1453"/>
      <c r="CL69" s="1453"/>
      <c r="CM69" s="1453"/>
      <c r="CN69" s="1453"/>
      <c r="CO69" s="1453"/>
      <c r="CP69" s="1453"/>
      <c r="CQ69" s="1453"/>
      <c r="CR69" s="1453"/>
      <c r="CS69" s="1453"/>
      <c r="CT69" s="1453">
        <v>1600</v>
      </c>
      <c r="CU69" s="1453"/>
      <c r="CV69" s="1453"/>
      <c r="CW69" s="1453"/>
      <c r="CX69" s="1453"/>
      <c r="CY69" s="1453"/>
      <c r="CZ69" s="1453"/>
      <c r="DA69" s="1453"/>
      <c r="DB69" s="1453"/>
      <c r="DC69" s="1453"/>
      <c r="DD69" s="1453"/>
      <c r="DE69" s="1453"/>
      <c r="DF69" s="1453"/>
      <c r="DG69" s="1453"/>
      <c r="DH69" s="1453"/>
      <c r="DI69" s="1453"/>
      <c r="DJ69" s="1453"/>
      <c r="DK69" s="1453"/>
      <c r="DL69" s="1453"/>
      <c r="DM69" s="1453"/>
      <c r="DN69" s="1453"/>
      <c r="DO69" s="1453"/>
      <c r="DP69" s="1453"/>
      <c r="DQ69" s="1453"/>
      <c r="DR69" s="1453"/>
      <c r="DS69" s="1453"/>
      <c r="DT69" s="1453"/>
      <c r="DU69" s="1453"/>
      <c r="DV69" s="1453"/>
      <c r="DW69" s="1453"/>
      <c r="DX69" s="1453"/>
      <c r="DY69" s="1453"/>
      <c r="DZ69" s="1453"/>
      <c r="EA69" s="1453"/>
      <c r="EB69" s="1453"/>
      <c r="EC69" s="1453">
        <v>1600</v>
      </c>
      <c r="ED69" s="1453"/>
      <c r="EE69" s="1453"/>
      <c r="EF69" s="1453"/>
      <c r="EG69" s="1453"/>
      <c r="EH69" s="1453"/>
      <c r="EI69" s="1453"/>
      <c r="EJ69" s="1453"/>
      <c r="EK69" s="1453"/>
      <c r="EL69" s="1453"/>
      <c r="EM69" s="1453"/>
      <c r="EN69" s="1453"/>
      <c r="EO69" s="1453"/>
      <c r="EP69" s="1453"/>
      <c r="EQ69" s="1453"/>
      <c r="ER69" s="1453"/>
      <c r="ES69" s="1453"/>
      <c r="ET69" s="1453"/>
      <c r="EU69" s="1453"/>
      <c r="EV69" s="1453"/>
      <c r="EW69" s="1453"/>
      <c r="EX69" s="1453"/>
      <c r="EY69" s="1453"/>
      <c r="EZ69" s="1453"/>
      <c r="FA69" s="1453"/>
      <c r="FB69" s="1453">
        <v>1600</v>
      </c>
      <c r="FC69" s="1453"/>
      <c r="FD69" s="1453"/>
      <c r="FE69" s="1453"/>
      <c r="FF69" s="1453"/>
      <c r="FG69" s="1453"/>
      <c r="FH69" s="1453"/>
      <c r="FI69" s="1453"/>
      <c r="FJ69" s="1453"/>
      <c r="FK69" s="1453"/>
      <c r="FL69" s="1453"/>
      <c r="FM69" s="1453"/>
      <c r="FN69" s="1453"/>
      <c r="FO69" s="1453"/>
      <c r="FP69" s="1453"/>
      <c r="FQ69" s="1453"/>
      <c r="FR69" s="1453"/>
      <c r="FS69" s="1453"/>
      <c r="FT69" s="1453"/>
      <c r="FU69" s="1453"/>
      <c r="FV69" s="1453"/>
      <c r="FW69" s="1453"/>
      <c r="FX69" s="1453"/>
      <c r="FY69" s="1453"/>
      <c r="FZ69" s="1453"/>
      <c r="GA69" s="1453"/>
      <c r="GB69" s="1453"/>
      <c r="GC69" s="1453"/>
      <c r="GD69" s="1453"/>
      <c r="GE69" s="1453"/>
      <c r="GF69" s="1453"/>
      <c r="GG69" s="1453"/>
      <c r="GH69" s="1453"/>
      <c r="GI69" s="1453"/>
      <c r="GJ69" s="1453"/>
      <c r="GK69" s="1453"/>
      <c r="GL69" s="1453"/>
      <c r="GM69" s="1453"/>
      <c r="GN69" s="1453"/>
      <c r="GO69" s="1453"/>
      <c r="GP69" s="1453"/>
      <c r="GQ69" s="1453"/>
      <c r="GR69" s="1453"/>
      <c r="GS69" s="1453"/>
      <c r="GT69" s="1453"/>
      <c r="GU69" s="1453"/>
      <c r="GV69" s="1453"/>
      <c r="GW69" s="1453"/>
      <c r="GX69" s="1453"/>
      <c r="GY69" s="1453"/>
      <c r="GZ69" s="1453"/>
      <c r="HA69" s="1453"/>
      <c r="HB69" s="1453"/>
      <c r="HC69" s="1453"/>
      <c r="HD69" s="1453"/>
      <c r="HE69" s="1453"/>
      <c r="HF69" s="1453"/>
      <c r="HG69" s="1453"/>
      <c r="HH69" s="1453"/>
      <c r="HI69" s="1453"/>
      <c r="HJ69" s="1453"/>
      <c r="HK69" s="1453"/>
      <c r="HL69" s="1453"/>
      <c r="HM69" s="1453"/>
      <c r="HN69" s="1453"/>
      <c r="HO69" s="1453"/>
      <c r="HP69" s="1453"/>
      <c r="HQ69" s="1453"/>
      <c r="HR69" s="1453"/>
      <c r="HS69" s="1453"/>
      <c r="HT69" s="1453"/>
      <c r="HU69" s="1453"/>
      <c r="HV69" s="1453"/>
      <c r="HW69" s="1453"/>
      <c r="HX69" s="1453"/>
      <c r="HY69" s="1453"/>
      <c r="HZ69" s="1453"/>
      <c r="IA69" s="1453"/>
      <c r="IB69" s="1453"/>
      <c r="IC69" s="1453"/>
      <c r="ID69" s="1453"/>
      <c r="IE69" s="1453"/>
      <c r="IF69" s="1453"/>
      <c r="IG69" s="1453"/>
      <c r="IH69" s="1453"/>
      <c r="II69" s="1453"/>
      <c r="IJ69" s="1453"/>
      <c r="IK69" s="1453"/>
      <c r="IL69" s="1453"/>
      <c r="IM69" s="1453"/>
      <c r="IN69" s="1453"/>
      <c r="IO69" s="1453"/>
      <c r="IP69" s="1453"/>
      <c r="IQ69" s="1453"/>
      <c r="IR69" s="1453"/>
      <c r="IS69" s="1453"/>
      <c r="IT69" s="1453"/>
      <c r="IU69" s="1453"/>
      <c r="IV69" s="1453"/>
      <c r="IW69" s="1453"/>
      <c r="IX69" s="1453"/>
      <c r="IY69" s="1453"/>
      <c r="IZ69" s="1453"/>
      <c r="JA69" s="1453"/>
      <c r="JB69" s="1453"/>
      <c r="JC69" s="1453"/>
      <c r="JD69" s="1453"/>
      <c r="JE69" s="1453"/>
      <c r="JF69" s="1453"/>
      <c r="JG69" s="1453"/>
      <c r="JH69" s="1453"/>
      <c r="JI69" s="1453"/>
      <c r="JJ69" s="1453"/>
      <c r="JK69" s="1453"/>
      <c r="JL69" s="1453"/>
      <c r="JM69" s="1453"/>
      <c r="JN69" s="1453"/>
      <c r="JO69" s="1453"/>
      <c r="JP69" s="1453"/>
      <c r="JQ69" s="1453"/>
      <c r="JR69" s="351"/>
      <c r="JS69" s="1365"/>
      <c r="JT69" s="450" t="s">
        <v>2242</v>
      </c>
    </row>
    <row r="70" spans="1:280" ht="12.5" x14ac:dyDescent="0.25">
      <c r="A70" s="1367">
        <v>11</v>
      </c>
      <c r="B70" s="1478" t="str">
        <f t="shared" si="4"/>
        <v/>
      </c>
      <c r="C70" s="1435" t="s">
        <v>2811</v>
      </c>
      <c r="D70" s="1443" t="s">
        <v>2812</v>
      </c>
      <c r="E70" s="1453"/>
      <c r="F70" s="1453"/>
      <c r="G70" s="1453"/>
      <c r="H70" s="1453"/>
      <c r="I70" s="1453"/>
      <c r="J70" s="1453"/>
      <c r="K70" s="1453"/>
      <c r="L70" s="1453"/>
      <c r="M70" s="1453"/>
      <c r="N70" s="1453"/>
      <c r="O70" s="1453"/>
      <c r="P70" s="1453"/>
      <c r="Q70" s="1453"/>
      <c r="R70" s="1453"/>
      <c r="S70" s="1453"/>
      <c r="T70" s="1453"/>
      <c r="U70" s="1453"/>
      <c r="V70" s="1453"/>
      <c r="W70" s="1453"/>
      <c r="X70" s="1453"/>
      <c r="Y70" s="1453"/>
      <c r="Z70" s="1453"/>
      <c r="AA70" s="1453"/>
      <c r="AB70" s="1453"/>
      <c r="AC70" s="1453"/>
      <c r="AD70" s="1453"/>
      <c r="AE70" s="1453"/>
      <c r="AF70" s="1453"/>
      <c r="AG70" s="1453"/>
      <c r="AH70" s="1453"/>
      <c r="AI70" s="1453"/>
      <c r="AJ70" s="1453"/>
      <c r="AK70" s="1453"/>
      <c r="AL70" s="1453"/>
      <c r="AM70" s="1453"/>
      <c r="AN70" s="1453"/>
      <c r="AO70" s="1453"/>
      <c r="AP70" s="1453"/>
      <c r="AQ70" s="1453"/>
      <c r="AR70" s="1453"/>
      <c r="AS70" s="1453"/>
      <c r="AT70" s="1453"/>
      <c r="AU70" s="1453"/>
      <c r="AV70" s="1453"/>
      <c r="AW70" s="1453"/>
      <c r="AX70" s="1453"/>
      <c r="AY70" s="1453"/>
      <c r="AZ70" s="1453"/>
      <c r="BA70" s="1453"/>
      <c r="BB70" s="1453"/>
      <c r="BC70" s="1453"/>
      <c r="BD70" s="1453"/>
      <c r="BE70" s="1453"/>
      <c r="BF70" s="1453"/>
      <c r="BG70" s="1453"/>
      <c r="BH70" s="1453"/>
      <c r="BI70" s="1453"/>
      <c r="BJ70" s="1453"/>
      <c r="BK70" s="1453"/>
      <c r="BL70" s="1453"/>
      <c r="BM70" s="1453"/>
      <c r="BN70" s="1453"/>
      <c r="BO70" s="1453"/>
      <c r="BP70" s="1453"/>
      <c r="BQ70" s="1453"/>
      <c r="BR70" s="1453"/>
      <c r="BS70" s="1453"/>
      <c r="BT70" s="1453"/>
      <c r="BU70" s="1453"/>
      <c r="BV70" s="1453"/>
      <c r="BW70" s="1453"/>
      <c r="BX70" s="1453"/>
      <c r="BY70" s="1453"/>
      <c r="BZ70" s="1453"/>
      <c r="CA70" s="1453"/>
      <c r="CB70" s="1453"/>
      <c r="CC70" s="1453"/>
      <c r="CD70" s="1453"/>
      <c r="CE70" s="1453"/>
      <c r="CF70" s="1453"/>
      <c r="CG70" s="1453"/>
      <c r="CH70" s="1453"/>
      <c r="CI70" s="1453"/>
      <c r="CJ70" s="1453"/>
      <c r="CK70" s="1453"/>
      <c r="CL70" s="1453"/>
      <c r="CM70" s="1453"/>
      <c r="CN70" s="1453"/>
      <c r="CO70" s="1453"/>
      <c r="CP70" s="1453"/>
      <c r="CQ70" s="1453"/>
      <c r="CR70" s="1453"/>
      <c r="CS70" s="1453"/>
      <c r="CT70" s="1453">
        <v>352</v>
      </c>
      <c r="CU70" s="1453"/>
      <c r="CV70" s="1453"/>
      <c r="CW70" s="1453"/>
      <c r="CX70" s="1453"/>
      <c r="CY70" s="1453"/>
      <c r="CZ70" s="1453"/>
      <c r="DA70" s="1453"/>
      <c r="DB70" s="1453"/>
      <c r="DC70" s="1453"/>
      <c r="DD70" s="1453"/>
      <c r="DE70" s="1453"/>
      <c r="DF70" s="1453"/>
      <c r="DG70" s="1453"/>
      <c r="DH70" s="1453"/>
      <c r="DI70" s="1453"/>
      <c r="DJ70" s="1453"/>
      <c r="DK70" s="1453"/>
      <c r="DL70" s="1453"/>
      <c r="DM70" s="1453"/>
      <c r="DN70" s="1453"/>
      <c r="DO70" s="1453"/>
      <c r="DP70" s="1453"/>
      <c r="DQ70" s="1453"/>
      <c r="DR70" s="1453"/>
      <c r="DS70" s="1453"/>
      <c r="DT70" s="1453"/>
      <c r="DU70" s="1453"/>
      <c r="DV70" s="1453"/>
      <c r="DW70" s="1453"/>
      <c r="DX70" s="1453"/>
      <c r="DY70" s="1453"/>
      <c r="DZ70" s="1453"/>
      <c r="EA70" s="1453"/>
      <c r="EB70" s="1453"/>
      <c r="EC70" s="1453">
        <v>352</v>
      </c>
      <c r="ED70" s="1453"/>
      <c r="EE70" s="1453"/>
      <c r="EF70" s="1453"/>
      <c r="EG70" s="1453"/>
      <c r="EH70" s="1453"/>
      <c r="EI70" s="1453"/>
      <c r="EJ70" s="1453"/>
      <c r="EK70" s="1453"/>
      <c r="EL70" s="1453"/>
      <c r="EM70" s="1453"/>
      <c r="EN70" s="1453"/>
      <c r="EO70" s="1453"/>
      <c r="EP70" s="1453"/>
      <c r="EQ70" s="1453"/>
      <c r="ER70" s="1453"/>
      <c r="ES70" s="1453"/>
      <c r="ET70" s="1453"/>
      <c r="EU70" s="1453"/>
      <c r="EV70" s="1453"/>
      <c r="EW70" s="1453"/>
      <c r="EX70" s="1453"/>
      <c r="EY70" s="1453"/>
      <c r="EZ70" s="1453"/>
      <c r="FA70" s="1453"/>
      <c r="FB70" s="1453">
        <v>352</v>
      </c>
      <c r="FC70" s="1453"/>
      <c r="FD70" s="1453"/>
      <c r="FE70" s="1453"/>
      <c r="FF70" s="1453"/>
      <c r="FG70" s="1453"/>
      <c r="FH70" s="1453"/>
      <c r="FI70" s="1453"/>
      <c r="FJ70" s="1453"/>
      <c r="FK70" s="1453"/>
      <c r="FL70" s="1453"/>
      <c r="FM70" s="1453"/>
      <c r="FN70" s="1453"/>
      <c r="FO70" s="1453"/>
      <c r="FP70" s="1453"/>
      <c r="FQ70" s="1453"/>
      <c r="FR70" s="1453"/>
      <c r="FS70" s="1453"/>
      <c r="FT70" s="1453"/>
      <c r="FU70" s="1453"/>
      <c r="FV70" s="1453"/>
      <c r="FW70" s="1453"/>
      <c r="FX70" s="1453"/>
      <c r="FY70" s="1453"/>
      <c r="FZ70" s="1453"/>
      <c r="GA70" s="1453"/>
      <c r="GB70" s="1453"/>
      <c r="GC70" s="1453"/>
      <c r="GD70" s="1453"/>
      <c r="GE70" s="1453"/>
      <c r="GF70" s="1453"/>
      <c r="GG70" s="1453"/>
      <c r="GH70" s="1453"/>
      <c r="GI70" s="1453"/>
      <c r="GJ70" s="1453"/>
      <c r="GK70" s="1453"/>
      <c r="GL70" s="1453"/>
      <c r="GM70" s="1453"/>
      <c r="GN70" s="1453"/>
      <c r="GO70" s="1453"/>
      <c r="GP70" s="1453"/>
      <c r="GQ70" s="1453"/>
      <c r="GR70" s="1453"/>
      <c r="GS70" s="1453"/>
      <c r="GT70" s="1453"/>
      <c r="GU70" s="1453"/>
      <c r="GV70" s="1453"/>
      <c r="GW70" s="1453"/>
      <c r="GX70" s="1453"/>
      <c r="GY70" s="1453"/>
      <c r="GZ70" s="1453"/>
      <c r="HA70" s="1453"/>
      <c r="HB70" s="1453"/>
      <c r="HC70" s="1453"/>
      <c r="HD70" s="1453"/>
      <c r="HE70" s="1453"/>
      <c r="HF70" s="1453"/>
      <c r="HG70" s="1453"/>
      <c r="HH70" s="1453"/>
      <c r="HI70" s="1453"/>
      <c r="HJ70" s="1453"/>
      <c r="HK70" s="1453"/>
      <c r="HL70" s="1453"/>
      <c r="HM70" s="1453"/>
      <c r="HN70" s="1453"/>
      <c r="HO70" s="1453"/>
      <c r="HP70" s="1453"/>
      <c r="HQ70" s="1453"/>
      <c r="HR70" s="1453"/>
      <c r="HS70" s="1453"/>
      <c r="HT70" s="1453"/>
      <c r="HU70" s="1453"/>
      <c r="HV70" s="1453"/>
      <c r="HW70" s="1453"/>
      <c r="HX70" s="1453"/>
      <c r="HY70" s="1453"/>
      <c r="HZ70" s="1453"/>
      <c r="IA70" s="1453"/>
      <c r="IB70" s="1453"/>
      <c r="IC70" s="1453"/>
      <c r="ID70" s="1453"/>
      <c r="IE70" s="1453"/>
      <c r="IF70" s="1453"/>
      <c r="IG70" s="1453"/>
      <c r="IH70" s="1453"/>
      <c r="II70" s="1453"/>
      <c r="IJ70" s="1453"/>
      <c r="IK70" s="1453"/>
      <c r="IL70" s="1453"/>
      <c r="IM70" s="1453"/>
      <c r="IN70" s="1453"/>
      <c r="IO70" s="1453"/>
      <c r="IP70" s="1453"/>
      <c r="IQ70" s="1453"/>
      <c r="IR70" s="1453"/>
      <c r="IS70" s="1453"/>
      <c r="IT70" s="1453"/>
      <c r="IU70" s="1453"/>
      <c r="IV70" s="1453"/>
      <c r="IW70" s="1453"/>
      <c r="IX70" s="1453"/>
      <c r="IY70" s="1453"/>
      <c r="IZ70" s="1453"/>
      <c r="JA70" s="1453"/>
      <c r="JB70" s="1453"/>
      <c r="JC70" s="1453"/>
      <c r="JD70" s="1453"/>
      <c r="JE70" s="1453"/>
      <c r="JF70" s="1453"/>
      <c r="JG70" s="1453"/>
      <c r="JH70" s="1453"/>
      <c r="JI70" s="1453"/>
      <c r="JJ70" s="1453"/>
      <c r="JK70" s="1453"/>
      <c r="JL70" s="1453"/>
      <c r="JM70" s="1453"/>
      <c r="JN70" s="1453"/>
      <c r="JO70" s="1453"/>
      <c r="JP70" s="1453"/>
      <c r="JQ70" s="1453"/>
      <c r="JR70" s="351"/>
      <c r="JS70" s="1365"/>
      <c r="JT70" s="450" t="s">
        <v>2242</v>
      </c>
    </row>
    <row r="71" spans="1:280" ht="12.5" x14ac:dyDescent="0.25">
      <c r="A71" s="1367">
        <v>12</v>
      </c>
      <c r="B71" s="1478" t="str">
        <f t="shared" si="4"/>
        <v/>
      </c>
      <c r="C71" s="1435" t="s">
        <v>2813</v>
      </c>
      <c r="D71" s="1443" t="s">
        <v>2429</v>
      </c>
      <c r="E71" s="1453"/>
      <c r="F71" s="1453"/>
      <c r="G71" s="1453"/>
      <c r="H71" s="1453"/>
      <c r="I71" s="1453"/>
      <c r="J71" s="1453"/>
      <c r="K71" s="1453"/>
      <c r="L71" s="1453"/>
      <c r="M71" s="1453"/>
      <c r="N71" s="1453"/>
      <c r="O71" s="1453"/>
      <c r="P71" s="1453"/>
      <c r="Q71" s="1453"/>
      <c r="R71" s="1453"/>
      <c r="S71" s="1453"/>
      <c r="T71" s="1453"/>
      <c r="U71" s="1453"/>
      <c r="V71" s="1453"/>
      <c r="W71" s="1453"/>
      <c r="X71" s="1453"/>
      <c r="Y71" s="1453"/>
      <c r="Z71" s="1453"/>
      <c r="AA71" s="1453"/>
      <c r="AB71" s="1453"/>
      <c r="AC71" s="1453"/>
      <c r="AD71" s="1453"/>
      <c r="AE71" s="1453"/>
      <c r="AF71" s="1453"/>
      <c r="AG71" s="1453"/>
      <c r="AH71" s="1453"/>
      <c r="AI71" s="1453"/>
      <c r="AJ71" s="1453"/>
      <c r="AK71" s="1453"/>
      <c r="AL71" s="1453"/>
      <c r="AM71" s="1453"/>
      <c r="AN71" s="1453"/>
      <c r="AO71" s="1453"/>
      <c r="AP71" s="1453"/>
      <c r="AQ71" s="1453"/>
      <c r="AR71" s="1453"/>
      <c r="AS71" s="1453"/>
      <c r="AT71" s="1453"/>
      <c r="AU71" s="1453"/>
      <c r="AV71" s="1453"/>
      <c r="AW71" s="1453"/>
      <c r="AX71" s="1453"/>
      <c r="AY71" s="1453"/>
      <c r="AZ71" s="1453"/>
      <c r="BA71" s="1453"/>
      <c r="BB71" s="1453"/>
      <c r="BC71" s="1453"/>
      <c r="BD71" s="1453"/>
      <c r="BE71" s="1453"/>
      <c r="BF71" s="1453"/>
      <c r="BG71" s="1453"/>
      <c r="BH71" s="1453"/>
      <c r="BI71" s="1453"/>
      <c r="BJ71" s="1453"/>
      <c r="BK71" s="1453"/>
      <c r="BL71" s="1453"/>
      <c r="BM71" s="1453"/>
      <c r="BN71" s="1453"/>
      <c r="BO71" s="1453"/>
      <c r="BP71" s="1453"/>
      <c r="BQ71" s="1453"/>
      <c r="BR71" s="1453"/>
      <c r="BS71" s="1453"/>
      <c r="BT71" s="1453"/>
      <c r="BU71" s="1453"/>
      <c r="BV71" s="1453"/>
      <c r="BW71" s="1453"/>
      <c r="BX71" s="1453"/>
      <c r="BY71" s="1453"/>
      <c r="BZ71" s="1453"/>
      <c r="CA71" s="1453"/>
      <c r="CB71" s="1453"/>
      <c r="CC71" s="1453"/>
      <c r="CD71" s="1453"/>
      <c r="CE71" s="1453"/>
      <c r="CF71" s="1453"/>
      <c r="CG71" s="1453"/>
      <c r="CH71" s="1453"/>
      <c r="CI71" s="1453"/>
      <c r="CJ71" s="1453"/>
      <c r="CK71" s="1453"/>
      <c r="CL71" s="1453"/>
      <c r="CM71" s="1453"/>
      <c r="CN71" s="1453"/>
      <c r="CO71" s="1453"/>
      <c r="CP71" s="1453"/>
      <c r="CQ71" s="1453"/>
      <c r="CR71" s="1453"/>
      <c r="CS71" s="1453"/>
      <c r="CT71" s="1453"/>
      <c r="CU71" s="1453"/>
      <c r="CV71" s="1453"/>
      <c r="CW71" s="1453"/>
      <c r="CX71" s="1453"/>
      <c r="CY71" s="1453"/>
      <c r="CZ71" s="1453"/>
      <c r="DA71" s="1453"/>
      <c r="DB71" s="1453"/>
      <c r="DC71" s="1453"/>
      <c r="DD71" s="1453"/>
      <c r="DE71" s="1453"/>
      <c r="DF71" s="1453"/>
      <c r="DG71" s="1453"/>
      <c r="DH71" s="1453"/>
      <c r="DI71" s="1453"/>
      <c r="DJ71" s="1453"/>
      <c r="DK71" s="1453"/>
      <c r="DL71" s="1453"/>
      <c r="DM71" s="1453"/>
      <c r="DN71" s="1453"/>
      <c r="DO71" s="1453"/>
      <c r="DP71" s="1453"/>
      <c r="DQ71" s="1453"/>
      <c r="DR71" s="1453"/>
      <c r="DS71" s="1453"/>
      <c r="DT71" s="1453"/>
      <c r="DU71" s="1453"/>
      <c r="DV71" s="1453"/>
      <c r="DW71" s="1453"/>
      <c r="DX71" s="1453"/>
      <c r="DY71" s="1453"/>
      <c r="DZ71" s="1453"/>
      <c r="EA71" s="1453"/>
      <c r="EB71" s="1453"/>
      <c r="EC71" s="1453"/>
      <c r="ED71" s="1453"/>
      <c r="EE71" s="1453"/>
      <c r="EF71" s="1453"/>
      <c r="EG71" s="1453"/>
      <c r="EH71" s="1453"/>
      <c r="EI71" s="1453"/>
      <c r="EJ71" s="1453"/>
      <c r="EK71" s="1453"/>
      <c r="EL71" s="1453"/>
      <c r="EM71" s="1453"/>
      <c r="EN71" s="1453"/>
      <c r="EO71" s="1453"/>
      <c r="EP71" s="1453"/>
      <c r="EQ71" s="1453"/>
      <c r="ER71" s="1453"/>
      <c r="ES71" s="1453"/>
      <c r="ET71" s="1453"/>
      <c r="EU71" s="1453"/>
      <c r="EV71" s="1453"/>
      <c r="EW71" s="1453"/>
      <c r="EX71" s="1453"/>
      <c r="EY71" s="1453"/>
      <c r="EZ71" s="1453"/>
      <c r="FA71" s="1453"/>
      <c r="FB71" s="1453"/>
      <c r="FC71" s="1453"/>
      <c r="FD71" s="1453"/>
      <c r="FE71" s="1453"/>
      <c r="FF71" s="1453"/>
      <c r="FG71" s="1453"/>
      <c r="FH71" s="1453"/>
      <c r="FI71" s="1453"/>
      <c r="FJ71" s="1453"/>
      <c r="FK71" s="1453"/>
      <c r="FL71" s="1453"/>
      <c r="FM71" s="1453"/>
      <c r="FN71" s="1453"/>
      <c r="FO71" s="1453"/>
      <c r="FP71" s="1453"/>
      <c r="FQ71" s="1453"/>
      <c r="FR71" s="1453"/>
      <c r="FS71" s="1453"/>
      <c r="FT71" s="1453"/>
      <c r="FU71" s="1453"/>
      <c r="FV71" s="1453"/>
      <c r="FW71" s="1453"/>
      <c r="FX71" s="1453"/>
      <c r="FY71" s="1453"/>
      <c r="FZ71" s="1453"/>
      <c r="GA71" s="1453"/>
      <c r="GB71" s="1453"/>
      <c r="GC71" s="1453"/>
      <c r="GD71" s="1453"/>
      <c r="GE71" s="1453"/>
      <c r="GF71" s="1453"/>
      <c r="GG71" s="1453"/>
      <c r="GH71" s="1453"/>
      <c r="GI71" s="1453"/>
      <c r="GJ71" s="1453"/>
      <c r="GK71" s="1453"/>
      <c r="GL71" s="1453"/>
      <c r="GM71" s="1453"/>
      <c r="GN71" s="1453"/>
      <c r="GO71" s="1453"/>
      <c r="GP71" s="1453"/>
      <c r="GQ71" s="1453"/>
      <c r="GR71" s="1453"/>
      <c r="GS71" s="1453"/>
      <c r="GT71" s="1453"/>
      <c r="GU71" s="1453"/>
      <c r="GV71" s="1453"/>
      <c r="GW71" s="1453"/>
      <c r="GX71" s="1453"/>
      <c r="GY71" s="1453"/>
      <c r="GZ71" s="1453"/>
      <c r="HA71" s="1453"/>
      <c r="HB71" s="1453"/>
      <c r="HC71" s="1453"/>
      <c r="HD71" s="1453"/>
      <c r="HE71" s="1453"/>
      <c r="HF71" s="1453"/>
      <c r="HG71" s="1453"/>
      <c r="HH71" s="1453"/>
      <c r="HI71" s="1453"/>
      <c r="HJ71" s="1453"/>
      <c r="HK71" s="1453"/>
      <c r="HL71" s="1453"/>
      <c r="HM71" s="1453"/>
      <c r="HN71" s="1453"/>
      <c r="HO71" s="1453"/>
      <c r="HP71" s="1453"/>
      <c r="HQ71" s="1453"/>
      <c r="HR71" s="1453"/>
      <c r="HS71" s="1453"/>
      <c r="HT71" s="1453"/>
      <c r="HU71" s="1453"/>
      <c r="HV71" s="1453"/>
      <c r="HW71" s="1453"/>
      <c r="HX71" s="1453"/>
      <c r="HY71" s="1453"/>
      <c r="HZ71" s="1453"/>
      <c r="IA71" s="1453"/>
      <c r="IB71" s="1453"/>
      <c r="IC71" s="1453"/>
      <c r="ID71" s="1453"/>
      <c r="IE71" s="1453"/>
      <c r="IF71" s="1453"/>
      <c r="IG71" s="1453"/>
      <c r="IH71" s="1453"/>
      <c r="II71" s="1453"/>
      <c r="IJ71" s="1453"/>
      <c r="IK71" s="1453"/>
      <c r="IL71" s="1453"/>
      <c r="IM71" s="1453"/>
      <c r="IN71" s="1453"/>
      <c r="IO71" s="1453"/>
      <c r="IP71" s="1453"/>
      <c r="IQ71" s="1453"/>
      <c r="IR71" s="1453"/>
      <c r="IS71" s="1453"/>
      <c r="IT71" s="1453"/>
      <c r="IU71" s="1453"/>
      <c r="IV71" s="1453"/>
      <c r="IW71" s="1453"/>
      <c r="IX71" s="1453"/>
      <c r="IY71" s="1453"/>
      <c r="IZ71" s="1453"/>
      <c r="JA71" s="1453"/>
      <c r="JB71" s="1453"/>
      <c r="JC71" s="1453"/>
      <c r="JD71" s="1453"/>
      <c r="JE71" s="1453"/>
      <c r="JF71" s="1453"/>
      <c r="JG71" s="1453"/>
      <c r="JH71" s="1453"/>
      <c r="JI71" s="1453"/>
      <c r="JJ71" s="1453"/>
      <c r="JK71" s="1453"/>
      <c r="JL71" s="1453"/>
      <c r="JM71" s="1453"/>
      <c r="JN71" s="1453"/>
      <c r="JO71" s="1453"/>
      <c r="JP71" s="1453"/>
      <c r="JQ71" s="1453"/>
      <c r="JR71" s="351"/>
      <c r="JS71" s="1365"/>
      <c r="JT71" s="450" t="s">
        <v>2224</v>
      </c>
    </row>
    <row r="72" spans="1:280" ht="12.5" x14ac:dyDescent="0.25">
      <c r="A72" s="1367">
        <v>13</v>
      </c>
      <c r="B72" s="1478" t="str">
        <f t="shared" si="4"/>
        <v/>
      </c>
      <c r="C72" s="1435" t="s">
        <v>2814</v>
      </c>
      <c r="D72" s="1443" t="s">
        <v>2815</v>
      </c>
      <c r="E72" s="1453"/>
      <c r="F72" s="1453"/>
      <c r="G72" s="1453"/>
      <c r="H72" s="1453"/>
      <c r="I72" s="1453"/>
      <c r="J72" s="1453"/>
      <c r="K72" s="1453"/>
      <c r="L72" s="1453"/>
      <c r="M72" s="1453"/>
      <c r="N72" s="1453"/>
      <c r="O72" s="1453"/>
      <c r="P72" s="1453"/>
      <c r="Q72" s="1453"/>
      <c r="R72" s="1453"/>
      <c r="S72" s="1453"/>
      <c r="T72" s="1453"/>
      <c r="U72" s="1453"/>
      <c r="V72" s="1453"/>
      <c r="W72" s="1453"/>
      <c r="X72" s="1453"/>
      <c r="Y72" s="1453"/>
      <c r="Z72" s="1453"/>
      <c r="AA72" s="1453"/>
      <c r="AB72" s="1453"/>
      <c r="AC72" s="1453"/>
      <c r="AD72" s="1453"/>
      <c r="AE72" s="1453"/>
      <c r="AF72" s="1453"/>
      <c r="AG72" s="1453"/>
      <c r="AH72" s="1453"/>
      <c r="AI72" s="1453"/>
      <c r="AJ72" s="1453"/>
      <c r="AK72" s="1453"/>
      <c r="AL72" s="1453"/>
      <c r="AM72" s="1453"/>
      <c r="AN72" s="1453"/>
      <c r="AO72" s="1453"/>
      <c r="AP72" s="1453"/>
      <c r="AQ72" s="1453"/>
      <c r="AR72" s="1453"/>
      <c r="AS72" s="1453"/>
      <c r="AT72" s="1453"/>
      <c r="AU72" s="1453"/>
      <c r="AV72" s="1453"/>
      <c r="AW72" s="1453"/>
      <c r="AX72" s="1453"/>
      <c r="AY72" s="1453"/>
      <c r="AZ72" s="1453"/>
      <c r="BA72" s="1453"/>
      <c r="BB72" s="1453"/>
      <c r="BC72" s="1453"/>
      <c r="BD72" s="1453"/>
      <c r="BE72" s="1453"/>
      <c r="BF72" s="1453"/>
      <c r="BG72" s="1453"/>
      <c r="BH72" s="1453"/>
      <c r="BI72" s="1453"/>
      <c r="BJ72" s="1453"/>
      <c r="BK72" s="1453"/>
      <c r="BL72" s="1453"/>
      <c r="BM72" s="1453"/>
      <c r="BN72" s="1453"/>
      <c r="BO72" s="1453"/>
      <c r="BP72" s="1453"/>
      <c r="BQ72" s="1453"/>
      <c r="BR72" s="1453"/>
      <c r="BS72" s="1453"/>
      <c r="BT72" s="1453"/>
      <c r="BU72" s="1453"/>
      <c r="BV72" s="1453"/>
      <c r="BW72" s="1453"/>
      <c r="BX72" s="1453"/>
      <c r="BY72" s="1453"/>
      <c r="BZ72" s="1453"/>
      <c r="CA72" s="1453"/>
      <c r="CB72" s="1453"/>
      <c r="CC72" s="1453"/>
      <c r="CD72" s="1453"/>
      <c r="CE72" s="1453"/>
      <c r="CF72" s="1453"/>
      <c r="CG72" s="1453"/>
      <c r="CH72" s="1453"/>
      <c r="CI72" s="1453"/>
      <c r="CJ72" s="1453"/>
      <c r="CK72" s="1453"/>
      <c r="CL72" s="1453"/>
      <c r="CM72" s="1453"/>
      <c r="CN72" s="1453"/>
      <c r="CO72" s="1453"/>
      <c r="CP72" s="1453"/>
      <c r="CQ72" s="1453"/>
      <c r="CR72" s="1453"/>
      <c r="CS72" s="1453"/>
      <c r="CT72" s="1453">
        <v>1133</v>
      </c>
      <c r="CU72" s="1453"/>
      <c r="CV72" s="1453"/>
      <c r="CW72" s="1453"/>
      <c r="CX72" s="1453"/>
      <c r="CY72" s="1453"/>
      <c r="CZ72" s="1453"/>
      <c r="DA72" s="1453"/>
      <c r="DB72" s="1453"/>
      <c r="DC72" s="1453"/>
      <c r="DD72" s="1453"/>
      <c r="DE72" s="1453"/>
      <c r="DF72" s="1453"/>
      <c r="DG72" s="1453"/>
      <c r="DH72" s="1453"/>
      <c r="DI72" s="1453"/>
      <c r="DJ72" s="1453"/>
      <c r="DK72" s="1453"/>
      <c r="DL72" s="1453"/>
      <c r="DM72" s="1453"/>
      <c r="DN72" s="1453"/>
      <c r="DO72" s="1453"/>
      <c r="DP72" s="1453"/>
      <c r="DQ72" s="1453"/>
      <c r="DR72" s="1453"/>
      <c r="DS72" s="1453"/>
      <c r="DT72" s="1453"/>
      <c r="DU72" s="1453"/>
      <c r="DV72" s="1453"/>
      <c r="DW72" s="1453"/>
      <c r="DX72" s="1453"/>
      <c r="DY72" s="1453"/>
      <c r="DZ72" s="1453"/>
      <c r="EA72" s="1453"/>
      <c r="EB72" s="1453">
        <v>755</v>
      </c>
      <c r="EC72" s="1453">
        <v>1133</v>
      </c>
      <c r="ED72" s="1453"/>
      <c r="EE72" s="1453"/>
      <c r="EF72" s="1453"/>
      <c r="EG72" s="1453"/>
      <c r="EH72" s="1453"/>
      <c r="EI72" s="1453"/>
      <c r="EJ72" s="1453"/>
      <c r="EK72" s="1453"/>
      <c r="EL72" s="1453"/>
      <c r="EM72" s="1453"/>
      <c r="EN72" s="1453"/>
      <c r="EO72" s="1453"/>
      <c r="EP72" s="1453"/>
      <c r="EQ72" s="1453"/>
      <c r="ER72" s="1453"/>
      <c r="ES72" s="1453"/>
      <c r="ET72" s="1453"/>
      <c r="EU72" s="1453"/>
      <c r="EV72" s="1453"/>
      <c r="EW72" s="1453"/>
      <c r="EX72" s="1453"/>
      <c r="EY72" s="1453"/>
      <c r="EZ72" s="1453"/>
      <c r="FA72" s="1453"/>
      <c r="FB72" s="1453">
        <v>1133</v>
      </c>
      <c r="FC72" s="1453"/>
      <c r="FD72" s="1453"/>
      <c r="FE72" s="1453"/>
      <c r="FF72" s="1453"/>
      <c r="FG72" s="1453"/>
      <c r="FH72" s="1453"/>
      <c r="FI72" s="1453"/>
      <c r="FJ72" s="1453"/>
      <c r="FK72" s="1453"/>
      <c r="FL72" s="1453"/>
      <c r="FM72" s="1453"/>
      <c r="FN72" s="1453"/>
      <c r="FO72" s="1453"/>
      <c r="FP72" s="1453"/>
      <c r="FQ72" s="1453"/>
      <c r="FR72" s="1453"/>
      <c r="FS72" s="1453"/>
      <c r="FT72" s="1453"/>
      <c r="FU72" s="1453"/>
      <c r="FV72" s="1453"/>
      <c r="FW72" s="1453"/>
      <c r="FX72" s="1453"/>
      <c r="FY72" s="1453"/>
      <c r="FZ72" s="1453"/>
      <c r="GA72" s="1453"/>
      <c r="GB72" s="1453"/>
      <c r="GC72" s="1453"/>
      <c r="GD72" s="1453"/>
      <c r="GE72" s="1453"/>
      <c r="GF72" s="1453"/>
      <c r="GG72" s="1453"/>
      <c r="GH72" s="1453"/>
      <c r="GI72" s="1453"/>
      <c r="GJ72" s="1453"/>
      <c r="GK72" s="1453"/>
      <c r="GL72" s="1453"/>
      <c r="GM72" s="1453"/>
      <c r="GN72" s="1453"/>
      <c r="GO72" s="1453"/>
      <c r="GP72" s="1453"/>
      <c r="GQ72" s="1453"/>
      <c r="GR72" s="1453"/>
      <c r="GS72" s="1453"/>
      <c r="GT72" s="1453"/>
      <c r="GU72" s="1453"/>
      <c r="GV72" s="1453"/>
      <c r="GW72" s="1453"/>
      <c r="GX72" s="1453"/>
      <c r="GY72" s="1453"/>
      <c r="GZ72" s="1453"/>
      <c r="HA72" s="1453"/>
      <c r="HB72" s="1453"/>
      <c r="HC72" s="1453"/>
      <c r="HD72" s="1453"/>
      <c r="HE72" s="1453"/>
      <c r="HF72" s="1453"/>
      <c r="HG72" s="1453"/>
      <c r="HH72" s="1453"/>
      <c r="HI72" s="1453"/>
      <c r="HJ72" s="1453"/>
      <c r="HK72" s="1453"/>
      <c r="HL72" s="1453"/>
      <c r="HM72" s="1453"/>
      <c r="HN72" s="1453"/>
      <c r="HO72" s="1453"/>
      <c r="HP72" s="1453"/>
      <c r="HQ72" s="1453"/>
      <c r="HR72" s="1453"/>
      <c r="HS72" s="1453"/>
      <c r="HT72" s="1453"/>
      <c r="HU72" s="1453"/>
      <c r="HV72" s="1453"/>
      <c r="HW72" s="1453"/>
      <c r="HX72" s="1453"/>
      <c r="HY72" s="1453"/>
      <c r="HZ72" s="1453"/>
      <c r="IA72" s="1453"/>
      <c r="IB72" s="1453"/>
      <c r="IC72" s="1453"/>
      <c r="ID72" s="1453"/>
      <c r="IE72" s="1453"/>
      <c r="IF72" s="1453"/>
      <c r="IG72" s="1453"/>
      <c r="IH72" s="1453"/>
      <c r="II72" s="1453"/>
      <c r="IJ72" s="1453"/>
      <c r="IK72" s="1453"/>
      <c r="IL72" s="1453"/>
      <c r="IM72" s="1453"/>
      <c r="IN72" s="1453"/>
      <c r="IO72" s="1453"/>
      <c r="IP72" s="1453"/>
      <c r="IQ72" s="1453"/>
      <c r="IR72" s="1453"/>
      <c r="IS72" s="1453"/>
      <c r="IT72" s="1453"/>
      <c r="IU72" s="1453"/>
      <c r="IV72" s="1453"/>
      <c r="IW72" s="1453"/>
      <c r="IX72" s="1453"/>
      <c r="IY72" s="1453"/>
      <c r="IZ72" s="1453"/>
      <c r="JA72" s="1453"/>
      <c r="JB72" s="1453"/>
      <c r="JC72" s="1453"/>
      <c r="JD72" s="1453"/>
      <c r="JE72" s="1453"/>
      <c r="JF72" s="1453"/>
      <c r="JG72" s="1453"/>
      <c r="JH72" s="1453"/>
      <c r="JI72" s="1453"/>
      <c r="JJ72" s="1453"/>
      <c r="JK72" s="1453"/>
      <c r="JL72" s="1453"/>
      <c r="JM72" s="1453"/>
      <c r="JN72" s="1453"/>
      <c r="JO72" s="1453"/>
      <c r="JP72" s="1453"/>
      <c r="JQ72" s="1453"/>
      <c r="JR72" s="351"/>
      <c r="JS72" s="1365"/>
      <c r="JT72" s="450" t="s">
        <v>2224</v>
      </c>
    </row>
    <row r="73" spans="1:280" ht="12.5" x14ac:dyDescent="0.25">
      <c r="A73" s="1367">
        <v>14</v>
      </c>
      <c r="B73" s="1478" t="str">
        <f t="shared" si="4"/>
        <v/>
      </c>
      <c r="C73" s="1435" t="s">
        <v>2816</v>
      </c>
      <c r="D73" s="1443" t="s">
        <v>2817</v>
      </c>
      <c r="E73" s="1453"/>
      <c r="F73" s="1453"/>
      <c r="G73" s="1453"/>
      <c r="H73" s="1453"/>
      <c r="I73" s="1453"/>
      <c r="J73" s="1453"/>
      <c r="K73" s="1453"/>
      <c r="L73" s="1453"/>
      <c r="M73" s="1453"/>
      <c r="N73" s="1453"/>
      <c r="O73" s="1453"/>
      <c r="P73" s="1453"/>
      <c r="Q73" s="1453"/>
      <c r="R73" s="1453"/>
      <c r="S73" s="1453"/>
      <c r="T73" s="1453"/>
      <c r="U73" s="1453"/>
      <c r="V73" s="1453"/>
      <c r="W73" s="1453"/>
      <c r="X73" s="1453"/>
      <c r="Y73" s="1453"/>
      <c r="Z73" s="1453"/>
      <c r="AA73" s="1453"/>
      <c r="AB73" s="1453"/>
      <c r="AC73" s="1453"/>
      <c r="AD73" s="1453"/>
      <c r="AE73" s="1453"/>
      <c r="AF73" s="1453"/>
      <c r="AG73" s="1453"/>
      <c r="AH73" s="1453"/>
      <c r="AI73" s="1453"/>
      <c r="AJ73" s="1453"/>
      <c r="AK73" s="1453"/>
      <c r="AL73" s="1453"/>
      <c r="AM73" s="1453"/>
      <c r="AN73" s="1453"/>
      <c r="AO73" s="1453"/>
      <c r="AP73" s="1453"/>
      <c r="AQ73" s="1453"/>
      <c r="AR73" s="1453"/>
      <c r="AS73" s="1453"/>
      <c r="AT73" s="1453"/>
      <c r="AU73" s="1453"/>
      <c r="AV73" s="1453"/>
      <c r="AW73" s="1453"/>
      <c r="AX73" s="1453"/>
      <c r="AY73" s="1453"/>
      <c r="AZ73" s="1453"/>
      <c r="BA73" s="1453"/>
      <c r="BB73" s="1453"/>
      <c r="BC73" s="1453"/>
      <c r="BD73" s="1453"/>
      <c r="BE73" s="1453"/>
      <c r="BF73" s="1453"/>
      <c r="BG73" s="1453"/>
      <c r="BH73" s="1453"/>
      <c r="BI73" s="1453"/>
      <c r="BJ73" s="1453"/>
      <c r="BK73" s="1453"/>
      <c r="BL73" s="1453"/>
      <c r="BM73" s="1453"/>
      <c r="BN73" s="1453"/>
      <c r="BO73" s="1453"/>
      <c r="BP73" s="1453"/>
      <c r="BQ73" s="1453"/>
      <c r="BR73" s="1453"/>
      <c r="BS73" s="1453"/>
      <c r="BT73" s="1453"/>
      <c r="BU73" s="1453"/>
      <c r="BV73" s="1453"/>
      <c r="BW73" s="1453"/>
      <c r="BX73" s="1453"/>
      <c r="BY73" s="1453"/>
      <c r="BZ73" s="1453"/>
      <c r="CA73" s="1453"/>
      <c r="CB73" s="1453"/>
      <c r="CC73" s="1453"/>
      <c r="CD73" s="1453"/>
      <c r="CE73" s="1453"/>
      <c r="CF73" s="1453"/>
      <c r="CG73" s="1453"/>
      <c r="CH73" s="1453"/>
      <c r="CI73" s="1453"/>
      <c r="CJ73" s="1453"/>
      <c r="CK73" s="1453"/>
      <c r="CL73" s="1453"/>
      <c r="CM73" s="1453"/>
      <c r="CN73" s="1453"/>
      <c r="CO73" s="1453"/>
      <c r="CP73" s="1453"/>
      <c r="CQ73" s="1453"/>
      <c r="CR73" s="1453"/>
      <c r="CS73" s="1453"/>
      <c r="CT73" s="1453">
        <v>75</v>
      </c>
      <c r="CU73" s="1453"/>
      <c r="CV73" s="1453"/>
      <c r="CW73" s="1453"/>
      <c r="CX73" s="1453"/>
      <c r="CY73" s="1453"/>
      <c r="CZ73" s="1453"/>
      <c r="DA73" s="1453"/>
      <c r="DB73" s="1453"/>
      <c r="DC73" s="1453"/>
      <c r="DD73" s="1453"/>
      <c r="DE73" s="1453"/>
      <c r="DF73" s="1453"/>
      <c r="DG73" s="1453"/>
      <c r="DH73" s="1453"/>
      <c r="DI73" s="1453"/>
      <c r="DJ73" s="1453"/>
      <c r="DK73" s="1453"/>
      <c r="DL73" s="1453"/>
      <c r="DM73" s="1453"/>
      <c r="DN73" s="1453"/>
      <c r="DO73" s="1453"/>
      <c r="DP73" s="1453"/>
      <c r="DQ73" s="1453"/>
      <c r="DR73" s="1453"/>
      <c r="DS73" s="1453"/>
      <c r="DT73" s="1453"/>
      <c r="DU73" s="1453"/>
      <c r="DV73" s="1453"/>
      <c r="DW73" s="1453"/>
      <c r="DX73" s="1453"/>
      <c r="DY73" s="1453"/>
      <c r="DZ73" s="1453"/>
      <c r="EA73" s="1453"/>
      <c r="EB73" s="1453"/>
      <c r="EC73" s="1453">
        <v>75</v>
      </c>
      <c r="ED73" s="1453"/>
      <c r="EE73" s="1453"/>
      <c r="EF73" s="1453"/>
      <c r="EG73" s="1453"/>
      <c r="EH73" s="1453"/>
      <c r="EI73" s="1453"/>
      <c r="EJ73" s="1453"/>
      <c r="EK73" s="1453"/>
      <c r="EL73" s="1453"/>
      <c r="EM73" s="1453"/>
      <c r="EN73" s="1453"/>
      <c r="EO73" s="1453"/>
      <c r="EP73" s="1453"/>
      <c r="EQ73" s="1453"/>
      <c r="ER73" s="1453"/>
      <c r="ES73" s="1453"/>
      <c r="ET73" s="1453"/>
      <c r="EU73" s="1453"/>
      <c r="EV73" s="1453"/>
      <c r="EW73" s="1453"/>
      <c r="EX73" s="1453"/>
      <c r="EY73" s="1453"/>
      <c r="EZ73" s="1453"/>
      <c r="FA73" s="1453"/>
      <c r="FB73" s="1453">
        <v>75</v>
      </c>
      <c r="FC73" s="1453"/>
      <c r="FD73" s="1453"/>
      <c r="FE73" s="1453"/>
      <c r="FF73" s="1453"/>
      <c r="FG73" s="1453"/>
      <c r="FH73" s="1453"/>
      <c r="FI73" s="1453"/>
      <c r="FJ73" s="1453"/>
      <c r="FK73" s="1453"/>
      <c r="FL73" s="1453"/>
      <c r="FM73" s="1453"/>
      <c r="FN73" s="1453"/>
      <c r="FO73" s="1453"/>
      <c r="FP73" s="1453"/>
      <c r="FQ73" s="1453"/>
      <c r="FR73" s="1453"/>
      <c r="FS73" s="1453"/>
      <c r="FT73" s="1453"/>
      <c r="FU73" s="1453"/>
      <c r="FV73" s="1453"/>
      <c r="FW73" s="1453"/>
      <c r="FX73" s="1453"/>
      <c r="FY73" s="1453"/>
      <c r="FZ73" s="1453"/>
      <c r="GA73" s="1453"/>
      <c r="GB73" s="1453"/>
      <c r="GC73" s="1453"/>
      <c r="GD73" s="1453"/>
      <c r="GE73" s="1453"/>
      <c r="GF73" s="1453"/>
      <c r="GG73" s="1453"/>
      <c r="GH73" s="1453"/>
      <c r="GI73" s="1453"/>
      <c r="GJ73" s="1453"/>
      <c r="GK73" s="1453"/>
      <c r="GL73" s="1453"/>
      <c r="GM73" s="1453"/>
      <c r="GN73" s="1453"/>
      <c r="GO73" s="1453"/>
      <c r="GP73" s="1453"/>
      <c r="GQ73" s="1453"/>
      <c r="GR73" s="1453"/>
      <c r="GS73" s="1453"/>
      <c r="GT73" s="1453"/>
      <c r="GU73" s="1453"/>
      <c r="GV73" s="1453"/>
      <c r="GW73" s="1453"/>
      <c r="GX73" s="1453"/>
      <c r="GY73" s="1453"/>
      <c r="GZ73" s="1453"/>
      <c r="HA73" s="1453"/>
      <c r="HB73" s="1453"/>
      <c r="HC73" s="1453"/>
      <c r="HD73" s="1453"/>
      <c r="HE73" s="1453"/>
      <c r="HF73" s="1453"/>
      <c r="HG73" s="1453"/>
      <c r="HH73" s="1453"/>
      <c r="HI73" s="1453"/>
      <c r="HJ73" s="1453"/>
      <c r="HK73" s="1453"/>
      <c r="HL73" s="1453"/>
      <c r="HM73" s="1453"/>
      <c r="HN73" s="1453"/>
      <c r="HO73" s="1453"/>
      <c r="HP73" s="1453"/>
      <c r="HQ73" s="1453"/>
      <c r="HR73" s="1453"/>
      <c r="HS73" s="1453"/>
      <c r="HT73" s="1453"/>
      <c r="HU73" s="1453"/>
      <c r="HV73" s="1453"/>
      <c r="HW73" s="1453"/>
      <c r="HX73" s="1453"/>
      <c r="HY73" s="1453"/>
      <c r="HZ73" s="1453"/>
      <c r="IA73" s="1453"/>
      <c r="IB73" s="1453"/>
      <c r="IC73" s="1453"/>
      <c r="ID73" s="1453"/>
      <c r="IE73" s="1453"/>
      <c r="IF73" s="1453"/>
      <c r="IG73" s="1453"/>
      <c r="IH73" s="1453"/>
      <c r="II73" s="1453"/>
      <c r="IJ73" s="1453"/>
      <c r="IK73" s="1453"/>
      <c r="IL73" s="1453"/>
      <c r="IM73" s="1453"/>
      <c r="IN73" s="1453"/>
      <c r="IO73" s="1453"/>
      <c r="IP73" s="1453"/>
      <c r="IQ73" s="1453"/>
      <c r="IR73" s="1453"/>
      <c r="IS73" s="1453"/>
      <c r="IT73" s="1453"/>
      <c r="IU73" s="1453"/>
      <c r="IV73" s="1453"/>
      <c r="IW73" s="1453"/>
      <c r="IX73" s="1453"/>
      <c r="IY73" s="1453"/>
      <c r="IZ73" s="1453"/>
      <c r="JA73" s="1453"/>
      <c r="JB73" s="1453"/>
      <c r="JC73" s="1453"/>
      <c r="JD73" s="1453"/>
      <c r="JE73" s="1453"/>
      <c r="JF73" s="1453"/>
      <c r="JG73" s="1453"/>
      <c r="JH73" s="1453"/>
      <c r="JI73" s="1453"/>
      <c r="JJ73" s="1453"/>
      <c r="JK73" s="1453"/>
      <c r="JL73" s="1453"/>
      <c r="JM73" s="1453"/>
      <c r="JN73" s="1453"/>
      <c r="JO73" s="1453"/>
      <c r="JP73" s="1453"/>
      <c r="JQ73" s="1453"/>
      <c r="JR73" s="351"/>
      <c r="JS73" s="1365" t="s">
        <v>2818</v>
      </c>
      <c r="JT73" s="450" t="s">
        <v>2224</v>
      </c>
    </row>
    <row r="74" spans="1:280" ht="12.5" x14ac:dyDescent="0.25">
      <c r="A74" s="1367">
        <v>15</v>
      </c>
      <c r="B74" s="1478" t="str">
        <f t="shared" si="4"/>
        <v/>
      </c>
      <c r="C74" s="1435" t="s">
        <v>2819</v>
      </c>
      <c r="D74" s="1443" t="s">
        <v>2820</v>
      </c>
      <c r="E74" s="1480"/>
      <c r="F74" s="1480"/>
      <c r="G74" s="1480"/>
      <c r="H74" s="1480"/>
      <c r="I74" s="1480"/>
      <c r="J74" s="1480"/>
      <c r="K74" s="1480"/>
      <c r="L74" s="1480"/>
      <c r="M74" s="1480"/>
      <c r="N74" s="1480"/>
      <c r="O74" s="1480"/>
      <c r="P74" s="1480"/>
      <c r="Q74" s="1480"/>
      <c r="R74" s="1480"/>
      <c r="S74" s="1480"/>
      <c r="T74" s="1480"/>
      <c r="U74" s="1480"/>
      <c r="V74" s="1480"/>
      <c r="W74" s="1480"/>
      <c r="X74" s="1480"/>
      <c r="Y74" s="1480"/>
      <c r="Z74" s="1480"/>
      <c r="AA74" s="1480"/>
      <c r="AB74" s="1480"/>
      <c r="AC74" s="1480"/>
      <c r="AD74" s="1480"/>
      <c r="AE74" s="1480"/>
      <c r="AF74" s="1480"/>
      <c r="AG74" s="1480"/>
      <c r="AH74" s="1480"/>
      <c r="AI74" s="1480"/>
      <c r="AJ74" s="1480"/>
      <c r="AK74" s="1480"/>
      <c r="AL74" s="1480"/>
      <c r="AM74" s="1480"/>
      <c r="AN74" s="1480"/>
      <c r="AO74" s="1480"/>
      <c r="AP74" s="1480"/>
      <c r="AQ74" s="1480"/>
      <c r="AR74" s="1480"/>
      <c r="AS74" s="1480"/>
      <c r="AT74" s="1480"/>
      <c r="AU74" s="1480"/>
      <c r="AV74" s="1480"/>
      <c r="AW74" s="1480"/>
      <c r="AX74" s="1480"/>
      <c r="AY74" s="1480"/>
      <c r="AZ74" s="1480"/>
      <c r="BA74" s="1480"/>
      <c r="BB74" s="1480"/>
      <c r="BC74" s="1480"/>
      <c r="BD74" s="1480"/>
      <c r="BE74" s="1480"/>
      <c r="BF74" s="1480"/>
      <c r="BG74" s="1480"/>
      <c r="BH74" s="1480"/>
      <c r="BI74" s="1480"/>
      <c r="BJ74" s="1480"/>
      <c r="BK74" s="1480"/>
      <c r="BL74" s="1480"/>
      <c r="BM74" s="1480"/>
      <c r="BN74" s="1480"/>
      <c r="BO74" s="1480"/>
      <c r="BP74" s="1480"/>
      <c r="BQ74" s="1480"/>
      <c r="BR74" s="1480"/>
      <c r="BS74" s="1480"/>
      <c r="BT74" s="1480"/>
      <c r="BU74" s="1480"/>
      <c r="BV74" s="1480"/>
      <c r="BW74" s="1480"/>
      <c r="BX74" s="1480"/>
      <c r="BY74" s="1480"/>
      <c r="BZ74" s="1480"/>
      <c r="CA74" s="1480"/>
      <c r="CB74" s="1480"/>
      <c r="CC74" s="1480"/>
      <c r="CD74" s="1480"/>
      <c r="CE74" s="1480"/>
      <c r="CF74" s="1480"/>
      <c r="CG74" s="1480"/>
      <c r="CH74" s="1480"/>
      <c r="CI74" s="1480"/>
      <c r="CJ74" s="1480"/>
      <c r="CK74" s="1480"/>
      <c r="CL74" s="1480"/>
      <c r="CM74" s="1480"/>
      <c r="CN74" s="1480"/>
      <c r="CO74" s="1480"/>
      <c r="CP74" s="1480"/>
      <c r="CQ74" s="1480"/>
      <c r="CR74" s="1480"/>
      <c r="CS74" s="1480"/>
      <c r="CT74" s="1480">
        <f>CT62+CT65+CT67+CT68+CT69+CT70+CT72</f>
        <v>20352</v>
      </c>
      <c r="CU74" s="1480"/>
      <c r="CV74" s="1480"/>
      <c r="CW74" s="1480"/>
      <c r="CX74" s="1480"/>
      <c r="CY74" s="1480"/>
      <c r="CZ74" s="1480"/>
      <c r="DA74" s="1480"/>
      <c r="DB74" s="1480"/>
      <c r="DC74" s="1480"/>
      <c r="DD74" s="1480"/>
      <c r="DE74" s="1480"/>
      <c r="DF74" s="1480"/>
      <c r="DG74" s="1480"/>
      <c r="DH74" s="1480"/>
      <c r="DI74" s="1480"/>
      <c r="DJ74" s="1480"/>
      <c r="DK74" s="1480"/>
      <c r="DL74" s="1480"/>
      <c r="DM74" s="1480"/>
      <c r="DN74" s="1480"/>
      <c r="DO74" s="1480"/>
      <c r="DP74" s="1480"/>
      <c r="DQ74" s="1480"/>
      <c r="DR74" s="1480"/>
      <c r="DS74" s="1480"/>
      <c r="DT74" s="1480"/>
      <c r="DU74" s="1480"/>
      <c r="DV74" s="1480"/>
      <c r="DW74" s="1480"/>
      <c r="DX74" s="1480"/>
      <c r="DY74" s="1480"/>
      <c r="DZ74" s="1480"/>
      <c r="EA74" s="1480">
        <f>EA62+EA65+EA67+EA68+EA69+EA70+EA72</f>
        <v>4500</v>
      </c>
      <c r="EB74" s="1480">
        <f>EB62+EB65+EB67+EB68+EB69+EB70+EB72</f>
        <v>18730</v>
      </c>
      <c r="EC74" s="1480">
        <f>EC62+EC65+EC67+EC68+EC69+EC70+EC72</f>
        <v>20352</v>
      </c>
      <c r="ED74" s="1480"/>
      <c r="EE74" s="1480"/>
      <c r="EF74" s="1480"/>
      <c r="EG74" s="1480"/>
      <c r="EH74" s="1480"/>
      <c r="EI74" s="1480"/>
      <c r="EJ74" s="1480"/>
      <c r="EK74" s="1480"/>
      <c r="EL74" s="1480"/>
      <c r="EM74" s="1480"/>
      <c r="EN74" s="1480"/>
      <c r="EO74" s="1480"/>
      <c r="EP74" s="1480"/>
      <c r="EQ74" s="1480"/>
      <c r="ER74" s="1480"/>
      <c r="ES74" s="1480"/>
      <c r="ET74" s="1480"/>
      <c r="EU74" s="1480"/>
      <c r="EV74" s="1480"/>
      <c r="EW74" s="1480"/>
      <c r="EX74" s="1480"/>
      <c r="EY74" s="1480"/>
      <c r="EZ74" s="1480"/>
      <c r="FA74" s="1480"/>
      <c r="FB74" s="1480">
        <f>FB62+FB65+FB67+FB68+FB69+FB70+FB72</f>
        <v>20352</v>
      </c>
      <c r="FC74" s="1480"/>
      <c r="FD74" s="1480"/>
      <c r="FE74" s="1480"/>
      <c r="FF74" s="1480"/>
      <c r="FG74" s="1480"/>
      <c r="FH74" s="1480"/>
      <c r="FI74" s="1480"/>
      <c r="FJ74" s="1480"/>
      <c r="FK74" s="1480"/>
      <c r="FL74" s="1480"/>
      <c r="FM74" s="1480"/>
      <c r="FN74" s="1480"/>
      <c r="FO74" s="1480"/>
      <c r="FP74" s="1480"/>
      <c r="FQ74" s="1480"/>
      <c r="FR74" s="1480"/>
      <c r="FS74" s="1480"/>
      <c r="FT74" s="1480"/>
      <c r="FU74" s="1480"/>
      <c r="FV74" s="1480"/>
      <c r="FW74" s="1480"/>
      <c r="FX74" s="1480"/>
      <c r="FY74" s="1480"/>
      <c r="FZ74" s="1480"/>
      <c r="GA74" s="1480"/>
      <c r="GB74" s="1480"/>
      <c r="GC74" s="1480"/>
      <c r="GD74" s="1480"/>
      <c r="GE74" s="1480"/>
      <c r="GF74" s="1480"/>
      <c r="GG74" s="1480"/>
      <c r="GH74" s="1480"/>
      <c r="GI74" s="1480"/>
      <c r="GJ74" s="1480"/>
      <c r="GK74" s="1480"/>
      <c r="GL74" s="1480"/>
      <c r="GM74" s="1480"/>
      <c r="GN74" s="1480"/>
      <c r="GO74" s="1480"/>
      <c r="GP74" s="1480"/>
      <c r="GQ74" s="1480"/>
      <c r="GR74" s="1480"/>
      <c r="GS74" s="1480"/>
      <c r="GT74" s="1480"/>
      <c r="GU74" s="1480"/>
      <c r="GV74" s="1480"/>
      <c r="GW74" s="1480"/>
      <c r="GX74" s="1480"/>
      <c r="GY74" s="1480"/>
      <c r="GZ74" s="1480"/>
      <c r="HA74" s="1480"/>
      <c r="HB74" s="1480"/>
      <c r="HC74" s="1480"/>
      <c r="HD74" s="1480"/>
      <c r="HE74" s="1480"/>
      <c r="HF74" s="1480"/>
      <c r="HG74" s="1480"/>
      <c r="HH74" s="1480"/>
      <c r="HI74" s="1480"/>
      <c r="HJ74" s="1480"/>
      <c r="HK74" s="1480"/>
      <c r="HL74" s="1480"/>
      <c r="HM74" s="1480"/>
      <c r="HN74" s="1480"/>
      <c r="HO74" s="1480"/>
      <c r="HP74" s="1480"/>
      <c r="HQ74" s="1480"/>
      <c r="HR74" s="1480"/>
      <c r="HS74" s="1480"/>
      <c r="HT74" s="1480"/>
      <c r="HU74" s="1480"/>
      <c r="HV74" s="1480"/>
      <c r="HW74" s="1480"/>
      <c r="HX74" s="1480"/>
      <c r="HY74" s="1480"/>
      <c r="HZ74" s="1480"/>
      <c r="IA74" s="1480"/>
      <c r="IB74" s="1480"/>
      <c r="IC74" s="1480"/>
      <c r="ID74" s="1480"/>
      <c r="IE74" s="1480"/>
      <c r="IF74" s="1480"/>
      <c r="IG74" s="1480"/>
      <c r="IH74" s="1480"/>
      <c r="II74" s="1480"/>
      <c r="IJ74" s="1480"/>
      <c r="IK74" s="1480"/>
      <c r="IL74" s="1480"/>
      <c r="IM74" s="1480"/>
      <c r="IN74" s="1480"/>
      <c r="IO74" s="1480"/>
      <c r="IP74" s="1480"/>
      <c r="IQ74" s="1480"/>
      <c r="IR74" s="1480"/>
      <c r="IS74" s="1480"/>
      <c r="IT74" s="1480"/>
      <c r="IU74" s="1480"/>
      <c r="IV74" s="1480"/>
      <c r="IW74" s="1480"/>
      <c r="IX74" s="1480">
        <f>IX62+IX65+IX67+IX68+IX69+IX70+IX72</f>
        <v>8799</v>
      </c>
      <c r="IY74" s="1480"/>
      <c r="IZ74" s="1480"/>
      <c r="JA74" s="1480"/>
      <c r="JB74" s="1480"/>
      <c r="JC74" s="1480"/>
      <c r="JD74" s="1480"/>
      <c r="JE74" s="1480"/>
      <c r="JF74" s="1480"/>
      <c r="JG74" s="1480"/>
      <c r="JH74" s="1480"/>
      <c r="JI74" s="1480"/>
      <c r="JJ74" s="1480"/>
      <c r="JK74" s="1480"/>
      <c r="JL74" s="1480"/>
      <c r="JM74" s="1480"/>
      <c r="JN74" s="1480"/>
      <c r="JO74" s="1480"/>
      <c r="JP74" s="1480"/>
      <c r="JQ74" s="1480"/>
      <c r="JR74" s="351"/>
      <c r="JS74" s="1470"/>
      <c r="JT74" s="450" t="s">
        <v>2242</v>
      </c>
    </row>
    <row r="75" spans="1:280" ht="12.5" x14ac:dyDescent="0.25">
      <c r="A75" s="1367">
        <v>16</v>
      </c>
      <c r="B75" s="1478" t="str">
        <f t="shared" si="4"/>
        <v/>
      </c>
      <c r="C75" s="1435" t="s">
        <v>2821</v>
      </c>
      <c r="D75" s="1443" t="s">
        <v>2822</v>
      </c>
      <c r="E75" s="1453"/>
      <c r="F75" s="1453"/>
      <c r="G75" s="1453"/>
      <c r="H75" s="1453"/>
      <c r="I75" s="1453"/>
      <c r="J75" s="1453"/>
      <c r="K75" s="1453"/>
      <c r="L75" s="1453"/>
      <c r="M75" s="1453"/>
      <c r="N75" s="1453"/>
      <c r="O75" s="1453"/>
      <c r="P75" s="1453"/>
      <c r="Q75" s="1453"/>
      <c r="R75" s="1453"/>
      <c r="S75" s="1453"/>
      <c r="T75" s="1453"/>
      <c r="U75" s="1453"/>
      <c r="V75" s="1453"/>
      <c r="W75" s="1453"/>
      <c r="X75" s="1453"/>
      <c r="Y75" s="1453"/>
      <c r="Z75" s="1453"/>
      <c r="AA75" s="1453"/>
      <c r="AB75" s="1453"/>
      <c r="AC75" s="1453"/>
      <c r="AD75" s="1453"/>
      <c r="AE75" s="1453"/>
      <c r="AF75" s="1453"/>
      <c r="AG75" s="1453"/>
      <c r="AH75" s="1453"/>
      <c r="AI75" s="1453"/>
      <c r="AJ75" s="1453"/>
      <c r="AK75" s="1453"/>
      <c r="AL75" s="1453"/>
      <c r="AM75" s="1453"/>
      <c r="AN75" s="1453"/>
      <c r="AO75" s="1453"/>
      <c r="AP75" s="1453"/>
      <c r="AQ75" s="1453"/>
      <c r="AR75" s="1453"/>
      <c r="AS75" s="1453"/>
      <c r="AT75" s="1453"/>
      <c r="AU75" s="1453"/>
      <c r="AV75" s="1453"/>
      <c r="AW75" s="1453"/>
      <c r="AX75" s="1453"/>
      <c r="AY75" s="1453"/>
      <c r="AZ75" s="1453"/>
      <c r="BA75" s="1453"/>
      <c r="BB75" s="1453"/>
      <c r="BC75" s="1453"/>
      <c r="BD75" s="1453"/>
      <c r="BE75" s="1453"/>
      <c r="BF75" s="1453"/>
      <c r="BG75" s="1453"/>
      <c r="BH75" s="1453"/>
      <c r="BI75" s="1453"/>
      <c r="BJ75" s="1453"/>
      <c r="BK75" s="1453"/>
      <c r="BL75" s="1453"/>
      <c r="BM75" s="1453"/>
      <c r="BN75" s="1453"/>
      <c r="BO75" s="1453"/>
      <c r="BP75" s="1453"/>
      <c r="BQ75" s="1453"/>
      <c r="BR75" s="1453"/>
      <c r="BS75" s="1453"/>
      <c r="BT75" s="1453"/>
      <c r="BU75" s="1453"/>
      <c r="BV75" s="1453"/>
      <c r="BW75" s="1453"/>
      <c r="BX75" s="1453"/>
      <c r="BY75" s="1453"/>
      <c r="BZ75" s="1453"/>
      <c r="CA75" s="1453"/>
      <c r="CB75" s="1453"/>
      <c r="CC75" s="1453"/>
      <c r="CD75" s="1453"/>
      <c r="CE75" s="1453"/>
      <c r="CF75" s="1453"/>
      <c r="CG75" s="1453"/>
      <c r="CH75" s="1453"/>
      <c r="CI75" s="1453"/>
      <c r="CJ75" s="1453"/>
      <c r="CK75" s="1453"/>
      <c r="CL75" s="1453"/>
      <c r="CM75" s="1453"/>
      <c r="CN75" s="1453"/>
      <c r="CO75" s="1453"/>
      <c r="CP75" s="1453"/>
      <c r="CQ75" s="1453"/>
      <c r="CR75" s="1453"/>
      <c r="CS75" s="1453"/>
      <c r="CT75" s="1453">
        <v>465</v>
      </c>
      <c r="CU75" s="1453"/>
      <c r="CV75" s="1453"/>
      <c r="CW75" s="1453"/>
      <c r="CX75" s="1453"/>
      <c r="CY75" s="1453"/>
      <c r="CZ75" s="1453"/>
      <c r="DA75" s="1453"/>
      <c r="DB75" s="1453"/>
      <c r="DC75" s="1453"/>
      <c r="DD75" s="1453"/>
      <c r="DE75" s="1453"/>
      <c r="DF75" s="1453"/>
      <c r="DG75" s="1453"/>
      <c r="DH75" s="1453"/>
      <c r="DI75" s="1453"/>
      <c r="DJ75" s="1453"/>
      <c r="DK75" s="1453"/>
      <c r="DL75" s="1453"/>
      <c r="DM75" s="1453"/>
      <c r="DN75" s="1453"/>
      <c r="DO75" s="1453"/>
      <c r="DP75" s="1453"/>
      <c r="DQ75" s="1453"/>
      <c r="DR75" s="1453"/>
      <c r="DS75" s="1453"/>
      <c r="DT75" s="1453"/>
      <c r="DU75" s="1453"/>
      <c r="DV75" s="1453"/>
      <c r="DW75" s="1453"/>
      <c r="DX75" s="1453"/>
      <c r="DY75" s="1453"/>
      <c r="DZ75" s="1453"/>
      <c r="EA75" s="1453"/>
      <c r="EB75" s="1453">
        <v>480</v>
      </c>
      <c r="EC75" s="1453">
        <v>465</v>
      </c>
      <c r="ED75" s="1453"/>
      <c r="EE75" s="1453"/>
      <c r="EF75" s="1453"/>
      <c r="EG75" s="1453"/>
      <c r="EH75" s="1453"/>
      <c r="EI75" s="1453"/>
      <c r="EJ75" s="1453"/>
      <c r="EK75" s="1453"/>
      <c r="EL75" s="1453"/>
      <c r="EM75" s="1453"/>
      <c r="EN75" s="1453"/>
      <c r="EO75" s="1453"/>
      <c r="EP75" s="1453"/>
      <c r="EQ75" s="1453"/>
      <c r="ER75" s="1453"/>
      <c r="ES75" s="1453"/>
      <c r="ET75" s="1453"/>
      <c r="EU75" s="1453"/>
      <c r="EV75" s="1453"/>
      <c r="EW75" s="1453"/>
      <c r="EX75" s="1453"/>
      <c r="EY75" s="1453"/>
      <c r="EZ75" s="1453"/>
      <c r="FA75" s="1453"/>
      <c r="FB75" s="1453">
        <v>465</v>
      </c>
      <c r="FC75" s="1453"/>
      <c r="FD75" s="1453"/>
      <c r="FE75" s="1453"/>
      <c r="FF75" s="1453"/>
      <c r="FG75" s="1453"/>
      <c r="FH75" s="1453"/>
      <c r="FI75" s="1453"/>
      <c r="FJ75" s="1453"/>
      <c r="FK75" s="1453"/>
      <c r="FL75" s="1453"/>
      <c r="FM75" s="1453"/>
      <c r="FN75" s="1453"/>
      <c r="FO75" s="1453"/>
      <c r="FP75" s="1453"/>
      <c r="FQ75" s="1453"/>
      <c r="FR75" s="1453"/>
      <c r="FS75" s="1453"/>
      <c r="FT75" s="1453"/>
      <c r="FU75" s="1453"/>
      <c r="FV75" s="1453"/>
      <c r="FW75" s="1453"/>
      <c r="FX75" s="1453"/>
      <c r="FY75" s="1453"/>
      <c r="FZ75" s="1453"/>
      <c r="GA75" s="1453"/>
      <c r="GB75" s="1453"/>
      <c r="GC75" s="1453"/>
      <c r="GD75" s="1453"/>
      <c r="GE75" s="1453"/>
      <c r="GF75" s="1453"/>
      <c r="GG75" s="1453"/>
      <c r="GH75" s="1453"/>
      <c r="GI75" s="1453"/>
      <c r="GJ75" s="1453"/>
      <c r="GK75" s="1453"/>
      <c r="GL75" s="1453"/>
      <c r="GM75" s="1453"/>
      <c r="GN75" s="1453"/>
      <c r="GO75" s="1453"/>
      <c r="GP75" s="1453"/>
      <c r="GQ75" s="1453"/>
      <c r="GR75" s="1453"/>
      <c r="GS75" s="1453"/>
      <c r="GT75" s="1453"/>
      <c r="GU75" s="1453"/>
      <c r="GV75" s="1453"/>
      <c r="GW75" s="1453"/>
      <c r="GX75" s="1453"/>
      <c r="GY75" s="1453"/>
      <c r="GZ75" s="1453"/>
      <c r="HA75" s="1453"/>
      <c r="HB75" s="1453"/>
      <c r="HC75" s="1453"/>
      <c r="HD75" s="1453"/>
      <c r="HE75" s="1453"/>
      <c r="HF75" s="1453"/>
      <c r="HG75" s="1453"/>
      <c r="HH75" s="1453"/>
      <c r="HI75" s="1453"/>
      <c r="HJ75" s="1453"/>
      <c r="HK75" s="1453"/>
      <c r="HL75" s="1453"/>
      <c r="HM75" s="1453"/>
      <c r="HN75" s="1453"/>
      <c r="HO75" s="1453"/>
      <c r="HP75" s="1453"/>
      <c r="HQ75" s="1453"/>
      <c r="HR75" s="1453"/>
      <c r="HS75" s="1453"/>
      <c r="HT75" s="1453"/>
      <c r="HU75" s="1453"/>
      <c r="HV75" s="1453"/>
      <c r="HW75" s="1453"/>
      <c r="HX75" s="1453"/>
      <c r="HY75" s="1453"/>
      <c r="HZ75" s="1453"/>
      <c r="IA75" s="1453"/>
      <c r="IB75" s="1453"/>
      <c r="IC75" s="1453"/>
      <c r="ID75" s="1453"/>
      <c r="IE75" s="1453"/>
      <c r="IF75" s="1453"/>
      <c r="IG75" s="1453"/>
      <c r="IH75" s="1453"/>
      <c r="II75" s="1453"/>
      <c r="IJ75" s="1453"/>
      <c r="IK75" s="1453"/>
      <c r="IL75" s="1453"/>
      <c r="IM75" s="1453"/>
      <c r="IN75" s="1453"/>
      <c r="IO75" s="1453"/>
      <c r="IP75" s="1453"/>
      <c r="IQ75" s="1453"/>
      <c r="IR75" s="1453"/>
      <c r="IS75" s="1453"/>
      <c r="IT75" s="1453"/>
      <c r="IU75" s="1453"/>
      <c r="IV75" s="1453"/>
      <c r="IW75" s="1453"/>
      <c r="IX75" s="1453"/>
      <c r="IY75" s="1453"/>
      <c r="IZ75" s="1453"/>
      <c r="JA75" s="1453"/>
      <c r="JB75" s="1453"/>
      <c r="JC75" s="1453"/>
      <c r="JD75" s="1453"/>
      <c r="JE75" s="1453"/>
      <c r="JF75" s="1453"/>
      <c r="JG75" s="1453"/>
      <c r="JH75" s="1453"/>
      <c r="JI75" s="1453"/>
      <c r="JJ75" s="1453"/>
      <c r="JK75" s="1453"/>
      <c r="JL75" s="1453"/>
      <c r="JM75" s="1453"/>
      <c r="JN75" s="1453"/>
      <c r="JO75" s="1453"/>
      <c r="JP75" s="1453"/>
      <c r="JQ75" s="1453"/>
      <c r="JR75" s="351"/>
      <c r="JS75" s="1470"/>
      <c r="JT75" s="450" t="s">
        <v>2242</v>
      </c>
    </row>
    <row r="76" spans="1:280" ht="12.5" x14ac:dyDescent="0.25">
      <c r="A76" s="1367">
        <v>17</v>
      </c>
      <c r="B76" s="1478" t="str">
        <f t="shared" si="4"/>
        <v/>
      </c>
      <c r="C76" s="1435" t="s">
        <v>2823</v>
      </c>
      <c r="D76" s="1443" t="s">
        <v>2824</v>
      </c>
      <c r="E76" s="1453"/>
      <c r="F76" s="1453"/>
      <c r="G76" s="1453"/>
      <c r="H76" s="1453"/>
      <c r="I76" s="1453"/>
      <c r="J76" s="1453"/>
      <c r="K76" s="1453"/>
      <c r="L76" s="1453"/>
      <c r="M76" s="1453"/>
      <c r="N76" s="1453"/>
      <c r="O76" s="1453"/>
      <c r="P76" s="1453"/>
      <c r="Q76" s="1453"/>
      <c r="R76" s="1453"/>
      <c r="S76" s="1453"/>
      <c r="T76" s="1453"/>
      <c r="U76" s="1453"/>
      <c r="V76" s="1453"/>
      <c r="W76" s="1453"/>
      <c r="X76" s="1453"/>
      <c r="Y76" s="1453"/>
      <c r="Z76" s="1453"/>
      <c r="AA76" s="1453"/>
      <c r="AB76" s="1453"/>
      <c r="AC76" s="1453"/>
      <c r="AD76" s="1453"/>
      <c r="AE76" s="1453"/>
      <c r="AF76" s="1453"/>
      <c r="AG76" s="1453"/>
      <c r="AH76" s="1453"/>
      <c r="AI76" s="1453"/>
      <c r="AJ76" s="1453"/>
      <c r="AK76" s="1453"/>
      <c r="AL76" s="1453"/>
      <c r="AM76" s="1453"/>
      <c r="AN76" s="1453"/>
      <c r="AO76" s="1453"/>
      <c r="AP76" s="1453"/>
      <c r="AQ76" s="1453"/>
      <c r="AR76" s="1453"/>
      <c r="AS76" s="1453"/>
      <c r="AT76" s="1453"/>
      <c r="AU76" s="1453"/>
      <c r="AV76" s="1453"/>
      <c r="AW76" s="1453"/>
      <c r="AX76" s="1453"/>
      <c r="AY76" s="1453"/>
      <c r="AZ76" s="1453"/>
      <c r="BA76" s="1453"/>
      <c r="BB76" s="1453"/>
      <c r="BC76" s="1453"/>
      <c r="BD76" s="1453"/>
      <c r="BE76" s="1453"/>
      <c r="BF76" s="1453"/>
      <c r="BG76" s="1453"/>
      <c r="BH76" s="1453"/>
      <c r="BI76" s="1453"/>
      <c r="BJ76" s="1453"/>
      <c r="BK76" s="1453"/>
      <c r="BL76" s="1453"/>
      <c r="BM76" s="1453"/>
      <c r="BN76" s="1453"/>
      <c r="BO76" s="1453"/>
      <c r="BP76" s="1453"/>
      <c r="BQ76" s="1453"/>
      <c r="BR76" s="1453"/>
      <c r="BS76" s="1453"/>
      <c r="BT76" s="1453"/>
      <c r="BU76" s="1453"/>
      <c r="BV76" s="1453"/>
      <c r="BW76" s="1453"/>
      <c r="BX76" s="1453"/>
      <c r="BY76" s="1453"/>
      <c r="BZ76" s="1453"/>
      <c r="CA76" s="1453"/>
      <c r="CB76" s="1453"/>
      <c r="CC76" s="1453"/>
      <c r="CD76" s="1453"/>
      <c r="CE76" s="1453"/>
      <c r="CF76" s="1453"/>
      <c r="CG76" s="1453"/>
      <c r="CH76" s="1453"/>
      <c r="CI76" s="1453"/>
      <c r="CJ76" s="1453"/>
      <c r="CK76" s="1453"/>
      <c r="CL76" s="1453"/>
      <c r="CM76" s="1453"/>
      <c r="CN76" s="1453"/>
      <c r="CO76" s="1453"/>
      <c r="CP76" s="1453"/>
      <c r="CQ76" s="1453"/>
      <c r="CR76" s="1453"/>
      <c r="CS76" s="1453"/>
      <c r="CT76" s="1453"/>
      <c r="CU76" s="1453"/>
      <c r="CV76" s="1453"/>
      <c r="CW76" s="1453"/>
      <c r="CX76" s="1453"/>
      <c r="CY76" s="1453"/>
      <c r="CZ76" s="1453"/>
      <c r="DA76" s="1453"/>
      <c r="DB76" s="1453"/>
      <c r="DC76" s="1453"/>
      <c r="DD76" s="1453"/>
      <c r="DE76" s="1453"/>
      <c r="DF76" s="1453"/>
      <c r="DG76" s="1453"/>
      <c r="DH76" s="1453"/>
      <c r="DI76" s="1453"/>
      <c r="DJ76" s="1453"/>
      <c r="DK76" s="1453"/>
      <c r="DL76" s="1453"/>
      <c r="DM76" s="1453"/>
      <c r="DN76" s="1453"/>
      <c r="DO76" s="1453"/>
      <c r="DP76" s="1453"/>
      <c r="DQ76" s="1453"/>
      <c r="DR76" s="1453"/>
      <c r="DS76" s="1453"/>
      <c r="DT76" s="1453"/>
      <c r="DU76" s="1453"/>
      <c r="DV76" s="1453"/>
      <c r="DW76" s="1453"/>
      <c r="DX76" s="1453"/>
      <c r="DY76" s="1453"/>
      <c r="DZ76" s="1453"/>
      <c r="EA76" s="1453"/>
      <c r="EB76" s="1453">
        <v>1675</v>
      </c>
      <c r="EC76" s="1453"/>
      <c r="ED76" s="1453"/>
      <c r="EE76" s="1453"/>
      <c r="EF76" s="1453"/>
      <c r="EG76" s="1453"/>
      <c r="EH76" s="1453"/>
      <c r="EI76" s="1453"/>
      <c r="EJ76" s="1453"/>
      <c r="EK76" s="1453"/>
      <c r="EL76" s="1453"/>
      <c r="EM76" s="1453"/>
      <c r="EN76" s="1453"/>
      <c r="EO76" s="1453"/>
      <c r="EP76" s="1453"/>
      <c r="EQ76" s="1453"/>
      <c r="ER76" s="1453"/>
      <c r="ES76" s="1453"/>
      <c r="ET76" s="1453"/>
      <c r="EU76" s="1453"/>
      <c r="EV76" s="1453"/>
      <c r="EW76" s="1453"/>
      <c r="EX76" s="1453"/>
      <c r="EY76" s="1453"/>
      <c r="EZ76" s="1453"/>
      <c r="FA76" s="1453"/>
      <c r="FB76" s="1453"/>
      <c r="FC76" s="1453"/>
      <c r="FD76" s="1453"/>
      <c r="FE76" s="1453"/>
      <c r="FF76" s="1453"/>
      <c r="FG76" s="1453"/>
      <c r="FH76" s="1453"/>
      <c r="FI76" s="1453"/>
      <c r="FJ76" s="1453"/>
      <c r="FK76" s="1453"/>
      <c r="FL76" s="1453"/>
      <c r="FM76" s="1453"/>
      <c r="FN76" s="1453"/>
      <c r="FO76" s="1453"/>
      <c r="FP76" s="1453"/>
      <c r="FQ76" s="1453"/>
      <c r="FR76" s="1453"/>
      <c r="FS76" s="1453"/>
      <c r="FT76" s="1453"/>
      <c r="FU76" s="1453"/>
      <c r="FV76" s="1453"/>
      <c r="FW76" s="1453"/>
      <c r="FX76" s="1453"/>
      <c r="FY76" s="1453"/>
      <c r="FZ76" s="1453"/>
      <c r="GA76" s="1453"/>
      <c r="GB76" s="1453"/>
      <c r="GC76" s="1453"/>
      <c r="GD76" s="1453"/>
      <c r="GE76" s="1453"/>
      <c r="GF76" s="1453"/>
      <c r="GG76" s="1453"/>
      <c r="GH76" s="1453"/>
      <c r="GI76" s="1453"/>
      <c r="GJ76" s="1453"/>
      <c r="GK76" s="1453"/>
      <c r="GL76" s="1453"/>
      <c r="GM76" s="1453"/>
      <c r="GN76" s="1453"/>
      <c r="GO76" s="1453"/>
      <c r="GP76" s="1453"/>
      <c r="GQ76" s="1453"/>
      <c r="GR76" s="1453"/>
      <c r="GS76" s="1453"/>
      <c r="GT76" s="1453"/>
      <c r="GU76" s="1453"/>
      <c r="GV76" s="1453"/>
      <c r="GW76" s="1453"/>
      <c r="GX76" s="1453"/>
      <c r="GY76" s="1453"/>
      <c r="GZ76" s="1453"/>
      <c r="HA76" s="1453"/>
      <c r="HB76" s="1453"/>
      <c r="HC76" s="1453"/>
      <c r="HD76" s="1453"/>
      <c r="HE76" s="1453"/>
      <c r="HF76" s="1453"/>
      <c r="HG76" s="1453"/>
      <c r="HH76" s="1453"/>
      <c r="HI76" s="1453"/>
      <c r="HJ76" s="1453"/>
      <c r="HK76" s="1453"/>
      <c r="HL76" s="1453"/>
      <c r="HM76" s="1453"/>
      <c r="HN76" s="1453"/>
      <c r="HO76" s="1453"/>
      <c r="HP76" s="1453"/>
      <c r="HQ76" s="1453"/>
      <c r="HR76" s="1453"/>
      <c r="HS76" s="1453"/>
      <c r="HT76" s="1453"/>
      <c r="HU76" s="1453"/>
      <c r="HV76" s="1453"/>
      <c r="HW76" s="1453"/>
      <c r="HX76" s="1453"/>
      <c r="HY76" s="1453"/>
      <c r="HZ76" s="1453"/>
      <c r="IA76" s="1453"/>
      <c r="IB76" s="1453"/>
      <c r="IC76" s="1453"/>
      <c r="ID76" s="1453"/>
      <c r="IE76" s="1453"/>
      <c r="IF76" s="1453"/>
      <c r="IG76" s="1453"/>
      <c r="IH76" s="1453"/>
      <c r="II76" s="1453"/>
      <c r="IJ76" s="1453"/>
      <c r="IK76" s="1453"/>
      <c r="IL76" s="1453"/>
      <c r="IM76" s="1453"/>
      <c r="IN76" s="1453"/>
      <c r="IO76" s="1453"/>
      <c r="IP76" s="1453"/>
      <c r="IQ76" s="1453"/>
      <c r="IR76" s="1453"/>
      <c r="IS76" s="1453"/>
      <c r="IT76" s="1453"/>
      <c r="IU76" s="1453"/>
      <c r="IV76" s="1453"/>
      <c r="IW76" s="1453"/>
      <c r="IX76" s="1453">
        <v>1800</v>
      </c>
      <c r="IY76" s="1453"/>
      <c r="IZ76" s="1453"/>
      <c r="JA76" s="1453"/>
      <c r="JB76" s="1453"/>
      <c r="JC76" s="1453"/>
      <c r="JD76" s="1453"/>
      <c r="JE76" s="1453"/>
      <c r="JF76" s="1453"/>
      <c r="JG76" s="1453"/>
      <c r="JH76" s="1453"/>
      <c r="JI76" s="1453"/>
      <c r="JJ76" s="1453"/>
      <c r="JK76" s="1453"/>
      <c r="JL76" s="1453"/>
      <c r="JM76" s="1453"/>
      <c r="JN76" s="1453"/>
      <c r="JO76" s="1453"/>
      <c r="JP76" s="1453"/>
      <c r="JQ76" s="1453"/>
      <c r="JR76" s="351"/>
      <c r="JS76" s="1470"/>
      <c r="JT76" s="450" t="s">
        <v>2242</v>
      </c>
    </row>
    <row r="77" spans="1:280" ht="12.5" x14ac:dyDescent="0.25">
      <c r="A77" s="1367">
        <v>18</v>
      </c>
      <c r="B77" s="1478" t="str">
        <f t="shared" si="4"/>
        <v/>
      </c>
      <c r="C77" s="1435" t="s">
        <v>2825</v>
      </c>
      <c r="D77" s="1443" t="s">
        <v>2826</v>
      </c>
      <c r="E77" s="1453"/>
      <c r="F77" s="1453"/>
      <c r="G77" s="1453"/>
      <c r="H77" s="1453"/>
      <c r="I77" s="1453"/>
      <c r="J77" s="1453"/>
      <c r="K77" s="1453"/>
      <c r="L77" s="1453"/>
      <c r="M77" s="1453"/>
      <c r="N77" s="1453"/>
      <c r="O77" s="1453"/>
      <c r="P77" s="1453"/>
      <c r="Q77" s="1453"/>
      <c r="R77" s="1453"/>
      <c r="S77" s="1453"/>
      <c r="T77" s="1453"/>
      <c r="U77" s="1453"/>
      <c r="V77" s="1453"/>
      <c r="W77" s="1453"/>
      <c r="X77" s="1453"/>
      <c r="Y77" s="1453"/>
      <c r="Z77" s="1453"/>
      <c r="AA77" s="1453"/>
      <c r="AB77" s="1453"/>
      <c r="AC77" s="1453"/>
      <c r="AD77" s="1453"/>
      <c r="AE77" s="1453"/>
      <c r="AF77" s="1453"/>
      <c r="AG77" s="1453"/>
      <c r="AH77" s="1453"/>
      <c r="AI77" s="1453"/>
      <c r="AJ77" s="1453"/>
      <c r="AK77" s="1453"/>
      <c r="AL77" s="1453"/>
      <c r="AM77" s="1453"/>
      <c r="AN77" s="1453"/>
      <c r="AO77" s="1453"/>
      <c r="AP77" s="1453"/>
      <c r="AQ77" s="1453"/>
      <c r="AR77" s="1453"/>
      <c r="AS77" s="1453"/>
      <c r="AT77" s="1453"/>
      <c r="AU77" s="1453"/>
      <c r="AV77" s="1453"/>
      <c r="AW77" s="1453"/>
      <c r="AX77" s="1453"/>
      <c r="AY77" s="1453"/>
      <c r="AZ77" s="1453"/>
      <c r="BA77" s="1453"/>
      <c r="BB77" s="1453"/>
      <c r="BC77" s="1453"/>
      <c r="BD77" s="1453"/>
      <c r="BE77" s="1453"/>
      <c r="BF77" s="1453"/>
      <c r="BG77" s="1453"/>
      <c r="BH77" s="1453"/>
      <c r="BI77" s="1453"/>
      <c r="BJ77" s="1453"/>
      <c r="BK77" s="1453"/>
      <c r="BL77" s="1453"/>
      <c r="BM77" s="1453"/>
      <c r="BN77" s="1453"/>
      <c r="BO77" s="1453"/>
      <c r="BP77" s="1453"/>
      <c r="BQ77" s="1453"/>
      <c r="BR77" s="1453"/>
      <c r="BS77" s="1453"/>
      <c r="BT77" s="1453"/>
      <c r="BU77" s="1453"/>
      <c r="BV77" s="1453"/>
      <c r="BW77" s="1453"/>
      <c r="BX77" s="1453"/>
      <c r="BY77" s="1453"/>
      <c r="BZ77" s="1453"/>
      <c r="CA77" s="1453"/>
      <c r="CB77" s="1453"/>
      <c r="CC77" s="1453"/>
      <c r="CD77" s="1453"/>
      <c r="CE77" s="1453"/>
      <c r="CF77" s="1453"/>
      <c r="CG77" s="1453"/>
      <c r="CH77" s="1453"/>
      <c r="CI77" s="1453"/>
      <c r="CJ77" s="1453"/>
      <c r="CK77" s="1453"/>
      <c r="CL77" s="1453"/>
      <c r="CM77" s="1453"/>
      <c r="CN77" s="1453"/>
      <c r="CO77" s="1453"/>
      <c r="CP77" s="1453"/>
      <c r="CQ77" s="1453"/>
      <c r="CR77" s="1453"/>
      <c r="CS77" s="1453"/>
      <c r="CT77" s="1453"/>
      <c r="CU77" s="1453"/>
      <c r="CV77" s="1453"/>
      <c r="CW77" s="1453"/>
      <c r="CX77" s="1453"/>
      <c r="CY77" s="1453"/>
      <c r="CZ77" s="1453"/>
      <c r="DA77" s="1453"/>
      <c r="DB77" s="1453"/>
      <c r="DC77" s="1453"/>
      <c r="DD77" s="1453"/>
      <c r="DE77" s="1453"/>
      <c r="DF77" s="1453"/>
      <c r="DG77" s="1453"/>
      <c r="DH77" s="1453"/>
      <c r="DI77" s="1453"/>
      <c r="DJ77" s="1453"/>
      <c r="DK77" s="1453"/>
      <c r="DL77" s="1453"/>
      <c r="DM77" s="1453"/>
      <c r="DN77" s="1453"/>
      <c r="DO77" s="1453"/>
      <c r="DP77" s="1453"/>
      <c r="DQ77" s="1453"/>
      <c r="DR77" s="1453"/>
      <c r="DS77" s="1453"/>
      <c r="DT77" s="1453"/>
      <c r="DU77" s="1453"/>
      <c r="DV77" s="1453"/>
      <c r="DW77" s="1453"/>
      <c r="DX77" s="1453"/>
      <c r="DY77" s="1453"/>
      <c r="DZ77" s="1453"/>
      <c r="EA77" s="1453"/>
      <c r="EB77" s="1453"/>
      <c r="EC77" s="1453"/>
      <c r="ED77" s="1453"/>
      <c r="EE77" s="1453"/>
      <c r="EF77" s="1453"/>
      <c r="EG77" s="1453"/>
      <c r="EH77" s="1453"/>
      <c r="EI77" s="1453"/>
      <c r="EJ77" s="1453"/>
      <c r="EK77" s="1453"/>
      <c r="EL77" s="1453"/>
      <c r="EM77" s="1453"/>
      <c r="EN77" s="1453"/>
      <c r="EO77" s="1453"/>
      <c r="EP77" s="1453"/>
      <c r="EQ77" s="1453"/>
      <c r="ER77" s="1453"/>
      <c r="ES77" s="1453"/>
      <c r="ET77" s="1453"/>
      <c r="EU77" s="1453"/>
      <c r="EV77" s="1453"/>
      <c r="EW77" s="1453"/>
      <c r="EX77" s="1453"/>
      <c r="EY77" s="1453"/>
      <c r="EZ77" s="1453"/>
      <c r="FA77" s="1453"/>
      <c r="FB77" s="1453"/>
      <c r="FC77" s="1453"/>
      <c r="FD77" s="1453"/>
      <c r="FE77" s="1453"/>
      <c r="FF77" s="1453"/>
      <c r="FG77" s="1453"/>
      <c r="FH77" s="1453"/>
      <c r="FI77" s="1453"/>
      <c r="FJ77" s="1453"/>
      <c r="FK77" s="1453"/>
      <c r="FL77" s="1453"/>
      <c r="FM77" s="1453"/>
      <c r="FN77" s="1453"/>
      <c r="FO77" s="1453"/>
      <c r="FP77" s="1453"/>
      <c r="FQ77" s="1453"/>
      <c r="FR77" s="1453"/>
      <c r="FS77" s="1453"/>
      <c r="FT77" s="1453"/>
      <c r="FU77" s="1453"/>
      <c r="FV77" s="1453"/>
      <c r="FW77" s="1453"/>
      <c r="FX77" s="1453"/>
      <c r="FY77" s="1453"/>
      <c r="FZ77" s="1453"/>
      <c r="GA77" s="1453"/>
      <c r="GB77" s="1453"/>
      <c r="GC77" s="1453"/>
      <c r="GD77" s="1453"/>
      <c r="GE77" s="1453"/>
      <c r="GF77" s="1453"/>
      <c r="GG77" s="1453"/>
      <c r="GH77" s="1453"/>
      <c r="GI77" s="1453"/>
      <c r="GJ77" s="1453"/>
      <c r="GK77" s="1453"/>
      <c r="GL77" s="1453"/>
      <c r="GM77" s="1453"/>
      <c r="GN77" s="1453"/>
      <c r="GO77" s="1453"/>
      <c r="GP77" s="1453"/>
      <c r="GQ77" s="1453"/>
      <c r="GR77" s="1453"/>
      <c r="GS77" s="1453"/>
      <c r="GT77" s="1453"/>
      <c r="GU77" s="1453"/>
      <c r="GV77" s="1453"/>
      <c r="GW77" s="1453"/>
      <c r="GX77" s="1453"/>
      <c r="GY77" s="1453"/>
      <c r="GZ77" s="1453"/>
      <c r="HA77" s="1453"/>
      <c r="HB77" s="1453"/>
      <c r="HC77" s="1453"/>
      <c r="HD77" s="1453"/>
      <c r="HE77" s="1453"/>
      <c r="HF77" s="1453"/>
      <c r="HG77" s="1453"/>
      <c r="HH77" s="1453"/>
      <c r="HI77" s="1453"/>
      <c r="HJ77" s="1453"/>
      <c r="HK77" s="1453"/>
      <c r="HL77" s="1453"/>
      <c r="HM77" s="1453"/>
      <c r="HN77" s="1453"/>
      <c r="HO77" s="1453"/>
      <c r="HP77" s="1453"/>
      <c r="HQ77" s="1453"/>
      <c r="HR77" s="1453"/>
      <c r="HS77" s="1453"/>
      <c r="HT77" s="1453"/>
      <c r="HU77" s="1453"/>
      <c r="HV77" s="1453"/>
      <c r="HW77" s="1453"/>
      <c r="HX77" s="1453"/>
      <c r="HY77" s="1453"/>
      <c r="HZ77" s="1453"/>
      <c r="IA77" s="1453"/>
      <c r="IB77" s="1453"/>
      <c r="IC77" s="1453"/>
      <c r="ID77" s="1453"/>
      <c r="IE77" s="1453"/>
      <c r="IF77" s="1453"/>
      <c r="IG77" s="1453"/>
      <c r="IH77" s="1453"/>
      <c r="II77" s="1453"/>
      <c r="IJ77" s="1453"/>
      <c r="IK77" s="1453"/>
      <c r="IL77" s="1453"/>
      <c r="IM77" s="1453"/>
      <c r="IN77" s="1453"/>
      <c r="IO77" s="1453"/>
      <c r="IP77" s="1453"/>
      <c r="IQ77" s="1453"/>
      <c r="IR77" s="1453"/>
      <c r="IS77" s="1453"/>
      <c r="IT77" s="1453"/>
      <c r="IU77" s="1453"/>
      <c r="IV77" s="1453"/>
      <c r="IW77" s="1453"/>
      <c r="IX77" s="1453">
        <v>600</v>
      </c>
      <c r="IY77" s="1453"/>
      <c r="IZ77" s="1453"/>
      <c r="JA77" s="1453"/>
      <c r="JB77" s="1453"/>
      <c r="JC77" s="1453"/>
      <c r="JD77" s="1453"/>
      <c r="JE77" s="1453"/>
      <c r="JF77" s="1453"/>
      <c r="JG77" s="1453"/>
      <c r="JH77" s="1453"/>
      <c r="JI77" s="1453"/>
      <c r="JJ77" s="1453"/>
      <c r="JK77" s="1453"/>
      <c r="JL77" s="1453"/>
      <c r="JM77" s="1453"/>
      <c r="JN77" s="1453"/>
      <c r="JO77" s="1453"/>
      <c r="JP77" s="1453"/>
      <c r="JQ77" s="1453"/>
      <c r="JR77" s="351"/>
      <c r="JS77" s="1470"/>
      <c r="JT77" s="450" t="s">
        <v>2242</v>
      </c>
    </row>
    <row r="78" spans="1:280" ht="12.5" x14ac:dyDescent="0.25">
      <c r="A78" s="1367">
        <v>19</v>
      </c>
      <c r="B78" s="1478" t="str">
        <f t="shared" si="4"/>
        <v/>
      </c>
      <c r="C78" s="1435" t="s">
        <v>2827</v>
      </c>
      <c r="D78" s="1443" t="s">
        <v>2828</v>
      </c>
      <c r="E78" s="1453"/>
      <c r="F78" s="1453"/>
      <c r="G78" s="1453"/>
      <c r="H78" s="1453"/>
      <c r="I78" s="1453"/>
      <c r="J78" s="1453"/>
      <c r="K78" s="1453"/>
      <c r="L78" s="1453"/>
      <c r="M78" s="1453"/>
      <c r="N78" s="1453"/>
      <c r="O78" s="1453"/>
      <c r="P78" s="1453"/>
      <c r="Q78" s="1453"/>
      <c r="R78" s="1453"/>
      <c r="S78" s="1453"/>
      <c r="T78" s="1453"/>
      <c r="U78" s="1453"/>
      <c r="V78" s="1453"/>
      <c r="W78" s="1453"/>
      <c r="X78" s="1453"/>
      <c r="Y78" s="1453"/>
      <c r="Z78" s="1453"/>
      <c r="AA78" s="1453"/>
      <c r="AB78" s="1453"/>
      <c r="AC78" s="1453"/>
      <c r="AD78" s="1453"/>
      <c r="AE78" s="1453"/>
      <c r="AF78" s="1453"/>
      <c r="AG78" s="1453"/>
      <c r="AH78" s="1453"/>
      <c r="AI78" s="1453"/>
      <c r="AJ78" s="1453"/>
      <c r="AK78" s="1453"/>
      <c r="AL78" s="1453"/>
      <c r="AM78" s="1453"/>
      <c r="AN78" s="1453"/>
      <c r="AO78" s="1453"/>
      <c r="AP78" s="1453"/>
      <c r="AQ78" s="1453"/>
      <c r="AR78" s="1453"/>
      <c r="AS78" s="1453"/>
      <c r="AT78" s="1453"/>
      <c r="AU78" s="1453"/>
      <c r="AV78" s="1453"/>
      <c r="AW78" s="1453"/>
      <c r="AX78" s="1453"/>
      <c r="AY78" s="1453"/>
      <c r="AZ78" s="1453"/>
      <c r="BA78" s="1453"/>
      <c r="BB78" s="1453"/>
      <c r="BC78" s="1453"/>
      <c r="BD78" s="1453"/>
      <c r="BE78" s="1453"/>
      <c r="BF78" s="1453"/>
      <c r="BG78" s="1453"/>
      <c r="BH78" s="1453"/>
      <c r="BI78" s="1453"/>
      <c r="BJ78" s="1453"/>
      <c r="BK78" s="1453"/>
      <c r="BL78" s="1453"/>
      <c r="BM78" s="1453"/>
      <c r="BN78" s="1453"/>
      <c r="BO78" s="1453"/>
      <c r="BP78" s="1453"/>
      <c r="BQ78" s="1453"/>
      <c r="BR78" s="1453"/>
      <c r="BS78" s="1453"/>
      <c r="BT78" s="1453"/>
      <c r="BU78" s="1453"/>
      <c r="BV78" s="1453"/>
      <c r="BW78" s="1453"/>
      <c r="BX78" s="1453"/>
      <c r="BY78" s="1453"/>
      <c r="BZ78" s="1453"/>
      <c r="CA78" s="1453"/>
      <c r="CB78" s="1453"/>
      <c r="CC78" s="1453"/>
      <c r="CD78" s="1453"/>
      <c r="CE78" s="1453"/>
      <c r="CF78" s="1453"/>
      <c r="CG78" s="1453"/>
      <c r="CH78" s="1453"/>
      <c r="CI78" s="1453"/>
      <c r="CJ78" s="1453"/>
      <c r="CK78" s="1453"/>
      <c r="CL78" s="1453"/>
      <c r="CM78" s="1453"/>
      <c r="CN78" s="1453"/>
      <c r="CO78" s="1453"/>
      <c r="CP78" s="1453"/>
      <c r="CQ78" s="1453"/>
      <c r="CR78" s="1453"/>
      <c r="CS78" s="1453"/>
      <c r="CT78" s="1453"/>
      <c r="CU78" s="1453"/>
      <c r="CV78" s="1453"/>
      <c r="CW78" s="1453"/>
      <c r="CX78" s="1453"/>
      <c r="CY78" s="1453"/>
      <c r="CZ78" s="1453"/>
      <c r="DA78" s="1453"/>
      <c r="DB78" s="1453"/>
      <c r="DC78" s="1453"/>
      <c r="DD78" s="1453"/>
      <c r="DE78" s="1453"/>
      <c r="DF78" s="1453"/>
      <c r="DG78" s="1453"/>
      <c r="DH78" s="1453"/>
      <c r="DI78" s="1453"/>
      <c r="DJ78" s="1453"/>
      <c r="DK78" s="1453"/>
      <c r="DL78" s="1453"/>
      <c r="DM78" s="1453"/>
      <c r="DN78" s="1453"/>
      <c r="DO78" s="1453"/>
      <c r="DP78" s="1453"/>
      <c r="DQ78" s="1453"/>
      <c r="DR78" s="1453"/>
      <c r="DS78" s="1453"/>
      <c r="DT78" s="1453"/>
      <c r="DU78" s="1453"/>
      <c r="DV78" s="1453"/>
      <c r="DW78" s="1453"/>
      <c r="DX78" s="1453"/>
      <c r="DY78" s="1453"/>
      <c r="DZ78" s="1453"/>
      <c r="EA78" s="1453">
        <v>1250</v>
      </c>
      <c r="EB78" s="1453"/>
      <c r="EC78" s="1453"/>
      <c r="ED78" s="1453"/>
      <c r="EE78" s="1453"/>
      <c r="EF78" s="1453"/>
      <c r="EG78" s="1453"/>
      <c r="EH78" s="1453"/>
      <c r="EI78" s="1453"/>
      <c r="EJ78" s="1453"/>
      <c r="EK78" s="1453"/>
      <c r="EL78" s="1453"/>
      <c r="EM78" s="1453"/>
      <c r="EN78" s="1453"/>
      <c r="EO78" s="1453"/>
      <c r="EP78" s="1453"/>
      <c r="EQ78" s="1453"/>
      <c r="ER78" s="1453"/>
      <c r="ES78" s="1453"/>
      <c r="ET78" s="1453"/>
      <c r="EU78" s="1453"/>
      <c r="EV78" s="1453"/>
      <c r="EW78" s="1453"/>
      <c r="EX78" s="1453"/>
      <c r="EY78" s="1453"/>
      <c r="EZ78" s="1453"/>
      <c r="FA78" s="1453"/>
      <c r="FB78" s="1453"/>
      <c r="FC78" s="1453"/>
      <c r="FD78" s="1453"/>
      <c r="FE78" s="1453"/>
      <c r="FF78" s="1453"/>
      <c r="FG78" s="1453"/>
      <c r="FH78" s="1453"/>
      <c r="FI78" s="1453"/>
      <c r="FJ78" s="1453"/>
      <c r="FK78" s="1453"/>
      <c r="FL78" s="1453"/>
      <c r="FM78" s="1453"/>
      <c r="FN78" s="1453"/>
      <c r="FO78" s="1453"/>
      <c r="FP78" s="1453"/>
      <c r="FQ78" s="1453"/>
      <c r="FR78" s="1453"/>
      <c r="FS78" s="1453"/>
      <c r="FT78" s="1453"/>
      <c r="FU78" s="1453"/>
      <c r="FV78" s="1453"/>
      <c r="FW78" s="1453"/>
      <c r="FX78" s="1453"/>
      <c r="FY78" s="1453"/>
      <c r="FZ78" s="1453"/>
      <c r="GA78" s="1453"/>
      <c r="GB78" s="1453"/>
      <c r="GC78" s="1453"/>
      <c r="GD78" s="1453"/>
      <c r="GE78" s="1453"/>
      <c r="GF78" s="1453"/>
      <c r="GG78" s="1453"/>
      <c r="GH78" s="1453"/>
      <c r="GI78" s="1453"/>
      <c r="GJ78" s="1453"/>
      <c r="GK78" s="1453"/>
      <c r="GL78" s="1453"/>
      <c r="GM78" s="1453"/>
      <c r="GN78" s="1453"/>
      <c r="GO78" s="1453"/>
      <c r="GP78" s="1453"/>
      <c r="GQ78" s="1453"/>
      <c r="GR78" s="1453"/>
      <c r="GS78" s="1453"/>
      <c r="GT78" s="1453"/>
      <c r="GU78" s="1453"/>
      <c r="GV78" s="1453"/>
      <c r="GW78" s="1453"/>
      <c r="GX78" s="1453"/>
      <c r="GY78" s="1453"/>
      <c r="GZ78" s="1453"/>
      <c r="HA78" s="1453"/>
      <c r="HB78" s="1453"/>
      <c r="HC78" s="1453"/>
      <c r="HD78" s="1453"/>
      <c r="HE78" s="1453"/>
      <c r="HF78" s="1453"/>
      <c r="HG78" s="1453"/>
      <c r="HH78" s="1453"/>
      <c r="HI78" s="1453"/>
      <c r="HJ78" s="1453"/>
      <c r="HK78" s="1453"/>
      <c r="HL78" s="1453"/>
      <c r="HM78" s="1453"/>
      <c r="HN78" s="1453"/>
      <c r="HO78" s="1453"/>
      <c r="HP78" s="1453"/>
      <c r="HQ78" s="1453"/>
      <c r="HR78" s="1453"/>
      <c r="HS78" s="1453"/>
      <c r="HT78" s="1453"/>
      <c r="HU78" s="1453"/>
      <c r="HV78" s="1453"/>
      <c r="HW78" s="1453"/>
      <c r="HX78" s="1453"/>
      <c r="HY78" s="1453"/>
      <c r="HZ78" s="1453"/>
      <c r="IA78" s="1453"/>
      <c r="IB78" s="1453"/>
      <c r="IC78" s="1453"/>
      <c r="ID78" s="1453"/>
      <c r="IE78" s="1453"/>
      <c r="IF78" s="1453"/>
      <c r="IG78" s="1453"/>
      <c r="IH78" s="1453"/>
      <c r="II78" s="1453"/>
      <c r="IJ78" s="1453"/>
      <c r="IK78" s="1453"/>
      <c r="IL78" s="1453"/>
      <c r="IM78" s="1453"/>
      <c r="IN78" s="1453"/>
      <c r="IO78" s="1453"/>
      <c r="IP78" s="1453"/>
      <c r="IQ78" s="1453"/>
      <c r="IR78" s="1453"/>
      <c r="IS78" s="1453"/>
      <c r="IT78" s="1453"/>
      <c r="IU78" s="1453"/>
      <c r="IV78" s="1453"/>
      <c r="IW78" s="1453"/>
      <c r="IX78" s="1453">
        <v>3000</v>
      </c>
      <c r="IY78" s="1453"/>
      <c r="IZ78" s="1453"/>
      <c r="JA78" s="1453"/>
      <c r="JB78" s="1453"/>
      <c r="JC78" s="1453"/>
      <c r="JD78" s="1453"/>
      <c r="JE78" s="1453"/>
      <c r="JF78" s="1453"/>
      <c r="JG78" s="1453"/>
      <c r="JH78" s="1453"/>
      <c r="JI78" s="1453"/>
      <c r="JJ78" s="1453"/>
      <c r="JK78" s="1453"/>
      <c r="JL78" s="1453"/>
      <c r="JM78" s="1453"/>
      <c r="JN78" s="1453"/>
      <c r="JO78" s="1453"/>
      <c r="JP78" s="1453"/>
      <c r="JQ78" s="1453"/>
      <c r="JR78" s="351"/>
      <c r="JS78" s="1470"/>
      <c r="JT78" s="450" t="s">
        <v>2242</v>
      </c>
    </row>
    <row r="79" spans="1:280" ht="12.5" x14ac:dyDescent="0.25">
      <c r="A79" s="1367">
        <v>20</v>
      </c>
      <c r="B79" s="1478" t="str">
        <f t="shared" si="4"/>
        <v/>
      </c>
      <c r="C79" s="1435" t="s">
        <v>2829</v>
      </c>
      <c r="D79" s="1443" t="s">
        <v>2830</v>
      </c>
      <c r="E79" s="1453"/>
      <c r="F79" s="1453"/>
      <c r="G79" s="1453"/>
      <c r="H79" s="1453"/>
      <c r="I79" s="1453"/>
      <c r="J79" s="1453"/>
      <c r="K79" s="1453"/>
      <c r="L79" s="1453"/>
      <c r="M79" s="1453"/>
      <c r="N79" s="1453"/>
      <c r="O79" s="1453"/>
      <c r="P79" s="1453"/>
      <c r="Q79" s="1453"/>
      <c r="R79" s="1453"/>
      <c r="S79" s="1453"/>
      <c r="T79" s="1453"/>
      <c r="U79" s="1453"/>
      <c r="V79" s="1453"/>
      <c r="W79" s="1453"/>
      <c r="X79" s="1453"/>
      <c r="Y79" s="1453"/>
      <c r="Z79" s="1453"/>
      <c r="AA79" s="1453"/>
      <c r="AB79" s="1453"/>
      <c r="AC79" s="1453"/>
      <c r="AD79" s="1453"/>
      <c r="AE79" s="1453"/>
      <c r="AF79" s="1453"/>
      <c r="AG79" s="1453"/>
      <c r="AH79" s="1453"/>
      <c r="AI79" s="1453"/>
      <c r="AJ79" s="1453"/>
      <c r="AK79" s="1453"/>
      <c r="AL79" s="1453"/>
      <c r="AM79" s="1453"/>
      <c r="AN79" s="1453"/>
      <c r="AO79" s="1453"/>
      <c r="AP79" s="1453"/>
      <c r="AQ79" s="1453"/>
      <c r="AR79" s="1453"/>
      <c r="AS79" s="1453"/>
      <c r="AT79" s="1453"/>
      <c r="AU79" s="1453"/>
      <c r="AV79" s="1453"/>
      <c r="AW79" s="1453"/>
      <c r="AX79" s="1453"/>
      <c r="AY79" s="1453"/>
      <c r="AZ79" s="1453"/>
      <c r="BA79" s="1453"/>
      <c r="BB79" s="1453"/>
      <c r="BC79" s="1453"/>
      <c r="BD79" s="1453"/>
      <c r="BE79" s="1453"/>
      <c r="BF79" s="1453"/>
      <c r="BG79" s="1453"/>
      <c r="BH79" s="1453"/>
      <c r="BI79" s="1453"/>
      <c r="BJ79" s="1453"/>
      <c r="BK79" s="1453"/>
      <c r="BL79" s="1453"/>
      <c r="BM79" s="1453"/>
      <c r="BN79" s="1453"/>
      <c r="BO79" s="1453"/>
      <c r="BP79" s="1453"/>
      <c r="BQ79" s="1453"/>
      <c r="BR79" s="1453"/>
      <c r="BS79" s="1453"/>
      <c r="BT79" s="1453"/>
      <c r="BU79" s="1453"/>
      <c r="BV79" s="1453"/>
      <c r="BW79" s="1453"/>
      <c r="BX79" s="1453"/>
      <c r="BY79" s="1453"/>
      <c r="BZ79" s="1453"/>
      <c r="CA79" s="1453"/>
      <c r="CB79" s="1453"/>
      <c r="CC79" s="1453"/>
      <c r="CD79" s="1453"/>
      <c r="CE79" s="1453"/>
      <c r="CF79" s="1453"/>
      <c r="CG79" s="1453"/>
      <c r="CH79" s="1453"/>
      <c r="CI79" s="1453"/>
      <c r="CJ79" s="1453"/>
      <c r="CK79" s="1453"/>
      <c r="CL79" s="1453"/>
      <c r="CM79" s="1453"/>
      <c r="CN79" s="1453"/>
      <c r="CO79" s="1453"/>
      <c r="CP79" s="1453"/>
      <c r="CQ79" s="1453"/>
      <c r="CR79" s="1453"/>
      <c r="CS79" s="1453"/>
      <c r="CT79" s="1453"/>
      <c r="CU79" s="1453"/>
      <c r="CV79" s="1453"/>
      <c r="CW79" s="1453"/>
      <c r="CX79" s="1453"/>
      <c r="CY79" s="1453"/>
      <c r="CZ79" s="1453"/>
      <c r="DA79" s="1453"/>
      <c r="DB79" s="1453"/>
      <c r="DC79" s="1453"/>
      <c r="DD79" s="1453"/>
      <c r="DE79" s="1453"/>
      <c r="DF79" s="1453"/>
      <c r="DG79" s="1453"/>
      <c r="DH79" s="1453"/>
      <c r="DI79" s="1453"/>
      <c r="DJ79" s="1453"/>
      <c r="DK79" s="1453"/>
      <c r="DL79" s="1453"/>
      <c r="DM79" s="1453"/>
      <c r="DN79" s="1453"/>
      <c r="DO79" s="1453"/>
      <c r="DP79" s="1453"/>
      <c r="DQ79" s="1453"/>
      <c r="DR79" s="1453"/>
      <c r="DS79" s="1453"/>
      <c r="DT79" s="1453"/>
      <c r="DU79" s="1453"/>
      <c r="DV79" s="1453"/>
      <c r="DW79" s="1453"/>
      <c r="DX79" s="1453"/>
      <c r="DY79" s="1453"/>
      <c r="DZ79" s="1453"/>
      <c r="EA79" s="1453">
        <v>750</v>
      </c>
      <c r="EB79" s="1453">
        <v>1000</v>
      </c>
      <c r="EC79" s="1453"/>
      <c r="ED79" s="1453"/>
      <c r="EE79" s="1453"/>
      <c r="EF79" s="1453"/>
      <c r="EG79" s="1453"/>
      <c r="EH79" s="1453"/>
      <c r="EI79" s="1453"/>
      <c r="EJ79" s="1453"/>
      <c r="EK79" s="1453"/>
      <c r="EL79" s="1453"/>
      <c r="EM79" s="1453"/>
      <c r="EN79" s="1453"/>
      <c r="EO79" s="1453"/>
      <c r="EP79" s="1453"/>
      <c r="EQ79" s="1453"/>
      <c r="ER79" s="1453"/>
      <c r="ES79" s="1453"/>
      <c r="ET79" s="1453"/>
      <c r="EU79" s="1453"/>
      <c r="EV79" s="1453"/>
      <c r="EW79" s="1453"/>
      <c r="EX79" s="1453"/>
      <c r="EY79" s="1453"/>
      <c r="EZ79" s="1453"/>
      <c r="FA79" s="1453"/>
      <c r="FB79" s="1453"/>
      <c r="FC79" s="1453"/>
      <c r="FD79" s="1453"/>
      <c r="FE79" s="1453"/>
      <c r="FF79" s="1453"/>
      <c r="FG79" s="1453"/>
      <c r="FH79" s="1453"/>
      <c r="FI79" s="1453"/>
      <c r="FJ79" s="1453"/>
      <c r="FK79" s="1453"/>
      <c r="FL79" s="1453"/>
      <c r="FM79" s="1453"/>
      <c r="FN79" s="1453"/>
      <c r="FO79" s="1453"/>
      <c r="FP79" s="1453"/>
      <c r="FQ79" s="1453"/>
      <c r="FR79" s="1453"/>
      <c r="FS79" s="1453"/>
      <c r="FT79" s="1453"/>
      <c r="FU79" s="1453"/>
      <c r="FV79" s="1453"/>
      <c r="FW79" s="1453"/>
      <c r="FX79" s="1453"/>
      <c r="FY79" s="1453"/>
      <c r="FZ79" s="1453"/>
      <c r="GA79" s="1453"/>
      <c r="GB79" s="1453"/>
      <c r="GC79" s="1453"/>
      <c r="GD79" s="1453"/>
      <c r="GE79" s="1453"/>
      <c r="GF79" s="1453"/>
      <c r="GG79" s="1453"/>
      <c r="GH79" s="1453"/>
      <c r="GI79" s="1453"/>
      <c r="GJ79" s="1453"/>
      <c r="GK79" s="1453"/>
      <c r="GL79" s="1453"/>
      <c r="GM79" s="1453"/>
      <c r="GN79" s="1453"/>
      <c r="GO79" s="1453"/>
      <c r="GP79" s="1453"/>
      <c r="GQ79" s="1453"/>
      <c r="GR79" s="1453"/>
      <c r="GS79" s="1453"/>
      <c r="GT79" s="1453"/>
      <c r="GU79" s="1453"/>
      <c r="GV79" s="1453"/>
      <c r="GW79" s="1453"/>
      <c r="GX79" s="1453"/>
      <c r="GY79" s="1453"/>
      <c r="GZ79" s="1453"/>
      <c r="HA79" s="1453"/>
      <c r="HB79" s="1453"/>
      <c r="HC79" s="1453"/>
      <c r="HD79" s="1453"/>
      <c r="HE79" s="1453"/>
      <c r="HF79" s="1453"/>
      <c r="HG79" s="1453"/>
      <c r="HH79" s="1453"/>
      <c r="HI79" s="1453"/>
      <c r="HJ79" s="1453"/>
      <c r="HK79" s="1453"/>
      <c r="HL79" s="1453"/>
      <c r="HM79" s="1453"/>
      <c r="HN79" s="1453"/>
      <c r="HO79" s="1453"/>
      <c r="HP79" s="1453"/>
      <c r="HQ79" s="1453"/>
      <c r="HR79" s="1453"/>
      <c r="HS79" s="1453"/>
      <c r="HT79" s="1453"/>
      <c r="HU79" s="1453"/>
      <c r="HV79" s="1453"/>
      <c r="HW79" s="1453"/>
      <c r="HX79" s="1453"/>
      <c r="HY79" s="1453"/>
      <c r="HZ79" s="1453"/>
      <c r="IA79" s="1453"/>
      <c r="IB79" s="1453"/>
      <c r="IC79" s="1453"/>
      <c r="ID79" s="1453"/>
      <c r="IE79" s="1453"/>
      <c r="IF79" s="1453"/>
      <c r="IG79" s="1453"/>
      <c r="IH79" s="1453"/>
      <c r="II79" s="1453"/>
      <c r="IJ79" s="1453"/>
      <c r="IK79" s="1453"/>
      <c r="IL79" s="1453"/>
      <c r="IM79" s="1453"/>
      <c r="IN79" s="1453"/>
      <c r="IO79" s="1453"/>
      <c r="IP79" s="1453"/>
      <c r="IQ79" s="1453"/>
      <c r="IR79" s="1453"/>
      <c r="IS79" s="1453"/>
      <c r="IT79" s="1453"/>
      <c r="IU79" s="1453"/>
      <c r="IV79" s="1453"/>
      <c r="IW79" s="1453"/>
      <c r="IX79" s="1453">
        <v>850</v>
      </c>
      <c r="IY79" s="1453"/>
      <c r="IZ79" s="1453"/>
      <c r="JA79" s="1453"/>
      <c r="JB79" s="1453"/>
      <c r="JC79" s="1453"/>
      <c r="JD79" s="1453"/>
      <c r="JE79" s="1453"/>
      <c r="JF79" s="1453"/>
      <c r="JG79" s="1453"/>
      <c r="JH79" s="1453"/>
      <c r="JI79" s="1453"/>
      <c r="JJ79" s="1453"/>
      <c r="JK79" s="1453"/>
      <c r="JL79" s="1453"/>
      <c r="JM79" s="1453"/>
      <c r="JN79" s="1453"/>
      <c r="JO79" s="1453"/>
      <c r="JP79" s="1453"/>
      <c r="JQ79" s="1453"/>
      <c r="JR79" s="351"/>
      <c r="JS79" s="1470"/>
      <c r="JT79" s="450" t="s">
        <v>2242</v>
      </c>
    </row>
    <row r="80" spans="1:280" ht="12.5" x14ac:dyDescent="0.25">
      <c r="A80" s="1367">
        <v>21</v>
      </c>
      <c r="B80" s="1478" t="str">
        <f t="shared" si="4"/>
        <v/>
      </c>
      <c r="C80" s="1435" t="s">
        <v>2831</v>
      </c>
      <c r="D80" s="1443" t="s">
        <v>2832</v>
      </c>
      <c r="E80" s="1453"/>
      <c r="F80" s="1453"/>
      <c r="G80" s="1453"/>
      <c r="H80" s="1453"/>
      <c r="I80" s="1453"/>
      <c r="J80" s="1453"/>
      <c r="K80" s="1453"/>
      <c r="L80" s="1453"/>
      <c r="M80" s="1453"/>
      <c r="N80" s="1453"/>
      <c r="O80" s="1453"/>
      <c r="P80" s="1453"/>
      <c r="Q80" s="1453"/>
      <c r="R80" s="1453"/>
      <c r="S80" s="1453"/>
      <c r="T80" s="1453"/>
      <c r="U80" s="1453"/>
      <c r="V80" s="1453"/>
      <c r="W80" s="1453"/>
      <c r="X80" s="1453"/>
      <c r="Y80" s="1453"/>
      <c r="Z80" s="1453"/>
      <c r="AA80" s="1453"/>
      <c r="AB80" s="1453"/>
      <c r="AC80" s="1453"/>
      <c r="AD80" s="1453"/>
      <c r="AE80" s="1453"/>
      <c r="AF80" s="1453"/>
      <c r="AG80" s="1453"/>
      <c r="AH80" s="1453"/>
      <c r="AI80" s="1453"/>
      <c r="AJ80" s="1453"/>
      <c r="AK80" s="1453"/>
      <c r="AL80" s="1453"/>
      <c r="AM80" s="1453"/>
      <c r="AN80" s="1453"/>
      <c r="AO80" s="1453"/>
      <c r="AP80" s="1453"/>
      <c r="AQ80" s="1453"/>
      <c r="AR80" s="1453"/>
      <c r="AS80" s="1453"/>
      <c r="AT80" s="1453"/>
      <c r="AU80" s="1453"/>
      <c r="AV80" s="1453"/>
      <c r="AW80" s="1453"/>
      <c r="AX80" s="1453"/>
      <c r="AY80" s="1453"/>
      <c r="AZ80" s="1453"/>
      <c r="BA80" s="1453"/>
      <c r="BB80" s="1453"/>
      <c r="BC80" s="1453"/>
      <c r="BD80" s="1453"/>
      <c r="BE80" s="1453"/>
      <c r="BF80" s="1453"/>
      <c r="BG80" s="1453"/>
      <c r="BH80" s="1453"/>
      <c r="BI80" s="1453"/>
      <c r="BJ80" s="1453"/>
      <c r="BK80" s="1453"/>
      <c r="BL80" s="1453"/>
      <c r="BM80" s="1453"/>
      <c r="BN80" s="1453"/>
      <c r="BO80" s="1453"/>
      <c r="BP80" s="1453"/>
      <c r="BQ80" s="1453"/>
      <c r="BR80" s="1453"/>
      <c r="BS80" s="1453"/>
      <c r="BT80" s="1453"/>
      <c r="BU80" s="1453"/>
      <c r="BV80" s="1453"/>
      <c r="BW80" s="1453"/>
      <c r="BX80" s="1453"/>
      <c r="BY80" s="1453"/>
      <c r="BZ80" s="1453"/>
      <c r="CA80" s="1453"/>
      <c r="CB80" s="1453"/>
      <c r="CC80" s="1453"/>
      <c r="CD80" s="1453"/>
      <c r="CE80" s="1453"/>
      <c r="CF80" s="1453"/>
      <c r="CG80" s="1453"/>
      <c r="CH80" s="1453"/>
      <c r="CI80" s="1453"/>
      <c r="CJ80" s="1453"/>
      <c r="CK80" s="1453"/>
      <c r="CL80" s="1453"/>
      <c r="CM80" s="1453"/>
      <c r="CN80" s="1453"/>
      <c r="CO80" s="1453"/>
      <c r="CP80" s="1453"/>
      <c r="CQ80" s="1453"/>
      <c r="CR80" s="1453"/>
      <c r="CS80" s="1453"/>
      <c r="CT80" s="1453">
        <v>1600</v>
      </c>
      <c r="CU80" s="1453"/>
      <c r="CV80" s="1453"/>
      <c r="CW80" s="1453"/>
      <c r="CX80" s="1453"/>
      <c r="CY80" s="1453"/>
      <c r="CZ80" s="1453"/>
      <c r="DA80" s="1453"/>
      <c r="DB80" s="1453"/>
      <c r="DC80" s="1453"/>
      <c r="DD80" s="1453"/>
      <c r="DE80" s="1453"/>
      <c r="DF80" s="1453"/>
      <c r="DG80" s="1453"/>
      <c r="DH80" s="1453"/>
      <c r="DI80" s="1453"/>
      <c r="DJ80" s="1453"/>
      <c r="DK80" s="1453"/>
      <c r="DL80" s="1453"/>
      <c r="DM80" s="1453"/>
      <c r="DN80" s="1453"/>
      <c r="DO80" s="1453"/>
      <c r="DP80" s="1453"/>
      <c r="DQ80" s="1453"/>
      <c r="DR80" s="1453"/>
      <c r="DS80" s="1453"/>
      <c r="DT80" s="1453"/>
      <c r="DU80" s="1453"/>
      <c r="DV80" s="1453"/>
      <c r="DW80" s="1453"/>
      <c r="DX80" s="1453"/>
      <c r="DY80" s="1453"/>
      <c r="DZ80" s="1453"/>
      <c r="EA80" s="1453"/>
      <c r="EB80" s="1453"/>
      <c r="EC80" s="1453">
        <v>1600</v>
      </c>
      <c r="ED80" s="1453"/>
      <c r="EE80" s="1453"/>
      <c r="EF80" s="1453"/>
      <c r="EG80" s="1453"/>
      <c r="EH80" s="1453"/>
      <c r="EI80" s="1453"/>
      <c r="EJ80" s="1453"/>
      <c r="EK80" s="1453"/>
      <c r="EL80" s="1453"/>
      <c r="EM80" s="1453"/>
      <c r="EN80" s="1453"/>
      <c r="EO80" s="1453"/>
      <c r="EP80" s="1453"/>
      <c r="EQ80" s="1453"/>
      <c r="ER80" s="1453"/>
      <c r="ES80" s="1453"/>
      <c r="ET80" s="1453"/>
      <c r="EU80" s="1453"/>
      <c r="EV80" s="1453"/>
      <c r="EW80" s="1453"/>
      <c r="EX80" s="1453"/>
      <c r="EY80" s="1453"/>
      <c r="EZ80" s="1453"/>
      <c r="FA80" s="1453"/>
      <c r="FB80" s="1453">
        <v>1600</v>
      </c>
      <c r="FC80" s="1453"/>
      <c r="FD80" s="1453"/>
      <c r="FE80" s="1453"/>
      <c r="FF80" s="1453"/>
      <c r="FG80" s="1453"/>
      <c r="FH80" s="1453"/>
      <c r="FI80" s="1453"/>
      <c r="FJ80" s="1453"/>
      <c r="FK80" s="1453"/>
      <c r="FL80" s="1453"/>
      <c r="FM80" s="1453"/>
      <c r="FN80" s="1453"/>
      <c r="FO80" s="1453"/>
      <c r="FP80" s="1453"/>
      <c r="FQ80" s="1453"/>
      <c r="FR80" s="1453"/>
      <c r="FS80" s="1453"/>
      <c r="FT80" s="1453"/>
      <c r="FU80" s="1453"/>
      <c r="FV80" s="1453"/>
      <c r="FW80" s="1453"/>
      <c r="FX80" s="1453"/>
      <c r="FY80" s="1453"/>
      <c r="FZ80" s="1453"/>
      <c r="GA80" s="1453"/>
      <c r="GB80" s="1453"/>
      <c r="GC80" s="1453"/>
      <c r="GD80" s="1453"/>
      <c r="GE80" s="1453"/>
      <c r="GF80" s="1453"/>
      <c r="GG80" s="1453"/>
      <c r="GH80" s="1453"/>
      <c r="GI80" s="1453"/>
      <c r="GJ80" s="1453"/>
      <c r="GK80" s="1453"/>
      <c r="GL80" s="1453"/>
      <c r="GM80" s="1453"/>
      <c r="GN80" s="1453"/>
      <c r="GO80" s="1453"/>
      <c r="GP80" s="1453"/>
      <c r="GQ80" s="1453"/>
      <c r="GR80" s="1453"/>
      <c r="GS80" s="1453"/>
      <c r="GT80" s="1453"/>
      <c r="GU80" s="1453"/>
      <c r="GV80" s="1453"/>
      <c r="GW80" s="1453"/>
      <c r="GX80" s="1453"/>
      <c r="GY80" s="1453"/>
      <c r="GZ80" s="1453"/>
      <c r="HA80" s="1453"/>
      <c r="HB80" s="1453"/>
      <c r="HC80" s="1453"/>
      <c r="HD80" s="1453"/>
      <c r="HE80" s="1453"/>
      <c r="HF80" s="1453"/>
      <c r="HG80" s="1453"/>
      <c r="HH80" s="1453"/>
      <c r="HI80" s="1453"/>
      <c r="HJ80" s="1453"/>
      <c r="HK80" s="1453"/>
      <c r="HL80" s="1453"/>
      <c r="HM80" s="1453"/>
      <c r="HN80" s="1453"/>
      <c r="HO80" s="1453"/>
      <c r="HP80" s="1453"/>
      <c r="HQ80" s="1453"/>
      <c r="HR80" s="1453"/>
      <c r="HS80" s="1453"/>
      <c r="HT80" s="1453"/>
      <c r="HU80" s="1453"/>
      <c r="HV80" s="1453"/>
      <c r="HW80" s="1453"/>
      <c r="HX80" s="1453"/>
      <c r="HY80" s="1453"/>
      <c r="HZ80" s="1453"/>
      <c r="IA80" s="1453"/>
      <c r="IB80" s="1453"/>
      <c r="IC80" s="1453"/>
      <c r="ID80" s="1453"/>
      <c r="IE80" s="1453"/>
      <c r="IF80" s="1453"/>
      <c r="IG80" s="1453"/>
      <c r="IH80" s="1453"/>
      <c r="II80" s="1453"/>
      <c r="IJ80" s="1453"/>
      <c r="IK80" s="1453"/>
      <c r="IL80" s="1453"/>
      <c r="IM80" s="1453"/>
      <c r="IN80" s="1453"/>
      <c r="IO80" s="1453"/>
      <c r="IP80" s="1453"/>
      <c r="IQ80" s="1453"/>
      <c r="IR80" s="1453"/>
      <c r="IS80" s="1453"/>
      <c r="IT80" s="1453"/>
      <c r="IU80" s="1453"/>
      <c r="IV80" s="1453"/>
      <c r="IW80" s="1453"/>
      <c r="IX80" s="1453"/>
      <c r="IY80" s="1453"/>
      <c r="IZ80" s="1453"/>
      <c r="JA80" s="1453"/>
      <c r="JB80" s="1453"/>
      <c r="JC80" s="1453"/>
      <c r="JD80" s="1453"/>
      <c r="JE80" s="1453"/>
      <c r="JF80" s="1453"/>
      <c r="JG80" s="1453"/>
      <c r="JH80" s="1453"/>
      <c r="JI80" s="1453"/>
      <c r="JJ80" s="1453"/>
      <c r="JK80" s="1453"/>
      <c r="JL80" s="1453"/>
      <c r="JM80" s="1453"/>
      <c r="JN80" s="1453"/>
      <c r="JO80" s="1453"/>
      <c r="JP80" s="1453"/>
      <c r="JQ80" s="1453"/>
      <c r="JR80" s="351"/>
      <c r="JS80" s="1470"/>
      <c r="JT80" s="450" t="s">
        <v>2242</v>
      </c>
    </row>
    <row r="81" spans="1:280" ht="12.5" x14ac:dyDescent="0.25">
      <c r="A81" s="1367">
        <v>22</v>
      </c>
      <c r="B81" s="1478" t="str">
        <f t="shared" si="4"/>
        <v/>
      </c>
      <c r="C81" s="1435" t="s">
        <v>2833</v>
      </c>
      <c r="D81" s="1443" t="s">
        <v>2834</v>
      </c>
      <c r="E81" s="1480"/>
      <c r="F81" s="1480"/>
      <c r="G81" s="1480"/>
      <c r="H81" s="1480"/>
      <c r="I81" s="1480"/>
      <c r="J81" s="1480"/>
      <c r="K81" s="1480"/>
      <c r="L81" s="1480"/>
      <c r="M81" s="1480"/>
      <c r="N81" s="1480"/>
      <c r="O81" s="1480"/>
      <c r="P81" s="1480"/>
      <c r="Q81" s="1480"/>
      <c r="R81" s="1480"/>
      <c r="S81" s="1480"/>
      <c r="T81" s="1480"/>
      <c r="U81" s="1480"/>
      <c r="V81" s="1480"/>
      <c r="W81" s="1480"/>
      <c r="X81" s="1480"/>
      <c r="Y81" s="1480"/>
      <c r="Z81" s="1480"/>
      <c r="AA81" s="1480"/>
      <c r="AB81" s="1480"/>
      <c r="AC81" s="1480"/>
      <c r="AD81" s="1480"/>
      <c r="AE81" s="1480"/>
      <c r="AF81" s="1480"/>
      <c r="AG81" s="1480"/>
      <c r="AH81" s="1480"/>
      <c r="AI81" s="1480"/>
      <c r="AJ81" s="1480"/>
      <c r="AK81" s="1480"/>
      <c r="AL81" s="1480"/>
      <c r="AM81" s="1480"/>
      <c r="AN81" s="1480"/>
      <c r="AO81" s="1480"/>
      <c r="AP81" s="1480"/>
      <c r="AQ81" s="1480"/>
      <c r="AR81" s="1480"/>
      <c r="AS81" s="1480"/>
      <c r="AT81" s="1480"/>
      <c r="AU81" s="1480"/>
      <c r="AV81" s="1480"/>
      <c r="AW81" s="1480"/>
      <c r="AX81" s="1480"/>
      <c r="AY81" s="1480"/>
      <c r="AZ81" s="1480"/>
      <c r="BA81" s="1480"/>
      <c r="BB81" s="1480"/>
      <c r="BC81" s="1480"/>
      <c r="BD81" s="1480"/>
      <c r="BE81" s="1480"/>
      <c r="BF81" s="1480"/>
      <c r="BG81" s="1480"/>
      <c r="BH81" s="1480"/>
      <c r="BI81" s="1480"/>
      <c r="BJ81" s="1480"/>
      <c r="BK81" s="1480"/>
      <c r="BL81" s="1480"/>
      <c r="BM81" s="1480"/>
      <c r="BN81" s="1480"/>
      <c r="BO81" s="1480"/>
      <c r="BP81" s="1480"/>
      <c r="BQ81" s="1480"/>
      <c r="BR81" s="1480"/>
      <c r="BS81" s="1480"/>
      <c r="BT81" s="1480"/>
      <c r="BU81" s="1480"/>
      <c r="BV81" s="1480"/>
      <c r="BW81" s="1480"/>
      <c r="BX81" s="1480"/>
      <c r="BY81" s="1480"/>
      <c r="BZ81" s="1480"/>
      <c r="CA81" s="1480"/>
      <c r="CB81" s="1480"/>
      <c r="CC81" s="1480"/>
      <c r="CD81" s="1480"/>
      <c r="CE81" s="1480"/>
      <c r="CF81" s="1480"/>
      <c r="CG81" s="1480"/>
      <c r="CH81" s="1480"/>
      <c r="CI81" s="1480"/>
      <c r="CJ81" s="1480"/>
      <c r="CK81" s="1480"/>
      <c r="CL81" s="1480"/>
      <c r="CM81" s="1480"/>
      <c r="CN81" s="1480"/>
      <c r="CO81" s="1480"/>
      <c r="CP81" s="1480"/>
      <c r="CQ81" s="1480"/>
      <c r="CR81" s="1480"/>
      <c r="CS81" s="1480"/>
      <c r="CT81" s="1480">
        <f>CT75+CT76+CT77+CT78+CT79+CT80</f>
        <v>2065</v>
      </c>
      <c r="CU81" s="1480"/>
      <c r="CV81" s="1480"/>
      <c r="CW81" s="1480"/>
      <c r="CX81" s="1480"/>
      <c r="CY81" s="1480"/>
      <c r="CZ81" s="1480"/>
      <c r="DA81" s="1480"/>
      <c r="DB81" s="1480"/>
      <c r="DC81" s="1480"/>
      <c r="DD81" s="1480"/>
      <c r="DE81" s="1480"/>
      <c r="DF81" s="1480"/>
      <c r="DG81" s="1480"/>
      <c r="DH81" s="1480"/>
      <c r="DI81" s="1480"/>
      <c r="DJ81" s="1480"/>
      <c r="DK81" s="1480"/>
      <c r="DL81" s="1480"/>
      <c r="DM81" s="1480"/>
      <c r="DN81" s="1480"/>
      <c r="DO81" s="1480"/>
      <c r="DP81" s="1480"/>
      <c r="DQ81" s="1480"/>
      <c r="DR81" s="1480"/>
      <c r="DS81" s="1480"/>
      <c r="DT81" s="1480"/>
      <c r="DU81" s="1480"/>
      <c r="DV81" s="1480"/>
      <c r="DW81" s="1480"/>
      <c r="DX81" s="1480"/>
      <c r="DY81" s="1480"/>
      <c r="DZ81" s="1480"/>
      <c r="EA81" s="1480">
        <f>EA75+EA76+EA77+EA78+EA79+EA80</f>
        <v>2000</v>
      </c>
      <c r="EB81" s="1480">
        <f>EB75+EB76+EB77+EB78+EB79+EB80</f>
        <v>3155</v>
      </c>
      <c r="EC81" s="1480">
        <f>EC75+EC76+EC77+EC78+EC79+EC80</f>
        <v>2065</v>
      </c>
      <c r="ED81" s="1480"/>
      <c r="EE81" s="1480"/>
      <c r="EF81" s="1480"/>
      <c r="EG81" s="1480"/>
      <c r="EH81" s="1480"/>
      <c r="EI81" s="1480"/>
      <c r="EJ81" s="1480"/>
      <c r="EK81" s="1480"/>
      <c r="EL81" s="1480"/>
      <c r="EM81" s="1480"/>
      <c r="EN81" s="1480"/>
      <c r="EO81" s="1480"/>
      <c r="EP81" s="1480"/>
      <c r="EQ81" s="1480"/>
      <c r="ER81" s="1480"/>
      <c r="ES81" s="1480"/>
      <c r="ET81" s="1480"/>
      <c r="EU81" s="1480"/>
      <c r="EV81" s="1480"/>
      <c r="EW81" s="1480"/>
      <c r="EX81" s="1480"/>
      <c r="EY81" s="1480"/>
      <c r="EZ81" s="1480"/>
      <c r="FA81" s="1480"/>
      <c r="FB81" s="1480">
        <f>FB75+FB76+FB77+FB78+FB79+FB80</f>
        <v>2065</v>
      </c>
      <c r="FC81" s="1480"/>
      <c r="FD81" s="1480"/>
      <c r="FE81" s="1480"/>
      <c r="FF81" s="1480"/>
      <c r="FG81" s="1480"/>
      <c r="FH81" s="1480"/>
      <c r="FI81" s="1480"/>
      <c r="FJ81" s="1480"/>
      <c r="FK81" s="1480"/>
      <c r="FL81" s="1480"/>
      <c r="FM81" s="1480"/>
      <c r="FN81" s="1480"/>
      <c r="FO81" s="1480"/>
      <c r="FP81" s="1480"/>
      <c r="FQ81" s="1480"/>
      <c r="FR81" s="1480"/>
      <c r="FS81" s="1480"/>
      <c r="FT81" s="1480"/>
      <c r="FU81" s="1480"/>
      <c r="FV81" s="1480"/>
      <c r="FW81" s="1480"/>
      <c r="FX81" s="1480"/>
      <c r="FY81" s="1480"/>
      <c r="FZ81" s="1480"/>
      <c r="GA81" s="1480"/>
      <c r="GB81" s="1480"/>
      <c r="GC81" s="1480"/>
      <c r="GD81" s="1480"/>
      <c r="GE81" s="1480"/>
      <c r="GF81" s="1480"/>
      <c r="GG81" s="1480"/>
      <c r="GH81" s="1480"/>
      <c r="GI81" s="1480"/>
      <c r="GJ81" s="1480"/>
      <c r="GK81" s="1480"/>
      <c r="GL81" s="1480"/>
      <c r="GM81" s="1480"/>
      <c r="GN81" s="1480"/>
      <c r="GO81" s="1480"/>
      <c r="GP81" s="1480"/>
      <c r="GQ81" s="1480"/>
      <c r="GR81" s="1480"/>
      <c r="GS81" s="1480"/>
      <c r="GT81" s="1480"/>
      <c r="GU81" s="1480"/>
      <c r="GV81" s="1480"/>
      <c r="GW81" s="1480"/>
      <c r="GX81" s="1480"/>
      <c r="GY81" s="1480"/>
      <c r="GZ81" s="1480"/>
      <c r="HA81" s="1480"/>
      <c r="HB81" s="1480"/>
      <c r="HC81" s="1480"/>
      <c r="HD81" s="1480"/>
      <c r="HE81" s="1480"/>
      <c r="HF81" s="1480"/>
      <c r="HG81" s="1480"/>
      <c r="HH81" s="1480"/>
      <c r="HI81" s="1480"/>
      <c r="HJ81" s="1480"/>
      <c r="HK81" s="1480"/>
      <c r="HL81" s="1480"/>
      <c r="HM81" s="1480"/>
      <c r="HN81" s="1480"/>
      <c r="HO81" s="1480"/>
      <c r="HP81" s="1480"/>
      <c r="HQ81" s="1480"/>
      <c r="HR81" s="1480"/>
      <c r="HS81" s="1480"/>
      <c r="HT81" s="1480"/>
      <c r="HU81" s="1480"/>
      <c r="HV81" s="1480"/>
      <c r="HW81" s="1480"/>
      <c r="HX81" s="1480"/>
      <c r="HY81" s="1480"/>
      <c r="HZ81" s="1480"/>
      <c r="IA81" s="1480"/>
      <c r="IB81" s="1480"/>
      <c r="IC81" s="1480"/>
      <c r="ID81" s="1480"/>
      <c r="IE81" s="1480"/>
      <c r="IF81" s="1480"/>
      <c r="IG81" s="1480"/>
      <c r="IH81" s="1480"/>
      <c r="II81" s="1480"/>
      <c r="IJ81" s="1480"/>
      <c r="IK81" s="1480"/>
      <c r="IL81" s="1480"/>
      <c r="IM81" s="1480"/>
      <c r="IN81" s="1480"/>
      <c r="IO81" s="1480"/>
      <c r="IP81" s="1480"/>
      <c r="IQ81" s="1480"/>
      <c r="IR81" s="1480"/>
      <c r="IS81" s="1480"/>
      <c r="IT81" s="1480"/>
      <c r="IU81" s="1480"/>
      <c r="IV81" s="1480"/>
      <c r="IW81" s="1480"/>
      <c r="IX81" s="1480">
        <f>IX75+IX76+IX77+IX78+IX79+IX80</f>
        <v>6250</v>
      </c>
      <c r="IY81" s="1480"/>
      <c r="IZ81" s="1480"/>
      <c r="JA81" s="1480"/>
      <c r="JB81" s="1480"/>
      <c r="JC81" s="1480"/>
      <c r="JD81" s="1480"/>
      <c r="JE81" s="1480"/>
      <c r="JF81" s="1480"/>
      <c r="JG81" s="1480"/>
      <c r="JH81" s="1480"/>
      <c r="JI81" s="1480"/>
      <c r="JJ81" s="1480"/>
      <c r="JK81" s="1480"/>
      <c r="JL81" s="1480"/>
      <c r="JM81" s="1480"/>
      <c r="JN81" s="1480"/>
      <c r="JO81" s="1480"/>
      <c r="JP81" s="1480"/>
      <c r="JQ81" s="1480"/>
      <c r="JR81" s="351"/>
      <c r="JS81" s="1365" t="s">
        <v>2835</v>
      </c>
      <c r="JT81" s="450" t="s">
        <v>2242</v>
      </c>
    </row>
    <row r="82" spans="1:280" ht="12.5" x14ac:dyDescent="0.25">
      <c r="A82" s="1367">
        <v>23</v>
      </c>
      <c r="B82" s="1478" t="str">
        <f t="shared" si="4"/>
        <v/>
      </c>
      <c r="C82" s="1435" t="s">
        <v>2836</v>
      </c>
      <c r="D82" s="1443" t="s">
        <v>2837</v>
      </c>
      <c r="E82" s="1480"/>
      <c r="F82" s="1480"/>
      <c r="G82" s="1480"/>
      <c r="H82" s="1480"/>
      <c r="I82" s="1480"/>
      <c r="J82" s="1480"/>
      <c r="K82" s="1480"/>
      <c r="L82" s="1480"/>
      <c r="M82" s="1480"/>
      <c r="N82" s="1480"/>
      <c r="O82" s="1480"/>
      <c r="P82" s="1480"/>
      <c r="Q82" s="1480"/>
      <c r="R82" s="1480"/>
      <c r="S82" s="1480"/>
      <c r="T82" s="1480"/>
      <c r="U82" s="1480"/>
      <c r="V82" s="1480"/>
      <c r="W82" s="1480"/>
      <c r="X82" s="1480"/>
      <c r="Y82" s="1480"/>
      <c r="Z82" s="1480"/>
      <c r="AA82" s="1480"/>
      <c r="AB82" s="1480"/>
      <c r="AC82" s="1480"/>
      <c r="AD82" s="1480"/>
      <c r="AE82" s="1480"/>
      <c r="AF82" s="1480"/>
      <c r="AG82" s="1480"/>
      <c r="AH82" s="1480"/>
      <c r="AI82" s="1480"/>
      <c r="AJ82" s="1480"/>
      <c r="AK82" s="1480"/>
      <c r="AL82" s="1480"/>
      <c r="AM82" s="1480"/>
      <c r="AN82" s="1480"/>
      <c r="AO82" s="1480"/>
      <c r="AP82" s="1480"/>
      <c r="AQ82" s="1480"/>
      <c r="AR82" s="1480"/>
      <c r="AS82" s="1480"/>
      <c r="AT82" s="1480"/>
      <c r="AU82" s="1480"/>
      <c r="AV82" s="1480"/>
      <c r="AW82" s="1480"/>
      <c r="AX82" s="1480"/>
      <c r="AY82" s="1480"/>
      <c r="AZ82" s="1480"/>
      <c r="BA82" s="1480"/>
      <c r="BB82" s="1480"/>
      <c r="BC82" s="1480"/>
      <c r="BD82" s="1480"/>
      <c r="BE82" s="1480"/>
      <c r="BF82" s="1480"/>
      <c r="BG82" s="1480"/>
      <c r="BH82" s="1480"/>
      <c r="BI82" s="1480"/>
      <c r="BJ82" s="1480"/>
      <c r="BK82" s="1480"/>
      <c r="BL82" s="1480"/>
      <c r="BM82" s="1480"/>
      <c r="BN82" s="1480"/>
      <c r="BO82" s="1480"/>
      <c r="BP82" s="1480"/>
      <c r="BQ82" s="1480"/>
      <c r="BR82" s="1480"/>
      <c r="BS82" s="1480"/>
      <c r="BT82" s="1480"/>
      <c r="BU82" s="1480"/>
      <c r="BV82" s="1480"/>
      <c r="BW82" s="1480"/>
      <c r="BX82" s="1480"/>
      <c r="BY82" s="1480"/>
      <c r="BZ82" s="1480"/>
      <c r="CA82" s="1480"/>
      <c r="CB82" s="1480"/>
      <c r="CC82" s="1480"/>
      <c r="CD82" s="1480"/>
      <c r="CE82" s="1480"/>
      <c r="CF82" s="1480"/>
      <c r="CG82" s="1480"/>
      <c r="CH82" s="1480"/>
      <c r="CI82" s="1480"/>
      <c r="CJ82" s="1480"/>
      <c r="CK82" s="1480"/>
      <c r="CL82" s="1480"/>
      <c r="CM82" s="1480"/>
      <c r="CN82" s="1480"/>
      <c r="CO82" s="1480"/>
      <c r="CP82" s="1480"/>
      <c r="CQ82" s="1480"/>
      <c r="CR82" s="1480"/>
      <c r="CS82" s="1480"/>
      <c r="CT82" s="1480">
        <f>IF(CT74+CT81&lt;8500,CT74-CT67,CT74+CT81)</f>
        <v>22417</v>
      </c>
      <c r="CU82" s="1480"/>
      <c r="CV82" s="1480"/>
      <c r="CW82" s="1480"/>
      <c r="CX82" s="1480"/>
      <c r="CY82" s="1480"/>
      <c r="CZ82" s="1480"/>
      <c r="DA82" s="1480"/>
      <c r="DB82" s="1480"/>
      <c r="DC82" s="1480"/>
      <c r="DD82" s="1480"/>
      <c r="DE82" s="1480"/>
      <c r="DF82" s="1480"/>
      <c r="DG82" s="1480"/>
      <c r="DH82" s="1480"/>
      <c r="DI82" s="1480"/>
      <c r="DJ82" s="1480"/>
      <c r="DK82" s="1480"/>
      <c r="DL82" s="1480"/>
      <c r="DM82" s="1480"/>
      <c r="DN82" s="1480"/>
      <c r="DO82" s="1480"/>
      <c r="DP82" s="1480"/>
      <c r="DQ82" s="1480"/>
      <c r="DR82" s="1480"/>
      <c r="DS82" s="1480"/>
      <c r="DT82" s="1480"/>
      <c r="DU82" s="1480"/>
      <c r="DV82" s="1480"/>
      <c r="DW82" s="1480"/>
      <c r="DX82" s="1480"/>
      <c r="DY82" s="1480"/>
      <c r="DZ82" s="1480"/>
      <c r="EA82" s="1480">
        <f>IF(EA74+EA81&lt;8500,EA74-EA67,EA74+EA81)</f>
        <v>4500</v>
      </c>
      <c r="EB82" s="1480">
        <f>IF(EB74+EB81&lt;8500,EB74-EB67,EB74+EB81)</f>
        <v>21885</v>
      </c>
      <c r="EC82" s="1480">
        <f>IF(EC74+EC81&lt;8500,EC74-EC67,EC74+EC81)</f>
        <v>22417</v>
      </c>
      <c r="ED82" s="1480"/>
      <c r="EE82" s="1480"/>
      <c r="EF82" s="1480"/>
      <c r="EG82" s="1480"/>
      <c r="EH82" s="1480"/>
      <c r="EI82" s="1480"/>
      <c r="EJ82" s="1480"/>
      <c r="EK82" s="1480"/>
      <c r="EL82" s="1480"/>
      <c r="EM82" s="1480"/>
      <c r="EN82" s="1480"/>
      <c r="EO82" s="1480"/>
      <c r="EP82" s="1480"/>
      <c r="EQ82" s="1480"/>
      <c r="ER82" s="1480"/>
      <c r="ES82" s="1480"/>
      <c r="ET82" s="1480"/>
      <c r="EU82" s="1480"/>
      <c r="EV82" s="1480"/>
      <c r="EW82" s="1480"/>
      <c r="EX82" s="1480"/>
      <c r="EY82" s="1480"/>
      <c r="EZ82" s="1480"/>
      <c r="FA82" s="1480"/>
      <c r="FB82" s="1480">
        <f>IF(FB74+FB81&lt;8500,FB74-FB67,FB74+FB81)</f>
        <v>22417</v>
      </c>
      <c r="FC82" s="1480"/>
      <c r="FD82" s="1480"/>
      <c r="FE82" s="1480"/>
      <c r="FF82" s="1480"/>
      <c r="FG82" s="1480"/>
      <c r="FH82" s="1480"/>
      <c r="FI82" s="1480"/>
      <c r="FJ82" s="1480"/>
      <c r="FK82" s="1480"/>
      <c r="FL82" s="1480"/>
      <c r="FM82" s="1480"/>
      <c r="FN82" s="1480"/>
      <c r="FO82" s="1480"/>
      <c r="FP82" s="1480"/>
      <c r="FQ82" s="1480"/>
      <c r="FR82" s="1480"/>
      <c r="FS82" s="1480"/>
      <c r="FT82" s="1480"/>
      <c r="FU82" s="1480"/>
      <c r="FV82" s="1480"/>
      <c r="FW82" s="1480"/>
      <c r="FX82" s="1480"/>
      <c r="FY82" s="1480"/>
      <c r="FZ82" s="1480"/>
      <c r="GA82" s="1480"/>
      <c r="GB82" s="1480"/>
      <c r="GC82" s="1480"/>
      <c r="GD82" s="1480"/>
      <c r="GE82" s="1480"/>
      <c r="GF82" s="1480"/>
      <c r="GG82" s="1480"/>
      <c r="GH82" s="1480"/>
      <c r="GI82" s="1480"/>
      <c r="GJ82" s="1480"/>
      <c r="GK82" s="1480"/>
      <c r="GL82" s="1480"/>
      <c r="GM82" s="1480"/>
      <c r="GN82" s="1480"/>
      <c r="GO82" s="1480"/>
      <c r="GP82" s="1480"/>
      <c r="GQ82" s="1480"/>
      <c r="GR82" s="1480"/>
      <c r="GS82" s="1480"/>
      <c r="GT82" s="1480"/>
      <c r="GU82" s="1480"/>
      <c r="GV82" s="1480"/>
      <c r="GW82" s="1480"/>
      <c r="GX82" s="1480"/>
      <c r="GY82" s="1480"/>
      <c r="GZ82" s="1480"/>
      <c r="HA82" s="1480"/>
      <c r="HB82" s="1480"/>
      <c r="HC82" s="1480"/>
      <c r="HD82" s="1480"/>
      <c r="HE82" s="1480"/>
      <c r="HF82" s="1480"/>
      <c r="HG82" s="1480"/>
      <c r="HH82" s="1480"/>
      <c r="HI82" s="1480"/>
      <c r="HJ82" s="1480"/>
      <c r="HK82" s="1480"/>
      <c r="HL82" s="1480"/>
      <c r="HM82" s="1480"/>
      <c r="HN82" s="1480"/>
      <c r="HO82" s="1480"/>
      <c r="HP82" s="1480"/>
      <c r="HQ82" s="1480"/>
      <c r="HR82" s="1480"/>
      <c r="HS82" s="1480"/>
      <c r="HT82" s="1480"/>
      <c r="HU82" s="1480"/>
      <c r="HV82" s="1480"/>
      <c r="HW82" s="1480"/>
      <c r="HX82" s="1480"/>
      <c r="HY82" s="1480"/>
      <c r="HZ82" s="1480"/>
      <c r="IA82" s="1480"/>
      <c r="IB82" s="1480"/>
      <c r="IC82" s="1480"/>
      <c r="ID82" s="1480"/>
      <c r="IE82" s="1480"/>
      <c r="IF82" s="1480"/>
      <c r="IG82" s="1480"/>
      <c r="IH82" s="1480"/>
      <c r="II82" s="1480"/>
      <c r="IJ82" s="1480"/>
      <c r="IK82" s="1480"/>
      <c r="IL82" s="1480"/>
      <c r="IM82" s="1480"/>
      <c r="IN82" s="1480"/>
      <c r="IO82" s="1480"/>
      <c r="IP82" s="1480"/>
      <c r="IQ82" s="1480"/>
      <c r="IR82" s="1480"/>
      <c r="IS82" s="1480"/>
      <c r="IT82" s="1480"/>
      <c r="IU82" s="1480"/>
      <c r="IV82" s="1480"/>
      <c r="IW82" s="1480"/>
      <c r="IX82" s="1480">
        <f>IF(IX74+IX81&lt;8500,IX74-IX67,IX74+IX81)</f>
        <v>15049</v>
      </c>
      <c r="IY82" s="1480"/>
      <c r="IZ82" s="1480"/>
      <c r="JA82" s="1480"/>
      <c r="JB82" s="1480"/>
      <c r="JC82" s="1480"/>
      <c r="JD82" s="1480"/>
      <c r="JE82" s="1480"/>
      <c r="JF82" s="1480"/>
      <c r="JG82" s="1480"/>
      <c r="JH82" s="1480"/>
      <c r="JI82" s="1480"/>
      <c r="JJ82" s="1480"/>
      <c r="JK82" s="1480"/>
      <c r="JL82" s="1480"/>
      <c r="JM82" s="1480"/>
      <c r="JN82" s="1480"/>
      <c r="JO82" s="1480"/>
      <c r="JP82" s="1480"/>
      <c r="JQ82" s="1480"/>
      <c r="JR82" s="351"/>
      <c r="JS82" s="1384"/>
      <c r="JT82" s="450" t="s">
        <v>2224</v>
      </c>
    </row>
    <row r="83" spans="1:280" ht="12.5" x14ac:dyDescent="0.25">
      <c r="A83" s="1367">
        <v>24</v>
      </c>
      <c r="B83" s="1478" t="str">
        <f t="shared" si="4"/>
        <v/>
      </c>
      <c r="C83" s="1435" t="s">
        <v>2838</v>
      </c>
      <c r="D83" s="1443" t="s">
        <v>2839</v>
      </c>
      <c r="E83" s="1453"/>
      <c r="F83" s="1453"/>
      <c r="G83" s="1453"/>
      <c r="H83" s="1453"/>
      <c r="I83" s="1453"/>
      <c r="J83" s="1453"/>
      <c r="K83" s="1453"/>
      <c r="L83" s="1453"/>
      <c r="M83" s="1453"/>
      <c r="N83" s="1453"/>
      <c r="O83" s="1453"/>
      <c r="P83" s="1453"/>
      <c r="Q83" s="1453"/>
      <c r="R83" s="1453"/>
      <c r="S83" s="1453"/>
      <c r="T83" s="1453"/>
      <c r="U83" s="1453"/>
      <c r="V83" s="1453"/>
      <c r="W83" s="1453"/>
      <c r="X83" s="1453"/>
      <c r="Y83" s="1453"/>
      <c r="Z83" s="1453"/>
      <c r="AA83" s="1453"/>
      <c r="AB83" s="1453"/>
      <c r="AC83" s="1453"/>
      <c r="AD83" s="1453"/>
      <c r="AE83" s="1453"/>
      <c r="AF83" s="1453"/>
      <c r="AG83" s="1453"/>
      <c r="AH83" s="1453"/>
      <c r="AI83" s="1453"/>
      <c r="AJ83" s="1453"/>
      <c r="AK83" s="1453"/>
      <c r="AL83" s="1453"/>
      <c r="AM83" s="1453"/>
      <c r="AN83" s="1453"/>
      <c r="AO83" s="1453"/>
      <c r="AP83" s="1453"/>
      <c r="AQ83" s="1453"/>
      <c r="AR83" s="1453"/>
      <c r="AS83" s="1453"/>
      <c r="AT83" s="1453"/>
      <c r="AU83" s="1453"/>
      <c r="AV83" s="1453"/>
      <c r="AW83" s="1453"/>
      <c r="AX83" s="1453"/>
      <c r="AY83" s="1453"/>
      <c r="AZ83" s="1453"/>
      <c r="BA83" s="1453"/>
      <c r="BB83" s="1453"/>
      <c r="BC83" s="1453"/>
      <c r="BD83" s="1453"/>
      <c r="BE83" s="1453"/>
      <c r="BF83" s="1453"/>
      <c r="BG83" s="1453"/>
      <c r="BH83" s="1453"/>
      <c r="BI83" s="1453"/>
      <c r="BJ83" s="1453"/>
      <c r="BK83" s="1453"/>
      <c r="BL83" s="1453"/>
      <c r="BM83" s="1453"/>
      <c r="BN83" s="1453"/>
      <c r="BO83" s="1453"/>
      <c r="BP83" s="1453"/>
      <c r="BQ83" s="1453"/>
      <c r="BR83" s="1453"/>
      <c r="BS83" s="1453"/>
      <c r="BT83" s="1453"/>
      <c r="BU83" s="1453"/>
      <c r="BV83" s="1453"/>
      <c r="BW83" s="1453"/>
      <c r="BX83" s="1453"/>
      <c r="BY83" s="1453"/>
      <c r="BZ83" s="1453"/>
      <c r="CA83" s="1453"/>
      <c r="CB83" s="1453"/>
      <c r="CC83" s="1453"/>
      <c r="CD83" s="1453"/>
      <c r="CE83" s="1453"/>
      <c r="CF83" s="1453"/>
      <c r="CG83" s="1453"/>
      <c r="CH83" s="1453"/>
      <c r="CI83" s="1453"/>
      <c r="CJ83" s="1453"/>
      <c r="CK83" s="1453"/>
      <c r="CL83" s="1453"/>
      <c r="CM83" s="1453"/>
      <c r="CN83" s="1453"/>
      <c r="CO83" s="1453"/>
      <c r="CP83" s="1453"/>
      <c r="CQ83" s="1453"/>
      <c r="CR83" s="1453"/>
      <c r="CS83" s="1453"/>
      <c r="CT83" s="1453"/>
      <c r="CU83" s="1453"/>
      <c r="CV83" s="1453"/>
      <c r="CW83" s="1453"/>
      <c r="CX83" s="1453"/>
      <c r="CY83" s="1453"/>
      <c r="CZ83" s="1453"/>
      <c r="DA83" s="1453"/>
      <c r="DB83" s="1453"/>
      <c r="DC83" s="1453"/>
      <c r="DD83" s="1453"/>
      <c r="DE83" s="1453"/>
      <c r="DF83" s="1453"/>
      <c r="DG83" s="1453"/>
      <c r="DH83" s="1453"/>
      <c r="DI83" s="1453"/>
      <c r="DJ83" s="1453"/>
      <c r="DK83" s="1453"/>
      <c r="DL83" s="1453"/>
      <c r="DM83" s="1453"/>
      <c r="DN83" s="1453"/>
      <c r="DO83" s="1453"/>
      <c r="DP83" s="1453"/>
      <c r="DQ83" s="1453"/>
      <c r="DR83" s="1453"/>
      <c r="DS83" s="1453"/>
      <c r="DT83" s="1453"/>
      <c r="DU83" s="1453"/>
      <c r="DV83" s="1453"/>
      <c r="DW83" s="1453"/>
      <c r="DX83" s="1453"/>
      <c r="DY83" s="1453"/>
      <c r="DZ83" s="1453"/>
      <c r="EA83" s="1453"/>
      <c r="EB83" s="1453"/>
      <c r="EC83" s="1453"/>
      <c r="ED83" s="1453"/>
      <c r="EE83" s="1453"/>
      <c r="EF83" s="1453"/>
      <c r="EG83" s="1453"/>
      <c r="EH83" s="1453"/>
      <c r="EI83" s="1453"/>
      <c r="EJ83" s="1453"/>
      <c r="EK83" s="1453"/>
      <c r="EL83" s="1453"/>
      <c r="EM83" s="1453"/>
      <c r="EN83" s="1453"/>
      <c r="EO83" s="1453"/>
      <c r="EP83" s="1453"/>
      <c r="EQ83" s="1453"/>
      <c r="ER83" s="1453"/>
      <c r="ES83" s="1453"/>
      <c r="ET83" s="1453"/>
      <c r="EU83" s="1453"/>
      <c r="EV83" s="1453"/>
      <c r="EW83" s="1453"/>
      <c r="EX83" s="1453"/>
      <c r="EY83" s="1453"/>
      <c r="EZ83" s="1453"/>
      <c r="FA83" s="1453"/>
      <c r="FB83" s="1453"/>
      <c r="FC83" s="1453"/>
      <c r="FD83" s="1453"/>
      <c r="FE83" s="1453"/>
      <c r="FF83" s="1453"/>
      <c r="FG83" s="1453"/>
      <c r="FH83" s="1453"/>
      <c r="FI83" s="1453"/>
      <c r="FJ83" s="1453"/>
      <c r="FK83" s="1453"/>
      <c r="FL83" s="1453"/>
      <c r="FM83" s="1453"/>
      <c r="FN83" s="1453"/>
      <c r="FO83" s="1453"/>
      <c r="FP83" s="1453"/>
      <c r="FQ83" s="1453"/>
      <c r="FR83" s="1453"/>
      <c r="FS83" s="1453"/>
      <c r="FT83" s="1453"/>
      <c r="FU83" s="1453"/>
      <c r="FV83" s="1453"/>
      <c r="FW83" s="1453"/>
      <c r="FX83" s="1453"/>
      <c r="FY83" s="1453"/>
      <c r="FZ83" s="1453"/>
      <c r="GA83" s="1453"/>
      <c r="GB83" s="1453"/>
      <c r="GC83" s="1453"/>
      <c r="GD83" s="1453"/>
      <c r="GE83" s="1453"/>
      <c r="GF83" s="1453"/>
      <c r="GG83" s="1453"/>
      <c r="GH83" s="1453"/>
      <c r="GI83" s="1453"/>
      <c r="GJ83" s="1453"/>
      <c r="GK83" s="1453"/>
      <c r="GL83" s="1453"/>
      <c r="GM83" s="1453"/>
      <c r="GN83" s="1453"/>
      <c r="GO83" s="1453"/>
      <c r="GP83" s="1453"/>
      <c r="GQ83" s="1453"/>
      <c r="GR83" s="1453"/>
      <c r="GS83" s="1453"/>
      <c r="GT83" s="1453"/>
      <c r="GU83" s="1453"/>
      <c r="GV83" s="1453"/>
      <c r="GW83" s="1453"/>
      <c r="GX83" s="1453"/>
      <c r="GY83" s="1453"/>
      <c r="GZ83" s="1453"/>
      <c r="HA83" s="1453"/>
      <c r="HB83" s="1453"/>
      <c r="HC83" s="1453"/>
      <c r="HD83" s="1453"/>
      <c r="HE83" s="1453"/>
      <c r="HF83" s="1453"/>
      <c r="HG83" s="1453"/>
      <c r="HH83" s="1453"/>
      <c r="HI83" s="1453"/>
      <c r="HJ83" s="1453"/>
      <c r="HK83" s="1453"/>
      <c r="HL83" s="1453"/>
      <c r="HM83" s="1453"/>
      <c r="HN83" s="1453"/>
      <c r="HO83" s="1453"/>
      <c r="HP83" s="1453"/>
      <c r="HQ83" s="1453"/>
      <c r="HR83" s="1453"/>
      <c r="HS83" s="1453"/>
      <c r="HT83" s="1453"/>
      <c r="HU83" s="1453"/>
      <c r="HV83" s="1453"/>
      <c r="HW83" s="1453"/>
      <c r="HX83" s="1453"/>
      <c r="HY83" s="1453"/>
      <c r="HZ83" s="1453"/>
      <c r="IA83" s="1453"/>
      <c r="IB83" s="1453"/>
      <c r="IC83" s="1453"/>
      <c r="ID83" s="1453"/>
      <c r="IE83" s="1453"/>
      <c r="IF83" s="1453"/>
      <c r="IG83" s="1453"/>
      <c r="IH83" s="1453"/>
      <c r="II83" s="1453"/>
      <c r="IJ83" s="1453"/>
      <c r="IK83" s="1453"/>
      <c r="IL83" s="1453"/>
      <c r="IM83" s="1453"/>
      <c r="IN83" s="1453"/>
      <c r="IO83" s="1453"/>
      <c r="IP83" s="1453"/>
      <c r="IQ83" s="1453"/>
      <c r="IR83" s="1453"/>
      <c r="IS83" s="1453"/>
      <c r="IT83" s="1453"/>
      <c r="IU83" s="1453"/>
      <c r="IV83" s="1453"/>
      <c r="IW83" s="1453"/>
      <c r="IX83" s="1453">
        <v>380</v>
      </c>
      <c r="IY83" s="1453"/>
      <c r="IZ83" s="1453"/>
      <c r="JA83" s="1453"/>
      <c r="JB83" s="1453"/>
      <c r="JC83" s="1453"/>
      <c r="JD83" s="1453"/>
      <c r="JE83" s="1453"/>
      <c r="JF83" s="1453"/>
      <c r="JG83" s="1453"/>
      <c r="JH83" s="1453"/>
      <c r="JI83" s="1453"/>
      <c r="JJ83" s="1453"/>
      <c r="JK83" s="1453"/>
      <c r="JL83" s="1453"/>
      <c r="JM83" s="1453"/>
      <c r="JN83" s="1453"/>
      <c r="JO83" s="1453"/>
      <c r="JP83" s="1453"/>
      <c r="JQ83" s="1453"/>
      <c r="JR83" s="351"/>
      <c r="JS83" s="1470"/>
      <c r="JT83" s="450" t="s">
        <v>2242</v>
      </c>
    </row>
    <row r="84" spans="1:280" ht="12.5" x14ac:dyDescent="0.25">
      <c r="A84" s="1367">
        <v>25</v>
      </c>
      <c r="B84" s="1478" t="str">
        <f t="shared" si="4"/>
        <v/>
      </c>
      <c r="C84" s="1435" t="s">
        <v>2840</v>
      </c>
      <c r="D84" s="1443" t="s">
        <v>2841</v>
      </c>
      <c r="E84" s="1453"/>
      <c r="F84" s="1453"/>
      <c r="G84" s="1453"/>
      <c r="H84" s="1453"/>
      <c r="I84" s="1453"/>
      <c r="J84" s="1453"/>
      <c r="K84" s="1453"/>
      <c r="L84" s="1453"/>
      <c r="M84" s="1453"/>
      <c r="N84" s="1453"/>
      <c r="O84" s="1453"/>
      <c r="P84" s="1453"/>
      <c r="Q84" s="1453"/>
      <c r="R84" s="1453"/>
      <c r="S84" s="1453"/>
      <c r="T84" s="1453"/>
      <c r="U84" s="1453"/>
      <c r="V84" s="1453"/>
      <c r="W84" s="1453"/>
      <c r="X84" s="1453"/>
      <c r="Y84" s="1453"/>
      <c r="Z84" s="1453"/>
      <c r="AA84" s="1453"/>
      <c r="AB84" s="1453"/>
      <c r="AC84" s="1453"/>
      <c r="AD84" s="1453"/>
      <c r="AE84" s="1453"/>
      <c r="AF84" s="1453"/>
      <c r="AG84" s="1453"/>
      <c r="AH84" s="1453"/>
      <c r="AI84" s="1453"/>
      <c r="AJ84" s="1453"/>
      <c r="AK84" s="1453"/>
      <c r="AL84" s="1453"/>
      <c r="AM84" s="1453"/>
      <c r="AN84" s="1453"/>
      <c r="AO84" s="1453"/>
      <c r="AP84" s="1453"/>
      <c r="AQ84" s="1453"/>
      <c r="AR84" s="1453"/>
      <c r="AS84" s="1453"/>
      <c r="AT84" s="1453"/>
      <c r="AU84" s="1453"/>
      <c r="AV84" s="1453"/>
      <c r="AW84" s="1453"/>
      <c r="AX84" s="1453"/>
      <c r="AY84" s="1453"/>
      <c r="AZ84" s="1453"/>
      <c r="BA84" s="1453"/>
      <c r="BB84" s="1453"/>
      <c r="BC84" s="1453"/>
      <c r="BD84" s="1453"/>
      <c r="BE84" s="1453"/>
      <c r="BF84" s="1453"/>
      <c r="BG84" s="1453"/>
      <c r="BH84" s="1453"/>
      <c r="BI84" s="1453"/>
      <c r="BJ84" s="1453"/>
      <c r="BK84" s="1453"/>
      <c r="BL84" s="1453"/>
      <c r="BM84" s="1453"/>
      <c r="BN84" s="1453"/>
      <c r="BO84" s="1453"/>
      <c r="BP84" s="1453"/>
      <c r="BQ84" s="1453"/>
      <c r="BR84" s="1453"/>
      <c r="BS84" s="1453"/>
      <c r="BT84" s="1453"/>
      <c r="BU84" s="1453"/>
      <c r="BV84" s="1453"/>
      <c r="BW84" s="1453"/>
      <c r="BX84" s="1453"/>
      <c r="BY84" s="1453"/>
      <c r="BZ84" s="1453"/>
      <c r="CA84" s="1453"/>
      <c r="CB84" s="1453"/>
      <c r="CC84" s="1453"/>
      <c r="CD84" s="1453"/>
      <c r="CE84" s="1453"/>
      <c r="CF84" s="1453"/>
      <c r="CG84" s="1453"/>
      <c r="CH84" s="1453"/>
      <c r="CI84" s="1453"/>
      <c r="CJ84" s="1453"/>
      <c r="CK84" s="1453"/>
      <c r="CL84" s="1453"/>
      <c r="CM84" s="1453"/>
      <c r="CN84" s="1453"/>
      <c r="CO84" s="1453"/>
      <c r="CP84" s="1453"/>
      <c r="CQ84" s="1453"/>
      <c r="CR84" s="1453"/>
      <c r="CS84" s="1453"/>
      <c r="CT84" s="1453"/>
      <c r="CU84" s="1453"/>
      <c r="CV84" s="1453"/>
      <c r="CW84" s="1453"/>
      <c r="CX84" s="1453"/>
      <c r="CY84" s="1453"/>
      <c r="CZ84" s="1453"/>
      <c r="DA84" s="1453"/>
      <c r="DB84" s="1453"/>
      <c r="DC84" s="1453"/>
      <c r="DD84" s="1453"/>
      <c r="DE84" s="1453"/>
      <c r="DF84" s="1453"/>
      <c r="DG84" s="1453"/>
      <c r="DH84" s="1453"/>
      <c r="DI84" s="1453"/>
      <c r="DJ84" s="1453"/>
      <c r="DK84" s="1453"/>
      <c r="DL84" s="1453"/>
      <c r="DM84" s="1453"/>
      <c r="DN84" s="1453"/>
      <c r="DO84" s="1453"/>
      <c r="DP84" s="1453"/>
      <c r="DQ84" s="1453"/>
      <c r="DR84" s="1453"/>
      <c r="DS84" s="1453"/>
      <c r="DT84" s="1453"/>
      <c r="DU84" s="1453"/>
      <c r="DV84" s="1453"/>
      <c r="DW84" s="1453"/>
      <c r="DX84" s="1453"/>
      <c r="DY84" s="1453"/>
      <c r="DZ84" s="1453"/>
      <c r="EA84" s="1453"/>
      <c r="EB84" s="1453">
        <v>620</v>
      </c>
      <c r="EC84" s="1453"/>
      <c r="ED84" s="1453"/>
      <c r="EE84" s="1453"/>
      <c r="EF84" s="1453"/>
      <c r="EG84" s="1453"/>
      <c r="EH84" s="1453"/>
      <c r="EI84" s="1453"/>
      <c r="EJ84" s="1453"/>
      <c r="EK84" s="1453"/>
      <c r="EL84" s="1453"/>
      <c r="EM84" s="1453"/>
      <c r="EN84" s="1453"/>
      <c r="EO84" s="1453"/>
      <c r="EP84" s="1453"/>
      <c r="EQ84" s="1453"/>
      <c r="ER84" s="1453"/>
      <c r="ES84" s="1453"/>
      <c r="ET84" s="1453"/>
      <c r="EU84" s="1453"/>
      <c r="EV84" s="1453"/>
      <c r="EW84" s="1453"/>
      <c r="EX84" s="1453"/>
      <c r="EY84" s="1453"/>
      <c r="EZ84" s="1453"/>
      <c r="FA84" s="1453"/>
      <c r="FB84" s="1453"/>
      <c r="FC84" s="1453"/>
      <c r="FD84" s="1453"/>
      <c r="FE84" s="1453"/>
      <c r="FF84" s="1453"/>
      <c r="FG84" s="1453"/>
      <c r="FH84" s="1453"/>
      <c r="FI84" s="1453"/>
      <c r="FJ84" s="1453"/>
      <c r="FK84" s="1453"/>
      <c r="FL84" s="1453"/>
      <c r="FM84" s="1453"/>
      <c r="FN84" s="1453"/>
      <c r="FO84" s="1453"/>
      <c r="FP84" s="1453"/>
      <c r="FQ84" s="1453"/>
      <c r="FR84" s="1453"/>
      <c r="FS84" s="1453"/>
      <c r="FT84" s="1453"/>
      <c r="FU84" s="1453"/>
      <c r="FV84" s="1453"/>
      <c r="FW84" s="1453"/>
      <c r="FX84" s="1453"/>
      <c r="FY84" s="1453"/>
      <c r="FZ84" s="1453"/>
      <c r="GA84" s="1453"/>
      <c r="GB84" s="1453"/>
      <c r="GC84" s="1453"/>
      <c r="GD84" s="1453"/>
      <c r="GE84" s="1453"/>
      <c r="GF84" s="1453"/>
      <c r="GG84" s="1453"/>
      <c r="GH84" s="1453"/>
      <c r="GI84" s="1453"/>
      <c r="GJ84" s="1453"/>
      <c r="GK84" s="1453"/>
      <c r="GL84" s="1453"/>
      <c r="GM84" s="1453"/>
      <c r="GN84" s="1453"/>
      <c r="GO84" s="1453"/>
      <c r="GP84" s="1453"/>
      <c r="GQ84" s="1453"/>
      <c r="GR84" s="1453"/>
      <c r="GS84" s="1453"/>
      <c r="GT84" s="1453"/>
      <c r="GU84" s="1453"/>
      <c r="GV84" s="1453"/>
      <c r="GW84" s="1453"/>
      <c r="GX84" s="1453"/>
      <c r="GY84" s="1453"/>
      <c r="GZ84" s="1453"/>
      <c r="HA84" s="1453"/>
      <c r="HB84" s="1453"/>
      <c r="HC84" s="1453"/>
      <c r="HD84" s="1453"/>
      <c r="HE84" s="1453"/>
      <c r="HF84" s="1453"/>
      <c r="HG84" s="1453"/>
      <c r="HH84" s="1453"/>
      <c r="HI84" s="1453"/>
      <c r="HJ84" s="1453"/>
      <c r="HK84" s="1453"/>
      <c r="HL84" s="1453"/>
      <c r="HM84" s="1453"/>
      <c r="HN84" s="1453"/>
      <c r="HO84" s="1453"/>
      <c r="HP84" s="1453"/>
      <c r="HQ84" s="1453"/>
      <c r="HR84" s="1453"/>
      <c r="HS84" s="1453"/>
      <c r="HT84" s="1453"/>
      <c r="HU84" s="1453"/>
      <c r="HV84" s="1453"/>
      <c r="HW84" s="1453"/>
      <c r="HX84" s="1453"/>
      <c r="HY84" s="1453"/>
      <c r="HZ84" s="1453"/>
      <c r="IA84" s="1453"/>
      <c r="IB84" s="1453"/>
      <c r="IC84" s="1453"/>
      <c r="ID84" s="1453"/>
      <c r="IE84" s="1453"/>
      <c r="IF84" s="1453"/>
      <c r="IG84" s="1453"/>
      <c r="IH84" s="1453"/>
      <c r="II84" s="1453"/>
      <c r="IJ84" s="1453"/>
      <c r="IK84" s="1453"/>
      <c r="IL84" s="1453"/>
      <c r="IM84" s="1453"/>
      <c r="IN84" s="1453"/>
      <c r="IO84" s="1453"/>
      <c r="IP84" s="1453"/>
      <c r="IQ84" s="1453"/>
      <c r="IR84" s="1453"/>
      <c r="IS84" s="1453"/>
      <c r="IT84" s="1453"/>
      <c r="IU84" s="1453"/>
      <c r="IV84" s="1453"/>
      <c r="IW84" s="1453"/>
      <c r="IX84" s="1453">
        <v>414</v>
      </c>
      <c r="IY84" s="1453"/>
      <c r="IZ84" s="1453"/>
      <c r="JA84" s="1453"/>
      <c r="JB84" s="1453"/>
      <c r="JC84" s="1453"/>
      <c r="JD84" s="1453"/>
      <c r="JE84" s="1453"/>
      <c r="JF84" s="1453"/>
      <c r="JG84" s="1453"/>
      <c r="JH84" s="1453"/>
      <c r="JI84" s="1453"/>
      <c r="JJ84" s="1453"/>
      <c r="JK84" s="1453"/>
      <c r="JL84" s="1453"/>
      <c r="JM84" s="1453"/>
      <c r="JN84" s="1453"/>
      <c r="JO84" s="1453"/>
      <c r="JP84" s="1453"/>
      <c r="JQ84" s="1453"/>
      <c r="JR84" s="351"/>
      <c r="JS84" s="1470"/>
      <c r="JT84" s="450" t="s">
        <v>2242</v>
      </c>
    </row>
    <row r="85" spans="1:280" ht="12.5" x14ac:dyDescent="0.25">
      <c r="A85" s="1367">
        <v>26</v>
      </c>
      <c r="B85" s="1478" t="str">
        <f t="shared" si="4"/>
        <v/>
      </c>
      <c r="C85" s="1435" t="s">
        <v>2842</v>
      </c>
      <c r="D85" s="1443" t="s">
        <v>2843</v>
      </c>
      <c r="E85" s="1453"/>
      <c r="F85" s="1453"/>
      <c r="G85" s="1453"/>
      <c r="H85" s="1453"/>
      <c r="I85" s="1453"/>
      <c r="J85" s="1453"/>
      <c r="K85" s="1453"/>
      <c r="L85" s="1453"/>
      <c r="M85" s="1453"/>
      <c r="N85" s="1453"/>
      <c r="O85" s="1453"/>
      <c r="P85" s="1453"/>
      <c r="Q85" s="1453"/>
      <c r="R85" s="1453"/>
      <c r="S85" s="1453"/>
      <c r="T85" s="1453"/>
      <c r="U85" s="1453"/>
      <c r="V85" s="1453"/>
      <c r="W85" s="1453"/>
      <c r="X85" s="1453"/>
      <c r="Y85" s="1453"/>
      <c r="Z85" s="1453"/>
      <c r="AA85" s="1453"/>
      <c r="AB85" s="1453"/>
      <c r="AC85" s="1453"/>
      <c r="AD85" s="1453"/>
      <c r="AE85" s="1453"/>
      <c r="AF85" s="1453"/>
      <c r="AG85" s="1453"/>
      <c r="AH85" s="1453"/>
      <c r="AI85" s="1453"/>
      <c r="AJ85" s="1453"/>
      <c r="AK85" s="1453"/>
      <c r="AL85" s="1453"/>
      <c r="AM85" s="1453"/>
      <c r="AN85" s="1453"/>
      <c r="AO85" s="1453"/>
      <c r="AP85" s="1453"/>
      <c r="AQ85" s="1453"/>
      <c r="AR85" s="1453"/>
      <c r="AS85" s="1453"/>
      <c r="AT85" s="1453"/>
      <c r="AU85" s="1453"/>
      <c r="AV85" s="1453"/>
      <c r="AW85" s="1453"/>
      <c r="AX85" s="1453"/>
      <c r="AY85" s="1453"/>
      <c r="AZ85" s="1453"/>
      <c r="BA85" s="1453"/>
      <c r="BB85" s="1453"/>
      <c r="BC85" s="1453"/>
      <c r="BD85" s="1453"/>
      <c r="BE85" s="1453"/>
      <c r="BF85" s="1453"/>
      <c r="BG85" s="1453"/>
      <c r="BH85" s="1453"/>
      <c r="BI85" s="1453"/>
      <c r="BJ85" s="1453"/>
      <c r="BK85" s="1453"/>
      <c r="BL85" s="1453"/>
      <c r="BM85" s="1453"/>
      <c r="BN85" s="1453"/>
      <c r="BO85" s="1453"/>
      <c r="BP85" s="1453"/>
      <c r="BQ85" s="1453"/>
      <c r="BR85" s="1453"/>
      <c r="BS85" s="1453"/>
      <c r="BT85" s="1453"/>
      <c r="BU85" s="1453"/>
      <c r="BV85" s="1453"/>
      <c r="BW85" s="1453"/>
      <c r="BX85" s="1453"/>
      <c r="BY85" s="1453"/>
      <c r="BZ85" s="1453"/>
      <c r="CA85" s="1453"/>
      <c r="CB85" s="1453"/>
      <c r="CC85" s="1453"/>
      <c r="CD85" s="1453"/>
      <c r="CE85" s="1453"/>
      <c r="CF85" s="1453"/>
      <c r="CG85" s="1453"/>
      <c r="CH85" s="1453"/>
      <c r="CI85" s="1453"/>
      <c r="CJ85" s="1453"/>
      <c r="CK85" s="1453"/>
      <c r="CL85" s="1453"/>
      <c r="CM85" s="1453"/>
      <c r="CN85" s="1453"/>
      <c r="CO85" s="1453"/>
      <c r="CP85" s="1453"/>
      <c r="CQ85" s="1453"/>
      <c r="CR85" s="1453"/>
      <c r="CS85" s="1453"/>
      <c r="CT85" s="1453"/>
      <c r="CU85" s="1453"/>
      <c r="CV85" s="1453"/>
      <c r="CW85" s="1453"/>
      <c r="CX85" s="1453"/>
      <c r="CY85" s="1453"/>
      <c r="CZ85" s="1453"/>
      <c r="DA85" s="1453"/>
      <c r="DB85" s="1453"/>
      <c r="DC85" s="1453"/>
      <c r="DD85" s="1453"/>
      <c r="DE85" s="1453"/>
      <c r="DF85" s="1453"/>
      <c r="DG85" s="1453"/>
      <c r="DH85" s="1453"/>
      <c r="DI85" s="1453"/>
      <c r="DJ85" s="1453"/>
      <c r="DK85" s="1453"/>
      <c r="DL85" s="1453"/>
      <c r="DM85" s="1453"/>
      <c r="DN85" s="1453"/>
      <c r="DO85" s="1453"/>
      <c r="DP85" s="1453"/>
      <c r="DQ85" s="1453"/>
      <c r="DR85" s="1453"/>
      <c r="DS85" s="1453"/>
      <c r="DT85" s="1453"/>
      <c r="DU85" s="1453"/>
      <c r="DV85" s="1453"/>
      <c r="DW85" s="1453"/>
      <c r="DX85" s="1453"/>
      <c r="DY85" s="1453"/>
      <c r="DZ85" s="1453"/>
      <c r="EA85" s="1453"/>
      <c r="EB85" s="1453">
        <v>4800</v>
      </c>
      <c r="EC85" s="1453"/>
      <c r="ED85" s="1453"/>
      <c r="EE85" s="1453"/>
      <c r="EF85" s="1453"/>
      <c r="EG85" s="1453"/>
      <c r="EH85" s="1453"/>
      <c r="EI85" s="1453"/>
      <c r="EJ85" s="1453"/>
      <c r="EK85" s="1453"/>
      <c r="EL85" s="1453"/>
      <c r="EM85" s="1453"/>
      <c r="EN85" s="1453"/>
      <c r="EO85" s="1453"/>
      <c r="EP85" s="1453"/>
      <c r="EQ85" s="1453"/>
      <c r="ER85" s="1453"/>
      <c r="ES85" s="1453"/>
      <c r="ET85" s="1453"/>
      <c r="EU85" s="1453"/>
      <c r="EV85" s="1453"/>
      <c r="EW85" s="1453"/>
      <c r="EX85" s="1453"/>
      <c r="EY85" s="1453"/>
      <c r="EZ85" s="1453"/>
      <c r="FA85" s="1453"/>
      <c r="FB85" s="1453"/>
      <c r="FC85" s="1453"/>
      <c r="FD85" s="1453"/>
      <c r="FE85" s="1453"/>
      <c r="FF85" s="1453"/>
      <c r="FG85" s="1453"/>
      <c r="FH85" s="1453"/>
      <c r="FI85" s="1453"/>
      <c r="FJ85" s="1453"/>
      <c r="FK85" s="1453"/>
      <c r="FL85" s="1453"/>
      <c r="FM85" s="1453"/>
      <c r="FN85" s="1453"/>
      <c r="FO85" s="1453"/>
      <c r="FP85" s="1453"/>
      <c r="FQ85" s="1453"/>
      <c r="FR85" s="1453"/>
      <c r="FS85" s="1453"/>
      <c r="FT85" s="1453"/>
      <c r="FU85" s="1453"/>
      <c r="FV85" s="1453"/>
      <c r="FW85" s="1453"/>
      <c r="FX85" s="1453"/>
      <c r="FY85" s="1453"/>
      <c r="FZ85" s="1453"/>
      <c r="GA85" s="1453"/>
      <c r="GB85" s="1453"/>
      <c r="GC85" s="1453"/>
      <c r="GD85" s="1453"/>
      <c r="GE85" s="1453"/>
      <c r="GF85" s="1453"/>
      <c r="GG85" s="1453"/>
      <c r="GH85" s="1453"/>
      <c r="GI85" s="1453"/>
      <c r="GJ85" s="1453"/>
      <c r="GK85" s="1453"/>
      <c r="GL85" s="1453"/>
      <c r="GM85" s="1453"/>
      <c r="GN85" s="1453"/>
      <c r="GO85" s="1453"/>
      <c r="GP85" s="1453"/>
      <c r="GQ85" s="1453"/>
      <c r="GR85" s="1453"/>
      <c r="GS85" s="1453"/>
      <c r="GT85" s="1453"/>
      <c r="GU85" s="1453"/>
      <c r="GV85" s="1453"/>
      <c r="GW85" s="1453"/>
      <c r="GX85" s="1453"/>
      <c r="GY85" s="1453"/>
      <c r="GZ85" s="1453"/>
      <c r="HA85" s="1453"/>
      <c r="HB85" s="1453"/>
      <c r="HC85" s="1453"/>
      <c r="HD85" s="1453"/>
      <c r="HE85" s="1453"/>
      <c r="HF85" s="1453"/>
      <c r="HG85" s="1453"/>
      <c r="HH85" s="1453"/>
      <c r="HI85" s="1453"/>
      <c r="HJ85" s="1453"/>
      <c r="HK85" s="1453"/>
      <c r="HL85" s="1453"/>
      <c r="HM85" s="1453"/>
      <c r="HN85" s="1453"/>
      <c r="HO85" s="1453"/>
      <c r="HP85" s="1453"/>
      <c r="HQ85" s="1453"/>
      <c r="HR85" s="1453"/>
      <c r="HS85" s="1453"/>
      <c r="HT85" s="1453"/>
      <c r="HU85" s="1453"/>
      <c r="HV85" s="1453"/>
      <c r="HW85" s="1453"/>
      <c r="HX85" s="1453"/>
      <c r="HY85" s="1453"/>
      <c r="HZ85" s="1453"/>
      <c r="IA85" s="1453"/>
      <c r="IB85" s="1453"/>
      <c r="IC85" s="1453"/>
      <c r="ID85" s="1453"/>
      <c r="IE85" s="1453"/>
      <c r="IF85" s="1453"/>
      <c r="IG85" s="1453"/>
      <c r="IH85" s="1453"/>
      <c r="II85" s="1453"/>
      <c r="IJ85" s="1453"/>
      <c r="IK85" s="1453"/>
      <c r="IL85" s="1453"/>
      <c r="IM85" s="1453"/>
      <c r="IN85" s="1453"/>
      <c r="IO85" s="1453"/>
      <c r="IP85" s="1453"/>
      <c r="IQ85" s="1453"/>
      <c r="IR85" s="1453"/>
      <c r="IS85" s="1453"/>
      <c r="IT85" s="1453"/>
      <c r="IU85" s="1453"/>
      <c r="IV85" s="1453"/>
      <c r="IW85" s="1453"/>
      <c r="IX85" s="1453">
        <v>3600</v>
      </c>
      <c r="IY85" s="1453"/>
      <c r="IZ85" s="1453"/>
      <c r="JA85" s="1453"/>
      <c r="JB85" s="1453"/>
      <c r="JC85" s="1453"/>
      <c r="JD85" s="1453"/>
      <c r="JE85" s="1453"/>
      <c r="JF85" s="1453"/>
      <c r="JG85" s="1453"/>
      <c r="JH85" s="1453"/>
      <c r="JI85" s="1453"/>
      <c r="JJ85" s="1453"/>
      <c r="JK85" s="1453"/>
      <c r="JL85" s="1453"/>
      <c r="JM85" s="1453"/>
      <c r="JN85" s="1453"/>
      <c r="JO85" s="1453"/>
      <c r="JP85" s="1453"/>
      <c r="JQ85" s="1453"/>
      <c r="JR85" s="351"/>
      <c r="JS85" s="1470"/>
      <c r="JT85" s="450" t="s">
        <v>2242</v>
      </c>
    </row>
    <row r="86" spans="1:280" ht="12.5" x14ac:dyDescent="0.25">
      <c r="A86" s="1367">
        <v>27</v>
      </c>
      <c r="B86" s="1478" t="str">
        <f t="shared" si="4"/>
        <v/>
      </c>
      <c r="C86" s="1435" t="s">
        <v>2844</v>
      </c>
      <c r="D86" s="1443" t="s">
        <v>2845</v>
      </c>
      <c r="E86" s="1453"/>
      <c r="F86" s="1453"/>
      <c r="G86" s="1453"/>
      <c r="H86" s="1453"/>
      <c r="I86" s="1453"/>
      <c r="J86" s="1453"/>
      <c r="K86" s="1453"/>
      <c r="L86" s="1453"/>
      <c r="M86" s="1453"/>
      <c r="N86" s="1453"/>
      <c r="O86" s="1453"/>
      <c r="P86" s="1453"/>
      <c r="Q86" s="1453"/>
      <c r="R86" s="1453"/>
      <c r="S86" s="1453"/>
      <c r="T86" s="1453"/>
      <c r="U86" s="1453"/>
      <c r="V86" s="1453"/>
      <c r="W86" s="1453"/>
      <c r="X86" s="1453"/>
      <c r="Y86" s="1453"/>
      <c r="Z86" s="1453"/>
      <c r="AA86" s="1453"/>
      <c r="AB86" s="1453"/>
      <c r="AC86" s="1453"/>
      <c r="AD86" s="1453"/>
      <c r="AE86" s="1453"/>
      <c r="AF86" s="1453"/>
      <c r="AG86" s="1453"/>
      <c r="AH86" s="1453"/>
      <c r="AI86" s="1453"/>
      <c r="AJ86" s="1453"/>
      <c r="AK86" s="1453"/>
      <c r="AL86" s="1453"/>
      <c r="AM86" s="1453"/>
      <c r="AN86" s="1453"/>
      <c r="AO86" s="1453"/>
      <c r="AP86" s="1453"/>
      <c r="AQ86" s="1453"/>
      <c r="AR86" s="1453"/>
      <c r="AS86" s="1453"/>
      <c r="AT86" s="1453"/>
      <c r="AU86" s="1453"/>
      <c r="AV86" s="1453"/>
      <c r="AW86" s="1453"/>
      <c r="AX86" s="1453"/>
      <c r="AY86" s="1453"/>
      <c r="AZ86" s="1453"/>
      <c r="BA86" s="1453"/>
      <c r="BB86" s="1453"/>
      <c r="BC86" s="1453"/>
      <c r="BD86" s="1453"/>
      <c r="BE86" s="1453"/>
      <c r="BF86" s="1453"/>
      <c r="BG86" s="1453"/>
      <c r="BH86" s="1453"/>
      <c r="BI86" s="1453"/>
      <c r="BJ86" s="1453"/>
      <c r="BK86" s="1453"/>
      <c r="BL86" s="1453"/>
      <c r="BM86" s="1453"/>
      <c r="BN86" s="1453"/>
      <c r="BO86" s="1453"/>
      <c r="BP86" s="1453"/>
      <c r="BQ86" s="1453"/>
      <c r="BR86" s="1453"/>
      <c r="BS86" s="1453"/>
      <c r="BT86" s="1453"/>
      <c r="BU86" s="1453"/>
      <c r="BV86" s="1453"/>
      <c r="BW86" s="1453"/>
      <c r="BX86" s="1453"/>
      <c r="BY86" s="1453"/>
      <c r="BZ86" s="1453"/>
      <c r="CA86" s="1453"/>
      <c r="CB86" s="1453"/>
      <c r="CC86" s="1453"/>
      <c r="CD86" s="1453"/>
      <c r="CE86" s="1453"/>
      <c r="CF86" s="1453"/>
      <c r="CG86" s="1453"/>
      <c r="CH86" s="1453"/>
      <c r="CI86" s="1453"/>
      <c r="CJ86" s="1453"/>
      <c r="CK86" s="1453"/>
      <c r="CL86" s="1453"/>
      <c r="CM86" s="1453"/>
      <c r="CN86" s="1453"/>
      <c r="CO86" s="1453"/>
      <c r="CP86" s="1453"/>
      <c r="CQ86" s="1453"/>
      <c r="CR86" s="1453"/>
      <c r="CS86" s="1453"/>
      <c r="CT86" s="1453">
        <v>780</v>
      </c>
      <c r="CU86" s="1453"/>
      <c r="CV86" s="1453"/>
      <c r="CW86" s="1453"/>
      <c r="CX86" s="1453"/>
      <c r="CY86" s="1453"/>
      <c r="CZ86" s="1453"/>
      <c r="DA86" s="1453"/>
      <c r="DB86" s="1453"/>
      <c r="DC86" s="1453"/>
      <c r="DD86" s="1453"/>
      <c r="DE86" s="1453"/>
      <c r="DF86" s="1453"/>
      <c r="DG86" s="1453"/>
      <c r="DH86" s="1453"/>
      <c r="DI86" s="1453"/>
      <c r="DJ86" s="1453"/>
      <c r="DK86" s="1453"/>
      <c r="DL86" s="1453"/>
      <c r="DM86" s="1453"/>
      <c r="DN86" s="1453"/>
      <c r="DO86" s="1453"/>
      <c r="DP86" s="1453"/>
      <c r="DQ86" s="1453"/>
      <c r="DR86" s="1453"/>
      <c r="DS86" s="1453"/>
      <c r="DT86" s="1453"/>
      <c r="DU86" s="1453"/>
      <c r="DV86" s="1453"/>
      <c r="DW86" s="1453"/>
      <c r="DX86" s="1453"/>
      <c r="DY86" s="1453"/>
      <c r="DZ86" s="1453"/>
      <c r="EA86" s="1453"/>
      <c r="EB86" s="1453">
        <v>480</v>
      </c>
      <c r="EC86" s="1453">
        <v>780</v>
      </c>
      <c r="ED86" s="1453"/>
      <c r="EE86" s="1453"/>
      <c r="EF86" s="1453"/>
      <c r="EG86" s="1453"/>
      <c r="EH86" s="1453"/>
      <c r="EI86" s="1453"/>
      <c r="EJ86" s="1453"/>
      <c r="EK86" s="1453"/>
      <c r="EL86" s="1453"/>
      <c r="EM86" s="1453"/>
      <c r="EN86" s="1453"/>
      <c r="EO86" s="1453"/>
      <c r="EP86" s="1453"/>
      <c r="EQ86" s="1453"/>
      <c r="ER86" s="1453"/>
      <c r="ES86" s="1453"/>
      <c r="ET86" s="1453"/>
      <c r="EU86" s="1453"/>
      <c r="EV86" s="1453"/>
      <c r="EW86" s="1453"/>
      <c r="EX86" s="1453"/>
      <c r="EY86" s="1453"/>
      <c r="EZ86" s="1453"/>
      <c r="FA86" s="1453"/>
      <c r="FB86" s="1453">
        <v>780</v>
      </c>
      <c r="FC86" s="1453"/>
      <c r="FD86" s="1453"/>
      <c r="FE86" s="1453"/>
      <c r="FF86" s="1453"/>
      <c r="FG86" s="1453"/>
      <c r="FH86" s="1453"/>
      <c r="FI86" s="1453"/>
      <c r="FJ86" s="1453"/>
      <c r="FK86" s="1453"/>
      <c r="FL86" s="1453"/>
      <c r="FM86" s="1453"/>
      <c r="FN86" s="1453"/>
      <c r="FO86" s="1453"/>
      <c r="FP86" s="1453"/>
      <c r="FQ86" s="1453"/>
      <c r="FR86" s="1453"/>
      <c r="FS86" s="1453"/>
      <c r="FT86" s="1453"/>
      <c r="FU86" s="1453"/>
      <c r="FV86" s="1453"/>
      <c r="FW86" s="1453"/>
      <c r="FX86" s="1453"/>
      <c r="FY86" s="1453"/>
      <c r="FZ86" s="1453"/>
      <c r="GA86" s="1453"/>
      <c r="GB86" s="1453"/>
      <c r="GC86" s="1453"/>
      <c r="GD86" s="1453"/>
      <c r="GE86" s="1453"/>
      <c r="GF86" s="1453"/>
      <c r="GG86" s="1453"/>
      <c r="GH86" s="1453"/>
      <c r="GI86" s="1453"/>
      <c r="GJ86" s="1453"/>
      <c r="GK86" s="1453"/>
      <c r="GL86" s="1453"/>
      <c r="GM86" s="1453"/>
      <c r="GN86" s="1453"/>
      <c r="GO86" s="1453"/>
      <c r="GP86" s="1453"/>
      <c r="GQ86" s="1453"/>
      <c r="GR86" s="1453"/>
      <c r="GS86" s="1453"/>
      <c r="GT86" s="1453"/>
      <c r="GU86" s="1453"/>
      <c r="GV86" s="1453"/>
      <c r="GW86" s="1453"/>
      <c r="GX86" s="1453"/>
      <c r="GY86" s="1453"/>
      <c r="GZ86" s="1453"/>
      <c r="HA86" s="1453"/>
      <c r="HB86" s="1453"/>
      <c r="HC86" s="1453"/>
      <c r="HD86" s="1453"/>
      <c r="HE86" s="1453"/>
      <c r="HF86" s="1453"/>
      <c r="HG86" s="1453"/>
      <c r="HH86" s="1453"/>
      <c r="HI86" s="1453"/>
      <c r="HJ86" s="1453"/>
      <c r="HK86" s="1453"/>
      <c r="HL86" s="1453"/>
      <c r="HM86" s="1453"/>
      <c r="HN86" s="1453"/>
      <c r="HO86" s="1453"/>
      <c r="HP86" s="1453"/>
      <c r="HQ86" s="1453"/>
      <c r="HR86" s="1453"/>
      <c r="HS86" s="1453"/>
      <c r="HT86" s="1453"/>
      <c r="HU86" s="1453"/>
      <c r="HV86" s="1453"/>
      <c r="HW86" s="1453"/>
      <c r="HX86" s="1453"/>
      <c r="HY86" s="1453"/>
      <c r="HZ86" s="1453"/>
      <c r="IA86" s="1453"/>
      <c r="IB86" s="1453"/>
      <c r="IC86" s="1453"/>
      <c r="ID86" s="1453"/>
      <c r="IE86" s="1453"/>
      <c r="IF86" s="1453"/>
      <c r="IG86" s="1453"/>
      <c r="IH86" s="1453"/>
      <c r="II86" s="1453"/>
      <c r="IJ86" s="1453"/>
      <c r="IK86" s="1453"/>
      <c r="IL86" s="1453"/>
      <c r="IM86" s="1453"/>
      <c r="IN86" s="1453"/>
      <c r="IO86" s="1453"/>
      <c r="IP86" s="1453"/>
      <c r="IQ86" s="1453"/>
      <c r="IR86" s="1453"/>
      <c r="IS86" s="1453"/>
      <c r="IT86" s="1453"/>
      <c r="IU86" s="1453"/>
      <c r="IV86" s="1453"/>
      <c r="IW86" s="1453"/>
      <c r="IX86" s="1453"/>
      <c r="IY86" s="1453"/>
      <c r="IZ86" s="1453"/>
      <c r="JA86" s="1453"/>
      <c r="JB86" s="1453"/>
      <c r="JC86" s="1453"/>
      <c r="JD86" s="1453"/>
      <c r="JE86" s="1453"/>
      <c r="JF86" s="1453"/>
      <c r="JG86" s="1453"/>
      <c r="JH86" s="1453"/>
      <c r="JI86" s="1453"/>
      <c r="JJ86" s="1453"/>
      <c r="JK86" s="1453"/>
      <c r="JL86" s="1453"/>
      <c r="JM86" s="1453"/>
      <c r="JN86" s="1453"/>
      <c r="JO86" s="1453"/>
      <c r="JP86" s="1453"/>
      <c r="JQ86" s="1453"/>
      <c r="JR86" s="351"/>
      <c r="JS86" s="1470"/>
      <c r="JT86" s="450" t="s">
        <v>2242</v>
      </c>
    </row>
    <row r="87" spans="1:280" ht="12.5" x14ac:dyDescent="0.25">
      <c r="A87" s="1367">
        <v>28</v>
      </c>
      <c r="B87" s="1478" t="str">
        <f t="shared" si="4"/>
        <v/>
      </c>
      <c r="C87" s="1435" t="s">
        <v>2846</v>
      </c>
      <c r="D87" s="1443" t="s">
        <v>2847</v>
      </c>
      <c r="E87" s="1453"/>
      <c r="F87" s="1453"/>
      <c r="G87" s="1453"/>
      <c r="H87" s="1453"/>
      <c r="I87" s="1453"/>
      <c r="J87" s="1453"/>
      <c r="K87" s="1453"/>
      <c r="L87" s="1453"/>
      <c r="M87" s="1453"/>
      <c r="N87" s="1453"/>
      <c r="O87" s="1453"/>
      <c r="P87" s="1453"/>
      <c r="Q87" s="1453"/>
      <c r="R87" s="1453"/>
      <c r="S87" s="1453"/>
      <c r="T87" s="1453"/>
      <c r="U87" s="1453"/>
      <c r="V87" s="1453"/>
      <c r="W87" s="1453"/>
      <c r="X87" s="1453"/>
      <c r="Y87" s="1453"/>
      <c r="Z87" s="1453"/>
      <c r="AA87" s="1453"/>
      <c r="AB87" s="1453"/>
      <c r="AC87" s="1453"/>
      <c r="AD87" s="1453"/>
      <c r="AE87" s="1453"/>
      <c r="AF87" s="1453"/>
      <c r="AG87" s="1453"/>
      <c r="AH87" s="1453"/>
      <c r="AI87" s="1453"/>
      <c r="AJ87" s="1453"/>
      <c r="AK87" s="1453"/>
      <c r="AL87" s="1453"/>
      <c r="AM87" s="1453"/>
      <c r="AN87" s="1453"/>
      <c r="AO87" s="1453"/>
      <c r="AP87" s="1453"/>
      <c r="AQ87" s="1453"/>
      <c r="AR87" s="1453"/>
      <c r="AS87" s="1453"/>
      <c r="AT87" s="1453"/>
      <c r="AU87" s="1453"/>
      <c r="AV87" s="1453"/>
      <c r="AW87" s="1453"/>
      <c r="AX87" s="1453"/>
      <c r="AY87" s="1453"/>
      <c r="AZ87" s="1453"/>
      <c r="BA87" s="1453"/>
      <c r="BB87" s="1453"/>
      <c r="BC87" s="1453"/>
      <c r="BD87" s="1453"/>
      <c r="BE87" s="1453"/>
      <c r="BF87" s="1453"/>
      <c r="BG87" s="1453"/>
      <c r="BH87" s="1453"/>
      <c r="BI87" s="1453"/>
      <c r="BJ87" s="1453"/>
      <c r="BK87" s="1453"/>
      <c r="BL87" s="1453"/>
      <c r="BM87" s="1453"/>
      <c r="BN87" s="1453"/>
      <c r="BO87" s="1453"/>
      <c r="BP87" s="1453"/>
      <c r="BQ87" s="1453"/>
      <c r="BR87" s="1453"/>
      <c r="BS87" s="1453"/>
      <c r="BT87" s="1453"/>
      <c r="BU87" s="1453"/>
      <c r="BV87" s="1453"/>
      <c r="BW87" s="1453"/>
      <c r="BX87" s="1453"/>
      <c r="BY87" s="1453"/>
      <c r="BZ87" s="1453"/>
      <c r="CA87" s="1453"/>
      <c r="CB87" s="1453"/>
      <c r="CC87" s="1453"/>
      <c r="CD87" s="1453"/>
      <c r="CE87" s="1453"/>
      <c r="CF87" s="1453"/>
      <c r="CG87" s="1453"/>
      <c r="CH87" s="1453"/>
      <c r="CI87" s="1453"/>
      <c r="CJ87" s="1453"/>
      <c r="CK87" s="1453"/>
      <c r="CL87" s="1453"/>
      <c r="CM87" s="1453"/>
      <c r="CN87" s="1453"/>
      <c r="CO87" s="1453"/>
      <c r="CP87" s="1453"/>
      <c r="CQ87" s="1453"/>
      <c r="CR87" s="1453"/>
      <c r="CS87" s="1453"/>
      <c r="CT87" s="1453"/>
      <c r="CU87" s="1453"/>
      <c r="CV87" s="1453"/>
      <c r="CW87" s="1453"/>
      <c r="CX87" s="1453"/>
      <c r="CY87" s="1453"/>
      <c r="CZ87" s="1453"/>
      <c r="DA87" s="1453"/>
      <c r="DB87" s="1453"/>
      <c r="DC87" s="1453"/>
      <c r="DD87" s="1453"/>
      <c r="DE87" s="1453"/>
      <c r="DF87" s="1453"/>
      <c r="DG87" s="1453"/>
      <c r="DH87" s="1453"/>
      <c r="DI87" s="1453"/>
      <c r="DJ87" s="1453"/>
      <c r="DK87" s="1453"/>
      <c r="DL87" s="1453"/>
      <c r="DM87" s="1453"/>
      <c r="DN87" s="1453"/>
      <c r="DO87" s="1453"/>
      <c r="DP87" s="1453"/>
      <c r="DQ87" s="1453"/>
      <c r="DR87" s="1453"/>
      <c r="DS87" s="1453"/>
      <c r="DT87" s="1453"/>
      <c r="DU87" s="1453"/>
      <c r="DV87" s="1453"/>
      <c r="DW87" s="1453"/>
      <c r="DX87" s="1453"/>
      <c r="DY87" s="1453"/>
      <c r="DZ87" s="1453"/>
      <c r="EA87" s="1453"/>
      <c r="EB87" s="1453"/>
      <c r="EC87" s="1453"/>
      <c r="ED87" s="1453"/>
      <c r="EE87" s="1453"/>
      <c r="EF87" s="1453"/>
      <c r="EG87" s="1453"/>
      <c r="EH87" s="1453"/>
      <c r="EI87" s="1453"/>
      <c r="EJ87" s="1453"/>
      <c r="EK87" s="1453"/>
      <c r="EL87" s="1453"/>
      <c r="EM87" s="1453"/>
      <c r="EN87" s="1453"/>
      <c r="EO87" s="1453"/>
      <c r="EP87" s="1453"/>
      <c r="EQ87" s="1453"/>
      <c r="ER87" s="1453"/>
      <c r="ES87" s="1453"/>
      <c r="ET87" s="1453"/>
      <c r="EU87" s="1453"/>
      <c r="EV87" s="1453"/>
      <c r="EW87" s="1453"/>
      <c r="EX87" s="1453"/>
      <c r="EY87" s="1453"/>
      <c r="EZ87" s="1453"/>
      <c r="FA87" s="1453"/>
      <c r="FB87" s="1453"/>
      <c r="FC87" s="1453"/>
      <c r="FD87" s="1453"/>
      <c r="FE87" s="1453"/>
      <c r="FF87" s="1453"/>
      <c r="FG87" s="1453"/>
      <c r="FH87" s="1453"/>
      <c r="FI87" s="1453"/>
      <c r="FJ87" s="1453"/>
      <c r="FK87" s="1453"/>
      <c r="FL87" s="1453"/>
      <c r="FM87" s="1453"/>
      <c r="FN87" s="1453"/>
      <c r="FO87" s="1453"/>
      <c r="FP87" s="1453"/>
      <c r="FQ87" s="1453"/>
      <c r="FR87" s="1453"/>
      <c r="FS87" s="1453"/>
      <c r="FT87" s="1453"/>
      <c r="FU87" s="1453"/>
      <c r="FV87" s="1453"/>
      <c r="FW87" s="1453"/>
      <c r="FX87" s="1453"/>
      <c r="FY87" s="1453"/>
      <c r="FZ87" s="1453"/>
      <c r="GA87" s="1453"/>
      <c r="GB87" s="1453"/>
      <c r="GC87" s="1453"/>
      <c r="GD87" s="1453"/>
      <c r="GE87" s="1453"/>
      <c r="GF87" s="1453"/>
      <c r="GG87" s="1453"/>
      <c r="GH87" s="1453"/>
      <c r="GI87" s="1453"/>
      <c r="GJ87" s="1453"/>
      <c r="GK87" s="1453"/>
      <c r="GL87" s="1453"/>
      <c r="GM87" s="1453"/>
      <c r="GN87" s="1453"/>
      <c r="GO87" s="1453"/>
      <c r="GP87" s="1453"/>
      <c r="GQ87" s="1453"/>
      <c r="GR87" s="1453"/>
      <c r="GS87" s="1453"/>
      <c r="GT87" s="1453"/>
      <c r="GU87" s="1453"/>
      <c r="GV87" s="1453"/>
      <c r="GW87" s="1453"/>
      <c r="GX87" s="1453"/>
      <c r="GY87" s="1453"/>
      <c r="GZ87" s="1453"/>
      <c r="HA87" s="1453"/>
      <c r="HB87" s="1453"/>
      <c r="HC87" s="1453"/>
      <c r="HD87" s="1453"/>
      <c r="HE87" s="1453"/>
      <c r="HF87" s="1453"/>
      <c r="HG87" s="1453"/>
      <c r="HH87" s="1453"/>
      <c r="HI87" s="1453"/>
      <c r="HJ87" s="1453"/>
      <c r="HK87" s="1453"/>
      <c r="HL87" s="1453"/>
      <c r="HM87" s="1453"/>
      <c r="HN87" s="1453"/>
      <c r="HO87" s="1453"/>
      <c r="HP87" s="1453"/>
      <c r="HQ87" s="1453"/>
      <c r="HR87" s="1453"/>
      <c r="HS87" s="1453"/>
      <c r="HT87" s="1453"/>
      <c r="HU87" s="1453"/>
      <c r="HV87" s="1453"/>
      <c r="HW87" s="1453"/>
      <c r="HX87" s="1453"/>
      <c r="HY87" s="1453"/>
      <c r="HZ87" s="1453"/>
      <c r="IA87" s="1453"/>
      <c r="IB87" s="1453"/>
      <c r="IC87" s="1453"/>
      <c r="ID87" s="1453"/>
      <c r="IE87" s="1453"/>
      <c r="IF87" s="1453"/>
      <c r="IG87" s="1453"/>
      <c r="IH87" s="1453"/>
      <c r="II87" s="1453"/>
      <c r="IJ87" s="1453"/>
      <c r="IK87" s="1453"/>
      <c r="IL87" s="1453"/>
      <c r="IM87" s="1453"/>
      <c r="IN87" s="1453"/>
      <c r="IO87" s="1453"/>
      <c r="IP87" s="1453"/>
      <c r="IQ87" s="1453"/>
      <c r="IR87" s="1453"/>
      <c r="IS87" s="1453"/>
      <c r="IT87" s="1453"/>
      <c r="IU87" s="1453"/>
      <c r="IV87" s="1453"/>
      <c r="IW87" s="1453"/>
      <c r="IX87" s="1453">
        <v>3255</v>
      </c>
      <c r="IY87" s="1453"/>
      <c r="IZ87" s="1453"/>
      <c r="JA87" s="1453"/>
      <c r="JB87" s="1453"/>
      <c r="JC87" s="1453"/>
      <c r="JD87" s="1453"/>
      <c r="JE87" s="1453"/>
      <c r="JF87" s="1453"/>
      <c r="JG87" s="1453"/>
      <c r="JH87" s="1453"/>
      <c r="JI87" s="1453"/>
      <c r="JJ87" s="1453"/>
      <c r="JK87" s="1453"/>
      <c r="JL87" s="1453"/>
      <c r="JM87" s="1453"/>
      <c r="JN87" s="1453"/>
      <c r="JO87" s="1453"/>
      <c r="JP87" s="1453"/>
      <c r="JQ87" s="1453"/>
      <c r="JR87" s="351"/>
      <c r="JS87" s="1470"/>
      <c r="JT87" s="450" t="s">
        <v>2242</v>
      </c>
    </row>
    <row r="88" spans="1:280" ht="12.5" x14ac:dyDescent="0.25">
      <c r="A88" s="1367">
        <v>29</v>
      </c>
      <c r="B88" s="1478" t="str">
        <f t="shared" si="4"/>
        <v/>
      </c>
      <c r="C88" s="1435" t="s">
        <v>2848</v>
      </c>
      <c r="D88" s="1443" t="s">
        <v>2849</v>
      </c>
      <c r="E88" s="1480"/>
      <c r="F88" s="1480"/>
      <c r="G88" s="1480"/>
      <c r="H88" s="1480"/>
      <c r="I88" s="1480"/>
      <c r="J88" s="1480"/>
      <c r="K88" s="1480"/>
      <c r="L88" s="1480"/>
      <c r="M88" s="1480"/>
      <c r="N88" s="1480"/>
      <c r="O88" s="1480"/>
      <c r="P88" s="1480"/>
      <c r="Q88" s="1480"/>
      <c r="R88" s="1480"/>
      <c r="S88" s="1480"/>
      <c r="T88" s="1480"/>
      <c r="U88" s="1480"/>
      <c r="V88" s="1480"/>
      <c r="W88" s="1480"/>
      <c r="X88" s="1480"/>
      <c r="Y88" s="1480"/>
      <c r="Z88" s="1480"/>
      <c r="AA88" s="1480"/>
      <c r="AB88" s="1480"/>
      <c r="AC88" s="1480"/>
      <c r="AD88" s="1480"/>
      <c r="AE88" s="1480"/>
      <c r="AF88" s="1480"/>
      <c r="AG88" s="1480"/>
      <c r="AH88" s="1480"/>
      <c r="AI88" s="1480"/>
      <c r="AJ88" s="1480"/>
      <c r="AK88" s="1480"/>
      <c r="AL88" s="1480"/>
      <c r="AM88" s="1480"/>
      <c r="AN88" s="1480"/>
      <c r="AO88" s="1480"/>
      <c r="AP88" s="1480"/>
      <c r="AQ88" s="1480"/>
      <c r="AR88" s="1480"/>
      <c r="AS88" s="1480"/>
      <c r="AT88" s="1480"/>
      <c r="AU88" s="1480"/>
      <c r="AV88" s="1480"/>
      <c r="AW88" s="1480"/>
      <c r="AX88" s="1480"/>
      <c r="AY88" s="1480"/>
      <c r="AZ88" s="1480"/>
      <c r="BA88" s="1480"/>
      <c r="BB88" s="1480"/>
      <c r="BC88" s="1480"/>
      <c r="BD88" s="1480"/>
      <c r="BE88" s="1480"/>
      <c r="BF88" s="1480"/>
      <c r="BG88" s="1480"/>
      <c r="BH88" s="1480"/>
      <c r="BI88" s="1480"/>
      <c r="BJ88" s="1480"/>
      <c r="BK88" s="1480"/>
      <c r="BL88" s="1480"/>
      <c r="BM88" s="1480"/>
      <c r="BN88" s="1480"/>
      <c r="BO88" s="1480"/>
      <c r="BP88" s="1480"/>
      <c r="BQ88" s="1480"/>
      <c r="BR88" s="1480"/>
      <c r="BS88" s="1480"/>
      <c r="BT88" s="1480"/>
      <c r="BU88" s="1480"/>
      <c r="BV88" s="1480"/>
      <c r="BW88" s="1480"/>
      <c r="BX88" s="1480"/>
      <c r="BY88" s="1480"/>
      <c r="BZ88" s="1480"/>
      <c r="CA88" s="1480"/>
      <c r="CB88" s="1480"/>
      <c r="CC88" s="1480"/>
      <c r="CD88" s="1480"/>
      <c r="CE88" s="1480"/>
      <c r="CF88" s="1480"/>
      <c r="CG88" s="1480"/>
      <c r="CH88" s="1480"/>
      <c r="CI88" s="1480"/>
      <c r="CJ88" s="1480"/>
      <c r="CK88" s="1480"/>
      <c r="CL88" s="1480"/>
      <c r="CM88" s="1480"/>
      <c r="CN88" s="1480"/>
      <c r="CO88" s="1480"/>
      <c r="CP88" s="1480"/>
      <c r="CQ88" s="1480"/>
      <c r="CR88" s="1480"/>
      <c r="CS88" s="1480"/>
      <c r="CT88" s="1480">
        <f>CT83+CT84+CT85+CT86+CT87</f>
        <v>780</v>
      </c>
      <c r="CU88" s="1480"/>
      <c r="CV88" s="1480"/>
      <c r="CW88" s="1480"/>
      <c r="CX88" s="1480"/>
      <c r="CY88" s="1480"/>
      <c r="CZ88" s="1480"/>
      <c r="DA88" s="1480"/>
      <c r="DB88" s="1480"/>
      <c r="DC88" s="1480"/>
      <c r="DD88" s="1480"/>
      <c r="DE88" s="1480"/>
      <c r="DF88" s="1480"/>
      <c r="DG88" s="1480"/>
      <c r="DH88" s="1480"/>
      <c r="DI88" s="1480"/>
      <c r="DJ88" s="1480"/>
      <c r="DK88" s="1480"/>
      <c r="DL88" s="1480"/>
      <c r="DM88" s="1480"/>
      <c r="DN88" s="1480"/>
      <c r="DO88" s="1480"/>
      <c r="DP88" s="1480"/>
      <c r="DQ88" s="1480"/>
      <c r="DR88" s="1480"/>
      <c r="DS88" s="1480"/>
      <c r="DT88" s="1480"/>
      <c r="DU88" s="1480"/>
      <c r="DV88" s="1480"/>
      <c r="DW88" s="1480"/>
      <c r="DX88" s="1480"/>
      <c r="DY88" s="1480"/>
      <c r="DZ88" s="1480"/>
      <c r="EA88" s="1480"/>
      <c r="EB88" s="1480">
        <f>EB83+EB84+EB85+EB86+EB87</f>
        <v>5900</v>
      </c>
      <c r="EC88" s="1480">
        <f>EC83+EC84+EC85+EC86+EC87</f>
        <v>780</v>
      </c>
      <c r="ED88" s="1480"/>
      <c r="EE88" s="1480"/>
      <c r="EF88" s="1480"/>
      <c r="EG88" s="1480"/>
      <c r="EH88" s="1480"/>
      <c r="EI88" s="1480"/>
      <c r="EJ88" s="1480"/>
      <c r="EK88" s="1480"/>
      <c r="EL88" s="1480"/>
      <c r="EM88" s="1480"/>
      <c r="EN88" s="1480"/>
      <c r="EO88" s="1480"/>
      <c r="EP88" s="1480"/>
      <c r="EQ88" s="1480"/>
      <c r="ER88" s="1480"/>
      <c r="ES88" s="1480"/>
      <c r="ET88" s="1480"/>
      <c r="EU88" s="1480"/>
      <c r="EV88" s="1480"/>
      <c r="EW88" s="1480"/>
      <c r="EX88" s="1480"/>
      <c r="EY88" s="1480"/>
      <c r="EZ88" s="1480"/>
      <c r="FA88" s="1480"/>
      <c r="FB88" s="1480">
        <f>FB83+FB84+FB85+FB86+FB87</f>
        <v>780</v>
      </c>
      <c r="FC88" s="1480"/>
      <c r="FD88" s="1480"/>
      <c r="FE88" s="1480"/>
      <c r="FF88" s="1480"/>
      <c r="FG88" s="1480"/>
      <c r="FH88" s="1480"/>
      <c r="FI88" s="1480"/>
      <c r="FJ88" s="1480"/>
      <c r="FK88" s="1480"/>
      <c r="FL88" s="1480"/>
      <c r="FM88" s="1480"/>
      <c r="FN88" s="1480"/>
      <c r="FO88" s="1480"/>
      <c r="FP88" s="1480"/>
      <c r="FQ88" s="1480"/>
      <c r="FR88" s="1480"/>
      <c r="FS88" s="1480"/>
      <c r="FT88" s="1480"/>
      <c r="FU88" s="1480"/>
      <c r="FV88" s="1480"/>
      <c r="FW88" s="1480"/>
      <c r="FX88" s="1480"/>
      <c r="FY88" s="1480"/>
      <c r="FZ88" s="1480"/>
      <c r="GA88" s="1480"/>
      <c r="GB88" s="1480"/>
      <c r="GC88" s="1480"/>
      <c r="GD88" s="1480"/>
      <c r="GE88" s="1480"/>
      <c r="GF88" s="1480"/>
      <c r="GG88" s="1480"/>
      <c r="GH88" s="1480"/>
      <c r="GI88" s="1480"/>
      <c r="GJ88" s="1480"/>
      <c r="GK88" s="1480"/>
      <c r="GL88" s="1480"/>
      <c r="GM88" s="1480"/>
      <c r="GN88" s="1480"/>
      <c r="GO88" s="1480"/>
      <c r="GP88" s="1480"/>
      <c r="GQ88" s="1480"/>
      <c r="GR88" s="1480"/>
      <c r="GS88" s="1480"/>
      <c r="GT88" s="1480"/>
      <c r="GU88" s="1480"/>
      <c r="GV88" s="1480"/>
      <c r="GW88" s="1480"/>
      <c r="GX88" s="1480"/>
      <c r="GY88" s="1480"/>
      <c r="GZ88" s="1480"/>
      <c r="HA88" s="1480"/>
      <c r="HB88" s="1480"/>
      <c r="HC88" s="1480"/>
      <c r="HD88" s="1480"/>
      <c r="HE88" s="1480"/>
      <c r="HF88" s="1480"/>
      <c r="HG88" s="1480"/>
      <c r="HH88" s="1480"/>
      <c r="HI88" s="1480"/>
      <c r="HJ88" s="1480"/>
      <c r="HK88" s="1480"/>
      <c r="HL88" s="1480"/>
      <c r="HM88" s="1480"/>
      <c r="HN88" s="1480"/>
      <c r="HO88" s="1480"/>
      <c r="HP88" s="1480"/>
      <c r="HQ88" s="1480"/>
      <c r="HR88" s="1480"/>
      <c r="HS88" s="1480"/>
      <c r="HT88" s="1480"/>
      <c r="HU88" s="1480"/>
      <c r="HV88" s="1480"/>
      <c r="HW88" s="1480"/>
      <c r="HX88" s="1480"/>
      <c r="HY88" s="1480"/>
      <c r="HZ88" s="1480"/>
      <c r="IA88" s="1480"/>
      <c r="IB88" s="1480"/>
      <c r="IC88" s="1480"/>
      <c r="ID88" s="1480"/>
      <c r="IE88" s="1480"/>
      <c r="IF88" s="1480"/>
      <c r="IG88" s="1480"/>
      <c r="IH88" s="1480"/>
      <c r="II88" s="1480"/>
      <c r="IJ88" s="1480"/>
      <c r="IK88" s="1480"/>
      <c r="IL88" s="1480"/>
      <c r="IM88" s="1480"/>
      <c r="IN88" s="1480"/>
      <c r="IO88" s="1480"/>
      <c r="IP88" s="1480"/>
      <c r="IQ88" s="1480"/>
      <c r="IR88" s="1480"/>
      <c r="IS88" s="1480"/>
      <c r="IT88" s="1480"/>
      <c r="IU88" s="1480"/>
      <c r="IV88" s="1480"/>
      <c r="IW88" s="1480"/>
      <c r="IX88" s="1480">
        <f>IX83+IX84+IX85+IX86+IX87</f>
        <v>7649</v>
      </c>
      <c r="IY88" s="1480"/>
      <c r="IZ88" s="1480"/>
      <c r="JA88" s="1480"/>
      <c r="JB88" s="1480"/>
      <c r="JC88" s="1480"/>
      <c r="JD88" s="1480"/>
      <c r="JE88" s="1480"/>
      <c r="JF88" s="1480"/>
      <c r="JG88" s="1480"/>
      <c r="JH88" s="1480"/>
      <c r="JI88" s="1480"/>
      <c r="JJ88" s="1480"/>
      <c r="JK88" s="1480"/>
      <c r="JL88" s="1480"/>
      <c r="JM88" s="1480"/>
      <c r="JN88" s="1480"/>
      <c r="JO88" s="1480"/>
      <c r="JP88" s="1480"/>
      <c r="JQ88" s="1480"/>
      <c r="JR88" s="351"/>
      <c r="JS88" s="1365" t="s">
        <v>2850</v>
      </c>
      <c r="JT88" s="450" t="s">
        <v>2242</v>
      </c>
    </row>
    <row r="89" spans="1:280" ht="12.5" x14ac:dyDescent="0.25">
      <c r="A89" s="1367">
        <v>30</v>
      </c>
      <c r="B89" s="1478" t="str">
        <f t="shared" si="4"/>
        <v/>
      </c>
      <c r="C89" s="1435" t="s">
        <v>2851</v>
      </c>
      <c r="D89" s="1443" t="s">
        <v>2852</v>
      </c>
      <c r="E89" s="1480"/>
      <c r="F89" s="1480"/>
      <c r="G89" s="1480"/>
      <c r="H89" s="1480"/>
      <c r="I89" s="1480"/>
      <c r="J89" s="1480"/>
      <c r="K89" s="1480"/>
      <c r="L89" s="1480"/>
      <c r="M89" s="1480"/>
      <c r="N89" s="1480"/>
      <c r="O89" s="1480"/>
      <c r="P89" s="1480"/>
      <c r="Q89" s="1480"/>
      <c r="R89" s="1480"/>
      <c r="S89" s="1480"/>
      <c r="T89" s="1480"/>
      <c r="U89" s="1480"/>
      <c r="V89" s="1480"/>
      <c r="W89" s="1480"/>
      <c r="X89" s="1480"/>
      <c r="Y89" s="1480"/>
      <c r="Z89" s="1480"/>
      <c r="AA89" s="1480"/>
      <c r="AB89" s="1480"/>
      <c r="AC89" s="1480"/>
      <c r="AD89" s="1480"/>
      <c r="AE89" s="1480"/>
      <c r="AF89" s="1480"/>
      <c r="AG89" s="1480"/>
      <c r="AH89" s="1480"/>
      <c r="AI89" s="1480"/>
      <c r="AJ89" s="1480"/>
      <c r="AK89" s="1480"/>
      <c r="AL89" s="1480"/>
      <c r="AM89" s="1480"/>
      <c r="AN89" s="1480"/>
      <c r="AO89" s="1480"/>
      <c r="AP89" s="1480"/>
      <c r="AQ89" s="1480"/>
      <c r="AR89" s="1480"/>
      <c r="AS89" s="1480"/>
      <c r="AT89" s="1480"/>
      <c r="AU89" s="1480"/>
      <c r="AV89" s="1480"/>
      <c r="AW89" s="1480"/>
      <c r="AX89" s="1480"/>
      <c r="AY89" s="1480"/>
      <c r="AZ89" s="1480"/>
      <c r="BA89" s="1480"/>
      <c r="BB89" s="1480"/>
      <c r="BC89" s="1480"/>
      <c r="BD89" s="1480"/>
      <c r="BE89" s="1480"/>
      <c r="BF89" s="1480"/>
      <c r="BG89" s="1480"/>
      <c r="BH89" s="1480"/>
      <c r="BI89" s="1480"/>
      <c r="BJ89" s="1480"/>
      <c r="BK89" s="1480"/>
      <c r="BL89" s="1480"/>
      <c r="BM89" s="1480"/>
      <c r="BN89" s="1480"/>
      <c r="BO89" s="1480"/>
      <c r="BP89" s="1480"/>
      <c r="BQ89" s="1480"/>
      <c r="BR89" s="1480"/>
      <c r="BS89" s="1480"/>
      <c r="BT89" s="1480"/>
      <c r="BU89" s="1480"/>
      <c r="BV89" s="1480"/>
      <c r="BW89" s="1480"/>
      <c r="BX89" s="1480"/>
      <c r="BY89" s="1480"/>
      <c r="BZ89" s="1480"/>
      <c r="CA89" s="1480"/>
      <c r="CB89" s="1480"/>
      <c r="CC89" s="1480"/>
      <c r="CD89" s="1480"/>
      <c r="CE89" s="1480"/>
      <c r="CF89" s="1480"/>
      <c r="CG89" s="1480"/>
      <c r="CH89" s="1480"/>
      <c r="CI89" s="1480"/>
      <c r="CJ89" s="1480"/>
      <c r="CK89" s="1480"/>
      <c r="CL89" s="1480"/>
      <c r="CM89" s="1480"/>
      <c r="CN89" s="1480"/>
      <c r="CO89" s="1480"/>
      <c r="CP89" s="1480"/>
      <c r="CQ89" s="1480"/>
      <c r="CR89" s="1480"/>
      <c r="CS89" s="1480"/>
      <c r="CT89" s="1480">
        <f>IF(CT74+CT81&gt;=8500,MAX(0,CT82-(CT67+CT75)),0)</f>
        <v>21952</v>
      </c>
      <c r="CU89" s="1480"/>
      <c r="CV89" s="1480"/>
      <c r="CW89" s="1480"/>
      <c r="CX89" s="1480"/>
      <c r="CY89" s="1480"/>
      <c r="CZ89" s="1480"/>
      <c r="DA89" s="1480"/>
      <c r="DB89" s="1480"/>
      <c r="DC89" s="1480"/>
      <c r="DD89" s="1480"/>
      <c r="DE89" s="1480"/>
      <c r="DF89" s="1480"/>
      <c r="DG89" s="1480"/>
      <c r="DH89" s="1480"/>
      <c r="DI89" s="1480"/>
      <c r="DJ89" s="1480"/>
      <c r="DK89" s="1480"/>
      <c r="DL89" s="1480"/>
      <c r="DM89" s="1480"/>
      <c r="DN89" s="1480"/>
      <c r="DO89" s="1480"/>
      <c r="DP89" s="1480"/>
      <c r="DQ89" s="1480"/>
      <c r="DR89" s="1480"/>
      <c r="DS89" s="1480"/>
      <c r="DT89" s="1480"/>
      <c r="DU89" s="1480"/>
      <c r="DV89" s="1480"/>
      <c r="DW89" s="1480"/>
      <c r="DX89" s="1480"/>
      <c r="DY89" s="1480"/>
      <c r="DZ89" s="1480"/>
      <c r="EA89" s="1480"/>
      <c r="EB89" s="1480">
        <f>IF(EB74+EB81&gt;=8500,MAX(0,EB82-(EB67+EB75)),0)</f>
        <v>19880</v>
      </c>
      <c r="EC89" s="1480">
        <f>IF(EC74+EC81&gt;=8500,MAX(0,EC82-(EC67+EC75)),0)</f>
        <v>21952</v>
      </c>
      <c r="ED89" s="1480"/>
      <c r="EE89" s="1480"/>
      <c r="EF89" s="1480"/>
      <c r="EG89" s="1480"/>
      <c r="EH89" s="1480"/>
      <c r="EI89" s="1480"/>
      <c r="EJ89" s="1480"/>
      <c r="EK89" s="1480"/>
      <c r="EL89" s="1480"/>
      <c r="EM89" s="1480"/>
      <c r="EN89" s="1480"/>
      <c r="EO89" s="1480"/>
      <c r="EP89" s="1480"/>
      <c r="EQ89" s="1480"/>
      <c r="ER89" s="1480"/>
      <c r="ES89" s="1480"/>
      <c r="ET89" s="1480"/>
      <c r="EU89" s="1480"/>
      <c r="EV89" s="1480"/>
      <c r="EW89" s="1480"/>
      <c r="EX89" s="1480"/>
      <c r="EY89" s="1480"/>
      <c r="EZ89" s="1480"/>
      <c r="FA89" s="1480"/>
      <c r="FB89" s="1480">
        <f>IF(FB74+FB81&gt;=8500,MAX(0,FB82-(FB67+FB75)),0)</f>
        <v>21952</v>
      </c>
      <c r="FC89" s="1480"/>
      <c r="FD89" s="1480"/>
      <c r="FE89" s="1480"/>
      <c r="FF89" s="1480"/>
      <c r="FG89" s="1480"/>
      <c r="FH89" s="1480"/>
      <c r="FI89" s="1480"/>
      <c r="FJ89" s="1480"/>
      <c r="FK89" s="1480"/>
      <c r="FL89" s="1480"/>
      <c r="FM89" s="1480"/>
      <c r="FN89" s="1480"/>
      <c r="FO89" s="1480"/>
      <c r="FP89" s="1480"/>
      <c r="FQ89" s="1480"/>
      <c r="FR89" s="1480"/>
      <c r="FS89" s="1480"/>
      <c r="FT89" s="1480"/>
      <c r="FU89" s="1480"/>
      <c r="FV89" s="1480"/>
      <c r="FW89" s="1480"/>
      <c r="FX89" s="1480"/>
      <c r="FY89" s="1480"/>
      <c r="FZ89" s="1480"/>
      <c r="GA89" s="1480"/>
      <c r="GB89" s="1480"/>
      <c r="GC89" s="1480"/>
      <c r="GD89" s="1480"/>
      <c r="GE89" s="1480"/>
      <c r="GF89" s="1480"/>
      <c r="GG89" s="1480"/>
      <c r="GH89" s="1480"/>
      <c r="GI89" s="1480"/>
      <c r="GJ89" s="1480"/>
      <c r="GK89" s="1480"/>
      <c r="GL89" s="1480"/>
      <c r="GM89" s="1480"/>
      <c r="GN89" s="1480"/>
      <c r="GO89" s="1480"/>
      <c r="GP89" s="1480"/>
      <c r="GQ89" s="1480"/>
      <c r="GR89" s="1480"/>
      <c r="GS89" s="1480"/>
      <c r="GT89" s="1480"/>
      <c r="GU89" s="1480"/>
      <c r="GV89" s="1480"/>
      <c r="GW89" s="1480"/>
      <c r="GX89" s="1480"/>
      <c r="GY89" s="1480"/>
      <c r="GZ89" s="1480"/>
      <c r="HA89" s="1480"/>
      <c r="HB89" s="1480"/>
      <c r="HC89" s="1480"/>
      <c r="HD89" s="1480"/>
      <c r="HE89" s="1480"/>
      <c r="HF89" s="1480"/>
      <c r="HG89" s="1480"/>
      <c r="HH89" s="1480"/>
      <c r="HI89" s="1480"/>
      <c r="HJ89" s="1480"/>
      <c r="HK89" s="1480"/>
      <c r="HL89" s="1480"/>
      <c r="HM89" s="1480"/>
      <c r="HN89" s="1480"/>
      <c r="HO89" s="1480"/>
      <c r="HP89" s="1480"/>
      <c r="HQ89" s="1480"/>
      <c r="HR89" s="1480"/>
      <c r="HS89" s="1480"/>
      <c r="HT89" s="1480"/>
      <c r="HU89" s="1480"/>
      <c r="HV89" s="1480"/>
      <c r="HW89" s="1480"/>
      <c r="HX89" s="1480"/>
      <c r="HY89" s="1480"/>
      <c r="HZ89" s="1480"/>
      <c r="IA89" s="1480"/>
      <c r="IB89" s="1480"/>
      <c r="IC89" s="1480"/>
      <c r="ID89" s="1480"/>
      <c r="IE89" s="1480"/>
      <c r="IF89" s="1480"/>
      <c r="IG89" s="1480"/>
      <c r="IH89" s="1480"/>
      <c r="II89" s="1480"/>
      <c r="IJ89" s="1480"/>
      <c r="IK89" s="1480"/>
      <c r="IL89" s="1480"/>
      <c r="IM89" s="1480"/>
      <c r="IN89" s="1480"/>
      <c r="IO89" s="1480"/>
      <c r="IP89" s="1480"/>
      <c r="IQ89" s="1480"/>
      <c r="IR89" s="1480"/>
      <c r="IS89" s="1480"/>
      <c r="IT89" s="1480"/>
      <c r="IU89" s="1480"/>
      <c r="IV89" s="1480"/>
      <c r="IW89" s="1480"/>
      <c r="IX89" s="1480">
        <f>IF(IX74+IX81&gt;=8500,MAX(0,IX82-(IX67+IX75)),0)</f>
        <v>15049</v>
      </c>
      <c r="IY89" s="1480"/>
      <c r="IZ89" s="1480"/>
      <c r="JA89" s="1480"/>
      <c r="JB89" s="1480"/>
      <c r="JC89" s="1480"/>
      <c r="JD89" s="1480"/>
      <c r="JE89" s="1480"/>
      <c r="JF89" s="1480"/>
      <c r="JG89" s="1480"/>
      <c r="JH89" s="1480"/>
      <c r="JI89" s="1480"/>
      <c r="JJ89" s="1480"/>
      <c r="JK89" s="1480"/>
      <c r="JL89" s="1480"/>
      <c r="JM89" s="1480"/>
      <c r="JN89" s="1480"/>
      <c r="JO89" s="1480"/>
      <c r="JP89" s="1480"/>
      <c r="JQ89" s="1480"/>
      <c r="JR89" s="351"/>
      <c r="JS89" s="1384"/>
      <c r="JT89" s="450" t="s">
        <v>2224</v>
      </c>
    </row>
    <row r="90" spans="1:280" ht="12.5" x14ac:dyDescent="0.25">
      <c r="A90" s="1367">
        <v>31</v>
      </c>
      <c r="B90" s="1478" t="str">
        <f t="shared" si="4"/>
        <v/>
      </c>
      <c r="C90" s="1435" t="s">
        <v>2853</v>
      </c>
      <c r="D90" s="1443" t="str">
        <f>tax_year&amp;" back pay, received after 5 April "&amp;Tax_year_end</f>
        <v>2025-26 back pay, received after 5 April 2026</v>
      </c>
      <c r="E90" s="1453"/>
      <c r="F90" s="1453"/>
      <c r="G90" s="1453"/>
      <c r="H90" s="1453"/>
      <c r="I90" s="1453"/>
      <c r="J90" s="1453"/>
      <c r="K90" s="1453"/>
      <c r="L90" s="1453"/>
      <c r="M90" s="1453"/>
      <c r="N90" s="1453"/>
      <c r="O90" s="1453"/>
      <c r="P90" s="1453"/>
      <c r="Q90" s="1453"/>
      <c r="R90" s="1453"/>
      <c r="S90" s="1453"/>
      <c r="T90" s="1453"/>
      <c r="U90" s="1453"/>
      <c r="V90" s="1453"/>
      <c r="W90" s="1453"/>
      <c r="X90" s="1453"/>
      <c r="Y90" s="1453"/>
      <c r="Z90" s="1453"/>
      <c r="AA90" s="1453"/>
      <c r="AB90" s="1453"/>
      <c r="AC90" s="1453"/>
      <c r="AD90" s="1453"/>
      <c r="AE90" s="1453"/>
      <c r="AF90" s="1453"/>
      <c r="AG90" s="1453"/>
      <c r="AH90" s="1453"/>
      <c r="AI90" s="1453"/>
      <c r="AJ90" s="1453"/>
      <c r="AK90" s="1453"/>
      <c r="AL90" s="1453"/>
      <c r="AM90" s="1453"/>
      <c r="AN90" s="1453"/>
      <c r="AO90" s="1453"/>
      <c r="AP90" s="1453"/>
      <c r="AQ90" s="1453"/>
      <c r="AR90" s="1453"/>
      <c r="AS90" s="1453"/>
      <c r="AT90" s="1453"/>
      <c r="AU90" s="1453"/>
      <c r="AV90" s="1453"/>
      <c r="AW90" s="1453"/>
      <c r="AX90" s="1453"/>
      <c r="AY90" s="1453"/>
      <c r="AZ90" s="1453"/>
      <c r="BA90" s="1453"/>
      <c r="BB90" s="1453"/>
      <c r="BC90" s="1453"/>
      <c r="BD90" s="1453"/>
      <c r="BE90" s="1453"/>
      <c r="BF90" s="1453"/>
      <c r="BG90" s="1453"/>
      <c r="BH90" s="1453"/>
      <c r="BI90" s="1453"/>
      <c r="BJ90" s="1453"/>
      <c r="BK90" s="1453"/>
      <c r="BL90" s="1453"/>
      <c r="BM90" s="1453"/>
      <c r="BN90" s="1453"/>
      <c r="BO90" s="1453"/>
      <c r="BP90" s="1453"/>
      <c r="BQ90" s="1453"/>
      <c r="BR90" s="1453"/>
      <c r="BS90" s="1453"/>
      <c r="BT90" s="1453"/>
      <c r="BU90" s="1453"/>
      <c r="BV90" s="1453"/>
      <c r="BW90" s="1453"/>
      <c r="BX90" s="1453"/>
      <c r="BY90" s="1453"/>
      <c r="BZ90" s="1453"/>
      <c r="CA90" s="1453"/>
      <c r="CB90" s="1453"/>
      <c r="CC90" s="1453"/>
      <c r="CD90" s="1453"/>
      <c r="CE90" s="1453"/>
      <c r="CF90" s="1453"/>
      <c r="CG90" s="1453"/>
      <c r="CH90" s="1453"/>
      <c r="CI90" s="1453"/>
      <c r="CJ90" s="1453"/>
      <c r="CK90" s="1453"/>
      <c r="CL90" s="1453"/>
      <c r="CM90" s="1453"/>
      <c r="CN90" s="1453"/>
      <c r="CO90" s="1453"/>
      <c r="CP90" s="1453"/>
      <c r="CQ90" s="1453"/>
      <c r="CR90" s="1453"/>
      <c r="CS90" s="1453"/>
      <c r="CT90" s="1453"/>
      <c r="CU90" s="1453"/>
      <c r="CV90" s="1453"/>
      <c r="CW90" s="1453"/>
      <c r="CX90" s="1453"/>
      <c r="CY90" s="1453"/>
      <c r="CZ90" s="1453"/>
      <c r="DA90" s="1453"/>
      <c r="DB90" s="1453"/>
      <c r="DC90" s="1453"/>
      <c r="DD90" s="1453"/>
      <c r="DE90" s="1453"/>
      <c r="DF90" s="1453"/>
      <c r="DG90" s="1453"/>
      <c r="DH90" s="1453"/>
      <c r="DI90" s="1453"/>
      <c r="DJ90" s="1453"/>
      <c r="DK90" s="1453"/>
      <c r="DL90" s="1453"/>
      <c r="DM90" s="1453"/>
      <c r="DN90" s="1453"/>
      <c r="DO90" s="1453"/>
      <c r="DP90" s="1453"/>
      <c r="DQ90" s="1453"/>
      <c r="DR90" s="1453"/>
      <c r="DS90" s="1453"/>
      <c r="DT90" s="1453"/>
      <c r="DU90" s="1453"/>
      <c r="DV90" s="1453"/>
      <c r="DW90" s="1453"/>
      <c r="DX90" s="1453"/>
      <c r="DY90" s="1453"/>
      <c r="DZ90" s="1453"/>
      <c r="EA90" s="1453"/>
      <c r="EB90" s="1453"/>
      <c r="EC90" s="1453"/>
      <c r="ED90" s="1453"/>
      <c r="EE90" s="1453"/>
      <c r="EF90" s="1453"/>
      <c r="EG90" s="1453"/>
      <c r="EH90" s="1453"/>
      <c r="EI90" s="1453"/>
      <c r="EJ90" s="1453"/>
      <c r="EK90" s="1453"/>
      <c r="EL90" s="1453"/>
      <c r="EM90" s="1453"/>
      <c r="EN90" s="1453"/>
      <c r="EO90" s="1453"/>
      <c r="EP90" s="1453"/>
      <c r="EQ90" s="1453"/>
      <c r="ER90" s="1453"/>
      <c r="ES90" s="1453"/>
      <c r="ET90" s="1453"/>
      <c r="EU90" s="1453"/>
      <c r="EV90" s="1453"/>
      <c r="EW90" s="1453"/>
      <c r="EX90" s="1453"/>
      <c r="EY90" s="1453"/>
      <c r="EZ90" s="1453"/>
      <c r="FA90" s="1453"/>
      <c r="FB90" s="1453"/>
      <c r="FC90" s="1453"/>
      <c r="FD90" s="1453"/>
      <c r="FE90" s="1453"/>
      <c r="FF90" s="1453"/>
      <c r="FG90" s="1453"/>
      <c r="FH90" s="1453"/>
      <c r="FI90" s="1453"/>
      <c r="FJ90" s="1453"/>
      <c r="FK90" s="1453"/>
      <c r="FL90" s="1453"/>
      <c r="FM90" s="1453"/>
      <c r="FN90" s="1453"/>
      <c r="FO90" s="1453"/>
      <c r="FP90" s="1453"/>
      <c r="FQ90" s="1453"/>
      <c r="FR90" s="1453"/>
      <c r="FS90" s="1453"/>
      <c r="FT90" s="1453"/>
      <c r="FU90" s="1453"/>
      <c r="FV90" s="1453"/>
      <c r="FW90" s="1453"/>
      <c r="FX90" s="1453"/>
      <c r="FY90" s="1453"/>
      <c r="FZ90" s="1453"/>
      <c r="GA90" s="1453"/>
      <c r="GB90" s="1453"/>
      <c r="GC90" s="1453"/>
      <c r="GD90" s="1453"/>
      <c r="GE90" s="1453"/>
      <c r="GF90" s="1453"/>
      <c r="GG90" s="1453"/>
      <c r="GH90" s="1453"/>
      <c r="GI90" s="1453"/>
      <c r="GJ90" s="1453"/>
      <c r="GK90" s="1453"/>
      <c r="GL90" s="1453"/>
      <c r="GM90" s="1453"/>
      <c r="GN90" s="1453"/>
      <c r="GO90" s="1453"/>
      <c r="GP90" s="1453"/>
      <c r="GQ90" s="1453"/>
      <c r="GR90" s="1453"/>
      <c r="GS90" s="1453"/>
      <c r="GT90" s="1453"/>
      <c r="GU90" s="1453"/>
      <c r="GV90" s="1453"/>
      <c r="GW90" s="1453"/>
      <c r="GX90" s="1453"/>
      <c r="GY90" s="1453"/>
      <c r="GZ90" s="1453"/>
      <c r="HA90" s="1453"/>
      <c r="HB90" s="1453"/>
      <c r="HC90" s="1453"/>
      <c r="HD90" s="1453"/>
      <c r="HE90" s="1453"/>
      <c r="HF90" s="1453"/>
      <c r="HG90" s="1453"/>
      <c r="HH90" s="1453"/>
      <c r="HI90" s="1453"/>
      <c r="HJ90" s="1453"/>
      <c r="HK90" s="1453"/>
      <c r="HL90" s="1453"/>
      <c r="HM90" s="1453"/>
      <c r="HN90" s="1453"/>
      <c r="HO90" s="1453"/>
      <c r="HP90" s="1453"/>
      <c r="HQ90" s="1453"/>
      <c r="HR90" s="1453"/>
      <c r="HS90" s="1453"/>
      <c r="HT90" s="1453"/>
      <c r="HU90" s="1453"/>
      <c r="HV90" s="1453"/>
      <c r="HW90" s="1453"/>
      <c r="HX90" s="1453"/>
      <c r="HY90" s="1453"/>
      <c r="HZ90" s="1453"/>
      <c r="IA90" s="1453"/>
      <c r="IB90" s="1453"/>
      <c r="IC90" s="1453"/>
      <c r="ID90" s="1453"/>
      <c r="IE90" s="1453"/>
      <c r="IF90" s="1453"/>
      <c r="IG90" s="1453"/>
      <c r="IH90" s="1453"/>
      <c r="II90" s="1453"/>
      <c r="IJ90" s="1453"/>
      <c r="IK90" s="1453"/>
      <c r="IL90" s="1453"/>
      <c r="IM90" s="1453"/>
      <c r="IN90" s="1453"/>
      <c r="IO90" s="1453"/>
      <c r="IP90" s="1453"/>
      <c r="IQ90" s="1453"/>
      <c r="IR90" s="1453"/>
      <c r="IS90" s="1453"/>
      <c r="IT90" s="1453"/>
      <c r="IU90" s="1453"/>
      <c r="IV90" s="1453"/>
      <c r="IW90" s="1453"/>
      <c r="IX90" s="1453"/>
      <c r="IY90" s="1453"/>
      <c r="IZ90" s="1453"/>
      <c r="JA90" s="1453"/>
      <c r="JB90" s="1453"/>
      <c r="JC90" s="1453"/>
      <c r="JD90" s="1453"/>
      <c r="JE90" s="1453"/>
      <c r="JF90" s="1453"/>
      <c r="JG90" s="1453"/>
      <c r="JH90" s="1453"/>
      <c r="JI90" s="1453"/>
      <c r="JJ90" s="1453"/>
      <c r="JK90" s="1453"/>
      <c r="JL90" s="1453"/>
      <c r="JM90" s="1453"/>
      <c r="JN90" s="1453"/>
      <c r="JO90" s="1453"/>
      <c r="JP90" s="1453"/>
      <c r="JQ90" s="1453"/>
      <c r="JR90" s="351"/>
      <c r="JS90" s="1470"/>
      <c r="JT90" s="450" t="s">
        <v>2242</v>
      </c>
    </row>
    <row r="91" spans="1:280" ht="12.5" x14ac:dyDescent="0.25">
      <c r="A91" s="1367">
        <v>32</v>
      </c>
      <c r="B91" s="1478" t="str">
        <f t="shared" si="4"/>
        <v/>
      </c>
      <c r="C91" s="1435" t="s">
        <v>2854</v>
      </c>
      <c r="D91" s="1443" t="str">
        <f>"Earlier years’ back pay, received during "&amp;tax_year</f>
        <v>Earlier years’ back pay, received during 2025-26</v>
      </c>
      <c r="E91" s="1453"/>
      <c r="F91" s="1453"/>
      <c r="G91" s="1453"/>
      <c r="H91" s="1453"/>
      <c r="I91" s="1453"/>
      <c r="J91" s="1453"/>
      <c r="K91" s="1453"/>
      <c r="L91" s="1453"/>
      <c r="M91" s="1453"/>
      <c r="N91" s="1453"/>
      <c r="O91" s="1453"/>
      <c r="P91" s="1453"/>
      <c r="Q91" s="1453"/>
      <c r="R91" s="1453"/>
      <c r="S91" s="1453"/>
      <c r="T91" s="1453"/>
      <c r="U91" s="1453"/>
      <c r="V91" s="1453"/>
      <c r="W91" s="1453"/>
      <c r="X91" s="1453"/>
      <c r="Y91" s="1453"/>
      <c r="Z91" s="1453"/>
      <c r="AA91" s="1453"/>
      <c r="AB91" s="1453"/>
      <c r="AC91" s="1453"/>
      <c r="AD91" s="1453"/>
      <c r="AE91" s="1453"/>
      <c r="AF91" s="1453"/>
      <c r="AG91" s="1453"/>
      <c r="AH91" s="1453"/>
      <c r="AI91" s="1453"/>
      <c r="AJ91" s="1453"/>
      <c r="AK91" s="1453"/>
      <c r="AL91" s="1453"/>
      <c r="AM91" s="1453"/>
      <c r="AN91" s="1453"/>
      <c r="AO91" s="1453"/>
      <c r="AP91" s="1453"/>
      <c r="AQ91" s="1453"/>
      <c r="AR91" s="1453"/>
      <c r="AS91" s="1453"/>
      <c r="AT91" s="1453"/>
      <c r="AU91" s="1453"/>
      <c r="AV91" s="1453"/>
      <c r="AW91" s="1453"/>
      <c r="AX91" s="1453"/>
      <c r="AY91" s="1453"/>
      <c r="AZ91" s="1453"/>
      <c r="BA91" s="1453"/>
      <c r="BB91" s="1453"/>
      <c r="BC91" s="1453"/>
      <c r="BD91" s="1453"/>
      <c r="BE91" s="1453"/>
      <c r="BF91" s="1453"/>
      <c r="BG91" s="1453"/>
      <c r="BH91" s="1453"/>
      <c r="BI91" s="1453"/>
      <c r="BJ91" s="1453"/>
      <c r="BK91" s="1453"/>
      <c r="BL91" s="1453"/>
      <c r="BM91" s="1453"/>
      <c r="BN91" s="1453"/>
      <c r="BO91" s="1453"/>
      <c r="BP91" s="1453"/>
      <c r="BQ91" s="1453"/>
      <c r="BR91" s="1453"/>
      <c r="BS91" s="1453"/>
      <c r="BT91" s="1453"/>
      <c r="BU91" s="1453"/>
      <c r="BV91" s="1453"/>
      <c r="BW91" s="1453"/>
      <c r="BX91" s="1453"/>
      <c r="BY91" s="1453"/>
      <c r="BZ91" s="1453"/>
      <c r="CA91" s="1453"/>
      <c r="CB91" s="1453"/>
      <c r="CC91" s="1453"/>
      <c r="CD91" s="1453"/>
      <c r="CE91" s="1453"/>
      <c r="CF91" s="1453"/>
      <c r="CG91" s="1453"/>
      <c r="CH91" s="1453"/>
      <c r="CI91" s="1453"/>
      <c r="CJ91" s="1453"/>
      <c r="CK91" s="1453"/>
      <c r="CL91" s="1453"/>
      <c r="CM91" s="1453"/>
      <c r="CN91" s="1453"/>
      <c r="CO91" s="1453"/>
      <c r="CP91" s="1453"/>
      <c r="CQ91" s="1453"/>
      <c r="CR91" s="1453"/>
      <c r="CS91" s="1453"/>
      <c r="CT91" s="1453"/>
      <c r="CU91" s="1453"/>
      <c r="CV91" s="1453"/>
      <c r="CW91" s="1453"/>
      <c r="CX91" s="1453"/>
      <c r="CY91" s="1453"/>
      <c r="CZ91" s="1453"/>
      <c r="DA91" s="1453"/>
      <c r="DB91" s="1453"/>
      <c r="DC91" s="1453"/>
      <c r="DD91" s="1453"/>
      <c r="DE91" s="1453"/>
      <c r="DF91" s="1453"/>
      <c r="DG91" s="1453"/>
      <c r="DH91" s="1453"/>
      <c r="DI91" s="1453"/>
      <c r="DJ91" s="1453"/>
      <c r="DK91" s="1453"/>
      <c r="DL91" s="1453"/>
      <c r="DM91" s="1453"/>
      <c r="DN91" s="1453"/>
      <c r="DO91" s="1453"/>
      <c r="DP91" s="1453"/>
      <c r="DQ91" s="1453"/>
      <c r="DR91" s="1453"/>
      <c r="DS91" s="1453"/>
      <c r="DT91" s="1453"/>
      <c r="DU91" s="1453"/>
      <c r="DV91" s="1453"/>
      <c r="DW91" s="1453"/>
      <c r="DX91" s="1453"/>
      <c r="DY91" s="1453"/>
      <c r="DZ91" s="1453"/>
      <c r="EA91" s="1453"/>
      <c r="EB91" s="1453">
        <v>1800</v>
      </c>
      <c r="EC91" s="1453"/>
      <c r="ED91" s="1453"/>
      <c r="EE91" s="1453"/>
      <c r="EF91" s="1453"/>
      <c r="EG91" s="1453"/>
      <c r="EH91" s="1453"/>
      <c r="EI91" s="1453"/>
      <c r="EJ91" s="1453"/>
      <c r="EK91" s="1453"/>
      <c r="EL91" s="1453"/>
      <c r="EM91" s="1453"/>
      <c r="EN91" s="1453"/>
      <c r="EO91" s="1453"/>
      <c r="EP91" s="1453"/>
      <c r="EQ91" s="1453"/>
      <c r="ER91" s="1453"/>
      <c r="ES91" s="1453"/>
      <c r="ET91" s="1453"/>
      <c r="EU91" s="1453"/>
      <c r="EV91" s="1453"/>
      <c r="EW91" s="1453"/>
      <c r="EX91" s="1453"/>
      <c r="EY91" s="1453"/>
      <c r="EZ91" s="1453"/>
      <c r="FA91" s="1453"/>
      <c r="FB91" s="1453"/>
      <c r="FC91" s="1453"/>
      <c r="FD91" s="1453"/>
      <c r="FE91" s="1453"/>
      <c r="FF91" s="1453"/>
      <c r="FG91" s="1453"/>
      <c r="FH91" s="1453"/>
      <c r="FI91" s="1453"/>
      <c r="FJ91" s="1453"/>
      <c r="FK91" s="1453"/>
      <c r="FL91" s="1453"/>
      <c r="FM91" s="1453"/>
      <c r="FN91" s="1453"/>
      <c r="FO91" s="1453"/>
      <c r="FP91" s="1453"/>
      <c r="FQ91" s="1453"/>
      <c r="FR91" s="1453"/>
      <c r="FS91" s="1453"/>
      <c r="FT91" s="1453"/>
      <c r="FU91" s="1453"/>
      <c r="FV91" s="1453"/>
      <c r="FW91" s="1453"/>
      <c r="FX91" s="1453"/>
      <c r="FY91" s="1453"/>
      <c r="FZ91" s="1453"/>
      <c r="GA91" s="1453"/>
      <c r="GB91" s="1453"/>
      <c r="GC91" s="1453"/>
      <c r="GD91" s="1453"/>
      <c r="GE91" s="1453"/>
      <c r="GF91" s="1453"/>
      <c r="GG91" s="1453"/>
      <c r="GH91" s="1453"/>
      <c r="GI91" s="1453"/>
      <c r="GJ91" s="1453"/>
      <c r="GK91" s="1453"/>
      <c r="GL91" s="1453"/>
      <c r="GM91" s="1453"/>
      <c r="GN91" s="1453"/>
      <c r="GO91" s="1453"/>
      <c r="GP91" s="1453"/>
      <c r="GQ91" s="1453"/>
      <c r="GR91" s="1453"/>
      <c r="GS91" s="1453"/>
      <c r="GT91" s="1453"/>
      <c r="GU91" s="1453"/>
      <c r="GV91" s="1453"/>
      <c r="GW91" s="1453"/>
      <c r="GX91" s="1453"/>
      <c r="GY91" s="1453"/>
      <c r="GZ91" s="1453"/>
      <c r="HA91" s="1453"/>
      <c r="HB91" s="1453"/>
      <c r="HC91" s="1453"/>
      <c r="HD91" s="1453"/>
      <c r="HE91" s="1453"/>
      <c r="HF91" s="1453"/>
      <c r="HG91" s="1453"/>
      <c r="HH91" s="1453"/>
      <c r="HI91" s="1453"/>
      <c r="HJ91" s="1453"/>
      <c r="HK91" s="1453"/>
      <c r="HL91" s="1453"/>
      <c r="HM91" s="1453"/>
      <c r="HN91" s="1453"/>
      <c r="HO91" s="1453"/>
      <c r="HP91" s="1453"/>
      <c r="HQ91" s="1453"/>
      <c r="HR91" s="1453"/>
      <c r="HS91" s="1453"/>
      <c r="HT91" s="1453"/>
      <c r="HU91" s="1453"/>
      <c r="HV91" s="1453"/>
      <c r="HW91" s="1453"/>
      <c r="HX91" s="1453"/>
      <c r="HY91" s="1453"/>
      <c r="HZ91" s="1453"/>
      <c r="IA91" s="1453"/>
      <c r="IB91" s="1453"/>
      <c r="IC91" s="1453"/>
      <c r="ID91" s="1453"/>
      <c r="IE91" s="1453"/>
      <c r="IF91" s="1453"/>
      <c r="IG91" s="1453"/>
      <c r="IH91" s="1453"/>
      <c r="II91" s="1453"/>
      <c r="IJ91" s="1453"/>
      <c r="IK91" s="1453"/>
      <c r="IL91" s="1453"/>
      <c r="IM91" s="1453"/>
      <c r="IN91" s="1453"/>
      <c r="IO91" s="1453"/>
      <c r="IP91" s="1453"/>
      <c r="IQ91" s="1453"/>
      <c r="IR91" s="1453"/>
      <c r="IS91" s="1453"/>
      <c r="IT91" s="1453"/>
      <c r="IU91" s="1453"/>
      <c r="IV91" s="1453"/>
      <c r="IW91" s="1453"/>
      <c r="IX91" s="1453"/>
      <c r="IY91" s="1453"/>
      <c r="IZ91" s="1453"/>
      <c r="JA91" s="1453"/>
      <c r="JB91" s="1453"/>
      <c r="JC91" s="1453"/>
      <c r="JD91" s="1453"/>
      <c r="JE91" s="1453"/>
      <c r="JF91" s="1453"/>
      <c r="JG91" s="1453"/>
      <c r="JH91" s="1453"/>
      <c r="JI91" s="1453"/>
      <c r="JJ91" s="1453"/>
      <c r="JK91" s="1453"/>
      <c r="JL91" s="1453"/>
      <c r="JM91" s="1453"/>
      <c r="JN91" s="1453"/>
      <c r="JO91" s="1453"/>
      <c r="JP91" s="1453"/>
      <c r="JQ91" s="1453"/>
      <c r="JR91" s="351"/>
      <c r="JS91" s="1470"/>
      <c r="JT91" s="450" t="s">
        <v>2242</v>
      </c>
    </row>
    <row r="92" spans="1:280" ht="12.5" x14ac:dyDescent="0.25">
      <c r="A92" s="1367">
        <v>33</v>
      </c>
      <c r="B92" s="1478" t="str">
        <f t="shared" si="4"/>
        <v/>
      </c>
      <c r="C92" s="1435" t="s">
        <v>2855</v>
      </c>
      <c r="D92" s="1443" t="s">
        <v>2856</v>
      </c>
      <c r="E92" s="1453"/>
      <c r="F92" s="1453"/>
      <c r="G92" s="1453"/>
      <c r="H92" s="1453"/>
      <c r="I92" s="1453"/>
      <c r="J92" s="1453"/>
      <c r="K92" s="1453"/>
      <c r="L92" s="1453"/>
      <c r="M92" s="1453"/>
      <c r="N92" s="1453"/>
      <c r="O92" s="1453"/>
      <c r="P92" s="1453"/>
      <c r="Q92" s="1453"/>
      <c r="R92" s="1453"/>
      <c r="S92" s="1453"/>
      <c r="T92" s="1453"/>
      <c r="U92" s="1453"/>
      <c r="V92" s="1453"/>
      <c r="W92" s="1453"/>
      <c r="X92" s="1453"/>
      <c r="Y92" s="1453"/>
      <c r="Z92" s="1453"/>
      <c r="AA92" s="1453"/>
      <c r="AB92" s="1453"/>
      <c r="AC92" s="1453"/>
      <c r="AD92" s="1453"/>
      <c r="AE92" s="1453"/>
      <c r="AF92" s="1453"/>
      <c r="AG92" s="1453"/>
      <c r="AH92" s="1453"/>
      <c r="AI92" s="1453"/>
      <c r="AJ92" s="1453"/>
      <c r="AK92" s="1453"/>
      <c r="AL92" s="1453"/>
      <c r="AM92" s="1453"/>
      <c r="AN92" s="1453"/>
      <c r="AO92" s="1453"/>
      <c r="AP92" s="1453"/>
      <c r="AQ92" s="1453"/>
      <c r="AR92" s="1453"/>
      <c r="AS92" s="1453"/>
      <c r="AT92" s="1453"/>
      <c r="AU92" s="1453"/>
      <c r="AV92" s="1453"/>
      <c r="AW92" s="1453"/>
      <c r="AX92" s="1453"/>
      <c r="AY92" s="1453"/>
      <c r="AZ92" s="1453"/>
      <c r="BA92" s="1453"/>
      <c r="BB92" s="1453"/>
      <c r="BC92" s="1453"/>
      <c r="BD92" s="1453"/>
      <c r="BE92" s="1453"/>
      <c r="BF92" s="1453"/>
      <c r="BG92" s="1453"/>
      <c r="BH92" s="1453"/>
      <c r="BI92" s="1453"/>
      <c r="BJ92" s="1453"/>
      <c r="BK92" s="1453"/>
      <c r="BL92" s="1453"/>
      <c r="BM92" s="1453"/>
      <c r="BN92" s="1453"/>
      <c r="BO92" s="1453"/>
      <c r="BP92" s="1453"/>
      <c r="BQ92" s="1453"/>
      <c r="BR92" s="1453"/>
      <c r="BS92" s="1453"/>
      <c r="BT92" s="1453"/>
      <c r="BU92" s="1453"/>
      <c r="BV92" s="1453"/>
      <c r="BW92" s="1453"/>
      <c r="BX92" s="1453"/>
      <c r="BY92" s="1453"/>
      <c r="BZ92" s="1453"/>
      <c r="CA92" s="1453"/>
      <c r="CB92" s="1453"/>
      <c r="CC92" s="1453"/>
      <c r="CD92" s="1453"/>
      <c r="CE92" s="1453"/>
      <c r="CF92" s="1453"/>
      <c r="CG92" s="1453"/>
      <c r="CH92" s="1453"/>
      <c r="CI92" s="1453"/>
      <c r="CJ92" s="1453"/>
      <c r="CK92" s="1453"/>
      <c r="CL92" s="1453"/>
      <c r="CM92" s="1453"/>
      <c r="CN92" s="1453"/>
      <c r="CO92" s="1453"/>
      <c r="CP92" s="1453"/>
      <c r="CQ92" s="1453"/>
      <c r="CR92" s="1453"/>
      <c r="CS92" s="1453"/>
      <c r="CT92" s="1453"/>
      <c r="CU92" s="1453"/>
      <c r="CV92" s="1453"/>
      <c r="CW92" s="1453"/>
      <c r="CX92" s="1453"/>
      <c r="CY92" s="1453"/>
      <c r="CZ92" s="1453"/>
      <c r="DA92" s="1453"/>
      <c r="DB92" s="1453"/>
      <c r="DC92" s="1453"/>
      <c r="DD92" s="1453"/>
      <c r="DE92" s="1453"/>
      <c r="DF92" s="1453"/>
      <c r="DG92" s="1453"/>
      <c r="DH92" s="1453"/>
      <c r="DI92" s="1453"/>
      <c r="DJ92" s="1453"/>
      <c r="DK92" s="1453"/>
      <c r="DL92" s="1453"/>
      <c r="DM92" s="1453"/>
      <c r="DN92" s="1453"/>
      <c r="DO92" s="1453"/>
      <c r="DP92" s="1453"/>
      <c r="DQ92" s="1453"/>
      <c r="DR92" s="1453"/>
      <c r="DS92" s="1453"/>
      <c r="DT92" s="1453"/>
      <c r="DU92" s="1453"/>
      <c r="DV92" s="1453"/>
      <c r="DW92" s="1453"/>
      <c r="DX92" s="1453"/>
      <c r="DY92" s="1453"/>
      <c r="DZ92" s="1453"/>
      <c r="EA92" s="1453"/>
      <c r="EB92" s="1453">
        <v>600</v>
      </c>
      <c r="EC92" s="1453"/>
      <c r="ED92" s="1453"/>
      <c r="EE92" s="1453"/>
      <c r="EF92" s="1453"/>
      <c r="EG92" s="1453"/>
      <c r="EH92" s="1453"/>
      <c r="EI92" s="1453"/>
      <c r="EJ92" s="1453"/>
      <c r="EK92" s="1453"/>
      <c r="EL92" s="1453"/>
      <c r="EM92" s="1453"/>
      <c r="EN92" s="1453"/>
      <c r="EO92" s="1453"/>
      <c r="EP92" s="1453"/>
      <c r="EQ92" s="1453"/>
      <c r="ER92" s="1453"/>
      <c r="ES92" s="1453"/>
      <c r="ET92" s="1453"/>
      <c r="EU92" s="1453"/>
      <c r="EV92" s="1453"/>
      <c r="EW92" s="1453"/>
      <c r="EX92" s="1453"/>
      <c r="EY92" s="1453"/>
      <c r="EZ92" s="1453"/>
      <c r="FA92" s="1453"/>
      <c r="FB92" s="1453"/>
      <c r="FC92" s="1453"/>
      <c r="FD92" s="1453"/>
      <c r="FE92" s="1453"/>
      <c r="FF92" s="1453"/>
      <c r="FG92" s="1453"/>
      <c r="FH92" s="1453"/>
      <c r="FI92" s="1453"/>
      <c r="FJ92" s="1453"/>
      <c r="FK92" s="1453"/>
      <c r="FL92" s="1453"/>
      <c r="FM92" s="1453"/>
      <c r="FN92" s="1453"/>
      <c r="FO92" s="1453"/>
      <c r="FP92" s="1453"/>
      <c r="FQ92" s="1453"/>
      <c r="FR92" s="1453"/>
      <c r="FS92" s="1453"/>
      <c r="FT92" s="1453"/>
      <c r="FU92" s="1453"/>
      <c r="FV92" s="1453"/>
      <c r="FW92" s="1453"/>
      <c r="FX92" s="1453"/>
      <c r="FY92" s="1453"/>
      <c r="FZ92" s="1453"/>
      <c r="GA92" s="1453"/>
      <c r="GB92" s="1453"/>
      <c r="GC92" s="1453"/>
      <c r="GD92" s="1453"/>
      <c r="GE92" s="1453"/>
      <c r="GF92" s="1453"/>
      <c r="GG92" s="1453"/>
      <c r="GH92" s="1453"/>
      <c r="GI92" s="1453"/>
      <c r="GJ92" s="1453"/>
      <c r="GK92" s="1453"/>
      <c r="GL92" s="1453"/>
      <c r="GM92" s="1453"/>
      <c r="GN92" s="1453"/>
      <c r="GO92" s="1453"/>
      <c r="GP92" s="1453"/>
      <c r="GQ92" s="1453"/>
      <c r="GR92" s="1453"/>
      <c r="GS92" s="1453"/>
      <c r="GT92" s="1453"/>
      <c r="GU92" s="1453"/>
      <c r="GV92" s="1453"/>
      <c r="GW92" s="1453"/>
      <c r="GX92" s="1453"/>
      <c r="GY92" s="1453"/>
      <c r="GZ92" s="1453"/>
      <c r="HA92" s="1453"/>
      <c r="HB92" s="1453"/>
      <c r="HC92" s="1453"/>
      <c r="HD92" s="1453"/>
      <c r="HE92" s="1453"/>
      <c r="HF92" s="1453"/>
      <c r="HG92" s="1453"/>
      <c r="HH92" s="1453"/>
      <c r="HI92" s="1453"/>
      <c r="HJ92" s="1453"/>
      <c r="HK92" s="1453"/>
      <c r="HL92" s="1453"/>
      <c r="HM92" s="1453"/>
      <c r="HN92" s="1453"/>
      <c r="HO92" s="1453"/>
      <c r="HP92" s="1453"/>
      <c r="HQ92" s="1453"/>
      <c r="HR92" s="1453"/>
      <c r="HS92" s="1453"/>
      <c r="HT92" s="1453"/>
      <c r="HU92" s="1453"/>
      <c r="HV92" s="1453"/>
      <c r="HW92" s="1453"/>
      <c r="HX92" s="1453"/>
      <c r="HY92" s="1453"/>
      <c r="HZ92" s="1453"/>
      <c r="IA92" s="1453"/>
      <c r="IB92" s="1453"/>
      <c r="IC92" s="1453"/>
      <c r="ID92" s="1453"/>
      <c r="IE92" s="1453"/>
      <c r="IF92" s="1453"/>
      <c r="IG92" s="1453"/>
      <c r="IH92" s="1453"/>
      <c r="II92" s="1453"/>
      <c r="IJ92" s="1453"/>
      <c r="IK92" s="1453"/>
      <c r="IL92" s="1453"/>
      <c r="IM92" s="1453"/>
      <c r="IN92" s="1453"/>
      <c r="IO92" s="1453"/>
      <c r="IP92" s="1453"/>
      <c r="IQ92" s="1453"/>
      <c r="IR92" s="1453"/>
      <c r="IS92" s="1453"/>
      <c r="IT92" s="1453"/>
      <c r="IU92" s="1453"/>
      <c r="IV92" s="1453"/>
      <c r="IW92" s="1453"/>
      <c r="IX92" s="1453"/>
      <c r="IY92" s="1453"/>
      <c r="IZ92" s="1453"/>
      <c r="JA92" s="1453"/>
      <c r="JB92" s="1453"/>
      <c r="JC92" s="1453"/>
      <c r="JD92" s="1453"/>
      <c r="JE92" s="1453"/>
      <c r="JF92" s="1453"/>
      <c r="JG92" s="1453"/>
      <c r="JH92" s="1453"/>
      <c r="JI92" s="1453"/>
      <c r="JJ92" s="1453"/>
      <c r="JK92" s="1453"/>
      <c r="JL92" s="1453"/>
      <c r="JM92" s="1453"/>
      <c r="JN92" s="1453"/>
      <c r="JO92" s="1453"/>
      <c r="JP92" s="1453"/>
      <c r="JQ92" s="1453"/>
      <c r="JR92" s="351"/>
      <c r="JS92" s="1470"/>
      <c r="JT92" s="450" t="s">
        <v>2242</v>
      </c>
    </row>
    <row r="93" spans="1:280" ht="12.5" x14ac:dyDescent="0.25">
      <c r="A93" s="1367">
        <v>34</v>
      </c>
      <c r="B93" s="1478" t="str">
        <f t="shared" si="4"/>
        <v/>
      </c>
      <c r="C93" s="1435" t="s">
        <v>2857</v>
      </c>
      <c r="D93" s="1443" t="s">
        <v>2858</v>
      </c>
      <c r="E93" s="1480"/>
      <c r="F93" s="1480"/>
      <c r="G93" s="1480"/>
      <c r="H93" s="1480"/>
      <c r="I93" s="1480"/>
      <c r="J93" s="1480"/>
      <c r="K93" s="1480"/>
      <c r="L93" s="1480"/>
      <c r="M93" s="1480"/>
      <c r="N93" s="1480"/>
      <c r="O93" s="1480"/>
      <c r="P93" s="1480"/>
      <c r="Q93" s="1480"/>
      <c r="R93" s="1480"/>
      <c r="S93" s="1480"/>
      <c r="T93" s="1480"/>
      <c r="U93" s="1480"/>
      <c r="V93" s="1480"/>
      <c r="W93" s="1480"/>
      <c r="X93" s="1480"/>
      <c r="Y93" s="1480"/>
      <c r="Z93" s="1480"/>
      <c r="AA93" s="1480"/>
      <c r="AB93" s="1480"/>
      <c r="AC93" s="1480"/>
      <c r="AD93" s="1480"/>
      <c r="AE93" s="1480"/>
      <c r="AF93" s="1480"/>
      <c r="AG93" s="1480"/>
      <c r="AH93" s="1480"/>
      <c r="AI93" s="1480"/>
      <c r="AJ93" s="1480"/>
      <c r="AK93" s="1480"/>
      <c r="AL93" s="1480"/>
      <c r="AM93" s="1480"/>
      <c r="AN93" s="1480"/>
      <c r="AO93" s="1480"/>
      <c r="AP93" s="1480"/>
      <c r="AQ93" s="1480"/>
      <c r="AR93" s="1480"/>
      <c r="AS93" s="1480"/>
      <c r="AT93" s="1480"/>
      <c r="AU93" s="1480"/>
      <c r="AV93" s="1480"/>
      <c r="AW93" s="1480"/>
      <c r="AX93" s="1480"/>
      <c r="AY93" s="1480"/>
      <c r="AZ93" s="1480"/>
      <c r="BA93" s="1480"/>
      <c r="BB93" s="1480"/>
      <c r="BC93" s="1480"/>
      <c r="BD93" s="1480"/>
      <c r="BE93" s="1480"/>
      <c r="BF93" s="1480"/>
      <c r="BG93" s="1480"/>
      <c r="BH93" s="1480"/>
      <c r="BI93" s="1480"/>
      <c r="BJ93" s="1480"/>
      <c r="BK93" s="1480"/>
      <c r="BL93" s="1480"/>
      <c r="BM93" s="1480"/>
      <c r="BN93" s="1480"/>
      <c r="BO93" s="1480"/>
      <c r="BP93" s="1480"/>
      <c r="BQ93" s="1480"/>
      <c r="BR93" s="1480"/>
      <c r="BS93" s="1480"/>
      <c r="BT93" s="1480"/>
      <c r="BU93" s="1480"/>
      <c r="BV93" s="1480"/>
      <c r="BW93" s="1480"/>
      <c r="BX93" s="1480"/>
      <c r="BY93" s="1480"/>
      <c r="BZ93" s="1480"/>
      <c r="CA93" s="1480"/>
      <c r="CB93" s="1480"/>
      <c r="CC93" s="1480"/>
      <c r="CD93" s="1480"/>
      <c r="CE93" s="1480"/>
      <c r="CF93" s="1480"/>
      <c r="CG93" s="1480"/>
      <c r="CH93" s="1480"/>
      <c r="CI93" s="1480"/>
      <c r="CJ93" s="1480"/>
      <c r="CK93" s="1480"/>
      <c r="CL93" s="1480"/>
      <c r="CM93" s="1480"/>
      <c r="CN93" s="1480"/>
      <c r="CO93" s="1480"/>
      <c r="CP93" s="1480"/>
      <c r="CQ93" s="1480"/>
      <c r="CR93" s="1480"/>
      <c r="CS93" s="1480"/>
      <c r="CT93" s="1480">
        <f>IF(AND(CT74+CT81&gt;=8500,CT67+CT75&gt;0),MAX(CT89+CT90-(CT88+CT91+CT92)),0)</f>
        <v>21172</v>
      </c>
      <c r="CU93" s="1480"/>
      <c r="CV93" s="1480"/>
      <c r="CW93" s="1480"/>
      <c r="CX93" s="1480"/>
      <c r="CY93" s="1480"/>
      <c r="CZ93" s="1480"/>
      <c r="DA93" s="1480"/>
      <c r="DB93" s="1480"/>
      <c r="DC93" s="1480"/>
      <c r="DD93" s="1480"/>
      <c r="DE93" s="1480"/>
      <c r="DF93" s="1480"/>
      <c r="DG93" s="1480"/>
      <c r="DH93" s="1480"/>
      <c r="DI93" s="1480"/>
      <c r="DJ93" s="1480"/>
      <c r="DK93" s="1480"/>
      <c r="DL93" s="1480"/>
      <c r="DM93" s="1480"/>
      <c r="DN93" s="1480"/>
      <c r="DO93" s="1480"/>
      <c r="DP93" s="1480"/>
      <c r="DQ93" s="1480"/>
      <c r="DR93" s="1480"/>
      <c r="DS93" s="1480"/>
      <c r="DT93" s="1480"/>
      <c r="DU93" s="1480"/>
      <c r="DV93" s="1480"/>
      <c r="DW93" s="1480"/>
      <c r="DX93" s="1480"/>
      <c r="DY93" s="1480"/>
      <c r="DZ93" s="1480"/>
      <c r="EA93" s="1480">
        <f>IF(AND(EA74+EA81&gt;=8500,EA67+EA75&gt;0),MAX(EA89+EA90-(EA88+EA91+EA92)),0)</f>
        <v>0</v>
      </c>
      <c r="EB93" s="1480">
        <f>IF(AND(EB74+EB81&gt;=8500,EB67+EB75&gt;0),MAX(EB89+EB90-(EB88+EB91+EB92)),0)</f>
        <v>11580</v>
      </c>
      <c r="EC93" s="1480">
        <f>IF(AND(EC74+EC81&gt;=8500,EC67+EC75&gt;0),MAX(EC89+EC90-(EC88+EC91+EC92)),0)</f>
        <v>21172</v>
      </c>
      <c r="ED93" s="1480"/>
      <c r="EE93" s="1480"/>
      <c r="EF93" s="1480"/>
      <c r="EG93" s="1480"/>
      <c r="EH93" s="1480"/>
      <c r="EI93" s="1480"/>
      <c r="EJ93" s="1480"/>
      <c r="EK93" s="1480"/>
      <c r="EL93" s="1480"/>
      <c r="EM93" s="1480"/>
      <c r="EN93" s="1480"/>
      <c r="EO93" s="1480"/>
      <c r="EP93" s="1480"/>
      <c r="EQ93" s="1480"/>
      <c r="ER93" s="1480"/>
      <c r="ES93" s="1480"/>
      <c r="ET93" s="1480"/>
      <c r="EU93" s="1480"/>
      <c r="EV93" s="1480"/>
      <c r="EW93" s="1480"/>
      <c r="EX93" s="1480"/>
      <c r="EY93" s="1480"/>
      <c r="EZ93" s="1480"/>
      <c r="FA93" s="1480"/>
      <c r="FB93" s="1480">
        <f>IF(AND(FB74+FB81&gt;=8500,FB67+FB75&gt;0),MAX(FB89+FB90-(FB88+FB91+FB92)),0)</f>
        <v>21172</v>
      </c>
      <c r="FC93" s="1480"/>
      <c r="FD93" s="1480"/>
      <c r="FE93" s="1480"/>
      <c r="FF93" s="1480"/>
      <c r="FG93" s="1480"/>
      <c r="FH93" s="1480"/>
      <c r="FI93" s="1480"/>
      <c r="FJ93" s="1480"/>
      <c r="FK93" s="1480"/>
      <c r="FL93" s="1480"/>
      <c r="FM93" s="1480"/>
      <c r="FN93" s="1480"/>
      <c r="FO93" s="1480"/>
      <c r="FP93" s="1480"/>
      <c r="FQ93" s="1480"/>
      <c r="FR93" s="1480"/>
      <c r="FS93" s="1480"/>
      <c r="FT93" s="1480"/>
      <c r="FU93" s="1480"/>
      <c r="FV93" s="1480"/>
      <c r="FW93" s="1480"/>
      <c r="FX93" s="1480"/>
      <c r="FY93" s="1480"/>
      <c r="FZ93" s="1480"/>
      <c r="GA93" s="1480"/>
      <c r="GB93" s="1480"/>
      <c r="GC93" s="1480"/>
      <c r="GD93" s="1480"/>
      <c r="GE93" s="1480"/>
      <c r="GF93" s="1480"/>
      <c r="GG93" s="1480"/>
      <c r="GH93" s="1480"/>
      <c r="GI93" s="1480"/>
      <c r="GJ93" s="1480"/>
      <c r="GK93" s="1480"/>
      <c r="GL93" s="1480"/>
      <c r="GM93" s="1480"/>
      <c r="GN93" s="1480"/>
      <c r="GO93" s="1480"/>
      <c r="GP93" s="1480"/>
      <c r="GQ93" s="1480"/>
      <c r="GR93" s="1480"/>
      <c r="GS93" s="1480"/>
      <c r="GT93" s="1480"/>
      <c r="GU93" s="1480"/>
      <c r="GV93" s="1480"/>
      <c r="GW93" s="1480"/>
      <c r="GX93" s="1480"/>
      <c r="GY93" s="1480"/>
      <c r="GZ93" s="1480"/>
      <c r="HA93" s="1480"/>
      <c r="HB93" s="1480"/>
      <c r="HC93" s="1480"/>
      <c r="HD93" s="1480"/>
      <c r="HE93" s="1480"/>
      <c r="HF93" s="1480"/>
      <c r="HG93" s="1480"/>
      <c r="HH93" s="1480"/>
      <c r="HI93" s="1480"/>
      <c r="HJ93" s="1480"/>
      <c r="HK93" s="1480"/>
      <c r="HL93" s="1480"/>
      <c r="HM93" s="1480"/>
      <c r="HN93" s="1480"/>
      <c r="HO93" s="1480"/>
      <c r="HP93" s="1480"/>
      <c r="HQ93" s="1480"/>
      <c r="HR93" s="1480"/>
      <c r="HS93" s="1480"/>
      <c r="HT93" s="1480"/>
      <c r="HU93" s="1480"/>
      <c r="HV93" s="1480"/>
      <c r="HW93" s="1480"/>
      <c r="HX93" s="1480"/>
      <c r="HY93" s="1480"/>
      <c r="HZ93" s="1480"/>
      <c r="IA93" s="1480"/>
      <c r="IB93" s="1480"/>
      <c r="IC93" s="1480"/>
      <c r="ID93" s="1480"/>
      <c r="IE93" s="1480"/>
      <c r="IF93" s="1480"/>
      <c r="IG93" s="1480"/>
      <c r="IH93" s="1480"/>
      <c r="II93" s="1480"/>
      <c r="IJ93" s="1480"/>
      <c r="IK93" s="1480"/>
      <c r="IL93" s="1480"/>
      <c r="IM93" s="1480"/>
      <c r="IN93" s="1480"/>
      <c r="IO93" s="1480"/>
      <c r="IP93" s="1480"/>
      <c r="IQ93" s="1480"/>
      <c r="IR93" s="1480"/>
      <c r="IS93" s="1480"/>
      <c r="IT93" s="1480"/>
      <c r="IU93" s="1480"/>
      <c r="IV93" s="1480"/>
      <c r="IW93" s="1480"/>
      <c r="IX93" s="1480">
        <v>7400</v>
      </c>
      <c r="IY93" s="1480"/>
      <c r="IZ93" s="1480"/>
      <c r="JA93" s="1480"/>
      <c r="JB93" s="1480"/>
      <c r="JC93" s="1480"/>
      <c r="JD93" s="1480"/>
      <c r="JE93" s="1480"/>
      <c r="JF93" s="1480"/>
      <c r="JG93" s="1480"/>
      <c r="JH93" s="1480"/>
      <c r="JI93" s="1480"/>
      <c r="JJ93" s="1480"/>
      <c r="JK93" s="1480"/>
      <c r="JL93" s="1480"/>
      <c r="JM93" s="1480"/>
      <c r="JN93" s="1480"/>
      <c r="JO93" s="1480"/>
      <c r="JP93" s="1480"/>
      <c r="JQ93" s="1480"/>
      <c r="JR93" s="351"/>
      <c r="JS93" s="1365" t="s">
        <v>2859</v>
      </c>
      <c r="JT93" s="450" t="s">
        <v>2224</v>
      </c>
    </row>
    <row r="94" spans="1:280" ht="12.5" x14ac:dyDescent="0.25">
      <c r="A94" s="1367">
        <v>35</v>
      </c>
      <c r="B94" s="1478" t="str">
        <f t="shared" si="4"/>
        <v/>
      </c>
      <c r="C94" s="1435" t="s">
        <v>2860</v>
      </c>
      <c r="D94" s="1443" t="s">
        <v>2861</v>
      </c>
      <c r="E94" s="1480"/>
      <c r="F94" s="1480"/>
      <c r="G94" s="1480"/>
      <c r="H94" s="1480"/>
      <c r="I94" s="1480"/>
      <c r="J94" s="1480"/>
      <c r="K94" s="1480"/>
      <c r="L94" s="1480"/>
      <c r="M94" s="1480"/>
      <c r="N94" s="1480"/>
      <c r="O94" s="1480"/>
      <c r="P94" s="1480"/>
      <c r="Q94" s="1480"/>
      <c r="R94" s="1480"/>
      <c r="S94" s="1480"/>
      <c r="T94" s="1480"/>
      <c r="U94" s="1480"/>
      <c r="V94" s="1480"/>
      <c r="W94" s="1480"/>
      <c r="X94" s="1480"/>
      <c r="Y94" s="1480"/>
      <c r="Z94" s="1480"/>
      <c r="AA94" s="1480"/>
      <c r="AB94" s="1480"/>
      <c r="AC94" s="1480"/>
      <c r="AD94" s="1480"/>
      <c r="AE94" s="1480"/>
      <c r="AF94" s="1480"/>
      <c r="AG94" s="1480"/>
      <c r="AH94" s="1480"/>
      <c r="AI94" s="1480"/>
      <c r="AJ94" s="1480"/>
      <c r="AK94" s="1480"/>
      <c r="AL94" s="1480"/>
      <c r="AM94" s="1480"/>
      <c r="AN94" s="1480"/>
      <c r="AO94" s="1480"/>
      <c r="AP94" s="1480"/>
      <c r="AQ94" s="1480"/>
      <c r="AR94" s="1480"/>
      <c r="AS94" s="1480"/>
      <c r="AT94" s="1480"/>
      <c r="AU94" s="1480"/>
      <c r="AV94" s="1480"/>
      <c r="AW94" s="1480"/>
      <c r="AX94" s="1480"/>
      <c r="AY94" s="1480"/>
      <c r="AZ94" s="1480"/>
      <c r="BA94" s="1480"/>
      <c r="BB94" s="1480"/>
      <c r="BC94" s="1480"/>
      <c r="BD94" s="1480"/>
      <c r="BE94" s="1480"/>
      <c r="BF94" s="1480"/>
      <c r="BG94" s="1480"/>
      <c r="BH94" s="1480"/>
      <c r="BI94" s="1480"/>
      <c r="BJ94" s="1480"/>
      <c r="BK94" s="1480"/>
      <c r="BL94" s="1480"/>
      <c r="BM94" s="1480"/>
      <c r="BN94" s="1480"/>
      <c r="BO94" s="1480"/>
      <c r="BP94" s="1480"/>
      <c r="BQ94" s="1480"/>
      <c r="BR94" s="1480"/>
      <c r="BS94" s="1480"/>
      <c r="BT94" s="1480"/>
      <c r="BU94" s="1480"/>
      <c r="BV94" s="1480"/>
      <c r="BW94" s="1480"/>
      <c r="BX94" s="1480"/>
      <c r="BY94" s="1480"/>
      <c r="BZ94" s="1480"/>
      <c r="CA94" s="1480"/>
      <c r="CB94" s="1480"/>
      <c r="CC94" s="1480"/>
      <c r="CD94" s="1480"/>
      <c r="CE94" s="1480"/>
      <c r="CF94" s="1480"/>
      <c r="CG94" s="1480"/>
      <c r="CH94" s="1480"/>
      <c r="CI94" s="1480"/>
      <c r="CJ94" s="1480"/>
      <c r="CK94" s="1480"/>
      <c r="CL94" s="1480"/>
      <c r="CM94" s="1480"/>
      <c r="CN94" s="1480"/>
      <c r="CO94" s="1480"/>
      <c r="CP94" s="1480"/>
      <c r="CQ94" s="1480"/>
      <c r="CR94" s="1480"/>
      <c r="CS94" s="1480"/>
      <c r="CT94" s="1480">
        <f>CT93*10%</f>
        <v>2117.2000000000003</v>
      </c>
      <c r="CU94" s="1480"/>
      <c r="CV94" s="1480"/>
      <c r="CW94" s="1480"/>
      <c r="CX94" s="1480"/>
      <c r="CY94" s="1480"/>
      <c r="CZ94" s="1480"/>
      <c r="DA94" s="1480"/>
      <c r="DB94" s="1480"/>
      <c r="DC94" s="1480"/>
      <c r="DD94" s="1480"/>
      <c r="DE94" s="1480"/>
      <c r="DF94" s="1480"/>
      <c r="DG94" s="1480"/>
      <c r="DH94" s="1480"/>
      <c r="DI94" s="1480"/>
      <c r="DJ94" s="1480"/>
      <c r="DK94" s="1480"/>
      <c r="DL94" s="1480"/>
      <c r="DM94" s="1480"/>
      <c r="DN94" s="1480"/>
      <c r="DO94" s="1480"/>
      <c r="DP94" s="1480"/>
      <c r="DQ94" s="1480"/>
      <c r="DR94" s="1480"/>
      <c r="DS94" s="1480"/>
      <c r="DT94" s="1480"/>
      <c r="DU94" s="1480"/>
      <c r="DV94" s="1480"/>
      <c r="DW94" s="1480"/>
      <c r="DX94" s="1480"/>
      <c r="DY94" s="1480"/>
      <c r="DZ94" s="1480"/>
      <c r="EA94" s="1480">
        <f>EA93*10%</f>
        <v>0</v>
      </c>
      <c r="EB94" s="1480">
        <f>EB93*10%</f>
        <v>1158</v>
      </c>
      <c r="EC94" s="1480">
        <f>EC93*10%</f>
        <v>2117.2000000000003</v>
      </c>
      <c r="ED94" s="1480"/>
      <c r="EE94" s="1480"/>
      <c r="EF94" s="1480"/>
      <c r="EG94" s="1480"/>
      <c r="EH94" s="1480"/>
      <c r="EI94" s="1480"/>
      <c r="EJ94" s="1480"/>
      <c r="EK94" s="1480"/>
      <c r="EL94" s="1480"/>
      <c r="EM94" s="1480"/>
      <c r="EN94" s="1480"/>
      <c r="EO94" s="1480"/>
      <c r="EP94" s="1480"/>
      <c r="EQ94" s="1480"/>
      <c r="ER94" s="1480"/>
      <c r="ES94" s="1480"/>
      <c r="ET94" s="1480"/>
      <c r="EU94" s="1480"/>
      <c r="EV94" s="1480"/>
      <c r="EW94" s="1480"/>
      <c r="EX94" s="1480"/>
      <c r="EY94" s="1480"/>
      <c r="EZ94" s="1480"/>
      <c r="FA94" s="1480"/>
      <c r="FB94" s="1480">
        <f>FB93*10%</f>
        <v>2117.2000000000003</v>
      </c>
      <c r="FC94" s="1480"/>
      <c r="FD94" s="1480"/>
      <c r="FE94" s="1480"/>
      <c r="FF94" s="1480"/>
      <c r="FG94" s="1480"/>
      <c r="FH94" s="1480"/>
      <c r="FI94" s="1480"/>
      <c r="FJ94" s="1480"/>
      <c r="FK94" s="1480"/>
      <c r="FL94" s="1480"/>
      <c r="FM94" s="1480"/>
      <c r="FN94" s="1480"/>
      <c r="FO94" s="1480"/>
      <c r="FP94" s="1480"/>
      <c r="FQ94" s="1480"/>
      <c r="FR94" s="1480"/>
      <c r="FS94" s="1480"/>
      <c r="FT94" s="1480"/>
      <c r="FU94" s="1480"/>
      <c r="FV94" s="1480"/>
      <c r="FW94" s="1480"/>
      <c r="FX94" s="1480"/>
      <c r="FY94" s="1480"/>
      <c r="FZ94" s="1480"/>
      <c r="GA94" s="1480"/>
      <c r="GB94" s="1480"/>
      <c r="GC94" s="1480"/>
      <c r="GD94" s="1480"/>
      <c r="GE94" s="1480"/>
      <c r="GF94" s="1480"/>
      <c r="GG94" s="1480"/>
      <c r="GH94" s="1480"/>
      <c r="GI94" s="1480"/>
      <c r="GJ94" s="1480"/>
      <c r="GK94" s="1480"/>
      <c r="GL94" s="1480"/>
      <c r="GM94" s="1480"/>
      <c r="GN94" s="1480"/>
      <c r="GO94" s="1480"/>
      <c r="GP94" s="1480"/>
      <c r="GQ94" s="1480"/>
      <c r="GR94" s="1480"/>
      <c r="GS94" s="1480"/>
      <c r="GT94" s="1480"/>
      <c r="GU94" s="1480"/>
      <c r="GV94" s="1480"/>
      <c r="GW94" s="1480"/>
      <c r="GX94" s="1480"/>
      <c r="GY94" s="1480"/>
      <c r="GZ94" s="1480"/>
      <c r="HA94" s="1480"/>
      <c r="HB94" s="1480"/>
      <c r="HC94" s="1480"/>
      <c r="HD94" s="1480"/>
      <c r="HE94" s="1480"/>
      <c r="HF94" s="1480"/>
      <c r="HG94" s="1480"/>
      <c r="HH94" s="1480"/>
      <c r="HI94" s="1480"/>
      <c r="HJ94" s="1480"/>
      <c r="HK94" s="1480"/>
      <c r="HL94" s="1480"/>
      <c r="HM94" s="1480"/>
      <c r="HN94" s="1480"/>
      <c r="HO94" s="1480"/>
      <c r="HP94" s="1480"/>
      <c r="HQ94" s="1480"/>
      <c r="HR94" s="1480"/>
      <c r="HS94" s="1480"/>
      <c r="HT94" s="1480"/>
      <c r="HU94" s="1480"/>
      <c r="HV94" s="1480"/>
      <c r="HW94" s="1480"/>
      <c r="HX94" s="1480"/>
      <c r="HY94" s="1480"/>
      <c r="HZ94" s="1480"/>
      <c r="IA94" s="1480"/>
      <c r="IB94" s="1480"/>
      <c r="IC94" s="1480"/>
      <c r="ID94" s="1480"/>
      <c r="IE94" s="1480"/>
      <c r="IF94" s="1480"/>
      <c r="IG94" s="1480"/>
      <c r="IH94" s="1480"/>
      <c r="II94" s="1480"/>
      <c r="IJ94" s="1480"/>
      <c r="IK94" s="1480"/>
      <c r="IL94" s="1480"/>
      <c r="IM94" s="1480"/>
      <c r="IN94" s="1480"/>
      <c r="IO94" s="1480"/>
      <c r="IP94" s="1480"/>
      <c r="IQ94" s="1480"/>
      <c r="IR94" s="1480"/>
      <c r="IS94" s="1480"/>
      <c r="IT94" s="1480"/>
      <c r="IU94" s="1480"/>
      <c r="IV94" s="1480"/>
      <c r="IW94" s="1480"/>
      <c r="IX94" s="1480"/>
      <c r="IY94" s="1480"/>
      <c r="IZ94" s="1480"/>
      <c r="JA94" s="1480"/>
      <c r="JB94" s="1480"/>
      <c r="JC94" s="1480"/>
      <c r="JD94" s="1480"/>
      <c r="JE94" s="1480"/>
      <c r="JF94" s="1480"/>
      <c r="JG94" s="1480"/>
      <c r="JH94" s="1480"/>
      <c r="JI94" s="1480"/>
      <c r="JJ94" s="1480"/>
      <c r="JK94" s="1480"/>
      <c r="JL94" s="1480"/>
      <c r="JM94" s="1480"/>
      <c r="JN94" s="1480"/>
      <c r="JO94" s="1480"/>
      <c r="JP94" s="1480"/>
      <c r="JQ94" s="1480"/>
      <c r="JR94" s="351"/>
      <c r="JS94" s="1365" t="s">
        <v>2862</v>
      </c>
      <c r="JT94" s="450" t="s">
        <v>2224</v>
      </c>
    </row>
    <row r="95" spans="1:280" ht="12.5" x14ac:dyDescent="0.25">
      <c r="A95" s="1367">
        <v>36</v>
      </c>
      <c r="B95" s="1478" t="str">
        <f t="shared" si="4"/>
        <v/>
      </c>
      <c r="C95" s="1435" t="s">
        <v>2863</v>
      </c>
      <c r="D95" s="1443" t="s">
        <v>2864</v>
      </c>
      <c r="E95" s="1453"/>
      <c r="F95" s="1453"/>
      <c r="G95" s="1453"/>
      <c r="H95" s="1453"/>
      <c r="I95" s="1453"/>
      <c r="J95" s="1453"/>
      <c r="K95" s="1453"/>
      <c r="L95" s="1453"/>
      <c r="M95" s="1453"/>
      <c r="N95" s="1453"/>
      <c r="O95" s="1453"/>
      <c r="P95" s="1453"/>
      <c r="Q95" s="1453"/>
      <c r="R95" s="1453"/>
      <c r="S95" s="1453"/>
      <c r="T95" s="1453"/>
      <c r="U95" s="1453"/>
      <c r="V95" s="1453"/>
      <c r="W95" s="1453"/>
      <c r="X95" s="1453"/>
      <c r="Y95" s="1453"/>
      <c r="Z95" s="1453"/>
      <c r="AA95" s="1453"/>
      <c r="AB95" s="1453"/>
      <c r="AC95" s="1453"/>
      <c r="AD95" s="1453"/>
      <c r="AE95" s="1453"/>
      <c r="AF95" s="1453"/>
      <c r="AG95" s="1453"/>
      <c r="AH95" s="1453"/>
      <c r="AI95" s="1453"/>
      <c r="AJ95" s="1453"/>
      <c r="AK95" s="1453"/>
      <c r="AL95" s="1453"/>
      <c r="AM95" s="1453"/>
      <c r="AN95" s="1453"/>
      <c r="AO95" s="1453"/>
      <c r="AP95" s="1453"/>
      <c r="AQ95" s="1453"/>
      <c r="AR95" s="1453"/>
      <c r="AS95" s="1453"/>
      <c r="AT95" s="1453"/>
      <c r="AU95" s="1453"/>
      <c r="AV95" s="1453"/>
      <c r="AW95" s="1453"/>
      <c r="AX95" s="1453"/>
      <c r="AY95" s="1453"/>
      <c r="AZ95" s="1453"/>
      <c r="BA95" s="1453"/>
      <c r="BB95" s="1453"/>
      <c r="BC95" s="1453"/>
      <c r="BD95" s="1453"/>
      <c r="BE95" s="1453"/>
      <c r="BF95" s="1453"/>
      <c r="BG95" s="1453"/>
      <c r="BH95" s="1453"/>
      <c r="BI95" s="1453"/>
      <c r="BJ95" s="1453"/>
      <c r="BK95" s="1453"/>
      <c r="BL95" s="1453"/>
      <c r="BM95" s="1453"/>
      <c r="BN95" s="1453"/>
      <c r="BO95" s="1453"/>
      <c r="BP95" s="1453"/>
      <c r="BQ95" s="1453"/>
      <c r="BR95" s="1453"/>
      <c r="BS95" s="1453"/>
      <c r="BT95" s="1453"/>
      <c r="BU95" s="1453"/>
      <c r="BV95" s="1453"/>
      <c r="BW95" s="1453"/>
      <c r="BX95" s="1453"/>
      <c r="BY95" s="1453"/>
      <c r="BZ95" s="1453"/>
      <c r="CA95" s="1453"/>
      <c r="CB95" s="1453"/>
      <c r="CC95" s="1453"/>
      <c r="CD95" s="1453"/>
      <c r="CE95" s="1453"/>
      <c r="CF95" s="1453"/>
      <c r="CG95" s="1453"/>
      <c r="CH95" s="1453"/>
      <c r="CI95" s="1453"/>
      <c r="CJ95" s="1453"/>
      <c r="CK95" s="1453"/>
      <c r="CL95" s="1453"/>
      <c r="CM95" s="1453"/>
      <c r="CN95" s="1453"/>
      <c r="CO95" s="1453"/>
      <c r="CP95" s="1453"/>
      <c r="CQ95" s="1453"/>
      <c r="CR95" s="1453"/>
      <c r="CS95" s="1453"/>
      <c r="CT95" s="1453"/>
      <c r="CU95" s="1453"/>
      <c r="CV95" s="1453"/>
      <c r="CW95" s="1453"/>
      <c r="CX95" s="1453"/>
      <c r="CY95" s="1453"/>
      <c r="CZ95" s="1453"/>
      <c r="DA95" s="1453"/>
      <c r="DB95" s="1453"/>
      <c r="DC95" s="1453"/>
      <c r="DD95" s="1453"/>
      <c r="DE95" s="1453"/>
      <c r="DF95" s="1453"/>
      <c r="DG95" s="1453"/>
      <c r="DH95" s="1453"/>
      <c r="DI95" s="1453"/>
      <c r="DJ95" s="1453"/>
      <c r="DK95" s="1453"/>
      <c r="DL95" s="1453"/>
      <c r="DM95" s="1453"/>
      <c r="DN95" s="1453"/>
      <c r="DO95" s="1453"/>
      <c r="DP95" s="1453"/>
      <c r="DQ95" s="1453"/>
      <c r="DR95" s="1453"/>
      <c r="DS95" s="1453"/>
      <c r="DT95" s="1453"/>
      <c r="DU95" s="1453"/>
      <c r="DV95" s="1453"/>
      <c r="DW95" s="1453"/>
      <c r="DX95" s="1453"/>
      <c r="DY95" s="1453"/>
      <c r="DZ95" s="1453"/>
      <c r="EA95" s="1453"/>
      <c r="EB95" s="1453"/>
      <c r="EC95" s="1453"/>
      <c r="ED95" s="1453"/>
      <c r="EE95" s="1453"/>
      <c r="EF95" s="1453"/>
      <c r="EG95" s="1453"/>
      <c r="EH95" s="1453"/>
      <c r="EI95" s="1453"/>
      <c r="EJ95" s="1453"/>
      <c r="EK95" s="1453"/>
      <c r="EL95" s="1453"/>
      <c r="EM95" s="1453"/>
      <c r="EN95" s="1453"/>
      <c r="EO95" s="1453"/>
      <c r="EP95" s="1453"/>
      <c r="EQ95" s="1453"/>
      <c r="ER95" s="1453"/>
      <c r="ES95" s="1453"/>
      <c r="ET95" s="1453"/>
      <c r="EU95" s="1453"/>
      <c r="EV95" s="1453"/>
      <c r="EW95" s="1453"/>
      <c r="EX95" s="1453"/>
      <c r="EY95" s="1453"/>
      <c r="EZ95" s="1453"/>
      <c r="FA95" s="1453"/>
      <c r="FB95" s="1453"/>
      <c r="FC95" s="1453"/>
      <c r="FD95" s="1453"/>
      <c r="FE95" s="1453"/>
      <c r="FF95" s="1453"/>
      <c r="FG95" s="1453"/>
      <c r="FH95" s="1453"/>
      <c r="FI95" s="1453"/>
      <c r="FJ95" s="1453"/>
      <c r="FK95" s="1453"/>
      <c r="FL95" s="1453"/>
      <c r="FM95" s="1453"/>
      <c r="FN95" s="1453"/>
      <c r="FO95" s="1453"/>
      <c r="FP95" s="1453"/>
      <c r="FQ95" s="1453"/>
      <c r="FR95" s="1453"/>
      <c r="FS95" s="1453"/>
      <c r="FT95" s="1453"/>
      <c r="FU95" s="1453"/>
      <c r="FV95" s="1453"/>
      <c r="FW95" s="1453"/>
      <c r="FX95" s="1453"/>
      <c r="FY95" s="1453"/>
      <c r="FZ95" s="1453"/>
      <c r="GA95" s="1453"/>
      <c r="GB95" s="1453"/>
      <c r="GC95" s="1453"/>
      <c r="GD95" s="1453"/>
      <c r="GE95" s="1453"/>
      <c r="GF95" s="1453"/>
      <c r="GG95" s="1453"/>
      <c r="GH95" s="1453"/>
      <c r="GI95" s="1453"/>
      <c r="GJ95" s="1453"/>
      <c r="GK95" s="1453"/>
      <c r="GL95" s="1453"/>
      <c r="GM95" s="1453"/>
      <c r="GN95" s="1453"/>
      <c r="GO95" s="1453"/>
      <c r="GP95" s="1453"/>
      <c r="GQ95" s="1453"/>
      <c r="GR95" s="1453"/>
      <c r="GS95" s="1453"/>
      <c r="GT95" s="1453"/>
      <c r="GU95" s="1453"/>
      <c r="GV95" s="1453"/>
      <c r="GW95" s="1453"/>
      <c r="GX95" s="1453"/>
      <c r="GY95" s="1453"/>
      <c r="GZ95" s="1453"/>
      <c r="HA95" s="1453"/>
      <c r="HB95" s="1453"/>
      <c r="HC95" s="1453"/>
      <c r="HD95" s="1453"/>
      <c r="HE95" s="1453"/>
      <c r="HF95" s="1453"/>
      <c r="HG95" s="1453"/>
      <c r="HH95" s="1453"/>
      <c r="HI95" s="1453"/>
      <c r="HJ95" s="1453"/>
      <c r="HK95" s="1453"/>
      <c r="HL95" s="1453"/>
      <c r="HM95" s="1453"/>
      <c r="HN95" s="1453"/>
      <c r="HO95" s="1453"/>
      <c r="HP95" s="1453"/>
      <c r="HQ95" s="1453"/>
      <c r="HR95" s="1453"/>
      <c r="HS95" s="1453"/>
      <c r="HT95" s="1453"/>
      <c r="HU95" s="1453"/>
      <c r="HV95" s="1453"/>
      <c r="HW95" s="1453"/>
      <c r="HX95" s="1453"/>
      <c r="HY95" s="1453"/>
      <c r="HZ95" s="1453"/>
      <c r="IA95" s="1453"/>
      <c r="IB95" s="1453"/>
      <c r="IC95" s="1453"/>
      <c r="ID95" s="1453"/>
      <c r="IE95" s="1453"/>
      <c r="IF95" s="1453"/>
      <c r="IG95" s="1453"/>
      <c r="IH95" s="1453"/>
      <c r="II95" s="1453"/>
      <c r="IJ95" s="1453"/>
      <c r="IK95" s="1453"/>
      <c r="IL95" s="1453"/>
      <c r="IM95" s="1453"/>
      <c r="IN95" s="1453"/>
      <c r="IO95" s="1453"/>
      <c r="IP95" s="1453"/>
      <c r="IQ95" s="1453"/>
      <c r="IR95" s="1453"/>
      <c r="IS95" s="1453"/>
      <c r="IT95" s="1453"/>
      <c r="IU95" s="1453"/>
      <c r="IV95" s="1453"/>
      <c r="IW95" s="1453"/>
      <c r="IX95" s="1453"/>
      <c r="IY95" s="1453"/>
      <c r="IZ95" s="1453"/>
      <c r="JA95" s="1453"/>
      <c r="JB95" s="1453"/>
      <c r="JC95" s="1453"/>
      <c r="JD95" s="1453"/>
      <c r="JE95" s="1453"/>
      <c r="JF95" s="1453"/>
      <c r="JG95" s="1453"/>
      <c r="JH95" s="1453"/>
      <c r="JI95" s="1453"/>
      <c r="JJ95" s="1453"/>
      <c r="JK95" s="1453"/>
      <c r="JL95" s="1453"/>
      <c r="JM95" s="1453"/>
      <c r="JN95" s="1453"/>
      <c r="JO95" s="1453"/>
      <c r="JP95" s="1453"/>
      <c r="JQ95" s="1453"/>
      <c r="JR95" s="351"/>
      <c r="JS95" s="1365"/>
      <c r="JT95" s="450" t="s">
        <v>2242</v>
      </c>
    </row>
    <row r="96" spans="1:280" ht="12.5" x14ac:dyDescent="0.25">
      <c r="A96" s="1367">
        <v>37</v>
      </c>
      <c r="B96" s="1478" t="str">
        <f t="shared" si="4"/>
        <v/>
      </c>
      <c r="C96" s="1435" t="s">
        <v>2865</v>
      </c>
      <c r="D96" s="1443" t="s">
        <v>2866</v>
      </c>
      <c r="E96" s="1480"/>
      <c r="F96" s="1480"/>
      <c r="G96" s="1480"/>
      <c r="H96" s="1480"/>
      <c r="I96" s="1480"/>
      <c r="J96" s="1480"/>
      <c r="K96" s="1480"/>
      <c r="L96" s="1480"/>
      <c r="M96" s="1480"/>
      <c r="N96" s="1480"/>
      <c r="O96" s="1480"/>
      <c r="P96" s="1480"/>
      <c r="Q96" s="1480"/>
      <c r="R96" s="1480"/>
      <c r="S96" s="1480"/>
      <c r="T96" s="1480"/>
      <c r="U96" s="1480"/>
      <c r="V96" s="1480"/>
      <c r="W96" s="1480"/>
      <c r="X96" s="1480"/>
      <c r="Y96" s="1480"/>
      <c r="Z96" s="1480"/>
      <c r="AA96" s="1480"/>
      <c r="AB96" s="1480"/>
      <c r="AC96" s="1480"/>
      <c r="AD96" s="1480"/>
      <c r="AE96" s="1480"/>
      <c r="AF96" s="1480"/>
      <c r="AG96" s="1480"/>
      <c r="AH96" s="1480"/>
      <c r="AI96" s="1480"/>
      <c r="AJ96" s="1480"/>
      <c r="AK96" s="1480"/>
      <c r="AL96" s="1480"/>
      <c r="AM96" s="1480"/>
      <c r="AN96" s="1480"/>
      <c r="AO96" s="1480"/>
      <c r="AP96" s="1480"/>
      <c r="AQ96" s="1480"/>
      <c r="AR96" s="1480"/>
      <c r="AS96" s="1480"/>
      <c r="AT96" s="1480"/>
      <c r="AU96" s="1480"/>
      <c r="AV96" s="1480"/>
      <c r="AW96" s="1480"/>
      <c r="AX96" s="1480"/>
      <c r="AY96" s="1480"/>
      <c r="AZ96" s="1480"/>
      <c r="BA96" s="1480"/>
      <c r="BB96" s="1480"/>
      <c r="BC96" s="1480"/>
      <c r="BD96" s="1480"/>
      <c r="BE96" s="1480"/>
      <c r="BF96" s="1480"/>
      <c r="BG96" s="1480"/>
      <c r="BH96" s="1480"/>
      <c r="BI96" s="1480"/>
      <c r="BJ96" s="1480"/>
      <c r="BK96" s="1480"/>
      <c r="BL96" s="1480"/>
      <c r="BM96" s="1480"/>
      <c r="BN96" s="1480"/>
      <c r="BO96" s="1480"/>
      <c r="BP96" s="1480"/>
      <c r="BQ96" s="1480"/>
      <c r="BR96" s="1480"/>
      <c r="BS96" s="1480"/>
      <c r="BT96" s="1480"/>
      <c r="BU96" s="1480"/>
      <c r="BV96" s="1480"/>
      <c r="BW96" s="1480"/>
      <c r="BX96" s="1480"/>
      <c r="BY96" s="1480"/>
      <c r="BZ96" s="1480"/>
      <c r="CA96" s="1480"/>
      <c r="CB96" s="1480"/>
      <c r="CC96" s="1480"/>
      <c r="CD96" s="1480"/>
      <c r="CE96" s="1480"/>
      <c r="CF96" s="1480"/>
      <c r="CG96" s="1480"/>
      <c r="CH96" s="1480"/>
      <c r="CI96" s="1480"/>
      <c r="CJ96" s="1480"/>
      <c r="CK96" s="1480"/>
      <c r="CL96" s="1480"/>
      <c r="CM96" s="1480"/>
      <c r="CN96" s="1480"/>
      <c r="CO96" s="1480"/>
      <c r="CP96" s="1480"/>
      <c r="CQ96" s="1480"/>
      <c r="CR96" s="1480"/>
      <c r="CS96" s="1480"/>
      <c r="CT96" s="1480">
        <f>IF(CT74+CT81&gt;=8500,CT67+CT75,0)</f>
        <v>465</v>
      </c>
      <c r="CU96" s="1480"/>
      <c r="CV96" s="1480"/>
      <c r="CW96" s="1480"/>
      <c r="CX96" s="1480"/>
      <c r="CY96" s="1480"/>
      <c r="CZ96" s="1480"/>
      <c r="DA96" s="1480"/>
      <c r="DB96" s="1480"/>
      <c r="DC96" s="1480"/>
      <c r="DD96" s="1480"/>
      <c r="DE96" s="1480"/>
      <c r="DF96" s="1480"/>
      <c r="DG96" s="1480"/>
      <c r="DH96" s="1480"/>
      <c r="DI96" s="1480"/>
      <c r="DJ96" s="1480"/>
      <c r="DK96" s="1480"/>
      <c r="DL96" s="1480"/>
      <c r="DM96" s="1480"/>
      <c r="DN96" s="1480"/>
      <c r="DO96" s="1480"/>
      <c r="DP96" s="1480"/>
      <c r="DQ96" s="1480"/>
      <c r="DR96" s="1480"/>
      <c r="DS96" s="1480"/>
      <c r="DT96" s="1480"/>
      <c r="DU96" s="1480"/>
      <c r="DV96" s="1480"/>
      <c r="DW96" s="1480"/>
      <c r="DX96" s="1480"/>
      <c r="DY96" s="1480"/>
      <c r="DZ96" s="1480"/>
      <c r="EA96" s="1480"/>
      <c r="EB96" s="1480">
        <f>IF(EB74+EB81&gt;=8500,EB67+EB75,0)</f>
        <v>2005</v>
      </c>
      <c r="EC96" s="1480">
        <f>IF(EC74+EC81&gt;=8500,EC67+EC75,0)</f>
        <v>465</v>
      </c>
      <c r="ED96" s="1480"/>
      <c r="EE96" s="1480"/>
      <c r="EF96" s="1480"/>
      <c r="EG96" s="1480"/>
      <c r="EH96" s="1480"/>
      <c r="EI96" s="1480"/>
      <c r="EJ96" s="1480"/>
      <c r="EK96" s="1480"/>
      <c r="EL96" s="1480"/>
      <c r="EM96" s="1480"/>
      <c r="EN96" s="1480"/>
      <c r="EO96" s="1480"/>
      <c r="EP96" s="1480"/>
      <c r="EQ96" s="1480"/>
      <c r="ER96" s="1480"/>
      <c r="ES96" s="1480"/>
      <c r="ET96" s="1480"/>
      <c r="EU96" s="1480"/>
      <c r="EV96" s="1480"/>
      <c r="EW96" s="1480"/>
      <c r="EX96" s="1480"/>
      <c r="EY96" s="1480"/>
      <c r="EZ96" s="1480"/>
      <c r="FA96" s="1480"/>
      <c r="FB96" s="1480">
        <f>IF(FB74+FB81&gt;=8500,FB67+FB75,0)</f>
        <v>465</v>
      </c>
      <c r="FC96" s="1480"/>
      <c r="FD96" s="1480"/>
      <c r="FE96" s="1480"/>
      <c r="FF96" s="1480"/>
      <c r="FG96" s="1480"/>
      <c r="FH96" s="1480"/>
      <c r="FI96" s="1480"/>
      <c r="FJ96" s="1480"/>
      <c r="FK96" s="1480"/>
      <c r="FL96" s="1480"/>
      <c r="FM96" s="1480"/>
      <c r="FN96" s="1480"/>
      <c r="FO96" s="1480"/>
      <c r="FP96" s="1480"/>
      <c r="FQ96" s="1480"/>
      <c r="FR96" s="1480"/>
      <c r="FS96" s="1480"/>
      <c r="FT96" s="1480"/>
      <c r="FU96" s="1480"/>
      <c r="FV96" s="1480"/>
      <c r="FW96" s="1480"/>
      <c r="FX96" s="1480"/>
      <c r="FY96" s="1480"/>
      <c r="FZ96" s="1480"/>
      <c r="GA96" s="1480"/>
      <c r="GB96" s="1480"/>
      <c r="GC96" s="1480"/>
      <c r="GD96" s="1480"/>
      <c r="GE96" s="1480"/>
      <c r="GF96" s="1480"/>
      <c r="GG96" s="1480"/>
      <c r="GH96" s="1480"/>
      <c r="GI96" s="1480"/>
      <c r="GJ96" s="1480"/>
      <c r="GK96" s="1480"/>
      <c r="GL96" s="1480"/>
      <c r="GM96" s="1480"/>
      <c r="GN96" s="1480"/>
      <c r="GO96" s="1480"/>
      <c r="GP96" s="1480"/>
      <c r="GQ96" s="1480"/>
      <c r="GR96" s="1480"/>
      <c r="GS96" s="1480"/>
      <c r="GT96" s="1480"/>
      <c r="GU96" s="1480"/>
      <c r="GV96" s="1480"/>
      <c r="GW96" s="1480"/>
      <c r="GX96" s="1480"/>
      <c r="GY96" s="1480"/>
      <c r="GZ96" s="1480"/>
      <c r="HA96" s="1480"/>
      <c r="HB96" s="1480"/>
      <c r="HC96" s="1480"/>
      <c r="HD96" s="1480"/>
      <c r="HE96" s="1480"/>
      <c r="HF96" s="1480"/>
      <c r="HG96" s="1480"/>
      <c r="HH96" s="1480"/>
      <c r="HI96" s="1480"/>
      <c r="HJ96" s="1480"/>
      <c r="HK96" s="1480"/>
      <c r="HL96" s="1480"/>
      <c r="HM96" s="1480"/>
      <c r="HN96" s="1480"/>
      <c r="HO96" s="1480"/>
      <c r="HP96" s="1480"/>
      <c r="HQ96" s="1480"/>
      <c r="HR96" s="1480"/>
      <c r="HS96" s="1480"/>
      <c r="HT96" s="1480"/>
      <c r="HU96" s="1480"/>
      <c r="HV96" s="1480"/>
      <c r="HW96" s="1480"/>
      <c r="HX96" s="1480"/>
      <c r="HY96" s="1480"/>
      <c r="HZ96" s="1480"/>
      <c r="IA96" s="1480"/>
      <c r="IB96" s="1480"/>
      <c r="IC96" s="1480"/>
      <c r="ID96" s="1480"/>
      <c r="IE96" s="1480"/>
      <c r="IF96" s="1480"/>
      <c r="IG96" s="1480"/>
      <c r="IH96" s="1480"/>
      <c r="II96" s="1480"/>
      <c r="IJ96" s="1480"/>
      <c r="IK96" s="1480"/>
      <c r="IL96" s="1480"/>
      <c r="IM96" s="1480"/>
      <c r="IN96" s="1480"/>
      <c r="IO96" s="1480"/>
      <c r="IP96" s="1480"/>
      <c r="IQ96" s="1480"/>
      <c r="IR96" s="1480"/>
      <c r="IS96" s="1480"/>
      <c r="IT96" s="1480"/>
      <c r="IU96" s="1480"/>
      <c r="IV96" s="1480"/>
      <c r="IW96" s="1480"/>
      <c r="IX96" s="1480"/>
      <c r="IY96" s="1480"/>
      <c r="IZ96" s="1480"/>
      <c r="JA96" s="1480"/>
      <c r="JB96" s="1480"/>
      <c r="JC96" s="1480"/>
      <c r="JD96" s="1480"/>
      <c r="JE96" s="1480"/>
      <c r="JF96" s="1480"/>
      <c r="JG96" s="1480"/>
      <c r="JH96" s="1480"/>
      <c r="JI96" s="1480"/>
      <c r="JJ96" s="1480"/>
      <c r="JK96" s="1480"/>
      <c r="JL96" s="1480"/>
      <c r="JM96" s="1480"/>
      <c r="JN96" s="1480"/>
      <c r="JO96" s="1480"/>
      <c r="JP96" s="1480"/>
      <c r="JQ96" s="1480"/>
      <c r="JR96" s="351"/>
      <c r="JS96" s="1365" t="s">
        <v>2867</v>
      </c>
      <c r="JT96" s="450" t="s">
        <v>2242</v>
      </c>
    </row>
    <row r="97" spans="1:280" ht="23" x14ac:dyDescent="0.25">
      <c r="A97" s="1367">
        <v>38</v>
      </c>
      <c r="B97" s="1478" t="str">
        <f t="shared" si="4"/>
        <v/>
      </c>
      <c r="C97" s="1435" t="s">
        <v>2868</v>
      </c>
      <c r="D97" s="1443" t="s">
        <v>2869</v>
      </c>
      <c r="E97" s="1480"/>
      <c r="F97" s="1480"/>
      <c r="G97" s="1480"/>
      <c r="H97" s="1480"/>
      <c r="I97" s="1480"/>
      <c r="J97" s="1480"/>
      <c r="K97" s="1480"/>
      <c r="L97" s="1480"/>
      <c r="M97" s="1480"/>
      <c r="N97" s="1480"/>
      <c r="O97" s="1480"/>
      <c r="P97" s="1480"/>
      <c r="Q97" s="1480"/>
      <c r="R97" s="1480"/>
      <c r="S97" s="1480"/>
      <c r="T97" s="1480"/>
      <c r="U97" s="1480"/>
      <c r="V97" s="1480"/>
      <c r="W97" s="1480"/>
      <c r="X97" s="1480"/>
      <c r="Y97" s="1480"/>
      <c r="Z97" s="1480"/>
      <c r="AA97" s="1480"/>
      <c r="AB97" s="1480"/>
      <c r="AC97" s="1480"/>
      <c r="AD97" s="1480"/>
      <c r="AE97" s="1480"/>
      <c r="AF97" s="1480"/>
      <c r="AG97" s="1480"/>
      <c r="AH97" s="1480"/>
      <c r="AI97" s="1480"/>
      <c r="AJ97" s="1480"/>
      <c r="AK97" s="1480"/>
      <c r="AL97" s="1480"/>
      <c r="AM97" s="1480"/>
      <c r="AN97" s="1480"/>
      <c r="AO97" s="1480"/>
      <c r="AP97" s="1480"/>
      <c r="AQ97" s="1480"/>
      <c r="AR97" s="1480"/>
      <c r="AS97" s="1480"/>
      <c r="AT97" s="1480"/>
      <c r="AU97" s="1480"/>
      <c r="AV97" s="1480"/>
      <c r="AW97" s="1480"/>
      <c r="AX97" s="1480"/>
      <c r="AY97" s="1480"/>
      <c r="AZ97" s="1480"/>
      <c r="BA97" s="1480"/>
      <c r="BB97" s="1480"/>
      <c r="BC97" s="1480"/>
      <c r="BD97" s="1480"/>
      <c r="BE97" s="1480"/>
      <c r="BF97" s="1480"/>
      <c r="BG97" s="1480"/>
      <c r="BH97" s="1480"/>
      <c r="BI97" s="1480"/>
      <c r="BJ97" s="1480"/>
      <c r="BK97" s="1480"/>
      <c r="BL97" s="1480"/>
      <c r="BM97" s="1480"/>
      <c r="BN97" s="1480"/>
      <c r="BO97" s="1480"/>
      <c r="BP97" s="1480"/>
      <c r="BQ97" s="1480"/>
      <c r="BR97" s="1480"/>
      <c r="BS97" s="1480"/>
      <c r="BT97" s="1480"/>
      <c r="BU97" s="1480"/>
      <c r="BV97" s="1480"/>
      <c r="BW97" s="1480"/>
      <c r="BX97" s="1480"/>
      <c r="BY97" s="1480"/>
      <c r="BZ97" s="1480"/>
      <c r="CA97" s="1480"/>
      <c r="CB97" s="1480"/>
      <c r="CC97" s="1480"/>
      <c r="CD97" s="1480"/>
      <c r="CE97" s="1480"/>
      <c r="CF97" s="1480"/>
      <c r="CG97" s="1480"/>
      <c r="CH97" s="1480"/>
      <c r="CI97" s="1480"/>
      <c r="CJ97" s="1480"/>
      <c r="CK97" s="1480"/>
      <c r="CL97" s="1480"/>
      <c r="CM97" s="1480"/>
      <c r="CN97" s="1480"/>
      <c r="CO97" s="1480"/>
      <c r="CP97" s="1480"/>
      <c r="CQ97" s="1480"/>
      <c r="CR97" s="1480"/>
      <c r="CS97" s="1480"/>
      <c r="CT97" s="1480"/>
      <c r="CU97" s="1480"/>
      <c r="CV97" s="1480"/>
      <c r="CW97" s="1480"/>
      <c r="CX97" s="1480"/>
      <c r="CY97" s="1480"/>
      <c r="CZ97" s="1480"/>
      <c r="DA97" s="1480"/>
      <c r="DB97" s="1480"/>
      <c r="DC97" s="1480"/>
      <c r="DD97" s="1480"/>
      <c r="DE97" s="1480"/>
      <c r="DF97" s="1480"/>
      <c r="DG97" s="1480"/>
      <c r="DH97" s="1480"/>
      <c r="DI97" s="1480"/>
      <c r="DJ97" s="1480"/>
      <c r="DK97" s="1480"/>
      <c r="DL97" s="1480"/>
      <c r="DM97" s="1480"/>
      <c r="DN97" s="1480"/>
      <c r="DO97" s="1480"/>
      <c r="DP97" s="1480"/>
      <c r="DQ97" s="1480"/>
      <c r="DR97" s="1480"/>
      <c r="DS97" s="1480"/>
      <c r="DT97" s="1480"/>
      <c r="DU97" s="1480"/>
      <c r="DV97" s="1480"/>
      <c r="DW97" s="1480"/>
      <c r="DX97" s="1480"/>
      <c r="DY97" s="1480"/>
      <c r="DZ97" s="1480"/>
      <c r="EA97" s="1480"/>
      <c r="EB97" s="1480">
        <f>MAX(0,EB95+EB96-EB94)</f>
        <v>847</v>
      </c>
      <c r="EC97" s="1480"/>
      <c r="ED97" s="1480"/>
      <c r="EE97" s="1480"/>
      <c r="EF97" s="1480"/>
      <c r="EG97" s="1480"/>
      <c r="EH97" s="1480"/>
      <c r="EI97" s="1480"/>
      <c r="EJ97" s="1480"/>
      <c r="EK97" s="1480"/>
      <c r="EL97" s="1480"/>
      <c r="EM97" s="1480"/>
      <c r="EN97" s="1480"/>
      <c r="EO97" s="1480"/>
      <c r="EP97" s="1480"/>
      <c r="EQ97" s="1480"/>
      <c r="ER97" s="1480"/>
      <c r="ES97" s="1480"/>
      <c r="ET97" s="1480"/>
      <c r="EU97" s="1480"/>
      <c r="EV97" s="1480"/>
      <c r="EW97" s="1480"/>
      <c r="EX97" s="1480"/>
      <c r="EY97" s="1480"/>
      <c r="EZ97" s="1480"/>
      <c r="FA97" s="1480"/>
      <c r="FB97" s="1480"/>
      <c r="FC97" s="1480"/>
      <c r="FD97" s="1480"/>
      <c r="FE97" s="1480"/>
      <c r="FF97" s="1480"/>
      <c r="FG97" s="1480"/>
      <c r="FH97" s="1480"/>
      <c r="FI97" s="1480"/>
      <c r="FJ97" s="1480"/>
      <c r="FK97" s="1480"/>
      <c r="FL97" s="1480"/>
      <c r="FM97" s="1480"/>
      <c r="FN97" s="1480"/>
      <c r="FO97" s="1480"/>
      <c r="FP97" s="1480"/>
      <c r="FQ97" s="1480"/>
      <c r="FR97" s="1480"/>
      <c r="FS97" s="1480"/>
      <c r="FT97" s="1480"/>
      <c r="FU97" s="1480"/>
      <c r="FV97" s="1480"/>
      <c r="FW97" s="1480"/>
      <c r="FX97" s="1480"/>
      <c r="FY97" s="1480"/>
      <c r="FZ97" s="1480"/>
      <c r="GA97" s="1480"/>
      <c r="GB97" s="1480"/>
      <c r="GC97" s="1480"/>
      <c r="GD97" s="1480"/>
      <c r="GE97" s="1480"/>
      <c r="GF97" s="1480"/>
      <c r="GG97" s="1480"/>
      <c r="GH97" s="1480"/>
      <c r="GI97" s="1480"/>
      <c r="GJ97" s="1480"/>
      <c r="GK97" s="1480"/>
      <c r="GL97" s="1480"/>
      <c r="GM97" s="1480"/>
      <c r="GN97" s="1480"/>
      <c r="GO97" s="1480"/>
      <c r="GP97" s="1480"/>
      <c r="GQ97" s="1480"/>
      <c r="GR97" s="1480"/>
      <c r="GS97" s="1480"/>
      <c r="GT97" s="1480"/>
      <c r="GU97" s="1480"/>
      <c r="GV97" s="1480"/>
      <c r="GW97" s="1480"/>
      <c r="GX97" s="1480"/>
      <c r="GY97" s="1480"/>
      <c r="GZ97" s="1480"/>
      <c r="HA97" s="1480"/>
      <c r="HB97" s="1480"/>
      <c r="HC97" s="1480"/>
      <c r="HD97" s="1480"/>
      <c r="HE97" s="1480"/>
      <c r="HF97" s="1480"/>
      <c r="HG97" s="1480"/>
      <c r="HH97" s="1480"/>
      <c r="HI97" s="1480"/>
      <c r="HJ97" s="1480"/>
      <c r="HK97" s="1480"/>
      <c r="HL97" s="1480"/>
      <c r="HM97" s="1480"/>
      <c r="HN97" s="1480"/>
      <c r="HO97" s="1480"/>
      <c r="HP97" s="1480"/>
      <c r="HQ97" s="1480"/>
      <c r="HR97" s="1480"/>
      <c r="HS97" s="1480"/>
      <c r="HT97" s="1480"/>
      <c r="HU97" s="1480"/>
      <c r="HV97" s="1480"/>
      <c r="HW97" s="1480"/>
      <c r="HX97" s="1480"/>
      <c r="HY97" s="1480"/>
      <c r="HZ97" s="1480"/>
      <c r="IA97" s="1480"/>
      <c r="IB97" s="1480"/>
      <c r="IC97" s="1480"/>
      <c r="ID97" s="1480"/>
      <c r="IE97" s="1480"/>
      <c r="IF97" s="1480"/>
      <c r="IG97" s="1480"/>
      <c r="IH97" s="1480"/>
      <c r="II97" s="1480"/>
      <c r="IJ97" s="1480"/>
      <c r="IK97" s="1480"/>
      <c r="IL97" s="1480"/>
      <c r="IM97" s="1480"/>
      <c r="IN97" s="1480"/>
      <c r="IO97" s="1480"/>
      <c r="IP97" s="1480"/>
      <c r="IQ97" s="1480"/>
      <c r="IR97" s="1480"/>
      <c r="IS97" s="1480"/>
      <c r="IT97" s="1480"/>
      <c r="IU97" s="1480"/>
      <c r="IV97" s="1480"/>
      <c r="IW97" s="1480"/>
      <c r="IX97" s="1480"/>
      <c r="IY97" s="1480"/>
      <c r="IZ97" s="1480"/>
      <c r="JA97" s="1480"/>
      <c r="JB97" s="1480"/>
      <c r="JC97" s="1480"/>
      <c r="JD97" s="1480"/>
      <c r="JE97" s="1480"/>
      <c r="JF97" s="1480"/>
      <c r="JG97" s="1480"/>
      <c r="JH97" s="1480"/>
      <c r="JI97" s="1480"/>
      <c r="JJ97" s="1480"/>
      <c r="JK97" s="1480"/>
      <c r="JL97" s="1480"/>
      <c r="JM97" s="1480"/>
      <c r="JN97" s="1480"/>
      <c r="JO97" s="1480"/>
      <c r="JP97" s="1480"/>
      <c r="JQ97" s="1480"/>
      <c r="JR97" s="351"/>
      <c r="JS97" s="1365" t="s">
        <v>2870</v>
      </c>
      <c r="JT97" s="450" t="s">
        <v>2224</v>
      </c>
    </row>
    <row r="98" spans="1:280" ht="12.5" x14ac:dyDescent="0.25">
      <c r="A98" s="1367">
        <v>39</v>
      </c>
      <c r="B98" s="1478" t="str">
        <f t="shared" si="4"/>
        <v/>
      </c>
      <c r="C98" s="1435" t="s">
        <v>2871</v>
      </c>
      <c r="D98" s="1443" t="s">
        <v>2872</v>
      </c>
      <c r="E98" s="1453"/>
      <c r="F98" s="1453"/>
      <c r="G98" s="1453"/>
      <c r="H98" s="1453"/>
      <c r="I98" s="1453"/>
      <c r="J98" s="1453"/>
      <c r="K98" s="1453"/>
      <c r="L98" s="1453"/>
      <c r="M98" s="1453"/>
      <c r="N98" s="1453"/>
      <c r="O98" s="1453"/>
      <c r="P98" s="1453"/>
      <c r="Q98" s="1453"/>
      <c r="R98" s="1453"/>
      <c r="S98" s="1453"/>
      <c r="T98" s="1453"/>
      <c r="U98" s="1453"/>
      <c r="V98" s="1453"/>
      <c r="W98" s="1453"/>
      <c r="X98" s="1453"/>
      <c r="Y98" s="1453"/>
      <c r="Z98" s="1453"/>
      <c r="AA98" s="1453"/>
      <c r="AB98" s="1453"/>
      <c r="AC98" s="1453"/>
      <c r="AD98" s="1453"/>
      <c r="AE98" s="1453"/>
      <c r="AF98" s="1453"/>
      <c r="AG98" s="1453"/>
      <c r="AH98" s="1453"/>
      <c r="AI98" s="1453"/>
      <c r="AJ98" s="1453"/>
      <c r="AK98" s="1453"/>
      <c r="AL98" s="1453"/>
      <c r="AM98" s="1453"/>
      <c r="AN98" s="1453"/>
      <c r="AO98" s="1453"/>
      <c r="AP98" s="1453"/>
      <c r="AQ98" s="1453"/>
      <c r="AR98" s="1453"/>
      <c r="AS98" s="1453"/>
      <c r="AT98" s="1453"/>
      <c r="AU98" s="1453"/>
      <c r="AV98" s="1453"/>
      <c r="AW98" s="1453"/>
      <c r="AX98" s="1453"/>
      <c r="AY98" s="1453"/>
      <c r="AZ98" s="1453"/>
      <c r="BA98" s="1453"/>
      <c r="BB98" s="1453"/>
      <c r="BC98" s="1453"/>
      <c r="BD98" s="1453"/>
      <c r="BE98" s="1453"/>
      <c r="BF98" s="1453"/>
      <c r="BG98" s="1453"/>
      <c r="BH98" s="1453"/>
      <c r="BI98" s="1453"/>
      <c r="BJ98" s="1453"/>
      <c r="BK98" s="1453"/>
      <c r="BL98" s="1453"/>
      <c r="BM98" s="1453"/>
      <c r="BN98" s="1453"/>
      <c r="BO98" s="1453"/>
      <c r="BP98" s="1453"/>
      <c r="BQ98" s="1453"/>
      <c r="BR98" s="1453"/>
      <c r="BS98" s="1453"/>
      <c r="BT98" s="1453"/>
      <c r="BU98" s="1453"/>
      <c r="BV98" s="1453"/>
      <c r="BW98" s="1453"/>
      <c r="BX98" s="1453"/>
      <c r="BY98" s="1453"/>
      <c r="BZ98" s="1453"/>
      <c r="CA98" s="1453"/>
      <c r="CB98" s="1453"/>
      <c r="CC98" s="1453"/>
      <c r="CD98" s="1453"/>
      <c r="CE98" s="1453"/>
      <c r="CF98" s="1453"/>
      <c r="CG98" s="1453"/>
      <c r="CH98" s="1453"/>
      <c r="CI98" s="1453"/>
      <c r="CJ98" s="1453"/>
      <c r="CK98" s="1453"/>
      <c r="CL98" s="1453"/>
      <c r="CM98" s="1453"/>
      <c r="CN98" s="1453"/>
      <c r="CO98" s="1453"/>
      <c r="CP98" s="1453"/>
      <c r="CQ98" s="1453"/>
      <c r="CR98" s="1453"/>
      <c r="CS98" s="1453"/>
      <c r="CT98" s="1453">
        <v>5600</v>
      </c>
      <c r="CU98" s="1453"/>
      <c r="CV98" s="1453"/>
      <c r="CW98" s="1453"/>
      <c r="CX98" s="1453"/>
      <c r="CY98" s="1453"/>
      <c r="CZ98" s="1453"/>
      <c r="DA98" s="1453"/>
      <c r="DB98" s="1453"/>
      <c r="DC98" s="1453"/>
      <c r="DD98" s="1453"/>
      <c r="DE98" s="1453"/>
      <c r="DF98" s="1453"/>
      <c r="DG98" s="1453"/>
      <c r="DH98" s="1453"/>
      <c r="DI98" s="1453"/>
      <c r="DJ98" s="1453"/>
      <c r="DK98" s="1453"/>
      <c r="DL98" s="1453"/>
      <c r="DM98" s="1453"/>
      <c r="DN98" s="1453"/>
      <c r="DO98" s="1453"/>
      <c r="DP98" s="1453"/>
      <c r="DQ98" s="1453"/>
      <c r="DR98" s="1453"/>
      <c r="DS98" s="1453"/>
      <c r="DT98" s="1453"/>
      <c r="DU98" s="1453"/>
      <c r="DV98" s="1453"/>
      <c r="DW98" s="1453"/>
      <c r="DX98" s="1453"/>
      <c r="DY98" s="1453"/>
      <c r="DZ98" s="1453"/>
      <c r="EA98" s="1453"/>
      <c r="EB98" s="1453"/>
      <c r="EC98" s="1453">
        <v>5600</v>
      </c>
      <c r="ED98" s="1453"/>
      <c r="EE98" s="1453"/>
      <c r="EF98" s="1453"/>
      <c r="EG98" s="1453"/>
      <c r="EH98" s="1453"/>
      <c r="EI98" s="1453"/>
      <c r="EJ98" s="1453"/>
      <c r="EK98" s="1453"/>
      <c r="EL98" s="1453"/>
      <c r="EM98" s="1453"/>
      <c r="EN98" s="1453"/>
      <c r="EO98" s="1453"/>
      <c r="EP98" s="1453"/>
      <c r="EQ98" s="1453"/>
      <c r="ER98" s="1453"/>
      <c r="ES98" s="1453"/>
      <c r="ET98" s="1453"/>
      <c r="EU98" s="1453"/>
      <c r="EV98" s="1453"/>
      <c r="EW98" s="1453"/>
      <c r="EX98" s="1453"/>
      <c r="EY98" s="1453"/>
      <c r="EZ98" s="1453"/>
      <c r="FA98" s="1453"/>
      <c r="FB98" s="1453">
        <v>5600</v>
      </c>
      <c r="FC98" s="1453"/>
      <c r="FD98" s="1453"/>
      <c r="FE98" s="1453"/>
      <c r="FF98" s="1453"/>
      <c r="FG98" s="1453"/>
      <c r="FH98" s="1453"/>
      <c r="FI98" s="1453"/>
      <c r="FJ98" s="1453"/>
      <c r="FK98" s="1453"/>
      <c r="FL98" s="1453"/>
      <c r="FM98" s="1453"/>
      <c r="FN98" s="1453"/>
      <c r="FO98" s="1453"/>
      <c r="FP98" s="1453"/>
      <c r="FQ98" s="1453"/>
      <c r="FR98" s="1453"/>
      <c r="FS98" s="1453"/>
      <c r="FT98" s="1453"/>
      <c r="FU98" s="1453"/>
      <c r="FV98" s="1453"/>
      <c r="FW98" s="1453"/>
      <c r="FX98" s="1453"/>
      <c r="FY98" s="1453"/>
      <c r="FZ98" s="1453"/>
      <c r="GA98" s="1453"/>
      <c r="GB98" s="1453"/>
      <c r="GC98" s="1453"/>
      <c r="GD98" s="1453"/>
      <c r="GE98" s="1453"/>
      <c r="GF98" s="1453"/>
      <c r="GG98" s="1453"/>
      <c r="GH98" s="1453"/>
      <c r="GI98" s="1453"/>
      <c r="GJ98" s="1453"/>
      <c r="GK98" s="1453"/>
      <c r="GL98" s="1453"/>
      <c r="GM98" s="1453"/>
      <c r="GN98" s="1453"/>
      <c r="GO98" s="1453"/>
      <c r="GP98" s="1453"/>
      <c r="GQ98" s="1453"/>
      <c r="GR98" s="1453"/>
      <c r="GS98" s="1453"/>
      <c r="GT98" s="1453"/>
      <c r="GU98" s="1453"/>
      <c r="GV98" s="1453"/>
      <c r="GW98" s="1453"/>
      <c r="GX98" s="1453"/>
      <c r="GY98" s="1453"/>
      <c r="GZ98" s="1453"/>
      <c r="HA98" s="1453"/>
      <c r="HB98" s="1453"/>
      <c r="HC98" s="1453"/>
      <c r="HD98" s="1453"/>
      <c r="HE98" s="1453"/>
      <c r="HF98" s="1453"/>
      <c r="HG98" s="1453"/>
      <c r="HH98" s="1453"/>
      <c r="HI98" s="1453"/>
      <c r="HJ98" s="1453"/>
      <c r="HK98" s="1453"/>
      <c r="HL98" s="1453"/>
      <c r="HM98" s="1453"/>
      <c r="HN98" s="1453"/>
      <c r="HO98" s="1453"/>
      <c r="HP98" s="1453"/>
      <c r="HQ98" s="1453"/>
      <c r="HR98" s="1453"/>
      <c r="HS98" s="1453"/>
      <c r="HT98" s="1453"/>
      <c r="HU98" s="1453"/>
      <c r="HV98" s="1453"/>
      <c r="HW98" s="1453"/>
      <c r="HX98" s="1453"/>
      <c r="HY98" s="1453"/>
      <c r="HZ98" s="1453"/>
      <c r="IA98" s="1453"/>
      <c r="IB98" s="1453"/>
      <c r="IC98" s="1453"/>
      <c r="ID98" s="1453"/>
      <c r="IE98" s="1453"/>
      <c r="IF98" s="1453"/>
      <c r="IG98" s="1453"/>
      <c r="IH98" s="1453"/>
      <c r="II98" s="1453"/>
      <c r="IJ98" s="1453"/>
      <c r="IK98" s="1453"/>
      <c r="IL98" s="1453"/>
      <c r="IM98" s="1453"/>
      <c r="IN98" s="1453"/>
      <c r="IO98" s="1453"/>
      <c r="IP98" s="1453"/>
      <c r="IQ98" s="1453"/>
      <c r="IR98" s="1453"/>
      <c r="IS98" s="1453"/>
      <c r="IT98" s="1453"/>
      <c r="IU98" s="1453"/>
      <c r="IV98" s="1453"/>
      <c r="IW98" s="1453"/>
      <c r="IX98" s="1453">
        <v>1250</v>
      </c>
      <c r="IY98" s="1453"/>
      <c r="IZ98" s="1453"/>
      <c r="JA98" s="1453"/>
      <c r="JB98" s="1453"/>
      <c r="JC98" s="1453"/>
      <c r="JD98" s="1453"/>
      <c r="JE98" s="1453"/>
      <c r="JF98" s="1453"/>
      <c r="JG98" s="1453"/>
      <c r="JH98" s="1453"/>
      <c r="JI98" s="1453"/>
      <c r="JJ98" s="1453"/>
      <c r="JK98" s="1453"/>
      <c r="JL98" s="1453"/>
      <c r="JM98" s="1453"/>
      <c r="JN98" s="1453"/>
      <c r="JO98" s="1453"/>
      <c r="JP98" s="1453"/>
      <c r="JQ98" s="1453"/>
      <c r="JR98" s="351"/>
      <c r="JS98" s="1470"/>
      <c r="JT98" s="450" t="s">
        <v>2242</v>
      </c>
    </row>
    <row r="99" spans="1:280" ht="12.5" x14ac:dyDescent="0.25">
      <c r="A99" s="1367">
        <v>40</v>
      </c>
      <c r="B99" s="1478" t="str">
        <f t="shared" si="4"/>
        <v/>
      </c>
      <c r="C99" s="1435" t="s">
        <v>2873</v>
      </c>
      <c r="D99" s="1443" t="s">
        <v>2874</v>
      </c>
      <c r="E99" s="1480"/>
      <c r="F99" s="1480"/>
      <c r="G99" s="1480"/>
      <c r="H99" s="1480"/>
      <c r="I99" s="1480"/>
      <c r="J99" s="1480"/>
      <c r="K99" s="1480"/>
      <c r="L99" s="1480"/>
      <c r="M99" s="1480"/>
      <c r="N99" s="1480"/>
      <c r="O99" s="1480"/>
      <c r="P99" s="1480"/>
      <c r="Q99" s="1480"/>
      <c r="R99" s="1480"/>
      <c r="S99" s="1480"/>
      <c r="T99" s="1480"/>
      <c r="U99" s="1480"/>
      <c r="V99" s="1480"/>
      <c r="W99" s="1480"/>
      <c r="X99" s="1480"/>
      <c r="Y99" s="1480"/>
      <c r="Z99" s="1480"/>
      <c r="AA99" s="1480"/>
      <c r="AB99" s="1480"/>
      <c r="AC99" s="1480"/>
      <c r="AD99" s="1480"/>
      <c r="AE99" s="1480"/>
      <c r="AF99" s="1480"/>
      <c r="AG99" s="1480"/>
      <c r="AH99" s="1480"/>
      <c r="AI99" s="1480"/>
      <c r="AJ99" s="1480"/>
      <c r="AK99" s="1480"/>
      <c r="AL99" s="1480"/>
      <c r="AM99" s="1480"/>
      <c r="AN99" s="1480"/>
      <c r="AO99" s="1480"/>
      <c r="AP99" s="1480"/>
      <c r="AQ99" s="1480"/>
      <c r="AR99" s="1480"/>
      <c r="AS99" s="1480"/>
      <c r="AT99" s="1480"/>
      <c r="AU99" s="1480"/>
      <c r="AV99" s="1480"/>
      <c r="AW99" s="1480"/>
      <c r="AX99" s="1480"/>
      <c r="AY99" s="1480"/>
      <c r="AZ99" s="1480"/>
      <c r="BA99" s="1480"/>
      <c r="BB99" s="1480"/>
      <c r="BC99" s="1480"/>
      <c r="BD99" s="1480"/>
      <c r="BE99" s="1480"/>
      <c r="BF99" s="1480"/>
      <c r="BG99" s="1480"/>
      <c r="BH99" s="1480"/>
      <c r="BI99" s="1480"/>
      <c r="BJ99" s="1480"/>
      <c r="BK99" s="1480"/>
      <c r="BL99" s="1480"/>
      <c r="BM99" s="1480"/>
      <c r="BN99" s="1480"/>
      <c r="BO99" s="1480"/>
      <c r="BP99" s="1480"/>
      <c r="BQ99" s="1480"/>
      <c r="BR99" s="1480"/>
      <c r="BS99" s="1480"/>
      <c r="BT99" s="1480"/>
      <c r="BU99" s="1480"/>
      <c r="BV99" s="1480"/>
      <c r="BW99" s="1480"/>
      <c r="BX99" s="1480"/>
      <c r="BY99" s="1480"/>
      <c r="BZ99" s="1480"/>
      <c r="CA99" s="1480"/>
      <c r="CB99" s="1480"/>
      <c r="CC99" s="1480"/>
      <c r="CD99" s="1480"/>
      <c r="CE99" s="1480"/>
      <c r="CF99" s="1480"/>
      <c r="CG99" s="1480"/>
      <c r="CH99" s="1480"/>
      <c r="CI99" s="1480"/>
      <c r="CJ99" s="1480"/>
      <c r="CK99" s="1480"/>
      <c r="CL99" s="1480"/>
      <c r="CM99" s="1480"/>
      <c r="CN99" s="1480"/>
      <c r="CO99" s="1480"/>
      <c r="CP99" s="1480"/>
      <c r="CQ99" s="1480"/>
      <c r="CR99" s="1480"/>
      <c r="CS99" s="1480"/>
      <c r="CT99" s="1480">
        <f>CT98*BR_rate</f>
        <v>1120</v>
      </c>
      <c r="CU99" s="1480"/>
      <c r="CV99" s="1480"/>
      <c r="CW99" s="1480"/>
      <c r="CX99" s="1480"/>
      <c r="CY99" s="1480"/>
      <c r="CZ99" s="1480"/>
      <c r="DA99" s="1480"/>
      <c r="DB99" s="1480"/>
      <c r="DC99" s="1480"/>
      <c r="DD99" s="1480"/>
      <c r="DE99" s="1480"/>
      <c r="DF99" s="1480"/>
      <c r="DG99" s="1480"/>
      <c r="DH99" s="1480"/>
      <c r="DI99" s="1480"/>
      <c r="DJ99" s="1480"/>
      <c r="DK99" s="1480"/>
      <c r="DL99" s="1480"/>
      <c r="DM99" s="1480"/>
      <c r="DN99" s="1480"/>
      <c r="DO99" s="1480"/>
      <c r="DP99" s="1480"/>
      <c r="DQ99" s="1480"/>
      <c r="DR99" s="1480"/>
      <c r="DS99" s="1480"/>
      <c r="DT99" s="1480"/>
      <c r="DU99" s="1480"/>
      <c r="DV99" s="1480"/>
      <c r="DW99" s="1480"/>
      <c r="DX99" s="1480"/>
      <c r="DY99" s="1480"/>
      <c r="DZ99" s="1480"/>
      <c r="EA99" s="1480"/>
      <c r="EB99" s="1480"/>
      <c r="EC99" s="1480">
        <f>EC98*BR_rate</f>
        <v>1120</v>
      </c>
      <c r="ED99" s="1480"/>
      <c r="EE99" s="1480"/>
      <c r="EF99" s="1480"/>
      <c r="EG99" s="1480"/>
      <c r="EH99" s="1480"/>
      <c r="EI99" s="1480"/>
      <c r="EJ99" s="1480"/>
      <c r="EK99" s="1480"/>
      <c r="EL99" s="1480"/>
      <c r="EM99" s="1480"/>
      <c r="EN99" s="1480"/>
      <c r="EO99" s="1480"/>
      <c r="EP99" s="1480"/>
      <c r="EQ99" s="1480"/>
      <c r="ER99" s="1480"/>
      <c r="ES99" s="1480"/>
      <c r="ET99" s="1480"/>
      <c r="EU99" s="1480"/>
      <c r="EV99" s="1480"/>
      <c r="EW99" s="1480"/>
      <c r="EX99" s="1480"/>
      <c r="EY99" s="1480"/>
      <c r="EZ99" s="1480"/>
      <c r="FA99" s="1480"/>
      <c r="FB99" s="1480">
        <f>FB98*BR_rate</f>
        <v>1120</v>
      </c>
      <c r="FC99" s="1480"/>
      <c r="FD99" s="1480"/>
      <c r="FE99" s="1480"/>
      <c r="FF99" s="1480"/>
      <c r="FG99" s="1480"/>
      <c r="FH99" s="1480"/>
      <c r="FI99" s="1480"/>
      <c r="FJ99" s="1480"/>
      <c r="FK99" s="1480"/>
      <c r="FL99" s="1480"/>
      <c r="FM99" s="1480"/>
      <c r="FN99" s="1480"/>
      <c r="FO99" s="1480"/>
      <c r="FP99" s="1480"/>
      <c r="FQ99" s="1480"/>
      <c r="FR99" s="1480"/>
      <c r="FS99" s="1480"/>
      <c r="FT99" s="1480"/>
      <c r="FU99" s="1480"/>
      <c r="FV99" s="1480"/>
      <c r="FW99" s="1480"/>
      <c r="FX99" s="1480"/>
      <c r="FY99" s="1480"/>
      <c r="FZ99" s="1480"/>
      <c r="GA99" s="1480"/>
      <c r="GB99" s="1480"/>
      <c r="GC99" s="1480"/>
      <c r="GD99" s="1480"/>
      <c r="GE99" s="1480"/>
      <c r="GF99" s="1480"/>
      <c r="GG99" s="1480"/>
      <c r="GH99" s="1480"/>
      <c r="GI99" s="1480"/>
      <c r="GJ99" s="1480"/>
      <c r="GK99" s="1480"/>
      <c r="GL99" s="1480"/>
      <c r="GM99" s="1480"/>
      <c r="GN99" s="1480"/>
      <c r="GO99" s="1480"/>
      <c r="GP99" s="1480"/>
      <c r="GQ99" s="1480"/>
      <c r="GR99" s="1480"/>
      <c r="GS99" s="1480"/>
      <c r="GT99" s="1480"/>
      <c r="GU99" s="1480"/>
      <c r="GV99" s="1480"/>
      <c r="GW99" s="1480"/>
      <c r="GX99" s="1480"/>
      <c r="GY99" s="1480"/>
      <c r="GZ99" s="1480"/>
      <c r="HA99" s="1480"/>
      <c r="HB99" s="1480"/>
      <c r="HC99" s="1480"/>
      <c r="HD99" s="1480"/>
      <c r="HE99" s="1480"/>
      <c r="HF99" s="1480"/>
      <c r="HG99" s="1480"/>
      <c r="HH99" s="1480"/>
      <c r="HI99" s="1480"/>
      <c r="HJ99" s="1480"/>
      <c r="HK99" s="1480"/>
      <c r="HL99" s="1480"/>
      <c r="HM99" s="1480"/>
      <c r="HN99" s="1480"/>
      <c r="HO99" s="1480"/>
      <c r="HP99" s="1480"/>
      <c r="HQ99" s="1480"/>
      <c r="HR99" s="1480"/>
      <c r="HS99" s="1480"/>
      <c r="HT99" s="1480"/>
      <c r="HU99" s="1480"/>
      <c r="HV99" s="1480"/>
      <c r="HW99" s="1480"/>
      <c r="HX99" s="1480"/>
      <c r="HY99" s="1480"/>
      <c r="HZ99" s="1480"/>
      <c r="IA99" s="1480"/>
      <c r="IB99" s="1480"/>
      <c r="IC99" s="1480"/>
      <c r="ID99" s="1480"/>
      <c r="IE99" s="1480"/>
      <c r="IF99" s="1480"/>
      <c r="IG99" s="1480"/>
      <c r="IH99" s="1480"/>
      <c r="II99" s="1480"/>
      <c r="IJ99" s="1480"/>
      <c r="IK99" s="1480"/>
      <c r="IL99" s="1480"/>
      <c r="IM99" s="1480"/>
      <c r="IN99" s="1480"/>
      <c r="IO99" s="1480"/>
      <c r="IP99" s="1480"/>
      <c r="IQ99" s="1480"/>
      <c r="IR99" s="1480"/>
      <c r="IS99" s="1480"/>
      <c r="IT99" s="1480"/>
      <c r="IU99" s="1480"/>
      <c r="IV99" s="1480"/>
      <c r="IW99" s="1480"/>
      <c r="IX99" s="1480"/>
      <c r="IY99" s="1480"/>
      <c r="IZ99" s="1480"/>
      <c r="JA99" s="1480"/>
      <c r="JB99" s="1480"/>
      <c r="JC99" s="1480"/>
      <c r="JD99" s="1480"/>
      <c r="JE99" s="1480"/>
      <c r="JF99" s="1480"/>
      <c r="JG99" s="1480"/>
      <c r="JH99" s="1480"/>
      <c r="JI99" s="1480"/>
      <c r="JJ99" s="1480"/>
      <c r="JK99" s="1480"/>
      <c r="JL99" s="1480"/>
      <c r="JM99" s="1480"/>
      <c r="JN99" s="1480"/>
      <c r="JO99" s="1480"/>
      <c r="JP99" s="1480"/>
      <c r="JQ99" s="1480"/>
      <c r="JR99" s="351"/>
      <c r="JS99" s="1365" t="s">
        <v>2875</v>
      </c>
      <c r="JT99" s="450" t="s">
        <v>2224</v>
      </c>
    </row>
    <row r="100" spans="1:280" ht="12.5" x14ac:dyDescent="0.25">
      <c r="A100" s="1367">
        <v>41</v>
      </c>
      <c r="B100" s="1478" t="str">
        <f t="shared" si="4"/>
        <v/>
      </c>
      <c r="C100" s="1435" t="s">
        <v>2876</v>
      </c>
      <c r="D100" s="1443" t="s">
        <v>2877</v>
      </c>
      <c r="E100" s="1480"/>
      <c r="F100" s="1480"/>
      <c r="G100" s="1480"/>
      <c r="H100" s="1480"/>
      <c r="I100" s="1480"/>
      <c r="J100" s="1480"/>
      <c r="K100" s="1480"/>
      <c r="L100" s="1480"/>
      <c r="M100" s="1480"/>
      <c r="N100" s="1480"/>
      <c r="O100" s="1480"/>
      <c r="P100" s="1480"/>
      <c r="Q100" s="1480"/>
      <c r="R100" s="1480"/>
      <c r="S100" s="1480"/>
      <c r="T100" s="1480"/>
      <c r="U100" s="1480"/>
      <c r="V100" s="1480"/>
      <c r="W100" s="1480"/>
      <c r="X100" s="1480"/>
      <c r="Y100" s="1480"/>
      <c r="Z100" s="1480"/>
      <c r="AA100" s="1480"/>
      <c r="AB100" s="1480"/>
      <c r="AC100" s="1480"/>
      <c r="AD100" s="1480"/>
      <c r="AE100" s="1480"/>
      <c r="AF100" s="1480"/>
      <c r="AG100" s="1480"/>
      <c r="AH100" s="1480"/>
      <c r="AI100" s="1480"/>
      <c r="AJ100" s="1480"/>
      <c r="AK100" s="1480"/>
      <c r="AL100" s="1480"/>
      <c r="AM100" s="1480"/>
      <c r="AN100" s="1480"/>
      <c r="AO100" s="1480"/>
      <c r="AP100" s="1480"/>
      <c r="AQ100" s="1480"/>
      <c r="AR100" s="1480"/>
      <c r="AS100" s="1480"/>
      <c r="AT100" s="1480"/>
      <c r="AU100" s="1480"/>
      <c r="AV100" s="1480"/>
      <c r="AW100" s="1480"/>
      <c r="AX100" s="1480"/>
      <c r="AY100" s="1480"/>
      <c r="AZ100" s="1480"/>
      <c r="BA100" s="1480"/>
      <c r="BB100" s="1480"/>
      <c r="BC100" s="1480"/>
      <c r="BD100" s="1480"/>
      <c r="BE100" s="1480"/>
      <c r="BF100" s="1480"/>
      <c r="BG100" s="1480"/>
      <c r="BH100" s="1480"/>
      <c r="BI100" s="1480"/>
      <c r="BJ100" s="1480"/>
      <c r="BK100" s="1480"/>
      <c r="BL100" s="1480"/>
      <c r="BM100" s="1480"/>
      <c r="BN100" s="1480"/>
      <c r="BO100" s="1480"/>
      <c r="BP100" s="1480"/>
      <c r="BQ100" s="1480"/>
      <c r="BR100" s="1480"/>
      <c r="BS100" s="1480"/>
      <c r="BT100" s="1480"/>
      <c r="BU100" s="1480"/>
      <c r="BV100" s="1480"/>
      <c r="BW100" s="1480"/>
      <c r="BX100" s="1480"/>
      <c r="BY100" s="1480"/>
      <c r="BZ100" s="1480"/>
      <c r="CA100" s="1480"/>
      <c r="CB100" s="1480"/>
      <c r="CC100" s="1480"/>
      <c r="CD100" s="1480"/>
      <c r="CE100" s="1480"/>
      <c r="CF100" s="1480"/>
      <c r="CG100" s="1480"/>
      <c r="CH100" s="1480"/>
      <c r="CI100" s="1480"/>
      <c r="CJ100" s="1480"/>
      <c r="CK100" s="1480"/>
      <c r="CL100" s="1480"/>
      <c r="CM100" s="1480"/>
      <c r="CN100" s="1480"/>
      <c r="CO100" s="1480"/>
      <c r="CP100" s="1480"/>
      <c r="CQ100" s="1480"/>
      <c r="CR100" s="1480"/>
      <c r="CS100" s="1480"/>
      <c r="CT100" s="1480">
        <f>MAX(0,CT82+CT98-(CT88+CT97))</f>
        <v>27237</v>
      </c>
      <c r="CU100" s="1480"/>
      <c r="CV100" s="1480"/>
      <c r="CW100" s="1480"/>
      <c r="CX100" s="1480"/>
      <c r="CY100" s="1480"/>
      <c r="CZ100" s="1480"/>
      <c r="DA100" s="1480"/>
      <c r="DB100" s="1480"/>
      <c r="DC100" s="1480"/>
      <c r="DD100" s="1480"/>
      <c r="DE100" s="1480"/>
      <c r="DF100" s="1480"/>
      <c r="DG100" s="1480"/>
      <c r="DH100" s="1480"/>
      <c r="DI100" s="1480"/>
      <c r="DJ100" s="1480"/>
      <c r="DK100" s="1480"/>
      <c r="DL100" s="1480"/>
      <c r="DM100" s="1480"/>
      <c r="DN100" s="1480"/>
      <c r="DO100" s="1480"/>
      <c r="DP100" s="1480"/>
      <c r="DQ100" s="1480"/>
      <c r="DR100" s="1480"/>
      <c r="DS100" s="1480"/>
      <c r="DT100" s="1480"/>
      <c r="DU100" s="1480"/>
      <c r="DV100" s="1480"/>
      <c r="DW100" s="1480"/>
      <c r="DX100" s="1480"/>
      <c r="DY100" s="1480"/>
      <c r="DZ100" s="1480"/>
      <c r="EA100" s="1480">
        <f>MAX(0,EA82+EA98-(EA88+EA97))</f>
        <v>4500</v>
      </c>
      <c r="EB100" s="1480">
        <f>MAX(0,EB82+EB98-(EB88+EB97))</f>
        <v>15138</v>
      </c>
      <c r="EC100" s="1480">
        <f>MAX(0,EC82+EC98-(EC88+EC97))</f>
        <v>27237</v>
      </c>
      <c r="ED100" s="1480"/>
      <c r="EE100" s="1480"/>
      <c r="EF100" s="1480"/>
      <c r="EG100" s="1480"/>
      <c r="EH100" s="1480"/>
      <c r="EI100" s="1480"/>
      <c r="EJ100" s="1480"/>
      <c r="EK100" s="1480"/>
      <c r="EL100" s="1480"/>
      <c r="EM100" s="1480"/>
      <c r="EN100" s="1480"/>
      <c r="EO100" s="1480"/>
      <c r="EP100" s="1480"/>
      <c r="EQ100" s="1480"/>
      <c r="ER100" s="1480"/>
      <c r="ES100" s="1480"/>
      <c r="ET100" s="1480"/>
      <c r="EU100" s="1480"/>
      <c r="EV100" s="1480"/>
      <c r="EW100" s="1480"/>
      <c r="EX100" s="1480"/>
      <c r="EY100" s="1480"/>
      <c r="EZ100" s="1480"/>
      <c r="FA100" s="1480"/>
      <c r="FB100" s="1480">
        <f>MAX(0,FB82+FB98-(FB88+FB97))</f>
        <v>27237</v>
      </c>
      <c r="FC100" s="1480"/>
      <c r="FD100" s="1480"/>
      <c r="FE100" s="1480"/>
      <c r="FF100" s="1480"/>
      <c r="FG100" s="1480"/>
      <c r="FH100" s="1480"/>
      <c r="FI100" s="1480"/>
      <c r="FJ100" s="1480"/>
      <c r="FK100" s="1480"/>
      <c r="FL100" s="1480"/>
      <c r="FM100" s="1480"/>
      <c r="FN100" s="1480"/>
      <c r="FO100" s="1480"/>
      <c r="FP100" s="1480"/>
      <c r="FQ100" s="1480"/>
      <c r="FR100" s="1480"/>
      <c r="FS100" s="1480"/>
      <c r="FT100" s="1480"/>
      <c r="FU100" s="1480"/>
      <c r="FV100" s="1480"/>
      <c r="FW100" s="1480"/>
      <c r="FX100" s="1480"/>
      <c r="FY100" s="1480"/>
      <c r="FZ100" s="1480"/>
      <c r="GA100" s="1480"/>
      <c r="GB100" s="1480"/>
      <c r="GC100" s="1480"/>
      <c r="GD100" s="1480"/>
      <c r="GE100" s="1480"/>
      <c r="GF100" s="1480"/>
      <c r="GG100" s="1480"/>
      <c r="GH100" s="1480"/>
      <c r="GI100" s="1480"/>
      <c r="GJ100" s="1480"/>
      <c r="GK100" s="1480"/>
      <c r="GL100" s="1480"/>
      <c r="GM100" s="1480"/>
      <c r="GN100" s="1480"/>
      <c r="GO100" s="1480"/>
      <c r="GP100" s="1480"/>
      <c r="GQ100" s="1480"/>
      <c r="GR100" s="1480"/>
      <c r="GS100" s="1480"/>
      <c r="GT100" s="1480"/>
      <c r="GU100" s="1480"/>
      <c r="GV100" s="1480"/>
      <c r="GW100" s="1480"/>
      <c r="GX100" s="1480"/>
      <c r="GY100" s="1480"/>
      <c r="GZ100" s="1480"/>
      <c r="HA100" s="1480"/>
      <c r="HB100" s="1480"/>
      <c r="HC100" s="1480"/>
      <c r="HD100" s="1480"/>
      <c r="HE100" s="1480"/>
      <c r="HF100" s="1480"/>
      <c r="HG100" s="1480"/>
      <c r="HH100" s="1480"/>
      <c r="HI100" s="1480"/>
      <c r="HJ100" s="1480"/>
      <c r="HK100" s="1480"/>
      <c r="HL100" s="1480"/>
      <c r="HM100" s="1480"/>
      <c r="HN100" s="1480"/>
      <c r="HO100" s="1480"/>
      <c r="HP100" s="1480"/>
      <c r="HQ100" s="1480"/>
      <c r="HR100" s="1480"/>
      <c r="HS100" s="1480"/>
      <c r="HT100" s="1480"/>
      <c r="HU100" s="1480"/>
      <c r="HV100" s="1480"/>
      <c r="HW100" s="1480"/>
      <c r="HX100" s="1480"/>
      <c r="HY100" s="1480"/>
      <c r="HZ100" s="1480"/>
      <c r="IA100" s="1480"/>
      <c r="IB100" s="1480"/>
      <c r="IC100" s="1480"/>
      <c r="ID100" s="1480"/>
      <c r="IE100" s="1480"/>
      <c r="IF100" s="1480"/>
      <c r="IG100" s="1480"/>
      <c r="IH100" s="1480"/>
      <c r="II100" s="1480"/>
      <c r="IJ100" s="1480"/>
      <c r="IK100" s="1480"/>
      <c r="IL100" s="1480"/>
      <c r="IM100" s="1480"/>
      <c r="IN100" s="1480"/>
      <c r="IO100" s="1480"/>
      <c r="IP100" s="1480"/>
      <c r="IQ100" s="1480"/>
      <c r="IR100" s="1480"/>
      <c r="IS100" s="1480"/>
      <c r="IT100" s="1480"/>
      <c r="IU100" s="1480"/>
      <c r="IV100" s="1480"/>
      <c r="IW100" s="1480"/>
      <c r="IX100" s="1480">
        <f>MAX(0,IX82+IX98-(IX88+IX97))</f>
        <v>8650</v>
      </c>
      <c r="IY100" s="1480"/>
      <c r="IZ100" s="1480"/>
      <c r="JA100" s="1480"/>
      <c r="JB100" s="1480"/>
      <c r="JC100" s="1480"/>
      <c r="JD100" s="1480"/>
      <c r="JE100" s="1480"/>
      <c r="JF100" s="1480"/>
      <c r="JG100" s="1480"/>
      <c r="JH100" s="1480"/>
      <c r="JI100" s="1480"/>
      <c r="JJ100" s="1480"/>
      <c r="JK100" s="1480"/>
      <c r="JL100" s="1480"/>
      <c r="JM100" s="1480"/>
      <c r="JN100" s="1480"/>
      <c r="JO100" s="1480"/>
      <c r="JP100" s="1480"/>
      <c r="JQ100" s="1480"/>
      <c r="JR100" s="351"/>
      <c r="JS100" s="1365" t="s">
        <v>2878</v>
      </c>
      <c r="JT100" s="450" t="s">
        <v>2224</v>
      </c>
    </row>
    <row r="101" spans="1:280" ht="13" thickBot="1" x14ac:dyDescent="0.3">
      <c r="A101" s="1367">
        <v>42</v>
      </c>
      <c r="B101" s="1478" t="str">
        <f t="shared" si="4"/>
        <v/>
      </c>
      <c r="C101" s="721" t="s">
        <v>2879</v>
      </c>
      <c r="D101" s="2537" t="s">
        <v>2880</v>
      </c>
      <c r="E101" s="2538"/>
      <c r="F101" s="2538"/>
      <c r="G101" s="2538"/>
      <c r="H101" s="2538"/>
      <c r="I101" s="2538"/>
      <c r="J101" s="2538"/>
      <c r="K101" s="2538"/>
      <c r="L101" s="2538"/>
      <c r="M101" s="2538"/>
      <c r="N101" s="2538"/>
      <c r="O101" s="2538"/>
      <c r="P101" s="2538"/>
      <c r="Q101" s="2538"/>
      <c r="R101" s="2538"/>
      <c r="S101" s="2538"/>
      <c r="T101" s="2538"/>
      <c r="U101" s="2538"/>
      <c r="V101" s="2538"/>
      <c r="W101" s="2538"/>
      <c r="X101" s="2538"/>
      <c r="Y101" s="2538"/>
      <c r="Z101" s="2538"/>
      <c r="AA101" s="2538"/>
      <c r="AB101" s="2538"/>
      <c r="AC101" s="2538"/>
      <c r="AD101" s="2538"/>
      <c r="AE101" s="2538"/>
      <c r="AF101" s="2538"/>
      <c r="AG101" s="2538"/>
      <c r="AH101" s="2538"/>
      <c r="AI101" s="2538"/>
      <c r="AJ101" s="2538"/>
      <c r="AK101" s="2538"/>
      <c r="AL101" s="2538"/>
      <c r="AM101" s="2538"/>
      <c r="AN101" s="2538"/>
      <c r="AO101" s="2538"/>
      <c r="AP101" s="2538"/>
      <c r="AQ101" s="2538"/>
      <c r="AR101" s="2538"/>
      <c r="AS101" s="2538"/>
      <c r="AT101" s="2538"/>
      <c r="AU101" s="2538"/>
      <c r="AV101" s="2538"/>
      <c r="AW101" s="2538"/>
      <c r="AX101" s="2538"/>
      <c r="AY101" s="2538"/>
      <c r="AZ101" s="2538"/>
      <c r="BA101" s="2538"/>
      <c r="BB101" s="2538"/>
      <c r="BC101" s="2538"/>
      <c r="BD101" s="2538"/>
      <c r="BE101" s="2538"/>
      <c r="BF101" s="2538"/>
      <c r="BG101" s="2538"/>
      <c r="BH101" s="2538"/>
      <c r="BI101" s="2538"/>
      <c r="BJ101" s="2538"/>
      <c r="BK101" s="2538"/>
      <c r="BL101" s="2538"/>
      <c r="BM101" s="2538"/>
      <c r="BN101" s="2538"/>
      <c r="BO101" s="2538"/>
      <c r="BP101" s="2538"/>
      <c r="BQ101" s="2538"/>
      <c r="BR101" s="2538"/>
      <c r="BS101" s="2538"/>
      <c r="BT101" s="2538"/>
      <c r="BU101" s="2538"/>
      <c r="BV101" s="2538"/>
      <c r="BW101" s="2538"/>
      <c r="BX101" s="2538"/>
      <c r="BY101" s="2538"/>
      <c r="BZ101" s="2538"/>
      <c r="CA101" s="2538"/>
      <c r="CB101" s="2538"/>
      <c r="CC101" s="2538"/>
      <c r="CD101" s="2538"/>
      <c r="CE101" s="2538"/>
      <c r="CF101" s="2538"/>
      <c r="CG101" s="2538"/>
      <c r="CH101" s="2538"/>
      <c r="CI101" s="2538"/>
      <c r="CJ101" s="2538"/>
      <c r="CK101" s="2538"/>
      <c r="CL101" s="2538"/>
      <c r="CM101" s="2538"/>
      <c r="CN101" s="2538"/>
      <c r="CO101" s="2538"/>
      <c r="CP101" s="2538"/>
      <c r="CQ101" s="2538"/>
      <c r="CR101" s="2538"/>
      <c r="CS101" s="2538"/>
      <c r="CT101" s="2538">
        <f>CT64+CT71+CT73+CT99</f>
        <v>1195</v>
      </c>
      <c r="CU101" s="2538"/>
      <c r="CV101" s="2538"/>
      <c r="CW101" s="2538"/>
      <c r="CX101" s="2538"/>
      <c r="CY101" s="2538"/>
      <c r="CZ101" s="2538"/>
      <c r="DA101" s="2538"/>
      <c r="DB101" s="2538"/>
      <c r="DC101" s="2538"/>
      <c r="DD101" s="2538"/>
      <c r="DE101" s="2538"/>
      <c r="DF101" s="2538"/>
      <c r="DG101" s="2538"/>
      <c r="DH101" s="2538"/>
      <c r="DI101" s="2538"/>
      <c r="DJ101" s="2538"/>
      <c r="DK101" s="2538"/>
      <c r="DL101" s="2538"/>
      <c r="DM101" s="2538"/>
      <c r="DN101" s="2538"/>
      <c r="DO101" s="2538"/>
      <c r="DP101" s="2538"/>
      <c r="DQ101" s="2538"/>
      <c r="DR101" s="2538"/>
      <c r="DS101" s="2538"/>
      <c r="DT101" s="2538"/>
      <c r="DU101" s="2538"/>
      <c r="DV101" s="2538"/>
      <c r="DW101" s="2538"/>
      <c r="DX101" s="2538"/>
      <c r="DY101" s="2538"/>
      <c r="DZ101" s="2538"/>
      <c r="EA101" s="2538">
        <f>EA64+EA71+EA73+EA99</f>
        <v>-250</v>
      </c>
      <c r="EB101" s="2538">
        <f>EB64+EB71+EB73+EB99</f>
        <v>536</v>
      </c>
      <c r="EC101" s="2538">
        <f>EC64+EC71+EC73+EC99</f>
        <v>1634.4</v>
      </c>
      <c r="ED101" s="2538"/>
      <c r="EE101" s="2538"/>
      <c r="EF101" s="2538"/>
      <c r="EG101" s="2538"/>
      <c r="EH101" s="2538"/>
      <c r="EI101" s="2538"/>
      <c r="EJ101" s="2538"/>
      <c r="EK101" s="2538"/>
      <c r="EL101" s="2538"/>
      <c r="EM101" s="2538"/>
      <c r="EN101" s="2538"/>
      <c r="EO101" s="2538"/>
      <c r="EP101" s="2538"/>
      <c r="EQ101" s="2538"/>
      <c r="ER101" s="2538"/>
      <c r="ES101" s="2538"/>
      <c r="ET101" s="2538"/>
      <c r="EU101" s="2538"/>
      <c r="EV101" s="2538"/>
      <c r="EW101" s="2538"/>
      <c r="EX101" s="2538"/>
      <c r="EY101" s="2538"/>
      <c r="EZ101" s="2538"/>
      <c r="FA101" s="2538"/>
      <c r="FB101" s="2538">
        <f>FB64+FB71+FB73+FB99</f>
        <v>1634.4</v>
      </c>
      <c r="FC101" s="2538"/>
      <c r="FD101" s="2538"/>
      <c r="FE101" s="2538"/>
      <c r="FF101" s="2538"/>
      <c r="FG101" s="2538"/>
      <c r="FH101" s="2538"/>
      <c r="FI101" s="2538"/>
      <c r="FJ101" s="2538"/>
      <c r="FK101" s="2538"/>
      <c r="FL101" s="2538"/>
      <c r="FM101" s="2538"/>
      <c r="FN101" s="2538"/>
      <c r="FO101" s="2538"/>
      <c r="FP101" s="2538"/>
      <c r="FQ101" s="2538"/>
      <c r="FR101" s="2538"/>
      <c r="FS101" s="2538"/>
      <c r="FT101" s="2538"/>
      <c r="FU101" s="2538"/>
      <c r="FV101" s="2538"/>
      <c r="FW101" s="2538"/>
      <c r="FX101" s="2538"/>
      <c r="FY101" s="2538"/>
      <c r="FZ101" s="2538"/>
      <c r="GA101" s="2538"/>
      <c r="GB101" s="2538"/>
      <c r="GC101" s="2538"/>
      <c r="GD101" s="2538"/>
      <c r="GE101" s="2538"/>
      <c r="GF101" s="2538"/>
      <c r="GG101" s="2538"/>
      <c r="GH101" s="2538"/>
      <c r="GI101" s="2538"/>
      <c r="GJ101" s="2538"/>
      <c r="GK101" s="2538"/>
      <c r="GL101" s="2538"/>
      <c r="GM101" s="2538"/>
      <c r="GN101" s="2538"/>
      <c r="GO101" s="2538"/>
      <c r="GP101" s="2538"/>
      <c r="GQ101" s="2538"/>
      <c r="GR101" s="2538"/>
      <c r="GS101" s="2538"/>
      <c r="GT101" s="2538"/>
      <c r="GU101" s="2538"/>
      <c r="GV101" s="2538"/>
      <c r="GW101" s="2538"/>
      <c r="GX101" s="2538"/>
      <c r="GY101" s="2538"/>
      <c r="GZ101" s="2538"/>
      <c r="HA101" s="2538"/>
      <c r="HB101" s="2538"/>
      <c r="HC101" s="2538"/>
      <c r="HD101" s="2538"/>
      <c r="HE101" s="2538"/>
      <c r="HF101" s="2538"/>
      <c r="HG101" s="2538"/>
      <c r="HH101" s="2538"/>
      <c r="HI101" s="2538"/>
      <c r="HJ101" s="2538"/>
      <c r="HK101" s="2538"/>
      <c r="HL101" s="2538"/>
      <c r="HM101" s="2538"/>
      <c r="HN101" s="2538"/>
      <c r="HO101" s="2538"/>
      <c r="HP101" s="2538"/>
      <c r="HQ101" s="2538"/>
      <c r="HR101" s="2538"/>
      <c r="HS101" s="2538"/>
      <c r="HT101" s="2538"/>
      <c r="HU101" s="2538"/>
      <c r="HV101" s="2538"/>
      <c r="HW101" s="2538"/>
      <c r="HX101" s="2538"/>
      <c r="HY101" s="2538"/>
      <c r="HZ101" s="2538"/>
      <c r="IA101" s="2538"/>
      <c r="IB101" s="2538"/>
      <c r="IC101" s="2538"/>
      <c r="ID101" s="2538"/>
      <c r="IE101" s="2538"/>
      <c r="IF101" s="2538"/>
      <c r="IG101" s="2538"/>
      <c r="IH101" s="2538"/>
      <c r="II101" s="2538"/>
      <c r="IJ101" s="2538"/>
      <c r="IK101" s="2538"/>
      <c r="IL101" s="2538"/>
      <c r="IM101" s="2538"/>
      <c r="IN101" s="2538"/>
      <c r="IO101" s="2538"/>
      <c r="IP101" s="2538"/>
      <c r="IQ101" s="2538"/>
      <c r="IR101" s="2538"/>
      <c r="IS101" s="2538"/>
      <c r="IT101" s="2538"/>
      <c r="IU101" s="2538"/>
      <c r="IV101" s="2538"/>
      <c r="IW101" s="2538"/>
      <c r="IX101" s="2538">
        <f>IX64+IX71+IX73+IX99</f>
        <v>250</v>
      </c>
      <c r="IY101" s="2538"/>
      <c r="IZ101" s="2538"/>
      <c r="JA101" s="2538"/>
      <c r="JB101" s="2538"/>
      <c r="JC101" s="2538"/>
      <c r="JD101" s="2538"/>
      <c r="JE101" s="2538"/>
      <c r="JF101" s="2538"/>
      <c r="JG101" s="2538"/>
      <c r="JH101" s="2538"/>
      <c r="JI101" s="2538"/>
      <c r="JJ101" s="2538"/>
      <c r="JK101" s="2538"/>
      <c r="JL101" s="2538"/>
      <c r="JM101" s="2538"/>
      <c r="JN101" s="2538"/>
      <c r="JO101" s="2538"/>
      <c r="JP101" s="2538"/>
      <c r="JQ101" s="2538"/>
      <c r="JR101" s="351"/>
      <c r="JS101" s="1365" t="s">
        <v>2881</v>
      </c>
      <c r="JT101" s="450" t="s">
        <v>2882</v>
      </c>
    </row>
    <row r="102" spans="1:280" ht="12" thickBot="1" x14ac:dyDescent="0.3"/>
    <row r="103" spans="1:280" x14ac:dyDescent="0.25">
      <c r="A103" s="1367" t="s">
        <v>2201</v>
      </c>
      <c r="B103" s="1481" t="str">
        <f>"selected "&amp;NI1_IND-1</f>
        <v>selected 168</v>
      </c>
      <c r="C103" s="2534" t="s">
        <v>30</v>
      </c>
      <c r="D103" s="297"/>
      <c r="E103" s="418">
        <v>1</v>
      </c>
      <c r="F103" s="418">
        <v>2</v>
      </c>
      <c r="G103" s="2539">
        <v>3</v>
      </c>
      <c r="H103" s="2539">
        <v>4</v>
      </c>
      <c r="I103" s="2539">
        <v>5</v>
      </c>
      <c r="J103" s="2539">
        <v>6</v>
      </c>
      <c r="K103" s="2539">
        <v>7</v>
      </c>
      <c r="L103" s="2539">
        <v>8</v>
      </c>
      <c r="M103" s="2539">
        <v>9</v>
      </c>
      <c r="N103" s="2539">
        <v>10</v>
      </c>
      <c r="O103" s="452">
        <v>11</v>
      </c>
      <c r="P103" s="452">
        <v>12</v>
      </c>
      <c r="Q103" s="452">
        <v>13</v>
      </c>
      <c r="R103" s="452">
        <v>14</v>
      </c>
      <c r="S103" s="452">
        <v>15</v>
      </c>
      <c r="T103" s="452">
        <v>16</v>
      </c>
      <c r="U103" s="452">
        <v>17</v>
      </c>
      <c r="V103" s="452">
        <v>18</v>
      </c>
      <c r="W103" s="452">
        <v>19</v>
      </c>
      <c r="X103" s="452">
        <v>20</v>
      </c>
      <c r="Y103" s="452">
        <v>21</v>
      </c>
      <c r="Z103" s="452">
        <v>22</v>
      </c>
      <c r="AA103" s="452">
        <v>23</v>
      </c>
      <c r="AB103" s="452">
        <v>24</v>
      </c>
      <c r="AC103" s="452">
        <v>25</v>
      </c>
      <c r="AD103" s="452">
        <v>26</v>
      </c>
      <c r="AE103" s="452">
        <v>27</v>
      </c>
      <c r="AF103" s="452">
        <v>28</v>
      </c>
      <c r="AG103" s="452">
        <v>29</v>
      </c>
      <c r="AH103" s="452">
        <v>30</v>
      </c>
      <c r="AI103" s="452">
        <v>31</v>
      </c>
      <c r="AJ103" s="418">
        <v>32</v>
      </c>
      <c r="AK103" s="418">
        <v>33</v>
      </c>
      <c r="AL103" s="418">
        <v>34</v>
      </c>
      <c r="AM103" s="418">
        <v>35</v>
      </c>
      <c r="AN103" s="418">
        <v>36</v>
      </c>
      <c r="AO103" s="418">
        <v>37</v>
      </c>
      <c r="AP103" s="418">
        <v>38</v>
      </c>
      <c r="AQ103" s="418">
        <v>39</v>
      </c>
      <c r="AR103" s="418">
        <v>40</v>
      </c>
      <c r="AS103" s="418">
        <v>41</v>
      </c>
      <c r="AT103" s="418">
        <v>42</v>
      </c>
      <c r="AU103" s="418">
        <v>43</v>
      </c>
      <c r="AV103" s="418">
        <v>44</v>
      </c>
      <c r="AW103" s="418">
        <v>45</v>
      </c>
      <c r="AX103" s="418">
        <v>46</v>
      </c>
      <c r="AY103" s="418">
        <v>47</v>
      </c>
      <c r="AZ103" s="418">
        <v>48</v>
      </c>
      <c r="BA103" s="418">
        <v>49</v>
      </c>
      <c r="BB103" s="418">
        <v>50</v>
      </c>
      <c r="BC103" s="418">
        <v>51</v>
      </c>
      <c r="BD103" s="418">
        <v>52</v>
      </c>
      <c r="BE103" s="418">
        <v>53</v>
      </c>
      <c r="BF103" s="418">
        <v>54</v>
      </c>
      <c r="BG103" s="418">
        <v>55</v>
      </c>
      <c r="BH103" s="418">
        <v>56</v>
      </c>
      <c r="BI103" s="418">
        <v>57</v>
      </c>
      <c r="BJ103" s="418">
        <v>58</v>
      </c>
      <c r="BK103" s="418">
        <v>59</v>
      </c>
      <c r="BL103" s="418">
        <v>60</v>
      </c>
      <c r="BM103" s="418">
        <v>61</v>
      </c>
      <c r="BN103" s="418">
        <v>62</v>
      </c>
      <c r="BO103" s="418">
        <v>63</v>
      </c>
      <c r="BP103" s="418">
        <v>64</v>
      </c>
      <c r="BQ103" s="418">
        <v>65</v>
      </c>
      <c r="BR103" s="418">
        <v>66</v>
      </c>
      <c r="BS103" s="418">
        <v>67</v>
      </c>
      <c r="BT103" s="418">
        <v>68</v>
      </c>
      <c r="BU103" s="418">
        <v>69</v>
      </c>
      <c r="BV103" s="418">
        <v>70</v>
      </c>
      <c r="BW103" s="418">
        <v>71</v>
      </c>
      <c r="BX103" s="418">
        <v>72</v>
      </c>
      <c r="BY103" s="418">
        <v>73</v>
      </c>
      <c r="BZ103" s="418">
        <v>74</v>
      </c>
      <c r="CA103" s="418">
        <v>75</v>
      </c>
      <c r="CB103" s="418">
        <v>76</v>
      </c>
      <c r="CC103" s="418">
        <v>77</v>
      </c>
      <c r="CD103" s="418">
        <v>78</v>
      </c>
      <c r="CE103" s="418">
        <v>79</v>
      </c>
      <c r="CF103" s="418">
        <v>80</v>
      </c>
      <c r="CG103" s="418">
        <v>81</v>
      </c>
      <c r="CH103" s="418">
        <v>82</v>
      </c>
      <c r="CI103" s="418">
        <v>83</v>
      </c>
      <c r="CJ103" s="418">
        <v>84</v>
      </c>
      <c r="CK103" s="418">
        <v>85</v>
      </c>
      <c r="CL103" s="418">
        <v>86</v>
      </c>
      <c r="CM103" s="418">
        <v>87</v>
      </c>
      <c r="CN103" s="418">
        <v>88</v>
      </c>
      <c r="CO103" s="418">
        <v>89</v>
      </c>
      <c r="CP103" s="418">
        <v>90</v>
      </c>
      <c r="CQ103" s="418">
        <v>91</v>
      </c>
      <c r="CR103" s="418">
        <v>92</v>
      </c>
      <c r="CS103" s="418">
        <v>93</v>
      </c>
      <c r="CT103" s="418">
        <v>94</v>
      </c>
      <c r="CU103" s="418">
        <v>95</v>
      </c>
      <c r="CV103" s="418">
        <v>96</v>
      </c>
      <c r="CW103" s="418">
        <v>97</v>
      </c>
      <c r="CX103" s="418">
        <v>98</v>
      </c>
      <c r="CY103" s="418">
        <v>99</v>
      </c>
      <c r="CZ103" s="418">
        <v>100</v>
      </c>
      <c r="DA103" s="418">
        <v>101</v>
      </c>
      <c r="DB103" s="418">
        <v>102</v>
      </c>
      <c r="DC103" s="418">
        <v>103</v>
      </c>
      <c r="DD103" s="418">
        <v>104</v>
      </c>
      <c r="DE103" s="418">
        <v>105</v>
      </c>
      <c r="DF103" s="418">
        <v>106</v>
      </c>
      <c r="DG103" s="418">
        <v>107</v>
      </c>
      <c r="DH103" s="418">
        <v>108</v>
      </c>
      <c r="DI103" s="418">
        <v>109</v>
      </c>
      <c r="DJ103" s="418">
        <v>110</v>
      </c>
      <c r="DK103" s="418">
        <v>111</v>
      </c>
      <c r="DL103" s="418">
        <v>112</v>
      </c>
      <c r="DM103" s="418">
        <v>113</v>
      </c>
      <c r="DN103" s="418">
        <v>114</v>
      </c>
      <c r="DO103" s="418">
        <v>115</v>
      </c>
      <c r="DP103" s="418">
        <v>116</v>
      </c>
      <c r="DQ103" s="418">
        <v>117</v>
      </c>
      <c r="DR103" s="418">
        <v>118</v>
      </c>
      <c r="DS103" s="418">
        <v>119</v>
      </c>
      <c r="DT103" s="418">
        <v>120</v>
      </c>
      <c r="DU103" s="418">
        <v>121</v>
      </c>
      <c r="DV103" s="418">
        <v>122</v>
      </c>
      <c r="DW103" s="418">
        <v>123</v>
      </c>
      <c r="DX103" s="418">
        <v>124</v>
      </c>
      <c r="DY103" s="418">
        <v>125</v>
      </c>
      <c r="DZ103" s="418">
        <v>126</v>
      </c>
      <c r="EA103" s="418">
        <v>127</v>
      </c>
      <c r="EB103" s="418">
        <v>128</v>
      </c>
      <c r="EC103" s="418">
        <v>129</v>
      </c>
      <c r="ED103" s="418">
        <v>130</v>
      </c>
      <c r="EE103" s="418">
        <v>131</v>
      </c>
      <c r="EF103" s="418">
        <v>132</v>
      </c>
      <c r="EG103" s="418">
        <v>133</v>
      </c>
      <c r="EH103" s="418">
        <v>134</v>
      </c>
      <c r="EI103" s="418">
        <v>135</v>
      </c>
      <c r="EJ103" s="418">
        <v>136</v>
      </c>
      <c r="EK103" s="418">
        <v>137</v>
      </c>
      <c r="EL103" s="418">
        <v>138</v>
      </c>
      <c r="EM103" s="418">
        <v>139</v>
      </c>
      <c r="EN103" s="418">
        <v>140</v>
      </c>
      <c r="EO103" s="418">
        <v>141</v>
      </c>
      <c r="EP103" s="418">
        <v>142</v>
      </c>
      <c r="EQ103" s="418">
        <v>143</v>
      </c>
      <c r="ER103" s="418">
        <v>144</v>
      </c>
      <c r="ES103" s="418">
        <v>145</v>
      </c>
      <c r="ET103" s="418">
        <v>146</v>
      </c>
      <c r="EU103" s="418">
        <v>147</v>
      </c>
      <c r="EV103" s="418">
        <v>148</v>
      </c>
      <c r="EW103" s="418">
        <v>149</v>
      </c>
      <c r="EX103" s="418">
        <v>150</v>
      </c>
      <c r="EY103" s="418">
        <v>151</v>
      </c>
      <c r="EZ103" s="418">
        <v>152</v>
      </c>
      <c r="FA103" s="418">
        <v>153</v>
      </c>
      <c r="FB103" s="418">
        <v>154</v>
      </c>
      <c r="FC103" s="418">
        <v>155</v>
      </c>
      <c r="FD103" s="418">
        <v>156</v>
      </c>
      <c r="FE103" s="418">
        <v>157</v>
      </c>
      <c r="FF103" s="418">
        <v>158</v>
      </c>
      <c r="FG103" s="418">
        <v>159</v>
      </c>
      <c r="FH103" s="418">
        <v>160</v>
      </c>
      <c r="FI103" s="418">
        <v>161</v>
      </c>
      <c r="FJ103" s="418">
        <v>162</v>
      </c>
      <c r="FK103" s="418">
        <v>163</v>
      </c>
      <c r="FL103" s="418">
        <v>164</v>
      </c>
      <c r="FM103" s="418">
        <v>165</v>
      </c>
      <c r="FN103" s="418">
        <v>166</v>
      </c>
      <c r="FO103" s="418">
        <v>167</v>
      </c>
      <c r="FP103" s="418">
        <v>168</v>
      </c>
      <c r="FQ103" s="418">
        <v>169</v>
      </c>
      <c r="FR103" s="418">
        <v>170</v>
      </c>
      <c r="FS103" s="418">
        <v>171</v>
      </c>
      <c r="FT103" s="418">
        <v>172</v>
      </c>
      <c r="FU103" s="418">
        <v>173</v>
      </c>
      <c r="FV103" s="418">
        <v>174</v>
      </c>
      <c r="FW103" s="418">
        <v>175</v>
      </c>
      <c r="FX103" s="418">
        <v>176</v>
      </c>
      <c r="FY103" s="418">
        <v>177</v>
      </c>
      <c r="FZ103" s="418">
        <v>178</v>
      </c>
      <c r="GA103" s="418">
        <v>179</v>
      </c>
      <c r="GB103" s="418">
        <v>180</v>
      </c>
      <c r="GC103" s="418">
        <v>181</v>
      </c>
      <c r="GD103" s="418">
        <v>182</v>
      </c>
      <c r="GE103" s="418">
        <v>183</v>
      </c>
      <c r="GF103" s="418">
        <v>184</v>
      </c>
      <c r="GG103" s="418">
        <v>185</v>
      </c>
      <c r="GH103" s="418">
        <v>186</v>
      </c>
      <c r="GI103" s="418">
        <v>187</v>
      </c>
      <c r="GJ103" s="418">
        <v>188</v>
      </c>
      <c r="GK103" s="418">
        <v>189</v>
      </c>
      <c r="GL103" s="418">
        <v>190</v>
      </c>
      <c r="GM103" s="418">
        <v>191</v>
      </c>
      <c r="GN103" s="418">
        <v>192</v>
      </c>
      <c r="GO103" s="418">
        <v>193</v>
      </c>
      <c r="GP103" s="418">
        <v>194</v>
      </c>
      <c r="GQ103" s="418">
        <v>195</v>
      </c>
      <c r="GR103" s="418">
        <v>196</v>
      </c>
      <c r="GS103" s="418">
        <v>197</v>
      </c>
      <c r="GT103" s="418">
        <v>198</v>
      </c>
      <c r="GU103" s="418">
        <v>199</v>
      </c>
      <c r="GV103" s="418">
        <v>200</v>
      </c>
      <c r="GW103" s="418">
        <v>201</v>
      </c>
      <c r="GX103" s="418">
        <v>202</v>
      </c>
      <c r="GY103" s="418">
        <v>203</v>
      </c>
      <c r="GZ103" s="418">
        <v>204</v>
      </c>
      <c r="HA103" s="418">
        <v>205</v>
      </c>
      <c r="HB103" s="418">
        <v>206</v>
      </c>
      <c r="HC103" s="418">
        <v>207</v>
      </c>
      <c r="HD103" s="418">
        <v>208</v>
      </c>
      <c r="HE103" s="418">
        <v>209</v>
      </c>
      <c r="HF103" s="418">
        <v>210</v>
      </c>
      <c r="HG103" s="418">
        <v>211</v>
      </c>
      <c r="HH103" s="418">
        <v>212</v>
      </c>
      <c r="HI103" s="418">
        <v>213</v>
      </c>
      <c r="HJ103" s="418">
        <v>214</v>
      </c>
      <c r="HK103" s="418">
        <v>215</v>
      </c>
      <c r="HL103" s="418">
        <v>216</v>
      </c>
      <c r="HM103" s="418">
        <v>217</v>
      </c>
      <c r="HN103" s="418">
        <v>218</v>
      </c>
      <c r="HO103" s="418">
        <v>219</v>
      </c>
      <c r="HP103" s="418">
        <v>220</v>
      </c>
      <c r="HQ103" s="418">
        <v>221</v>
      </c>
      <c r="HR103" s="418">
        <v>222</v>
      </c>
      <c r="HS103" s="418">
        <v>223</v>
      </c>
      <c r="HT103" s="418">
        <v>224</v>
      </c>
      <c r="HU103" s="418">
        <v>225</v>
      </c>
      <c r="HV103" s="418">
        <v>226</v>
      </c>
      <c r="HW103" s="418">
        <v>227</v>
      </c>
      <c r="HX103" s="418">
        <v>228</v>
      </c>
      <c r="HY103" s="418">
        <v>229</v>
      </c>
      <c r="HZ103" s="418">
        <v>230</v>
      </c>
      <c r="IA103" s="418">
        <v>231</v>
      </c>
      <c r="IB103" s="418">
        <v>232</v>
      </c>
      <c r="IC103" s="418">
        <v>233</v>
      </c>
      <c r="ID103" s="418">
        <v>234</v>
      </c>
      <c r="IE103" s="418">
        <v>235</v>
      </c>
      <c r="IF103" s="418">
        <v>236</v>
      </c>
      <c r="IG103" s="418">
        <v>237</v>
      </c>
      <c r="IH103" s="418">
        <v>238</v>
      </c>
      <c r="II103" s="418">
        <v>239</v>
      </c>
      <c r="IJ103" s="418">
        <v>240</v>
      </c>
      <c r="IK103" s="418">
        <v>241</v>
      </c>
      <c r="IL103" s="418">
        <v>242</v>
      </c>
      <c r="IM103" s="418">
        <v>243</v>
      </c>
      <c r="IN103" s="418">
        <v>244</v>
      </c>
      <c r="IO103" s="418">
        <v>245</v>
      </c>
      <c r="IP103" s="418">
        <v>246</v>
      </c>
      <c r="IQ103" s="418">
        <v>247</v>
      </c>
      <c r="IR103" s="418">
        <v>248</v>
      </c>
      <c r="IS103" s="418">
        <v>249</v>
      </c>
      <c r="IT103" s="418">
        <v>250</v>
      </c>
      <c r="IU103" s="418">
        <v>251</v>
      </c>
      <c r="IV103" s="418">
        <v>252</v>
      </c>
      <c r="IW103" s="418">
        <v>253</v>
      </c>
      <c r="IX103" s="418">
        <v>254</v>
      </c>
      <c r="IY103" s="418">
        <v>255</v>
      </c>
      <c r="IZ103" s="418">
        <v>256</v>
      </c>
      <c r="JA103" s="418">
        <v>257</v>
      </c>
      <c r="JB103" s="418">
        <v>258</v>
      </c>
      <c r="JC103" s="418">
        <v>259</v>
      </c>
      <c r="JD103" s="418">
        <v>260</v>
      </c>
      <c r="JE103" s="418">
        <v>261</v>
      </c>
      <c r="JF103" s="418">
        <v>262</v>
      </c>
      <c r="JG103" s="418">
        <v>263</v>
      </c>
      <c r="JH103" s="418">
        <v>264</v>
      </c>
      <c r="JI103" s="418">
        <v>265</v>
      </c>
      <c r="JJ103" s="418">
        <v>266</v>
      </c>
      <c r="JK103" s="418">
        <v>267</v>
      </c>
      <c r="JL103" s="418">
        <v>268</v>
      </c>
      <c r="JM103" s="418">
        <v>269</v>
      </c>
      <c r="JN103" s="418">
        <v>270</v>
      </c>
      <c r="JO103" s="418">
        <v>271</v>
      </c>
      <c r="JP103" s="418">
        <v>272</v>
      </c>
      <c r="JQ103" s="418">
        <v>273</v>
      </c>
      <c r="JR103" s="593"/>
    </row>
    <row r="104" spans="1:280" x14ac:dyDescent="0.25">
      <c r="A104" s="1367">
        <v>2</v>
      </c>
      <c r="B104" s="1482">
        <f>IF(NI1_IND&gt;1,IF(HLOOKUP(NI1_IND-1,NI1_RANGE,A104)="","",HLOOKUP(NI1_IND-1,NI1_RANGE,A104)),"")</f>
        <v>37700</v>
      </c>
      <c r="C104" s="1688" t="s">
        <v>2883</v>
      </c>
      <c r="D104" s="1360"/>
      <c r="E104" s="1483">
        <f>IF('C2'!E3="",0,MAX(0,MIN('C2'!E3,Class1_UEL)-Class1_PT))</f>
        <v>0</v>
      </c>
      <c r="F104" s="1483">
        <f>IF('C2'!F3="",0,MAX(0,MIN('C2'!F3,Class1_UEL)-Class1_PT))</f>
        <v>20684</v>
      </c>
      <c r="G104" s="1483">
        <f>IF('C2'!G3="",0,MAX(0,MIN('C2'!G3,Class1_UEL)-Class1_PT))</f>
        <v>19147</v>
      </c>
      <c r="H104" s="1483">
        <f>IF('C2'!H3="",0,MAX(0,MIN('C2'!H3,Class1_UEL)-Class1_PT))</f>
        <v>37350</v>
      </c>
      <c r="I104" s="1483"/>
      <c r="J104" s="1483"/>
      <c r="K104" s="1483">
        <f>IF('C2'!K3="",0,MAX(0,MIN('C2'!K3,Class1_UEL)-Class1_PT))</f>
        <v>24281</v>
      </c>
      <c r="L104" s="1483"/>
      <c r="M104" s="1483"/>
      <c r="N104" s="1483"/>
      <c r="O104" s="1483">
        <f>IF('C2'!O3="",0,MAX(0,MIN('C2'!O3,Class1_UEL)-Class1_PT))</f>
        <v>11108</v>
      </c>
      <c r="P104" s="1483"/>
      <c r="Q104" s="1483">
        <f>IF('C2'!Q3="",0,MAX(0,MIN('C2'!Q3,Class1_UEL)-Class1_PT))</f>
        <v>35914</v>
      </c>
      <c r="R104" s="1483">
        <f>IF('C2'!R3="",0,MAX(0,MIN('C2'!R3,Class1_UEL)-Class1_PT))</f>
        <v>34384</v>
      </c>
      <c r="S104" s="1483"/>
      <c r="T104" s="1483"/>
      <c r="U104" s="1483">
        <f>IF('C2'!U3="",0,MAX(0,MIN('C2'!U3,Class1_UEL)-Class1_PT))</f>
        <v>37700</v>
      </c>
      <c r="V104" s="1483">
        <f>IF('C2'!V3="",0,MAX(0,MIN('C2'!V3,Class1_UEL)-Class1_PT))</f>
        <v>35882</v>
      </c>
      <c r="W104" s="1483">
        <f>IF('C2'!W3="",0,MAX(0,MIN('C2'!W3,Class1_UEL)-Class1_PT))</f>
        <v>37700</v>
      </c>
      <c r="X104" s="1483">
        <f>IF('C2'!X3="",0,MAX(0,MIN('C2'!X3,Class1_UEL)-Class1_PT))</f>
        <v>0</v>
      </c>
      <c r="Y104" s="1483">
        <f>IF('C2'!Y3="",0,MAX(0,MIN('C2'!Y3,Class1_UEL)-Class1_PT))</f>
        <v>1304</v>
      </c>
      <c r="Z104" s="1483">
        <f>IF('C2'!Z3="",0,MAX(0,MIN('C2'!Z3,Class1_UEL)-Class1_PT))</f>
        <v>37700</v>
      </c>
      <c r="AA104" s="1483">
        <f>IF('C2'!AA3="",0,MAX(0,MIN('C2'!AA3,Class1_UEL)-Class1_PT))</f>
        <v>22684</v>
      </c>
      <c r="AB104" s="1483"/>
      <c r="AC104" s="1483">
        <f>IF('C2'!AC3="",0,MAX(0,MIN('C2'!AC3,Class1_UEL)-Class1_PT))</f>
        <v>0</v>
      </c>
      <c r="AD104" s="1483">
        <f>IF('C2'!AD3="",0,MAX(0,MIN('C2'!AD3,Class1_UEL)-Class1_PT))</f>
        <v>37700</v>
      </c>
      <c r="AE104" s="1483">
        <f>IF('C2'!AE3="",0,MAX(0,MIN('C2'!AE3,Class1_UEL)-Class1_PT))</f>
        <v>23910</v>
      </c>
      <c r="AF104" s="1483"/>
      <c r="AG104" s="1483">
        <f>IF('C2'!AG3="",0,MAX(0,MIN('C2'!AG3,Class1_UEL)-Class1_PT))</f>
        <v>37700</v>
      </c>
      <c r="AH104" s="1483">
        <f>IF('C2'!AH3="",0,MAX(0,MIN('C2'!AH3,Class1_UEL)-Class1_PT))</f>
        <v>37700</v>
      </c>
      <c r="AI104" s="1483">
        <f>IF('C2'!AI3="",0,MAX(0,MIN('C2'!AI3,Class1_UEL)-Class1_PT))</f>
        <v>17180</v>
      </c>
      <c r="AJ104" s="1483">
        <f>IF('C2'!AJ3="",0,MAX(0,MIN('C2'!AJ3,Class1_UEL)-Class1_PT))</f>
        <v>21180</v>
      </c>
      <c r="AK104" s="1483">
        <f>IF('C2'!AK3="",0,MAX(0,MIN('C2'!AK3,Class1_UEL)-Class1_PT))</f>
        <v>26059</v>
      </c>
      <c r="AL104" s="1483">
        <f>IF('C2'!AL3="",0,MAX(0,MIN('C2'!AL3,Class1_UEL)-Class1_PT))</f>
        <v>37700</v>
      </c>
      <c r="AM104" s="1483">
        <f>IF('C2'!AM3="",0,MAX(0,MIN('C2'!AM3,Class1_UEL)-Class1_PT))</f>
        <v>0</v>
      </c>
      <c r="AN104" s="1483"/>
      <c r="AO104" s="1483"/>
      <c r="AP104" s="1483">
        <f>IF('C2'!AP3="",0,MAX(0,MIN('C2'!AP3,Class1_UEL)-Class1_PT))</f>
        <v>0</v>
      </c>
      <c r="AQ104" s="1483">
        <f>IF('C2'!AQ3="",0,MAX(0,MIN('C2'!AQ3,Class1_UEL)-Class1_PT))</f>
        <v>37700</v>
      </c>
      <c r="AR104" s="1483"/>
      <c r="AS104" s="1483">
        <f>IF('C2'!AS3="",0,MAX(0,MIN('C2'!AS3,Class1_UEL)-Class1_PT))</f>
        <v>5930</v>
      </c>
      <c r="AT104" s="1483">
        <f>IF('C2'!AT3="",0,MAX(0,MIN('C2'!AT3,Class1_UEL)-Class1_PT))</f>
        <v>36180</v>
      </c>
      <c r="AU104" s="1483">
        <f>IF('C2'!AU3="",0,MAX(0,MIN('C2'!AU3,Class1_UEL)-Class1_PT))</f>
        <v>27701</v>
      </c>
      <c r="AV104" s="1483"/>
      <c r="AW104" s="1483"/>
      <c r="AX104" s="1483"/>
      <c r="AY104" s="1483"/>
      <c r="AZ104" s="1483"/>
      <c r="BA104" s="1483">
        <f>IF('C2'!BA3="",0,MAX(0,MIN('C2'!BA3,Class1_UEL)-Class1_PT))</f>
        <v>14945</v>
      </c>
      <c r="BB104" s="1483">
        <f>IF('C2'!BB3="",0,MAX(0,MIN('C2'!BB3,Class1_UEL)-Class1_PT))</f>
        <v>0</v>
      </c>
      <c r="BC104" s="1483"/>
      <c r="BD104" s="1483">
        <f>IF('C2'!BD3="",0,MAX(0,MIN('C2'!BD3,Class1_UEL)-Class1_PT))</f>
        <v>5930</v>
      </c>
      <c r="BE104" s="1483">
        <f>IF('C2'!BE3="",0,MAX(0,MIN('C2'!BE3,Class1_UEL)-Class1_PT))</f>
        <v>0</v>
      </c>
      <c r="BF104" s="1483">
        <f>IF('C2'!BF3="",0,MAX(0,MIN('C2'!BF3,Class1_UEL)-Class1_PT))</f>
        <v>12930</v>
      </c>
      <c r="BG104" s="1483">
        <f>IF('C2'!BG3="",0,MAX(0,MIN('C2'!BG3,Class1_UEL)-Class1_PT))</f>
        <v>37430</v>
      </c>
      <c r="BH104" s="1483">
        <f>IF('C2'!BH3="",0,MAX(0,MIN('C2'!BH3,Class1_UEL)-Class1_PT))</f>
        <v>0</v>
      </c>
      <c r="BI104" s="1483">
        <f>IF('C2'!BI3="",0,MAX(0,MIN('C2'!BI3,Class1_UEL)-Class1_PT))</f>
        <v>20030</v>
      </c>
      <c r="BJ104" s="1483"/>
      <c r="BK104" s="1483"/>
      <c r="BL104" s="1483"/>
      <c r="BM104" s="1483">
        <f>IF('C2'!BM3="",0,MAX(0,MIN('C2'!BM3,Class1_UEL)-Class1_PT))</f>
        <v>14945</v>
      </c>
      <c r="BN104" s="1483"/>
      <c r="BO104" s="1483">
        <f>IF('C2'!BO3="",0,MAX(0,MIN('C2'!BO3,Class1_UEL)-Class1_PT))</f>
        <v>20684</v>
      </c>
      <c r="BP104" s="1483"/>
      <c r="BQ104" s="1483"/>
      <c r="BR104" s="1483"/>
      <c r="BS104" s="1483">
        <f>IF('C2'!BS3="",0,MAX(0,MIN('C2'!BS3,Class1_UEL)-Class1_PT))</f>
        <v>0</v>
      </c>
      <c r="BT104" s="1483"/>
      <c r="BU104" s="1483"/>
      <c r="BV104" s="1483"/>
      <c r="BW104" s="1483"/>
      <c r="BX104" s="1483"/>
      <c r="BY104" s="1483"/>
      <c r="BZ104" s="1483"/>
      <c r="CA104" s="1483"/>
      <c r="CB104" s="1483"/>
      <c r="CC104" s="1483"/>
      <c r="CD104" s="1483">
        <f>IF('C2'!CD3="",0,MAX(0,MIN('C2'!CD3,Class1_UEL)-Class1_PT))</f>
        <v>0</v>
      </c>
      <c r="CE104" s="1483">
        <f>IF('C2'!CE3="",0,MAX(0,MIN('C2'!CE3,Class1_UEL)-Class1_PT))</f>
        <v>37700</v>
      </c>
      <c r="CF104" s="1483">
        <f>IF('C2'!CF3="",0,MAX(0,MIN('C2'!CF3,Class1_UEL)-Class1_PT))</f>
        <v>20684</v>
      </c>
      <c r="CG104" s="1483"/>
      <c r="CH104" s="1483">
        <f>IF('C2'!CH3="",0,MAX(0,MIN('C2'!CH3,Class1_UEL)-Class1_PT))</f>
        <v>20684</v>
      </c>
      <c r="CI104" s="1483"/>
      <c r="CJ104" s="1483"/>
      <c r="CK104" s="1483"/>
      <c r="CL104" s="1483"/>
      <c r="CM104" s="1483"/>
      <c r="CN104" s="1483">
        <f>IF('C2'!CN3="",0,MAX(0,MIN('C2'!CN3,Class1_UEL)-Class1_PT))</f>
        <v>5930</v>
      </c>
      <c r="CO104" s="1483">
        <f>IF('C2'!CO3="",0,MAX(0,MIN('C2'!CO3,Class1_UEL)-Class1_PT))</f>
        <v>5930</v>
      </c>
      <c r="CP104" s="1483"/>
      <c r="CQ104" s="1483">
        <f>IF('C2'!CQ3="",0,MAX(0,MIN('C2'!CQ3,Class1_UEL)-Class1_PT))</f>
        <v>0</v>
      </c>
      <c r="CR104" s="1483"/>
      <c r="CS104" s="1483"/>
      <c r="CT104" s="1483">
        <f>IF('C2'!CT3="",0,MAX(0,MIN('C2'!CT3,Class1_UEL)-Class1_PT))</f>
        <v>0</v>
      </c>
      <c r="CU104" s="1483"/>
      <c r="CV104" s="1483">
        <f>IF('C2'!CV3="",0,MAX(0,MIN('C2'!CV3,Class1_UEL)-Class1_PT))</f>
        <v>14945</v>
      </c>
      <c r="CW104" s="1483"/>
      <c r="CX104" s="1483"/>
      <c r="CY104" s="1483"/>
      <c r="CZ104" s="1483"/>
      <c r="DA104" s="1483"/>
      <c r="DB104" s="1483">
        <f>IF('C2'!DB3="",0,MAX(0,MIN('C2'!DB3,Class1_UEL)-Class1_PT))</f>
        <v>2764</v>
      </c>
      <c r="DC104" s="1483"/>
      <c r="DD104" s="1483">
        <f>IF('C2'!DD3="",0,MAX(0,MIN('C2'!DD3,Class1_UEL)-Class1_PT))</f>
        <v>0</v>
      </c>
      <c r="DE104" s="1483">
        <f>IF('C2'!DE3="",0,MAX(0,MIN('C2'!DE3,Class1_UEL)-Class1_PT))</f>
        <v>5930</v>
      </c>
      <c r="DF104" s="1483">
        <f>IF('C2'!DF3="",0,MAX(0,MIN('C2'!DF3,Class1_UEL)-Class1_PT))</f>
        <v>32430</v>
      </c>
      <c r="DG104" s="1483"/>
      <c r="DH104" s="1483"/>
      <c r="DI104" s="1483">
        <f>IF('C2'!DI3="",0,MAX(0,MIN('C2'!DI3,Class1_UEL)-Class1_PT))</f>
        <v>32531</v>
      </c>
      <c r="DJ104" s="1483"/>
      <c r="DK104" s="1483">
        <f>IF('C2'!DK3="",0,MAX(0,MIN('C2'!DK3,Class1_UEL)-Class1_PT))</f>
        <v>14945</v>
      </c>
      <c r="DL104" s="1483">
        <f>IF('C2'!DL3="",0,MAX(0,MIN('C2'!DL3,Class1_UEL)-Class1_PT))</f>
        <v>37700</v>
      </c>
      <c r="DM104" s="1483"/>
      <c r="DN104" s="1483"/>
      <c r="DO104" s="1484">
        <f>IF('C2'!DO3="",0,MAX(0,MIN('C2'!DO3,Class1_UEL)-Class1_PT))</f>
        <v>37700</v>
      </c>
      <c r="DP104" s="1484">
        <f>IF('C2'!DP3="",0,MAX(0,MIN('C2'!DP3,Class1_UEL)-Class1_PT))</f>
        <v>37700</v>
      </c>
      <c r="DQ104" s="1483"/>
      <c r="DR104" s="1483"/>
      <c r="DS104" s="1484">
        <f>IF('C2'!DS3="",0,MAX(0,MIN('C2'!DS3,Class1_UEL)-Class1_PT))</f>
        <v>37700</v>
      </c>
      <c r="DT104" s="1483">
        <f>IF('C2'!DT3="",0,MAX(0,MIN('C2'!DT3,Class1_UEL)-Class1_PT))</f>
        <v>37700</v>
      </c>
      <c r="DU104" s="1483">
        <f>IF('C2'!DU3="",0,MAX(0,MIN('C2'!DU3,Class1_UEL)-Class1_PT))</f>
        <v>0</v>
      </c>
      <c r="DV104" s="1483">
        <f>IF('C2'!DV3="",0,MAX(0,MIN('C2'!DV3,Class1_UEL)-Class1_PT))</f>
        <v>17920</v>
      </c>
      <c r="DW104" s="1483"/>
      <c r="DX104" s="1483"/>
      <c r="DY104" s="1483"/>
      <c r="DZ104" s="1483"/>
      <c r="EA104" s="1483">
        <f>IF('C2'!EA3="",0,MAX(0,MIN('C2'!EA3,Class1_UEL)-Class1_PT))</f>
        <v>0</v>
      </c>
      <c r="EB104" s="1483"/>
      <c r="EC104" s="1483"/>
      <c r="ED104" s="1483">
        <f>IF('C2'!ED3="",0,MAX(0,MIN('C2'!ED3,Class1_UEL)-Class1_PT))</f>
        <v>20684</v>
      </c>
      <c r="EE104" s="1483">
        <f>IF('C2'!EE3="",0,MAX(0,MIN('C2'!EE3,Class1_UEL)-Class1_PT))</f>
        <v>20684</v>
      </c>
      <c r="EF104" s="1483"/>
      <c r="EG104" s="1483">
        <f>IF('C2'!EG3="",0,MAX(0,MIN('C2'!EG3,Class1_UEL)-Class1_PT))</f>
        <v>0</v>
      </c>
      <c r="EH104" s="1483">
        <f>IF('C2'!EH3="",0,MAX(0,MIN('C2'!EH3,Class1_UEL)-Class1_PT))</f>
        <v>37700</v>
      </c>
      <c r="EI104" s="1483">
        <f>IF('C2'!EI3="",0,MAX(0,MIN('C2'!EI3,Class1_UEL)-Class1_PT))</f>
        <v>37700</v>
      </c>
      <c r="EJ104" s="1483">
        <f>IF('C2'!EJ3="",0,MAX(0,MIN('C2'!EJ3,Class1_UEL)-Class1_PT))</f>
        <v>0</v>
      </c>
      <c r="EK104" s="1483">
        <f>IF('C2'!EK3="",0,MAX(0,MIN('C2'!EK3,Class1_UEL)-Class1_PT))</f>
        <v>0</v>
      </c>
      <c r="EL104" s="1483">
        <f>IF('C2'!EL3="",0,MAX(0,MIN('C2'!EL3,Class1_UEL)-Class1_PT))</f>
        <v>37700</v>
      </c>
      <c r="EM104" s="1483"/>
      <c r="EN104" s="1483"/>
      <c r="EO104" s="1483">
        <f>IF('C2'!EO3="",0,MAX(0,MIN('C2'!EO3,Class1_UEL)-Class1_PT))</f>
        <v>37700</v>
      </c>
      <c r="EP104" s="1483">
        <f>IF('C2'!EP3="",0,MAX(0,MIN('C2'!EP3,Class1_UEL)-Class1_PT))</f>
        <v>37030</v>
      </c>
      <c r="EQ104" s="1483"/>
      <c r="ER104" s="1483"/>
      <c r="ES104" s="1483"/>
      <c r="ET104" s="1483"/>
      <c r="EU104" s="1483"/>
      <c r="EV104" s="1483"/>
      <c r="EW104" s="1483"/>
      <c r="EX104" s="1483"/>
      <c r="EY104" s="1483"/>
      <c r="EZ104" s="1483">
        <f>IF('C2'!EZ3="",0,MAX(0,MIN('C2'!EZ3,Class1_UEL)-Class1_PT))</f>
        <v>5930</v>
      </c>
      <c r="FA104" s="1483"/>
      <c r="FB104" s="1483">
        <f>IF('C2'!FB3="",0,MAX(0,MIN('C2'!FB3,Class1_UEL)-Class1_PT))</f>
        <v>1633.2000000000007</v>
      </c>
      <c r="FC104" s="1483">
        <f>IF('C2'!FC3="",0,MAX(0,MIN('C2'!FC3,Class1_UEL)-Class1_PT))</f>
        <v>37700</v>
      </c>
      <c r="FD104" s="1483">
        <f>IF('C2'!FD3="",0,MAX(0,MIN('C2'!FD3,Class1_UEL)-Class1_PT))</f>
        <v>37700</v>
      </c>
      <c r="FE104" s="1483"/>
      <c r="FF104" s="1483"/>
      <c r="FG104" s="1483"/>
      <c r="FH104" s="1483"/>
      <c r="FI104" s="1483"/>
      <c r="FJ104" s="1483"/>
      <c r="FK104" s="1483"/>
      <c r="FL104" s="1483"/>
      <c r="FM104" s="1483">
        <f>IF('C2'!FM3="",0,MAX(0,MIN('C2'!FM3,Class1_UEL)-Class1_PT))</f>
        <v>0</v>
      </c>
      <c r="FN104" s="1483">
        <f>IF('C2'!FN3="",0,MAX(0,MIN('C2'!FN3,Class1_UEL)-Class1_PT))</f>
        <v>37700</v>
      </c>
      <c r="FO104" s="1483">
        <f>IF('C2'!FO3="",0,MAX(0,MIN('C2'!FO3,Class1_UEL)-Class1_PT))</f>
        <v>37700</v>
      </c>
      <c r="FP104" s="1483">
        <f>IF('C2'!FP3="",0,MAX(0,MIN('C2'!FP3,Class1_UEL)-Class1_PT))</f>
        <v>37700</v>
      </c>
      <c r="FQ104" s="1483">
        <f>IF('C2'!FQ3="",0,MAX(0,MIN('C2'!FQ3,Class1_UEL)-Class1_PT))</f>
        <v>20684</v>
      </c>
      <c r="FR104" s="1483"/>
      <c r="FS104" s="1483"/>
      <c r="FT104" s="1483"/>
      <c r="FU104" s="1483"/>
      <c r="FV104" s="1483"/>
      <c r="FW104" s="1483">
        <f>IF('C2'!FW3="",0,MAX(0,MIN('C2'!FW3,Class1_UEL)-Class1_PT))</f>
        <v>5930</v>
      </c>
      <c r="FX104" s="1483"/>
      <c r="FY104" s="1483"/>
      <c r="FZ104" s="1483"/>
      <c r="GA104" s="1483"/>
      <c r="GB104" s="1483"/>
      <c r="GC104" s="1483">
        <f>IF('C2'!GC3="",0,MAX(0,MIN('C2'!GC3,Class1_UEL)-Class1_PT))</f>
        <v>430</v>
      </c>
      <c r="GD104" s="1483">
        <f>IF('C2'!GD3="",0,MAX(0,MIN('C2'!GD3,Class1_UEL)-Class1_PT))</f>
        <v>0</v>
      </c>
      <c r="GE104" s="1483"/>
      <c r="GF104" s="1483">
        <f>IF('C2'!GF3="",0,MAX(0,MIN('C2'!GF3,Class1_UEL)-Class1_PT))</f>
        <v>2430</v>
      </c>
      <c r="GG104" s="1483"/>
      <c r="GH104" s="1483"/>
      <c r="GI104" s="1483"/>
      <c r="GJ104" s="1483"/>
      <c r="GK104" s="1483">
        <f>IF('C2'!GK3="",0,MAX(0,MIN('C2'!GK3,Class1_UEL)-Class1_PT))</f>
        <v>0</v>
      </c>
      <c r="GL104" s="1483"/>
      <c r="GM104" s="1483"/>
      <c r="GN104" s="1483"/>
      <c r="GO104" s="1483">
        <f>IF('C2'!GO3="",0,MAX(0,MIN('C2'!GO3,Class1_UEL)-Class1_PT))</f>
        <v>20684</v>
      </c>
      <c r="GP104" s="1483">
        <f>IF('C2'!GP3="",0,MAX(0,MIN('C2'!GP3,Class1_UEL)-Class1_PT))</f>
        <v>37700</v>
      </c>
      <c r="GQ104" s="1483">
        <f>IF('C2'!GQ3="",0,MAX(0,MIN('C2'!GQ3,Class1_UEL)-Class1_PT))</f>
        <v>5930</v>
      </c>
      <c r="GR104" s="1483">
        <f>IF('C2'!GR3="",0,MAX(0,MIN('C2'!GR3,Class1_UEL)-Class1_PT))</f>
        <v>25529</v>
      </c>
      <c r="GS104" s="1483">
        <f>IF('C2'!GS3="",0,MAX(0,MIN('C2'!GS3,Class1_UEL)-Class1_PT))</f>
        <v>37700</v>
      </c>
      <c r="GT104" s="1483"/>
      <c r="GU104" s="1483"/>
      <c r="GV104" s="1483">
        <f>IF('C2'!GV3="",0,MAX(0,MIN('C2'!GV3,Class1_UEL)-Class1_PT))</f>
        <v>37700</v>
      </c>
      <c r="GW104" s="1483">
        <f>IF('C2'!GW3="",0,MAX(0,MIN('C2'!GW3,Class1_UEL)-Class1_PT))</f>
        <v>22721</v>
      </c>
      <c r="GX104" s="1483">
        <f>IF('C2'!GX3="",0,MAX(0,MIN('C2'!GX3,Class1_UEL)-Class1_PT))</f>
        <v>37700</v>
      </c>
      <c r="GY104" s="1483"/>
      <c r="GZ104" s="1483">
        <f>IF('C2'!GZ3="",0,MAX(0,MIN('C2'!GZ3,Class1_UEL)-Class1_PT))</f>
        <v>37700</v>
      </c>
      <c r="HA104" s="1483">
        <f>IF('C2'!HA3="",0,MAX(0,MIN('C2'!HA3,Class1_UEL)-Class1_PT))</f>
        <v>37700</v>
      </c>
      <c r="HB104" s="1483">
        <f>IF('C2'!HB3="",0,MAX(0,MIN('C2'!HB3,Class1_UEL)-Class1_PT))</f>
        <v>37700</v>
      </c>
      <c r="HC104" s="1483"/>
      <c r="HD104" s="1483"/>
      <c r="HE104" s="1483"/>
      <c r="HF104" s="1483">
        <f>IF('C2'!HF3="",0,MAX(0,MIN('C2'!HF3,Class1_UEL)-Class1_PT))</f>
        <v>37700</v>
      </c>
      <c r="HG104" s="1483">
        <f>IF('C2'!HG3="",0,MAX(0,MIN('C2'!HG3,Class1_UEL)-Class1_PT))</f>
        <v>36380</v>
      </c>
      <c r="HH104" s="1483"/>
      <c r="HI104" s="1483">
        <f>IF('C2'!HI3="",0,MAX(0,MIN('C2'!HI3,Class1_UEL)-Class1_PT))</f>
        <v>37700</v>
      </c>
      <c r="HJ104" s="1483"/>
      <c r="HK104" s="1483"/>
      <c r="HL104" s="1483"/>
      <c r="HM104" s="1483"/>
      <c r="HN104" s="1483"/>
      <c r="HO104" s="1483">
        <f>IF('C2'!HO3="",0,MAX(0,MIN('C2'!HO3,Class1_UEL)-Class1_PT))</f>
        <v>0</v>
      </c>
      <c r="HP104" s="1483"/>
      <c r="HQ104" s="1483"/>
      <c r="HR104" s="1483"/>
      <c r="HS104" s="1483"/>
      <c r="HT104" s="1483"/>
      <c r="HU104" s="1483"/>
      <c r="HV104" s="1483"/>
      <c r="HW104" s="1483"/>
      <c r="HX104" s="1483"/>
      <c r="HY104" s="1483">
        <f>IF('C2'!HY3="",0,MAX(0,MIN('C2'!HY3,Class1_UEL)-Class1_PT))</f>
        <v>35448</v>
      </c>
      <c r="HZ104" s="1483"/>
      <c r="IA104" s="1483"/>
      <c r="IB104" s="1483"/>
      <c r="IC104" s="1483"/>
      <c r="ID104" s="1483"/>
      <c r="IE104" s="1483">
        <f>IF('C2'!IE3="",0,MAX(0,MIN('C2'!IE3,Class1_UEL)-Class1_PT))</f>
        <v>12344</v>
      </c>
      <c r="IF104" s="1483">
        <f>IF('C2'!IF3="",0,MAX(0,MIN('C2'!IF3,Class1_UEL)-Class1_PT))</f>
        <v>1000</v>
      </c>
      <c r="IG104" s="1483">
        <f>IF('C2'!IG3="",0,MAX(0,MIN('C2'!IG3,Class1_UEL)-Class1_PT))</f>
        <v>0</v>
      </c>
      <c r="IH104" s="1483">
        <f>IF('C2'!IH3="",0,MAX(0,MIN('C2'!IH3,Class1_UEL)-Class1_PT))</f>
        <v>17523</v>
      </c>
      <c r="II104" s="1483">
        <f>IF('C2'!II3="",0,MAX(0,MIN('C2'!II3,Class1_UEL)-Class1_PT))</f>
        <v>37700</v>
      </c>
      <c r="IJ104" s="1483"/>
      <c r="IK104" s="1483">
        <f>IF('C2'!IK3="",0,MAX(0,MIN('C2'!IK3,Class1_UEL)-Class1_PT))</f>
        <v>37700</v>
      </c>
      <c r="IL104" s="1483"/>
      <c r="IM104" s="1483"/>
      <c r="IN104" s="1483"/>
      <c r="IO104" s="1483">
        <f>IF('C2'!IO3="",0,MAX(0,MIN('C2'!IO3,Class1_UEL)-Class1_PT))</f>
        <v>0</v>
      </c>
      <c r="IP104" s="1483"/>
      <c r="IQ104" s="1483"/>
      <c r="IR104" s="1483"/>
      <c r="IS104" s="1483">
        <f>IF('C2'!IS3="",0,MAX(0,MIN('C2'!IS3,Class1_UEL)-Class1_PT))</f>
        <v>37700</v>
      </c>
      <c r="IT104" s="1483"/>
      <c r="IU104" s="1483"/>
      <c r="IV104" s="1483"/>
      <c r="IW104" s="1483"/>
      <c r="IX104" s="1483">
        <f>IF('C2'!IX3="",0,MAX(0,MIN('C2'!IX3,Class1_UEL)-Class1_PT))</f>
        <v>37700</v>
      </c>
      <c r="IY104" s="1483">
        <f>IF('C2'!IY3="",0,MAX(0,MIN('C2'!IY3,Class1_UEL)-Class1_PT))</f>
        <v>7219</v>
      </c>
      <c r="IZ104" s="1483">
        <f>IF('C2'!IZ3="",0,MAX(0,MIN('C2'!IZ3,Class1_UEL)-Class1_PT))</f>
        <v>20684</v>
      </c>
      <c r="JA104" s="1483"/>
      <c r="JB104" s="1483"/>
      <c r="JC104" s="1483"/>
      <c r="JD104" s="1483"/>
      <c r="JE104" s="1483">
        <f>IF('C2'!JE3="",0,MAX(0,MIN('C2'!JE3,Class1_UEL)-Class1_PT))</f>
        <v>20684</v>
      </c>
      <c r="JF104" s="1483">
        <f>IF('C2'!JF3="",0,MAX(0,MIN('C2'!JF3,Class1_UEL)-Class1_PT))</f>
        <v>22684</v>
      </c>
      <c r="JG104" s="1483"/>
      <c r="JH104" s="1483"/>
      <c r="JI104" s="1483"/>
      <c r="JJ104" s="1483">
        <f>IF('C2'!JJ3="",0,MAX(0,MIN('C2'!JJ3,Class1_UEL)-Class1_PT))</f>
        <v>37700</v>
      </c>
      <c r="JK104" s="1483"/>
      <c r="JL104" s="1483"/>
      <c r="JM104" s="1483"/>
      <c r="JN104" s="1483"/>
      <c r="JO104" s="1483"/>
      <c r="JP104" s="1483"/>
      <c r="JQ104" s="1483"/>
      <c r="JR104" s="593"/>
    </row>
    <row r="105" spans="1:280" x14ac:dyDescent="0.25">
      <c r="A105" s="1367">
        <v>3</v>
      </c>
      <c r="B105" s="1482">
        <f>IF(NI1_IND&gt;1,IF(HLOOKUP(NI1_IND-1,NI1_RANGE,A105)="","",HLOOKUP(NI1_IND-1,NI1_RANGE,A105)),"")</f>
        <v>0</v>
      </c>
      <c r="C105" s="1688" t="s">
        <v>2884</v>
      </c>
      <c r="D105" s="1360"/>
      <c r="E105" s="1483">
        <f>IF('C2'!E32="",0,MAX(0,MIN('C2'!E32,Class1_UEL)-Class1_PT))</f>
        <v>0</v>
      </c>
      <c r="F105" s="1483">
        <f>IF('C2'!F32="",0,MAX(0,MIN('C2'!F32,Class1_UEL)-Class1_PT))</f>
        <v>0</v>
      </c>
      <c r="G105" s="1483">
        <f>IF('C2'!G32="",0,MAX(0,MIN('C2'!G32,Class1_UEL)-Class1_PT))</f>
        <v>0</v>
      </c>
      <c r="H105" s="1483">
        <f>IF('C2'!H32="",0,MAX(0,MIN('C2'!H32,Class1_UEL)-Class1_PT))</f>
        <v>0</v>
      </c>
      <c r="I105" s="1483"/>
      <c r="J105" s="1483"/>
      <c r="K105" s="1483">
        <f>IF('C2'!K32="",0,MAX(0,MIN('C2'!K32,Class1_UEL)-Class1_PT))</f>
        <v>0</v>
      </c>
      <c r="L105" s="1483"/>
      <c r="M105" s="1483"/>
      <c r="N105" s="1483"/>
      <c r="O105" s="1483">
        <f>IF('C2'!O32="",0,MAX(0,MIN('C2'!O32,Class1_UEL)-Class1_PT))</f>
        <v>0</v>
      </c>
      <c r="P105" s="1483"/>
      <c r="Q105" s="1483">
        <f>IF('C2'!Q32="",0,MAX(0,MIN('C2'!Q32,Class1_UEL)-Class1_PT))</f>
        <v>0</v>
      </c>
      <c r="R105" s="1483">
        <f>IF('C2'!R32="",0,MAX(0,MIN('C2'!R32,Class1_UEL)-Class1_PT))</f>
        <v>0</v>
      </c>
      <c r="S105" s="1483"/>
      <c r="T105" s="1483"/>
      <c r="U105" s="1483">
        <f>IF('C2'!U32="",0,MAX(0,MIN('C2'!U32,Class1_UEL)-Class1_PT))</f>
        <v>0</v>
      </c>
      <c r="V105" s="1483">
        <f>IF('C2'!V32="",0,MAX(0,MIN('C2'!V32,Class1_UEL)-Class1_PT))</f>
        <v>0</v>
      </c>
      <c r="W105" s="1483">
        <f>IF('C2'!W32="",0,MAX(0,MIN('C2'!W32,Class1_UEL)-Class1_PT))</f>
        <v>0</v>
      </c>
      <c r="X105" s="1483">
        <f>IF('C2'!X32="",0,MAX(0,MIN('C2'!X32,Class1_UEL)-Class1_PT))</f>
        <v>0</v>
      </c>
      <c r="Y105" s="1483">
        <f>IF('C2'!Y32="",0,MAX(0,MIN('C2'!Y32,Class1_UEL)-Class1_PT))</f>
        <v>0</v>
      </c>
      <c r="Z105" s="1483"/>
      <c r="AA105" s="1483">
        <f>IF('C2'!AA32="",0,MAX(0,MIN('C2'!AA32,Class1_UEL)-Class1_PT))</f>
        <v>0</v>
      </c>
      <c r="AB105" s="1483"/>
      <c r="AC105" s="1483">
        <f>IF('C2'!AC32="",0,MAX(0,MIN('C2'!AC32,Class1_UEL)-Class1_PT))</f>
        <v>0</v>
      </c>
      <c r="AD105" s="1483">
        <f>IF('C2'!AD32="",0,MAX(0,MIN('C2'!AD32,Class1_UEL)-Class1_PT))</f>
        <v>0</v>
      </c>
      <c r="AE105" s="1483">
        <f>IF('C2'!AE32="",0,MAX(0,MIN('C2'!AE32,Class1_UEL)-Class1_PT))</f>
        <v>0</v>
      </c>
      <c r="AF105" s="1483"/>
      <c r="AG105" s="1483">
        <f>IF('C2'!AG32="",0,MAX(0,MIN('C2'!AG32,Class1_UEL)-Class1_PT))</f>
        <v>0</v>
      </c>
      <c r="AH105" s="1483">
        <f>IF('C2'!AH32="",0,MAX(0,MIN('C2'!AH32,Class1_UEL)-Class1_PT))</f>
        <v>0</v>
      </c>
      <c r="AI105" s="1483">
        <f>IF('C2'!AI32="",0,MAX(0,MIN('C2'!AI32,Class1_UEL)-Class1_PT))</f>
        <v>0</v>
      </c>
      <c r="AJ105" s="1483">
        <f>IF('C2'!AJ32="",0,MAX(0,MIN('C2'!AJ32,Class1_UEL)-Class1_PT))</f>
        <v>0</v>
      </c>
      <c r="AK105" s="1483">
        <f>IF('C2'!AK32="",0,MAX(0,MIN('C2'!AK32,Class1_UEL)-Class1_PT))</f>
        <v>0</v>
      </c>
      <c r="AL105" s="1483"/>
      <c r="AM105" s="1483"/>
      <c r="AN105" s="1483"/>
      <c r="AO105" s="1483"/>
      <c r="AP105" s="1483">
        <f>IF('C2'!AP32="",0,MAX(0,MIN('C2'!AP32,Class1_UEL)-Class1_PT))</f>
        <v>0</v>
      </c>
      <c r="AQ105" s="1483">
        <f>IF('C2'!AQ32="",0,MAX(0,MIN('C2'!AQ32,Class1_UEL)-Class1_PT))</f>
        <v>0</v>
      </c>
      <c r="AR105" s="1483"/>
      <c r="AS105" s="1483">
        <f>IF('C2'!AS32="",0,MAX(0,MIN('C2'!AS32,Class1_UEL)-Class1_PT))</f>
        <v>37700</v>
      </c>
      <c r="AT105" s="1483">
        <f>IF('C2'!AT32="",0,MAX(0,MIN('C2'!AT32,Class1_UEL)-Class1_PT))</f>
        <v>0</v>
      </c>
      <c r="AU105" s="1483">
        <f>IF('C2'!AU32="",0,MAX(0,MIN('C2'!AU32,Class1_UEL)-Class1_PT))</f>
        <v>0</v>
      </c>
      <c r="AV105" s="1483"/>
      <c r="AW105" s="1483"/>
      <c r="AX105" s="1483"/>
      <c r="AY105" s="1483"/>
      <c r="AZ105" s="1483"/>
      <c r="BA105" s="1483">
        <f>IF('C2'!BA32="",0,MAX(0,MIN('C2'!BA32,Class1_UEL)-Class1_PT))</f>
        <v>37700</v>
      </c>
      <c r="BB105" s="1483">
        <f>IF('C2'!BB32="",0,MAX(0,MIN('C2'!BB32,Class1_UEL)-Class1_PT))</f>
        <v>0</v>
      </c>
      <c r="BC105" s="1483"/>
      <c r="BD105" s="1483">
        <f>IF('C2'!BD32="",0,MAX(0,MIN('C2'!BD32,Class1_UEL)-Class1_PT))</f>
        <v>37700</v>
      </c>
      <c r="BE105" s="1483">
        <f>IF('C2'!BE32="",0,MAX(0,MIN('C2'!BE32,Class1_UEL)-Class1_PT))</f>
        <v>0</v>
      </c>
      <c r="BF105" s="1483">
        <f>IF('C2'!BF32="",0,MAX(0,MIN('C2'!BF32,Class1_UEL)-Class1_PT))</f>
        <v>5934</v>
      </c>
      <c r="BG105" s="1483">
        <f>IF('C2'!BG32="",0,MAX(0,MIN('C2'!BG32,Class1_UEL)-Class1_PT))</f>
        <v>0</v>
      </c>
      <c r="BH105" s="1483">
        <f>IF('C2'!BH32="",0,MAX(0,MIN('C2'!BH32,Class1_UEL)-Class1_PT))</f>
        <v>0</v>
      </c>
      <c r="BI105" s="1483">
        <f>IF('C2'!BI32="",0,MAX(0,MIN('C2'!BI32,Class1_UEL)-Class1_PT))</f>
        <v>0</v>
      </c>
      <c r="BJ105" s="1483"/>
      <c r="BK105" s="1483"/>
      <c r="BL105" s="1483"/>
      <c r="BM105" s="1483">
        <f>IF('C2'!BM32="",0,MAX(0,MIN('C2'!BM32,Class1_UEL)-Class1_PT))</f>
        <v>0</v>
      </c>
      <c r="BN105" s="1483"/>
      <c r="BO105" s="1483">
        <f>IF('C2'!BO32="",0,MAX(0,MIN('C2'!BO32,Class1_UEL)-Class1_PT))</f>
        <v>0</v>
      </c>
      <c r="BP105" s="1483"/>
      <c r="BQ105" s="1483"/>
      <c r="BR105" s="1483"/>
      <c r="BS105" s="1483">
        <f>IF('C2'!BS32="",0,MAX(0,MIN('C2'!BS32,Class1_UEL)-Class1_PT))</f>
        <v>0</v>
      </c>
      <c r="BT105" s="1483"/>
      <c r="BU105" s="1483"/>
      <c r="BV105" s="1483"/>
      <c r="BW105" s="1483"/>
      <c r="BX105" s="1483"/>
      <c r="BY105" s="1483"/>
      <c r="BZ105" s="1483"/>
      <c r="CA105" s="1483"/>
      <c r="CB105" s="1483"/>
      <c r="CC105" s="1483"/>
      <c r="CD105" s="1483">
        <f>IF('C2'!CD32="",0,MAX(0,MIN('C2'!CD32,Class1_UEL)-Class1_PT))</f>
        <v>0</v>
      </c>
      <c r="CE105" s="1483">
        <f>IF('C2'!CE32="",0,MAX(0,MIN('C2'!CE32,Class1_UEL)-Class1_PT))</f>
        <v>5930</v>
      </c>
      <c r="CF105" s="1483">
        <f>IF('C2'!CF32="",0,MAX(0,MIN('C2'!CF32,Class1_UEL)-Class1_PT))</f>
        <v>0</v>
      </c>
      <c r="CG105" s="1483"/>
      <c r="CH105" s="1483">
        <f>IF('C2'!CH32="",0,MAX(0,MIN('C2'!CH32,Class1_UEL)-Class1_PT))</f>
        <v>0</v>
      </c>
      <c r="CI105" s="1483"/>
      <c r="CJ105" s="1483"/>
      <c r="CK105" s="1483"/>
      <c r="CL105" s="1483"/>
      <c r="CM105" s="1483"/>
      <c r="CN105" s="1483">
        <f>IF('C2'!CN32="",0,MAX(0,MIN('C2'!CN32,Class1_UEL)-Class1_PT))</f>
        <v>0</v>
      </c>
      <c r="CO105" s="1483">
        <f>IF('C2'!CO32="",0,MAX(0,MIN('C2'!CO32,Class1_UEL)-Class1_PT))</f>
        <v>0</v>
      </c>
      <c r="CP105" s="1483"/>
      <c r="CQ105" s="1483">
        <f>IF('C2'!CQ32="",0,MAX(0,MIN('C2'!CQ32,Class1_UEL)-Class1_PT))</f>
        <v>0</v>
      </c>
      <c r="CR105" s="1483"/>
      <c r="CS105" s="1483"/>
      <c r="CT105" s="1483">
        <f>IF('C2'!CT32="",0,MAX(0,MIN('C2'!CT32,Class1_UEL)-Class1_PT))</f>
        <v>0</v>
      </c>
      <c r="CU105" s="1483"/>
      <c r="CV105" s="1483">
        <f>IF('C2'!CV32="",0,MAX(0,MIN('C2'!CV32,Class1_UEL)-Class1_PT))</f>
        <v>0</v>
      </c>
      <c r="CW105" s="1483"/>
      <c r="CX105" s="1483"/>
      <c r="CY105" s="1483"/>
      <c r="CZ105" s="1483"/>
      <c r="DA105" s="1483"/>
      <c r="DB105" s="1483">
        <f>IF('C2'!DB32="",0,MAX(0,MIN('C2'!DB32,Class1_UEL)-Class1_PT))</f>
        <v>37700</v>
      </c>
      <c r="DC105" s="1483"/>
      <c r="DD105" s="1483">
        <f>IF('C2'!DD32="",0,MAX(0,MIN('C2'!DD32,Class1_UEL)-Class1_PT))</f>
        <v>0</v>
      </c>
      <c r="DE105" s="1483">
        <f>IF('C2'!DE32="",0,MAX(0,MIN('C2'!DE32,Class1_UEL)-Class1_PT))</f>
        <v>0</v>
      </c>
      <c r="DF105" s="1483">
        <f>IF('C2'!DF32="",0,MAX(0,MIN('C2'!DF32,Class1_UEL)-Class1_PT))</f>
        <v>0</v>
      </c>
      <c r="DG105" s="1483"/>
      <c r="DH105" s="1483"/>
      <c r="DI105" s="1483">
        <f>IF('C2'!DI32="",0,MAX(0,MIN('C2'!DI32,Class1_UEL)-Class1_PT))</f>
        <v>0</v>
      </c>
      <c r="DJ105" s="1483"/>
      <c r="DK105" s="1483">
        <f>IF('C2'!DK32="",0,MAX(0,MIN('C2'!DK32,Class1_UEL)-Class1_PT))</f>
        <v>0</v>
      </c>
      <c r="DL105" s="1483">
        <f>IF('C2'!DL32="",0,MAX(0,MIN('C2'!DL32,Class1_UEL)-Class1_PT))</f>
        <v>5930</v>
      </c>
      <c r="DM105" s="1483"/>
      <c r="DN105" s="1483"/>
      <c r="DO105" s="1484">
        <f>IF('C2'!DO32="",0,MAX(0,MIN('C2'!DO32,Class1_UEL)-Class1_PT))</f>
        <v>4426</v>
      </c>
      <c r="DP105" s="1484">
        <f>IF('C2'!DP32="",0,MAX(0,MIN('C2'!DP32,Class1_UEL)-Class1_PT))</f>
        <v>0</v>
      </c>
      <c r="DQ105" s="1483"/>
      <c r="DR105" s="1483"/>
      <c r="DS105" s="1484">
        <f>IF('C2'!DS32="",0,MAX(0,MIN('C2'!DS32,Class1_UEL)-Class1_PT))</f>
        <v>4426</v>
      </c>
      <c r="DT105" s="1483">
        <f>IF('C2'!DT32="",0,MAX(0,MIN('C2'!DT32,Class1_UEL)-Class1_PT))</f>
        <v>0</v>
      </c>
      <c r="DU105" s="1483">
        <f>IF('C2'!DU32="",0,MAX(0,MIN('C2'!DU32,Class1_UEL)-Class1_PT))</f>
        <v>0</v>
      </c>
      <c r="DV105" s="1483">
        <f>IF('C2'!DV32="",0,MAX(0,MIN('C2'!DV32,Class1_UEL)-Class1_PT))</f>
        <v>0</v>
      </c>
      <c r="DW105" s="1483"/>
      <c r="DX105" s="1483"/>
      <c r="DY105" s="1483"/>
      <c r="DZ105" s="1483"/>
      <c r="EA105" s="1483">
        <f>IF('C2'!EA32="",0,MAX(0,MIN('C2'!EA32,Class1_UEL)-Class1_PT))</f>
        <v>0</v>
      </c>
      <c r="EB105" s="1483"/>
      <c r="EC105" s="1483"/>
      <c r="ED105" s="1483">
        <f>IF('C2'!ED32="",0,MAX(0,MIN('C2'!ED32,Class1_UEL)-Class1_PT))</f>
        <v>0</v>
      </c>
      <c r="EE105" s="1483">
        <f>IF('C2'!EE32="",0,MAX(0,MIN('C2'!EE32,Class1_UEL)-Class1_PT))</f>
        <v>37700</v>
      </c>
      <c r="EF105" s="1483"/>
      <c r="EG105" s="1483">
        <f>IF('C2'!EG32="",0,MAX(0,MIN('C2'!EG32,Class1_UEL)-Class1_PT))</f>
        <v>0</v>
      </c>
      <c r="EH105" s="1483">
        <f>IF('C2'!EH32="",0,MAX(0,MIN('C2'!EH32,Class1_UEL)-Class1_PT))</f>
        <v>0</v>
      </c>
      <c r="EI105" s="1483">
        <f>IF('C2'!EI32="",0,MAX(0,MIN('C2'!EI32,Class1_UEL)-Class1_PT))</f>
        <v>0</v>
      </c>
      <c r="EJ105" s="1483">
        <f>IF('C2'!EJ32="",0,MAX(0,MIN('C2'!EJ32,Class1_UEL)-Class1_PT))</f>
        <v>0</v>
      </c>
      <c r="EK105" s="1483">
        <f>IF('C2'!EK32="",0,MAX(0,MIN('C2'!EK32,Class1_UEL)-Class1_PT))</f>
        <v>0</v>
      </c>
      <c r="EL105" s="1483">
        <f>IF('C2'!EL32="",0,MAX(0,MIN('C2'!EL32,Class1_UEL)-Class1_PT))</f>
        <v>0</v>
      </c>
      <c r="EM105" s="1483"/>
      <c r="EN105" s="1483"/>
      <c r="EO105" s="1483">
        <f>IF('C2'!EO32="",0,MAX(0,MIN('C2'!EO32,Class1_UEL)-Class1_PT))</f>
        <v>0</v>
      </c>
      <c r="EP105" s="1483">
        <f>IF('C2'!EP32="",0,MAX(0,MIN('C2'!EP32,Class1_UEL)-Class1_PT))</f>
        <v>0</v>
      </c>
      <c r="EQ105" s="1483"/>
      <c r="ER105" s="1483"/>
      <c r="ES105" s="1483"/>
      <c r="ET105" s="1483"/>
      <c r="EU105" s="1483"/>
      <c r="EV105" s="1483"/>
      <c r="EW105" s="1483"/>
      <c r="EX105" s="1483"/>
      <c r="EY105" s="1483"/>
      <c r="EZ105" s="1483">
        <f>IF('C2'!EZ32="",0,MAX(0,MIN('C2'!EZ32,Class1_UEL)-Class1_PT))</f>
        <v>0</v>
      </c>
      <c r="FA105" s="1483"/>
      <c r="FB105" s="1483">
        <f>IF('C2'!FB32="",0,MAX(0,MIN('C2'!FB32,Class1_UEL)-Class1_PT))</f>
        <v>0</v>
      </c>
      <c r="FC105" s="1483">
        <f>IF('C2'!FC32="",0,MAX(0,MIN('C2'!FC32,Class1_UEL)-Class1_PT))</f>
        <v>0</v>
      </c>
      <c r="FD105" s="1483">
        <f>IF('C2'!FD32="",0,MAX(0,MIN('C2'!FD32,Class1_UEL)-Class1_PT))</f>
        <v>10026</v>
      </c>
      <c r="FE105" s="1483"/>
      <c r="FF105" s="1483"/>
      <c r="FG105" s="1483"/>
      <c r="FH105" s="1483"/>
      <c r="FI105" s="1483"/>
      <c r="FJ105" s="1483"/>
      <c r="FK105" s="1483"/>
      <c r="FL105" s="1483"/>
      <c r="FM105" s="1483">
        <f>IF('C2'!FM32="",0,MAX(0,MIN('C2'!FM32,Class1_UEL)-Class1_PT))</f>
        <v>0</v>
      </c>
      <c r="FN105" s="1483">
        <f>IF('C2'!FN32="",0,MAX(0,MIN('C2'!FN32,Class1_UEL)-Class1_PT))</f>
        <v>0</v>
      </c>
      <c r="FO105" s="1483">
        <f>IF('C2'!FO32="",0,MAX(0,MIN('C2'!FO32,Class1_UEL)-Class1_PT))</f>
        <v>37700</v>
      </c>
      <c r="FP105" s="1483">
        <f>IF('C2'!FP32="",0,MAX(0,MIN('C2'!FP32,Class1_UEL)-Class1_PT))</f>
        <v>0</v>
      </c>
      <c r="FQ105" s="1483">
        <f>IF('C2'!FQ32="",0,MAX(0,MIN('C2'!FQ32,Class1_UEL)-Class1_PT))</f>
        <v>0</v>
      </c>
      <c r="FR105" s="1483"/>
      <c r="FS105" s="1483"/>
      <c r="FT105" s="1483"/>
      <c r="FU105" s="1483"/>
      <c r="FV105" s="1483"/>
      <c r="FW105" s="1483">
        <f>IF('C2'!FW32="",0,MAX(0,MIN('C2'!FW32,Class1_UEL)-Class1_PT))</f>
        <v>0</v>
      </c>
      <c r="FX105" s="1483"/>
      <c r="FY105" s="1483"/>
      <c r="FZ105" s="1483"/>
      <c r="GA105" s="1483"/>
      <c r="GB105" s="1483"/>
      <c r="GC105" s="1483">
        <f>IF('C2'!GC32="",0,MAX(0,MIN('C2'!GC32,Class1_UEL)-Class1_PT))</f>
        <v>14945</v>
      </c>
      <c r="GD105" s="1483">
        <f>IF('C2'!GD32="",0,MAX(0,MIN('C2'!GD32,Class1_UEL)-Class1_PT))</f>
        <v>0</v>
      </c>
      <c r="GE105" s="1483"/>
      <c r="GF105" s="1483">
        <f>IF('C2'!GF32="",0,MAX(0,MIN('C2'!GF32,Class1_UEL)-Class1_PT))</f>
        <v>0</v>
      </c>
      <c r="GG105" s="1483"/>
      <c r="GH105" s="1483"/>
      <c r="GI105" s="1483"/>
      <c r="GJ105" s="1483"/>
      <c r="GK105" s="1483">
        <f>IF('C2'!GK32="",0,MAX(0,MIN('C2'!GK32,Class1_UEL)-Class1_PT))</f>
        <v>0</v>
      </c>
      <c r="GL105" s="1483"/>
      <c r="GM105" s="1483"/>
      <c r="GN105" s="1483"/>
      <c r="GO105" s="1483">
        <f>IF('C2'!GO32="",0,MAX(0,MIN('C2'!GO32,Class1_UEL)-Class1_PT))</f>
        <v>0</v>
      </c>
      <c r="GP105" s="1483">
        <f>IF('C2'!GP32="",0,MAX(0,MIN('C2'!GP32,Class1_UEL)-Class1_PT))</f>
        <v>0</v>
      </c>
      <c r="GQ105" s="1483">
        <f>IF('C2'!GQ32="",0,MAX(0,MIN('C2'!GQ32,Class1_UEL)-Class1_PT))</f>
        <v>0</v>
      </c>
      <c r="GR105" s="1483">
        <f>IF('C2'!GR32="",0,MAX(0,MIN('C2'!GR32,Class1_UEL)-Class1_PT))</f>
        <v>0</v>
      </c>
      <c r="GS105" s="1483">
        <f>IF('C2'!GS32="",0,MAX(0,MIN('C2'!GS32,Class1_UEL)-Class1_PT))</f>
        <v>0</v>
      </c>
      <c r="GT105" s="1483"/>
      <c r="GU105" s="1483"/>
      <c r="GV105" s="1483">
        <f>IF('C2'!GV32="",0,MAX(0,MIN('C2'!GV32,Class1_UEL)-Class1_PT))</f>
        <v>0</v>
      </c>
      <c r="GW105" s="1483">
        <f>IF('C2'!GW32="",0,MAX(0,MIN('C2'!GW32,Class1_UEL)-Class1_PT))</f>
        <v>0</v>
      </c>
      <c r="GX105" s="1483">
        <f>IF('C2'!GX32="",0,MAX(0,MIN('C2'!GX32,Class1_UEL)-Class1_PT))</f>
        <v>37700</v>
      </c>
      <c r="GY105" s="1483"/>
      <c r="GZ105" s="1483">
        <f>IF('C2'!GZ32="",0,MAX(0,MIN('C2'!GZ32,Class1_UEL)-Class1_PT))</f>
        <v>0</v>
      </c>
      <c r="HA105" s="1483">
        <f>IF('C2'!HA32="",0,MAX(0,MIN('C2'!HA32,Class1_UEL)-Class1_PT))</f>
        <v>0</v>
      </c>
      <c r="HB105" s="1483">
        <f>IF('C2'!HB32="",0,MAX(0,MIN('C2'!HB32,Class1_UEL)-Class1_PT))</f>
        <v>34430</v>
      </c>
      <c r="HC105" s="1483"/>
      <c r="HD105" s="1483"/>
      <c r="HE105" s="1483"/>
      <c r="HF105" s="1483">
        <f>IF('C2'!HF32="",0,MAX(0,MIN('C2'!HF32,Class1_UEL)-Class1_PT))</f>
        <v>0</v>
      </c>
      <c r="HG105" s="1483">
        <f>IF('C2'!HG32="",0,MAX(0,MIN('C2'!HG32,Class1_UEL)-Class1_PT))</f>
        <v>0</v>
      </c>
      <c r="HH105" s="1483"/>
      <c r="HI105" s="1483">
        <f>IF('C2'!HI32="",0,MAX(0,MIN('C2'!HI32,Class1_UEL)-Class1_PT))</f>
        <v>0</v>
      </c>
      <c r="HJ105" s="1483"/>
      <c r="HK105" s="1483"/>
      <c r="HL105" s="1483"/>
      <c r="HM105" s="1483"/>
      <c r="HN105" s="1483"/>
      <c r="HO105" s="1483">
        <f>IF('C2'!HO32="",0,MAX(0,MIN('C2'!HO32,Class1_UEL)-Class1_PT))</f>
        <v>0</v>
      </c>
      <c r="HP105" s="1483"/>
      <c r="HQ105" s="1483"/>
      <c r="HR105" s="1483"/>
      <c r="HS105" s="1483"/>
      <c r="HT105" s="1483"/>
      <c r="HU105" s="1483"/>
      <c r="HV105" s="1483"/>
      <c r="HW105" s="1483"/>
      <c r="HX105" s="1483"/>
      <c r="HY105" s="1483">
        <f>IF('C2'!HY32="",0,MAX(0,MIN('C2'!HY32,Class1_UEL)-Class1_PT))</f>
        <v>0</v>
      </c>
      <c r="HZ105" s="1483"/>
      <c r="IA105" s="1483"/>
      <c r="IB105" s="1483"/>
      <c r="IC105" s="1483"/>
      <c r="ID105" s="1483"/>
      <c r="IE105" s="1483">
        <f>IF('C2'!IE32="",0,MAX(0,MIN('C2'!IE32,Class1_UEL)-Class1_PT))</f>
        <v>0</v>
      </c>
      <c r="IF105" s="1483">
        <f>IF('C2'!IF32="",0,MAX(0,MIN('C2'!IF32,Class1_UEL)-Class1_PT))</f>
        <v>0</v>
      </c>
      <c r="IG105" s="1483">
        <f>IF('C2'!IG32="",0,MAX(0,MIN('C2'!IG32,Class1_UEL)-Class1_PT))</f>
        <v>0</v>
      </c>
      <c r="IH105" s="1483">
        <f>IF('C2'!IH32="",0,MAX(0,MIN('C2'!IH32,Class1_UEL)-Class1_PT))</f>
        <v>0</v>
      </c>
      <c r="II105" s="1483">
        <f>IF('C2'!II32="",0,MAX(0,MIN('C2'!II32,Class1_UEL)-Class1_PT))</f>
        <v>2334</v>
      </c>
      <c r="IJ105" s="1483"/>
      <c r="IK105" s="1483">
        <f>IF('C2'!IK32="",0,MAX(0,MIN('C2'!IK32,Class1_UEL)-Class1_PT))</f>
        <v>0</v>
      </c>
      <c r="IL105" s="1483"/>
      <c r="IM105" s="1483"/>
      <c r="IN105" s="1483"/>
      <c r="IO105" s="1483">
        <f>IF('C2'!IO32="",0,MAX(0,MIN('C2'!IO32,Class1_UEL)-Class1_PT))</f>
        <v>0</v>
      </c>
      <c r="IP105" s="1483"/>
      <c r="IQ105" s="1483"/>
      <c r="IR105" s="1483"/>
      <c r="IS105" s="1483">
        <f>IF('C2'!IS32="",0,MAX(0,MIN('C2'!IS32,Class1_UEL)-Class1_PT))</f>
        <v>0</v>
      </c>
      <c r="IT105" s="1483"/>
      <c r="IU105" s="1483"/>
      <c r="IV105" s="1483"/>
      <c r="IW105" s="1483"/>
      <c r="IX105" s="1483">
        <f>IF('C2'!IX32="",0,MAX(0,MIN('C2'!IX32,Class1_UEL)-Class1_PT))</f>
        <v>0</v>
      </c>
      <c r="IY105" s="1483">
        <f>IF('C2'!IY32="",0,MAX(0,MIN('C2'!IY32,Class1_UEL)-Class1_PT))</f>
        <v>0</v>
      </c>
      <c r="IZ105" s="1483">
        <f>IF('C2'!IZ32="",0,MAX(0,MIN('C2'!IZ32,Class1_UEL)-Class1_PT))</f>
        <v>0</v>
      </c>
      <c r="JA105" s="1483"/>
      <c r="JB105" s="1483"/>
      <c r="JC105" s="1483"/>
      <c r="JD105" s="1483"/>
      <c r="JE105" s="1483">
        <f>IF('C2'!JE32="",0,MAX(0,MIN('C2'!JE32,Class1_UEL)-Class1_PT))</f>
        <v>0</v>
      </c>
      <c r="JF105" s="1483">
        <f>IF('C2'!JF32="",0,MAX(0,MIN('C2'!JF32,Class1_UEL)-Class1_PT))</f>
        <v>0</v>
      </c>
      <c r="JG105" s="1483"/>
      <c r="JH105" s="1483"/>
      <c r="JI105" s="1483"/>
      <c r="JJ105" s="1483">
        <f>IF('C2'!JJ32="",0,MAX(0,MIN('C2'!JJ32,Class1_UEL)-Class1_PT))</f>
        <v>0</v>
      </c>
      <c r="JK105" s="1483"/>
      <c r="JL105" s="1483"/>
      <c r="JM105" s="1483"/>
      <c r="JN105" s="1483"/>
      <c r="JO105" s="1483"/>
      <c r="JP105" s="1483"/>
      <c r="JQ105" s="1483"/>
      <c r="JR105" s="593"/>
    </row>
    <row r="106" spans="1:280" ht="12" thickBot="1" x14ac:dyDescent="0.3">
      <c r="A106" s="1367">
        <v>4</v>
      </c>
      <c r="B106" s="1482">
        <f>IF(NI1_IND&gt;1,IF(HLOOKUP(NI1_IND-1,NI1_RANGE,A106)="","",HLOOKUP(NI1_IND-1,NI1_RANGE,A106)),"")</f>
        <v>37700</v>
      </c>
      <c r="C106" s="2535" t="s">
        <v>2885</v>
      </c>
      <c r="D106" s="698"/>
      <c r="E106" s="727">
        <f t="shared" ref="E106:AG106" si="5">E104+E105</f>
        <v>0</v>
      </c>
      <c r="F106" s="727">
        <f t="shared" si="5"/>
        <v>20684</v>
      </c>
      <c r="G106" s="727">
        <f>G104+G105</f>
        <v>19147</v>
      </c>
      <c r="H106" s="727">
        <f t="shared" si="5"/>
        <v>37350</v>
      </c>
      <c r="I106" s="727"/>
      <c r="J106" s="727"/>
      <c r="K106" s="727">
        <f t="shared" si="5"/>
        <v>24281</v>
      </c>
      <c r="L106" s="727"/>
      <c r="M106" s="727"/>
      <c r="N106" s="727"/>
      <c r="O106" s="727">
        <f t="shared" si="5"/>
        <v>11108</v>
      </c>
      <c r="P106" s="727"/>
      <c r="Q106" s="727">
        <f t="shared" si="5"/>
        <v>35914</v>
      </c>
      <c r="R106" s="727">
        <f t="shared" si="5"/>
        <v>34384</v>
      </c>
      <c r="S106" s="727"/>
      <c r="T106" s="727"/>
      <c r="U106" s="727">
        <f t="shared" si="5"/>
        <v>37700</v>
      </c>
      <c r="V106" s="727">
        <f t="shared" si="5"/>
        <v>35882</v>
      </c>
      <c r="W106" s="727">
        <f t="shared" si="5"/>
        <v>37700</v>
      </c>
      <c r="X106" s="727">
        <f t="shared" si="5"/>
        <v>0</v>
      </c>
      <c r="Y106" s="727">
        <f t="shared" si="5"/>
        <v>1304</v>
      </c>
      <c r="Z106" s="727">
        <f t="shared" si="5"/>
        <v>37700</v>
      </c>
      <c r="AA106" s="1485">
        <f t="shared" si="5"/>
        <v>22684</v>
      </c>
      <c r="AB106" s="727"/>
      <c r="AC106" s="727"/>
      <c r="AD106" s="727">
        <f t="shared" si="5"/>
        <v>37700</v>
      </c>
      <c r="AE106" s="727">
        <f t="shared" si="5"/>
        <v>23910</v>
      </c>
      <c r="AF106" s="727"/>
      <c r="AG106" s="727">
        <f t="shared" si="5"/>
        <v>37700</v>
      </c>
      <c r="AH106" s="727">
        <f>AH104+AH105</f>
        <v>37700</v>
      </c>
      <c r="AI106" s="727"/>
      <c r="AJ106" s="727">
        <f>AJ104+AJ105</f>
        <v>21180</v>
      </c>
      <c r="AK106" s="727">
        <f>AK104+AK105</f>
        <v>26059</v>
      </c>
      <c r="AL106" s="727">
        <f>AL104+AL105</f>
        <v>37700</v>
      </c>
      <c r="AM106" s="727">
        <f>AM104+AM105</f>
        <v>0</v>
      </c>
      <c r="AN106" s="727"/>
      <c r="AO106" s="727"/>
      <c r="AP106" s="727">
        <f>AP104+AP105</f>
        <v>0</v>
      </c>
      <c r="AQ106" s="727">
        <f>AQ104+AQ105</f>
        <v>37700</v>
      </c>
      <c r="AR106" s="727"/>
      <c r="AS106" s="727">
        <f>AS104+AS105</f>
        <v>43630</v>
      </c>
      <c r="AT106" s="727">
        <f>AT104+AT105</f>
        <v>36180</v>
      </c>
      <c r="AU106" s="727">
        <f>AU104+AU105</f>
        <v>27701</v>
      </c>
      <c r="AV106" s="727"/>
      <c r="AW106" s="727"/>
      <c r="AX106" s="727"/>
      <c r="AY106" s="727"/>
      <c r="AZ106" s="727"/>
      <c r="BA106" s="727">
        <f>BA104+BA105</f>
        <v>52645</v>
      </c>
      <c r="BB106" s="727"/>
      <c r="BC106" s="727"/>
      <c r="BD106" s="727">
        <f t="shared" ref="BD106:BI106" si="6">BD104+BD105</f>
        <v>43630</v>
      </c>
      <c r="BE106" s="727">
        <f t="shared" si="6"/>
        <v>0</v>
      </c>
      <c r="BF106" s="727">
        <f t="shared" si="6"/>
        <v>18864</v>
      </c>
      <c r="BG106" s="727">
        <f t="shared" si="6"/>
        <v>37430</v>
      </c>
      <c r="BH106" s="727">
        <f t="shared" si="6"/>
        <v>0</v>
      </c>
      <c r="BI106" s="727">
        <f t="shared" si="6"/>
        <v>20030</v>
      </c>
      <c r="BJ106" s="727"/>
      <c r="BK106" s="727"/>
      <c r="BL106" s="727"/>
      <c r="BM106" s="727">
        <f>BM104+BM105</f>
        <v>14945</v>
      </c>
      <c r="BN106" s="727">
        <f>BN104+BN105</f>
        <v>0</v>
      </c>
      <c r="BO106" s="727">
        <f>BO104+BO105</f>
        <v>20684</v>
      </c>
      <c r="BP106" s="727"/>
      <c r="BQ106" s="727"/>
      <c r="BR106" s="727"/>
      <c r="BS106" s="727"/>
      <c r="BT106" s="727"/>
      <c r="BU106" s="727"/>
      <c r="BV106" s="727"/>
      <c r="BW106" s="727"/>
      <c r="BX106" s="727"/>
      <c r="BY106" s="727"/>
      <c r="BZ106" s="727"/>
      <c r="CA106" s="727"/>
      <c r="CB106" s="727"/>
      <c r="CC106" s="727"/>
      <c r="CD106" s="727"/>
      <c r="CE106" s="727">
        <f>CE104+CE105</f>
        <v>43630</v>
      </c>
      <c r="CF106" s="727">
        <f>CF104+CF105</f>
        <v>20684</v>
      </c>
      <c r="CG106" s="727"/>
      <c r="CH106" s="727">
        <f>CH104+CH105</f>
        <v>20684</v>
      </c>
      <c r="CI106" s="727"/>
      <c r="CJ106" s="727"/>
      <c r="CK106" s="727"/>
      <c r="CL106" s="727"/>
      <c r="CM106" s="727"/>
      <c r="CN106" s="727">
        <f>CN104+CN105</f>
        <v>5930</v>
      </c>
      <c r="CO106" s="727">
        <f>CO104+CO105</f>
        <v>5930</v>
      </c>
      <c r="CP106" s="727"/>
      <c r="CQ106" s="727"/>
      <c r="CR106" s="727"/>
      <c r="CS106" s="727"/>
      <c r="CT106" s="727"/>
      <c r="CU106" s="727"/>
      <c r="CV106" s="727">
        <f>CV104+CV105</f>
        <v>14945</v>
      </c>
      <c r="CW106" s="727"/>
      <c r="CX106" s="727"/>
      <c r="CY106" s="727"/>
      <c r="CZ106" s="727"/>
      <c r="DA106" s="727"/>
      <c r="DB106" s="727">
        <f>DB104+DB105</f>
        <v>40464</v>
      </c>
      <c r="DC106" s="727"/>
      <c r="DD106" s="727"/>
      <c r="DE106" s="727">
        <f>DE104+DE105</f>
        <v>5930</v>
      </c>
      <c r="DF106" s="727">
        <f>DF104+DF105</f>
        <v>32430</v>
      </c>
      <c r="DG106" s="727"/>
      <c r="DH106" s="727"/>
      <c r="DI106" s="727"/>
      <c r="DJ106" s="727"/>
      <c r="DK106" s="727">
        <f>DK104+DK105</f>
        <v>14945</v>
      </c>
      <c r="DL106" s="727">
        <f>DL104+DL105</f>
        <v>43630</v>
      </c>
      <c r="DM106" s="727"/>
      <c r="DN106" s="727"/>
      <c r="DO106" s="1044">
        <f>DO104+DO105</f>
        <v>42126</v>
      </c>
      <c r="DP106" s="1044">
        <f>DP104+DP105</f>
        <v>37700</v>
      </c>
      <c r="DQ106" s="727"/>
      <c r="DR106" s="727"/>
      <c r="DS106" s="1044">
        <f>DS104+DS105</f>
        <v>42126</v>
      </c>
      <c r="DT106" s="727">
        <f>DT104+DT105</f>
        <v>37700</v>
      </c>
      <c r="DU106" s="727"/>
      <c r="DV106" s="727">
        <f>DV104+DV105</f>
        <v>17920</v>
      </c>
      <c r="DW106" s="727"/>
      <c r="DX106" s="727"/>
      <c r="DY106" s="727"/>
      <c r="DZ106" s="727"/>
      <c r="EA106" s="727"/>
      <c r="EB106" s="727"/>
      <c r="EC106" s="727"/>
      <c r="ED106" s="727">
        <f>ED104+ED105</f>
        <v>20684</v>
      </c>
      <c r="EE106" s="727">
        <f>EE104+EE105</f>
        <v>58384</v>
      </c>
      <c r="EF106" s="727"/>
      <c r="EG106" s="727">
        <f>EG104+EG105</f>
        <v>0</v>
      </c>
      <c r="EH106" s="727">
        <f>EH104+EH105</f>
        <v>37700</v>
      </c>
      <c r="EI106" s="727">
        <f>EI104+EI105</f>
        <v>37700</v>
      </c>
      <c r="EJ106" s="727"/>
      <c r="EK106" s="727"/>
      <c r="EL106" s="727">
        <f>EL104+EL105</f>
        <v>37700</v>
      </c>
      <c r="EM106" s="727"/>
      <c r="EN106" s="727"/>
      <c r="EO106" s="727">
        <f>EO104+EO105</f>
        <v>37700</v>
      </c>
      <c r="EP106" s="727">
        <f>EP104+EP105</f>
        <v>37030</v>
      </c>
      <c r="EQ106" s="727"/>
      <c r="ER106" s="727"/>
      <c r="ES106" s="727"/>
      <c r="ET106" s="727"/>
      <c r="EU106" s="727"/>
      <c r="EV106" s="727"/>
      <c r="EW106" s="727"/>
      <c r="EX106" s="727"/>
      <c r="EY106" s="727"/>
      <c r="EZ106" s="727">
        <f>EZ104+EZ105</f>
        <v>5930</v>
      </c>
      <c r="FA106" s="727"/>
      <c r="FB106" s="727"/>
      <c r="FC106" s="727">
        <f>FC104+FC105</f>
        <v>37700</v>
      </c>
      <c r="FD106" s="727">
        <f>FD104+FD105</f>
        <v>47726</v>
      </c>
      <c r="FE106" s="727"/>
      <c r="FF106" s="727"/>
      <c r="FG106" s="727"/>
      <c r="FH106" s="727"/>
      <c r="FI106" s="727"/>
      <c r="FJ106" s="727"/>
      <c r="FK106" s="727"/>
      <c r="FL106" s="727"/>
      <c r="FM106" s="727"/>
      <c r="FN106" s="727">
        <f>FN104+FN105</f>
        <v>37700</v>
      </c>
      <c r="FO106" s="727">
        <f>FO104+FO105</f>
        <v>75400</v>
      </c>
      <c r="FP106" s="727">
        <f>FP104+FP105</f>
        <v>37700</v>
      </c>
      <c r="FQ106" s="727">
        <f>FQ104+FQ105</f>
        <v>20684</v>
      </c>
      <c r="FR106" s="727"/>
      <c r="FS106" s="727"/>
      <c r="FT106" s="727"/>
      <c r="FU106" s="727"/>
      <c r="FV106" s="727"/>
      <c r="FW106" s="727">
        <f>FW104+FW105</f>
        <v>5930</v>
      </c>
      <c r="FX106" s="727"/>
      <c r="FY106" s="727"/>
      <c r="FZ106" s="727"/>
      <c r="GA106" s="727"/>
      <c r="GB106" s="727"/>
      <c r="GC106" s="727">
        <f>GC104+GC105</f>
        <v>15375</v>
      </c>
      <c r="GD106" s="727">
        <f>GD104+GD105</f>
        <v>0</v>
      </c>
      <c r="GE106" s="727"/>
      <c r="GF106" s="727">
        <f>GF104+GF105</f>
        <v>2430</v>
      </c>
      <c r="GG106" s="727"/>
      <c r="GH106" s="727"/>
      <c r="GI106" s="727"/>
      <c r="GJ106" s="727"/>
      <c r="GK106" s="727">
        <f>GK104+GK105</f>
        <v>0</v>
      </c>
      <c r="GL106" s="727"/>
      <c r="GM106" s="727"/>
      <c r="GN106" s="727"/>
      <c r="GO106" s="727">
        <f>GO104+GO105</f>
        <v>20684</v>
      </c>
      <c r="GP106" s="727">
        <f>GP104+GP105</f>
        <v>37700</v>
      </c>
      <c r="GQ106" s="727">
        <f>GQ104+GQ105</f>
        <v>5930</v>
      </c>
      <c r="GR106" s="727">
        <f>GR104+GR105</f>
        <v>25529</v>
      </c>
      <c r="GS106" s="727">
        <f>GS104+GS105</f>
        <v>37700</v>
      </c>
      <c r="GT106" s="727"/>
      <c r="GU106" s="727"/>
      <c r="GV106" s="727"/>
      <c r="GW106" s="727">
        <f>GW104+GW105</f>
        <v>22721</v>
      </c>
      <c r="GX106" s="727">
        <f>GX104+GX105</f>
        <v>75400</v>
      </c>
      <c r="GY106" s="727"/>
      <c r="GZ106" s="727">
        <f>GZ104+GZ105</f>
        <v>37700</v>
      </c>
      <c r="HA106" s="727">
        <f>HA104+HA105</f>
        <v>37700</v>
      </c>
      <c r="HB106" s="727">
        <f>HB104+HB105</f>
        <v>72130</v>
      </c>
      <c r="HC106" s="727"/>
      <c r="HD106" s="727"/>
      <c r="HE106" s="727"/>
      <c r="HF106" s="727">
        <f>HF104+HF105</f>
        <v>37700</v>
      </c>
      <c r="HG106" s="727">
        <f>HG104+HG105</f>
        <v>36380</v>
      </c>
      <c r="HH106" s="727"/>
      <c r="HI106" s="727">
        <f>HI104+HI105</f>
        <v>37700</v>
      </c>
      <c r="HJ106" s="727"/>
      <c r="HK106" s="727"/>
      <c r="HL106" s="727"/>
      <c r="HM106" s="727"/>
      <c r="HN106" s="727"/>
      <c r="HO106" s="727"/>
      <c r="HP106" s="727"/>
      <c r="HQ106" s="727"/>
      <c r="HR106" s="727"/>
      <c r="HS106" s="727"/>
      <c r="HT106" s="727"/>
      <c r="HU106" s="727"/>
      <c r="HV106" s="727"/>
      <c r="HW106" s="727"/>
      <c r="HX106" s="727"/>
      <c r="HY106" s="727">
        <f>HY104+HY105</f>
        <v>35448</v>
      </c>
      <c r="HZ106" s="727"/>
      <c r="IA106" s="727"/>
      <c r="IB106" s="727"/>
      <c r="IC106" s="727"/>
      <c r="ID106" s="727"/>
      <c r="IE106" s="727">
        <f>IE104+IE105</f>
        <v>12344</v>
      </c>
      <c r="IF106" s="727">
        <f>IF104+IF105</f>
        <v>1000</v>
      </c>
      <c r="IG106" s="727">
        <f>IG104+IG105</f>
        <v>0</v>
      </c>
      <c r="IH106" s="727">
        <f>IH104+IH105</f>
        <v>17523</v>
      </c>
      <c r="II106" s="727">
        <f>II104+II105</f>
        <v>40034</v>
      </c>
      <c r="IJ106" s="727"/>
      <c r="IK106" s="727">
        <f>IK104+IK105</f>
        <v>37700</v>
      </c>
      <c r="IL106" s="727"/>
      <c r="IM106" s="727"/>
      <c r="IN106" s="727"/>
      <c r="IO106" s="727"/>
      <c r="IP106" s="727"/>
      <c r="IQ106" s="727"/>
      <c r="IR106" s="727"/>
      <c r="IS106" s="727">
        <f>IS104+IS105</f>
        <v>37700</v>
      </c>
      <c r="IT106" s="727"/>
      <c r="IU106" s="727"/>
      <c r="IV106" s="727"/>
      <c r="IW106" s="727"/>
      <c r="IX106" s="727">
        <f>IX104+IX105</f>
        <v>37700</v>
      </c>
      <c r="IY106" s="727">
        <f>IY104+IY105</f>
        <v>7219</v>
      </c>
      <c r="IZ106" s="727">
        <f>IZ104+IZ105</f>
        <v>20684</v>
      </c>
      <c r="JA106" s="727"/>
      <c r="JB106" s="727"/>
      <c r="JC106" s="727"/>
      <c r="JD106" s="727"/>
      <c r="JE106" s="727">
        <f>JE104+JE105</f>
        <v>20684</v>
      </c>
      <c r="JF106" s="727">
        <f>JF104+JF105</f>
        <v>22684</v>
      </c>
      <c r="JG106" s="727"/>
      <c r="JH106" s="727"/>
      <c r="JI106" s="727"/>
      <c r="JJ106" s="727">
        <f>JJ104+JJ105</f>
        <v>37700</v>
      </c>
      <c r="JK106" s="728"/>
      <c r="JL106" s="728"/>
      <c r="JM106" s="728"/>
      <c r="JN106" s="728"/>
      <c r="JO106" s="728"/>
      <c r="JP106" s="728"/>
      <c r="JQ106" s="729"/>
      <c r="JR106" s="593"/>
    </row>
    <row r="107" spans="1:280" ht="12" thickBot="1" x14ac:dyDescent="0.3"/>
    <row r="108" spans="1:280" x14ac:dyDescent="0.25">
      <c r="A108" s="1367" t="s">
        <v>2201</v>
      </c>
      <c r="B108" s="1482" t="s">
        <v>2408</v>
      </c>
      <c r="C108" s="2534" t="s">
        <v>2886</v>
      </c>
      <c r="D108" s="297"/>
      <c r="E108" s="418">
        <v>1</v>
      </c>
      <c r="F108" s="418">
        <v>2</v>
      </c>
      <c r="G108" s="2539">
        <v>3</v>
      </c>
      <c r="H108" s="2539">
        <v>4</v>
      </c>
      <c r="I108" s="2539">
        <v>5</v>
      </c>
      <c r="J108" s="2539">
        <v>6</v>
      </c>
      <c r="K108" s="2539">
        <v>7</v>
      </c>
      <c r="L108" s="2539">
        <v>8</v>
      </c>
      <c r="M108" s="2539">
        <v>9</v>
      </c>
      <c r="N108" s="2539">
        <v>10</v>
      </c>
      <c r="O108" s="2539">
        <v>11</v>
      </c>
      <c r="P108" s="2539">
        <v>12</v>
      </c>
      <c r="Q108" s="2539">
        <v>13</v>
      </c>
      <c r="R108" s="2539">
        <v>14</v>
      </c>
      <c r="S108" s="2539">
        <v>15</v>
      </c>
      <c r="T108" s="2539">
        <v>16</v>
      </c>
      <c r="U108" s="2539">
        <v>17</v>
      </c>
      <c r="V108" s="2539">
        <v>18</v>
      </c>
      <c r="W108" s="2539">
        <v>19</v>
      </c>
      <c r="X108" s="2539">
        <v>20</v>
      </c>
      <c r="Y108" s="2539">
        <v>21</v>
      </c>
      <c r="Z108" s="2539">
        <v>22</v>
      </c>
      <c r="AA108" s="2539">
        <v>23</v>
      </c>
      <c r="AB108" s="2539">
        <v>24</v>
      </c>
      <c r="AC108" s="2539">
        <v>25</v>
      </c>
      <c r="AD108" s="2539">
        <v>26</v>
      </c>
      <c r="AE108" s="2539">
        <v>27</v>
      </c>
      <c r="AF108" s="2539">
        <v>28</v>
      </c>
      <c r="AG108" s="2539">
        <v>29</v>
      </c>
      <c r="AH108" s="2539">
        <v>30</v>
      </c>
      <c r="AI108" s="2539">
        <v>31</v>
      </c>
      <c r="AJ108" s="2539">
        <v>32</v>
      </c>
      <c r="AK108" s="2539">
        <v>33</v>
      </c>
      <c r="AL108" s="2539">
        <v>34</v>
      </c>
      <c r="AM108" s="2539">
        <v>35</v>
      </c>
      <c r="AN108" s="2539">
        <v>36</v>
      </c>
      <c r="AO108" s="2539">
        <v>37</v>
      </c>
      <c r="AP108" s="2539">
        <v>38</v>
      </c>
      <c r="AQ108" s="2539">
        <v>39</v>
      </c>
      <c r="AR108" s="2539">
        <v>40</v>
      </c>
      <c r="AS108" s="2539">
        <v>41</v>
      </c>
      <c r="AT108" s="2539">
        <v>42</v>
      </c>
      <c r="AU108" s="2539">
        <v>43</v>
      </c>
      <c r="AV108" s="2539">
        <v>44</v>
      </c>
      <c r="AW108" s="2539">
        <v>45</v>
      </c>
      <c r="AX108" s="2539">
        <v>46</v>
      </c>
      <c r="AY108" s="2539">
        <v>47</v>
      </c>
      <c r="AZ108" s="2539">
        <v>48</v>
      </c>
      <c r="BA108" s="2539">
        <v>49</v>
      </c>
      <c r="BB108" s="2539">
        <v>50</v>
      </c>
      <c r="BC108" s="2539">
        <v>51</v>
      </c>
      <c r="BD108" s="2539">
        <v>52</v>
      </c>
      <c r="BE108" s="2539">
        <v>53</v>
      </c>
      <c r="BF108" s="2539">
        <v>54</v>
      </c>
      <c r="BG108" s="2539">
        <v>55</v>
      </c>
      <c r="BH108" s="2539">
        <v>56</v>
      </c>
      <c r="BI108" s="2539">
        <v>57</v>
      </c>
      <c r="BJ108" s="2539">
        <v>58</v>
      </c>
      <c r="BK108" s="2539">
        <v>59</v>
      </c>
      <c r="BL108" s="2539">
        <v>60</v>
      </c>
      <c r="BM108" s="2539">
        <v>61</v>
      </c>
      <c r="BN108" s="2539">
        <v>62</v>
      </c>
      <c r="BO108" s="2539">
        <v>63</v>
      </c>
      <c r="BP108" s="2539">
        <v>64</v>
      </c>
      <c r="BQ108" s="2539">
        <v>65</v>
      </c>
      <c r="BR108" s="2539">
        <v>66</v>
      </c>
      <c r="BS108" s="2539">
        <v>67</v>
      </c>
      <c r="BT108" s="2539">
        <v>68</v>
      </c>
      <c r="BU108" s="2539">
        <v>69</v>
      </c>
      <c r="BV108" s="2539">
        <v>70</v>
      </c>
      <c r="BW108" s="2539">
        <v>71</v>
      </c>
      <c r="BX108" s="2539">
        <v>72</v>
      </c>
      <c r="BY108" s="2539">
        <v>73</v>
      </c>
      <c r="BZ108" s="2539">
        <v>74</v>
      </c>
      <c r="CA108" s="2539">
        <v>75</v>
      </c>
      <c r="CB108" s="2539">
        <v>76</v>
      </c>
      <c r="CC108" s="2539">
        <v>77</v>
      </c>
      <c r="CD108" s="2539">
        <v>78</v>
      </c>
      <c r="CE108" s="2539">
        <v>79</v>
      </c>
      <c r="CF108" s="2539">
        <v>80</v>
      </c>
      <c r="CG108" s="2539">
        <v>81</v>
      </c>
      <c r="CH108" s="2539">
        <v>82</v>
      </c>
      <c r="CI108" s="2539">
        <v>83</v>
      </c>
      <c r="CJ108" s="2539">
        <v>84</v>
      </c>
      <c r="CK108" s="2539">
        <v>85</v>
      </c>
      <c r="CL108" s="2539">
        <v>86</v>
      </c>
      <c r="CM108" s="2539">
        <v>87</v>
      </c>
      <c r="CN108" s="2539">
        <v>88</v>
      </c>
      <c r="CO108" s="2539">
        <v>89</v>
      </c>
      <c r="CP108" s="2539">
        <v>90</v>
      </c>
      <c r="CQ108" s="2539">
        <v>91</v>
      </c>
      <c r="CR108" s="2539">
        <v>92</v>
      </c>
      <c r="CS108" s="2539">
        <v>93</v>
      </c>
      <c r="CT108" s="2539">
        <v>94</v>
      </c>
      <c r="CU108" s="2539">
        <v>95</v>
      </c>
      <c r="CV108" s="2539">
        <v>96</v>
      </c>
      <c r="CW108" s="2539">
        <v>97</v>
      </c>
      <c r="CX108" s="2539">
        <v>98</v>
      </c>
      <c r="CY108" s="2539">
        <v>99</v>
      </c>
      <c r="CZ108" s="2539">
        <v>100</v>
      </c>
      <c r="DA108" s="2539">
        <v>101</v>
      </c>
      <c r="DB108" s="2539">
        <v>102</v>
      </c>
      <c r="DC108" s="2539">
        <v>103</v>
      </c>
      <c r="DD108" s="2539">
        <v>104</v>
      </c>
      <c r="DE108" s="2539">
        <v>105</v>
      </c>
      <c r="DF108" s="2539">
        <v>106</v>
      </c>
      <c r="DG108" s="2539">
        <v>107</v>
      </c>
      <c r="DH108" s="2539">
        <v>108</v>
      </c>
      <c r="DI108" s="2539">
        <v>109</v>
      </c>
      <c r="DJ108" s="2539">
        <v>110</v>
      </c>
      <c r="DK108" s="2539">
        <v>111</v>
      </c>
      <c r="DL108" s="2539">
        <v>112</v>
      </c>
      <c r="DM108" s="2539">
        <v>113</v>
      </c>
      <c r="DN108" s="2539">
        <v>114</v>
      </c>
      <c r="DO108" s="2539">
        <v>115</v>
      </c>
      <c r="DP108" s="2539">
        <v>116</v>
      </c>
      <c r="DQ108" s="2539">
        <v>117</v>
      </c>
      <c r="DR108" s="2539">
        <v>118</v>
      </c>
      <c r="DS108" s="2539">
        <v>119</v>
      </c>
      <c r="DT108" s="2539">
        <v>120</v>
      </c>
      <c r="DU108" s="2539">
        <v>121</v>
      </c>
      <c r="DV108" s="2539">
        <v>122</v>
      </c>
      <c r="DW108" s="2539">
        <v>123</v>
      </c>
      <c r="DX108" s="2539">
        <v>124</v>
      </c>
      <c r="DY108" s="2539">
        <v>125</v>
      </c>
      <c r="DZ108" s="2539">
        <v>126</v>
      </c>
      <c r="EA108" s="2539">
        <v>127</v>
      </c>
      <c r="EB108" s="2539">
        <v>128</v>
      </c>
      <c r="EC108" s="2539">
        <v>129</v>
      </c>
      <c r="ED108" s="2539">
        <v>130</v>
      </c>
      <c r="EE108" s="2539">
        <v>131</v>
      </c>
      <c r="EF108" s="2539">
        <v>132</v>
      </c>
      <c r="EG108" s="2539">
        <v>133</v>
      </c>
      <c r="EH108" s="2539">
        <v>134</v>
      </c>
      <c r="EI108" s="2539">
        <v>135</v>
      </c>
      <c r="EJ108" s="2539">
        <v>136</v>
      </c>
      <c r="EK108" s="2539">
        <v>137</v>
      </c>
      <c r="EL108" s="2539">
        <v>138</v>
      </c>
      <c r="EM108" s="2539">
        <v>139</v>
      </c>
      <c r="EN108" s="2539">
        <v>140</v>
      </c>
      <c r="EO108" s="2539">
        <v>141</v>
      </c>
      <c r="EP108" s="2539">
        <v>142</v>
      </c>
      <c r="EQ108" s="2539">
        <v>143</v>
      </c>
      <c r="ER108" s="2539">
        <v>144</v>
      </c>
      <c r="ES108" s="2539">
        <v>145</v>
      </c>
      <c r="ET108" s="2539">
        <v>146</v>
      </c>
      <c r="EU108" s="2539">
        <v>147</v>
      </c>
      <c r="EV108" s="2539">
        <v>148</v>
      </c>
      <c r="EW108" s="2539">
        <v>149</v>
      </c>
      <c r="EX108" s="2539">
        <v>150</v>
      </c>
      <c r="EY108" s="2539">
        <v>151</v>
      </c>
      <c r="EZ108" s="2539">
        <v>152</v>
      </c>
      <c r="FA108" s="2539">
        <v>153</v>
      </c>
      <c r="FB108" s="2539">
        <v>154</v>
      </c>
      <c r="FC108" s="2539">
        <v>155</v>
      </c>
      <c r="FD108" s="2539">
        <v>156</v>
      </c>
      <c r="FE108" s="2539">
        <v>157</v>
      </c>
      <c r="FF108" s="2539">
        <v>158</v>
      </c>
      <c r="FG108" s="2539">
        <v>159</v>
      </c>
      <c r="FH108" s="2539">
        <v>160</v>
      </c>
      <c r="FI108" s="2539">
        <v>161</v>
      </c>
      <c r="FJ108" s="2539">
        <v>162</v>
      </c>
      <c r="FK108" s="2539">
        <v>163</v>
      </c>
      <c r="FL108" s="2539">
        <v>164</v>
      </c>
      <c r="FM108" s="2539">
        <v>165</v>
      </c>
      <c r="FN108" s="2539">
        <v>166</v>
      </c>
      <c r="FO108" s="2539">
        <v>167</v>
      </c>
      <c r="FP108" s="2539">
        <v>168</v>
      </c>
      <c r="FQ108" s="2539">
        <v>169</v>
      </c>
      <c r="FR108" s="2539">
        <v>170</v>
      </c>
      <c r="FS108" s="2539">
        <v>171</v>
      </c>
      <c r="FT108" s="2539">
        <v>172</v>
      </c>
      <c r="FU108" s="2539">
        <v>173</v>
      </c>
      <c r="FV108" s="2539">
        <v>174</v>
      </c>
      <c r="FW108" s="2539">
        <v>175</v>
      </c>
      <c r="FX108" s="2539">
        <v>176</v>
      </c>
      <c r="FY108" s="2539">
        <v>177</v>
      </c>
      <c r="FZ108" s="2539">
        <v>178</v>
      </c>
      <c r="GA108" s="2539">
        <v>179</v>
      </c>
      <c r="GB108" s="2539">
        <v>180</v>
      </c>
      <c r="GC108" s="2539">
        <v>181</v>
      </c>
      <c r="GD108" s="2539">
        <v>182</v>
      </c>
      <c r="GE108" s="2539">
        <v>183</v>
      </c>
      <c r="GF108" s="2539">
        <v>184</v>
      </c>
      <c r="GG108" s="2539">
        <v>185</v>
      </c>
      <c r="GH108" s="2539">
        <v>186</v>
      </c>
      <c r="GI108" s="2539">
        <v>187</v>
      </c>
      <c r="GJ108" s="2539">
        <v>188</v>
      </c>
      <c r="GK108" s="2539">
        <v>189</v>
      </c>
      <c r="GL108" s="2539">
        <v>190</v>
      </c>
      <c r="GM108" s="2539">
        <v>191</v>
      </c>
      <c r="GN108" s="2539">
        <v>192</v>
      </c>
      <c r="GO108" s="2539">
        <v>193</v>
      </c>
      <c r="GP108" s="2539">
        <v>194</v>
      </c>
      <c r="GQ108" s="2539">
        <v>195</v>
      </c>
      <c r="GR108" s="2539">
        <v>196</v>
      </c>
      <c r="GS108" s="2539">
        <v>197</v>
      </c>
      <c r="GT108" s="2539">
        <v>198</v>
      </c>
      <c r="GU108" s="2539">
        <v>199</v>
      </c>
      <c r="GV108" s="2539">
        <v>200</v>
      </c>
      <c r="GW108" s="2539">
        <v>201</v>
      </c>
      <c r="GX108" s="2539">
        <v>202</v>
      </c>
      <c r="GY108" s="2539">
        <v>203</v>
      </c>
      <c r="GZ108" s="2539">
        <v>204</v>
      </c>
      <c r="HA108" s="2539">
        <v>205</v>
      </c>
      <c r="HB108" s="2539">
        <v>206</v>
      </c>
      <c r="HC108" s="2539">
        <v>207</v>
      </c>
      <c r="HD108" s="2539">
        <v>208</v>
      </c>
      <c r="HE108" s="2539">
        <v>209</v>
      </c>
      <c r="HF108" s="2539">
        <v>210</v>
      </c>
      <c r="HG108" s="2539">
        <v>211</v>
      </c>
      <c r="HH108" s="2539">
        <v>212</v>
      </c>
      <c r="HI108" s="2539">
        <v>213</v>
      </c>
      <c r="HJ108" s="2539">
        <v>214</v>
      </c>
      <c r="HK108" s="2539">
        <v>215</v>
      </c>
      <c r="HL108" s="2539">
        <v>216</v>
      </c>
      <c r="HM108" s="2539">
        <v>217</v>
      </c>
      <c r="HN108" s="2539">
        <v>218</v>
      </c>
      <c r="HO108" s="2539">
        <v>219</v>
      </c>
      <c r="HP108" s="2539">
        <v>220</v>
      </c>
      <c r="HQ108" s="2539">
        <v>221</v>
      </c>
      <c r="HR108" s="2539">
        <v>222</v>
      </c>
      <c r="HS108" s="2539">
        <v>223</v>
      </c>
      <c r="HT108" s="2539">
        <v>224</v>
      </c>
      <c r="HU108" s="2539">
        <v>225</v>
      </c>
      <c r="HV108" s="2539">
        <v>226</v>
      </c>
      <c r="HW108" s="2539">
        <v>227</v>
      </c>
      <c r="HX108" s="2539">
        <v>228</v>
      </c>
      <c r="HY108" s="2539">
        <v>229</v>
      </c>
      <c r="HZ108" s="2539">
        <v>230</v>
      </c>
      <c r="IA108" s="2539">
        <v>231</v>
      </c>
      <c r="IB108" s="2539">
        <v>232</v>
      </c>
      <c r="IC108" s="2539">
        <v>233</v>
      </c>
      <c r="ID108" s="2539">
        <v>234</v>
      </c>
      <c r="IE108" s="2539">
        <v>235</v>
      </c>
      <c r="IF108" s="2539">
        <v>236</v>
      </c>
      <c r="IG108" s="2539">
        <v>237</v>
      </c>
      <c r="IH108" s="2539">
        <v>238</v>
      </c>
      <c r="II108" s="2539">
        <v>239</v>
      </c>
      <c r="IJ108" s="2539">
        <v>240</v>
      </c>
      <c r="IK108" s="2539">
        <v>241</v>
      </c>
      <c r="IL108" s="2539">
        <v>242</v>
      </c>
      <c r="IM108" s="2539">
        <v>243</v>
      </c>
      <c r="IN108" s="2539">
        <v>244</v>
      </c>
      <c r="IO108" s="2539">
        <v>245</v>
      </c>
      <c r="IP108" s="2539">
        <v>246</v>
      </c>
      <c r="IQ108" s="2539">
        <v>247</v>
      </c>
      <c r="IR108" s="2539">
        <v>248</v>
      </c>
      <c r="IS108" s="2539">
        <v>249</v>
      </c>
      <c r="IT108" s="2539">
        <v>250</v>
      </c>
      <c r="IU108" s="2539">
        <v>251</v>
      </c>
      <c r="IV108" s="2539">
        <v>252</v>
      </c>
      <c r="IW108" s="2539">
        <v>253</v>
      </c>
      <c r="IX108" s="2539">
        <v>254</v>
      </c>
      <c r="IY108" s="2539">
        <v>255</v>
      </c>
      <c r="IZ108" s="2539">
        <v>256</v>
      </c>
      <c r="JA108" s="2539">
        <v>257</v>
      </c>
      <c r="JB108" s="2539">
        <v>258</v>
      </c>
      <c r="JC108" s="2539">
        <v>259</v>
      </c>
      <c r="JD108" s="2539">
        <v>260</v>
      </c>
      <c r="JE108" s="2539">
        <v>261</v>
      </c>
      <c r="JF108" s="2539">
        <v>262</v>
      </c>
      <c r="JG108" s="2539">
        <v>263</v>
      </c>
      <c r="JH108" s="2539">
        <v>264</v>
      </c>
      <c r="JI108" s="2539">
        <v>265</v>
      </c>
      <c r="JJ108" s="2539">
        <v>266</v>
      </c>
      <c r="JK108" s="2539">
        <v>267</v>
      </c>
      <c r="JL108" s="2539">
        <v>268</v>
      </c>
      <c r="JM108" s="2539">
        <v>269</v>
      </c>
      <c r="JN108" s="2539">
        <v>270</v>
      </c>
      <c r="JO108" s="2539">
        <v>271</v>
      </c>
      <c r="JP108" s="2539">
        <v>272</v>
      </c>
      <c r="JQ108" s="2539">
        <v>273</v>
      </c>
    </row>
    <row r="109" spans="1:280" ht="12" thickBot="1" x14ac:dyDescent="0.3">
      <c r="A109" s="1367">
        <v>2</v>
      </c>
      <c r="B109" s="1482">
        <f>IF(NI1_IND&gt;1,IF(HLOOKUP(NI1_IND-1,NI1_MOR_RANGE,A109)="","",HLOOKUP(NI1_IND-1,NI1_MOR_RANGE,A109)),"")</f>
        <v>0</v>
      </c>
      <c r="C109" s="1688" t="s">
        <v>2883</v>
      </c>
      <c r="D109" s="1360"/>
      <c r="E109" s="1483">
        <f>IF('C2'!E62="",0,MAX(0,MIN('C2'!E62,Class1_UEL)-Class1_PT))</f>
        <v>0</v>
      </c>
      <c r="F109" s="1483">
        <f>IF('C2'!F62="",0,MAX(0,MIN('C2'!F62,Class1_UEL)-Class1_PT))</f>
        <v>0</v>
      </c>
      <c r="G109" s="1483">
        <f>IF('C2'!G62="",0,MAX(0,MIN('C2'!G62,Class1_UEL)-Class1_PT))</f>
        <v>0</v>
      </c>
      <c r="H109" s="1483">
        <f>IF('C2'!H62="",0,MAX(0,MIN('C2'!H62,Class1_UEL)-Class1_PT))</f>
        <v>0</v>
      </c>
      <c r="I109" s="1483"/>
      <c r="J109" s="730"/>
      <c r="K109" s="730">
        <f>IF('C2'!K62="",0,MAX(0,MIN('C2'!K62,Class1_UEL)-Class1_PT))</f>
        <v>0</v>
      </c>
      <c r="L109" s="730"/>
      <c r="M109" s="730"/>
      <c r="N109" s="730"/>
      <c r="O109" s="730">
        <f>IF('C2'!O62="",0,MAX(0,MIN('C2'!O62,Class1_UEL)-Class1_PT))</f>
        <v>0</v>
      </c>
      <c r="P109" s="730"/>
      <c r="Q109" s="730">
        <f>IF('C2'!Q62="",0,MAX(0,MIN('C2'!Q62,Class1_UEL)-Class1_PT))</f>
        <v>0</v>
      </c>
      <c r="R109" s="730">
        <f>IF('C2'!R62="",0,MAX(0,MIN('C2'!R62,Class1_UEL)-Class1_PT))</f>
        <v>0</v>
      </c>
      <c r="S109" s="730"/>
      <c r="T109" s="730"/>
      <c r="U109" s="730">
        <f>IF('C2'!U62="",0,MAX(0,MIN('C2'!U62,Class1_UEL)-Class1_PT))</f>
        <v>0</v>
      </c>
      <c r="V109" s="730">
        <f>IF('C2'!V62="",0,MAX(0,MIN('C2'!V62,Class1_UEL)-Class1_PT))</f>
        <v>0</v>
      </c>
      <c r="W109" s="730">
        <f>IF('C2'!W62="",0,MAX(0,MIN('C2'!W62,Class1_UEL)-Class1_PT))</f>
        <v>0</v>
      </c>
      <c r="X109" s="730">
        <f>IF('C2'!X62="",0,MAX(0,MIN('C2'!X62,Class1_UEL)-Class1_PT))</f>
        <v>0</v>
      </c>
      <c r="Y109" s="730">
        <f>IF('C2'!Y62="",0,MAX(0,MIN('C2'!Y62,Class1_UEL)-Class1_PT))</f>
        <v>0</v>
      </c>
      <c r="Z109" s="730"/>
      <c r="AA109" s="730">
        <f>IF('C2'!JQ62="",0,MAX(0,MIN('C2'!JQ62,Class1_UEL)-Class1_PT))</f>
        <v>0</v>
      </c>
      <c r="AB109" s="730"/>
      <c r="AC109" s="730">
        <f>IF('C2'!AC62="",0,MAX(0,MIN('C2'!AC62,Class1_UEL)-Class1_PT))</f>
        <v>0</v>
      </c>
      <c r="AD109" s="730">
        <f>IF('C2'!AD62="",0,MAX(0,MIN('C2'!AD62,Class1_UEL)-Class1_PT))</f>
        <v>0</v>
      </c>
      <c r="AE109" s="730">
        <f>IF('C2'!AE62="",0,MAX(0,MIN('C2'!AE62,Class1_UEL)-Class1_PT))</f>
        <v>0</v>
      </c>
      <c r="AF109" s="730"/>
      <c r="AG109" s="730">
        <f>IF('C2'!AG62="",0,MAX(0,MIN('C2'!AG62,Class1_UEL)-Class1_PT))</f>
        <v>0</v>
      </c>
      <c r="AH109" s="730">
        <f>IF('C2'!AH62="",0,MAX(0,MIN('C2'!AH62,Class1_UEL)-Class1_PT))</f>
        <v>0</v>
      </c>
      <c r="AI109" s="730">
        <f>IF('C2'!AI62="",0,MAX(0,MIN('C2'!AI62,Class1_UEL)-Class1_PT))</f>
        <v>0</v>
      </c>
      <c r="AJ109" s="730">
        <f>IF('C2'!AJ62="",0,MAX(0,MIN('C2'!AJ62,Class1_UEL)-Class1_PT))</f>
        <v>0</v>
      </c>
      <c r="AK109" s="730">
        <f>IF('C2'!AK62="",0,MAX(0,MIN('C2'!AK62,Class1_UEL)-Class1_PT))</f>
        <v>0</v>
      </c>
      <c r="AL109" s="730"/>
      <c r="AM109" s="730"/>
      <c r="AN109" s="730"/>
      <c r="AO109" s="730"/>
      <c r="AP109" s="730">
        <f>IF('C2'!AP62="",0,MAX(0,MIN('C2'!AP62,Class1_UEL)-Class1_PT))</f>
        <v>0</v>
      </c>
      <c r="AQ109" s="730">
        <f>IF('C2'!AQ62="",0,MAX(0,MIN('C2'!AQ62,Class1_UEL)-Class1_PT))</f>
        <v>0</v>
      </c>
      <c r="AR109" s="730"/>
      <c r="AS109" s="730">
        <f>IF('C2'!AS62="",0,MAX(0,MIN('C2'!AS62,Class1_UEL)-Class1_PT))</f>
        <v>0</v>
      </c>
      <c r="AT109" s="730">
        <f>IF('C2'!AT62="",0,MAX(0,MIN('C2'!AT62,Class1_UEL)-Class1_PT))</f>
        <v>0</v>
      </c>
      <c r="AU109" s="730">
        <f>IF('C2'!AU62="",0,MAX(0,MIN('C2'!AU62,Class1_UEL)-Class1_PT))</f>
        <v>0</v>
      </c>
      <c r="AV109" s="730"/>
      <c r="AW109" s="730"/>
      <c r="AX109" s="730"/>
      <c r="AY109" s="730"/>
      <c r="AZ109" s="730"/>
      <c r="BA109" s="730">
        <f>IF('C2'!BA62="",0,MAX(0,MIN('C2'!BA62,Class1_UEL)-Class1_PT))</f>
        <v>0</v>
      </c>
      <c r="BB109" s="730">
        <f>IF('C2'!BB62="",0,MAX(0,MIN('C2'!BB62,Class1_UEL)-Class1_PT))</f>
        <v>0</v>
      </c>
      <c r="BC109" s="730"/>
      <c r="BD109" s="730">
        <f>IF('C2'!BD62="",0,MAX(0,MIN('C2'!BD62,Class1_UEL)-Class1_PT))</f>
        <v>0</v>
      </c>
      <c r="BE109" s="730">
        <f>IF('C2'!BE62="",0,MAX(0,MIN('C2'!BE62,Class1_UEL)-Class1_PT))</f>
        <v>0</v>
      </c>
      <c r="BF109" s="730">
        <f>IF('C2'!BF62="",0,MAX(0,MIN('C2'!BF62,Class1_UEL)-Class1_PT))</f>
        <v>0</v>
      </c>
      <c r="BG109" s="730">
        <f>IF('C2'!BG62="",0,MAX(0,MIN('C2'!BG62,Class1_UEL)-Class1_PT))</f>
        <v>0</v>
      </c>
      <c r="BH109" s="730">
        <f>IF('C2'!BH62="",0,MAX(0,MIN('C2'!BH62,Class1_UEL)-Class1_PT))</f>
        <v>0</v>
      </c>
      <c r="BI109" s="730">
        <f>IF('C2'!BI62="",0,MAX(0,MIN('C2'!BI62,Class1_UEL)-Class1_PT))</f>
        <v>0</v>
      </c>
      <c r="BJ109" s="730"/>
      <c r="BK109" s="730"/>
      <c r="BL109" s="730"/>
      <c r="BM109" s="730">
        <f>IF('C2'!BM62="",0,MAX(0,MIN('C2'!BM62,Class1_UEL)-Class1_PT))</f>
        <v>0</v>
      </c>
      <c r="BN109" s="730"/>
      <c r="BO109" s="730">
        <f>IF('C2'!BO62="",0,MAX(0,MIN('C2'!BO62,Class1_UEL)-Class1_PT))</f>
        <v>0</v>
      </c>
      <c r="BP109" s="730"/>
      <c r="BQ109" s="730"/>
      <c r="BR109" s="730"/>
      <c r="BS109" s="730">
        <f>IF('C2'!BS62="",0,MAX(0,MIN('C2'!BS62,Class1_UEL)-Class1_PT))</f>
        <v>0</v>
      </c>
      <c r="BT109" s="730"/>
      <c r="BU109" s="730"/>
      <c r="BV109" s="730"/>
      <c r="BW109" s="730"/>
      <c r="BX109" s="730"/>
      <c r="BY109" s="730"/>
      <c r="BZ109" s="730"/>
      <c r="CA109" s="730"/>
      <c r="CB109" s="730"/>
      <c r="CC109" s="730"/>
      <c r="CD109" s="730">
        <f>IF('C2'!CD62="",0,MAX(0,MIN('C2'!CD62,Class1_UEL)-Class1_PT))</f>
        <v>0</v>
      </c>
      <c r="CE109" s="730">
        <f>IF('C2'!CE62="",0,MAX(0,MIN('C2'!CE62,Class1_UEL)-Class1_PT))</f>
        <v>0</v>
      </c>
      <c r="CF109" s="730">
        <f>IF('C2'!CF62="",0,MAX(0,MIN('C2'!CF62,Class1_UEL)-Class1_PT))</f>
        <v>0</v>
      </c>
      <c r="CG109" s="730"/>
      <c r="CH109" s="730">
        <f>IF('C2'!CH62="",0,MAX(0,MIN('C2'!CH62,Class1_UEL)-Class1_PT))</f>
        <v>0</v>
      </c>
      <c r="CI109" s="730"/>
      <c r="CJ109" s="730"/>
      <c r="CK109" s="730"/>
      <c r="CL109" s="730"/>
      <c r="CM109" s="730"/>
      <c r="CN109" s="730">
        <f>IF('C2'!CN62="",0,MAX(0,MIN('C2'!CN62,Class1_UEL)-Class1_PT))</f>
        <v>0</v>
      </c>
      <c r="CO109" s="730">
        <f>IF('C2'!CO62="",0,MAX(0,MIN('C2'!CO62,Class1_UEL)-Class1_PT))</f>
        <v>0</v>
      </c>
      <c r="CP109" s="730"/>
      <c r="CQ109" s="730">
        <f>IF('C2'!CQ62="",0,MAX(0,MIN('C2'!CQ62,Class1_UEL)-Class1_PT))</f>
        <v>0</v>
      </c>
      <c r="CR109" s="730"/>
      <c r="CS109" s="730"/>
      <c r="CT109" s="730">
        <f>IF('C2'!CT62="",0,MAX(0,MIN('C2'!CT62,Class1_UEL)-Class1_PT))</f>
        <v>2197</v>
      </c>
      <c r="CU109" s="730"/>
      <c r="CV109" s="730">
        <f>IF('C2'!CV62="",0,MAX(0,MIN('C2'!CV62,Class1_UEL)-Class1_PT))</f>
        <v>0</v>
      </c>
      <c r="CW109" s="730"/>
      <c r="CX109" s="730"/>
      <c r="CY109" s="730"/>
      <c r="CZ109" s="730"/>
      <c r="DA109" s="730"/>
      <c r="DB109" s="730">
        <f>IF('C2'!DB62="",0,MAX(0,MIN('C2'!DB62,Class1_UEL)-Class1_PT))</f>
        <v>0</v>
      </c>
      <c r="DC109" s="730"/>
      <c r="DD109" s="730">
        <f>IF('C2'!DD62="",0,MAX(0,MIN('C2'!DD62,Class1_UEL)-Class1_PT))</f>
        <v>0</v>
      </c>
      <c r="DE109" s="730">
        <f>IF('C2'!DE62="",0,MAX(0,MIN('C2'!DE62,Class1_UEL)-Class1_PT))</f>
        <v>0</v>
      </c>
      <c r="DF109" s="730">
        <f>IF('C2'!DF62="",0,MAX(0,MIN('C2'!DF62,Class1_UEL)-Class1_PT))</f>
        <v>0</v>
      </c>
      <c r="DG109" s="730"/>
      <c r="DH109" s="730"/>
      <c r="DI109" s="730">
        <f>IF('C2'!DI62="",0,MAX(0,MIN('C2'!DI62,Class1_UEL)-Class1_PT))</f>
        <v>0</v>
      </c>
      <c r="DJ109" s="730"/>
      <c r="DK109" s="730">
        <f>IF('C2'!DK62="",0,MAX(0,MIN('C2'!DK62,Class1_UEL)-Class1_PT))</f>
        <v>0</v>
      </c>
      <c r="DL109" s="730">
        <f>IF('C2'!DL62="",0,MAX(0,MIN('C2'!DL62,Class1_UEL)-Class1_PT))</f>
        <v>0</v>
      </c>
      <c r="DM109" s="730"/>
      <c r="DN109" s="730"/>
      <c r="DO109" s="730"/>
      <c r="DP109" s="730"/>
      <c r="DQ109" s="730"/>
      <c r="DR109" s="730"/>
      <c r="DS109" s="730"/>
      <c r="DT109" s="730">
        <f>IF('C2'!DT62="",0,MAX(0,MIN('C2'!DT62,Class1_UEL)-Class1_PT))</f>
        <v>0</v>
      </c>
      <c r="DU109" s="730">
        <f>IF('C2'!DU62="",0,MAX(0,MIN('C2'!DU62,Class1_UEL)-Class1_PT))</f>
        <v>0</v>
      </c>
      <c r="DV109" s="730">
        <f>IF('C2'!DV62="",0,MAX(0,MIN('C2'!DV62,Class1_UEL)-Class1_PT))</f>
        <v>0</v>
      </c>
      <c r="DW109" s="730"/>
      <c r="DX109" s="730"/>
      <c r="DY109" s="730"/>
      <c r="DZ109" s="730"/>
      <c r="EA109" s="730">
        <f>IF('C2'!EA62="",0,MAX(0,MIN('C2'!EA62,Class1_UEL)-Class1_PT))</f>
        <v>0</v>
      </c>
      <c r="EB109" s="730">
        <f>IF('C2'!EB62="",0,MAX(0,MIN('C2'!EB62,Class1_UEL)-Class1_PT))</f>
        <v>2680</v>
      </c>
      <c r="EC109" s="730">
        <f>IF('C2'!EC62="",0,MAX(0,MIN('C2'!EC62,Class1_UEL)-Class1_PT))</f>
        <v>2197</v>
      </c>
      <c r="ED109" s="730">
        <f>IF('C2'!ED62="",0,MAX(0,MIN('C2'!ED62,Class1_UEL)-Class1_PT))</f>
        <v>0</v>
      </c>
      <c r="EE109" s="730">
        <f>IF('C2'!EE62="",0,MAX(0,MIN('C2'!EE62,Class1_UEL)-Class1_PT))</f>
        <v>0</v>
      </c>
      <c r="EF109" s="730"/>
      <c r="EG109" s="730">
        <f>IF('C2'!EG62="",0,MAX(0,MIN('C2'!EG62,Class1_UEL)-Class1_PT))</f>
        <v>0</v>
      </c>
      <c r="EH109" s="730">
        <f>IF('C2'!EH62="",0,MAX(0,MIN('C2'!EH62,Class1_UEL)-Class1_PT))</f>
        <v>0</v>
      </c>
      <c r="EI109" s="730">
        <f>IF('C2'!EI62="",0,MAX(0,MIN('C2'!EI62,Class1_UEL)-Class1_PT))</f>
        <v>0</v>
      </c>
      <c r="EJ109" s="730">
        <f>IF('C2'!EJ62="",0,MAX(0,MIN('C2'!EJ62,Class1_UEL)-Class1_PT))</f>
        <v>0</v>
      </c>
      <c r="EK109" s="730">
        <f>IF('C2'!EK62="",0,MAX(0,MIN('C2'!EK62,Class1_UEL)-Class1_PT))</f>
        <v>0</v>
      </c>
      <c r="EL109" s="730">
        <f>IF('C2'!EL62="",0,MAX(0,MIN('C2'!EL62,Class1_UEL)-Class1_PT))</f>
        <v>0</v>
      </c>
      <c r="EM109" s="730"/>
      <c r="EN109" s="730"/>
      <c r="EO109" s="730">
        <f>IF('C2'!EO62="",0,MAX(0,MIN('C2'!EO62,Class1_UEL)-Class1_PT))</f>
        <v>0</v>
      </c>
      <c r="EP109" s="730">
        <f>IF('C2'!EP62="",0,MAX(0,MIN('C2'!EP62,Class1_UEL)-Class1_PT))</f>
        <v>0</v>
      </c>
      <c r="EQ109" s="730"/>
      <c r="ER109" s="730"/>
      <c r="ES109" s="730"/>
      <c r="ET109" s="730"/>
      <c r="EU109" s="730"/>
      <c r="EV109" s="730"/>
      <c r="EW109" s="730"/>
      <c r="EX109" s="730"/>
      <c r="EY109" s="730"/>
      <c r="EZ109" s="730">
        <f>IF('C2'!EZ62="",0,MAX(0,MIN('C2'!EZ62,Class1_UEL)-Class1_PT))</f>
        <v>0</v>
      </c>
      <c r="FA109" s="730"/>
      <c r="FB109" s="730">
        <f>IF('C2'!FB62="",0,MAX(0,MIN('C2'!FB62,Class1_UEL)-Class1_PT))</f>
        <v>2197</v>
      </c>
      <c r="FC109" s="730">
        <f>IF('C2'!FC62="",0,MAX(0,MIN('C2'!FC62,Class1_UEL)-Class1_PT))</f>
        <v>0</v>
      </c>
      <c r="FD109" s="730">
        <f>IF('C2'!FD62="",0,MAX(0,MIN('C2'!FD62,Class1_UEL)-Class1_PT))</f>
        <v>0</v>
      </c>
      <c r="FE109" s="730"/>
      <c r="FF109" s="730"/>
      <c r="FG109" s="730"/>
      <c r="FH109" s="730"/>
      <c r="FI109" s="730"/>
      <c r="FJ109" s="730"/>
      <c r="FK109" s="730"/>
      <c r="FL109" s="730"/>
      <c r="FM109" s="730">
        <f>IF('C2'!FM62="",0,MAX(0,MIN('C2'!FM62,Class1_UEL)-Class1_PT))</f>
        <v>0</v>
      </c>
      <c r="FN109" s="730">
        <f>IF('C2'!FN62="",0,MAX(0,MIN('C2'!FN62,Class1_UEL)-Class1_PT))</f>
        <v>0</v>
      </c>
      <c r="FO109" s="730">
        <f>IF('C2'!FO62="",0,MAX(0,MIN('C2'!FO62,Class1_UEL)-Class1_PT))</f>
        <v>0</v>
      </c>
      <c r="FP109" s="730">
        <f>IF('C2'!FP62="",0,MAX(0,MIN('C2'!FP62,Class1_UEL)-Class1_PT))</f>
        <v>0</v>
      </c>
      <c r="FQ109" s="730">
        <f>IF('C2'!FQ62="",0,MAX(0,MIN('C2'!FQ62,Class1_UEL)-Class1_PT))</f>
        <v>0</v>
      </c>
      <c r="FR109" s="730"/>
      <c r="FS109" s="730"/>
      <c r="FT109" s="730"/>
      <c r="FU109" s="730"/>
      <c r="FV109" s="730"/>
      <c r="FW109" s="730">
        <f>IF('C2'!FW62="",0,MAX(0,MIN('C2'!FW62,Class1_UEL)-Class1_PT))</f>
        <v>0</v>
      </c>
      <c r="FX109" s="730"/>
      <c r="FY109" s="730"/>
      <c r="FZ109" s="730"/>
      <c r="GA109" s="730"/>
      <c r="GB109" s="730"/>
      <c r="GC109" s="730">
        <f>IF('C2'!GC62="",0,MAX(0,MIN('C2'!GC62,Class1_UEL)-Class1_PT))</f>
        <v>0</v>
      </c>
      <c r="GD109" s="730">
        <f>IF('C2'!GD62="",0,MAX(0,MIN('C2'!GD62,Class1_UEL)-Class1_PT))</f>
        <v>0</v>
      </c>
      <c r="GE109" s="730"/>
      <c r="GF109" s="730">
        <f>IF('C2'!GF62="",0,MAX(0,MIN('C2'!GF62,Class1_UEL)-Class1_PT))</f>
        <v>0</v>
      </c>
      <c r="GG109" s="730"/>
      <c r="GH109" s="730"/>
      <c r="GI109" s="730"/>
      <c r="GJ109" s="730"/>
      <c r="GK109" s="730">
        <f>IF('C2'!GK62="",0,MAX(0,MIN('C2'!GK62,Class1_UEL)-Class1_PT))</f>
        <v>0</v>
      </c>
      <c r="GL109" s="730"/>
      <c r="GM109" s="730"/>
      <c r="GN109" s="730"/>
      <c r="GO109" s="730">
        <f>IF('C2'!GO62="",0,MAX(0,MIN('C2'!GO62,Class1_UEL)-Class1_PT))</f>
        <v>0</v>
      </c>
      <c r="GP109" s="730">
        <f>IF('C2'!GP62="",0,MAX(0,MIN('C2'!GP62,Class1_UEL)-Class1_PT))</f>
        <v>0</v>
      </c>
      <c r="GQ109" s="730">
        <f>IF('C2'!GQ62="",0,MAX(0,MIN('C2'!GQ62,Class1_UEL)-Class1_PT))</f>
        <v>0</v>
      </c>
      <c r="GR109" s="730">
        <f>IF('C2'!GR62="",0,MAX(0,MIN('C2'!GR62,Class1_UEL)-Class1_PT))</f>
        <v>0</v>
      </c>
      <c r="GS109" s="730">
        <f>IF('C2'!GS62="",0,MAX(0,MIN('C2'!GS62,Class1_UEL)-Class1_PT))</f>
        <v>0</v>
      </c>
      <c r="GT109" s="730"/>
      <c r="GU109" s="730"/>
      <c r="GV109" s="730">
        <f>IF('C2'!GV62="",0,MAX(0,MIN('C2'!GV62,Class1_UEL)-Class1_PT))</f>
        <v>0</v>
      </c>
      <c r="GW109" s="730">
        <f>IF('C2'!GW62="",0,MAX(0,MIN('C2'!GW62,Class1_UEL)-Class1_PT))</f>
        <v>0</v>
      </c>
      <c r="GX109" s="730">
        <f>IF('C2'!GX62="",0,MAX(0,MIN('C2'!GX62,Class1_UEL)-Class1_PT))</f>
        <v>0</v>
      </c>
      <c r="GY109" s="730"/>
      <c r="GZ109" s="730">
        <f>IF('C2'!GZ62="",0,MAX(0,MIN('C2'!GZ62,Class1_UEL)-Class1_PT))</f>
        <v>0</v>
      </c>
      <c r="HA109" s="730">
        <f>IF('C2'!HA62="",0,MAX(0,MIN('C2'!HA62,Class1_UEL)-Class1_PT))</f>
        <v>0</v>
      </c>
      <c r="HB109" s="730">
        <f>IF('C2'!HB62="",0,MAX(0,MIN('C2'!HB62,Class1_UEL)-Class1_PT))</f>
        <v>0</v>
      </c>
      <c r="HC109" s="730"/>
      <c r="HD109" s="730"/>
      <c r="HE109" s="730"/>
      <c r="HF109" s="730">
        <f>IF('C2'!HF62="",0,MAX(0,MIN('C2'!HF62,Class1_UEL)-Class1_PT))</f>
        <v>0</v>
      </c>
      <c r="HG109" s="730">
        <f>IF('C2'!HG62="",0,MAX(0,MIN('C2'!HG62,Class1_UEL)-Class1_PT))</f>
        <v>0</v>
      </c>
      <c r="HH109" s="730"/>
      <c r="HI109" s="730">
        <f>IF('C2'!HI62="",0,MAX(0,MIN('C2'!HI62,Class1_UEL)-Class1_PT))</f>
        <v>0</v>
      </c>
      <c r="HJ109" s="730"/>
      <c r="HK109" s="730"/>
      <c r="HL109" s="730"/>
      <c r="HM109" s="730"/>
      <c r="HN109" s="730"/>
      <c r="HO109" s="730">
        <f>IF('C2'!HO62="",0,MAX(0,MIN('C2'!HO62,Class1_UEL)-Class1_PT))</f>
        <v>0</v>
      </c>
      <c r="HP109" s="730"/>
      <c r="HQ109" s="730"/>
      <c r="HR109" s="730"/>
      <c r="HS109" s="730"/>
      <c r="HT109" s="730"/>
      <c r="HU109" s="730"/>
      <c r="HV109" s="730"/>
      <c r="HW109" s="730"/>
      <c r="HX109" s="730"/>
      <c r="HY109" s="730">
        <f>IF('C2'!HY62="",0,MAX(0,MIN('C2'!HY62,Class1_UEL)-Class1_PT))</f>
        <v>0</v>
      </c>
      <c r="HZ109" s="730"/>
      <c r="IA109" s="730"/>
      <c r="IB109" s="730"/>
      <c r="IC109" s="730"/>
      <c r="ID109" s="730"/>
      <c r="IE109" s="730">
        <f>IF('C2'!IE62="",0,MAX(0,MIN('C2'!IE62,Class1_UEL)-Class1_PT))</f>
        <v>0</v>
      </c>
      <c r="IF109" s="730">
        <f>IF('C2'!IF62="",0,MAX(0,MIN('C2'!IF62,Class1_UEL)-Class1_PT))</f>
        <v>0</v>
      </c>
      <c r="IG109" s="730">
        <f>IF('C2'!IG62="",0,MAX(0,MIN('C2'!IG62,Class1_UEL)-Class1_PT))</f>
        <v>0</v>
      </c>
      <c r="IH109" s="730">
        <f>IF('C2'!IH62="",0,MAX(0,MIN('C2'!IH62,Class1_UEL)-Class1_PT))</f>
        <v>0</v>
      </c>
      <c r="II109" s="730">
        <f>IF('C2'!II62="",0,MAX(0,MIN('C2'!II62,Class1_UEL)-Class1_PT))</f>
        <v>0</v>
      </c>
      <c r="IJ109" s="730"/>
      <c r="IK109" s="730">
        <f>IF('C2'!IK62="",0,MAX(0,MIN('C2'!IK62,Class1_UEL)-Class1_PT))</f>
        <v>0</v>
      </c>
      <c r="IL109" s="730"/>
      <c r="IM109" s="730"/>
      <c r="IN109" s="730"/>
      <c r="IO109" s="730">
        <f>IF('C2'!IO62="",0,MAX(0,MIN('C2'!IO62,Class1_UEL)-Class1_PT))</f>
        <v>0</v>
      </c>
      <c r="IP109" s="730"/>
      <c r="IQ109" s="730"/>
      <c r="IR109" s="730"/>
      <c r="IS109" s="730">
        <f>IF('C2'!IS62="",0,MAX(0,MIN('C2'!IS62,Class1_UEL)-Class1_PT))</f>
        <v>0</v>
      </c>
      <c r="IT109" s="730"/>
      <c r="IU109" s="730"/>
      <c r="IV109" s="730"/>
      <c r="IW109" s="730"/>
      <c r="IX109" s="730"/>
      <c r="IY109" s="730"/>
      <c r="IZ109" s="730"/>
      <c r="JA109" s="730"/>
      <c r="JB109" s="730"/>
      <c r="JC109" s="730"/>
      <c r="JD109" s="730"/>
      <c r="JE109" s="730"/>
      <c r="JF109" s="730"/>
      <c r="JG109" s="730"/>
      <c r="JH109" s="730"/>
      <c r="JI109" s="730"/>
      <c r="JJ109" s="730">
        <f>IF('C2'!JJ62="",0,MAX(0,MIN('C2'!JJ62,Class1_UEL)-Class1_PT))</f>
        <v>0</v>
      </c>
      <c r="JK109" s="730"/>
      <c r="JL109" s="730"/>
      <c r="JM109" s="730"/>
      <c r="JN109" s="730"/>
      <c r="JO109" s="730"/>
      <c r="JP109" s="730"/>
      <c r="JQ109" s="730"/>
    </row>
  </sheetData>
  <phoneticPr fontId="58" type="noConversion"/>
  <dataValidations disablePrompts="1" count="1">
    <dataValidation type="list" allowBlank="1" showInputMessage="1" showErrorMessage="1" sqref="JT61:JT101 JT3:JT29 JT32:JT58" xr:uid="{00000000-0002-0000-0B00-000000000000}">
      <formula1>allowedTypes</formula1>
    </dataValidation>
  </dataValidations>
  <hyperlinks>
    <hyperlink ref="IW13" r:id="rId1" display="D@munny" xr:uid="{8D9BAF23-873D-464B-BFBD-6FE559145D2A}"/>
  </hyperlinks>
  <pageMargins left="0.75" right="0.75" top="1" bottom="1" header="0.5" footer="0.5"/>
  <pageSetup paperSize="9" scale="86" orientation="portrait" horizontalDpi="1200" verticalDpi="1200" r:id="rId2"/>
  <headerFooter alignWithMargins="0">
    <oddFooter>&amp;C&amp;1#&amp;"Calibri"&amp;10&amp;K000000OFFICIAL-SENSITIVE</oddFooter>
  </headerFooter>
  <colBreaks count="1" manualBreakCount="1">
    <brk id="12" max="1048575" man="1"/>
  </colBreaks>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T220"/>
  <sheetViews>
    <sheetView showGridLines="0" zoomScaleNormal="100" workbookViewId="0">
      <pane xSplit="4" ySplit="1" topLeftCell="FB44" activePane="bottomRight" state="frozen"/>
      <selection pane="topRight" activeCell="I74" sqref="I74"/>
      <selection pane="bottomLeft" activeCell="I74" sqref="I74"/>
      <selection pane="bottomRight" activeCell="FM67" sqref="FM67"/>
    </sheetView>
  </sheetViews>
  <sheetFormatPr defaultColWidth="9.1796875" defaultRowHeight="11.5" x14ac:dyDescent="0.25"/>
  <cols>
    <col min="1" max="1" width="3.81640625" style="259" bestFit="1" customWidth="1"/>
    <col min="2" max="2" width="10" style="8" customWidth="1"/>
    <col min="3" max="3" width="8" style="24" customWidth="1"/>
    <col min="4" max="4" width="50.54296875" style="22" customWidth="1"/>
    <col min="5" max="9" width="10.54296875" style="8" customWidth="1"/>
    <col min="10" max="10" width="11" style="8" customWidth="1"/>
    <col min="11" max="11" width="11.1796875" style="8" bestFit="1" customWidth="1"/>
    <col min="12" max="13" width="10.54296875" style="8" customWidth="1"/>
    <col min="14" max="17" width="9.1796875" style="8"/>
    <col min="18" max="18" width="9.81640625" style="8" bestFit="1" customWidth="1"/>
    <col min="19" max="257" width="9.81640625" style="8" customWidth="1"/>
    <col min="258" max="258" width="12.453125" style="8" customWidth="1"/>
    <col min="259" max="275" width="9.81640625" style="8" customWidth="1"/>
    <col min="276" max="276" width="15.1796875" style="8" customWidth="1"/>
    <col min="277" max="277" width="9.81640625" style="8" customWidth="1"/>
    <col min="278" max="278" width="2.1796875" style="8" customWidth="1"/>
    <col min="279" max="279" width="34.54296875" style="1" customWidth="1"/>
    <col min="280" max="280" width="32" style="1" customWidth="1"/>
    <col min="281" max="16384" width="9.1796875" style="8"/>
  </cols>
  <sheetData>
    <row r="1" spans="1:280" ht="12" thickBot="1" x14ac:dyDescent="0.3">
      <c r="E1" s="1433">
        <v>1</v>
      </c>
      <c r="F1" s="1433">
        <v>2</v>
      </c>
      <c r="G1" s="1433">
        <v>3</v>
      </c>
      <c r="H1" s="1433">
        <v>4</v>
      </c>
      <c r="I1" s="1433">
        <v>5</v>
      </c>
      <c r="J1" s="1433">
        <v>6</v>
      </c>
      <c r="K1" s="1433">
        <v>7</v>
      </c>
      <c r="L1" s="1433">
        <v>8</v>
      </c>
      <c r="M1" s="1433">
        <v>9</v>
      </c>
      <c r="N1" s="1433">
        <v>10</v>
      </c>
      <c r="O1" s="1433">
        <v>11</v>
      </c>
      <c r="P1" s="1433">
        <v>12</v>
      </c>
      <c r="Q1" s="1433">
        <v>13</v>
      </c>
      <c r="R1" s="1433">
        <v>14</v>
      </c>
      <c r="S1" s="1433">
        <v>15</v>
      </c>
      <c r="T1" s="1433">
        <v>16</v>
      </c>
      <c r="U1" s="1433">
        <v>17</v>
      </c>
      <c r="V1" s="1433">
        <v>18</v>
      </c>
      <c r="W1" s="1433">
        <v>19</v>
      </c>
      <c r="X1" s="1433">
        <v>20</v>
      </c>
      <c r="Y1" s="1433">
        <v>21</v>
      </c>
      <c r="Z1" s="1433">
        <v>22</v>
      </c>
      <c r="AA1" s="1433">
        <v>23</v>
      </c>
      <c r="AB1" s="1433">
        <v>24</v>
      </c>
      <c r="AC1" s="1433">
        <v>25</v>
      </c>
      <c r="AD1" s="1433">
        <v>26</v>
      </c>
      <c r="AE1" s="1433">
        <v>27</v>
      </c>
      <c r="AF1" s="1433">
        <v>28</v>
      </c>
      <c r="AG1" s="1433">
        <v>29</v>
      </c>
      <c r="AH1" s="1433">
        <v>30</v>
      </c>
      <c r="AI1" s="1433">
        <v>31</v>
      </c>
      <c r="AJ1" s="1433">
        <v>32</v>
      </c>
      <c r="AK1" s="1433">
        <v>33</v>
      </c>
      <c r="AL1" s="1433">
        <v>34</v>
      </c>
      <c r="AM1" s="1433">
        <v>35</v>
      </c>
      <c r="AN1" s="1433">
        <v>36</v>
      </c>
      <c r="AO1" s="1433">
        <v>37</v>
      </c>
      <c r="AP1" s="1433">
        <v>38</v>
      </c>
      <c r="AQ1" s="1433">
        <v>39</v>
      </c>
      <c r="AR1" s="1433">
        <v>40</v>
      </c>
      <c r="AS1" s="1433">
        <v>41</v>
      </c>
      <c r="AT1" s="1433">
        <v>42</v>
      </c>
      <c r="AU1" s="1433">
        <v>43</v>
      </c>
      <c r="AV1" s="1433">
        <v>44</v>
      </c>
      <c r="AW1" s="1433">
        <v>45</v>
      </c>
      <c r="AX1" s="1433">
        <v>46</v>
      </c>
      <c r="AY1" s="1433">
        <v>47</v>
      </c>
      <c r="AZ1" s="1433">
        <v>48</v>
      </c>
      <c r="BA1" s="1433">
        <v>49</v>
      </c>
      <c r="BB1" s="1433">
        <v>50</v>
      </c>
      <c r="BC1" s="1433">
        <v>51</v>
      </c>
      <c r="BD1" s="1433">
        <v>52</v>
      </c>
      <c r="BE1" s="1433">
        <v>53</v>
      </c>
      <c r="BF1" s="1433">
        <v>54</v>
      </c>
      <c r="BG1" s="1433">
        <v>55</v>
      </c>
      <c r="BH1" s="1433">
        <v>56</v>
      </c>
      <c r="BI1" s="1433">
        <v>57</v>
      </c>
      <c r="BJ1" s="1433">
        <v>58</v>
      </c>
      <c r="BK1" s="1433">
        <v>59</v>
      </c>
      <c r="BL1" s="1433">
        <v>60</v>
      </c>
      <c r="BM1" s="1433">
        <v>61</v>
      </c>
      <c r="BN1" s="1433">
        <v>62</v>
      </c>
      <c r="BO1" s="1433">
        <v>63</v>
      </c>
      <c r="BP1" s="1433">
        <v>64</v>
      </c>
      <c r="BQ1" s="1433">
        <v>65</v>
      </c>
      <c r="BR1" s="1433">
        <v>66</v>
      </c>
      <c r="BS1" s="1433">
        <v>67</v>
      </c>
      <c r="BT1" s="1433">
        <v>68</v>
      </c>
      <c r="BU1" s="1433">
        <v>69</v>
      </c>
      <c r="BV1" s="1433">
        <v>70</v>
      </c>
      <c r="BW1" s="1433">
        <v>71</v>
      </c>
      <c r="BX1" s="1433">
        <v>72</v>
      </c>
      <c r="BY1" s="1433">
        <v>73</v>
      </c>
      <c r="BZ1" s="1433">
        <v>74</v>
      </c>
      <c r="CA1" s="1433">
        <v>75</v>
      </c>
      <c r="CB1" s="1433">
        <v>76</v>
      </c>
      <c r="CC1" s="1433">
        <v>77</v>
      </c>
      <c r="CD1" s="1433">
        <v>78</v>
      </c>
      <c r="CE1" s="1433">
        <v>79</v>
      </c>
      <c r="CF1" s="1433">
        <v>80</v>
      </c>
      <c r="CG1" s="1433">
        <v>81</v>
      </c>
      <c r="CH1" s="1433">
        <v>82</v>
      </c>
      <c r="CI1" s="1433">
        <v>83</v>
      </c>
      <c r="CJ1" s="1433">
        <v>84</v>
      </c>
      <c r="CK1" s="1433">
        <v>85</v>
      </c>
      <c r="CL1" s="1433">
        <v>86</v>
      </c>
      <c r="CM1" s="1433">
        <v>87</v>
      </c>
      <c r="CN1" s="1433">
        <v>88</v>
      </c>
      <c r="CO1" s="1433">
        <v>89</v>
      </c>
      <c r="CP1" s="1433">
        <v>90</v>
      </c>
      <c r="CQ1" s="1433">
        <v>91</v>
      </c>
      <c r="CR1" s="1433">
        <v>92</v>
      </c>
      <c r="CS1" s="1433">
        <v>93</v>
      </c>
      <c r="CT1" s="1433">
        <v>94</v>
      </c>
      <c r="CU1" s="1433">
        <v>95</v>
      </c>
      <c r="CV1" s="1433">
        <v>96</v>
      </c>
      <c r="CW1" s="1433">
        <v>97</v>
      </c>
      <c r="CX1" s="1433">
        <v>98</v>
      </c>
      <c r="CY1" s="1433">
        <v>99</v>
      </c>
      <c r="CZ1" s="1433">
        <v>100</v>
      </c>
      <c r="DA1" s="1433">
        <v>101</v>
      </c>
      <c r="DB1" s="1433">
        <v>102</v>
      </c>
      <c r="DC1" s="1433">
        <v>103</v>
      </c>
      <c r="DD1" s="1433">
        <v>104</v>
      </c>
      <c r="DE1" s="1433">
        <v>105</v>
      </c>
      <c r="DF1" s="1433">
        <v>106</v>
      </c>
      <c r="DG1" s="1433">
        <v>107</v>
      </c>
      <c r="DH1" s="1433">
        <v>108</v>
      </c>
      <c r="DI1" s="1433">
        <v>109</v>
      </c>
      <c r="DJ1" s="1433">
        <v>110</v>
      </c>
      <c r="DK1" s="1433">
        <v>111</v>
      </c>
      <c r="DL1" s="1433">
        <v>112</v>
      </c>
      <c r="DM1" s="1433">
        <v>113</v>
      </c>
      <c r="DN1" s="1433">
        <v>114</v>
      </c>
      <c r="DO1" s="1433">
        <v>115</v>
      </c>
      <c r="DP1" s="1433">
        <v>116</v>
      </c>
      <c r="DQ1" s="1433">
        <v>117</v>
      </c>
      <c r="DR1" s="1433">
        <v>118</v>
      </c>
      <c r="DS1" s="1433">
        <v>119</v>
      </c>
      <c r="DT1" s="1433">
        <v>120</v>
      </c>
      <c r="DU1" s="1433">
        <v>121</v>
      </c>
      <c r="DV1" s="1433">
        <v>122</v>
      </c>
      <c r="DW1" s="1433">
        <v>123</v>
      </c>
      <c r="DX1" s="1433">
        <v>124</v>
      </c>
      <c r="DY1" s="1433">
        <v>125</v>
      </c>
      <c r="DZ1" s="1433">
        <v>126</v>
      </c>
      <c r="EA1" s="1433">
        <v>127</v>
      </c>
      <c r="EB1" s="1433">
        <v>128</v>
      </c>
      <c r="EC1" s="1433">
        <v>129</v>
      </c>
      <c r="ED1" s="1433">
        <v>130</v>
      </c>
      <c r="EE1" s="1433">
        <v>131</v>
      </c>
      <c r="EF1" s="1433">
        <v>132</v>
      </c>
      <c r="EG1" s="1433">
        <v>133</v>
      </c>
      <c r="EH1" s="1433">
        <v>134</v>
      </c>
      <c r="EI1" s="1433">
        <v>135</v>
      </c>
      <c r="EJ1" s="1433">
        <v>136</v>
      </c>
      <c r="EK1" s="1433">
        <v>137</v>
      </c>
      <c r="EL1" s="1433">
        <v>138</v>
      </c>
      <c r="EM1" s="1433">
        <v>139</v>
      </c>
      <c r="EN1" s="1433">
        <v>140</v>
      </c>
      <c r="EO1" s="1433">
        <v>141</v>
      </c>
      <c r="EP1" s="1433">
        <v>142</v>
      </c>
      <c r="EQ1" s="1433">
        <v>143</v>
      </c>
      <c r="ER1" s="1433">
        <v>144</v>
      </c>
      <c r="ES1" s="1433">
        <v>145</v>
      </c>
      <c r="ET1" s="1433">
        <v>146</v>
      </c>
      <c r="EU1" s="1433">
        <v>147</v>
      </c>
      <c r="EV1" s="1433">
        <v>148</v>
      </c>
      <c r="EW1" s="1433">
        <v>149</v>
      </c>
      <c r="EX1" s="1433">
        <v>150</v>
      </c>
      <c r="EY1" s="1433">
        <v>151</v>
      </c>
      <c r="EZ1" s="1433">
        <v>152</v>
      </c>
      <c r="FA1" s="1433">
        <v>153</v>
      </c>
      <c r="FB1" s="1433">
        <v>154</v>
      </c>
      <c r="FC1" s="1433">
        <v>155</v>
      </c>
      <c r="FD1" s="1433">
        <v>156</v>
      </c>
      <c r="FE1" s="1433">
        <v>157</v>
      </c>
      <c r="FF1" s="1433">
        <v>158</v>
      </c>
      <c r="FG1" s="1433">
        <v>159</v>
      </c>
      <c r="FH1" s="1433">
        <v>160</v>
      </c>
      <c r="FI1" s="1433">
        <v>161</v>
      </c>
      <c r="FJ1" s="1433">
        <v>162</v>
      </c>
      <c r="FK1" s="1433">
        <v>163</v>
      </c>
      <c r="FL1" s="1433">
        <v>164</v>
      </c>
      <c r="FM1" s="1433">
        <v>165</v>
      </c>
      <c r="FN1" s="1433">
        <v>166</v>
      </c>
      <c r="FO1" s="1433">
        <v>167</v>
      </c>
      <c r="FP1" s="1433">
        <v>168</v>
      </c>
      <c r="FQ1" s="1433">
        <v>169</v>
      </c>
      <c r="FR1" s="1433">
        <v>170</v>
      </c>
      <c r="FS1" s="1433">
        <v>171</v>
      </c>
      <c r="FT1" s="1433">
        <v>172</v>
      </c>
      <c r="FU1" s="1433">
        <v>173</v>
      </c>
      <c r="FV1" s="1433">
        <v>174</v>
      </c>
      <c r="FW1" s="1433">
        <v>175</v>
      </c>
      <c r="FX1" s="1433">
        <v>176</v>
      </c>
      <c r="FY1" s="1433">
        <v>177</v>
      </c>
      <c r="FZ1" s="1433">
        <v>178</v>
      </c>
      <c r="GA1" s="1433">
        <v>179</v>
      </c>
      <c r="GB1" s="1433">
        <v>180</v>
      </c>
      <c r="GC1" s="1433">
        <v>181</v>
      </c>
      <c r="GD1" s="1433">
        <v>182</v>
      </c>
      <c r="GE1" s="1433">
        <v>183</v>
      </c>
      <c r="GF1" s="1433">
        <v>184</v>
      </c>
      <c r="GG1" s="1433">
        <v>185</v>
      </c>
      <c r="GH1" s="1433">
        <v>186</v>
      </c>
      <c r="GI1" s="1433">
        <v>187</v>
      </c>
      <c r="GJ1" s="1433">
        <v>188</v>
      </c>
      <c r="GK1" s="1433">
        <v>189</v>
      </c>
      <c r="GL1" s="1433">
        <v>190</v>
      </c>
      <c r="GM1" s="1433">
        <v>191</v>
      </c>
      <c r="GN1" s="1433">
        <v>192</v>
      </c>
      <c r="GO1" s="1433">
        <v>193</v>
      </c>
      <c r="GP1" s="1433">
        <v>194</v>
      </c>
      <c r="GQ1" s="1433">
        <v>195</v>
      </c>
      <c r="GR1" s="1433">
        <v>196</v>
      </c>
      <c r="GS1" s="1433">
        <v>197</v>
      </c>
      <c r="GT1" s="1433">
        <v>198</v>
      </c>
      <c r="GU1" s="1433">
        <v>199</v>
      </c>
      <c r="GV1" s="1433">
        <v>200</v>
      </c>
      <c r="GW1" s="1433">
        <v>201</v>
      </c>
      <c r="GX1" s="1433">
        <v>202</v>
      </c>
      <c r="GY1" s="1433">
        <v>203</v>
      </c>
      <c r="GZ1" s="1433">
        <v>204</v>
      </c>
      <c r="HA1" s="1433">
        <v>205</v>
      </c>
      <c r="HB1" s="1433">
        <v>206</v>
      </c>
      <c r="HC1" s="1433">
        <v>207</v>
      </c>
      <c r="HD1" s="1433">
        <v>208</v>
      </c>
      <c r="HE1" s="1433">
        <v>209</v>
      </c>
      <c r="HF1" s="1433">
        <v>210</v>
      </c>
      <c r="HG1" s="1433">
        <v>211</v>
      </c>
      <c r="HH1" s="1433">
        <v>212</v>
      </c>
      <c r="HI1" s="1433">
        <v>213</v>
      </c>
      <c r="HJ1" s="1433">
        <v>214</v>
      </c>
      <c r="HK1" s="1433">
        <v>215</v>
      </c>
      <c r="HL1" s="1433">
        <v>216</v>
      </c>
      <c r="HM1" s="1433">
        <v>217</v>
      </c>
      <c r="HN1" s="1433">
        <v>218</v>
      </c>
      <c r="HO1" s="1433">
        <v>219</v>
      </c>
      <c r="HP1" s="1433">
        <v>220</v>
      </c>
      <c r="HQ1" s="1433">
        <v>221</v>
      </c>
      <c r="HR1" s="1433">
        <v>222</v>
      </c>
      <c r="HS1" s="1433">
        <v>223</v>
      </c>
      <c r="HT1" s="1433">
        <v>224</v>
      </c>
      <c r="HU1" s="1433">
        <v>225</v>
      </c>
      <c r="HV1" s="1433">
        <v>226</v>
      </c>
      <c r="HW1" s="1433">
        <v>227</v>
      </c>
      <c r="HX1" s="1433">
        <v>228</v>
      </c>
      <c r="HY1" s="1433">
        <v>229</v>
      </c>
      <c r="HZ1" s="1433">
        <v>230</v>
      </c>
      <c r="IA1" s="1433">
        <v>231</v>
      </c>
      <c r="IB1" s="1433">
        <v>232</v>
      </c>
      <c r="IC1" s="1433">
        <v>233</v>
      </c>
      <c r="ID1" s="1433">
        <v>234</v>
      </c>
      <c r="IE1" s="1433">
        <v>235</v>
      </c>
      <c r="IF1" s="1433">
        <v>236</v>
      </c>
      <c r="IG1" s="1433">
        <v>237</v>
      </c>
      <c r="IH1" s="1433">
        <v>238</v>
      </c>
      <c r="II1" s="1433">
        <v>239</v>
      </c>
      <c r="IJ1" s="1433">
        <v>240</v>
      </c>
      <c r="IK1" s="1433">
        <v>241</v>
      </c>
      <c r="IL1" s="1433">
        <v>242</v>
      </c>
      <c r="IM1" s="1433">
        <v>243</v>
      </c>
      <c r="IN1" s="1433">
        <v>244</v>
      </c>
      <c r="IO1" s="1433">
        <v>245</v>
      </c>
      <c r="IP1" s="1433">
        <v>246</v>
      </c>
      <c r="IQ1" s="1433">
        <v>247</v>
      </c>
      <c r="IR1" s="1433">
        <v>248</v>
      </c>
      <c r="IS1" s="1433">
        <v>249</v>
      </c>
      <c r="IT1" s="1433">
        <v>250</v>
      </c>
      <c r="IU1" s="1433">
        <v>251</v>
      </c>
      <c r="IV1" s="1433">
        <v>252</v>
      </c>
      <c r="IW1" s="1433">
        <v>253</v>
      </c>
      <c r="IX1" s="1433">
        <v>254</v>
      </c>
      <c r="IY1" s="1433">
        <v>255</v>
      </c>
      <c r="IZ1" s="1433">
        <v>256</v>
      </c>
      <c r="JA1" s="1433">
        <v>257</v>
      </c>
      <c r="JB1" s="1433">
        <v>258</v>
      </c>
      <c r="JC1" s="1433">
        <v>259</v>
      </c>
      <c r="JD1" s="1433">
        <v>260</v>
      </c>
      <c r="JE1" s="1433">
        <v>261</v>
      </c>
      <c r="JF1" s="1433">
        <v>262</v>
      </c>
      <c r="JG1" s="1433">
        <v>263</v>
      </c>
      <c r="JH1" s="1433">
        <v>264</v>
      </c>
      <c r="JI1" s="1433">
        <v>265</v>
      </c>
      <c r="JJ1" s="1433">
        <v>266</v>
      </c>
      <c r="JK1" s="1433">
        <v>267</v>
      </c>
      <c r="JL1" s="1433">
        <v>268</v>
      </c>
      <c r="JM1" s="1433">
        <v>269</v>
      </c>
      <c r="JN1" s="1433">
        <v>270</v>
      </c>
      <c r="JO1" s="1433">
        <v>271</v>
      </c>
      <c r="JP1" s="1433">
        <v>272</v>
      </c>
      <c r="JQ1" s="1433">
        <v>273</v>
      </c>
      <c r="JR1" s="351"/>
      <c r="JS1" s="1400" t="s">
        <v>2198</v>
      </c>
      <c r="JT1" s="360" t="s">
        <v>2199</v>
      </c>
    </row>
    <row r="2" spans="1:280" x14ac:dyDescent="0.25">
      <c r="A2" s="1367" t="s">
        <v>2201</v>
      </c>
      <c r="B2" s="406" t="str">
        <f>"selected "&amp;SE_A_IND-1</f>
        <v>selected 168</v>
      </c>
      <c r="C2" s="314" t="s">
        <v>24</v>
      </c>
      <c r="D2" s="594"/>
      <c r="E2" s="418">
        <v>1</v>
      </c>
      <c r="F2" s="418">
        <v>2</v>
      </c>
      <c r="G2" s="418">
        <v>3</v>
      </c>
      <c r="H2" s="418">
        <v>4</v>
      </c>
      <c r="I2" s="418">
        <v>5</v>
      </c>
      <c r="J2" s="418">
        <v>6</v>
      </c>
      <c r="K2" s="418">
        <v>7</v>
      </c>
      <c r="L2" s="418">
        <v>8</v>
      </c>
      <c r="M2" s="418">
        <v>9</v>
      </c>
      <c r="N2" s="418">
        <v>10</v>
      </c>
      <c r="O2" s="452">
        <v>11</v>
      </c>
      <c r="P2" s="452">
        <v>12</v>
      </c>
      <c r="Q2" s="452">
        <v>13</v>
      </c>
      <c r="R2" s="452">
        <v>14</v>
      </c>
      <c r="S2" s="452">
        <v>15</v>
      </c>
      <c r="T2" s="452">
        <v>16</v>
      </c>
      <c r="U2" s="452">
        <v>17</v>
      </c>
      <c r="V2" s="452">
        <v>18</v>
      </c>
      <c r="W2" s="452">
        <v>19</v>
      </c>
      <c r="X2" s="452">
        <v>20</v>
      </c>
      <c r="Y2" s="452">
        <v>21</v>
      </c>
      <c r="Z2" s="418">
        <v>22</v>
      </c>
      <c r="AA2" s="452">
        <v>23</v>
      </c>
      <c r="AB2" s="452">
        <v>24</v>
      </c>
      <c r="AC2" s="418">
        <v>25</v>
      </c>
      <c r="AD2" s="418">
        <v>26</v>
      </c>
      <c r="AE2" s="418">
        <v>27</v>
      </c>
      <c r="AF2" s="418">
        <v>28</v>
      </c>
      <c r="AG2" s="418">
        <v>29</v>
      </c>
      <c r="AH2" s="418">
        <v>30</v>
      </c>
      <c r="AI2" s="418">
        <v>31</v>
      </c>
      <c r="AJ2" s="418">
        <v>32</v>
      </c>
      <c r="AK2" s="418">
        <v>33</v>
      </c>
      <c r="AL2" s="418">
        <v>34</v>
      </c>
      <c r="AM2" s="418">
        <v>35</v>
      </c>
      <c r="AN2" s="418">
        <v>36</v>
      </c>
      <c r="AO2" s="418">
        <v>37</v>
      </c>
      <c r="AP2" s="418">
        <v>38</v>
      </c>
      <c r="AQ2" s="418">
        <v>39</v>
      </c>
      <c r="AR2" s="418">
        <v>40</v>
      </c>
      <c r="AS2" s="418">
        <v>41</v>
      </c>
      <c r="AT2" s="418">
        <v>42</v>
      </c>
      <c r="AU2" s="418">
        <v>43</v>
      </c>
      <c r="AV2" s="418">
        <v>44</v>
      </c>
      <c r="AW2" s="418">
        <v>45</v>
      </c>
      <c r="AX2" s="418">
        <v>46</v>
      </c>
      <c r="AY2" s="418">
        <v>47</v>
      </c>
      <c r="AZ2" s="418">
        <v>48</v>
      </c>
      <c r="BA2" s="418">
        <v>49</v>
      </c>
      <c r="BB2" s="418">
        <v>50</v>
      </c>
      <c r="BC2" s="418">
        <v>51</v>
      </c>
      <c r="BD2" s="418">
        <v>52</v>
      </c>
      <c r="BE2" s="418">
        <v>53</v>
      </c>
      <c r="BF2" s="418">
        <v>54</v>
      </c>
      <c r="BG2" s="418">
        <v>55</v>
      </c>
      <c r="BH2" s="418">
        <v>56</v>
      </c>
      <c r="BI2" s="418">
        <v>57</v>
      </c>
      <c r="BJ2" s="418">
        <v>58</v>
      </c>
      <c r="BK2" s="418">
        <v>59</v>
      </c>
      <c r="BL2" s="418">
        <v>60</v>
      </c>
      <c r="BM2" s="418">
        <v>61</v>
      </c>
      <c r="BN2" s="418">
        <v>62</v>
      </c>
      <c r="BO2" s="418">
        <v>63</v>
      </c>
      <c r="BP2" s="418">
        <v>64</v>
      </c>
      <c r="BQ2" s="418">
        <v>65</v>
      </c>
      <c r="BR2" s="418">
        <v>66</v>
      </c>
      <c r="BS2" s="418">
        <v>67</v>
      </c>
      <c r="BT2" s="418">
        <v>68</v>
      </c>
      <c r="BU2" s="418">
        <v>69</v>
      </c>
      <c r="BV2" s="418">
        <v>70</v>
      </c>
      <c r="BW2" s="418">
        <v>71</v>
      </c>
      <c r="BX2" s="418">
        <v>72</v>
      </c>
      <c r="BY2" s="418">
        <v>73</v>
      </c>
      <c r="BZ2" s="418">
        <v>74</v>
      </c>
      <c r="CA2" s="418">
        <v>75</v>
      </c>
      <c r="CB2" s="418">
        <v>76</v>
      </c>
      <c r="CC2" s="418">
        <v>77</v>
      </c>
      <c r="CD2" s="418">
        <v>78</v>
      </c>
      <c r="CE2" s="418">
        <v>79</v>
      </c>
      <c r="CF2" s="418">
        <v>80</v>
      </c>
      <c r="CG2" s="418">
        <v>81</v>
      </c>
      <c r="CH2" s="418">
        <v>82</v>
      </c>
      <c r="CI2" s="418">
        <v>83</v>
      </c>
      <c r="CJ2" s="418">
        <v>84</v>
      </c>
      <c r="CK2" s="418">
        <v>85</v>
      </c>
      <c r="CL2" s="418">
        <v>86</v>
      </c>
      <c r="CM2" s="418">
        <v>87</v>
      </c>
      <c r="CN2" s="418">
        <v>88</v>
      </c>
      <c r="CO2" s="418">
        <v>89</v>
      </c>
      <c r="CP2" s="418">
        <v>90</v>
      </c>
      <c r="CQ2" s="418">
        <v>91</v>
      </c>
      <c r="CR2" s="418">
        <v>92</v>
      </c>
      <c r="CS2" s="418">
        <v>93</v>
      </c>
      <c r="CT2" s="418">
        <v>94</v>
      </c>
      <c r="CU2" s="418">
        <v>95</v>
      </c>
      <c r="CV2" s="418">
        <v>96</v>
      </c>
      <c r="CW2" s="418">
        <v>97</v>
      </c>
      <c r="CX2" s="418">
        <v>98</v>
      </c>
      <c r="CY2" s="418">
        <v>99</v>
      </c>
      <c r="CZ2" s="418">
        <v>100</v>
      </c>
      <c r="DA2" s="418">
        <v>101</v>
      </c>
      <c r="DB2" s="418">
        <v>102</v>
      </c>
      <c r="DC2" s="418">
        <v>103</v>
      </c>
      <c r="DD2" s="418">
        <v>104</v>
      </c>
      <c r="DE2" s="418">
        <v>105</v>
      </c>
      <c r="DF2" s="418">
        <v>106</v>
      </c>
      <c r="DG2" s="418">
        <v>107</v>
      </c>
      <c r="DH2" s="418">
        <v>108</v>
      </c>
      <c r="DI2" s="418">
        <v>109</v>
      </c>
      <c r="DJ2" s="418">
        <v>110</v>
      </c>
      <c r="DK2" s="418">
        <v>111</v>
      </c>
      <c r="DL2" s="418">
        <v>112</v>
      </c>
      <c r="DM2" s="418">
        <v>113</v>
      </c>
      <c r="DN2" s="418">
        <v>114</v>
      </c>
      <c r="DO2" s="418">
        <v>115</v>
      </c>
      <c r="DP2" s="418">
        <v>116</v>
      </c>
      <c r="DQ2" s="418">
        <v>117</v>
      </c>
      <c r="DR2" s="418">
        <v>118</v>
      </c>
      <c r="DS2" s="418">
        <v>119</v>
      </c>
      <c r="DT2" s="418">
        <v>120</v>
      </c>
      <c r="DU2" s="418">
        <v>121</v>
      </c>
      <c r="DV2" s="418">
        <v>122</v>
      </c>
      <c r="DW2" s="418">
        <v>123</v>
      </c>
      <c r="DX2" s="418">
        <v>124</v>
      </c>
      <c r="DY2" s="418">
        <v>125</v>
      </c>
      <c r="DZ2" s="418">
        <v>126</v>
      </c>
      <c r="EA2" s="418">
        <v>127</v>
      </c>
      <c r="EB2" s="418">
        <v>128</v>
      </c>
      <c r="EC2" s="418">
        <v>129</v>
      </c>
      <c r="ED2" s="418">
        <v>130</v>
      </c>
      <c r="EE2" s="418">
        <v>131</v>
      </c>
      <c r="EF2" s="418">
        <v>132</v>
      </c>
      <c r="EG2" s="418">
        <v>133</v>
      </c>
      <c r="EH2" s="418">
        <v>134</v>
      </c>
      <c r="EI2" s="418">
        <v>135</v>
      </c>
      <c r="EJ2" s="418">
        <v>136</v>
      </c>
      <c r="EK2" s="418">
        <v>137</v>
      </c>
      <c r="EL2" s="418">
        <v>138</v>
      </c>
      <c r="EM2" s="418">
        <v>139</v>
      </c>
      <c r="EN2" s="418">
        <v>140</v>
      </c>
      <c r="EO2" s="418">
        <v>141</v>
      </c>
      <c r="EP2" s="418">
        <v>142</v>
      </c>
      <c r="EQ2" s="418">
        <v>143</v>
      </c>
      <c r="ER2" s="418">
        <v>144</v>
      </c>
      <c r="ES2" s="418">
        <v>145</v>
      </c>
      <c r="ET2" s="418">
        <v>146</v>
      </c>
      <c r="EU2" s="418">
        <v>147</v>
      </c>
      <c r="EV2" s="418">
        <v>148</v>
      </c>
      <c r="EW2" s="418">
        <v>149</v>
      </c>
      <c r="EX2" s="418">
        <v>150</v>
      </c>
      <c r="EY2" s="418">
        <v>151</v>
      </c>
      <c r="EZ2" s="418">
        <v>152</v>
      </c>
      <c r="FA2" s="418">
        <v>153</v>
      </c>
      <c r="FB2" s="418">
        <v>154</v>
      </c>
      <c r="FC2" s="418">
        <v>155</v>
      </c>
      <c r="FD2" s="418">
        <v>156</v>
      </c>
      <c r="FE2" s="418">
        <v>157</v>
      </c>
      <c r="FF2" s="418">
        <v>158</v>
      </c>
      <c r="FG2" s="418">
        <v>159</v>
      </c>
      <c r="FH2" s="418">
        <v>160</v>
      </c>
      <c r="FI2" s="418">
        <v>161</v>
      </c>
      <c r="FJ2" s="418">
        <v>162</v>
      </c>
      <c r="FK2" s="418">
        <v>163</v>
      </c>
      <c r="FL2" s="418">
        <v>164</v>
      </c>
      <c r="FM2" s="418">
        <v>165</v>
      </c>
      <c r="FN2" s="418">
        <v>166</v>
      </c>
      <c r="FO2" s="418">
        <v>167</v>
      </c>
      <c r="FP2" s="418">
        <v>168</v>
      </c>
      <c r="FQ2" s="418">
        <v>169</v>
      </c>
      <c r="FR2" s="418">
        <v>170</v>
      </c>
      <c r="FS2" s="418">
        <v>171</v>
      </c>
      <c r="FT2" s="418">
        <v>172</v>
      </c>
      <c r="FU2" s="418">
        <v>173</v>
      </c>
      <c r="FV2" s="418">
        <v>174</v>
      </c>
      <c r="FW2" s="418">
        <v>175</v>
      </c>
      <c r="FX2" s="418">
        <v>176</v>
      </c>
      <c r="FY2" s="418">
        <v>177</v>
      </c>
      <c r="FZ2" s="418">
        <v>178</v>
      </c>
      <c r="GA2" s="418">
        <v>179</v>
      </c>
      <c r="GB2" s="418">
        <v>180</v>
      </c>
      <c r="GC2" s="418">
        <v>181</v>
      </c>
      <c r="GD2" s="418">
        <v>182</v>
      </c>
      <c r="GE2" s="418">
        <v>183</v>
      </c>
      <c r="GF2" s="418">
        <v>184</v>
      </c>
      <c r="GG2" s="418">
        <v>185</v>
      </c>
      <c r="GH2" s="418">
        <v>186</v>
      </c>
      <c r="GI2" s="418">
        <v>187</v>
      </c>
      <c r="GJ2" s="418">
        <v>188</v>
      </c>
      <c r="GK2" s="418">
        <v>189</v>
      </c>
      <c r="GL2" s="418">
        <v>190</v>
      </c>
      <c r="GM2" s="418">
        <v>191</v>
      </c>
      <c r="GN2" s="418">
        <v>192</v>
      </c>
      <c r="GO2" s="418">
        <v>193</v>
      </c>
      <c r="GP2" s="418">
        <v>194</v>
      </c>
      <c r="GQ2" s="418">
        <v>195</v>
      </c>
      <c r="GR2" s="418">
        <v>196</v>
      </c>
      <c r="GS2" s="418">
        <v>197</v>
      </c>
      <c r="GT2" s="418">
        <v>198</v>
      </c>
      <c r="GU2" s="418">
        <v>199</v>
      </c>
      <c r="GV2" s="418">
        <v>200</v>
      </c>
      <c r="GW2" s="418">
        <v>201</v>
      </c>
      <c r="GX2" s="418">
        <v>202</v>
      </c>
      <c r="GY2" s="418">
        <v>203</v>
      </c>
      <c r="GZ2" s="418">
        <v>204</v>
      </c>
      <c r="HA2" s="418">
        <v>205</v>
      </c>
      <c r="HB2" s="418">
        <v>206</v>
      </c>
      <c r="HC2" s="418">
        <v>207</v>
      </c>
      <c r="HD2" s="418">
        <v>208</v>
      </c>
      <c r="HE2" s="418">
        <v>209</v>
      </c>
      <c r="HF2" s="418">
        <v>210</v>
      </c>
      <c r="HG2" s="418">
        <v>211</v>
      </c>
      <c r="HH2" s="418">
        <v>212</v>
      </c>
      <c r="HI2" s="418">
        <v>213</v>
      </c>
      <c r="HJ2" s="418">
        <v>214</v>
      </c>
      <c r="HK2" s="418">
        <v>215</v>
      </c>
      <c r="HL2" s="418">
        <v>216</v>
      </c>
      <c r="HM2" s="418">
        <v>217</v>
      </c>
      <c r="HN2" s="418">
        <v>218</v>
      </c>
      <c r="HO2" s="418">
        <v>219</v>
      </c>
      <c r="HP2" s="418">
        <v>220</v>
      </c>
      <c r="HQ2" s="418">
        <v>221</v>
      </c>
      <c r="HR2" s="418">
        <v>222</v>
      </c>
      <c r="HS2" s="418">
        <v>223</v>
      </c>
      <c r="HT2" s="418">
        <v>224</v>
      </c>
      <c r="HU2" s="418">
        <v>225</v>
      </c>
      <c r="HV2" s="418">
        <v>226</v>
      </c>
      <c r="HW2" s="418">
        <v>227</v>
      </c>
      <c r="HX2" s="418">
        <v>228</v>
      </c>
      <c r="HY2" s="418">
        <v>229</v>
      </c>
      <c r="HZ2" s="418">
        <v>230</v>
      </c>
      <c r="IA2" s="418">
        <v>231</v>
      </c>
      <c r="IB2" s="418">
        <v>232</v>
      </c>
      <c r="IC2" s="418">
        <v>233</v>
      </c>
      <c r="ID2" s="418">
        <v>234</v>
      </c>
      <c r="IE2" s="418">
        <v>235</v>
      </c>
      <c r="IF2" s="418">
        <v>236</v>
      </c>
      <c r="IG2" s="418">
        <v>237</v>
      </c>
      <c r="IH2" s="418">
        <v>238</v>
      </c>
      <c r="II2" s="418">
        <v>239</v>
      </c>
      <c r="IJ2" s="418">
        <v>240</v>
      </c>
      <c r="IK2" s="418">
        <v>241</v>
      </c>
      <c r="IL2" s="418">
        <v>242</v>
      </c>
      <c r="IM2" s="418">
        <v>243</v>
      </c>
      <c r="IN2" s="418">
        <v>244</v>
      </c>
      <c r="IO2" s="418">
        <v>245</v>
      </c>
      <c r="IP2" s="418">
        <v>246</v>
      </c>
      <c r="IQ2" s="418">
        <v>247</v>
      </c>
      <c r="IR2" s="418">
        <v>248</v>
      </c>
      <c r="IS2" s="418">
        <v>249</v>
      </c>
      <c r="IT2" s="418">
        <v>250</v>
      </c>
      <c r="IU2" s="418">
        <v>251</v>
      </c>
      <c r="IV2" s="418">
        <v>252</v>
      </c>
      <c r="IW2" s="418">
        <v>253</v>
      </c>
      <c r="IX2" s="418">
        <v>254</v>
      </c>
      <c r="IY2" s="418">
        <v>255</v>
      </c>
      <c r="IZ2" s="418">
        <v>256</v>
      </c>
      <c r="JA2" s="418">
        <v>257</v>
      </c>
      <c r="JB2" s="418">
        <v>258</v>
      </c>
      <c r="JC2" s="418">
        <v>259</v>
      </c>
      <c r="JD2" s="418">
        <v>260</v>
      </c>
      <c r="JE2" s="418">
        <v>261</v>
      </c>
      <c r="JF2" s="418">
        <v>262</v>
      </c>
      <c r="JG2" s="418">
        <v>263</v>
      </c>
      <c r="JH2" s="418">
        <v>264</v>
      </c>
      <c r="JI2" s="418">
        <v>265</v>
      </c>
      <c r="JJ2" s="418">
        <v>266</v>
      </c>
      <c r="JK2" s="418">
        <v>267</v>
      </c>
      <c r="JL2" s="418">
        <v>268</v>
      </c>
      <c r="JM2" s="418">
        <v>269</v>
      </c>
      <c r="JN2" s="418">
        <v>270</v>
      </c>
      <c r="JO2" s="418">
        <v>271</v>
      </c>
      <c r="JP2" s="418">
        <v>272</v>
      </c>
      <c r="JQ2" s="418">
        <v>273</v>
      </c>
      <c r="JR2" s="351"/>
      <c r="JS2" s="1400" t="s">
        <v>2198</v>
      </c>
      <c r="JT2" s="360" t="s">
        <v>2199</v>
      </c>
    </row>
    <row r="3" spans="1:280" ht="23" x14ac:dyDescent="0.25">
      <c r="A3" s="1367">
        <v>2</v>
      </c>
      <c r="B3" s="1411" t="str">
        <f t="shared" ref="B3:B13" si="0">IF(SE_A_IND&gt;1,IF(HLOOKUP(SE_A_IND-1,SSE_RANGE,A3)="","",HLOOKUP(SE_A_IND-1,SSE_RANGE,A3)),"")</f>
        <v>caterer</v>
      </c>
      <c r="C3" s="1508" t="s">
        <v>2887</v>
      </c>
      <c r="D3" s="1436" t="s">
        <v>2888</v>
      </c>
      <c r="E3" s="1486"/>
      <c r="F3" s="1461"/>
      <c r="G3" s="1461"/>
      <c r="H3" s="1461"/>
      <c r="I3" s="1461"/>
      <c r="J3" s="1461"/>
      <c r="K3" s="1461"/>
      <c r="L3" s="1461"/>
      <c r="M3" s="1461" t="s">
        <v>2889</v>
      </c>
      <c r="N3" s="1486"/>
      <c r="O3" s="1486"/>
      <c r="P3" s="1416"/>
      <c r="Q3" s="1410" t="s">
        <v>2890</v>
      </c>
      <c r="R3" s="1272"/>
      <c r="S3" s="1486"/>
      <c r="T3" s="1486"/>
      <c r="U3" s="1486"/>
      <c r="V3" s="1486"/>
      <c r="W3" s="1486"/>
      <c r="X3" s="1486"/>
      <c r="Y3" s="1486"/>
      <c r="Z3" s="1461" t="s">
        <v>2891</v>
      </c>
      <c r="AA3" s="1486"/>
      <c r="AB3" s="1486"/>
      <c r="AC3" s="1461" t="s">
        <v>2892</v>
      </c>
      <c r="AD3" s="1486"/>
      <c r="AE3" s="1486"/>
      <c r="AF3" s="1486"/>
      <c r="AG3" s="1486"/>
      <c r="AH3" s="1486"/>
      <c r="AI3" s="1414" t="s">
        <v>2893</v>
      </c>
      <c r="AJ3" s="1486"/>
      <c r="AK3" s="1486"/>
      <c r="AL3" s="1486"/>
      <c r="AM3" s="1486"/>
      <c r="AN3" s="1486"/>
      <c r="AO3" s="1414"/>
      <c r="AP3" s="1414"/>
      <c r="AQ3" s="1414"/>
      <c r="AR3" s="1414"/>
      <c r="AS3" s="1414"/>
      <c r="AT3" s="1461" t="s">
        <v>2893</v>
      </c>
      <c r="AU3" s="1414"/>
      <c r="AV3" s="1486" t="s">
        <v>2894</v>
      </c>
      <c r="AW3" s="1414"/>
      <c r="AX3" s="1414"/>
      <c r="AY3" s="1414"/>
      <c r="AZ3" s="1414"/>
      <c r="BA3" s="1414"/>
      <c r="BB3" s="1381"/>
      <c r="BC3" s="1414"/>
      <c r="BD3" s="1461" t="s">
        <v>2893</v>
      </c>
      <c r="BE3" s="1461" t="s">
        <v>2891</v>
      </c>
      <c r="BF3" s="1414"/>
      <c r="BG3" s="1414"/>
      <c r="BH3" s="1461"/>
      <c r="BI3" s="1461"/>
      <c r="BJ3" s="1414"/>
      <c r="BK3" s="1414"/>
      <c r="BL3" s="1414"/>
      <c r="BM3" s="1414"/>
      <c r="BN3" s="1414"/>
      <c r="BO3" s="1414"/>
      <c r="BP3" s="1414"/>
      <c r="BQ3" s="1414"/>
      <c r="BR3" s="1414"/>
      <c r="BS3" s="1414"/>
      <c r="BT3" s="1414"/>
      <c r="BU3" s="1414"/>
      <c r="BV3" s="1461" t="s">
        <v>2889</v>
      </c>
      <c r="BW3" s="1414"/>
      <c r="BX3" s="1414"/>
      <c r="BY3" s="1414"/>
      <c r="BZ3" s="1414"/>
      <c r="CA3" s="1414"/>
      <c r="CB3" s="1414" t="s">
        <v>2889</v>
      </c>
      <c r="CC3" s="1414"/>
      <c r="CD3" s="1410"/>
      <c r="CE3" s="1414"/>
      <c r="CF3" s="1414"/>
      <c r="CG3" s="1414"/>
      <c r="CH3" s="1414"/>
      <c r="CI3" s="1462"/>
      <c r="CJ3" s="1462" t="s">
        <v>2906</v>
      </c>
      <c r="CK3" s="1414"/>
      <c r="CL3" s="1414"/>
      <c r="CM3" s="1414"/>
      <c r="CN3" s="1414"/>
      <c r="CO3" s="1461" t="s">
        <v>2893</v>
      </c>
      <c r="CP3" s="1461" t="s">
        <v>2889</v>
      </c>
      <c r="CQ3" s="1461"/>
      <c r="CR3" s="1414"/>
      <c r="CS3" s="1414"/>
      <c r="CT3" s="1414"/>
      <c r="CU3" s="1414"/>
      <c r="CV3" s="1414"/>
      <c r="CW3" s="1414"/>
      <c r="CX3" s="1414"/>
      <c r="CY3" s="1414"/>
      <c r="CZ3" s="1414"/>
      <c r="DA3" s="1414"/>
      <c r="DB3" s="1414"/>
      <c r="DC3" s="1461" t="s">
        <v>2895</v>
      </c>
      <c r="DD3" s="1461" t="s">
        <v>2891</v>
      </c>
      <c r="DE3" s="1414"/>
      <c r="DF3" s="1414"/>
      <c r="DG3" s="1414"/>
      <c r="DH3" s="1414"/>
      <c r="DI3" s="1414"/>
      <c r="DJ3" s="1414"/>
      <c r="DK3" s="1414"/>
      <c r="DL3" s="1414"/>
      <c r="DM3" s="1414"/>
      <c r="DN3" s="1461" t="s">
        <v>2891</v>
      </c>
      <c r="DO3" s="1414" t="s">
        <v>2896</v>
      </c>
      <c r="DP3" s="1414"/>
      <c r="DQ3" s="1381"/>
      <c r="DS3" s="1414" t="s">
        <v>2896</v>
      </c>
      <c r="DT3" s="1414"/>
      <c r="DU3" s="1414"/>
      <c r="DV3" s="1414" t="s">
        <v>2897</v>
      </c>
      <c r="DW3" s="1414"/>
      <c r="DX3" s="1462"/>
      <c r="DY3" s="1414"/>
      <c r="DZ3" s="1414"/>
      <c r="EA3" s="1464" t="s">
        <v>2898</v>
      </c>
      <c r="EB3" s="1414"/>
      <c r="EC3" s="1414"/>
      <c r="ED3" s="1461" t="s">
        <v>2899</v>
      </c>
      <c r="EE3" s="1461" t="s">
        <v>2900</v>
      </c>
      <c r="EF3" s="1414"/>
      <c r="EG3" s="1414"/>
      <c r="EH3" s="1414"/>
      <c r="EI3" s="1414"/>
      <c r="EJ3" s="1414"/>
      <c r="EK3" s="1414"/>
      <c r="EL3" s="1476" t="s">
        <v>2901</v>
      </c>
      <c r="EM3" s="1476" t="s">
        <v>2902</v>
      </c>
      <c r="EN3" s="1462"/>
      <c r="EO3" s="1414"/>
      <c r="EP3" s="1414"/>
      <c r="EQ3" s="1414"/>
      <c r="ER3" s="1414"/>
      <c r="EU3" s="1414"/>
      <c r="EV3" s="1414"/>
      <c r="EW3" s="1414"/>
      <c r="EX3" s="1414"/>
      <c r="EY3" s="1414"/>
      <c r="EZ3" s="1414"/>
      <c r="FA3" s="1414"/>
      <c r="FB3" s="1414"/>
      <c r="FC3" s="1414"/>
      <c r="FD3" s="1464" t="s">
        <v>2903</v>
      </c>
      <c r="FE3" s="1461" t="s">
        <v>2889</v>
      </c>
      <c r="FF3" s="1414"/>
      <c r="FG3" s="1461" t="s">
        <v>2889</v>
      </c>
      <c r="FH3" s="1461" t="s">
        <v>2889</v>
      </c>
      <c r="FI3" s="1414"/>
      <c r="FJ3" s="1414"/>
      <c r="FK3" s="1464" t="s">
        <v>2904</v>
      </c>
      <c r="FL3" s="1414"/>
      <c r="FM3" s="1414"/>
      <c r="FN3" s="1414"/>
      <c r="FO3" s="1414"/>
      <c r="FP3" s="1414" t="s">
        <v>2905</v>
      </c>
      <c r="FQ3" s="1414"/>
      <c r="FR3" s="1414"/>
      <c r="FS3" s="1414"/>
      <c r="FT3" s="1414"/>
      <c r="FU3" s="1414"/>
      <c r="FV3" s="1414"/>
      <c r="FW3" s="1414"/>
      <c r="FX3" s="1414"/>
      <c r="FY3" s="1414"/>
      <c r="FZ3" s="1414"/>
      <c r="GA3" s="1414"/>
      <c r="GB3" s="1414"/>
      <c r="GC3" s="1414"/>
      <c r="GD3" s="1414"/>
      <c r="GE3" s="1414"/>
      <c r="GF3" s="1414"/>
      <c r="GG3" s="1414"/>
      <c r="GH3" s="1414"/>
      <c r="GI3" s="1461" t="s">
        <v>2889</v>
      </c>
      <c r="GJ3" s="1414"/>
      <c r="GK3" s="1414"/>
      <c r="GL3" s="1414"/>
      <c r="GM3" s="1414"/>
      <c r="GN3" s="1461"/>
      <c r="GO3" s="1486" t="s">
        <v>2894</v>
      </c>
      <c r="GP3" s="1414"/>
      <c r="GQ3" s="1486" t="s">
        <v>2894</v>
      </c>
      <c r="GR3" s="1414"/>
      <c r="GS3" s="1414"/>
      <c r="GT3" s="1414"/>
      <c r="GU3" s="1414"/>
      <c r="GV3" s="1414"/>
      <c r="GW3" s="1461" t="s">
        <v>2891</v>
      </c>
      <c r="GX3" s="1414"/>
      <c r="GY3" s="1414"/>
      <c r="GZ3" s="1414"/>
      <c r="HA3" s="1414"/>
      <c r="HB3" s="1461" t="s">
        <v>2893</v>
      </c>
      <c r="HC3" s="1414"/>
      <c r="HD3" s="1414"/>
      <c r="HE3" s="1414"/>
      <c r="HF3" s="1414"/>
      <c r="HG3" s="1414"/>
      <c r="HH3" s="1414"/>
      <c r="HI3" s="1414"/>
      <c r="HJ3" s="1414"/>
      <c r="HK3" s="1414"/>
      <c r="HL3" s="1414"/>
      <c r="HM3" s="1414"/>
      <c r="HN3" s="1414"/>
      <c r="HO3" s="1414"/>
      <c r="HP3" s="1414"/>
      <c r="HQ3" s="1414"/>
      <c r="HR3" s="1414"/>
      <c r="HS3" s="1414"/>
      <c r="HT3" s="1461" t="s">
        <v>2889</v>
      </c>
      <c r="HU3" s="1461" t="s">
        <v>2891</v>
      </c>
      <c r="HV3" s="1461" t="s">
        <v>2889</v>
      </c>
      <c r="HW3" s="1414"/>
      <c r="HX3" s="1414"/>
      <c r="HY3" s="1414"/>
      <c r="HZ3" s="1414"/>
      <c r="IA3" s="1414"/>
      <c r="IB3" s="1414"/>
      <c r="IC3" s="1414"/>
      <c r="ID3" s="1414"/>
      <c r="IE3" s="1414"/>
      <c r="IF3" s="1414"/>
      <c r="IG3" s="1414"/>
      <c r="IH3" s="1414"/>
      <c r="II3" s="1414"/>
      <c r="IJ3" s="1414"/>
      <c r="IK3" s="1414"/>
      <c r="IL3" s="1414"/>
      <c r="IM3" s="1414"/>
      <c r="IN3" s="1414"/>
      <c r="IO3" s="1381" t="s">
        <v>2906</v>
      </c>
      <c r="IP3" s="1414"/>
      <c r="IQ3" s="1414"/>
      <c r="IR3" s="1414"/>
      <c r="IS3" s="1414"/>
      <c r="IT3" s="1414"/>
      <c r="IU3" s="1414"/>
      <c r="IV3" s="1414"/>
      <c r="IW3" s="1414"/>
      <c r="IX3" s="1414"/>
      <c r="IY3" s="1464"/>
      <c r="IZ3" s="1414"/>
      <c r="JA3" s="1414"/>
      <c r="JB3" s="1414"/>
      <c r="JC3" s="1414"/>
      <c r="JD3" s="1461" t="s">
        <v>2889</v>
      </c>
      <c r="JE3" s="1414"/>
      <c r="JF3" s="1414"/>
      <c r="JG3" s="1462" t="s">
        <v>2889</v>
      </c>
      <c r="JH3" s="1462" t="s">
        <v>2889</v>
      </c>
      <c r="JI3" s="1414"/>
      <c r="JJ3" s="1414"/>
      <c r="JK3" s="1414"/>
      <c r="JL3" s="1462" t="s">
        <v>2889</v>
      </c>
      <c r="JM3" s="1414"/>
      <c r="JN3" s="1414"/>
      <c r="JO3" s="1414"/>
      <c r="JP3" s="1461" t="s">
        <v>2907</v>
      </c>
      <c r="JQ3" s="1415"/>
      <c r="JR3" s="351"/>
      <c r="JS3" s="1400"/>
      <c r="JT3" s="1400" t="s">
        <v>2291</v>
      </c>
    </row>
    <row r="4" spans="1:280" x14ac:dyDescent="0.25">
      <c r="A4" s="1367">
        <v>3</v>
      </c>
      <c r="B4" s="1411" t="str">
        <f t="shared" si="0"/>
        <v/>
      </c>
      <c r="C4" s="1508" t="s">
        <v>2908</v>
      </c>
      <c r="D4" s="1436" t="s">
        <v>2909</v>
      </c>
      <c r="E4" s="1416"/>
      <c r="F4" s="1272"/>
      <c r="G4" s="1272"/>
      <c r="H4" s="1272"/>
      <c r="I4" s="1272"/>
      <c r="J4" s="1272"/>
      <c r="K4" s="1272"/>
      <c r="L4" s="1272"/>
      <c r="M4" s="1272"/>
      <c r="N4" s="1416"/>
      <c r="O4" s="1416"/>
      <c r="P4" s="1416"/>
      <c r="Q4" s="1272"/>
      <c r="R4" s="1416"/>
      <c r="S4" s="1416"/>
      <c r="T4" s="1416"/>
      <c r="U4" s="1416"/>
      <c r="V4" s="1416"/>
      <c r="W4" s="1416"/>
      <c r="X4" s="1416"/>
      <c r="Y4" s="1416"/>
      <c r="Z4" s="1272"/>
      <c r="AA4" s="1416"/>
      <c r="AB4" s="1416"/>
      <c r="AC4" s="1272"/>
      <c r="AD4" s="1416"/>
      <c r="AE4" s="1416"/>
      <c r="AF4" s="1416"/>
      <c r="AG4" s="1416"/>
      <c r="AH4" s="1416"/>
      <c r="AI4" s="1410"/>
      <c r="AJ4" s="1416"/>
      <c r="AK4" s="1416"/>
      <c r="AL4" s="1416"/>
      <c r="AM4" s="1416"/>
      <c r="AN4" s="1416"/>
      <c r="AO4" s="1410"/>
      <c r="AP4" s="1410"/>
      <c r="AQ4" s="1410"/>
      <c r="AR4" s="1410"/>
      <c r="AS4" s="1410"/>
      <c r="AT4" s="1272"/>
      <c r="AU4" s="1410"/>
      <c r="AV4" s="1416"/>
      <c r="AW4" s="1410"/>
      <c r="AX4" s="1410"/>
      <c r="AY4" s="1410"/>
      <c r="AZ4" s="1410"/>
      <c r="BA4" s="1410"/>
      <c r="BB4" s="1272"/>
      <c r="BC4" s="1410"/>
      <c r="BD4" s="1272"/>
      <c r="BE4" s="1272"/>
      <c r="BF4" s="1410"/>
      <c r="BG4" s="1410"/>
      <c r="BH4" s="1272"/>
      <c r="BI4" s="1272"/>
      <c r="BJ4" s="1410"/>
      <c r="BK4" s="1410"/>
      <c r="BL4" s="1410"/>
      <c r="BM4" s="1410"/>
      <c r="BN4" s="1410"/>
      <c r="BO4" s="1410"/>
      <c r="BP4" s="1410"/>
      <c r="BQ4" s="1410"/>
      <c r="BR4" s="1410"/>
      <c r="BS4" s="1410"/>
      <c r="BT4" s="1410"/>
      <c r="BU4" s="1410"/>
      <c r="BV4" s="1272"/>
      <c r="BW4" s="1410"/>
      <c r="BX4" s="1410"/>
      <c r="BY4" s="1410"/>
      <c r="BZ4" s="1410"/>
      <c r="CA4" s="1410"/>
      <c r="CB4" s="1410"/>
      <c r="CC4" s="1410"/>
      <c r="CD4" s="1410"/>
      <c r="CE4" s="1410"/>
      <c r="CF4" s="1410"/>
      <c r="CG4" s="1410"/>
      <c r="CH4" s="1410"/>
      <c r="CI4" s="1410"/>
      <c r="CJ4" s="1410"/>
      <c r="CK4" s="1410"/>
      <c r="CL4" s="1410"/>
      <c r="CM4" s="1410"/>
      <c r="CN4" s="1410"/>
      <c r="CO4" s="1272"/>
      <c r="CP4" s="1272"/>
      <c r="CQ4" s="1272"/>
      <c r="CR4" s="1410"/>
      <c r="CS4" s="1410"/>
      <c r="CT4" s="1410"/>
      <c r="CU4" s="1410"/>
      <c r="CV4" s="1410"/>
      <c r="CW4" s="1410"/>
      <c r="CX4" s="1410"/>
      <c r="CY4" s="1410"/>
      <c r="CZ4" s="1410"/>
      <c r="DA4" s="1410"/>
      <c r="DB4" s="1410"/>
      <c r="DC4" s="1272"/>
      <c r="DD4" s="1272"/>
      <c r="DE4" s="1410"/>
      <c r="DF4" s="1410"/>
      <c r="DG4" s="1410"/>
      <c r="DH4" s="1410"/>
      <c r="DI4" s="1410"/>
      <c r="DJ4" s="1410"/>
      <c r="DK4" s="1410"/>
      <c r="DL4" s="1410"/>
      <c r="DM4" s="1410"/>
      <c r="DN4" s="1272"/>
      <c r="DO4" s="1410"/>
      <c r="DP4" s="1410"/>
      <c r="DQ4" s="1410"/>
      <c r="DR4" s="1410"/>
      <c r="DS4" s="1410"/>
      <c r="DT4" s="1410"/>
      <c r="DU4" s="1410"/>
      <c r="DV4" s="1410"/>
      <c r="DW4" s="1410"/>
      <c r="DX4" s="1410"/>
      <c r="DY4" s="1410"/>
      <c r="DZ4" s="1410"/>
      <c r="EA4" s="1410"/>
      <c r="EB4" s="1410"/>
      <c r="EC4" s="1410"/>
      <c r="ED4" s="1272"/>
      <c r="EE4" s="1272"/>
      <c r="EF4" s="1410"/>
      <c r="EG4" s="1410"/>
      <c r="EH4" s="1410"/>
      <c r="EI4" s="1410"/>
      <c r="EJ4" s="1410"/>
      <c r="EK4" s="1410"/>
      <c r="EL4" s="1410"/>
      <c r="EM4" s="1409" t="s">
        <v>2910</v>
      </c>
      <c r="EN4" s="1272"/>
      <c r="EO4" s="1410"/>
      <c r="EP4" s="1410"/>
      <c r="EQ4" s="1410"/>
      <c r="ER4" s="1410"/>
      <c r="ES4" s="1410"/>
      <c r="ET4" s="1410"/>
      <c r="EU4" s="1410"/>
      <c r="EV4" s="1410"/>
      <c r="EW4" s="1410"/>
      <c r="EX4" s="1410"/>
      <c r="EY4" s="1410"/>
      <c r="EZ4" s="1410"/>
      <c r="FA4" s="1410"/>
      <c r="FB4" s="1410"/>
      <c r="FC4" s="1410"/>
      <c r="FD4" s="1409" t="s">
        <v>2911</v>
      </c>
      <c r="FE4" s="1272"/>
      <c r="FF4" s="1410"/>
      <c r="FG4" s="1272"/>
      <c r="FH4" s="1272"/>
      <c r="FI4" s="1410"/>
      <c r="FJ4" s="1410"/>
      <c r="FK4" s="1409" t="s">
        <v>2912</v>
      </c>
      <c r="FL4" s="1410"/>
      <c r="FM4" s="1410"/>
      <c r="FN4" s="1410"/>
      <c r="FO4" s="1410"/>
      <c r="FP4" s="1410"/>
      <c r="FQ4" s="1410"/>
      <c r="FR4" s="1410"/>
      <c r="FS4" s="1410"/>
      <c r="FT4" s="1410"/>
      <c r="FU4" s="1410"/>
      <c r="FV4" s="1410"/>
      <c r="FW4" s="1410"/>
      <c r="FX4" s="1410"/>
      <c r="FY4" s="1410"/>
      <c r="FZ4" s="1410"/>
      <c r="GA4" s="1410"/>
      <c r="GB4" s="1410"/>
      <c r="GC4" s="1410"/>
      <c r="GD4" s="1410"/>
      <c r="GE4" s="1410"/>
      <c r="GF4" s="1410"/>
      <c r="GG4" s="1410"/>
      <c r="GH4" s="1410"/>
      <c r="GI4" s="1272"/>
      <c r="GJ4" s="1410"/>
      <c r="GK4" s="1410"/>
      <c r="GL4" s="1410"/>
      <c r="GM4" s="1410"/>
      <c r="GN4" s="1272"/>
      <c r="GO4" s="1416"/>
      <c r="GP4" s="1410"/>
      <c r="GQ4" s="1416"/>
      <c r="GR4" s="1410"/>
      <c r="GS4" s="1410"/>
      <c r="GT4" s="1410"/>
      <c r="GU4" s="1410"/>
      <c r="GV4" s="1410"/>
      <c r="GW4" s="1272"/>
      <c r="GX4" s="1410"/>
      <c r="GY4" s="1410"/>
      <c r="GZ4" s="1410"/>
      <c r="HA4" s="1410"/>
      <c r="HB4" s="1272"/>
      <c r="HC4" s="1410"/>
      <c r="HD4" s="1410"/>
      <c r="HE4" s="1410"/>
      <c r="HF4" s="1410"/>
      <c r="HG4" s="1410"/>
      <c r="HH4" s="1410"/>
      <c r="HI4" s="1410"/>
      <c r="HJ4" s="1410"/>
      <c r="HK4" s="1410"/>
      <c r="HL4" s="1410"/>
      <c r="HM4" s="1410"/>
      <c r="HN4" s="1410"/>
      <c r="HO4" s="1410"/>
      <c r="HP4" s="1410"/>
      <c r="HQ4" s="1410"/>
      <c r="HR4" s="1410"/>
      <c r="HS4" s="1410"/>
      <c r="HT4" s="1272"/>
      <c r="HU4" s="1272"/>
      <c r="HV4" s="1272"/>
      <c r="HW4" s="1410"/>
      <c r="HX4" s="1410"/>
      <c r="HY4" s="1410"/>
      <c r="HZ4" s="1410"/>
      <c r="IA4" s="1410"/>
      <c r="IB4" s="1410"/>
      <c r="IC4" s="1410"/>
      <c r="ID4" s="1410"/>
      <c r="IE4" s="1410"/>
      <c r="IF4" s="1410"/>
      <c r="IG4" s="1410"/>
      <c r="IH4" s="1410"/>
      <c r="II4" s="1410"/>
      <c r="IJ4" s="1410"/>
      <c r="IK4" s="1410"/>
      <c r="IL4" s="1410"/>
      <c r="IM4" s="1410"/>
      <c r="IN4" s="1410"/>
      <c r="IO4" s="1272"/>
      <c r="IP4" s="1410"/>
      <c r="IQ4" s="1410"/>
      <c r="IR4" s="1410"/>
      <c r="IS4" s="1410"/>
      <c r="IT4" s="1410"/>
      <c r="IU4" s="1410"/>
      <c r="IV4" s="1410"/>
      <c r="IW4" s="1410"/>
      <c r="IX4" s="1410"/>
      <c r="IY4" s="1410"/>
      <c r="IZ4" s="1410"/>
      <c r="JA4" s="1410"/>
      <c r="JB4" s="1410"/>
      <c r="JC4" s="1410"/>
      <c r="JD4" s="1272"/>
      <c r="JE4" s="1410"/>
      <c r="JF4" s="1410"/>
      <c r="JG4" s="1272"/>
      <c r="JH4" s="1410"/>
      <c r="JI4" s="1410"/>
      <c r="JJ4" s="1410"/>
      <c r="JK4" s="1410"/>
      <c r="JL4" s="1410"/>
      <c r="JM4" s="1410"/>
      <c r="JN4" s="1410"/>
      <c r="JO4" s="1410"/>
      <c r="JP4" s="1272"/>
      <c r="JQ4" s="1405"/>
      <c r="JR4" s="351"/>
      <c r="JS4" s="1400"/>
      <c r="JT4" s="1400" t="s">
        <v>2215</v>
      </c>
    </row>
    <row r="5" spans="1:280" x14ac:dyDescent="0.25">
      <c r="A5" s="1367">
        <v>4</v>
      </c>
      <c r="B5" s="1411" t="str">
        <f t="shared" si="0"/>
        <v/>
      </c>
      <c r="C5" s="1508" t="s">
        <v>2913</v>
      </c>
      <c r="D5" s="1436" t="s">
        <v>2914</v>
      </c>
      <c r="E5" s="1416"/>
      <c r="F5" s="1272"/>
      <c r="G5" s="1272"/>
      <c r="H5" s="1272"/>
      <c r="I5" s="1272"/>
      <c r="J5" s="1272"/>
      <c r="K5" s="1272"/>
      <c r="L5" s="1272"/>
      <c r="M5" s="1272"/>
      <c r="N5" s="1416"/>
      <c r="O5" s="1416"/>
      <c r="P5" s="1416"/>
      <c r="Q5" s="1272"/>
      <c r="R5" s="1416"/>
      <c r="S5" s="1416"/>
      <c r="T5" s="1416"/>
      <c r="U5" s="1416"/>
      <c r="V5" s="1416"/>
      <c r="W5" s="1416"/>
      <c r="X5" s="1416"/>
      <c r="Y5" s="1416"/>
      <c r="Z5" s="1272"/>
      <c r="AA5" s="1416"/>
      <c r="AB5" s="1416"/>
      <c r="AC5" s="1272"/>
      <c r="AD5" s="1416"/>
      <c r="AE5" s="1416"/>
      <c r="AF5" s="1416"/>
      <c r="AG5" s="1416"/>
      <c r="AH5" s="1416"/>
      <c r="AI5" s="1410"/>
      <c r="AJ5" s="1416"/>
      <c r="AK5" s="1416"/>
      <c r="AL5" s="1416"/>
      <c r="AM5" s="1416"/>
      <c r="AN5" s="1416"/>
      <c r="AO5" s="1410"/>
      <c r="AP5" s="1410"/>
      <c r="AQ5" s="1410"/>
      <c r="AR5" s="1410"/>
      <c r="AS5" s="1410"/>
      <c r="AT5" s="1272"/>
      <c r="AU5" s="1410"/>
      <c r="AV5" s="1416"/>
      <c r="AW5" s="1410"/>
      <c r="AX5" s="1410"/>
      <c r="AY5" s="1410"/>
      <c r="AZ5" s="1410"/>
      <c r="BA5" s="1410"/>
      <c r="BB5" s="1272"/>
      <c r="BC5" s="1410"/>
      <c r="BD5" s="1272"/>
      <c r="BE5" s="1272"/>
      <c r="BF5" s="1410"/>
      <c r="BG5" s="1410"/>
      <c r="BH5" s="1272"/>
      <c r="BI5" s="1272"/>
      <c r="BJ5" s="1410"/>
      <c r="BK5" s="1410"/>
      <c r="BL5" s="1410"/>
      <c r="BM5" s="1410"/>
      <c r="BN5" s="1410"/>
      <c r="BO5" s="1410"/>
      <c r="BP5" s="1410"/>
      <c r="BQ5" s="1410"/>
      <c r="BR5" s="1410"/>
      <c r="BS5" s="1410"/>
      <c r="BT5" s="1410"/>
      <c r="BU5" s="1410"/>
      <c r="BV5" s="1272"/>
      <c r="BW5" s="1410"/>
      <c r="BX5" s="1410"/>
      <c r="BY5" s="1410"/>
      <c r="BZ5" s="1410"/>
      <c r="CA5" s="1410"/>
      <c r="CB5" s="1410"/>
      <c r="CC5" s="1410"/>
      <c r="CD5" s="1410"/>
      <c r="CE5" s="1410"/>
      <c r="CF5" s="1410"/>
      <c r="CG5" s="1410"/>
      <c r="CH5" s="1410"/>
      <c r="CI5" s="1410"/>
      <c r="CJ5" s="1410"/>
      <c r="CK5" s="1410"/>
      <c r="CL5" s="1410"/>
      <c r="CM5" s="1410"/>
      <c r="CN5" s="1410"/>
      <c r="CO5" s="1272"/>
      <c r="CP5" s="1272"/>
      <c r="CQ5" s="1272"/>
      <c r="CR5" s="1410"/>
      <c r="CS5" s="1410"/>
      <c r="CT5" s="1410"/>
      <c r="CU5" s="1410"/>
      <c r="CV5" s="1410"/>
      <c r="CW5" s="1410"/>
      <c r="CX5" s="1410"/>
      <c r="CY5" s="1410"/>
      <c r="CZ5" s="1410"/>
      <c r="DA5" s="1410"/>
      <c r="DB5" s="1410"/>
      <c r="DC5" s="1272"/>
      <c r="DD5" s="1272"/>
      <c r="DE5" s="1410"/>
      <c r="DF5" s="1410"/>
      <c r="DG5" s="1410"/>
      <c r="DH5" s="1410"/>
      <c r="DI5" s="1410"/>
      <c r="DJ5" s="1410"/>
      <c r="DK5" s="1410"/>
      <c r="DL5" s="1410"/>
      <c r="DM5" s="1410"/>
      <c r="DN5" s="1272"/>
      <c r="DO5" s="1410"/>
      <c r="DP5" s="1410"/>
      <c r="DQ5" s="1410"/>
      <c r="DR5" s="1410"/>
      <c r="DS5" s="1410"/>
      <c r="DT5" s="1410"/>
      <c r="DU5" s="1410"/>
      <c r="DV5" s="1410"/>
      <c r="DW5" s="1410"/>
      <c r="DX5" s="1410"/>
      <c r="DY5" s="1410"/>
      <c r="DZ5" s="1410"/>
      <c r="EA5" s="1410"/>
      <c r="EB5" s="1410"/>
      <c r="EC5" s="1410"/>
      <c r="ED5" s="1272"/>
      <c r="EE5" s="1272"/>
      <c r="EF5" s="1410"/>
      <c r="EG5" s="1410"/>
      <c r="EH5" s="1410"/>
      <c r="EI5" s="1410"/>
      <c r="EJ5" s="1410"/>
      <c r="EK5" s="1410"/>
      <c r="EL5" s="1410"/>
      <c r="EM5" s="1410"/>
      <c r="EN5" s="1272"/>
      <c r="EO5" s="1410"/>
      <c r="EP5" s="1410"/>
      <c r="EQ5" s="1410"/>
      <c r="ER5" s="1410"/>
      <c r="ES5" s="1410"/>
      <c r="ET5" s="1410"/>
      <c r="EU5" s="1410"/>
      <c r="EV5" s="1410"/>
      <c r="EW5" s="1410"/>
      <c r="EX5" s="1410"/>
      <c r="EY5" s="1410"/>
      <c r="EZ5" s="1410"/>
      <c r="FA5" s="1410"/>
      <c r="FB5" s="1410"/>
      <c r="FC5" s="1410"/>
      <c r="FD5" s="1410"/>
      <c r="FE5" s="1272"/>
      <c r="FF5" s="1410"/>
      <c r="FG5" s="1272"/>
      <c r="FH5" s="1272"/>
      <c r="FI5" s="1410"/>
      <c r="FJ5" s="1410"/>
      <c r="FK5" s="1410"/>
      <c r="FL5" s="1410"/>
      <c r="FM5" s="1410"/>
      <c r="FN5" s="1410"/>
      <c r="FO5" s="1410"/>
      <c r="FP5" s="1410"/>
      <c r="FQ5" s="1410"/>
      <c r="FR5" s="1410"/>
      <c r="FS5" s="1410"/>
      <c r="FT5" s="1410"/>
      <c r="FU5" s="1410"/>
      <c r="FV5" s="1410"/>
      <c r="FW5" s="1410"/>
      <c r="FX5" s="1410"/>
      <c r="FY5" s="1410"/>
      <c r="FZ5" s="1410"/>
      <c r="GA5" s="1410"/>
      <c r="GB5" s="1410"/>
      <c r="GC5" s="1410"/>
      <c r="GD5" s="1410"/>
      <c r="GE5" s="1410"/>
      <c r="GF5" s="1410"/>
      <c r="GG5" s="1410"/>
      <c r="GH5" s="1410"/>
      <c r="GI5" s="1272"/>
      <c r="GJ5" s="1410"/>
      <c r="GK5" s="1410"/>
      <c r="GL5" s="1410"/>
      <c r="GM5" s="1410"/>
      <c r="GN5" s="1272"/>
      <c r="GO5" s="1416"/>
      <c r="GP5" s="1410"/>
      <c r="GQ5" s="1416"/>
      <c r="GR5" s="1410"/>
      <c r="GS5" s="1410"/>
      <c r="GT5" s="1410"/>
      <c r="GU5" s="1410"/>
      <c r="GV5" s="1410"/>
      <c r="GW5" s="1272"/>
      <c r="GX5" s="1410"/>
      <c r="GY5" s="1410"/>
      <c r="GZ5" s="1410"/>
      <c r="HA5" s="1410"/>
      <c r="HB5" s="1272"/>
      <c r="HC5" s="1410"/>
      <c r="HD5" s="1410"/>
      <c r="HE5" s="1410"/>
      <c r="HF5" s="1410"/>
      <c r="HG5" s="1410"/>
      <c r="HH5" s="1410"/>
      <c r="HI5" s="1410"/>
      <c r="HJ5" s="1410"/>
      <c r="HK5" s="1410"/>
      <c r="HL5" s="1410"/>
      <c r="HM5" s="1410"/>
      <c r="HN5" s="1410"/>
      <c r="HO5" s="1410"/>
      <c r="HP5" s="1410"/>
      <c r="HQ5" s="1410"/>
      <c r="HR5" s="1410"/>
      <c r="HS5" s="1410"/>
      <c r="HT5" s="1272"/>
      <c r="HU5" s="1272"/>
      <c r="HV5" s="1272"/>
      <c r="HW5" s="1410"/>
      <c r="HX5" s="1410"/>
      <c r="HY5" s="1410"/>
      <c r="HZ5" s="1410"/>
      <c r="IA5" s="1410"/>
      <c r="IB5" s="1410"/>
      <c r="IC5" s="1410"/>
      <c r="ID5" s="1410"/>
      <c r="IE5" s="1410"/>
      <c r="IF5" s="1410"/>
      <c r="IG5" s="1410"/>
      <c r="IH5" s="1410"/>
      <c r="II5" s="1410"/>
      <c r="IJ5" s="1410"/>
      <c r="IK5" s="1410"/>
      <c r="IL5" s="1410"/>
      <c r="IM5" s="1410"/>
      <c r="IN5" s="1410"/>
      <c r="IO5" s="1272"/>
      <c r="IP5" s="1410"/>
      <c r="IQ5" s="1410"/>
      <c r="IR5" s="1410"/>
      <c r="IS5" s="1410"/>
      <c r="IT5" s="1410"/>
      <c r="IU5" s="1410"/>
      <c r="IV5" s="1410"/>
      <c r="IW5" s="1410"/>
      <c r="IX5" s="1410"/>
      <c r="IY5" s="1410"/>
      <c r="IZ5" s="1410"/>
      <c r="JA5" s="1410"/>
      <c r="JB5" s="1410"/>
      <c r="JC5" s="1410"/>
      <c r="JD5" s="1272"/>
      <c r="JE5" s="1410"/>
      <c r="JF5" s="1410"/>
      <c r="JG5" s="1272"/>
      <c r="JH5" s="1410"/>
      <c r="JI5" s="1410"/>
      <c r="JJ5" s="1410"/>
      <c r="JK5" s="1410"/>
      <c r="JL5" s="1410"/>
      <c r="JM5" s="1410"/>
      <c r="JN5" s="1410"/>
      <c r="JO5" s="1410"/>
      <c r="JP5" s="1272"/>
      <c r="JQ5" s="1405"/>
      <c r="JR5" s="351"/>
      <c r="JS5" s="1400"/>
      <c r="JT5" s="1400" t="s">
        <v>2319</v>
      </c>
    </row>
    <row r="6" spans="1:280" x14ac:dyDescent="0.25">
      <c r="A6" s="1367">
        <v>5</v>
      </c>
      <c r="B6" s="1411" t="str">
        <f t="shared" si="0"/>
        <v/>
      </c>
      <c r="C6" s="1508" t="s">
        <v>2915</v>
      </c>
      <c r="D6" s="1436" t="s">
        <v>2916</v>
      </c>
      <c r="E6" s="1381"/>
      <c r="F6" s="1272"/>
      <c r="G6" s="1272"/>
      <c r="H6" s="1272"/>
      <c r="I6" s="1272"/>
      <c r="J6" s="1272"/>
      <c r="K6" s="1272"/>
      <c r="L6" s="1272"/>
      <c r="M6" s="1272"/>
      <c r="N6" s="1381"/>
      <c r="O6" s="1381"/>
      <c r="P6" s="1381"/>
      <c r="Q6" s="1272"/>
      <c r="R6" s="1381"/>
      <c r="S6" s="1381"/>
      <c r="T6" s="1381"/>
      <c r="U6" s="1381"/>
      <c r="V6" s="1381"/>
      <c r="W6" s="1381"/>
      <c r="X6" s="1381"/>
      <c r="Y6" s="1381"/>
      <c r="Z6" s="1272"/>
      <c r="AA6" s="1381"/>
      <c r="AB6" s="1381"/>
      <c r="AC6" s="1272"/>
      <c r="AD6" s="1381"/>
      <c r="AE6" s="1381"/>
      <c r="AF6" s="1381"/>
      <c r="AG6" s="1381"/>
      <c r="AH6" s="1381"/>
      <c r="AI6" s="1410"/>
      <c r="AJ6" s="1381"/>
      <c r="AK6" s="1381"/>
      <c r="AL6" s="1381"/>
      <c r="AM6" s="1381"/>
      <c r="AN6" s="1381"/>
      <c r="AO6" s="1410"/>
      <c r="AP6" s="1410"/>
      <c r="AQ6" s="1410"/>
      <c r="AR6" s="1410"/>
      <c r="AS6" s="1410"/>
      <c r="AT6" s="1272"/>
      <c r="AU6" s="1410"/>
      <c r="AV6" s="1381"/>
      <c r="AW6" s="1410"/>
      <c r="AX6" s="1410"/>
      <c r="AY6" s="1410"/>
      <c r="AZ6" s="1410"/>
      <c r="BA6" s="1410"/>
      <c r="BB6" s="1272"/>
      <c r="BC6" s="1410"/>
      <c r="BD6" s="1272"/>
      <c r="BE6" s="1272"/>
      <c r="BF6" s="1410"/>
      <c r="BG6" s="1410"/>
      <c r="BH6" s="1272"/>
      <c r="BI6" s="1272"/>
      <c r="BJ6" s="1410"/>
      <c r="BK6" s="1410"/>
      <c r="BL6" s="1410"/>
      <c r="BM6" s="1410"/>
      <c r="BN6" s="1410"/>
      <c r="BO6" s="1410"/>
      <c r="BP6" s="1410"/>
      <c r="BQ6" s="1410"/>
      <c r="BR6" s="1410"/>
      <c r="BS6" s="1410"/>
      <c r="BT6" s="1410"/>
      <c r="BU6" s="1410"/>
      <c r="BV6" s="1272"/>
      <c r="BW6" s="1410"/>
      <c r="BX6" s="1410"/>
      <c r="BY6" s="1410"/>
      <c r="BZ6" s="1410"/>
      <c r="CA6" s="1410"/>
      <c r="CB6" s="1410"/>
      <c r="CC6" s="1410"/>
      <c r="CD6" s="1410"/>
      <c r="CE6" s="1410"/>
      <c r="CF6" s="1410"/>
      <c r="CG6" s="1410"/>
      <c r="CH6" s="1410"/>
      <c r="CI6" s="1410"/>
      <c r="CJ6" s="1410"/>
      <c r="CK6" s="1410"/>
      <c r="CL6" s="1410"/>
      <c r="CM6" s="1410"/>
      <c r="CN6" s="1410"/>
      <c r="CO6" s="1272"/>
      <c r="CP6" s="1272"/>
      <c r="CQ6" s="1272"/>
      <c r="CR6" s="1410"/>
      <c r="CS6" s="1410"/>
      <c r="CT6" s="1410"/>
      <c r="CU6" s="1410"/>
      <c r="CV6" s="1410"/>
      <c r="CW6" s="1410"/>
      <c r="CX6" s="1410"/>
      <c r="CY6" s="1410"/>
      <c r="CZ6" s="1410"/>
      <c r="DA6" s="1410"/>
      <c r="DB6" s="1410"/>
      <c r="DC6" s="1272"/>
      <c r="DD6" s="1272"/>
      <c r="DE6" s="1410"/>
      <c r="DF6" s="1410"/>
      <c r="DG6" s="1410"/>
      <c r="DH6" s="1410"/>
      <c r="DI6" s="1410"/>
      <c r="DJ6" s="1410"/>
      <c r="DK6" s="1410"/>
      <c r="DL6" s="1410"/>
      <c r="DM6" s="1410"/>
      <c r="DN6" s="1272"/>
      <c r="DO6" s="1410"/>
      <c r="DP6" s="1410"/>
      <c r="DQ6" s="1410"/>
      <c r="DR6" s="1410"/>
      <c r="DS6" s="1410"/>
      <c r="DT6" s="1410"/>
      <c r="DU6" s="1410"/>
      <c r="DV6" s="1410"/>
      <c r="DW6" s="1410"/>
      <c r="DX6" s="1410"/>
      <c r="DY6" s="1410"/>
      <c r="DZ6" s="1410"/>
      <c r="EA6" s="1410"/>
      <c r="EB6" s="1410"/>
      <c r="EC6" s="1410"/>
      <c r="ED6" s="1272"/>
      <c r="EE6" s="1272"/>
      <c r="EF6" s="1410"/>
      <c r="EG6" s="1410"/>
      <c r="EH6" s="1410"/>
      <c r="EI6" s="1410"/>
      <c r="EJ6" s="1410"/>
      <c r="EK6" s="1410"/>
      <c r="EL6" s="1410"/>
      <c r="EM6" s="1410"/>
      <c r="EN6" s="1272"/>
      <c r="EO6" s="1410"/>
      <c r="EP6" s="1410"/>
      <c r="EQ6" s="1410"/>
      <c r="ER6" s="1410"/>
      <c r="ES6" s="1410"/>
      <c r="ET6" s="1410"/>
      <c r="EU6" s="1410"/>
      <c r="EV6" s="1410"/>
      <c r="EW6" s="1410"/>
      <c r="EX6" s="1410"/>
      <c r="EY6" s="1410"/>
      <c r="EZ6" s="1410"/>
      <c r="FA6" s="1410"/>
      <c r="FB6" s="1410"/>
      <c r="FC6" s="1410"/>
      <c r="FD6" s="1410"/>
      <c r="FE6" s="1272"/>
      <c r="FF6" s="1410"/>
      <c r="FG6" s="1272"/>
      <c r="FH6" s="1272"/>
      <c r="FI6" s="1410"/>
      <c r="FJ6" s="1410"/>
      <c r="FK6" s="1410"/>
      <c r="FL6" s="1410"/>
      <c r="FM6" s="1410"/>
      <c r="FN6" s="1410"/>
      <c r="FO6" s="1410"/>
      <c r="FP6" s="1410"/>
      <c r="FQ6" s="1410"/>
      <c r="FR6" s="1410"/>
      <c r="FS6" s="1410"/>
      <c r="FT6" s="1410"/>
      <c r="FU6" s="1410"/>
      <c r="FV6" s="1410"/>
      <c r="FW6" s="1410"/>
      <c r="FX6" s="1410"/>
      <c r="FY6" s="1410"/>
      <c r="FZ6" s="1410"/>
      <c r="GA6" s="1410"/>
      <c r="GB6" s="1410"/>
      <c r="GC6" s="1410"/>
      <c r="GD6" s="1410"/>
      <c r="GE6" s="1410"/>
      <c r="GF6" s="1410"/>
      <c r="GG6" s="1410"/>
      <c r="GH6" s="1410"/>
      <c r="GI6" s="1272"/>
      <c r="GJ6" s="1410"/>
      <c r="GK6" s="1410"/>
      <c r="GL6" s="1410"/>
      <c r="GM6" s="1410"/>
      <c r="GN6" s="1272"/>
      <c r="GO6" s="1381"/>
      <c r="GP6" s="1410"/>
      <c r="GQ6" s="1381"/>
      <c r="GR6" s="1410"/>
      <c r="GS6" s="1410"/>
      <c r="GT6" s="1410"/>
      <c r="GU6" s="1410"/>
      <c r="GV6" s="1410"/>
      <c r="GW6" s="1272"/>
      <c r="GX6" s="1410"/>
      <c r="GY6" s="1410"/>
      <c r="GZ6" s="1410"/>
      <c r="HA6" s="1410"/>
      <c r="HB6" s="1272"/>
      <c r="HC6" s="1410"/>
      <c r="HD6" s="1410"/>
      <c r="HE6" s="1410"/>
      <c r="HF6" s="1410"/>
      <c r="HG6" s="1410"/>
      <c r="HH6" s="1410"/>
      <c r="HI6" s="1410"/>
      <c r="HJ6" s="1410"/>
      <c r="HK6" s="1410"/>
      <c r="HL6" s="1410"/>
      <c r="HM6" s="1410"/>
      <c r="HN6" s="1410"/>
      <c r="HO6" s="1410"/>
      <c r="HP6" s="1410"/>
      <c r="HQ6" s="1410"/>
      <c r="HR6" s="1410"/>
      <c r="HS6" s="1410"/>
      <c r="HT6" s="1272"/>
      <c r="HU6" s="1272"/>
      <c r="HV6" s="1272"/>
      <c r="HW6" s="1410"/>
      <c r="HX6" s="1410"/>
      <c r="HY6" s="1410"/>
      <c r="HZ6" s="1410"/>
      <c r="IA6" s="1410"/>
      <c r="IB6" s="1410"/>
      <c r="IC6" s="1410"/>
      <c r="ID6" s="1410"/>
      <c r="IE6" s="1410"/>
      <c r="IF6" s="1410"/>
      <c r="IG6" s="1410"/>
      <c r="IH6" s="1410"/>
      <c r="II6" s="1410"/>
      <c r="IJ6" s="1410"/>
      <c r="IK6" s="1410"/>
      <c r="IL6" s="1410"/>
      <c r="IM6" s="1410"/>
      <c r="IN6" s="1410"/>
      <c r="IO6" s="1272"/>
      <c r="IP6" s="1410"/>
      <c r="IQ6" s="1410"/>
      <c r="IR6" s="1410"/>
      <c r="IS6" s="1410"/>
      <c r="IT6" s="1410"/>
      <c r="IU6" s="1410"/>
      <c r="IV6" s="1410"/>
      <c r="IW6" s="1410"/>
      <c r="IX6" s="1410"/>
      <c r="IY6" s="1410"/>
      <c r="IZ6" s="1410"/>
      <c r="JA6" s="1410"/>
      <c r="JB6" s="1410"/>
      <c r="JC6" s="1410"/>
      <c r="JD6" s="1272"/>
      <c r="JE6" s="1410"/>
      <c r="JF6" s="1410"/>
      <c r="JG6" s="1272"/>
      <c r="JH6" s="1410"/>
      <c r="JI6" s="1410"/>
      <c r="JJ6" s="1410"/>
      <c r="JK6" s="1410"/>
      <c r="JL6" s="1410"/>
      <c r="JM6" s="1410"/>
      <c r="JN6" s="1410"/>
      <c r="JO6" s="1410"/>
      <c r="JP6" s="1272"/>
      <c r="JQ6" s="1405"/>
      <c r="JR6" s="351"/>
      <c r="JS6" s="1400"/>
      <c r="JT6" s="1400" t="s">
        <v>2319</v>
      </c>
    </row>
    <row r="7" spans="1:280" x14ac:dyDescent="0.25">
      <c r="A7" s="1367">
        <v>6</v>
      </c>
      <c r="B7" s="1411" t="str">
        <f t="shared" si="0"/>
        <v>Y</v>
      </c>
      <c r="C7" s="2540" t="s">
        <v>2917</v>
      </c>
      <c r="D7" s="1487" t="s">
        <v>2918</v>
      </c>
      <c r="E7" s="1381"/>
      <c r="F7" s="1272"/>
      <c r="G7" s="1272"/>
      <c r="H7" s="1272"/>
      <c r="I7" s="1272"/>
      <c r="J7" s="1272"/>
      <c r="K7" s="1272"/>
      <c r="L7" s="1272"/>
      <c r="M7" s="1366" t="s">
        <v>1707</v>
      </c>
      <c r="N7" s="1381"/>
      <c r="O7" s="1381"/>
      <c r="P7" s="1381"/>
      <c r="Q7" s="1366" t="s">
        <v>1615</v>
      </c>
      <c r="R7" s="1381"/>
      <c r="S7" s="1381"/>
      <c r="T7" s="1381"/>
      <c r="U7" s="1381"/>
      <c r="V7" s="1381"/>
      <c r="W7" s="1381"/>
      <c r="X7" s="1381"/>
      <c r="Y7" s="1381"/>
      <c r="Z7" s="1382" t="s">
        <v>1707</v>
      </c>
      <c r="AA7" s="1381"/>
      <c r="AB7" s="1381"/>
      <c r="AC7" s="1382" t="s">
        <v>1615</v>
      </c>
      <c r="AD7" s="1381"/>
      <c r="AE7" s="1381"/>
      <c r="AF7" s="1381"/>
      <c r="AG7" s="1381"/>
      <c r="AH7" s="1381"/>
      <c r="AI7" s="1409" t="s">
        <v>1615</v>
      </c>
      <c r="AJ7" s="1381"/>
      <c r="AK7" s="1381"/>
      <c r="AL7" s="1381"/>
      <c r="AM7" s="1381"/>
      <c r="AN7" s="1381"/>
      <c r="AO7" s="1410"/>
      <c r="AP7" s="1410"/>
      <c r="AQ7" s="1410"/>
      <c r="AR7" s="1410"/>
      <c r="AS7" s="1410"/>
      <c r="AT7" s="1383" t="s">
        <v>1615</v>
      </c>
      <c r="AU7" s="1410"/>
      <c r="AV7" s="1382" t="s">
        <v>1707</v>
      </c>
      <c r="AW7" s="1410"/>
      <c r="AX7" s="1410"/>
      <c r="AY7" s="1410"/>
      <c r="AZ7" s="1410"/>
      <c r="BA7" s="1410"/>
      <c r="BB7" s="1272"/>
      <c r="BC7" s="1410"/>
      <c r="BD7" s="1383" t="s">
        <v>1615</v>
      </c>
      <c r="BE7" s="1383" t="s">
        <v>1615</v>
      </c>
      <c r="BF7" s="1410"/>
      <c r="BG7" s="1410"/>
      <c r="BH7" s="1272"/>
      <c r="BI7" s="1272"/>
      <c r="BJ7" s="1410"/>
      <c r="BK7" s="1410"/>
      <c r="BL7" s="1410"/>
      <c r="BM7" s="1410"/>
      <c r="BN7" s="1410"/>
      <c r="BO7" s="1410"/>
      <c r="BP7" s="1410"/>
      <c r="BQ7" s="1410"/>
      <c r="BR7" s="1410"/>
      <c r="BS7" s="1410"/>
      <c r="BT7" s="1410"/>
      <c r="BU7" s="1410"/>
      <c r="BV7" s="1382" t="s">
        <v>1615</v>
      </c>
      <c r="BW7" s="1410"/>
      <c r="BX7" s="1410"/>
      <c r="BY7" s="1410"/>
      <c r="BZ7" s="1410"/>
      <c r="CA7" s="1410"/>
      <c r="CB7" s="1464" t="s">
        <v>1707</v>
      </c>
      <c r="CC7" s="1410"/>
      <c r="CD7" s="1410"/>
      <c r="CE7" s="1410"/>
      <c r="CF7" s="1410"/>
      <c r="CG7" s="1410"/>
      <c r="CH7" s="1410"/>
      <c r="CI7" s="1410"/>
      <c r="CJ7" s="1495" t="s">
        <v>1615</v>
      </c>
      <c r="CK7" s="1410"/>
      <c r="CL7" s="1410"/>
      <c r="CM7" s="1410"/>
      <c r="CN7" s="1410"/>
      <c r="CO7" s="1382" t="s">
        <v>1707</v>
      </c>
      <c r="CP7" s="1382" t="s">
        <v>1707</v>
      </c>
      <c r="CQ7" s="1272"/>
      <c r="CR7" s="1410"/>
      <c r="CS7" s="1410"/>
      <c r="CT7" s="1410"/>
      <c r="CU7" s="1410"/>
      <c r="CV7" s="1410"/>
      <c r="CW7" s="1410"/>
      <c r="CX7" s="1410"/>
      <c r="CY7" s="1410"/>
      <c r="CZ7" s="1410"/>
      <c r="DA7" s="1410"/>
      <c r="DB7" s="1410"/>
      <c r="DC7" s="1382" t="s">
        <v>1707</v>
      </c>
      <c r="DD7" s="1382" t="s">
        <v>1615</v>
      </c>
      <c r="DE7" s="1410"/>
      <c r="DF7" s="1410"/>
      <c r="DG7" s="1410"/>
      <c r="DH7" s="1410"/>
      <c r="DI7" s="1410"/>
      <c r="DJ7" s="1410"/>
      <c r="DK7" s="1410"/>
      <c r="DL7" s="1410"/>
      <c r="DM7" s="1410"/>
      <c r="DN7" s="1382" t="s">
        <v>1615</v>
      </c>
      <c r="DO7" s="1488" t="s">
        <v>1615</v>
      </c>
      <c r="DP7" s="1410"/>
      <c r="DQ7" s="1410"/>
      <c r="DR7" s="1410"/>
      <c r="DS7" s="1488" t="s">
        <v>1615</v>
      </c>
      <c r="DT7" s="1410"/>
      <c r="DU7" s="1410"/>
      <c r="DV7" s="1464" t="s">
        <v>1707</v>
      </c>
      <c r="DW7" s="1410"/>
      <c r="DX7" s="1489"/>
      <c r="DY7" s="1410"/>
      <c r="DZ7" s="1410"/>
      <c r="EA7" s="1464" t="s">
        <v>1707</v>
      </c>
      <c r="EB7" s="1410"/>
      <c r="EC7" s="1410"/>
      <c r="ED7" s="1382" t="s">
        <v>1615</v>
      </c>
      <c r="EE7" s="1382" t="s">
        <v>1615</v>
      </c>
      <c r="EF7" s="1410"/>
      <c r="EG7" s="1410"/>
      <c r="EH7" s="1410"/>
      <c r="EI7" s="1410"/>
      <c r="EJ7" s="1410"/>
      <c r="EK7" s="1410"/>
      <c r="EL7" s="1464" t="s">
        <v>1615</v>
      </c>
      <c r="EM7" s="1464" t="s">
        <v>1615</v>
      </c>
      <c r="EN7" s="1272"/>
      <c r="EO7" s="1410"/>
      <c r="EP7" s="1410"/>
      <c r="EQ7" s="1410"/>
      <c r="ER7" s="1410"/>
      <c r="ES7" s="1410"/>
      <c r="ET7" s="1410"/>
      <c r="EU7" s="1410"/>
      <c r="EV7" s="1410"/>
      <c r="EW7" s="1410"/>
      <c r="EX7" s="1410"/>
      <c r="EY7" s="1410"/>
      <c r="EZ7" s="1410"/>
      <c r="FA7" s="1410"/>
      <c r="FB7" s="1410"/>
      <c r="FC7" s="1410"/>
      <c r="FD7" s="1464" t="s">
        <v>1615</v>
      </c>
      <c r="FE7" s="1382" t="s">
        <v>1707</v>
      </c>
      <c r="FF7" s="1410"/>
      <c r="FG7" s="1382" t="s">
        <v>1707</v>
      </c>
      <c r="FH7" s="1464" t="s">
        <v>1615</v>
      </c>
      <c r="FI7" s="1410"/>
      <c r="FJ7" s="1410"/>
      <c r="FK7" s="1464" t="s">
        <v>1615</v>
      </c>
      <c r="FL7" s="1410"/>
      <c r="FM7" s="1410"/>
      <c r="FN7" s="1410"/>
      <c r="FO7" s="1410"/>
      <c r="FP7" s="1464" t="s">
        <v>1707</v>
      </c>
      <c r="FQ7" s="1410"/>
      <c r="FR7" s="1410"/>
      <c r="FS7" s="1410"/>
      <c r="FT7" s="1410"/>
      <c r="FU7" s="1410"/>
      <c r="FV7" s="1410"/>
      <c r="FW7" s="1410"/>
      <c r="FX7" s="1410"/>
      <c r="FY7" s="1410"/>
      <c r="FZ7" s="1410"/>
      <c r="GA7" s="1410"/>
      <c r="GB7" s="1410"/>
      <c r="GC7" s="1410"/>
      <c r="GD7" s="1410"/>
      <c r="GE7" s="1410"/>
      <c r="GF7" s="1410"/>
      <c r="GG7" s="1410"/>
      <c r="GH7" s="1410"/>
      <c r="GI7" s="1382" t="s">
        <v>1615</v>
      </c>
      <c r="GJ7" s="1410"/>
      <c r="GK7" s="1410"/>
      <c r="GL7" s="1410"/>
      <c r="GM7" s="1410"/>
      <c r="GN7" s="1272"/>
      <c r="GO7" s="1382" t="s">
        <v>1707</v>
      </c>
      <c r="GP7" s="1410"/>
      <c r="GQ7" s="1382" t="s">
        <v>1707</v>
      </c>
      <c r="GR7" s="1410"/>
      <c r="GS7" s="1410"/>
      <c r="GT7" s="1410"/>
      <c r="GU7" s="1410"/>
      <c r="GV7" s="1410"/>
      <c r="GW7" s="1382" t="s">
        <v>1615</v>
      </c>
      <c r="GX7" s="1410"/>
      <c r="GY7" s="1410"/>
      <c r="GZ7" s="1410"/>
      <c r="HA7" s="1410"/>
      <c r="HB7" s="1382" t="s">
        <v>1707</v>
      </c>
      <c r="HC7" s="1410"/>
      <c r="HD7" s="1410"/>
      <c r="HE7" s="1410"/>
      <c r="HF7" s="1410"/>
      <c r="HG7" s="1410"/>
      <c r="HH7" s="1410"/>
      <c r="HI7" s="1410"/>
      <c r="HJ7" s="1410"/>
      <c r="HK7" s="1410"/>
      <c r="HL7" s="1410"/>
      <c r="HM7" s="1410"/>
      <c r="HN7" s="1410"/>
      <c r="HO7" s="1410"/>
      <c r="HP7" s="1410"/>
      <c r="HQ7" s="1410"/>
      <c r="HR7" s="1410"/>
      <c r="HS7" s="1410"/>
      <c r="HT7" s="1382" t="s">
        <v>1615</v>
      </c>
      <c r="HU7" s="1382" t="s">
        <v>1615</v>
      </c>
      <c r="HV7" s="1382" t="s">
        <v>1615</v>
      </c>
      <c r="HW7" s="1410"/>
      <c r="HX7" s="1410"/>
      <c r="HY7" s="1410"/>
      <c r="HZ7" s="1410"/>
      <c r="IA7" s="1410"/>
      <c r="IB7" s="1410"/>
      <c r="IC7" s="1410"/>
      <c r="ID7" s="1410"/>
      <c r="IE7" s="1410"/>
      <c r="IF7" s="1410"/>
      <c r="IG7" s="1410"/>
      <c r="IH7" s="1410"/>
      <c r="II7" s="1410"/>
      <c r="IJ7" s="1410"/>
      <c r="IK7" s="1410"/>
      <c r="IL7" s="1414"/>
      <c r="IM7" s="1410"/>
      <c r="IN7" s="1410"/>
      <c r="IO7" s="1382" t="s">
        <v>1615</v>
      </c>
      <c r="IP7" s="1410"/>
      <c r="IQ7" s="1410"/>
      <c r="IR7" s="1410"/>
      <c r="IS7" s="1410"/>
      <c r="IT7" s="1410"/>
      <c r="IU7" s="1410"/>
      <c r="IV7" s="1410"/>
      <c r="IW7" s="1410"/>
      <c r="IX7" s="1410"/>
      <c r="IY7" s="1464"/>
      <c r="IZ7" s="1410"/>
      <c r="JA7" s="1410"/>
      <c r="JB7" s="1410"/>
      <c r="JC7" s="1410"/>
      <c r="JD7" s="1382" t="s">
        <v>1615</v>
      </c>
      <c r="JE7" s="1410"/>
      <c r="JF7" s="1410"/>
      <c r="JG7" s="1382" t="s">
        <v>1615</v>
      </c>
      <c r="JH7" s="1464" t="s">
        <v>1615</v>
      </c>
      <c r="JI7" s="1410"/>
      <c r="JJ7" s="1410"/>
      <c r="JK7" s="1410"/>
      <c r="JL7" s="1464" t="s">
        <v>1615</v>
      </c>
      <c r="JM7" s="1410"/>
      <c r="JN7" s="1410"/>
      <c r="JO7" s="1410"/>
      <c r="JP7" s="1382" t="s">
        <v>1707</v>
      </c>
      <c r="JQ7" s="1405"/>
      <c r="JR7" s="351"/>
      <c r="JS7" s="1400"/>
      <c r="JT7" s="1400"/>
    </row>
    <row r="8" spans="1:280" x14ac:dyDescent="0.25">
      <c r="A8" s="1367">
        <v>7</v>
      </c>
      <c r="B8" s="1411" t="str">
        <f t="shared" si="0"/>
        <v>25/04/2025</v>
      </c>
      <c r="C8" s="1508" t="s">
        <v>2919</v>
      </c>
      <c r="D8" s="1436" t="s">
        <v>2920</v>
      </c>
      <c r="E8" s="1355"/>
      <c r="F8" s="1355"/>
      <c r="G8" s="1355"/>
      <c r="H8" s="1355"/>
      <c r="I8" s="1355"/>
      <c r="J8" s="1355"/>
      <c r="K8" s="1355"/>
      <c r="L8" s="1355"/>
      <c r="M8" s="1362" t="str">
        <f>"29/05/"&amp;Tax_year_start</f>
        <v>29/05/2025</v>
      </c>
      <c r="N8" s="1355"/>
      <c r="O8" s="1355"/>
      <c r="P8" s="1355"/>
      <c r="Q8" s="1355"/>
      <c r="R8" s="1355"/>
      <c r="S8" s="1355"/>
      <c r="T8" s="1355"/>
      <c r="U8" s="1355"/>
      <c r="V8" s="1355"/>
      <c r="W8" s="1355"/>
      <c r="X8" s="1355"/>
      <c r="Y8" s="1355"/>
      <c r="Z8" s="1422" t="str">
        <f>"29/04/"&amp;Tax_year_start</f>
        <v>29/04/2025</v>
      </c>
      <c r="AA8" s="1355"/>
      <c r="AB8" s="1355"/>
      <c r="AC8" s="1355"/>
      <c r="AD8" s="1355"/>
      <c r="AE8" s="1355"/>
      <c r="AF8" s="1355"/>
      <c r="AG8" s="1355"/>
      <c r="AH8" s="1355"/>
      <c r="AI8" s="1355"/>
      <c r="AJ8" s="1355"/>
      <c r="AK8" s="1355"/>
      <c r="AL8" s="1355"/>
      <c r="AM8" s="1355"/>
      <c r="AN8" s="1355"/>
      <c r="AO8" s="1355"/>
      <c r="AP8" s="1355"/>
      <c r="AQ8" s="1355"/>
      <c r="AR8" s="1355"/>
      <c r="AS8" s="1355"/>
      <c r="AT8" s="1355"/>
      <c r="AU8" s="1355"/>
      <c r="AV8" s="1422" t="str">
        <f>"06/04/"&amp;Tax_year_start</f>
        <v>06/04/2025</v>
      </c>
      <c r="AW8" s="1355"/>
      <c r="AX8" s="1355"/>
      <c r="AY8" s="1355"/>
      <c r="AZ8" s="1355"/>
      <c r="BA8" s="1355"/>
      <c r="BB8" s="1355"/>
      <c r="BC8" s="1355"/>
      <c r="BD8" s="1355"/>
      <c r="BE8" s="1355"/>
      <c r="BF8" s="1355"/>
      <c r="BG8" s="1355"/>
      <c r="BH8" s="1355"/>
      <c r="BI8" s="1355"/>
      <c r="BJ8" s="1355"/>
      <c r="BK8" s="1355"/>
      <c r="BL8" s="1355"/>
      <c r="BM8" s="1355"/>
      <c r="BN8" s="1355"/>
      <c r="BO8" s="1355"/>
      <c r="BP8" s="1355"/>
      <c r="BQ8" s="1355"/>
      <c r="BR8" s="1355"/>
      <c r="BS8" s="1355"/>
      <c r="BT8" s="1355"/>
      <c r="BU8" s="1355"/>
      <c r="BV8" s="1355"/>
      <c r="BW8" s="1355"/>
      <c r="BX8" s="1355"/>
      <c r="BY8" s="1355"/>
      <c r="BZ8" s="1355"/>
      <c r="CA8" s="1355"/>
      <c r="CB8" s="1481" t="str">
        <f>"07/04/"&amp;Tax_year_start</f>
        <v>07/04/2025</v>
      </c>
      <c r="CC8" s="1355"/>
      <c r="CD8" s="1355"/>
      <c r="CE8" s="1355"/>
      <c r="CF8" s="1355"/>
      <c r="CG8" s="1355"/>
      <c r="CH8" s="1355"/>
      <c r="CI8" s="1355"/>
      <c r="CJ8" s="1355"/>
      <c r="CK8" s="1355"/>
      <c r="CL8" s="1355"/>
      <c r="CM8" s="1355"/>
      <c r="CN8" s="1355"/>
      <c r="CO8" s="1422" t="str">
        <f>"30/04/"&amp;Tax_year_start</f>
        <v>30/04/2025</v>
      </c>
      <c r="CP8" s="1362" t="str">
        <f>"29/04/"&amp;Tax_year_start</f>
        <v>29/04/2025</v>
      </c>
      <c r="CQ8" s="1355"/>
      <c r="CR8" s="1355"/>
      <c r="CS8" s="1355"/>
      <c r="CT8" s="1355"/>
      <c r="CU8" s="1355"/>
      <c r="CV8" s="1355"/>
      <c r="CW8" s="1355"/>
      <c r="CX8" s="1355"/>
      <c r="CY8" s="1355"/>
      <c r="CZ8" s="1355"/>
      <c r="DA8" s="1355"/>
      <c r="DB8" s="1355"/>
      <c r="DC8" s="1422" t="str">
        <f>"26/04/"&amp;Tax_year_start</f>
        <v>26/04/2025</v>
      </c>
      <c r="DD8" s="1355"/>
      <c r="DE8" s="1355"/>
      <c r="DF8" s="1355"/>
      <c r="DG8" s="1355"/>
      <c r="DH8" s="1355"/>
      <c r="DI8" s="1355"/>
      <c r="DJ8" s="1355"/>
      <c r="DK8" s="1355"/>
      <c r="DL8" s="1355"/>
      <c r="DM8" s="1355"/>
      <c r="DN8" s="1355"/>
      <c r="DO8" s="1355"/>
      <c r="DP8" s="1355"/>
      <c r="DQ8" s="1355"/>
      <c r="DR8" s="1355"/>
      <c r="DS8" s="1355"/>
      <c r="DT8" s="1355"/>
      <c r="DU8" s="1355"/>
      <c r="DV8" s="1481" t="str">
        <f>"17/04/"&amp;Tax_year_start</f>
        <v>17/04/2025</v>
      </c>
      <c r="DW8" s="1355"/>
      <c r="DX8" s="1355"/>
      <c r="DY8" s="1355"/>
      <c r="DZ8" s="1355"/>
      <c r="EA8" s="1481" t="str">
        <f>"06/04/"&amp;Tax_year_start</f>
        <v>06/04/2025</v>
      </c>
      <c r="EB8" s="1355"/>
      <c r="EC8" s="1355"/>
      <c r="ED8" s="1355"/>
      <c r="EE8" s="1355"/>
      <c r="EF8" s="1355"/>
      <c r="EG8" s="1355"/>
      <c r="EH8" s="1355"/>
      <c r="EI8" s="1355"/>
      <c r="EJ8" s="1355"/>
      <c r="EK8" s="1355"/>
      <c r="EL8" s="1355"/>
      <c r="EM8" s="1355"/>
      <c r="EN8" s="1355"/>
      <c r="EO8" s="1355"/>
      <c r="EP8" s="1355"/>
      <c r="EQ8" s="1355"/>
      <c r="ER8" s="1355"/>
      <c r="ES8" s="1355"/>
      <c r="ET8" s="1355"/>
      <c r="EU8" s="1355"/>
      <c r="EV8" s="1355"/>
      <c r="EW8" s="1355"/>
      <c r="EX8" s="1355"/>
      <c r="EY8" s="1355"/>
      <c r="EZ8" s="1355"/>
      <c r="FA8" s="1355"/>
      <c r="FB8" s="1355"/>
      <c r="FC8" s="1355"/>
      <c r="FD8" s="1355"/>
      <c r="FE8" s="1422" t="str">
        <f>"06/05/"&amp;Tax_year_start</f>
        <v>06/05/2025</v>
      </c>
      <c r="FF8" s="1355"/>
      <c r="FG8" s="1422" t="str">
        <f>"21/04/"&amp;Tax_year_start</f>
        <v>21/04/2025</v>
      </c>
      <c r="FH8" s="1355"/>
      <c r="FI8" s="1355"/>
      <c r="FJ8" s="1355"/>
      <c r="FK8" s="1355"/>
      <c r="FL8" s="1355"/>
      <c r="FM8" s="1355"/>
      <c r="FN8" s="1355"/>
      <c r="FO8" s="1355"/>
      <c r="FP8" s="1490" t="str">
        <f>"25/04/"&amp;Tax_year_start</f>
        <v>25/04/2025</v>
      </c>
      <c r="FQ8" s="1355"/>
      <c r="FR8" s="1355"/>
      <c r="FS8" s="1355"/>
      <c r="FT8" s="1355"/>
      <c r="FU8" s="1355"/>
      <c r="FV8" s="1355"/>
      <c r="FW8" s="1355"/>
      <c r="FX8" s="1355"/>
      <c r="FY8" s="1355"/>
      <c r="FZ8" s="1355"/>
      <c r="GA8" s="1355"/>
      <c r="GB8" s="1355"/>
      <c r="GC8" s="1355"/>
      <c r="GD8" s="1355"/>
      <c r="GE8" s="1355"/>
      <c r="GF8" s="1355"/>
      <c r="GG8" s="1355"/>
      <c r="GH8" s="1355"/>
      <c r="GI8" s="1355"/>
      <c r="GJ8" s="1355"/>
      <c r="GK8" s="1355"/>
      <c r="GL8" s="1355"/>
      <c r="GM8" s="1355"/>
      <c r="GN8" s="1355"/>
      <c r="GO8" s="1422" t="str">
        <f>"13/04/"&amp;Tax_year_start</f>
        <v>13/04/2025</v>
      </c>
      <c r="GP8" s="1355"/>
      <c r="GQ8" s="1422" t="str">
        <f>"11/04/"&amp;Tax_year_start</f>
        <v>11/04/2025</v>
      </c>
      <c r="GR8" s="1355"/>
      <c r="GS8" s="1355"/>
      <c r="GT8" s="1355"/>
      <c r="GU8" s="1355"/>
      <c r="GV8" s="1355"/>
      <c r="GW8" s="1355"/>
      <c r="GX8" s="1355"/>
      <c r="GY8" s="1355"/>
      <c r="GZ8" s="1355"/>
      <c r="HA8" s="1355"/>
      <c r="HB8" s="1422" t="str">
        <f>"08/04/"&amp;Tax_year_start</f>
        <v>08/04/2025</v>
      </c>
      <c r="HC8" s="1355"/>
      <c r="HD8" s="1355"/>
      <c r="HE8" s="1355"/>
      <c r="HF8" s="1355"/>
      <c r="HG8" s="1355"/>
      <c r="HH8" s="1355"/>
      <c r="HI8" s="1355"/>
      <c r="HJ8" s="1355"/>
      <c r="HK8" s="1355"/>
      <c r="HL8" s="1355"/>
      <c r="HM8" s="1355"/>
      <c r="HN8" s="1355"/>
      <c r="HO8" s="1355"/>
      <c r="HP8" s="1355"/>
      <c r="HQ8" s="1355"/>
      <c r="HR8" s="1355"/>
      <c r="HS8" s="1355"/>
      <c r="HT8" s="1355"/>
      <c r="HU8" s="1355"/>
      <c r="HV8" s="1355"/>
      <c r="HW8" s="1355"/>
      <c r="HX8" s="1355"/>
      <c r="HY8" s="1355"/>
      <c r="HZ8" s="1355"/>
      <c r="IA8" s="1355"/>
      <c r="IB8" s="1355"/>
      <c r="IC8" s="1355"/>
      <c r="ID8" s="1355"/>
      <c r="IE8" s="1355"/>
      <c r="IF8" s="1355"/>
      <c r="IG8" s="1355"/>
      <c r="IH8" s="1355"/>
      <c r="II8" s="1355"/>
      <c r="IJ8" s="1355"/>
      <c r="IK8" s="1355"/>
      <c r="IL8" s="1355"/>
      <c r="IM8" s="1355"/>
      <c r="IN8" s="1355"/>
      <c r="IO8" s="1355"/>
      <c r="IP8" s="1355"/>
      <c r="IQ8" s="1355"/>
      <c r="IR8" s="1355"/>
      <c r="IS8" s="1355"/>
      <c r="IT8" s="1355"/>
      <c r="IU8" s="1355"/>
      <c r="IV8" s="1355"/>
      <c r="IW8" s="1355"/>
      <c r="IX8" s="1355"/>
      <c r="IY8" s="1490"/>
      <c r="IZ8" s="1355"/>
      <c r="JA8" s="1355"/>
      <c r="JB8" s="1355"/>
      <c r="JC8" s="1355"/>
      <c r="JD8" s="1355"/>
      <c r="JE8" s="1355"/>
      <c r="JF8" s="1355"/>
      <c r="JG8" s="1355"/>
      <c r="JH8" s="1355"/>
      <c r="JI8" s="1355"/>
      <c r="JJ8" s="1355"/>
      <c r="JK8" s="1355"/>
      <c r="JL8" s="1355"/>
      <c r="JM8" s="1355"/>
      <c r="JN8" s="1355"/>
      <c r="JO8" s="1355"/>
      <c r="JP8" s="1422" t="str">
        <f>"06/06/"&amp;Tax_year_start</f>
        <v>06/06/2025</v>
      </c>
      <c r="JQ8" s="1355"/>
      <c r="JR8" s="351"/>
      <c r="JS8" s="1400" t="s">
        <v>2921</v>
      </c>
      <c r="JT8" s="1400" t="s">
        <v>2208</v>
      </c>
    </row>
    <row r="9" spans="1:280" x14ac:dyDescent="0.25">
      <c r="A9" s="1367">
        <v>8</v>
      </c>
      <c r="B9" s="1411" t="str">
        <f t="shared" si="0"/>
        <v>Y</v>
      </c>
      <c r="C9" s="2540" t="s">
        <v>2922</v>
      </c>
      <c r="D9" s="1487" t="s">
        <v>2923</v>
      </c>
      <c r="E9" s="1491"/>
      <c r="F9" s="1492"/>
      <c r="G9" s="1491"/>
      <c r="H9" s="1492"/>
      <c r="I9" s="1492"/>
      <c r="J9" s="1492"/>
      <c r="K9" s="1492"/>
      <c r="L9" s="1492"/>
      <c r="M9" s="1362" t="s">
        <v>1615</v>
      </c>
      <c r="N9" s="1491"/>
      <c r="O9" s="1491"/>
      <c r="P9" s="1491"/>
      <c r="Q9" s="1362" t="s">
        <v>1707</v>
      </c>
      <c r="R9" s="1491"/>
      <c r="S9" s="1491"/>
      <c r="T9" s="1491"/>
      <c r="U9" s="1491"/>
      <c r="V9" s="1491"/>
      <c r="W9" s="1491"/>
      <c r="X9" s="1491"/>
      <c r="Y9" s="1491"/>
      <c r="Z9" s="1422" t="s">
        <v>1615</v>
      </c>
      <c r="AA9" s="1491"/>
      <c r="AB9" s="1491"/>
      <c r="AC9" s="1422" t="s">
        <v>1707</v>
      </c>
      <c r="AD9" s="1491"/>
      <c r="AE9" s="1491"/>
      <c r="AF9" s="1491"/>
      <c r="AG9" s="1491"/>
      <c r="AH9" s="1491"/>
      <c r="AI9" s="1493" t="s">
        <v>1707</v>
      </c>
      <c r="AJ9" s="1491"/>
      <c r="AK9" s="1491"/>
      <c r="AL9" s="1491"/>
      <c r="AM9" s="1491"/>
      <c r="AN9" s="1491"/>
      <c r="AO9" s="1489"/>
      <c r="AP9" s="1489"/>
      <c r="AQ9" s="1489"/>
      <c r="AR9" s="1489"/>
      <c r="AS9" s="1489"/>
      <c r="AT9" s="1422" t="s">
        <v>1707</v>
      </c>
      <c r="AU9" s="1494"/>
      <c r="AV9" s="1422" t="s">
        <v>1615</v>
      </c>
      <c r="AW9" s="1489"/>
      <c r="AX9" s="1489"/>
      <c r="AY9" s="1489"/>
      <c r="AZ9" s="1489"/>
      <c r="BA9" s="1489"/>
      <c r="BB9" s="1492"/>
      <c r="BC9" s="1489"/>
      <c r="BD9" s="1495" t="s">
        <v>1707</v>
      </c>
      <c r="BE9" s="1495" t="s">
        <v>1707</v>
      </c>
      <c r="BF9" s="1489"/>
      <c r="BG9" s="1489"/>
      <c r="BH9" s="1272"/>
      <c r="BI9" s="1272"/>
      <c r="BJ9" s="1489"/>
      <c r="BK9" s="1489"/>
      <c r="BL9" s="1489"/>
      <c r="BM9" s="1489"/>
      <c r="BN9" s="1489"/>
      <c r="BO9" s="1489"/>
      <c r="BP9" s="1489"/>
      <c r="BQ9" s="1489"/>
      <c r="BR9" s="1489"/>
      <c r="BS9" s="1489"/>
      <c r="BT9" s="1489"/>
      <c r="BU9" s="1489"/>
      <c r="BV9" s="1495" t="s">
        <v>1707</v>
      </c>
      <c r="BW9" s="1489"/>
      <c r="BX9" s="1489"/>
      <c r="BY9" s="1489"/>
      <c r="BZ9" s="1489"/>
      <c r="CA9" s="1489"/>
      <c r="CB9" s="1496" t="s">
        <v>1615</v>
      </c>
      <c r="CC9" s="1489"/>
      <c r="CD9" s="1489"/>
      <c r="CE9" s="1489"/>
      <c r="CF9" s="1489"/>
      <c r="CG9" s="1489"/>
      <c r="CH9" s="1489"/>
      <c r="CI9" s="1489"/>
      <c r="CJ9" s="1495" t="s">
        <v>1615</v>
      </c>
      <c r="CK9" s="1489"/>
      <c r="CL9" s="1489"/>
      <c r="CM9" s="1489"/>
      <c r="CN9" s="1489"/>
      <c r="CO9" s="1495" t="s">
        <v>1707</v>
      </c>
      <c r="CP9" s="1495" t="s">
        <v>1615</v>
      </c>
      <c r="CQ9" s="1489"/>
      <c r="CR9" s="1489"/>
      <c r="CS9" s="1489"/>
      <c r="CT9" s="1489"/>
      <c r="CU9" s="1489"/>
      <c r="CV9" s="1489"/>
      <c r="CW9" s="1489"/>
      <c r="CX9" s="1489"/>
      <c r="CY9" s="1489"/>
      <c r="CZ9" s="1489"/>
      <c r="DA9" s="1489"/>
      <c r="DB9" s="1489"/>
      <c r="DC9" s="1495" t="s">
        <v>1707</v>
      </c>
      <c r="DD9" s="1382" t="s">
        <v>1615</v>
      </c>
      <c r="DE9" s="1489"/>
      <c r="DF9" s="1489"/>
      <c r="DG9" s="1489"/>
      <c r="DH9" s="1489"/>
      <c r="DI9" s="1489"/>
      <c r="DJ9" s="1489"/>
      <c r="DK9" s="1489"/>
      <c r="DL9" s="1489"/>
      <c r="DM9" s="1489"/>
      <c r="DN9" s="1495" t="s">
        <v>1707</v>
      </c>
      <c r="DO9" s="1496" t="s">
        <v>1707</v>
      </c>
      <c r="DP9" s="1489"/>
      <c r="DQ9" s="1489"/>
      <c r="DR9" s="1489"/>
      <c r="DS9" s="1496" t="s">
        <v>1707</v>
      </c>
      <c r="DT9" s="1489"/>
      <c r="DU9" s="1489"/>
      <c r="DV9" s="1496" t="s">
        <v>1615</v>
      </c>
      <c r="DW9" s="1489"/>
      <c r="DX9" s="1410"/>
      <c r="DY9" s="1489"/>
      <c r="DZ9" s="1489"/>
      <c r="EA9" s="1496" t="s">
        <v>1615</v>
      </c>
      <c r="EB9" s="1489"/>
      <c r="EC9" s="1489"/>
      <c r="ED9" s="1495" t="s">
        <v>1707</v>
      </c>
      <c r="EE9" s="1495" t="s">
        <v>1707</v>
      </c>
      <c r="EF9" s="1489"/>
      <c r="EG9" s="1489"/>
      <c r="EH9" s="1489"/>
      <c r="EI9" s="1489"/>
      <c r="EJ9" s="1489"/>
      <c r="EK9" s="1489"/>
      <c r="EL9" s="1496" t="s">
        <v>1707</v>
      </c>
      <c r="EM9" s="1496" t="s">
        <v>1707</v>
      </c>
      <c r="EN9" s="1492"/>
      <c r="EO9" s="1489"/>
      <c r="EP9" s="1489"/>
      <c r="EQ9" s="1489"/>
      <c r="ER9" s="1489"/>
      <c r="ES9" s="1489"/>
      <c r="ET9" s="1489"/>
      <c r="EU9" s="1489"/>
      <c r="EV9" s="1489"/>
      <c r="EW9" s="1489"/>
      <c r="EX9" s="1489"/>
      <c r="EY9" s="1489"/>
      <c r="EZ9" s="1489"/>
      <c r="FA9" s="1489"/>
      <c r="FB9" s="1489"/>
      <c r="FC9" s="1489"/>
      <c r="FD9" s="1496" t="s">
        <v>1707</v>
      </c>
      <c r="FE9" s="1495" t="s">
        <v>1615</v>
      </c>
      <c r="FF9" s="1489"/>
      <c r="FG9" s="1495" t="s">
        <v>1707</v>
      </c>
      <c r="FH9" s="1496" t="s">
        <v>1707</v>
      </c>
      <c r="FI9" s="1489"/>
      <c r="FJ9" s="1489"/>
      <c r="FK9" s="1496" t="s">
        <v>1707</v>
      </c>
      <c r="FL9" s="1489"/>
      <c r="FM9" s="1489"/>
      <c r="FN9" s="1489"/>
      <c r="FO9" s="1489"/>
      <c r="FP9" s="1496" t="s">
        <v>1707</v>
      </c>
      <c r="FQ9" s="1489"/>
      <c r="FR9" s="1489"/>
      <c r="FS9" s="1489"/>
      <c r="FT9" s="1489"/>
      <c r="FU9" s="1489"/>
      <c r="FV9" s="1489"/>
      <c r="FW9" s="1489"/>
      <c r="FX9" s="1489"/>
      <c r="FY9" s="1489"/>
      <c r="FZ9" s="1489"/>
      <c r="GA9" s="1489"/>
      <c r="GB9" s="1489"/>
      <c r="GC9" s="1489"/>
      <c r="GD9" s="1489"/>
      <c r="GE9" s="1489"/>
      <c r="GF9" s="1489"/>
      <c r="GG9" s="1489"/>
      <c r="GH9" s="1489"/>
      <c r="GI9" s="1495" t="s">
        <v>1707</v>
      </c>
      <c r="GJ9" s="1489"/>
      <c r="GK9" s="1489"/>
      <c r="GL9" s="1489"/>
      <c r="GM9" s="1489"/>
      <c r="GN9" s="1492"/>
      <c r="GO9" s="1495" t="s">
        <v>1707</v>
      </c>
      <c r="GP9" s="1489"/>
      <c r="GQ9" s="1495" t="s">
        <v>1707</v>
      </c>
      <c r="GR9" s="1489"/>
      <c r="GS9" s="1489"/>
      <c r="GT9" s="1489"/>
      <c r="GU9" s="1489"/>
      <c r="GV9" s="1489"/>
      <c r="GW9" s="1495" t="s">
        <v>1707</v>
      </c>
      <c r="GX9" s="1489"/>
      <c r="GY9" s="1489"/>
      <c r="GZ9" s="1489"/>
      <c r="HA9" s="1489"/>
      <c r="HB9" s="1495" t="s">
        <v>1707</v>
      </c>
      <c r="HC9" s="1489"/>
      <c r="HD9" s="1489"/>
      <c r="HE9" s="1489"/>
      <c r="HF9" s="1489"/>
      <c r="HG9" s="1489"/>
      <c r="HH9" s="1489"/>
      <c r="HI9" s="1489"/>
      <c r="HJ9" s="1489"/>
      <c r="HK9" s="1489"/>
      <c r="HL9" s="1489"/>
      <c r="HM9" s="1489"/>
      <c r="HN9" s="1489"/>
      <c r="HO9" s="1489"/>
      <c r="HP9" s="1489"/>
      <c r="HQ9" s="1489"/>
      <c r="HR9" s="1489"/>
      <c r="HS9" s="1489"/>
      <c r="HT9" s="1495" t="s">
        <v>1707</v>
      </c>
      <c r="HU9" s="1495" t="s">
        <v>1707</v>
      </c>
      <c r="HV9" s="1495" t="s">
        <v>1707</v>
      </c>
      <c r="HW9" s="1489"/>
      <c r="HX9" s="1489"/>
      <c r="HY9" s="1489"/>
      <c r="HZ9" s="1489"/>
      <c r="IA9" s="1489"/>
      <c r="IB9" s="1489"/>
      <c r="IC9" s="1489"/>
      <c r="ID9" s="1489"/>
      <c r="IE9" s="1489"/>
      <c r="IF9" s="1489"/>
      <c r="IG9" s="1489"/>
      <c r="IH9" s="1489"/>
      <c r="II9" s="1489"/>
      <c r="IJ9" s="1489"/>
      <c r="IK9" s="1489"/>
      <c r="IL9" s="2411"/>
      <c r="IM9" s="1489"/>
      <c r="IN9" s="1489"/>
      <c r="IO9" s="1495" t="s">
        <v>1707</v>
      </c>
      <c r="IP9" s="1489"/>
      <c r="IQ9" s="1489"/>
      <c r="IR9" s="1489"/>
      <c r="IS9" s="1489"/>
      <c r="IT9" s="1489"/>
      <c r="IU9" s="1489"/>
      <c r="IV9" s="1489"/>
      <c r="IW9" s="1489"/>
      <c r="IX9" s="1489"/>
      <c r="IY9" s="1496"/>
      <c r="IZ9" s="1489"/>
      <c r="JA9" s="1489"/>
      <c r="JB9" s="1489"/>
      <c r="JC9" s="1489"/>
      <c r="JD9" s="1495" t="s">
        <v>1707</v>
      </c>
      <c r="JE9" s="1489"/>
      <c r="JF9" s="1489"/>
      <c r="JG9" s="1495" t="s">
        <v>1707</v>
      </c>
      <c r="JH9" s="1496" t="s">
        <v>1707</v>
      </c>
      <c r="JI9" s="1489"/>
      <c r="JJ9" s="1489"/>
      <c r="JK9" s="1489"/>
      <c r="JL9" s="1464" t="s">
        <v>1615</v>
      </c>
      <c r="JM9" s="1489"/>
      <c r="JN9" s="1489"/>
      <c r="JO9" s="1489"/>
      <c r="JP9" s="1495" t="s">
        <v>1707</v>
      </c>
      <c r="JQ9" s="1497"/>
      <c r="JR9" s="351"/>
      <c r="JS9" s="1400"/>
      <c r="JT9" s="1400"/>
    </row>
    <row r="10" spans="1:280" ht="30" x14ac:dyDescent="0.25">
      <c r="A10" s="1367">
        <v>9</v>
      </c>
      <c r="B10" s="1411" t="str">
        <f t="shared" si="0"/>
        <v>05/04/2026</v>
      </c>
      <c r="C10" s="1508" t="s">
        <v>2924</v>
      </c>
      <c r="D10" s="1436" t="s">
        <v>2925</v>
      </c>
      <c r="E10" s="1355"/>
      <c r="F10" s="1355"/>
      <c r="G10" s="1355"/>
      <c r="H10" s="1355"/>
      <c r="I10" s="1355"/>
      <c r="J10" s="1355"/>
      <c r="K10" s="1355"/>
      <c r="L10" s="1355"/>
      <c r="M10" s="1355"/>
      <c r="N10" s="1355"/>
      <c r="O10" s="1355"/>
      <c r="P10" s="1355"/>
      <c r="Q10" s="1422" t="str">
        <f>"04/04/"&amp;Tax_year_start</f>
        <v>04/04/2025</v>
      </c>
      <c r="R10" s="1355"/>
      <c r="S10" s="1355"/>
      <c r="T10" s="1355"/>
      <c r="U10" s="1355"/>
      <c r="V10" s="1355"/>
      <c r="W10" s="1355"/>
      <c r="X10" s="1355"/>
      <c r="Y10" s="1355"/>
      <c r="Z10" s="1355"/>
      <c r="AA10" s="1355"/>
      <c r="AB10" s="1355"/>
      <c r="AC10" s="1422" t="str">
        <f>"31/03/"&amp;Tax_year_end</f>
        <v>31/03/2026</v>
      </c>
      <c r="AD10" s="1355"/>
      <c r="AE10" s="1355"/>
      <c r="AF10" s="1355"/>
      <c r="AG10" s="1355"/>
      <c r="AH10" s="1355"/>
      <c r="AI10" s="1422" t="str">
        <f>"30/03/"&amp;Tax_year_end</f>
        <v>30/03/2026</v>
      </c>
      <c r="AJ10" s="1355"/>
      <c r="AK10" s="1355"/>
      <c r="AL10" s="1355"/>
      <c r="AM10" s="1355"/>
      <c r="AN10" s="1355"/>
      <c r="AO10" s="1355"/>
      <c r="AP10" s="1355"/>
      <c r="AQ10" s="1355"/>
      <c r="AR10" s="1355"/>
      <c r="AS10" s="1355"/>
      <c r="AT10" s="1422" t="str">
        <f>"02/04/"&amp;Tax_year_end</f>
        <v>02/04/2026</v>
      </c>
      <c r="AU10" s="1355"/>
      <c r="AV10" s="1355"/>
      <c r="AW10" s="1355"/>
      <c r="AX10" s="1355"/>
      <c r="AY10" s="1355"/>
      <c r="AZ10" s="1355"/>
      <c r="BA10" s="1355"/>
      <c r="BB10" s="1355"/>
      <c r="BC10" s="1355"/>
      <c r="BD10" s="1422" t="str">
        <f>"01/04/"&amp;Tax_year_end</f>
        <v>01/04/2026</v>
      </c>
      <c r="BE10" s="1422" t="str">
        <f>"02/04/"&amp;Tax_year_end</f>
        <v>02/04/2026</v>
      </c>
      <c r="BF10" s="1355"/>
      <c r="BG10" s="1355"/>
      <c r="BH10" s="1355"/>
      <c r="BI10" s="1355"/>
      <c r="BJ10" s="1355"/>
      <c r="BK10" s="1355"/>
      <c r="BL10" s="1355"/>
      <c r="BM10" s="1355"/>
      <c r="BN10" s="1355"/>
      <c r="BO10" s="1355"/>
      <c r="BP10" s="1355"/>
      <c r="BQ10" s="1355"/>
      <c r="BR10" s="1355"/>
      <c r="BS10" s="1355"/>
      <c r="BT10" s="1355"/>
      <c r="BU10" s="1355"/>
      <c r="BV10" s="1422" t="str">
        <f>"30/03/"&amp;Tax_year_end</f>
        <v>30/03/2026</v>
      </c>
      <c r="BW10" s="1355"/>
      <c r="BX10" s="1355"/>
      <c r="BY10" s="1355"/>
      <c r="BZ10" s="1355"/>
      <c r="CA10" s="1355"/>
      <c r="CB10" s="1355"/>
      <c r="CC10" s="1355"/>
      <c r="CD10" s="1355"/>
      <c r="CE10" s="1355"/>
      <c r="CF10" s="1355"/>
      <c r="CG10" s="1355"/>
      <c r="CH10" s="1355"/>
      <c r="CI10" s="1355"/>
      <c r="CJ10" s="1355"/>
      <c r="CK10" s="1355"/>
      <c r="CL10" s="1355"/>
      <c r="CM10" s="1355"/>
      <c r="CN10" s="1355"/>
      <c r="CO10" s="1422" t="str">
        <f>"31/03/"&amp;Tax_year_end</f>
        <v>31/03/2026</v>
      </c>
      <c r="CP10" s="1355"/>
      <c r="CQ10" s="1355"/>
      <c r="CR10" s="1355"/>
      <c r="CS10" s="1355"/>
      <c r="CT10" s="1355"/>
      <c r="CU10" s="1355"/>
      <c r="CV10" s="1355"/>
      <c r="CW10" s="1355"/>
      <c r="CX10" s="1355"/>
      <c r="CY10" s="1355"/>
      <c r="CZ10" s="1355"/>
      <c r="DA10" s="1355"/>
      <c r="DB10" s="1355"/>
      <c r="DC10" s="1422" t="str">
        <f>"02/04/"&amp;Tax_year_end</f>
        <v>02/04/2026</v>
      </c>
      <c r="DD10" s="1355"/>
      <c r="DE10" s="1355"/>
      <c r="DF10" s="1355"/>
      <c r="DG10" s="1355"/>
      <c r="DH10" s="1355"/>
      <c r="DI10" s="1355"/>
      <c r="DJ10" s="1355"/>
      <c r="DK10" s="1355"/>
      <c r="DL10" s="1355"/>
      <c r="DM10" s="1355"/>
      <c r="DN10" s="1422" t="str">
        <f>"26/03/"&amp;Tax_year_end</f>
        <v>26/03/2026</v>
      </c>
      <c r="DO10" s="1422" t="str">
        <f>"25/03/"&amp;Tax_year_end</f>
        <v>25/03/2026</v>
      </c>
      <c r="DP10" s="1355"/>
      <c r="DQ10" s="1355"/>
      <c r="DR10" s="1355"/>
      <c r="DS10" s="1422" t="str">
        <f>"25/03/"&amp;Tax_year_end</f>
        <v>25/03/2026</v>
      </c>
      <c r="DT10" s="1355"/>
      <c r="DU10" s="1355"/>
      <c r="DV10" s="1355"/>
      <c r="DW10" s="1355"/>
      <c r="DX10" s="1495"/>
      <c r="DY10" s="1355"/>
      <c r="DZ10" s="1355"/>
      <c r="EA10" s="1355"/>
      <c r="EB10" s="1355"/>
      <c r="EC10" s="1355"/>
      <c r="ED10" s="1422" t="str">
        <f>"01/04/"&amp;Tax_year_end</f>
        <v>01/04/2026</v>
      </c>
      <c r="EE10" s="1422" t="str">
        <f>"02/04/"&amp;Tax_year_end</f>
        <v>02/04/2026</v>
      </c>
      <c r="EF10" s="1355"/>
      <c r="EG10" s="1355"/>
      <c r="EH10" s="1355"/>
      <c r="EI10" s="1355"/>
      <c r="EJ10" s="1355"/>
      <c r="EK10" s="1355"/>
      <c r="EL10" s="1422" t="str">
        <f>"03/04/"&amp;Tax_year_end</f>
        <v>03/04/2026</v>
      </c>
      <c r="EM10" s="1422" t="str">
        <f>"02/04/"&amp;Tax_year_end</f>
        <v>02/04/2026</v>
      </c>
      <c r="EN10" s="1355"/>
      <c r="EO10" s="1355"/>
      <c r="EP10" s="1355"/>
      <c r="EQ10" s="1355"/>
      <c r="ER10" s="1355"/>
      <c r="ES10" s="1355"/>
      <c r="ET10" s="1355"/>
      <c r="EU10" s="1355"/>
      <c r="EV10" s="1355"/>
      <c r="EW10" s="1355"/>
      <c r="EX10" s="1355"/>
      <c r="EY10" s="1355"/>
      <c r="EZ10" s="1355"/>
      <c r="FA10" s="1355"/>
      <c r="FB10" s="1355"/>
      <c r="FC10" s="1355"/>
      <c r="FD10" s="1409" t="str">
        <f>"26/02/"&amp;Tax_year_end</f>
        <v>26/02/2026</v>
      </c>
      <c r="FE10" s="1355"/>
      <c r="FF10" s="1355"/>
      <c r="FG10" s="1355" t="str">
        <f>"05/04/"&amp;Tax_year_end</f>
        <v>05/04/2026</v>
      </c>
      <c r="FH10" s="1422" t="str">
        <f>"31/03/"&amp;Tax_year_end</f>
        <v>31/03/2026</v>
      </c>
      <c r="FI10" s="1355"/>
      <c r="FJ10" s="1355"/>
      <c r="FK10" s="1409" t="str">
        <f>"19/03/"&amp;Tax_year_end</f>
        <v>19/03/2026</v>
      </c>
      <c r="FL10" s="1355"/>
      <c r="FM10" s="1355"/>
      <c r="FN10" s="1355"/>
      <c r="FO10" s="1355"/>
      <c r="FP10" s="1355" t="str">
        <f>"05/04/"&amp;Tax_year_end</f>
        <v>05/04/2026</v>
      </c>
      <c r="FQ10" s="1355"/>
      <c r="FR10" s="1355"/>
      <c r="FS10" s="1355"/>
      <c r="FT10" s="1355"/>
      <c r="FU10" s="1355"/>
      <c r="FV10" s="1355"/>
      <c r="FW10" s="1355"/>
      <c r="FX10" s="1355"/>
      <c r="FY10" s="1355"/>
      <c r="FZ10" s="1355"/>
      <c r="GA10" s="1355"/>
      <c r="GB10" s="1355"/>
      <c r="GC10" s="1355"/>
      <c r="GD10" s="1355"/>
      <c r="GE10" s="1355"/>
      <c r="GF10" s="1355"/>
      <c r="GG10" s="1355"/>
      <c r="GH10" s="1355"/>
      <c r="GI10" s="1422" t="str">
        <f>"31/03/"&amp;Tax_year_end</f>
        <v>31/03/2026</v>
      </c>
      <c r="GJ10" s="1355"/>
      <c r="GK10" s="1355"/>
      <c r="GL10" s="1355"/>
      <c r="GM10" s="1355"/>
      <c r="GN10" s="1355"/>
      <c r="GO10" s="1355" t="s">
        <v>2926</v>
      </c>
      <c r="GP10" s="1355"/>
      <c r="GQ10" s="1355" t="s">
        <v>2926</v>
      </c>
      <c r="GR10" s="1355"/>
      <c r="GS10" s="1355"/>
      <c r="GT10" s="1355"/>
      <c r="GU10" s="1355"/>
      <c r="GV10" s="1355"/>
      <c r="GW10" s="1366" t="str">
        <f>"29/03/"&amp;Tax_year_end</f>
        <v>29/03/2026</v>
      </c>
      <c r="GX10" s="1355"/>
      <c r="GY10" s="1355"/>
      <c r="GZ10" s="1355"/>
      <c r="HA10" s="1355"/>
      <c r="HB10" s="1355" t="str">
        <f>"05/04/"&amp;Tax_year_end</f>
        <v>05/04/2026</v>
      </c>
      <c r="HC10" s="1355"/>
      <c r="HD10" s="1355"/>
      <c r="HE10" s="1355"/>
      <c r="HF10" s="1355"/>
      <c r="HG10" s="1355"/>
      <c r="HH10" s="1355"/>
      <c r="HI10" s="1355"/>
      <c r="HJ10" s="1355"/>
      <c r="HK10" s="1355"/>
      <c r="HL10" s="1355"/>
      <c r="HM10" s="1355"/>
      <c r="HN10" s="1355"/>
      <c r="HO10" s="1355"/>
      <c r="HP10" s="1355"/>
      <c r="HQ10" s="1355"/>
      <c r="HR10" s="1355"/>
      <c r="HS10" s="1355"/>
      <c r="HT10" s="1422" t="str">
        <f>"31/03/"&amp;Tax_year_end</f>
        <v>31/03/2026</v>
      </c>
      <c r="HU10" s="1422" t="str">
        <f>"30/01/"&amp;Tax_year_end</f>
        <v>30/01/2026</v>
      </c>
      <c r="HV10" s="1422" t="str">
        <f>"31/03/"&amp;Tax_year_end</f>
        <v>31/03/2026</v>
      </c>
      <c r="HW10" s="1355"/>
      <c r="HX10" s="1355"/>
      <c r="HY10" s="1355"/>
      <c r="HZ10" s="1355"/>
      <c r="IA10" s="1355"/>
      <c r="IB10" s="1355"/>
      <c r="IC10" s="1355"/>
      <c r="ID10" s="1355"/>
      <c r="IE10" s="1355"/>
      <c r="IF10" s="1355"/>
      <c r="IG10" s="1355"/>
      <c r="IH10" s="1355"/>
      <c r="II10" s="1355"/>
      <c r="IJ10" s="1355"/>
      <c r="IK10" s="1355"/>
      <c r="IL10" s="1355"/>
      <c r="IM10" s="1355"/>
      <c r="IN10" s="1355"/>
      <c r="IO10" s="1422" t="str">
        <f>"31/01/"&amp;Tax_year_end</f>
        <v>31/01/2026</v>
      </c>
      <c r="IP10" s="1355"/>
      <c r="IQ10" s="1355"/>
      <c r="IR10" s="1355"/>
      <c r="IS10" s="1355"/>
      <c r="IT10" s="1355"/>
      <c r="IU10" s="1355"/>
      <c r="IV10" s="1355"/>
      <c r="IW10" s="1355"/>
      <c r="IX10" s="1355"/>
      <c r="IY10" s="1355"/>
      <c r="IZ10" s="1355"/>
      <c r="JA10" s="1355"/>
      <c r="JB10" s="1355"/>
      <c r="JC10" s="1355"/>
      <c r="JD10" s="1422" t="str">
        <f>"31/03/"&amp;Tax_year_end</f>
        <v>31/03/2026</v>
      </c>
      <c r="JE10" s="1355" t="s">
        <v>2927</v>
      </c>
      <c r="JF10" s="1355"/>
      <c r="JG10" s="1422" t="str">
        <f>"31/03/"&amp;Tax_year_end</f>
        <v>31/03/2026</v>
      </c>
      <c r="JH10" s="1422" t="str">
        <f>"31/03/"&amp;Tax_year_end</f>
        <v>31/03/2026</v>
      </c>
      <c r="JI10" s="1355"/>
      <c r="JJ10" s="1355"/>
      <c r="JK10" s="1355"/>
      <c r="JL10" s="1355"/>
      <c r="JM10" s="1355"/>
      <c r="JN10" s="1355"/>
      <c r="JO10" s="1355"/>
      <c r="JP10" s="1422" t="str">
        <f>"31/03/"&amp;Tax_year_end</f>
        <v>31/03/2026</v>
      </c>
      <c r="JQ10" s="1355"/>
      <c r="JR10" s="351"/>
      <c r="JS10" s="1400" t="s">
        <v>2928</v>
      </c>
      <c r="JT10" s="1400" t="s">
        <v>2208</v>
      </c>
    </row>
    <row r="11" spans="1:280" x14ac:dyDescent="0.25">
      <c r="A11" s="1367">
        <v>10</v>
      </c>
      <c r="B11" s="1411" t="str">
        <f t="shared" si="0"/>
        <v>05/04/2026</v>
      </c>
      <c r="C11" s="1508" t="s">
        <v>2929</v>
      </c>
      <c r="D11" s="1436" t="s">
        <v>2930</v>
      </c>
      <c r="E11" s="1355"/>
      <c r="F11" s="1355"/>
      <c r="G11" s="1355"/>
      <c r="H11" s="1355"/>
      <c r="I11" s="1355"/>
      <c r="J11" s="1355"/>
      <c r="K11" s="1355"/>
      <c r="L11" s="1355"/>
      <c r="M11" s="1355" t="str">
        <f>"05/04/"&amp;Tax_year_end</f>
        <v>05/04/2026</v>
      </c>
      <c r="N11" s="1355"/>
      <c r="O11" s="1355"/>
      <c r="P11" s="1355"/>
      <c r="Q11" s="1355" t="str">
        <f>"04/04/"&amp;Tax_year_end</f>
        <v>04/04/2026</v>
      </c>
      <c r="R11" s="1355"/>
      <c r="S11" s="1355"/>
      <c r="T11" s="1355"/>
      <c r="U11" s="1355"/>
      <c r="V11" s="1355"/>
      <c r="W11" s="1355"/>
      <c r="X11" s="1355"/>
      <c r="Y11" s="1355"/>
      <c r="Z11" s="1355" t="str">
        <f>"05/04/"&amp;Tax_year_end</f>
        <v>05/04/2026</v>
      </c>
      <c r="AA11" s="1355"/>
      <c r="AB11" s="1355"/>
      <c r="AC11" s="1355" t="str">
        <f>"31/03/"&amp;Tax_year_end</f>
        <v>31/03/2026</v>
      </c>
      <c r="AD11" s="1355"/>
      <c r="AE11" s="1355"/>
      <c r="AF11" s="1355"/>
      <c r="AG11" s="1355"/>
      <c r="AH11" s="1355"/>
      <c r="AI11" s="1355" t="str">
        <f>"30/03/"&amp;Tax_year_end</f>
        <v>30/03/2026</v>
      </c>
      <c r="AJ11" s="1355"/>
      <c r="AK11" s="1355"/>
      <c r="AL11" s="1355"/>
      <c r="AM11" s="1355"/>
      <c r="AN11" s="1355"/>
      <c r="AO11" s="1498"/>
      <c r="AP11" s="1498"/>
      <c r="AQ11" s="1498"/>
      <c r="AR11" s="1498"/>
      <c r="AS11" s="1498"/>
      <c r="AT11" s="1355" t="str">
        <f>"02/04/"&amp;Tax_year_end</f>
        <v>02/04/2026</v>
      </c>
      <c r="AU11" s="1498"/>
      <c r="AV11" s="1498" t="str">
        <f>"05/04/"&amp;Tax_year_end</f>
        <v>05/04/2026</v>
      </c>
      <c r="AW11" s="1498"/>
      <c r="AX11" s="1498"/>
      <c r="AY11" s="1498"/>
      <c r="AZ11" s="1498"/>
      <c r="BA11" s="1498"/>
      <c r="BB11" s="1498"/>
      <c r="BC11" s="1498"/>
      <c r="BD11" s="1498" t="str">
        <f>"01/04/"&amp;Tax_year_end</f>
        <v>01/04/2026</v>
      </c>
      <c r="BE11" s="1498" t="str">
        <f>"02/04/"&amp;Tax_year_end</f>
        <v>02/04/2026</v>
      </c>
      <c r="BF11" s="1498"/>
      <c r="BG11" s="1498"/>
      <c r="BH11" s="1498"/>
      <c r="BI11" s="1498"/>
      <c r="BJ11" s="1498"/>
      <c r="BK11" s="1498"/>
      <c r="BL11" s="1498"/>
      <c r="BM11" s="1498"/>
      <c r="BN11" s="1498"/>
      <c r="BO11" s="1498"/>
      <c r="BP11" s="1498"/>
      <c r="BQ11" s="1498"/>
      <c r="BR11" s="1498"/>
      <c r="BS11" s="1498"/>
      <c r="BT11" s="1498"/>
      <c r="BU11" s="1498"/>
      <c r="BV11" s="1498" t="str">
        <f>"30/03/"&amp;Tax_year_end</f>
        <v>30/03/2026</v>
      </c>
      <c r="BW11" s="1498"/>
      <c r="BX11" s="1498"/>
      <c r="BY11" s="1498"/>
      <c r="BZ11" s="1498"/>
      <c r="CA11" s="1498"/>
      <c r="CB11" s="1498" t="str">
        <f>"05/04/"&amp;Tax_year_end</f>
        <v>05/04/2026</v>
      </c>
      <c r="CC11" s="1498"/>
      <c r="CD11" s="1498"/>
      <c r="CE11" s="1498"/>
      <c r="CF11" s="1498"/>
      <c r="CG11" s="1498"/>
      <c r="CH11" s="1498"/>
      <c r="CI11" s="1495"/>
      <c r="CJ11" s="1422" t="str">
        <f>"05/04/"&amp;Tax_year_end</f>
        <v>05/04/2026</v>
      </c>
      <c r="CK11" s="1498"/>
      <c r="CL11" s="1498"/>
      <c r="CM11" s="1498"/>
      <c r="CN11" s="1498"/>
      <c r="CO11" s="1422" t="str">
        <f>"31/03/"&amp;Tax_year_end</f>
        <v>31/03/2026</v>
      </c>
      <c r="CP11" s="1355" t="str">
        <f>"05/04/"&amp;Tax_year_end</f>
        <v>05/04/2026</v>
      </c>
      <c r="CQ11" s="1498"/>
      <c r="CR11" s="1498"/>
      <c r="CS11" s="1498"/>
      <c r="CT11" s="1498"/>
      <c r="CU11" s="1498"/>
      <c r="CV11" s="1498"/>
      <c r="CW11" s="1498"/>
      <c r="CX11" s="1498"/>
      <c r="CY11" s="1498"/>
      <c r="CZ11" s="1498"/>
      <c r="DA11" s="1498"/>
      <c r="DB11" s="1498"/>
      <c r="DC11" s="1422" t="str">
        <f>"02/04/"&amp;Tax_year_end</f>
        <v>02/04/2026</v>
      </c>
      <c r="DD11" s="1498" t="str">
        <f>"05/04/"&amp;Tax_year_end</f>
        <v>05/04/2026</v>
      </c>
      <c r="DE11" s="1498"/>
      <c r="DF11" s="1498"/>
      <c r="DG11" s="1498"/>
      <c r="DH11" s="1498"/>
      <c r="DI11" s="1498"/>
      <c r="DJ11" s="1498"/>
      <c r="DK11" s="1498"/>
      <c r="DL11" s="1498"/>
      <c r="DM11" s="1498"/>
      <c r="DN11" s="1422" t="str">
        <f>"26/03/"&amp;Tax_year_end</f>
        <v>26/03/2026</v>
      </c>
      <c r="DO11" s="1498" t="str">
        <f>"25/03/"&amp;Tax_year_end</f>
        <v>25/03/2026</v>
      </c>
      <c r="DP11" s="1498"/>
      <c r="DQ11" s="1498"/>
      <c r="DR11" s="1498"/>
      <c r="DS11" s="1498" t="str">
        <f>"25/03/"&amp;Tax_year_end</f>
        <v>25/03/2026</v>
      </c>
      <c r="DT11" s="1498"/>
      <c r="DU11" s="1498"/>
      <c r="DV11" s="1498" t="str">
        <f>"05/04/"&amp;Tax_year_end</f>
        <v>05/04/2026</v>
      </c>
      <c r="DW11" s="1498"/>
      <c r="DX11" s="1495"/>
      <c r="DY11" s="1498"/>
      <c r="DZ11" s="1498"/>
      <c r="EA11" s="1481" t="str">
        <f>"05/04/"&amp;Tax_year_end</f>
        <v>05/04/2026</v>
      </c>
      <c r="EB11" s="1498"/>
      <c r="EC11" s="1498"/>
      <c r="ED11" s="1355" t="str">
        <f>"01/04/"&amp;Tax_year_end</f>
        <v>01/04/2026</v>
      </c>
      <c r="EE11" s="1355" t="str">
        <f>"02/04/"&amp;Tax_year_end</f>
        <v>02/04/2026</v>
      </c>
      <c r="EF11" s="1498"/>
      <c r="EG11" s="1498"/>
      <c r="EH11" s="1498"/>
      <c r="EI11" s="1498"/>
      <c r="EJ11" s="1498"/>
      <c r="EK11" s="1498"/>
      <c r="EL11" s="1481" t="str">
        <f>"03/04/"&amp;Tax_year_end</f>
        <v>03/04/2026</v>
      </c>
      <c r="EM11" s="1498" t="str">
        <f>"02/04/"&amp;Tax_year_end</f>
        <v>02/04/2026</v>
      </c>
      <c r="EN11" s="1495"/>
      <c r="EO11" s="1355"/>
      <c r="EP11" s="1355"/>
      <c r="EQ11" s="1355"/>
      <c r="ER11" s="1355"/>
      <c r="ES11" s="1355"/>
      <c r="ET11" s="1355"/>
      <c r="EU11" s="1355"/>
      <c r="EV11" s="1355"/>
      <c r="EW11" s="1355"/>
      <c r="EX11" s="1355"/>
      <c r="EY11" s="1355"/>
      <c r="EZ11" s="1355"/>
      <c r="FA11" s="1355"/>
      <c r="FB11" s="1355"/>
      <c r="FC11" s="1355"/>
      <c r="FD11" s="1409" t="str">
        <f>"26/02/"&amp;Tax_year_end</f>
        <v>26/02/2026</v>
      </c>
      <c r="FE11" s="1355" t="str">
        <f>"05/04/"&amp;Tax_year_end</f>
        <v>05/04/2026</v>
      </c>
      <c r="FF11" s="1355"/>
      <c r="FG11" s="1355" t="str">
        <f>"05/04/"&amp;Tax_year_end</f>
        <v>05/04/2026</v>
      </c>
      <c r="FH11" s="1422" t="str">
        <f>"31/03/"&amp;Tax_year_end</f>
        <v>31/03/2026</v>
      </c>
      <c r="FI11" s="1355"/>
      <c r="FJ11" s="1355"/>
      <c r="FK11" s="1409" t="str">
        <f>"19/03/"&amp;Tax_year_end</f>
        <v>19/03/2026</v>
      </c>
      <c r="FL11" s="1355"/>
      <c r="FM11" s="1355"/>
      <c r="FN11" s="1355"/>
      <c r="FO11" s="1355"/>
      <c r="FP11" s="1355" t="str">
        <f>"05/04/"&amp;Tax_year_end</f>
        <v>05/04/2026</v>
      </c>
      <c r="FQ11" s="1355"/>
      <c r="FR11" s="1355"/>
      <c r="FS11" s="1355"/>
      <c r="FT11" s="1355"/>
      <c r="FU11" s="1355"/>
      <c r="FV11" s="1355"/>
      <c r="FW11" s="1355"/>
      <c r="FX11" s="1355"/>
      <c r="FY11" s="1355"/>
      <c r="FZ11" s="1355"/>
      <c r="GA11" s="1355"/>
      <c r="GB11" s="1355"/>
      <c r="GC11" s="1355"/>
      <c r="GD11" s="1355"/>
      <c r="GE11" s="1355"/>
      <c r="GF11" s="1355"/>
      <c r="GG11" s="1355"/>
      <c r="GH11" s="1355"/>
      <c r="GI11" s="1422" t="str">
        <f>"31/03/"&amp;Tax_year_end</f>
        <v>31/03/2026</v>
      </c>
      <c r="GJ11" s="1355"/>
      <c r="GK11" s="1355"/>
      <c r="GL11" s="1355"/>
      <c r="GM11" s="1355"/>
      <c r="GN11" s="1355"/>
      <c r="GO11" s="1355" t="str">
        <f>"05/04/"&amp;Tax_year_end</f>
        <v>05/04/2026</v>
      </c>
      <c r="GP11" s="1355"/>
      <c r="GQ11" s="1355" t="str">
        <f>"05/04/"&amp;Tax_year_end</f>
        <v>05/04/2026</v>
      </c>
      <c r="GR11" s="1355"/>
      <c r="GS11" s="1355"/>
      <c r="GT11" s="1355"/>
      <c r="GU11" s="1355"/>
      <c r="GV11" s="1355"/>
      <c r="GW11" s="1366" t="str">
        <f>"29/03/"&amp;Tax_year_end</f>
        <v>29/03/2026</v>
      </c>
      <c r="GX11" s="1355"/>
      <c r="GY11" s="1355"/>
      <c r="GZ11" s="1355"/>
      <c r="HA11" s="1355"/>
      <c r="HB11" s="1355" t="str">
        <f>"05/04/"&amp;Tax_year_end</f>
        <v>05/04/2026</v>
      </c>
      <c r="HC11" s="1355"/>
      <c r="HD11" s="1355"/>
      <c r="HE11" s="1355"/>
      <c r="HF11" s="1355"/>
      <c r="HG11" s="1355"/>
      <c r="HH11" s="1355"/>
      <c r="HI11" s="1355"/>
      <c r="HJ11" s="1355"/>
      <c r="HK11" s="1355"/>
      <c r="HL11" s="1355"/>
      <c r="HM11" s="1355"/>
      <c r="HN11" s="1355"/>
      <c r="HO11" s="1355"/>
      <c r="HP11" s="1355"/>
      <c r="HQ11" s="1355"/>
      <c r="HR11" s="1355"/>
      <c r="HS11" s="1355"/>
      <c r="HT11" s="1422" t="str">
        <f>"31/03/"&amp;Tax_year_end</f>
        <v>31/03/2026</v>
      </c>
      <c r="HU11" s="1422" t="str">
        <f>"30/01/"&amp;Tax_year_end</f>
        <v>30/01/2026</v>
      </c>
      <c r="HV11" s="1422" t="str">
        <f>"31/03/"&amp;Tax_year_end</f>
        <v>31/03/2026</v>
      </c>
      <c r="HW11" s="1355"/>
      <c r="HX11" s="1355"/>
      <c r="HY11" s="1355"/>
      <c r="HZ11" s="1355"/>
      <c r="IA11" s="1355"/>
      <c r="IB11" s="1355"/>
      <c r="IC11" s="1355"/>
      <c r="ID11" s="1355"/>
      <c r="IE11" s="1355"/>
      <c r="IF11" s="1355"/>
      <c r="IG11" s="1355"/>
      <c r="IH11" s="1355"/>
      <c r="II11" s="1355"/>
      <c r="IJ11" s="1355"/>
      <c r="IK11" s="1355"/>
      <c r="IL11" s="1355"/>
      <c r="IM11" s="1355"/>
      <c r="IN11" s="1355"/>
      <c r="IO11" s="1422" t="str">
        <f>"31/01/"&amp;Tax_year_end</f>
        <v>31/01/2026</v>
      </c>
      <c r="IP11" s="1355"/>
      <c r="IQ11" s="1355"/>
      <c r="IR11" s="1355"/>
      <c r="IS11" s="1355"/>
      <c r="IT11" s="1355"/>
      <c r="IU11" s="1355"/>
      <c r="IV11" s="1355"/>
      <c r="IW11" s="1355"/>
      <c r="IX11" s="1355"/>
      <c r="IY11" s="1355"/>
      <c r="IZ11" s="1355"/>
      <c r="JA11" s="1355"/>
      <c r="JB11" s="1355"/>
      <c r="JC11" s="1355"/>
      <c r="JD11" s="1422" t="str">
        <f>"31/03/"&amp;Tax_year_end</f>
        <v>31/03/2026</v>
      </c>
      <c r="JE11" s="1355"/>
      <c r="JF11" s="1355"/>
      <c r="JG11" s="1422" t="str">
        <f>"31/03/"&amp;Tax_year_end</f>
        <v>31/03/2026</v>
      </c>
      <c r="JH11" s="1422" t="str">
        <f>"31/03/"&amp;Tax_year_end</f>
        <v>31/03/2026</v>
      </c>
      <c r="JI11" s="1355"/>
      <c r="JJ11" s="1355"/>
      <c r="JK11" s="1355"/>
      <c r="JL11" s="1355" t="str">
        <f>"05/04/"&amp;Tax_year_end</f>
        <v>05/04/2026</v>
      </c>
      <c r="JM11" s="1355"/>
      <c r="JN11" s="1355"/>
      <c r="JO11" s="1355"/>
      <c r="JP11" s="1422" t="str">
        <f>"31/03/"&amp;Tax_year_end</f>
        <v>31/03/2026</v>
      </c>
      <c r="JQ11" s="1355"/>
      <c r="JR11" s="351"/>
      <c r="JS11" s="1400"/>
      <c r="JT11" s="1400" t="s">
        <v>2208</v>
      </c>
    </row>
    <row r="12" spans="1:280" x14ac:dyDescent="0.25">
      <c r="A12" s="1367">
        <v>11</v>
      </c>
      <c r="B12" s="1411" t="str">
        <f t="shared" si="0"/>
        <v>N</v>
      </c>
      <c r="C12" s="1508" t="s">
        <v>2931</v>
      </c>
      <c r="D12" s="1436" t="s">
        <v>2932</v>
      </c>
      <c r="E12" s="1290"/>
      <c r="F12" s="1290"/>
      <c r="G12" s="1290"/>
      <c r="H12" s="1290"/>
      <c r="I12" s="1290"/>
      <c r="J12" s="1290"/>
      <c r="K12" s="1290"/>
      <c r="L12" s="1361"/>
      <c r="M12" s="1290" t="s">
        <v>1615</v>
      </c>
      <c r="N12" s="1290"/>
      <c r="O12" s="1290"/>
      <c r="P12" s="1290"/>
      <c r="Q12" s="1361"/>
      <c r="R12" s="1290"/>
      <c r="S12" s="1290"/>
      <c r="T12" s="1290"/>
      <c r="U12" s="1290"/>
      <c r="V12" s="1290"/>
      <c r="W12" s="1290"/>
      <c r="X12" s="1290"/>
      <c r="Y12" s="1290"/>
      <c r="Z12" s="1290" t="s">
        <v>1615</v>
      </c>
      <c r="AA12" s="1290"/>
      <c r="AB12" s="1290"/>
      <c r="AC12" s="1290" t="s">
        <v>1615</v>
      </c>
      <c r="AD12" s="1290"/>
      <c r="AE12" s="1290"/>
      <c r="AF12" s="1290"/>
      <c r="AG12" s="1290"/>
      <c r="AH12" s="1290"/>
      <c r="AI12" s="1494" t="s">
        <v>1615</v>
      </c>
      <c r="AJ12" s="1290"/>
      <c r="AK12" s="1290"/>
      <c r="AL12" s="1290"/>
      <c r="AM12" s="1290"/>
      <c r="AN12" s="1290"/>
      <c r="AO12" s="1414"/>
      <c r="AP12" s="1494"/>
      <c r="AQ12" s="1494"/>
      <c r="AR12" s="1494"/>
      <c r="AS12" s="1494"/>
      <c r="AT12" s="1290" t="s">
        <v>1615</v>
      </c>
      <c r="AU12" s="1494"/>
      <c r="AV12" s="1290" t="s">
        <v>1615</v>
      </c>
      <c r="AW12" s="1494"/>
      <c r="AX12" s="1494"/>
      <c r="AY12" s="1494"/>
      <c r="AZ12" s="1494"/>
      <c r="BA12" s="1494"/>
      <c r="BB12" s="1361"/>
      <c r="BC12" s="1494"/>
      <c r="BD12" s="1290" t="s">
        <v>1615</v>
      </c>
      <c r="BE12" s="1290" t="s">
        <v>1615</v>
      </c>
      <c r="BF12" s="1494"/>
      <c r="BG12" s="1494"/>
      <c r="BH12" s="1272"/>
      <c r="BI12" s="1272"/>
      <c r="BJ12" s="1494"/>
      <c r="BK12" s="1494"/>
      <c r="BL12" s="1494"/>
      <c r="BM12" s="1494"/>
      <c r="BN12" s="1494"/>
      <c r="BO12" s="1494"/>
      <c r="BP12" s="1494"/>
      <c r="BQ12" s="1494"/>
      <c r="BR12" s="1494"/>
      <c r="BS12" s="1494"/>
      <c r="BT12" s="1494"/>
      <c r="BU12" s="1494"/>
      <c r="BV12" s="1290" t="s">
        <v>1615</v>
      </c>
      <c r="BW12" s="1494"/>
      <c r="BX12" s="1494"/>
      <c r="BY12" s="1494"/>
      <c r="BZ12" s="1494"/>
      <c r="CA12" s="1494"/>
      <c r="CB12" s="1494" t="s">
        <v>1615</v>
      </c>
      <c r="CC12" s="1494"/>
      <c r="CD12" s="1494"/>
      <c r="CE12" s="1494"/>
      <c r="CF12" s="1494"/>
      <c r="CG12" s="1494"/>
      <c r="CH12" s="1494"/>
      <c r="CI12" s="1422"/>
      <c r="CJ12" s="1494"/>
      <c r="CK12" s="1494"/>
      <c r="CL12" s="1494"/>
      <c r="CM12" s="1494"/>
      <c r="CN12" s="1494"/>
      <c r="CO12" s="1290" t="s">
        <v>1615</v>
      </c>
      <c r="CP12" s="1290" t="s">
        <v>1615</v>
      </c>
      <c r="CQ12" s="1290"/>
      <c r="CR12" s="1494"/>
      <c r="CS12" s="1494"/>
      <c r="CT12" s="1494"/>
      <c r="CU12" s="1494"/>
      <c r="CV12" s="1494"/>
      <c r="CW12" s="1494"/>
      <c r="CX12" s="1494"/>
      <c r="CY12" s="1494"/>
      <c r="CZ12" s="1494"/>
      <c r="DA12" s="1494"/>
      <c r="DB12" s="1494"/>
      <c r="DC12" s="1290" t="s">
        <v>1615</v>
      </c>
      <c r="DD12" s="1290" t="s">
        <v>1615</v>
      </c>
      <c r="DE12" s="1494"/>
      <c r="DF12" s="1494"/>
      <c r="DG12" s="1494"/>
      <c r="DH12" s="1494"/>
      <c r="DI12" s="1494"/>
      <c r="DJ12" s="1494"/>
      <c r="DK12" s="1494"/>
      <c r="DL12" s="1494"/>
      <c r="DM12" s="1494"/>
      <c r="DN12" s="1290" t="s">
        <v>1615</v>
      </c>
      <c r="DO12" s="1494"/>
      <c r="DP12" s="1494"/>
      <c r="DQ12" s="1494"/>
      <c r="DR12" s="1494"/>
      <c r="DS12" s="1494"/>
      <c r="DT12" s="1494"/>
      <c r="DU12" s="1494"/>
      <c r="DV12" s="1494"/>
      <c r="DW12" s="1494"/>
      <c r="DX12" s="1422"/>
      <c r="DY12" s="1494"/>
      <c r="DZ12" s="1494"/>
      <c r="EA12" s="1494"/>
      <c r="EB12" s="1494"/>
      <c r="EC12" s="1494"/>
      <c r="ED12" s="1290" t="s">
        <v>1707</v>
      </c>
      <c r="EE12" s="1290" t="s">
        <v>1615</v>
      </c>
      <c r="EF12" s="1494"/>
      <c r="EG12" s="1494"/>
      <c r="EH12" s="1494"/>
      <c r="EI12" s="1494"/>
      <c r="EJ12" s="1494"/>
      <c r="EK12" s="1494"/>
      <c r="EL12" s="1494"/>
      <c r="EM12" s="1494"/>
      <c r="EN12" s="1422"/>
      <c r="EO12" s="1494"/>
      <c r="EP12" s="1494"/>
      <c r="EQ12" s="1494"/>
      <c r="ER12" s="1494"/>
      <c r="ES12" s="1494"/>
      <c r="ET12" s="1494"/>
      <c r="EU12" s="1494"/>
      <c r="EV12" s="1494"/>
      <c r="EW12" s="1494"/>
      <c r="EX12" s="1494"/>
      <c r="EY12" s="1494"/>
      <c r="EZ12" s="1494"/>
      <c r="FA12" s="1494"/>
      <c r="FB12" s="1494"/>
      <c r="FC12" s="1494"/>
      <c r="FD12" s="1481" t="s">
        <v>1707</v>
      </c>
      <c r="FE12" s="1290" t="s">
        <v>1615</v>
      </c>
      <c r="FF12" s="1494"/>
      <c r="FG12" s="1290" t="s">
        <v>1615</v>
      </c>
      <c r="FH12" s="1290" t="s">
        <v>1615</v>
      </c>
      <c r="FI12" s="1494"/>
      <c r="FJ12" s="1494"/>
      <c r="FK12" s="1494"/>
      <c r="FL12" s="1494"/>
      <c r="FM12" s="1494"/>
      <c r="FN12" s="1494"/>
      <c r="FO12" s="1494"/>
      <c r="FP12" s="1494" t="s">
        <v>1615</v>
      </c>
      <c r="FQ12" s="1494"/>
      <c r="FR12" s="1494"/>
      <c r="FS12" s="1494"/>
      <c r="FT12" s="1494"/>
      <c r="FU12" s="1494"/>
      <c r="FV12" s="1494"/>
      <c r="FW12" s="1494"/>
      <c r="FX12" s="1494"/>
      <c r="FY12" s="1494"/>
      <c r="FZ12" s="1494"/>
      <c r="GA12" s="1494"/>
      <c r="GB12" s="1494"/>
      <c r="GC12" s="1494"/>
      <c r="GD12" s="1494"/>
      <c r="GE12" s="1494"/>
      <c r="GF12" s="1494"/>
      <c r="GG12" s="1494"/>
      <c r="GH12" s="1494"/>
      <c r="GI12" s="1290" t="s">
        <v>1615</v>
      </c>
      <c r="GJ12" s="1494"/>
      <c r="GK12" s="1494"/>
      <c r="GL12" s="1494"/>
      <c r="GM12" s="1494"/>
      <c r="GN12" s="1290"/>
      <c r="GO12" s="1290" t="s">
        <v>1615</v>
      </c>
      <c r="GP12" s="1494"/>
      <c r="GQ12" s="1290" t="s">
        <v>1615</v>
      </c>
      <c r="GR12" s="1494"/>
      <c r="GS12" s="1494"/>
      <c r="GT12" s="1494"/>
      <c r="GU12" s="1494"/>
      <c r="GV12" s="1494"/>
      <c r="GW12" s="1290" t="s">
        <v>1615</v>
      </c>
      <c r="GX12" s="1494"/>
      <c r="GY12" s="1494"/>
      <c r="GZ12" s="1494"/>
      <c r="HA12" s="1494"/>
      <c r="HB12" s="1290" t="s">
        <v>1615</v>
      </c>
      <c r="HC12" s="1494"/>
      <c r="HD12" s="1494"/>
      <c r="HE12" s="1494"/>
      <c r="HF12" s="1494"/>
      <c r="HG12" s="1494"/>
      <c r="HH12" s="1494"/>
      <c r="HI12" s="1494"/>
      <c r="HJ12" s="1494"/>
      <c r="HK12" s="1494"/>
      <c r="HL12" s="1494"/>
      <c r="HM12" s="1494"/>
      <c r="HN12" s="1494"/>
      <c r="HO12" s="1494"/>
      <c r="HP12" s="1494"/>
      <c r="HQ12" s="1494"/>
      <c r="HR12" s="1494"/>
      <c r="HS12" s="1494"/>
      <c r="HT12" s="1290" t="s">
        <v>1615</v>
      </c>
      <c r="HU12" s="1290" t="s">
        <v>1615</v>
      </c>
      <c r="HV12" s="1290" t="s">
        <v>1615</v>
      </c>
      <c r="HW12" s="1494"/>
      <c r="HX12" s="1494"/>
      <c r="HY12" s="1494"/>
      <c r="HZ12" s="1494"/>
      <c r="IA12" s="1494"/>
      <c r="IB12" s="1494"/>
      <c r="IC12" s="1494"/>
      <c r="ID12" s="1494"/>
      <c r="IE12" s="1494"/>
      <c r="IF12" s="1494"/>
      <c r="IG12" s="1494"/>
      <c r="IH12" s="1494"/>
      <c r="II12" s="1494"/>
      <c r="IJ12" s="1494"/>
      <c r="IK12" s="1494"/>
      <c r="IL12" s="1494"/>
      <c r="IM12" s="1494"/>
      <c r="IN12" s="1494"/>
      <c r="IO12" s="1361" t="s">
        <v>1615</v>
      </c>
      <c r="IP12" s="1494"/>
      <c r="IQ12" s="1494"/>
      <c r="IR12" s="1494"/>
      <c r="IS12" s="1494"/>
      <c r="IT12" s="1494"/>
      <c r="IU12" s="1494"/>
      <c r="IV12" s="1494"/>
      <c r="IW12" s="1494"/>
      <c r="IX12" s="1494"/>
      <c r="IY12" s="1494"/>
      <c r="IZ12" s="1494"/>
      <c r="JA12" s="1494"/>
      <c r="JB12" s="1494"/>
      <c r="JC12" s="1494"/>
      <c r="JD12" s="1290" t="s">
        <v>1615</v>
      </c>
      <c r="JE12" s="1494"/>
      <c r="JF12" s="1494"/>
      <c r="JG12" s="1290" t="s">
        <v>1615</v>
      </c>
      <c r="JH12" s="1494"/>
      <c r="JI12" s="1494"/>
      <c r="JJ12" s="1494"/>
      <c r="JK12" s="1494"/>
      <c r="JL12" s="1494"/>
      <c r="JM12" s="1494"/>
      <c r="JN12" s="1494"/>
      <c r="JO12" s="1494"/>
      <c r="JP12" s="1290" t="s">
        <v>1615</v>
      </c>
      <c r="JQ12" s="1499"/>
      <c r="JR12" s="351"/>
      <c r="JS12" s="1400"/>
      <c r="JT12" s="1400" t="s">
        <v>2319</v>
      </c>
    </row>
    <row r="13" spans="1:280" ht="140" x14ac:dyDescent="0.25">
      <c r="A13" s="1367">
        <v>12</v>
      </c>
      <c r="B13" s="1411">
        <f t="shared" si="0"/>
        <v>27643</v>
      </c>
      <c r="C13" s="1508" t="s">
        <v>2933</v>
      </c>
      <c r="D13" s="1436" t="s">
        <v>2934</v>
      </c>
      <c r="E13" s="1452"/>
      <c r="F13" s="1452"/>
      <c r="G13" s="1452"/>
      <c r="H13" s="1452"/>
      <c r="I13" s="1452"/>
      <c r="J13" s="1452"/>
      <c r="K13" s="1452"/>
      <c r="L13" s="1452"/>
      <c r="M13" s="1452">
        <v>14560</v>
      </c>
      <c r="N13" s="1452"/>
      <c r="O13" s="1452"/>
      <c r="P13" s="1452"/>
      <c r="Q13" s="1452">
        <v>21805</v>
      </c>
      <c r="R13" s="1452"/>
      <c r="S13" s="1452"/>
      <c r="T13" s="1452"/>
      <c r="U13" s="1452"/>
      <c r="V13" s="1452"/>
      <c r="W13" s="1452"/>
      <c r="X13" s="1452"/>
      <c r="Y13" s="1452"/>
      <c r="Z13" s="1452">
        <v>32495</v>
      </c>
      <c r="AA13" s="1452"/>
      <c r="AB13" s="1452"/>
      <c r="AC13" s="1452">
        <v>17995</v>
      </c>
      <c r="AD13" s="1452"/>
      <c r="AE13" s="1452"/>
      <c r="AF13" s="1452"/>
      <c r="AG13" s="1452"/>
      <c r="AH13" s="1452"/>
      <c r="AI13" s="1455">
        <v>3788</v>
      </c>
      <c r="AJ13" s="1452"/>
      <c r="AK13" s="1452"/>
      <c r="AL13" s="1452"/>
      <c r="AM13" s="1452"/>
      <c r="AN13" s="1452"/>
      <c r="AO13" s="1410"/>
      <c r="AP13" s="1455"/>
      <c r="AQ13" s="1455"/>
      <c r="AR13" s="1455"/>
      <c r="AS13" s="1455"/>
      <c r="AT13" s="1452">
        <v>27643</v>
      </c>
      <c r="AU13" s="1455"/>
      <c r="AV13" s="1452">
        <v>59465</v>
      </c>
      <c r="AW13" s="1455"/>
      <c r="AX13" s="1455"/>
      <c r="AY13" s="1455"/>
      <c r="AZ13" s="1455"/>
      <c r="BA13" s="1455"/>
      <c r="BB13" s="1452"/>
      <c r="BC13" s="1455"/>
      <c r="BD13" s="1452">
        <v>27643</v>
      </c>
      <c r="BE13" s="1452">
        <f>P_A+3620</f>
        <v>16190</v>
      </c>
      <c r="BF13" s="1455"/>
      <c r="BG13" s="1455"/>
      <c r="BH13" s="1272"/>
      <c r="BI13" s="1272"/>
      <c r="BJ13" s="1455"/>
      <c r="BK13" s="1455"/>
      <c r="BL13" s="1455"/>
      <c r="BM13" s="1455"/>
      <c r="BN13" s="1455"/>
      <c r="BO13" s="1455"/>
      <c r="BP13" s="1455"/>
      <c r="BQ13" s="1455"/>
      <c r="BR13" s="1455"/>
      <c r="BS13" s="1455"/>
      <c r="BT13" s="1455"/>
      <c r="BU13" s="1455"/>
      <c r="BV13" s="1452">
        <v>14560</v>
      </c>
      <c r="BW13" s="1455"/>
      <c r="BX13" s="1455"/>
      <c r="BY13" s="1455"/>
      <c r="BZ13" s="1455"/>
      <c r="CA13" s="1455"/>
      <c r="CB13" s="1455">
        <v>14560</v>
      </c>
      <c r="CC13" s="1455"/>
      <c r="CD13" s="1455"/>
      <c r="CE13" s="1455"/>
      <c r="CF13" s="1455"/>
      <c r="CG13" s="1455"/>
      <c r="CH13" s="1455"/>
      <c r="CI13" s="1454"/>
      <c r="CJ13" s="1472">
        <v>28359</v>
      </c>
      <c r="CK13" s="1455"/>
      <c r="CL13" s="1455"/>
      <c r="CM13" s="1455"/>
      <c r="CN13" s="1455"/>
      <c r="CO13" s="1452">
        <v>27643</v>
      </c>
      <c r="CP13" s="1452">
        <v>14560</v>
      </c>
      <c r="CQ13" s="1452"/>
      <c r="CR13" s="1455"/>
      <c r="CS13" s="1455"/>
      <c r="CT13" s="1455"/>
      <c r="CU13" s="1455"/>
      <c r="CV13" s="1455"/>
      <c r="CW13" s="1455"/>
      <c r="CX13" s="1455"/>
      <c r="CY13" s="1455"/>
      <c r="CZ13" s="1455"/>
      <c r="DA13" s="1455"/>
      <c r="DB13" s="1455"/>
      <c r="DC13" s="1452">
        <v>29011</v>
      </c>
      <c r="DD13" s="1452">
        <v>32495</v>
      </c>
      <c r="DE13" s="1455"/>
      <c r="DF13" s="1455"/>
      <c r="DG13" s="1455"/>
      <c r="DH13" s="1455"/>
      <c r="DI13" s="1455"/>
      <c r="DJ13" s="1455"/>
      <c r="DK13" s="1455"/>
      <c r="DL13" s="1455"/>
      <c r="DM13" s="1455"/>
      <c r="DN13" s="1452">
        <f>35147+5968</f>
        <v>41115</v>
      </c>
      <c r="DO13" s="1472">
        <v>4802</v>
      </c>
      <c r="DP13" s="1455"/>
      <c r="DQ13" s="1455"/>
      <c r="DR13" s="1455"/>
      <c r="DS13" s="1472">
        <v>4802</v>
      </c>
      <c r="DT13" s="1500"/>
      <c r="DU13" s="1455"/>
      <c r="DV13" s="1455">
        <v>16789</v>
      </c>
      <c r="DW13" s="1455"/>
      <c r="DX13" s="1454"/>
      <c r="DY13" s="1455"/>
      <c r="DZ13" s="1455"/>
      <c r="EA13" s="1472">
        <v>34656</v>
      </c>
      <c r="EB13" s="1455"/>
      <c r="EC13" s="1455"/>
      <c r="ED13" s="1452">
        <v>10000</v>
      </c>
      <c r="EE13" s="1452">
        <v>5000</v>
      </c>
      <c r="EF13" s="1455"/>
      <c r="EG13" s="1455"/>
      <c r="EH13" s="1455"/>
      <c r="EI13" s="1455"/>
      <c r="EJ13" s="1455"/>
      <c r="EK13" s="1455"/>
      <c r="EL13" s="1472">
        <v>52510</v>
      </c>
      <c r="EM13" s="1455"/>
      <c r="EN13" s="1454"/>
      <c r="EO13" s="1455"/>
      <c r="EP13" s="1455"/>
      <c r="EQ13" s="1455"/>
      <c r="ER13" s="1455"/>
      <c r="ES13" s="1455"/>
      <c r="ET13" s="1455"/>
      <c r="EU13" s="1455"/>
      <c r="EV13" s="1455"/>
      <c r="EW13" s="1455"/>
      <c r="EX13" s="1455"/>
      <c r="EY13" s="1455"/>
      <c r="EZ13" s="1455"/>
      <c r="FA13" s="1455"/>
      <c r="FB13" s="1455"/>
      <c r="FC13" s="1455"/>
      <c r="FD13" s="1472">
        <v>39163</v>
      </c>
      <c r="FE13" s="1452">
        <v>14560</v>
      </c>
      <c r="FF13" s="1455"/>
      <c r="FG13" s="1452">
        <v>14560</v>
      </c>
      <c r="FH13" s="1452">
        <v>14560</v>
      </c>
      <c r="FI13" s="1455"/>
      <c r="FJ13" s="1455"/>
      <c r="FK13" s="1455"/>
      <c r="FL13" s="1455"/>
      <c r="FM13" s="1455"/>
      <c r="FN13" s="1455"/>
      <c r="FO13" s="1455"/>
      <c r="FP13" s="1455">
        <v>27643</v>
      </c>
      <c r="FQ13" s="1455"/>
      <c r="FR13" s="1455"/>
      <c r="FS13" s="1455"/>
      <c r="FT13" s="1455"/>
      <c r="FU13" s="1455"/>
      <c r="FV13" s="1455"/>
      <c r="FW13" s="1455"/>
      <c r="FX13" s="1455"/>
      <c r="FY13" s="1455"/>
      <c r="FZ13" s="1455"/>
      <c r="GA13" s="1455"/>
      <c r="GB13" s="1455"/>
      <c r="GC13" s="1455"/>
      <c r="GD13" s="1455"/>
      <c r="GE13" s="1455"/>
      <c r="GF13" s="1455"/>
      <c r="GG13" s="1455"/>
      <c r="GH13" s="1455"/>
      <c r="GI13" s="1452">
        <v>14560</v>
      </c>
      <c r="GJ13" s="1455"/>
      <c r="GK13" s="1455"/>
      <c r="GL13" s="1455"/>
      <c r="GM13" s="1455"/>
      <c r="GN13" s="1452"/>
      <c r="GO13" s="1452">
        <v>59465</v>
      </c>
      <c r="GP13" s="1455"/>
      <c r="GQ13" s="1452">
        <v>59465</v>
      </c>
      <c r="GR13" s="1455"/>
      <c r="GS13" s="1455"/>
      <c r="GT13" s="1455"/>
      <c r="GU13" s="1455"/>
      <c r="GV13" s="1455"/>
      <c r="GW13" s="1452">
        <v>32495</v>
      </c>
      <c r="GX13" s="1455"/>
      <c r="GY13" s="1455"/>
      <c r="GZ13" s="1455"/>
      <c r="HA13" s="1455"/>
      <c r="HB13" s="1452">
        <v>27643</v>
      </c>
      <c r="HC13" s="1455"/>
      <c r="HD13" s="1455"/>
      <c r="HE13" s="1455"/>
      <c r="HF13" s="1455"/>
      <c r="HG13" s="1455"/>
      <c r="HH13" s="1455"/>
      <c r="HI13" s="1455"/>
      <c r="HJ13" s="1455"/>
      <c r="HK13" s="1455"/>
      <c r="HL13" s="1455"/>
      <c r="HM13" s="1455"/>
      <c r="HN13" s="1455"/>
      <c r="HO13" s="1455"/>
      <c r="HP13" s="1455"/>
      <c r="HQ13" s="1455"/>
      <c r="HR13" s="1455"/>
      <c r="HS13" s="1455"/>
      <c r="HT13" s="1452">
        <v>16218</v>
      </c>
      <c r="HU13" s="1452">
        <v>32495</v>
      </c>
      <c r="HV13" s="1452">
        <v>14560</v>
      </c>
      <c r="HW13" s="1455"/>
      <c r="HX13" s="1455"/>
      <c r="HY13" s="1455"/>
      <c r="HZ13" s="1455"/>
      <c r="IA13" s="1455"/>
      <c r="IB13" s="1455"/>
      <c r="IC13" s="1455"/>
      <c r="ID13" s="1455"/>
      <c r="IE13" s="1455"/>
      <c r="IF13" s="1455"/>
      <c r="IG13" s="1455"/>
      <c r="IH13" s="1455"/>
      <c r="II13" s="1455"/>
      <c r="IJ13" s="1455"/>
      <c r="IK13" s="1455"/>
      <c r="IL13" s="1455"/>
      <c r="IM13" s="1455"/>
      <c r="IN13" s="1455"/>
      <c r="IO13" s="1452">
        <v>366</v>
      </c>
      <c r="IP13" s="1455"/>
      <c r="IQ13" s="1455"/>
      <c r="IR13" s="1455"/>
      <c r="IS13" s="1455"/>
      <c r="IT13" s="1455"/>
      <c r="IU13" s="1455"/>
      <c r="IV13" s="1455"/>
      <c r="IW13" s="1455"/>
      <c r="IX13" s="1455"/>
      <c r="IY13" s="1472"/>
      <c r="IZ13" s="1455"/>
      <c r="JA13" s="1455"/>
      <c r="JB13" s="1455"/>
      <c r="JC13" s="1455"/>
      <c r="JD13" s="1452">
        <v>14560</v>
      </c>
      <c r="JE13" s="1455"/>
      <c r="JF13" s="1455"/>
      <c r="JG13" s="1454">
        <v>11566</v>
      </c>
      <c r="JH13" s="1472">
        <v>10353</v>
      </c>
      <c r="JI13" s="1455"/>
      <c r="JJ13" s="1455"/>
      <c r="JK13" s="1455"/>
      <c r="JL13" s="1455">
        <v>18650</v>
      </c>
      <c r="JM13" s="1455"/>
      <c r="JN13" s="1455"/>
      <c r="JO13" s="1455"/>
      <c r="JP13" s="1452">
        <v>1399978</v>
      </c>
      <c r="JQ13" s="1501"/>
      <c r="JR13" s="351"/>
      <c r="JS13" s="1400" t="s">
        <v>2935</v>
      </c>
      <c r="JT13" s="1400" t="s">
        <v>2224</v>
      </c>
    </row>
    <row r="14" spans="1:280" x14ac:dyDescent="0.25">
      <c r="A14" s="1367">
        <v>13</v>
      </c>
      <c r="B14" s="1411" t="str">
        <f t="shared" ref="B14:B31" si="1">IF(SE_A_IND&gt;1,IF(HLOOKUP(SE_A_IND-1,SSE_RANGE,A14)="","",HLOOKUP(SE_A_IND-1,SSE_RANGE,A14)),"")</f>
        <v/>
      </c>
      <c r="C14" s="1508" t="s">
        <v>2936</v>
      </c>
      <c r="D14" s="1436" t="s">
        <v>2937</v>
      </c>
      <c r="E14" s="1452"/>
      <c r="F14" s="1452"/>
      <c r="G14" s="1452"/>
      <c r="H14" s="1452"/>
      <c r="I14" s="1452"/>
      <c r="J14" s="1452"/>
      <c r="K14" s="1452"/>
      <c r="L14" s="1452"/>
      <c r="M14" s="1452"/>
      <c r="N14" s="1452"/>
      <c r="O14" s="1452"/>
      <c r="P14" s="1452"/>
      <c r="Q14" s="1452"/>
      <c r="R14" s="1452"/>
      <c r="S14" s="1452"/>
      <c r="T14" s="1452"/>
      <c r="U14" s="1452"/>
      <c r="V14" s="1452"/>
      <c r="W14" s="1452"/>
      <c r="X14" s="1452"/>
      <c r="Y14" s="1452"/>
      <c r="Z14" s="1452"/>
      <c r="AA14" s="1452"/>
      <c r="AB14" s="1452"/>
      <c r="AC14" s="1452"/>
      <c r="AD14" s="1452"/>
      <c r="AE14" s="1452"/>
      <c r="AF14" s="1452"/>
      <c r="AG14" s="1452"/>
      <c r="AH14" s="1452"/>
      <c r="AI14" s="1455"/>
      <c r="AJ14" s="1452"/>
      <c r="AK14" s="1452"/>
      <c r="AL14" s="1452"/>
      <c r="AM14" s="1452"/>
      <c r="AN14" s="1452"/>
      <c r="AO14" s="1410"/>
      <c r="AP14" s="1455"/>
      <c r="AQ14" s="1455"/>
      <c r="AR14" s="1455"/>
      <c r="AS14" s="1455"/>
      <c r="AT14" s="1452"/>
      <c r="AU14" s="1455"/>
      <c r="AV14" s="1452"/>
      <c r="AW14" s="1455"/>
      <c r="AX14" s="1455"/>
      <c r="AY14" s="1455"/>
      <c r="AZ14" s="1455"/>
      <c r="BA14" s="1455"/>
      <c r="BB14" s="1452"/>
      <c r="BC14" s="1455"/>
      <c r="BD14" s="1452"/>
      <c r="BE14" s="1452"/>
      <c r="BF14" s="1455"/>
      <c r="BG14" s="1455"/>
      <c r="BH14" s="1452"/>
      <c r="BI14" s="1452"/>
      <c r="BJ14" s="1455"/>
      <c r="BK14" s="1455"/>
      <c r="BL14" s="1455"/>
      <c r="BM14" s="1455"/>
      <c r="BN14" s="1455"/>
      <c r="BO14" s="1455"/>
      <c r="BP14" s="1455"/>
      <c r="BQ14" s="1455"/>
      <c r="BR14" s="1455"/>
      <c r="BS14" s="1455"/>
      <c r="BT14" s="1455"/>
      <c r="BU14" s="1455"/>
      <c r="BV14" s="1452"/>
      <c r="BW14" s="1455"/>
      <c r="BX14" s="1455"/>
      <c r="BY14" s="1455"/>
      <c r="BZ14" s="1455"/>
      <c r="CA14" s="1455"/>
      <c r="CB14" s="1455"/>
      <c r="CC14" s="1455"/>
      <c r="CD14" s="1455"/>
      <c r="CE14" s="1455"/>
      <c r="CF14" s="1455"/>
      <c r="CG14" s="1455"/>
      <c r="CH14" s="1455"/>
      <c r="CI14" s="1452"/>
      <c r="CJ14" s="1452"/>
      <c r="CK14" s="1452"/>
      <c r="CL14" s="1452"/>
      <c r="CM14" s="1452"/>
      <c r="CN14" s="1452"/>
      <c r="CO14" s="1452"/>
      <c r="CP14" s="1452"/>
      <c r="CQ14" s="1452"/>
      <c r="CR14" s="1452"/>
      <c r="CS14" s="1452"/>
      <c r="CT14" s="1452"/>
      <c r="CU14" s="1452"/>
      <c r="CV14" s="1452"/>
      <c r="CW14" s="1452"/>
      <c r="CX14" s="1452"/>
      <c r="CY14" s="1452"/>
      <c r="CZ14" s="1452"/>
      <c r="DA14" s="1452"/>
      <c r="DB14" s="1452"/>
      <c r="DC14" s="1452"/>
      <c r="DD14" s="1452"/>
      <c r="DE14" s="1452"/>
      <c r="DF14" s="1452"/>
      <c r="DG14" s="1452"/>
      <c r="DH14" s="1452"/>
      <c r="DI14" s="1452"/>
      <c r="DJ14" s="1452"/>
      <c r="DK14" s="1452"/>
      <c r="DL14" s="1452"/>
      <c r="DM14" s="1452"/>
      <c r="DN14" s="1452"/>
      <c r="DO14" s="1452"/>
      <c r="DP14" s="1452"/>
      <c r="DQ14" s="1452"/>
      <c r="DR14" s="1452"/>
      <c r="DS14" s="1452"/>
      <c r="DT14" s="1452"/>
      <c r="DU14" s="1452"/>
      <c r="DV14" s="1452"/>
      <c r="DW14" s="1452"/>
      <c r="DX14" s="1452"/>
      <c r="DY14" s="1452"/>
      <c r="DZ14" s="1452"/>
      <c r="EA14" s="1452"/>
      <c r="EB14" s="1452"/>
      <c r="EC14" s="1452"/>
      <c r="ED14" s="1452"/>
      <c r="EE14" s="1452"/>
      <c r="EF14" s="1452"/>
      <c r="EG14" s="1452"/>
      <c r="EH14" s="1452"/>
      <c r="EI14" s="1452"/>
      <c r="EJ14" s="1452"/>
      <c r="EK14" s="1452"/>
      <c r="EL14" s="1452"/>
      <c r="EM14" s="1452"/>
      <c r="EN14" s="1452"/>
      <c r="EO14" s="1452"/>
      <c r="EP14" s="1452"/>
      <c r="EQ14" s="1452"/>
      <c r="ER14" s="1452"/>
      <c r="ES14" s="1452"/>
      <c r="ET14" s="1452"/>
      <c r="EU14" s="1452"/>
      <c r="EV14" s="1452"/>
      <c r="EW14" s="1452"/>
      <c r="EX14" s="1452"/>
      <c r="EY14" s="1452"/>
      <c r="EZ14" s="1452"/>
      <c r="FA14" s="1452"/>
      <c r="FB14" s="1452"/>
      <c r="FC14" s="1452"/>
      <c r="FD14" s="1452"/>
      <c r="FE14" s="1452"/>
      <c r="FF14" s="1452"/>
      <c r="FG14" s="1452"/>
      <c r="FH14" s="1452"/>
      <c r="FI14" s="1452"/>
      <c r="FJ14" s="1452"/>
      <c r="FK14" s="1452"/>
      <c r="FL14" s="1452"/>
      <c r="FM14" s="1452"/>
      <c r="FN14" s="1452"/>
      <c r="FO14" s="1452"/>
      <c r="FP14" s="1452"/>
      <c r="FQ14" s="1452"/>
      <c r="FR14" s="1452"/>
      <c r="FS14" s="1452"/>
      <c r="FT14" s="1452"/>
      <c r="FU14" s="1452"/>
      <c r="FV14" s="1452"/>
      <c r="FW14" s="1452"/>
      <c r="FX14" s="1452"/>
      <c r="FY14" s="1452"/>
      <c r="FZ14" s="1452"/>
      <c r="GA14" s="1452"/>
      <c r="GB14" s="1452"/>
      <c r="GC14" s="1452"/>
      <c r="GD14" s="1452"/>
      <c r="GE14" s="1452"/>
      <c r="GF14" s="1452"/>
      <c r="GG14" s="1452"/>
      <c r="GH14" s="1452"/>
      <c r="GI14" s="1452"/>
      <c r="GJ14" s="1452"/>
      <c r="GK14" s="1452"/>
      <c r="GL14" s="1452"/>
      <c r="GM14" s="1452"/>
      <c r="GN14" s="1452"/>
      <c r="GO14" s="1452"/>
      <c r="GP14" s="1452"/>
      <c r="GQ14" s="1452"/>
      <c r="GR14" s="1452"/>
      <c r="GS14" s="1452"/>
      <c r="GT14" s="1452"/>
      <c r="GU14" s="1452"/>
      <c r="GV14" s="1452"/>
      <c r="GW14" s="1452"/>
      <c r="GX14" s="1452"/>
      <c r="GY14" s="1452"/>
      <c r="GZ14" s="1452"/>
      <c r="HA14" s="1452"/>
      <c r="HB14" s="1452"/>
      <c r="HC14" s="1452"/>
      <c r="HD14" s="1452"/>
      <c r="HE14" s="1452"/>
      <c r="HF14" s="1452"/>
      <c r="HG14" s="1452"/>
      <c r="HH14" s="1452"/>
      <c r="HI14" s="1452"/>
      <c r="HJ14" s="1452"/>
      <c r="HK14" s="1452"/>
      <c r="HL14" s="1452"/>
      <c r="HM14" s="1452"/>
      <c r="HN14" s="1452"/>
      <c r="HO14" s="1452"/>
      <c r="HP14" s="1452"/>
      <c r="HQ14" s="1452"/>
      <c r="HR14" s="1452"/>
      <c r="HS14" s="1452"/>
      <c r="HT14" s="1452"/>
      <c r="HU14" s="1452"/>
      <c r="HV14" s="1452"/>
      <c r="HW14" s="1452"/>
      <c r="HX14" s="1452"/>
      <c r="HY14" s="1452"/>
      <c r="HZ14" s="1452"/>
      <c r="IA14" s="1452"/>
      <c r="IB14" s="1452"/>
      <c r="IC14" s="1452"/>
      <c r="ID14" s="1452"/>
      <c r="IE14" s="1452"/>
      <c r="IF14" s="1452"/>
      <c r="IG14" s="1452"/>
      <c r="IH14" s="1452"/>
      <c r="II14" s="1452"/>
      <c r="IJ14" s="1452"/>
      <c r="IK14" s="1452"/>
      <c r="IL14" s="1452"/>
      <c r="IM14" s="1452"/>
      <c r="IN14" s="1452"/>
      <c r="IO14" s="1452"/>
      <c r="IP14" s="1452"/>
      <c r="IQ14" s="1452"/>
      <c r="IR14" s="1452"/>
      <c r="IS14" s="1452"/>
      <c r="IT14" s="1452"/>
      <c r="IU14" s="1452"/>
      <c r="IV14" s="1452"/>
      <c r="IW14" s="1452"/>
      <c r="IX14" s="1452"/>
      <c r="IY14" s="1455"/>
      <c r="IZ14" s="1455"/>
      <c r="JA14" s="1455"/>
      <c r="JB14" s="1455"/>
      <c r="JC14" s="1455"/>
      <c r="JD14" s="1452"/>
      <c r="JE14" s="1455"/>
      <c r="JF14" s="1455"/>
      <c r="JG14" s="1452"/>
      <c r="JH14" s="1455"/>
      <c r="JI14" s="1455"/>
      <c r="JJ14" s="1455"/>
      <c r="JK14" s="1455"/>
      <c r="JL14" s="1455"/>
      <c r="JM14" s="1455"/>
      <c r="JN14" s="1455"/>
      <c r="JO14" s="1455"/>
      <c r="JP14" s="1452"/>
      <c r="JQ14" s="1501"/>
      <c r="JR14" s="351"/>
      <c r="JS14" s="1400"/>
      <c r="JT14" s="1400" t="s">
        <v>2242</v>
      </c>
    </row>
    <row r="15" spans="1:280" ht="20" x14ac:dyDescent="0.25">
      <c r="A15" s="1367">
        <v>14</v>
      </c>
      <c r="B15" s="1411" t="str">
        <f t="shared" si="1"/>
        <v/>
      </c>
      <c r="C15" s="1508" t="s">
        <v>2938</v>
      </c>
      <c r="D15" s="1436" t="s">
        <v>2939</v>
      </c>
      <c r="E15" s="1452"/>
      <c r="F15" s="1452"/>
      <c r="G15" s="1452"/>
      <c r="H15" s="1452"/>
      <c r="I15" s="1452"/>
      <c r="J15" s="1452"/>
      <c r="K15" s="1452"/>
      <c r="L15" s="1452"/>
      <c r="M15" s="1452"/>
      <c r="N15" s="1452"/>
      <c r="O15" s="1452"/>
      <c r="P15" s="1452"/>
      <c r="Q15" s="1452"/>
      <c r="R15" s="1452"/>
      <c r="S15" s="1452"/>
      <c r="T15" s="1452"/>
      <c r="U15" s="1452"/>
      <c r="V15" s="1452"/>
      <c r="W15" s="1452"/>
      <c r="X15" s="1452"/>
      <c r="Y15" s="1452"/>
      <c r="Z15" s="1452"/>
      <c r="AA15" s="1452"/>
      <c r="AB15" s="1452"/>
      <c r="AC15" s="1452"/>
      <c r="AD15" s="1452"/>
      <c r="AE15" s="1452"/>
      <c r="AF15" s="1452"/>
      <c r="AG15" s="1452"/>
      <c r="AH15" s="1452"/>
      <c r="AI15" s="1455">
        <v>1000</v>
      </c>
      <c r="AJ15" s="1452"/>
      <c r="AK15" s="1452"/>
      <c r="AL15" s="1452"/>
      <c r="AM15" s="1452"/>
      <c r="AN15" s="1452"/>
      <c r="AO15" s="1410"/>
      <c r="AP15" s="1455"/>
      <c r="AQ15" s="1455"/>
      <c r="AR15" s="1455"/>
      <c r="AS15" s="1455"/>
      <c r="AT15" s="1452"/>
      <c r="AU15" s="1455"/>
      <c r="AV15" s="1452"/>
      <c r="AW15" s="1455"/>
      <c r="AX15" s="1455"/>
      <c r="AY15" s="1455"/>
      <c r="AZ15" s="1455"/>
      <c r="BA15" s="1455"/>
      <c r="BB15" s="1452"/>
      <c r="BC15" s="1455"/>
      <c r="BD15" s="1452"/>
      <c r="BE15" s="1452"/>
      <c r="BF15" s="1455"/>
      <c r="BG15" s="1455"/>
      <c r="BH15" s="1452"/>
      <c r="BI15" s="1452"/>
      <c r="BJ15" s="1455"/>
      <c r="BK15" s="1455"/>
      <c r="BL15" s="1455"/>
      <c r="BM15" s="1455"/>
      <c r="BN15" s="1455"/>
      <c r="BO15" s="1455"/>
      <c r="BP15" s="1455"/>
      <c r="BQ15" s="1455"/>
      <c r="BR15" s="1455"/>
      <c r="BS15" s="1455"/>
      <c r="BT15" s="1455"/>
      <c r="BU15" s="1455"/>
      <c r="BV15" s="1452"/>
      <c r="BW15" s="1455"/>
      <c r="BX15" s="1455"/>
      <c r="BY15" s="1455"/>
      <c r="BZ15" s="1455"/>
      <c r="CA15" s="1455"/>
      <c r="CB15" s="1455"/>
      <c r="CC15" s="1455"/>
      <c r="CD15" s="1455"/>
      <c r="CE15" s="1455"/>
      <c r="CF15" s="1455"/>
      <c r="CG15" s="1455"/>
      <c r="CH15" s="1455"/>
      <c r="CI15" s="1452"/>
      <c r="CJ15" s="1452"/>
      <c r="CK15" s="1452"/>
      <c r="CL15" s="1452"/>
      <c r="CM15" s="1452"/>
      <c r="CN15" s="1452"/>
      <c r="CO15" s="1452"/>
      <c r="CP15" s="1452"/>
      <c r="CQ15" s="1452"/>
      <c r="CR15" s="1452"/>
      <c r="CS15" s="1452"/>
      <c r="CT15" s="1452"/>
      <c r="CU15" s="1452"/>
      <c r="CV15" s="1452"/>
      <c r="CW15" s="1452"/>
      <c r="CX15" s="1452"/>
      <c r="CY15" s="1452"/>
      <c r="CZ15" s="1452"/>
      <c r="DA15" s="1452"/>
      <c r="DB15" s="1452"/>
      <c r="DC15" s="1452"/>
      <c r="DD15" s="1452"/>
      <c r="DE15" s="1452"/>
      <c r="DF15" s="1452"/>
      <c r="DG15" s="1452"/>
      <c r="DH15" s="1452"/>
      <c r="DI15" s="1452"/>
      <c r="DJ15" s="1452"/>
      <c r="DK15" s="1452"/>
      <c r="DL15" s="1452"/>
      <c r="DM15" s="1452"/>
      <c r="DN15" s="1452"/>
      <c r="DO15" s="1452"/>
      <c r="DP15" s="1452"/>
      <c r="DQ15" s="1452"/>
      <c r="DR15" s="1452"/>
      <c r="DS15" s="1452"/>
      <c r="DT15" s="1452"/>
      <c r="DU15" s="1452"/>
      <c r="DV15" s="1452"/>
      <c r="DW15" s="1452"/>
      <c r="DX15" s="1452"/>
      <c r="DY15" s="1452"/>
      <c r="DZ15" s="1452"/>
      <c r="EA15" s="1452"/>
      <c r="EB15" s="1452"/>
      <c r="EC15" s="1452"/>
      <c r="ED15" s="1452"/>
      <c r="EE15" s="1452"/>
      <c r="EF15" s="1452"/>
      <c r="EG15" s="1452"/>
      <c r="EH15" s="1452"/>
      <c r="EI15" s="1452"/>
      <c r="EJ15" s="1452"/>
      <c r="EK15" s="1452"/>
      <c r="EL15" s="1452"/>
      <c r="EM15" s="1452"/>
      <c r="EN15" s="1452"/>
      <c r="EO15" s="1452"/>
      <c r="EP15" s="1452"/>
      <c r="EQ15" s="1452"/>
      <c r="ER15" s="1452"/>
      <c r="ES15" s="1452"/>
      <c r="ET15" s="1452"/>
      <c r="EU15" s="1452"/>
      <c r="EV15" s="1452"/>
      <c r="EW15" s="1452"/>
      <c r="EX15" s="1452"/>
      <c r="EY15" s="1452"/>
      <c r="EZ15" s="1452"/>
      <c r="FA15" s="1452"/>
      <c r="FB15" s="1452"/>
      <c r="FC15" s="1452"/>
      <c r="FD15" s="1452"/>
      <c r="FE15" s="1452"/>
      <c r="FF15" s="1452"/>
      <c r="FG15" s="1452"/>
      <c r="FH15" s="1452"/>
      <c r="FI15" s="1452"/>
      <c r="FJ15" s="1452"/>
      <c r="FK15" s="1452"/>
      <c r="FL15" s="1452"/>
      <c r="FM15" s="1452"/>
      <c r="FN15" s="1452"/>
      <c r="FO15" s="1452"/>
      <c r="FP15" s="1452"/>
      <c r="FQ15" s="1452"/>
      <c r="FR15" s="1452"/>
      <c r="FS15" s="1452"/>
      <c r="FT15" s="1452"/>
      <c r="FU15" s="1452"/>
      <c r="FV15" s="1452"/>
      <c r="FW15" s="1452"/>
      <c r="FX15" s="1452"/>
      <c r="FY15" s="1452"/>
      <c r="FZ15" s="1452"/>
      <c r="GA15" s="1452"/>
      <c r="GB15" s="1452"/>
      <c r="GC15" s="1452"/>
      <c r="GD15" s="1452"/>
      <c r="GE15" s="1452"/>
      <c r="GF15" s="1452"/>
      <c r="GG15" s="1452"/>
      <c r="GH15" s="1452"/>
      <c r="GI15" s="1452"/>
      <c r="GJ15" s="1452"/>
      <c r="GK15" s="1452"/>
      <c r="GL15" s="1452"/>
      <c r="GM15" s="1452"/>
      <c r="GN15" s="1452"/>
      <c r="GO15" s="1452"/>
      <c r="GP15" s="1452"/>
      <c r="GQ15" s="1452"/>
      <c r="GR15" s="1452"/>
      <c r="GS15" s="1452"/>
      <c r="GT15" s="1452"/>
      <c r="GU15" s="1452"/>
      <c r="GV15" s="1452"/>
      <c r="GW15" s="1452"/>
      <c r="GX15" s="1452"/>
      <c r="GY15" s="1452"/>
      <c r="GZ15" s="1452"/>
      <c r="HA15" s="1452"/>
      <c r="HB15" s="1452"/>
      <c r="HC15" s="1452"/>
      <c r="HD15" s="1452"/>
      <c r="HE15" s="1452"/>
      <c r="HF15" s="1452"/>
      <c r="HG15" s="1452"/>
      <c r="HH15" s="1452"/>
      <c r="HI15" s="1452"/>
      <c r="HJ15" s="1452"/>
      <c r="HK15" s="1452"/>
      <c r="HL15" s="1452"/>
      <c r="HM15" s="1452"/>
      <c r="HN15" s="1452"/>
      <c r="HO15" s="1452"/>
      <c r="HP15" s="1452"/>
      <c r="HQ15" s="1452"/>
      <c r="HR15" s="1452"/>
      <c r="HS15" s="1452"/>
      <c r="HT15" s="1452"/>
      <c r="HU15" s="1452"/>
      <c r="HV15" s="1452"/>
      <c r="HW15" s="1452"/>
      <c r="HX15" s="1452"/>
      <c r="HY15" s="1452"/>
      <c r="HZ15" s="1452"/>
      <c r="IA15" s="1452"/>
      <c r="IB15" s="1452"/>
      <c r="IC15" s="1452"/>
      <c r="ID15" s="1452"/>
      <c r="IE15" s="1452"/>
      <c r="IF15" s="1452"/>
      <c r="IG15" s="1452"/>
      <c r="IH15" s="1452"/>
      <c r="II15" s="1452"/>
      <c r="IJ15" s="1452"/>
      <c r="IK15" s="1452"/>
      <c r="IL15" s="1452"/>
      <c r="IM15" s="1452"/>
      <c r="IN15" s="1452"/>
      <c r="IO15" s="1452"/>
      <c r="IP15" s="1452"/>
      <c r="IQ15" s="1452"/>
      <c r="IR15" s="1452"/>
      <c r="IS15" s="1452"/>
      <c r="IT15" s="1452"/>
      <c r="IU15" s="1452"/>
      <c r="IV15" s="1452"/>
      <c r="IW15" s="1452"/>
      <c r="IX15" s="1452"/>
      <c r="IY15" s="1472"/>
      <c r="IZ15" s="1455"/>
      <c r="JA15" s="1455"/>
      <c r="JB15" s="1455"/>
      <c r="JC15" s="1455"/>
      <c r="JD15" s="1452"/>
      <c r="JE15" s="1455"/>
      <c r="JF15" s="1455"/>
      <c r="JG15" s="1452"/>
      <c r="JH15" s="1455"/>
      <c r="JI15" s="1455"/>
      <c r="JJ15" s="1455"/>
      <c r="JK15" s="1455"/>
      <c r="JL15" s="1455"/>
      <c r="JM15" s="1455"/>
      <c r="JN15" s="1455"/>
      <c r="JO15" s="1455"/>
      <c r="JP15" s="1452"/>
      <c r="JQ15" s="1501"/>
      <c r="JR15" s="351"/>
      <c r="JS15" s="1400" t="s">
        <v>2940</v>
      </c>
      <c r="JT15" s="1400" t="s">
        <v>2242</v>
      </c>
    </row>
    <row r="16" spans="1:280" x14ac:dyDescent="0.25">
      <c r="A16" s="1367">
        <v>15</v>
      </c>
      <c r="B16" s="1411">
        <f t="shared" si="1"/>
        <v>1200</v>
      </c>
      <c r="C16" s="1508" t="s">
        <v>2941</v>
      </c>
      <c r="D16" s="1436" t="s">
        <v>2942</v>
      </c>
      <c r="E16" s="1452"/>
      <c r="F16" s="1452"/>
      <c r="G16" s="1452"/>
      <c r="H16" s="1452"/>
      <c r="I16" s="1452"/>
      <c r="J16" s="1452"/>
      <c r="K16" s="1452"/>
      <c r="L16" s="1452"/>
      <c r="M16" s="1452"/>
      <c r="N16" s="1452"/>
      <c r="O16" s="1452"/>
      <c r="P16" s="1452"/>
      <c r="Q16" s="1452"/>
      <c r="R16" s="1452"/>
      <c r="S16" s="1452"/>
      <c r="T16" s="1452"/>
      <c r="U16" s="1452"/>
      <c r="V16" s="1452"/>
      <c r="W16" s="1452"/>
      <c r="X16" s="1452"/>
      <c r="Y16" s="1452"/>
      <c r="Z16" s="1452"/>
      <c r="AA16" s="1452"/>
      <c r="AB16" s="1452"/>
      <c r="AC16" s="1452"/>
      <c r="AD16" s="1452"/>
      <c r="AE16" s="1452"/>
      <c r="AF16" s="1452"/>
      <c r="AG16" s="1452"/>
      <c r="AH16" s="1452"/>
      <c r="AI16" s="1455"/>
      <c r="AJ16" s="1452"/>
      <c r="AK16" s="1452"/>
      <c r="AL16" s="1452"/>
      <c r="AM16" s="1452"/>
      <c r="AN16" s="1452"/>
      <c r="AO16" s="1410"/>
      <c r="AP16" s="1455"/>
      <c r="AQ16" s="1455"/>
      <c r="AR16" s="1455"/>
      <c r="AS16" s="1455"/>
      <c r="AT16" s="1452">
        <v>1200</v>
      </c>
      <c r="AU16" s="1455"/>
      <c r="AV16" s="1452"/>
      <c r="AW16" s="1455"/>
      <c r="AX16" s="1455"/>
      <c r="AY16" s="1455"/>
      <c r="AZ16" s="1455"/>
      <c r="BA16" s="1455"/>
      <c r="BB16" s="1452"/>
      <c r="BC16" s="1455"/>
      <c r="BD16" s="1452">
        <v>1200</v>
      </c>
      <c r="BE16" s="1452"/>
      <c r="BF16" s="1455"/>
      <c r="BG16" s="1455"/>
      <c r="BH16" s="1452"/>
      <c r="BI16" s="1452"/>
      <c r="BJ16" s="1455"/>
      <c r="BK16" s="1455"/>
      <c r="BL16" s="1455"/>
      <c r="BM16" s="1455"/>
      <c r="BN16" s="1455"/>
      <c r="BO16" s="1455"/>
      <c r="BP16" s="1455"/>
      <c r="BQ16" s="1455"/>
      <c r="BR16" s="1455"/>
      <c r="BS16" s="1455"/>
      <c r="BT16" s="1455"/>
      <c r="BU16" s="1455"/>
      <c r="BV16" s="1452"/>
      <c r="BW16" s="1455"/>
      <c r="BX16" s="1455"/>
      <c r="BY16" s="1455"/>
      <c r="BZ16" s="1455"/>
      <c r="CA16" s="1455"/>
      <c r="CB16" s="1455"/>
      <c r="CC16" s="1455"/>
      <c r="CD16" s="1455"/>
      <c r="CE16" s="1455"/>
      <c r="CF16" s="1455"/>
      <c r="CG16" s="1455"/>
      <c r="CH16" s="1455"/>
      <c r="CI16" s="1452"/>
      <c r="CJ16" s="1452"/>
      <c r="CK16" s="1452"/>
      <c r="CL16" s="1452"/>
      <c r="CM16" s="1452"/>
      <c r="CN16" s="1452"/>
      <c r="CO16" s="1452">
        <v>1200</v>
      </c>
      <c r="CP16" s="1452"/>
      <c r="CQ16" s="1452"/>
      <c r="CR16" s="1452"/>
      <c r="CS16" s="1452"/>
      <c r="CT16" s="1452"/>
      <c r="CU16" s="1452"/>
      <c r="CV16" s="1452"/>
      <c r="CW16" s="1452"/>
      <c r="CX16" s="1452"/>
      <c r="CY16" s="1452"/>
      <c r="CZ16" s="1452"/>
      <c r="DA16" s="1452"/>
      <c r="DB16" s="1452"/>
      <c r="DC16" s="1452">
        <v>1200</v>
      </c>
      <c r="DD16" s="1452"/>
      <c r="DE16" s="1452"/>
      <c r="DF16" s="1452"/>
      <c r="DG16" s="1452"/>
      <c r="DH16" s="1452"/>
      <c r="DI16" s="1452"/>
      <c r="DJ16" s="1452"/>
      <c r="DK16" s="1452"/>
      <c r="DL16" s="1452"/>
      <c r="DM16" s="1452"/>
      <c r="DN16" s="1452"/>
      <c r="DO16" s="1452"/>
      <c r="DP16" s="1452"/>
      <c r="DQ16" s="1452"/>
      <c r="DR16" s="1452"/>
      <c r="DS16" s="1452"/>
      <c r="DT16" s="1452"/>
      <c r="DU16" s="1452"/>
      <c r="DV16" s="1452"/>
      <c r="DW16" s="1452"/>
      <c r="DX16" s="1452"/>
      <c r="DY16" s="1452"/>
      <c r="DZ16" s="1452"/>
      <c r="EA16" s="1452"/>
      <c r="EB16" s="1452"/>
      <c r="EC16" s="1452"/>
      <c r="ED16" s="1452"/>
      <c r="EE16" s="1452"/>
      <c r="EF16" s="1452"/>
      <c r="EG16" s="1452"/>
      <c r="EH16" s="1452"/>
      <c r="EI16" s="1452"/>
      <c r="EJ16" s="1452"/>
      <c r="EK16" s="1452"/>
      <c r="EL16" s="1452"/>
      <c r="EM16" s="1452"/>
      <c r="EN16" s="1452"/>
      <c r="EO16" s="1452"/>
      <c r="EP16" s="1452"/>
      <c r="EQ16" s="1452"/>
      <c r="ER16" s="1452"/>
      <c r="ES16" s="1452"/>
      <c r="ET16" s="1452"/>
      <c r="EU16" s="1452"/>
      <c r="EV16" s="1452"/>
      <c r="EW16" s="1452"/>
      <c r="EX16" s="1452"/>
      <c r="EY16" s="1452"/>
      <c r="EZ16" s="1452"/>
      <c r="FA16" s="1452"/>
      <c r="FB16" s="1452"/>
      <c r="FC16" s="1452"/>
      <c r="FD16" s="1452"/>
      <c r="FE16" s="1452"/>
      <c r="FF16" s="1452"/>
      <c r="FG16" s="1452"/>
      <c r="FH16" s="1452"/>
      <c r="FI16" s="1452"/>
      <c r="FJ16" s="1452"/>
      <c r="FK16" s="1452"/>
      <c r="FL16" s="1452"/>
      <c r="FM16" s="1452"/>
      <c r="FN16" s="1452"/>
      <c r="FO16" s="1452"/>
      <c r="FP16" s="1452">
        <v>1200</v>
      </c>
      <c r="FQ16" s="1452"/>
      <c r="FR16" s="1452"/>
      <c r="FS16" s="1452"/>
      <c r="FT16" s="1452"/>
      <c r="FU16" s="1452"/>
      <c r="FV16" s="1452"/>
      <c r="FW16" s="1452"/>
      <c r="FX16" s="1452"/>
      <c r="FY16" s="1452"/>
      <c r="FZ16" s="1452"/>
      <c r="GA16" s="1452"/>
      <c r="GB16" s="1452"/>
      <c r="GC16" s="1452"/>
      <c r="GD16" s="1452"/>
      <c r="GE16" s="1452"/>
      <c r="GF16" s="1452"/>
      <c r="GG16" s="1452"/>
      <c r="GH16" s="1452"/>
      <c r="GI16" s="1452"/>
      <c r="GJ16" s="1452"/>
      <c r="GK16" s="1452"/>
      <c r="GL16" s="1452"/>
      <c r="GM16" s="1452"/>
      <c r="GN16" s="1452"/>
      <c r="GO16" s="1452"/>
      <c r="GP16" s="1452"/>
      <c r="GQ16" s="1452"/>
      <c r="GR16" s="1452"/>
      <c r="GS16" s="1452"/>
      <c r="GT16" s="1452"/>
      <c r="GU16" s="1452"/>
      <c r="GV16" s="1452"/>
      <c r="GW16" s="1452"/>
      <c r="GX16" s="1452"/>
      <c r="GY16" s="1452"/>
      <c r="GZ16" s="1452"/>
      <c r="HA16" s="1452"/>
      <c r="HB16" s="1452">
        <v>1200</v>
      </c>
      <c r="HC16" s="1452"/>
      <c r="HD16" s="1452"/>
      <c r="HE16" s="1452"/>
      <c r="HF16" s="1452"/>
      <c r="HG16" s="1452"/>
      <c r="HH16" s="1452"/>
      <c r="HI16" s="1452"/>
      <c r="HJ16" s="1452"/>
      <c r="HK16" s="1452"/>
      <c r="HL16" s="1452"/>
      <c r="HM16" s="1452"/>
      <c r="HN16" s="1452"/>
      <c r="HO16" s="1452"/>
      <c r="HP16" s="1452"/>
      <c r="HQ16" s="1452"/>
      <c r="HR16" s="1452"/>
      <c r="HS16" s="1452"/>
      <c r="HT16" s="1452"/>
      <c r="HU16" s="1452"/>
      <c r="HV16" s="1452"/>
      <c r="HW16" s="1452"/>
      <c r="HX16" s="1452"/>
      <c r="HY16" s="1452"/>
      <c r="HZ16" s="1452"/>
      <c r="IA16" s="1452"/>
      <c r="IB16" s="1452"/>
      <c r="IC16" s="1452"/>
      <c r="ID16" s="1452"/>
      <c r="IE16" s="1452"/>
      <c r="IF16" s="1452"/>
      <c r="IG16" s="1452"/>
      <c r="IH16" s="1452"/>
      <c r="II16" s="1452"/>
      <c r="IJ16" s="1452"/>
      <c r="IK16" s="1452"/>
      <c r="IL16" s="1452"/>
      <c r="IM16" s="1452"/>
      <c r="IN16" s="1452"/>
      <c r="IO16" s="1452"/>
      <c r="IP16" s="1452"/>
      <c r="IQ16" s="1452"/>
      <c r="IR16" s="1452"/>
      <c r="IS16" s="1452"/>
      <c r="IT16" s="1452"/>
      <c r="IU16" s="1452"/>
      <c r="IV16" s="1452"/>
      <c r="IW16" s="1452"/>
      <c r="IX16" s="1452"/>
      <c r="IY16" s="1455"/>
      <c r="IZ16" s="1455"/>
      <c r="JA16" s="1455"/>
      <c r="JB16" s="1455"/>
      <c r="JC16" s="1455"/>
      <c r="JD16" s="1452"/>
      <c r="JE16" s="1455"/>
      <c r="JF16" s="1455"/>
      <c r="JG16" s="1452"/>
      <c r="JH16" s="1455"/>
      <c r="JI16" s="1455"/>
      <c r="JJ16" s="1455"/>
      <c r="JK16" s="1455"/>
      <c r="JL16" s="1455"/>
      <c r="JM16" s="1455"/>
      <c r="JN16" s="1455"/>
      <c r="JO16" s="1455"/>
      <c r="JP16" s="1452">
        <v>21745</v>
      </c>
      <c r="JQ16" s="1501"/>
      <c r="JR16" s="351"/>
      <c r="JS16" s="1400" t="s">
        <v>2943</v>
      </c>
      <c r="JT16" s="1400" t="s">
        <v>2882</v>
      </c>
    </row>
    <row r="17" spans="1:280" x14ac:dyDescent="0.25">
      <c r="A17" s="1367">
        <v>16</v>
      </c>
      <c r="B17" s="1411">
        <f t="shared" si="1"/>
        <v>9200</v>
      </c>
      <c r="C17" s="1508" t="s">
        <v>2944</v>
      </c>
      <c r="D17" s="1436" t="s">
        <v>2945</v>
      </c>
      <c r="E17" s="1452"/>
      <c r="F17" s="1452"/>
      <c r="G17" s="1452"/>
      <c r="H17" s="1452"/>
      <c r="I17" s="1452"/>
      <c r="J17" s="1452"/>
      <c r="K17" s="1452"/>
      <c r="L17" s="1452"/>
      <c r="M17" s="1452"/>
      <c r="N17" s="1452"/>
      <c r="O17" s="1452"/>
      <c r="P17" s="1452"/>
      <c r="Q17" s="1452"/>
      <c r="R17" s="1452"/>
      <c r="S17" s="1452"/>
      <c r="T17" s="1452"/>
      <c r="U17" s="1452"/>
      <c r="V17" s="1452"/>
      <c r="W17" s="1452"/>
      <c r="X17" s="1452"/>
      <c r="Y17" s="1452"/>
      <c r="Z17" s="1452"/>
      <c r="AA17" s="1452"/>
      <c r="AB17" s="1452"/>
      <c r="AC17" s="1452"/>
      <c r="AD17" s="1452"/>
      <c r="AE17" s="1452"/>
      <c r="AF17" s="1452"/>
      <c r="AG17" s="1452"/>
      <c r="AH17" s="1452"/>
      <c r="AI17" s="1455"/>
      <c r="AJ17" s="1452"/>
      <c r="AK17" s="1452"/>
      <c r="AL17" s="1452"/>
      <c r="AM17" s="1452"/>
      <c r="AN17" s="1452"/>
      <c r="AO17" s="1489"/>
      <c r="AP17" s="1455"/>
      <c r="AQ17" s="1455"/>
      <c r="AR17" s="1455"/>
      <c r="AS17" s="1455"/>
      <c r="AT17" s="1452">
        <v>5200</v>
      </c>
      <c r="AU17" s="1455"/>
      <c r="AV17" s="1452"/>
      <c r="AW17" s="1455"/>
      <c r="AX17" s="1455"/>
      <c r="AY17" s="1455"/>
      <c r="AZ17" s="1455"/>
      <c r="BA17" s="1455"/>
      <c r="BB17" s="1452"/>
      <c r="BC17" s="1455"/>
      <c r="BD17" s="1452">
        <v>5200</v>
      </c>
      <c r="BE17" s="1452"/>
      <c r="BF17" s="1455"/>
      <c r="BG17" s="1455"/>
      <c r="BH17" s="1452"/>
      <c r="BI17" s="1452"/>
      <c r="BJ17" s="1455"/>
      <c r="BK17" s="1455"/>
      <c r="BL17" s="1455"/>
      <c r="BM17" s="1455"/>
      <c r="BN17" s="1455"/>
      <c r="BO17" s="1455"/>
      <c r="BP17" s="1455"/>
      <c r="BQ17" s="1455"/>
      <c r="BR17" s="1455"/>
      <c r="BS17" s="1455"/>
      <c r="BT17" s="1455"/>
      <c r="BU17" s="1455"/>
      <c r="BV17" s="1452"/>
      <c r="BW17" s="1455"/>
      <c r="BX17" s="1455"/>
      <c r="BY17" s="1455"/>
      <c r="BZ17" s="1455"/>
      <c r="CA17" s="1455"/>
      <c r="CB17" s="1455"/>
      <c r="CC17" s="1455"/>
      <c r="CD17" s="1455"/>
      <c r="CE17" s="1455"/>
      <c r="CF17" s="1455"/>
      <c r="CG17" s="1455"/>
      <c r="CH17" s="1455"/>
      <c r="CI17" s="1452"/>
      <c r="CJ17" s="1452"/>
      <c r="CK17" s="1452"/>
      <c r="CL17" s="1452"/>
      <c r="CM17" s="1452"/>
      <c r="CN17" s="1452"/>
      <c r="CO17" s="1452">
        <v>5200</v>
      </c>
      <c r="CP17" s="1452"/>
      <c r="CQ17" s="1452"/>
      <c r="CR17" s="1452"/>
      <c r="CS17" s="1452"/>
      <c r="CT17" s="1452"/>
      <c r="CU17" s="1452"/>
      <c r="CV17" s="1452"/>
      <c r="CW17" s="1452"/>
      <c r="CX17" s="1452"/>
      <c r="CY17" s="1452"/>
      <c r="CZ17" s="1452"/>
      <c r="DA17" s="1452"/>
      <c r="DB17" s="1452"/>
      <c r="DC17" s="1452">
        <v>9200</v>
      </c>
      <c r="DD17" s="1452"/>
      <c r="DE17" s="1452"/>
      <c r="DF17" s="1452"/>
      <c r="DG17" s="1452"/>
      <c r="DH17" s="1452"/>
      <c r="DI17" s="1452"/>
      <c r="DJ17" s="1452"/>
      <c r="DK17" s="1452"/>
      <c r="DL17" s="1452"/>
      <c r="DM17" s="1452"/>
      <c r="DN17" s="1452"/>
      <c r="DO17" s="1452"/>
      <c r="DP17" s="1452"/>
      <c r="DQ17" s="1452"/>
      <c r="DR17" s="1452"/>
      <c r="DS17" s="1452"/>
      <c r="DT17" s="1452"/>
      <c r="DU17" s="1452"/>
      <c r="DV17" s="1452">
        <v>1795</v>
      </c>
      <c r="DW17" s="1452"/>
      <c r="DX17" s="1452"/>
      <c r="DY17" s="1452"/>
      <c r="DZ17" s="1452"/>
      <c r="EA17" s="1452"/>
      <c r="EB17" s="1452"/>
      <c r="EC17" s="1452"/>
      <c r="ED17" s="1452"/>
      <c r="EE17" s="1452"/>
      <c r="EF17" s="1452"/>
      <c r="EG17" s="1452"/>
      <c r="EH17" s="1452"/>
      <c r="EI17" s="1452"/>
      <c r="EJ17" s="1452"/>
      <c r="EK17" s="1452"/>
      <c r="EL17" s="1452"/>
      <c r="EM17" s="1452"/>
      <c r="EN17" s="1452"/>
      <c r="EO17" s="1452"/>
      <c r="EP17" s="1452"/>
      <c r="EQ17" s="1452"/>
      <c r="ER17" s="1452"/>
      <c r="ES17" s="1452"/>
      <c r="ET17" s="1452"/>
      <c r="EU17" s="1452"/>
      <c r="EV17" s="1452"/>
      <c r="EW17" s="1452"/>
      <c r="EX17" s="1452"/>
      <c r="EY17" s="1452"/>
      <c r="EZ17" s="1452"/>
      <c r="FA17" s="1452"/>
      <c r="FB17" s="1452"/>
      <c r="FC17" s="1452"/>
      <c r="FD17" s="1452"/>
      <c r="FE17" s="1452"/>
      <c r="FF17" s="1452"/>
      <c r="FG17" s="1452"/>
      <c r="FH17" s="1452"/>
      <c r="FI17" s="1452"/>
      <c r="FJ17" s="1452"/>
      <c r="FK17" s="1452"/>
      <c r="FL17" s="1452"/>
      <c r="FM17" s="1452"/>
      <c r="FN17" s="1452"/>
      <c r="FO17" s="1452"/>
      <c r="FP17" s="1452">
        <v>9200</v>
      </c>
      <c r="FQ17" s="1452"/>
      <c r="FR17" s="1452"/>
      <c r="FS17" s="1452"/>
      <c r="FT17" s="1452"/>
      <c r="FU17" s="1452"/>
      <c r="FV17" s="1452"/>
      <c r="FW17" s="1452"/>
      <c r="FX17" s="1452"/>
      <c r="FY17" s="1452"/>
      <c r="FZ17" s="1452"/>
      <c r="GA17" s="1452"/>
      <c r="GB17" s="1452"/>
      <c r="GC17" s="1452"/>
      <c r="GD17" s="1452"/>
      <c r="GE17" s="1452"/>
      <c r="GF17" s="1452"/>
      <c r="GG17" s="1452"/>
      <c r="GH17" s="1452"/>
      <c r="GI17" s="1452"/>
      <c r="GJ17" s="1452"/>
      <c r="GK17" s="1452"/>
      <c r="GL17" s="1452"/>
      <c r="GM17" s="1452"/>
      <c r="GN17" s="1452"/>
      <c r="GO17" s="1452"/>
      <c r="GP17" s="1452"/>
      <c r="GQ17" s="1452"/>
      <c r="GR17" s="1452"/>
      <c r="GS17" s="1452"/>
      <c r="GT17" s="1452"/>
      <c r="GU17" s="1452"/>
      <c r="GV17" s="1452"/>
      <c r="GW17" s="1452"/>
      <c r="GX17" s="1452"/>
      <c r="GY17" s="1452"/>
      <c r="GZ17" s="1452"/>
      <c r="HA17" s="1452"/>
      <c r="HB17" s="1452">
        <v>5200</v>
      </c>
      <c r="HC17" s="1452"/>
      <c r="HD17" s="1452"/>
      <c r="HE17" s="1452"/>
      <c r="HF17" s="1452"/>
      <c r="HG17" s="1452"/>
      <c r="HH17" s="1452"/>
      <c r="HI17" s="1452"/>
      <c r="HJ17" s="1452"/>
      <c r="HK17" s="1452"/>
      <c r="HL17" s="1452"/>
      <c r="HM17" s="1452"/>
      <c r="HN17" s="1452"/>
      <c r="HO17" s="1452"/>
      <c r="HP17" s="1452"/>
      <c r="HQ17" s="1452"/>
      <c r="HR17" s="1452"/>
      <c r="HS17" s="1452"/>
      <c r="HT17" s="1452"/>
      <c r="HU17" s="1452"/>
      <c r="HV17" s="1452"/>
      <c r="HW17" s="1452"/>
      <c r="HX17" s="1452"/>
      <c r="HY17" s="1452"/>
      <c r="HZ17" s="1452"/>
      <c r="IA17" s="1452"/>
      <c r="IB17" s="1452"/>
      <c r="IC17" s="1452"/>
      <c r="ID17" s="1452"/>
      <c r="IE17" s="1452"/>
      <c r="IF17" s="1452"/>
      <c r="IG17" s="1452"/>
      <c r="IH17" s="1452"/>
      <c r="II17" s="1452"/>
      <c r="IJ17" s="1452"/>
      <c r="IK17" s="1452"/>
      <c r="IL17" s="1452"/>
      <c r="IM17" s="1452"/>
      <c r="IN17" s="1452"/>
      <c r="IO17" s="1452"/>
      <c r="IP17" s="1452"/>
      <c r="IQ17" s="1452"/>
      <c r="IR17" s="1452"/>
      <c r="IS17" s="1452"/>
      <c r="IT17" s="1452"/>
      <c r="IU17" s="1452"/>
      <c r="IV17" s="1452"/>
      <c r="IW17" s="1452"/>
      <c r="IX17" s="1452"/>
      <c r="IY17" s="1455"/>
      <c r="IZ17" s="1455"/>
      <c r="JA17" s="1455"/>
      <c r="JB17" s="1455"/>
      <c r="JC17" s="1455"/>
      <c r="JD17" s="1452"/>
      <c r="JE17" s="1455"/>
      <c r="JF17" s="1455"/>
      <c r="JG17" s="1452"/>
      <c r="JH17" s="1455"/>
      <c r="JI17" s="1455"/>
      <c r="JJ17" s="1455"/>
      <c r="JK17" s="1455"/>
      <c r="JL17" s="1455"/>
      <c r="JM17" s="1455"/>
      <c r="JN17" s="1455"/>
      <c r="JO17" s="1455"/>
      <c r="JP17" s="1452">
        <v>5200</v>
      </c>
      <c r="JQ17" s="1501"/>
      <c r="JR17" s="351"/>
      <c r="JS17" s="1400" t="s">
        <v>2943</v>
      </c>
      <c r="JT17" s="1400" t="s">
        <v>2242</v>
      </c>
    </row>
    <row r="18" spans="1:280" x14ac:dyDescent="0.25">
      <c r="A18" s="1367">
        <v>17</v>
      </c>
      <c r="B18" s="1411">
        <f t="shared" si="1"/>
        <v>12500</v>
      </c>
      <c r="C18" s="1508" t="s">
        <v>2946</v>
      </c>
      <c r="D18" s="1436" t="s">
        <v>2947</v>
      </c>
      <c r="E18" s="1452"/>
      <c r="F18" s="1452"/>
      <c r="G18" s="1452"/>
      <c r="H18" s="1452"/>
      <c r="I18" s="1452"/>
      <c r="J18" s="1452"/>
      <c r="K18" s="1452"/>
      <c r="L18" s="1452"/>
      <c r="M18" s="1452"/>
      <c r="N18" s="1452"/>
      <c r="O18" s="1452"/>
      <c r="P18" s="1452"/>
      <c r="Q18" s="1452"/>
      <c r="R18" s="1452"/>
      <c r="S18" s="1452"/>
      <c r="T18" s="1452"/>
      <c r="U18" s="1452"/>
      <c r="V18" s="1452"/>
      <c r="W18" s="1452"/>
      <c r="X18" s="1452"/>
      <c r="Y18" s="1452"/>
      <c r="Z18" s="1452"/>
      <c r="AA18" s="1452"/>
      <c r="AB18" s="1452"/>
      <c r="AC18" s="1452"/>
      <c r="AD18" s="1452"/>
      <c r="AE18" s="1452"/>
      <c r="AF18" s="1452"/>
      <c r="AG18" s="1452"/>
      <c r="AH18" s="1452"/>
      <c r="AI18" s="1455"/>
      <c r="AJ18" s="1452"/>
      <c r="AK18" s="1452"/>
      <c r="AL18" s="1452"/>
      <c r="AM18" s="1452"/>
      <c r="AN18" s="1452"/>
      <c r="AO18" s="1489"/>
      <c r="AP18" s="1455"/>
      <c r="AQ18" s="1455"/>
      <c r="AR18" s="1455"/>
      <c r="AS18" s="1455"/>
      <c r="AT18" s="1452">
        <v>3900</v>
      </c>
      <c r="AU18" s="1455"/>
      <c r="AV18" s="1452"/>
      <c r="AW18" s="1455"/>
      <c r="AX18" s="1455"/>
      <c r="AY18" s="1455"/>
      <c r="AZ18" s="1455"/>
      <c r="BA18" s="1455"/>
      <c r="BB18" s="1452"/>
      <c r="BC18" s="1455"/>
      <c r="BD18" s="1452">
        <v>3900</v>
      </c>
      <c r="BE18" s="1452"/>
      <c r="BF18" s="1455"/>
      <c r="BG18" s="1455"/>
      <c r="BH18" s="1452"/>
      <c r="BI18" s="1452"/>
      <c r="BJ18" s="1455"/>
      <c r="BK18" s="1455"/>
      <c r="BL18" s="1455"/>
      <c r="BM18" s="1455"/>
      <c r="BN18" s="1455"/>
      <c r="BO18" s="1455"/>
      <c r="BP18" s="1455"/>
      <c r="BQ18" s="1455"/>
      <c r="BR18" s="1455"/>
      <c r="BS18" s="1455"/>
      <c r="BT18" s="1455"/>
      <c r="BU18" s="1455"/>
      <c r="BV18" s="1452"/>
      <c r="BW18" s="1455"/>
      <c r="BX18" s="1455"/>
      <c r="BY18" s="1455"/>
      <c r="BZ18" s="1455"/>
      <c r="CA18" s="1455"/>
      <c r="CB18" s="1455"/>
      <c r="CC18" s="1455"/>
      <c r="CD18" s="1455"/>
      <c r="CE18" s="1455"/>
      <c r="CF18" s="1455"/>
      <c r="CG18" s="1455"/>
      <c r="CH18" s="1455"/>
      <c r="CI18" s="1452"/>
      <c r="CJ18" s="1452"/>
      <c r="CK18" s="1452"/>
      <c r="CL18" s="1452"/>
      <c r="CM18" s="1452"/>
      <c r="CN18" s="1452"/>
      <c r="CO18" s="1452">
        <v>3900</v>
      </c>
      <c r="CP18" s="1452"/>
      <c r="CQ18" s="1452"/>
      <c r="CR18" s="1452"/>
      <c r="CS18" s="1452"/>
      <c r="CT18" s="1452"/>
      <c r="CU18" s="1452"/>
      <c r="CV18" s="1452"/>
      <c r="CW18" s="1452"/>
      <c r="CX18" s="1452"/>
      <c r="CY18" s="1452"/>
      <c r="CZ18" s="1452"/>
      <c r="DA18" s="1452"/>
      <c r="DB18" s="1452"/>
      <c r="DC18" s="1452">
        <v>12500</v>
      </c>
      <c r="DD18" s="1452"/>
      <c r="DE18" s="1452"/>
      <c r="DF18" s="1452"/>
      <c r="DG18" s="1452"/>
      <c r="DH18" s="1452"/>
      <c r="DI18" s="1452"/>
      <c r="DJ18" s="1452"/>
      <c r="DK18" s="1452"/>
      <c r="DL18" s="1452"/>
      <c r="DM18" s="1452"/>
      <c r="DN18" s="1452"/>
      <c r="DO18" s="1452"/>
      <c r="DP18" s="1452"/>
      <c r="DQ18" s="1452"/>
      <c r="DR18" s="1452"/>
      <c r="DS18" s="1452"/>
      <c r="DT18" s="1452"/>
      <c r="DU18" s="1452"/>
      <c r="DV18" s="1452"/>
      <c r="DW18" s="1452"/>
      <c r="DX18" s="1452"/>
      <c r="DY18" s="1452"/>
      <c r="DZ18" s="1452"/>
      <c r="EA18" s="1452"/>
      <c r="EB18" s="1452"/>
      <c r="EC18" s="1452"/>
      <c r="ED18" s="1452"/>
      <c r="EE18" s="1452"/>
      <c r="EF18" s="1452"/>
      <c r="EG18" s="1452"/>
      <c r="EH18" s="1452"/>
      <c r="EI18" s="1452"/>
      <c r="EJ18" s="1452"/>
      <c r="EK18" s="1452"/>
      <c r="EL18" s="1452"/>
      <c r="EM18" s="1452"/>
      <c r="EN18" s="1452"/>
      <c r="EO18" s="1452"/>
      <c r="EP18" s="1452"/>
      <c r="EQ18" s="1452"/>
      <c r="ER18" s="1452"/>
      <c r="ES18" s="1452"/>
      <c r="ET18" s="1452"/>
      <c r="EU18" s="1452"/>
      <c r="EV18" s="1452"/>
      <c r="EW18" s="1452"/>
      <c r="EX18" s="1452"/>
      <c r="EY18" s="1452"/>
      <c r="EZ18" s="1452"/>
      <c r="FA18" s="1452"/>
      <c r="FB18" s="1452"/>
      <c r="FC18" s="1452"/>
      <c r="FD18" s="1452"/>
      <c r="FE18" s="1452"/>
      <c r="FF18" s="1452"/>
      <c r="FG18" s="1452"/>
      <c r="FH18" s="1452"/>
      <c r="FI18" s="1452"/>
      <c r="FJ18" s="1452"/>
      <c r="FK18" s="1452"/>
      <c r="FL18" s="1452"/>
      <c r="FM18" s="1452"/>
      <c r="FN18" s="1452"/>
      <c r="FO18" s="1452"/>
      <c r="FP18" s="1452">
        <v>12500</v>
      </c>
      <c r="FQ18" s="1452"/>
      <c r="FR18" s="1452"/>
      <c r="FS18" s="1452"/>
      <c r="FT18" s="1452"/>
      <c r="FU18" s="1452"/>
      <c r="FV18" s="1452"/>
      <c r="FW18" s="1452"/>
      <c r="FX18" s="1452"/>
      <c r="FY18" s="1452"/>
      <c r="FZ18" s="1452"/>
      <c r="GA18" s="1452"/>
      <c r="GB18" s="1452"/>
      <c r="GC18" s="1452"/>
      <c r="GD18" s="1452"/>
      <c r="GE18" s="1452"/>
      <c r="GF18" s="1452"/>
      <c r="GG18" s="1452"/>
      <c r="GH18" s="1452"/>
      <c r="GI18" s="1452"/>
      <c r="GJ18" s="1452"/>
      <c r="GK18" s="1452"/>
      <c r="GL18" s="1452"/>
      <c r="GM18" s="1452"/>
      <c r="GN18" s="1452"/>
      <c r="GO18" s="1452"/>
      <c r="GP18" s="1452"/>
      <c r="GQ18" s="1452"/>
      <c r="GR18" s="1452"/>
      <c r="GS18" s="1452"/>
      <c r="GT18" s="1452"/>
      <c r="GU18" s="1452"/>
      <c r="GV18" s="1452"/>
      <c r="GW18" s="1452"/>
      <c r="GX18" s="1452"/>
      <c r="GY18" s="1452"/>
      <c r="GZ18" s="1452"/>
      <c r="HA18" s="1452"/>
      <c r="HB18" s="1452">
        <v>3900</v>
      </c>
      <c r="HC18" s="1452"/>
      <c r="HD18" s="1452"/>
      <c r="HE18" s="1452"/>
      <c r="HF18" s="1452"/>
      <c r="HG18" s="1452"/>
      <c r="HH18" s="1452"/>
      <c r="HI18" s="1452"/>
      <c r="HJ18" s="1452"/>
      <c r="HK18" s="1452"/>
      <c r="HL18" s="1452"/>
      <c r="HM18" s="1452"/>
      <c r="HN18" s="1452"/>
      <c r="HO18" s="1452"/>
      <c r="HP18" s="1452"/>
      <c r="HQ18" s="1452"/>
      <c r="HR18" s="1452"/>
      <c r="HS18" s="1452"/>
      <c r="HT18" s="1452"/>
      <c r="HU18" s="1452"/>
      <c r="HV18" s="1452"/>
      <c r="HW18" s="1452"/>
      <c r="HX18" s="1452"/>
      <c r="HY18" s="1452"/>
      <c r="HZ18" s="1452"/>
      <c r="IA18" s="1452"/>
      <c r="IB18" s="1452"/>
      <c r="IC18" s="1452"/>
      <c r="ID18" s="1452"/>
      <c r="IE18" s="1452"/>
      <c r="IF18" s="1452"/>
      <c r="IG18" s="1452"/>
      <c r="IH18" s="1452"/>
      <c r="II18" s="1452"/>
      <c r="IJ18" s="1452"/>
      <c r="IK18" s="1452"/>
      <c r="IL18" s="1452"/>
      <c r="IM18" s="1452"/>
      <c r="IN18" s="1452"/>
      <c r="IO18" s="1452"/>
      <c r="IP18" s="1452"/>
      <c r="IQ18" s="1452"/>
      <c r="IR18" s="1452"/>
      <c r="IS18" s="1452"/>
      <c r="IT18" s="1452"/>
      <c r="IU18" s="1452"/>
      <c r="IV18" s="1452"/>
      <c r="IW18" s="1452"/>
      <c r="IX18" s="1452"/>
      <c r="IY18" s="1455"/>
      <c r="IZ18" s="1455"/>
      <c r="JA18" s="1455"/>
      <c r="JB18" s="1455"/>
      <c r="JC18" s="1455"/>
      <c r="JD18" s="1452"/>
      <c r="JE18" s="1455"/>
      <c r="JF18" s="1455"/>
      <c r="JG18" s="1452"/>
      <c r="JH18" s="1455"/>
      <c r="JI18" s="1455"/>
      <c r="JJ18" s="1455"/>
      <c r="JK18" s="1455"/>
      <c r="JL18" s="1455"/>
      <c r="JM18" s="1455"/>
      <c r="JN18" s="1455"/>
      <c r="JO18" s="1455"/>
      <c r="JP18" s="1452">
        <v>12500</v>
      </c>
      <c r="JQ18" s="1501"/>
      <c r="JR18" s="351"/>
      <c r="JS18" s="1400" t="s">
        <v>2943</v>
      </c>
      <c r="JT18" s="1400" t="s">
        <v>2242</v>
      </c>
    </row>
    <row r="19" spans="1:280" x14ac:dyDescent="0.25">
      <c r="A19" s="1367">
        <v>18</v>
      </c>
      <c r="B19" s="1411">
        <f t="shared" si="1"/>
        <v>17320</v>
      </c>
      <c r="C19" s="1508" t="s">
        <v>2948</v>
      </c>
      <c r="D19" s="1436" t="s">
        <v>2949</v>
      </c>
      <c r="E19" s="1452"/>
      <c r="F19" s="1452"/>
      <c r="G19" s="1452"/>
      <c r="H19" s="1452"/>
      <c r="I19" s="1452"/>
      <c r="J19" s="1452"/>
      <c r="K19" s="1452"/>
      <c r="L19" s="1452"/>
      <c r="M19" s="1452"/>
      <c r="N19" s="1452"/>
      <c r="O19" s="1452"/>
      <c r="P19" s="1452"/>
      <c r="Q19" s="1452"/>
      <c r="R19" s="1452"/>
      <c r="S19" s="1452"/>
      <c r="T19" s="1452"/>
      <c r="U19" s="1452"/>
      <c r="V19" s="1452"/>
      <c r="W19" s="1452"/>
      <c r="X19" s="1452"/>
      <c r="Y19" s="1452"/>
      <c r="Z19" s="1452"/>
      <c r="AA19" s="1452"/>
      <c r="AB19" s="1452"/>
      <c r="AC19" s="1452"/>
      <c r="AD19" s="1452"/>
      <c r="AE19" s="1452"/>
      <c r="AF19" s="1452"/>
      <c r="AG19" s="1452"/>
      <c r="AH19" s="1452"/>
      <c r="AI19" s="1455"/>
      <c r="AJ19" s="1452"/>
      <c r="AK19" s="1452"/>
      <c r="AL19" s="1452"/>
      <c r="AM19" s="1452"/>
      <c r="AN19" s="1452"/>
      <c r="AO19" s="1414"/>
      <c r="AP19" s="1455"/>
      <c r="AQ19" s="1455"/>
      <c r="AR19" s="1455"/>
      <c r="AS19" s="1455"/>
      <c r="AT19" s="1452">
        <v>7320</v>
      </c>
      <c r="AU19" s="1455"/>
      <c r="AV19" s="1452"/>
      <c r="AW19" s="1455"/>
      <c r="AX19" s="1455"/>
      <c r="AY19" s="1455"/>
      <c r="AZ19" s="1455"/>
      <c r="BA19" s="1455"/>
      <c r="BB19" s="1452"/>
      <c r="BC19" s="1455"/>
      <c r="BD19" s="1452">
        <v>7320</v>
      </c>
      <c r="BE19" s="1452"/>
      <c r="BF19" s="1455"/>
      <c r="BG19" s="1455"/>
      <c r="BH19" s="1452"/>
      <c r="BI19" s="1452"/>
      <c r="BJ19" s="1455"/>
      <c r="BK19" s="1455"/>
      <c r="BL19" s="1455"/>
      <c r="BM19" s="1455"/>
      <c r="BN19" s="1455"/>
      <c r="BO19" s="1455"/>
      <c r="BP19" s="1455"/>
      <c r="BQ19" s="1455"/>
      <c r="BR19" s="1455"/>
      <c r="BS19" s="1455"/>
      <c r="BT19" s="1455"/>
      <c r="BU19" s="1455"/>
      <c r="BV19" s="1452"/>
      <c r="BW19" s="1455"/>
      <c r="BX19" s="1455"/>
      <c r="BY19" s="1455"/>
      <c r="BZ19" s="1455"/>
      <c r="CA19" s="1455"/>
      <c r="CB19" s="1455"/>
      <c r="CC19" s="1455"/>
      <c r="CD19" s="1455"/>
      <c r="CE19" s="1455"/>
      <c r="CF19" s="1455"/>
      <c r="CG19" s="1455"/>
      <c r="CH19" s="1455"/>
      <c r="CI19" s="1452"/>
      <c r="CJ19" s="1452"/>
      <c r="CK19" s="1452"/>
      <c r="CL19" s="1452"/>
      <c r="CM19" s="1452"/>
      <c r="CN19" s="1452"/>
      <c r="CO19" s="1452">
        <v>7320</v>
      </c>
      <c r="CP19" s="1452"/>
      <c r="CQ19" s="1452"/>
      <c r="CR19" s="1452"/>
      <c r="CS19" s="1452"/>
      <c r="CT19" s="1452"/>
      <c r="CU19" s="1452"/>
      <c r="CV19" s="1452"/>
      <c r="CW19" s="1452"/>
      <c r="CX19" s="1452"/>
      <c r="CY19" s="1452"/>
      <c r="CZ19" s="1452"/>
      <c r="DA19" s="1452"/>
      <c r="DB19" s="1452"/>
      <c r="DC19" s="1452"/>
      <c r="DD19" s="1452"/>
      <c r="DE19" s="1452"/>
      <c r="DF19" s="1452"/>
      <c r="DG19" s="1452"/>
      <c r="DH19" s="1452"/>
      <c r="DI19" s="1452"/>
      <c r="DJ19" s="1452"/>
      <c r="DK19" s="1452"/>
      <c r="DL19" s="1452"/>
      <c r="DM19" s="1452"/>
      <c r="DN19" s="1452">
        <v>7500</v>
      </c>
      <c r="DO19" s="1452"/>
      <c r="DP19" s="1452"/>
      <c r="DQ19" s="1452"/>
      <c r="DR19" s="1452"/>
      <c r="DS19" s="1452"/>
      <c r="DT19" s="1452"/>
      <c r="DU19" s="1452"/>
      <c r="DV19" s="1452">
        <v>3855</v>
      </c>
      <c r="DW19" s="1452"/>
      <c r="DX19" s="1452"/>
      <c r="DY19" s="1452"/>
      <c r="DZ19" s="1452"/>
      <c r="EA19" s="1452"/>
      <c r="EB19" s="1452"/>
      <c r="EC19" s="1452"/>
      <c r="ED19" s="1452"/>
      <c r="EE19" s="1452"/>
      <c r="EF19" s="1452"/>
      <c r="EG19" s="1452"/>
      <c r="EH19" s="1452"/>
      <c r="EI19" s="1452"/>
      <c r="EJ19" s="1452"/>
      <c r="EK19" s="1452"/>
      <c r="EL19" s="1452"/>
      <c r="EM19" s="1452"/>
      <c r="EN19" s="1452"/>
      <c r="EO19" s="1452"/>
      <c r="EP19" s="1452"/>
      <c r="EQ19" s="1452"/>
      <c r="ER19" s="1452"/>
      <c r="ES19" s="1452"/>
      <c r="ET19" s="1452"/>
      <c r="EU19" s="1452"/>
      <c r="EV19" s="1452"/>
      <c r="EW19" s="1452"/>
      <c r="EX19" s="1452"/>
      <c r="EY19" s="1452"/>
      <c r="EZ19" s="1452"/>
      <c r="FA19" s="1452"/>
      <c r="FB19" s="1452"/>
      <c r="FC19" s="1452"/>
      <c r="FD19" s="1452"/>
      <c r="FE19" s="1452"/>
      <c r="FF19" s="1452"/>
      <c r="FG19" s="1452"/>
      <c r="FH19" s="1452"/>
      <c r="FI19" s="1452"/>
      <c r="FJ19" s="1452"/>
      <c r="FK19" s="1452"/>
      <c r="FL19" s="1452"/>
      <c r="FM19" s="1452"/>
      <c r="FN19" s="1452"/>
      <c r="FO19" s="1452"/>
      <c r="FP19" s="1452">
        <v>17320</v>
      </c>
      <c r="FQ19" s="1452"/>
      <c r="FR19" s="1452"/>
      <c r="FS19" s="1452"/>
      <c r="FT19" s="1452"/>
      <c r="FU19" s="1452"/>
      <c r="FV19" s="1452"/>
      <c r="FW19" s="1452"/>
      <c r="FX19" s="1452"/>
      <c r="FY19" s="1452"/>
      <c r="FZ19" s="1452"/>
      <c r="GA19" s="1452"/>
      <c r="GB19" s="1452"/>
      <c r="GC19" s="1452"/>
      <c r="GD19" s="1452"/>
      <c r="GE19" s="1452"/>
      <c r="GF19" s="1452"/>
      <c r="GG19" s="1452"/>
      <c r="GH19" s="1452"/>
      <c r="GI19" s="1452"/>
      <c r="GJ19" s="1452"/>
      <c r="GK19" s="1452"/>
      <c r="GL19" s="1452"/>
      <c r="GM19" s="1452"/>
      <c r="GN19" s="1452"/>
      <c r="GO19" s="1452"/>
      <c r="GP19" s="1452"/>
      <c r="GQ19" s="1452"/>
      <c r="GR19" s="1452"/>
      <c r="GS19" s="1452"/>
      <c r="GT19" s="1452"/>
      <c r="GU19" s="1452"/>
      <c r="GV19" s="1452"/>
      <c r="GW19" s="1452"/>
      <c r="GX19" s="1452"/>
      <c r="GY19" s="1452"/>
      <c r="GZ19" s="1452"/>
      <c r="HA19" s="1452"/>
      <c r="HB19" s="1452">
        <v>7320</v>
      </c>
      <c r="HC19" s="1452"/>
      <c r="HD19" s="1452"/>
      <c r="HE19" s="1452"/>
      <c r="HF19" s="1452"/>
      <c r="HG19" s="1452"/>
      <c r="HH19" s="1452"/>
      <c r="HI19" s="1452"/>
      <c r="HJ19" s="1452"/>
      <c r="HK19" s="1452"/>
      <c r="HL19" s="1452"/>
      <c r="HM19" s="1452"/>
      <c r="HN19" s="1452"/>
      <c r="HO19" s="1452"/>
      <c r="HP19" s="1452"/>
      <c r="HQ19" s="1452"/>
      <c r="HR19" s="1452"/>
      <c r="HS19" s="1452"/>
      <c r="HT19" s="1452"/>
      <c r="HU19" s="1452"/>
      <c r="HV19" s="1452"/>
      <c r="HW19" s="1452"/>
      <c r="HX19" s="1452"/>
      <c r="HY19" s="1452"/>
      <c r="HZ19" s="1452"/>
      <c r="IA19" s="1452"/>
      <c r="IB19" s="1452"/>
      <c r="IC19" s="1452"/>
      <c r="ID19" s="1452"/>
      <c r="IE19" s="1452"/>
      <c r="IF19" s="1452"/>
      <c r="IG19" s="1452"/>
      <c r="IH19" s="1452"/>
      <c r="II19" s="1452"/>
      <c r="IJ19" s="1452"/>
      <c r="IK19" s="1452"/>
      <c r="IL19" s="1452"/>
      <c r="IM19" s="1452"/>
      <c r="IN19" s="1452"/>
      <c r="IO19" s="1452"/>
      <c r="IP19" s="1452"/>
      <c r="IQ19" s="1452"/>
      <c r="IR19" s="1452"/>
      <c r="IS19" s="1452"/>
      <c r="IT19" s="1452"/>
      <c r="IU19" s="1452"/>
      <c r="IV19" s="1452"/>
      <c r="IW19" s="1452"/>
      <c r="IX19" s="1452"/>
      <c r="IY19" s="1455"/>
      <c r="IZ19" s="1455"/>
      <c r="JA19" s="1455"/>
      <c r="JB19" s="1455"/>
      <c r="JC19" s="1455"/>
      <c r="JD19" s="1452"/>
      <c r="JE19" s="1455"/>
      <c r="JF19" s="1455"/>
      <c r="JG19" s="1452"/>
      <c r="JH19" s="1455"/>
      <c r="JI19" s="1455"/>
      <c r="JJ19" s="1455"/>
      <c r="JK19" s="1455"/>
      <c r="JL19" s="1455"/>
      <c r="JM19" s="1455"/>
      <c r="JN19" s="1455"/>
      <c r="JO19" s="1455"/>
      <c r="JP19" s="1452">
        <v>7320</v>
      </c>
      <c r="JQ19" s="1501"/>
      <c r="JR19" s="351"/>
      <c r="JS19" s="1400" t="s">
        <v>2943</v>
      </c>
      <c r="JT19" s="1400" t="s">
        <v>2882</v>
      </c>
    </row>
    <row r="20" spans="1:280" x14ac:dyDescent="0.25">
      <c r="A20" s="1367">
        <v>19</v>
      </c>
      <c r="B20" s="1411">
        <f t="shared" si="1"/>
        <v>11109</v>
      </c>
      <c r="C20" s="1508" t="s">
        <v>2950</v>
      </c>
      <c r="D20" s="1436" t="s">
        <v>2951</v>
      </c>
      <c r="E20" s="1452"/>
      <c r="F20" s="1452"/>
      <c r="G20" s="1452"/>
      <c r="H20" s="1452"/>
      <c r="I20" s="1452"/>
      <c r="J20" s="1452"/>
      <c r="K20" s="1452"/>
      <c r="L20" s="1452"/>
      <c r="M20" s="1452"/>
      <c r="N20" s="1452"/>
      <c r="O20" s="1452"/>
      <c r="P20" s="1452"/>
      <c r="Q20" s="1452"/>
      <c r="R20" s="1452"/>
      <c r="S20" s="1452"/>
      <c r="T20" s="1452"/>
      <c r="U20" s="1452"/>
      <c r="V20" s="1452"/>
      <c r="W20" s="1452"/>
      <c r="X20" s="1452"/>
      <c r="Y20" s="1452"/>
      <c r="Z20" s="1452"/>
      <c r="AA20" s="1452"/>
      <c r="AB20" s="1452"/>
      <c r="AC20" s="1452"/>
      <c r="AD20" s="1452"/>
      <c r="AE20" s="1452"/>
      <c r="AF20" s="1452"/>
      <c r="AG20" s="1452"/>
      <c r="AH20" s="1452"/>
      <c r="AI20" s="1455"/>
      <c r="AJ20" s="1452"/>
      <c r="AK20" s="1452"/>
      <c r="AL20" s="1452"/>
      <c r="AM20" s="1452"/>
      <c r="AN20" s="1452"/>
      <c r="AO20" s="1410"/>
      <c r="AP20" s="1455"/>
      <c r="AQ20" s="1455"/>
      <c r="AR20" s="1455"/>
      <c r="AS20" s="1455"/>
      <c r="AT20" s="1452">
        <v>1109</v>
      </c>
      <c r="AU20" s="1455"/>
      <c r="AV20" s="1452"/>
      <c r="AW20" s="1455"/>
      <c r="AX20" s="1455"/>
      <c r="AY20" s="1455"/>
      <c r="AZ20" s="1455"/>
      <c r="BA20" s="1455"/>
      <c r="BB20" s="1452"/>
      <c r="BC20" s="1455"/>
      <c r="BD20" s="1452">
        <v>1109</v>
      </c>
      <c r="BE20" s="1452"/>
      <c r="BF20" s="1455"/>
      <c r="BG20" s="1455"/>
      <c r="BH20" s="1452"/>
      <c r="BI20" s="1452"/>
      <c r="BJ20" s="1455"/>
      <c r="BK20" s="1455"/>
      <c r="BL20" s="1455"/>
      <c r="BM20" s="1455"/>
      <c r="BN20" s="1455"/>
      <c r="BO20" s="1455"/>
      <c r="BP20" s="1455"/>
      <c r="BQ20" s="1455"/>
      <c r="BR20" s="1455"/>
      <c r="BS20" s="1455"/>
      <c r="BT20" s="1455"/>
      <c r="BU20" s="1455"/>
      <c r="BV20" s="1452"/>
      <c r="BW20" s="1455"/>
      <c r="BX20" s="1455"/>
      <c r="BY20" s="1455"/>
      <c r="BZ20" s="1455"/>
      <c r="CA20" s="1455"/>
      <c r="CB20" s="1455"/>
      <c r="CC20" s="1455"/>
      <c r="CD20" s="1455"/>
      <c r="CE20" s="1455"/>
      <c r="CF20" s="1455"/>
      <c r="CG20" s="1455"/>
      <c r="CH20" s="1455"/>
      <c r="CI20" s="1452"/>
      <c r="CJ20" s="1452"/>
      <c r="CK20" s="1452"/>
      <c r="CL20" s="1452"/>
      <c r="CM20" s="1452"/>
      <c r="CN20" s="1452"/>
      <c r="CO20" s="1452">
        <v>1109</v>
      </c>
      <c r="CP20" s="1452"/>
      <c r="CQ20" s="1452"/>
      <c r="CR20" s="1452"/>
      <c r="CS20" s="1452"/>
      <c r="CT20" s="1452"/>
      <c r="CU20" s="1452"/>
      <c r="CV20" s="1452"/>
      <c r="CW20" s="1452"/>
      <c r="CX20" s="1452"/>
      <c r="CY20" s="1452"/>
      <c r="CZ20" s="1452"/>
      <c r="DA20" s="1452"/>
      <c r="DB20" s="1452"/>
      <c r="DC20" s="1452">
        <v>14609</v>
      </c>
      <c r="DD20" s="1452"/>
      <c r="DE20" s="1452"/>
      <c r="DF20" s="1452"/>
      <c r="DG20" s="1452"/>
      <c r="DH20" s="1452"/>
      <c r="DI20" s="1452"/>
      <c r="DJ20" s="1452"/>
      <c r="DK20" s="1452"/>
      <c r="DL20" s="1452"/>
      <c r="DM20" s="1452"/>
      <c r="DN20" s="1452"/>
      <c r="DO20" s="1452"/>
      <c r="DP20" s="1452"/>
      <c r="DQ20" s="1452"/>
      <c r="DR20" s="1452"/>
      <c r="DS20" s="1452"/>
      <c r="DT20" s="1452"/>
      <c r="DU20" s="1452"/>
      <c r="DV20" s="1452">
        <v>2463</v>
      </c>
      <c r="DW20" s="1452"/>
      <c r="DX20" s="1452"/>
      <c r="DY20" s="1452"/>
      <c r="DZ20" s="1452"/>
      <c r="EA20" s="1452"/>
      <c r="EB20" s="1452"/>
      <c r="EC20" s="1452"/>
      <c r="ED20" s="1452"/>
      <c r="EE20" s="1452"/>
      <c r="EF20" s="1452"/>
      <c r="EG20" s="1452"/>
      <c r="EH20" s="1452"/>
      <c r="EI20" s="1452"/>
      <c r="EJ20" s="1452"/>
      <c r="EK20" s="1452"/>
      <c r="EL20" s="1452"/>
      <c r="EM20" s="1452"/>
      <c r="EN20" s="1452"/>
      <c r="EO20" s="1452"/>
      <c r="EP20" s="1452"/>
      <c r="EQ20" s="1452"/>
      <c r="ER20" s="1452"/>
      <c r="ES20" s="1452"/>
      <c r="ET20" s="1452"/>
      <c r="EU20" s="1452"/>
      <c r="EV20" s="1452"/>
      <c r="EW20" s="1452"/>
      <c r="EX20" s="1452"/>
      <c r="EY20" s="1452"/>
      <c r="EZ20" s="1452"/>
      <c r="FA20" s="1452"/>
      <c r="FB20" s="1452"/>
      <c r="FC20" s="1452"/>
      <c r="FD20" s="1452"/>
      <c r="FE20" s="1452"/>
      <c r="FF20" s="1452"/>
      <c r="FG20" s="1452"/>
      <c r="FH20" s="1452"/>
      <c r="FI20" s="1452"/>
      <c r="FJ20" s="1452"/>
      <c r="FK20" s="1452"/>
      <c r="FL20" s="1452"/>
      <c r="FM20" s="1452"/>
      <c r="FN20" s="1452"/>
      <c r="FO20" s="1452"/>
      <c r="FP20" s="1452">
        <v>11109</v>
      </c>
      <c r="FQ20" s="1452"/>
      <c r="FR20" s="1452"/>
      <c r="FS20" s="1452"/>
      <c r="FT20" s="1452"/>
      <c r="FU20" s="1452"/>
      <c r="FV20" s="1452"/>
      <c r="FW20" s="1452"/>
      <c r="FX20" s="1452"/>
      <c r="FY20" s="1452"/>
      <c r="FZ20" s="1452"/>
      <c r="GA20" s="1452"/>
      <c r="GB20" s="1452"/>
      <c r="GC20" s="1452"/>
      <c r="GD20" s="1452"/>
      <c r="GE20" s="1452"/>
      <c r="GF20" s="1452"/>
      <c r="GG20" s="1452"/>
      <c r="GH20" s="1452"/>
      <c r="GI20" s="1452"/>
      <c r="GJ20" s="1452"/>
      <c r="GK20" s="1452"/>
      <c r="GL20" s="1452"/>
      <c r="GM20" s="1452"/>
      <c r="GN20" s="1452"/>
      <c r="GO20" s="1452"/>
      <c r="GP20" s="1452"/>
      <c r="GQ20" s="1452"/>
      <c r="GR20" s="1452"/>
      <c r="GS20" s="1452"/>
      <c r="GT20" s="1452"/>
      <c r="GU20" s="1452"/>
      <c r="GV20" s="1452"/>
      <c r="GW20" s="1452"/>
      <c r="GX20" s="1452"/>
      <c r="GY20" s="1452"/>
      <c r="GZ20" s="1452"/>
      <c r="HA20" s="1452"/>
      <c r="HB20" s="1452">
        <v>1109</v>
      </c>
      <c r="HC20" s="1452"/>
      <c r="HD20" s="1452"/>
      <c r="HE20" s="1452"/>
      <c r="HF20" s="1452"/>
      <c r="HG20" s="1452"/>
      <c r="HH20" s="1452"/>
      <c r="HI20" s="1452"/>
      <c r="HJ20" s="1452"/>
      <c r="HK20" s="1452"/>
      <c r="HL20" s="1452"/>
      <c r="HM20" s="1452"/>
      <c r="HN20" s="1452"/>
      <c r="HO20" s="1452"/>
      <c r="HP20" s="1452"/>
      <c r="HQ20" s="1452"/>
      <c r="HR20" s="1452"/>
      <c r="HS20" s="1452"/>
      <c r="HT20" s="1452"/>
      <c r="HU20" s="1452"/>
      <c r="HV20" s="1452"/>
      <c r="HW20" s="1452"/>
      <c r="HX20" s="1452"/>
      <c r="HY20" s="1452"/>
      <c r="HZ20" s="1452"/>
      <c r="IA20" s="1452"/>
      <c r="IB20" s="1452"/>
      <c r="IC20" s="1452"/>
      <c r="ID20" s="1452"/>
      <c r="IE20" s="1452"/>
      <c r="IF20" s="1452"/>
      <c r="IG20" s="1452"/>
      <c r="IH20" s="1452"/>
      <c r="II20" s="1452"/>
      <c r="IJ20" s="1452"/>
      <c r="IK20" s="1452"/>
      <c r="IL20" s="1452"/>
      <c r="IM20" s="1452"/>
      <c r="IN20" s="1452"/>
      <c r="IO20" s="1452"/>
      <c r="IP20" s="1452"/>
      <c r="IQ20" s="1452"/>
      <c r="IR20" s="1452"/>
      <c r="IS20" s="1452"/>
      <c r="IT20" s="1452"/>
      <c r="IU20" s="1452"/>
      <c r="IV20" s="1452"/>
      <c r="IW20" s="1452"/>
      <c r="IX20" s="1452"/>
      <c r="IY20" s="1455"/>
      <c r="IZ20" s="1455"/>
      <c r="JA20" s="1455"/>
      <c r="JB20" s="1455"/>
      <c r="JC20" s="1455"/>
      <c r="JD20" s="1452"/>
      <c r="JE20" s="1455"/>
      <c r="JF20" s="1455"/>
      <c r="JG20" s="1452"/>
      <c r="JH20" s="1455"/>
      <c r="JI20" s="1455"/>
      <c r="JJ20" s="1455"/>
      <c r="JK20" s="1455"/>
      <c r="JL20" s="1455"/>
      <c r="JM20" s="1455"/>
      <c r="JN20" s="1455"/>
      <c r="JO20" s="1455"/>
      <c r="JP20" s="1452">
        <v>22999</v>
      </c>
      <c r="JQ20" s="1501"/>
      <c r="JR20" s="351"/>
      <c r="JS20" s="1400" t="s">
        <v>2943</v>
      </c>
      <c r="JT20" s="1400" t="s">
        <v>2882</v>
      </c>
    </row>
    <row r="21" spans="1:280" x14ac:dyDescent="0.25">
      <c r="A21" s="1367">
        <v>20</v>
      </c>
      <c r="B21" s="1411">
        <f t="shared" si="1"/>
        <v>4200</v>
      </c>
      <c r="C21" s="1508" t="s">
        <v>2952</v>
      </c>
      <c r="D21" s="1436" t="s">
        <v>2953</v>
      </c>
      <c r="E21" s="1452"/>
      <c r="F21" s="1452"/>
      <c r="G21" s="1452"/>
      <c r="H21" s="1452"/>
      <c r="I21" s="1452"/>
      <c r="J21" s="1452"/>
      <c r="K21" s="1452"/>
      <c r="L21" s="1452"/>
      <c r="M21" s="1452"/>
      <c r="N21" s="1452"/>
      <c r="O21" s="1452"/>
      <c r="P21" s="1452"/>
      <c r="Q21" s="1452"/>
      <c r="R21" s="1452"/>
      <c r="S21" s="1452"/>
      <c r="T21" s="1452"/>
      <c r="U21" s="1452"/>
      <c r="V21" s="1452"/>
      <c r="W21" s="1452"/>
      <c r="X21" s="1452"/>
      <c r="Y21" s="1452"/>
      <c r="Z21" s="1452"/>
      <c r="AA21" s="1452"/>
      <c r="AB21" s="1452"/>
      <c r="AC21" s="1452"/>
      <c r="AD21" s="1452"/>
      <c r="AE21" s="1452"/>
      <c r="AF21" s="1452"/>
      <c r="AG21" s="1452"/>
      <c r="AH21" s="1452"/>
      <c r="AI21" s="1455"/>
      <c r="AJ21" s="1452"/>
      <c r="AK21" s="1452"/>
      <c r="AL21" s="1452"/>
      <c r="AM21" s="1452"/>
      <c r="AN21" s="1452"/>
      <c r="AO21" s="1410"/>
      <c r="AP21" s="1455"/>
      <c r="AQ21" s="1455"/>
      <c r="AR21" s="1455"/>
      <c r="AS21" s="1455"/>
      <c r="AT21" s="1452">
        <v>4200</v>
      </c>
      <c r="AU21" s="1455"/>
      <c r="AV21" s="1452"/>
      <c r="AW21" s="1455"/>
      <c r="AX21" s="1455"/>
      <c r="AY21" s="1455"/>
      <c r="AZ21" s="1455"/>
      <c r="BA21" s="1455"/>
      <c r="BB21" s="1452"/>
      <c r="BC21" s="1455"/>
      <c r="BD21" s="1452">
        <v>4200</v>
      </c>
      <c r="BE21" s="1452"/>
      <c r="BF21" s="1455"/>
      <c r="BG21" s="1455"/>
      <c r="BH21" s="1452"/>
      <c r="BI21" s="1452"/>
      <c r="BJ21" s="1455"/>
      <c r="BK21" s="1455"/>
      <c r="BL21" s="1455"/>
      <c r="BM21" s="1455"/>
      <c r="BN21" s="1455"/>
      <c r="BO21" s="1455"/>
      <c r="BP21" s="1455"/>
      <c r="BQ21" s="1455"/>
      <c r="BR21" s="1455"/>
      <c r="BS21" s="1455"/>
      <c r="BT21" s="1455"/>
      <c r="BU21" s="1455"/>
      <c r="BV21" s="1452"/>
      <c r="BW21" s="1455"/>
      <c r="BX21" s="1455"/>
      <c r="BY21" s="1455"/>
      <c r="BZ21" s="1455"/>
      <c r="CA21" s="1455"/>
      <c r="CB21" s="1455"/>
      <c r="CC21" s="1455"/>
      <c r="CD21" s="1455"/>
      <c r="CE21" s="1455"/>
      <c r="CF21" s="1455"/>
      <c r="CG21" s="1455"/>
      <c r="CH21" s="1455"/>
      <c r="CI21" s="1452"/>
      <c r="CJ21" s="1452"/>
      <c r="CK21" s="1452"/>
      <c r="CL21" s="1452"/>
      <c r="CM21" s="1452"/>
      <c r="CN21" s="1452"/>
      <c r="CO21" s="1452">
        <v>4200</v>
      </c>
      <c r="CP21" s="1452"/>
      <c r="CQ21" s="1452"/>
      <c r="CR21" s="1452"/>
      <c r="CS21" s="1452"/>
      <c r="CT21" s="1452"/>
      <c r="CU21" s="1452"/>
      <c r="CV21" s="1452"/>
      <c r="CW21" s="1452"/>
      <c r="CX21" s="1452"/>
      <c r="CY21" s="1452"/>
      <c r="CZ21" s="1452"/>
      <c r="DA21" s="1452"/>
      <c r="DB21" s="1452"/>
      <c r="DC21" s="1452">
        <v>4326</v>
      </c>
      <c r="DD21" s="1452"/>
      <c r="DE21" s="1452"/>
      <c r="DF21" s="1452"/>
      <c r="DG21" s="1452"/>
      <c r="DH21" s="1452"/>
      <c r="DI21" s="1452"/>
      <c r="DJ21" s="1452"/>
      <c r="DK21" s="1452"/>
      <c r="DL21" s="1452"/>
      <c r="DM21" s="1452"/>
      <c r="DN21" s="1452"/>
      <c r="DO21" s="1452"/>
      <c r="DP21" s="1452"/>
      <c r="DQ21" s="1452"/>
      <c r="DR21" s="1452"/>
      <c r="DS21" s="1452"/>
      <c r="DT21" s="1452"/>
      <c r="DU21" s="1452"/>
      <c r="DV21" s="1452"/>
      <c r="DW21" s="1452"/>
      <c r="DX21" s="1452"/>
      <c r="DY21" s="1452"/>
      <c r="DZ21" s="1452"/>
      <c r="EA21" s="1452"/>
      <c r="EB21" s="1452"/>
      <c r="EC21" s="1452"/>
      <c r="ED21" s="1452"/>
      <c r="EE21" s="1452"/>
      <c r="EF21" s="1452"/>
      <c r="EG21" s="1452"/>
      <c r="EH21" s="1452"/>
      <c r="EI21" s="1452"/>
      <c r="EJ21" s="1452"/>
      <c r="EK21" s="1452"/>
      <c r="EL21" s="1452"/>
      <c r="EM21" s="1452"/>
      <c r="EN21" s="1452"/>
      <c r="EO21" s="1452"/>
      <c r="EP21" s="1452"/>
      <c r="EQ21" s="1452"/>
      <c r="ER21" s="1452"/>
      <c r="ES21" s="1452"/>
      <c r="ET21" s="1452"/>
      <c r="EU21" s="1452"/>
      <c r="EV21" s="1452"/>
      <c r="EW21" s="1452"/>
      <c r="EX21" s="1452"/>
      <c r="EY21" s="1452"/>
      <c r="EZ21" s="1452"/>
      <c r="FA21" s="1452"/>
      <c r="FB21" s="1452"/>
      <c r="FC21" s="1452"/>
      <c r="FD21" s="1452"/>
      <c r="FE21" s="1452"/>
      <c r="FF21" s="1452"/>
      <c r="FG21" s="1452"/>
      <c r="FH21" s="1452"/>
      <c r="FI21" s="1452"/>
      <c r="FJ21" s="1452"/>
      <c r="FK21" s="1452"/>
      <c r="FL21" s="1452"/>
      <c r="FM21" s="1452"/>
      <c r="FN21" s="1452"/>
      <c r="FO21" s="1452"/>
      <c r="FP21" s="1452">
        <v>4200</v>
      </c>
      <c r="FQ21" s="1452"/>
      <c r="FR21" s="1452"/>
      <c r="FS21" s="1452"/>
      <c r="FT21" s="1452"/>
      <c r="FU21" s="1452"/>
      <c r="FV21" s="1452"/>
      <c r="FW21" s="1452"/>
      <c r="FX21" s="1452"/>
      <c r="FY21" s="1452"/>
      <c r="FZ21" s="1452"/>
      <c r="GA21" s="1452"/>
      <c r="GB21" s="1452"/>
      <c r="GC21" s="1452"/>
      <c r="GD21" s="1452"/>
      <c r="GE21" s="1452"/>
      <c r="GF21" s="1452"/>
      <c r="GG21" s="1452"/>
      <c r="GH21" s="1452"/>
      <c r="GI21" s="1452"/>
      <c r="GJ21" s="1452"/>
      <c r="GK21" s="1452"/>
      <c r="GL21" s="1452"/>
      <c r="GM21" s="1452"/>
      <c r="GN21" s="1452"/>
      <c r="GO21" s="1452"/>
      <c r="GP21" s="1452"/>
      <c r="GQ21" s="1452"/>
      <c r="GR21" s="1452"/>
      <c r="GS21" s="1452"/>
      <c r="GT21" s="1452"/>
      <c r="GU21" s="1452"/>
      <c r="GV21" s="1452"/>
      <c r="GW21" s="1452"/>
      <c r="GX21" s="1452"/>
      <c r="GY21" s="1452"/>
      <c r="GZ21" s="1452"/>
      <c r="HA21" s="1452"/>
      <c r="HB21" s="1452">
        <v>4200</v>
      </c>
      <c r="HC21" s="1452"/>
      <c r="HD21" s="1452"/>
      <c r="HE21" s="1452"/>
      <c r="HF21" s="1452"/>
      <c r="HG21" s="1452"/>
      <c r="HH21" s="1452"/>
      <c r="HI21" s="1452"/>
      <c r="HJ21" s="1452"/>
      <c r="HK21" s="1452"/>
      <c r="HL21" s="1452"/>
      <c r="HM21" s="1452"/>
      <c r="HN21" s="1452"/>
      <c r="HO21" s="1452"/>
      <c r="HP21" s="1452"/>
      <c r="HQ21" s="1452"/>
      <c r="HR21" s="1452"/>
      <c r="HS21" s="1452"/>
      <c r="HT21" s="1452"/>
      <c r="HU21" s="1452"/>
      <c r="HV21" s="1452"/>
      <c r="HW21" s="1452"/>
      <c r="HX21" s="1452"/>
      <c r="HY21" s="1452"/>
      <c r="HZ21" s="1452"/>
      <c r="IA21" s="1452"/>
      <c r="IB21" s="1452"/>
      <c r="IC21" s="1452"/>
      <c r="ID21" s="1452"/>
      <c r="IE21" s="1452"/>
      <c r="IF21" s="1452"/>
      <c r="IG21" s="1452"/>
      <c r="IH21" s="1452"/>
      <c r="II21" s="1452"/>
      <c r="IJ21" s="1452"/>
      <c r="IK21" s="1452"/>
      <c r="IL21" s="1452"/>
      <c r="IM21" s="1452"/>
      <c r="IN21" s="1452"/>
      <c r="IO21" s="1452"/>
      <c r="IP21" s="1452"/>
      <c r="IQ21" s="1452"/>
      <c r="IR21" s="1452"/>
      <c r="IS21" s="1452"/>
      <c r="IT21" s="1452"/>
      <c r="IU21" s="1452"/>
      <c r="IV21" s="1452"/>
      <c r="IW21" s="1452"/>
      <c r="IX21" s="1452"/>
      <c r="IY21" s="1455"/>
      <c r="IZ21" s="1455"/>
      <c r="JA21" s="1455"/>
      <c r="JB21" s="1455"/>
      <c r="JC21" s="1455"/>
      <c r="JD21" s="1452"/>
      <c r="JE21" s="1455"/>
      <c r="JF21" s="1455"/>
      <c r="JG21" s="1452"/>
      <c r="JH21" s="1455"/>
      <c r="JI21" s="1455"/>
      <c r="JJ21" s="1455"/>
      <c r="JK21" s="1455"/>
      <c r="JL21" s="1455"/>
      <c r="JM21" s="1455"/>
      <c r="JN21" s="1455"/>
      <c r="JO21" s="1455"/>
      <c r="JP21" s="1452">
        <v>4200</v>
      </c>
      <c r="JQ21" s="1501"/>
      <c r="JR21" s="351"/>
      <c r="JS21" s="1400" t="s">
        <v>2943</v>
      </c>
      <c r="JT21" s="1400" t="s">
        <v>2882</v>
      </c>
    </row>
    <row r="22" spans="1:280" x14ac:dyDescent="0.25">
      <c r="A22" s="1367">
        <v>21</v>
      </c>
      <c r="B22" s="1411">
        <f t="shared" si="1"/>
        <v>13642</v>
      </c>
      <c r="C22" s="1508" t="s">
        <v>2954</v>
      </c>
      <c r="D22" s="1436" t="s">
        <v>2955</v>
      </c>
      <c r="E22" s="1452"/>
      <c r="F22" s="1452"/>
      <c r="G22" s="1452"/>
      <c r="H22" s="1452"/>
      <c r="I22" s="1452"/>
      <c r="J22" s="1452"/>
      <c r="K22" s="1452"/>
      <c r="L22" s="1452"/>
      <c r="M22" s="1452"/>
      <c r="N22" s="1452"/>
      <c r="O22" s="1452"/>
      <c r="P22" s="1452"/>
      <c r="Q22" s="1452"/>
      <c r="R22" s="1452"/>
      <c r="S22" s="1452"/>
      <c r="T22" s="1452"/>
      <c r="U22" s="1452"/>
      <c r="V22" s="1452"/>
      <c r="W22" s="1452"/>
      <c r="X22" s="1452"/>
      <c r="Y22" s="1452"/>
      <c r="Z22" s="1452"/>
      <c r="AA22" s="1452"/>
      <c r="AB22" s="1452"/>
      <c r="AC22" s="1452"/>
      <c r="AD22" s="1452"/>
      <c r="AE22" s="1452"/>
      <c r="AF22" s="1452"/>
      <c r="AG22" s="1452"/>
      <c r="AH22" s="1452"/>
      <c r="AI22" s="1455"/>
      <c r="AJ22" s="1452"/>
      <c r="AK22" s="1452"/>
      <c r="AL22" s="1452"/>
      <c r="AM22" s="1452"/>
      <c r="AN22" s="1452"/>
      <c r="AO22" s="1410"/>
      <c r="AP22" s="1455"/>
      <c r="AQ22" s="1455"/>
      <c r="AR22" s="1455"/>
      <c r="AS22" s="1455"/>
      <c r="AT22" s="1452">
        <v>13642</v>
      </c>
      <c r="AU22" s="1455"/>
      <c r="AV22" s="1452"/>
      <c r="AW22" s="1455"/>
      <c r="AX22" s="1455"/>
      <c r="AY22" s="1455"/>
      <c r="AZ22" s="1455"/>
      <c r="BA22" s="1455"/>
      <c r="BB22" s="1452"/>
      <c r="BC22" s="1455"/>
      <c r="BD22" s="1452">
        <v>13642</v>
      </c>
      <c r="BE22" s="1452"/>
      <c r="BF22" s="1455"/>
      <c r="BG22" s="1455"/>
      <c r="BH22" s="1452"/>
      <c r="BI22" s="1452"/>
      <c r="BJ22" s="1455"/>
      <c r="BK22" s="1455"/>
      <c r="BL22" s="1455"/>
      <c r="BM22" s="1455"/>
      <c r="BN22" s="1455"/>
      <c r="BO22" s="1455"/>
      <c r="BP22" s="1455"/>
      <c r="BQ22" s="1455"/>
      <c r="BR22" s="1455"/>
      <c r="BS22" s="1455"/>
      <c r="BT22" s="1455"/>
      <c r="BU22" s="1455"/>
      <c r="BV22" s="1452"/>
      <c r="BW22" s="1455"/>
      <c r="BX22" s="1455"/>
      <c r="BY22" s="1455"/>
      <c r="BZ22" s="1455"/>
      <c r="CA22" s="1455"/>
      <c r="CB22" s="1455"/>
      <c r="CC22" s="1455"/>
      <c r="CD22" s="1455"/>
      <c r="CE22" s="1455"/>
      <c r="CF22" s="1455"/>
      <c r="CG22" s="1455"/>
      <c r="CH22" s="1455"/>
      <c r="CI22" s="1452"/>
      <c r="CJ22" s="1452"/>
      <c r="CK22" s="1452"/>
      <c r="CL22" s="1452"/>
      <c r="CM22" s="1452"/>
      <c r="CN22" s="1452"/>
      <c r="CO22" s="1452">
        <v>13642</v>
      </c>
      <c r="CP22" s="1452"/>
      <c r="CQ22" s="1452"/>
      <c r="CR22" s="1452"/>
      <c r="CS22" s="1452"/>
      <c r="CT22" s="1452"/>
      <c r="CU22" s="1452"/>
      <c r="CV22" s="1452"/>
      <c r="CW22" s="1452"/>
      <c r="CX22" s="1452"/>
      <c r="CY22" s="1452"/>
      <c r="CZ22" s="1452"/>
      <c r="DA22" s="1452"/>
      <c r="DB22" s="1452"/>
      <c r="DC22" s="1452">
        <v>13642</v>
      </c>
      <c r="DD22" s="1452"/>
      <c r="DE22" s="1452"/>
      <c r="DF22" s="1452"/>
      <c r="DG22" s="1452"/>
      <c r="DH22" s="1452"/>
      <c r="DI22" s="1452"/>
      <c r="DJ22" s="1452"/>
      <c r="DK22" s="1452"/>
      <c r="DL22" s="1452"/>
      <c r="DM22" s="1452"/>
      <c r="DN22" s="1452"/>
      <c r="DO22" s="1452"/>
      <c r="DP22" s="1452"/>
      <c r="DQ22" s="1452"/>
      <c r="DR22" s="1452"/>
      <c r="DS22" s="1452"/>
      <c r="DT22" s="1452"/>
      <c r="DU22" s="1452"/>
      <c r="DV22" s="1452"/>
      <c r="DW22" s="1452"/>
      <c r="DX22" s="1452"/>
      <c r="DY22" s="1452"/>
      <c r="DZ22" s="1452"/>
      <c r="EA22" s="1452"/>
      <c r="EB22" s="1452"/>
      <c r="EC22" s="1452"/>
      <c r="ED22" s="1452"/>
      <c r="EE22" s="1452"/>
      <c r="EF22" s="1452"/>
      <c r="EG22" s="1452"/>
      <c r="EH22" s="1452"/>
      <c r="EI22" s="1452"/>
      <c r="EJ22" s="1452"/>
      <c r="EK22" s="1452"/>
      <c r="EL22" s="1452"/>
      <c r="EM22" s="1452"/>
      <c r="EN22" s="1452"/>
      <c r="EO22" s="1452"/>
      <c r="EP22" s="1452"/>
      <c r="EQ22" s="1452"/>
      <c r="ER22" s="1452"/>
      <c r="ES22" s="1452"/>
      <c r="ET22" s="1452"/>
      <c r="EU22" s="1452"/>
      <c r="EV22" s="1452"/>
      <c r="EW22" s="1452"/>
      <c r="EX22" s="1452"/>
      <c r="EY22" s="1452"/>
      <c r="EZ22" s="1452"/>
      <c r="FA22" s="1452"/>
      <c r="FB22" s="1452"/>
      <c r="FC22" s="1452"/>
      <c r="FD22" s="1452"/>
      <c r="FE22" s="1452"/>
      <c r="FF22" s="1452"/>
      <c r="FG22" s="1452"/>
      <c r="FH22" s="1452"/>
      <c r="FI22" s="1452"/>
      <c r="FJ22" s="1452"/>
      <c r="FK22" s="1452"/>
      <c r="FL22" s="1452"/>
      <c r="FM22" s="1452"/>
      <c r="FN22" s="1452"/>
      <c r="FO22" s="1452"/>
      <c r="FP22" s="1452">
        <v>13642</v>
      </c>
      <c r="FQ22" s="1452"/>
      <c r="FR22" s="1452"/>
      <c r="FS22" s="1452"/>
      <c r="FT22" s="1452"/>
      <c r="FU22" s="1452"/>
      <c r="FV22" s="1452"/>
      <c r="FW22" s="1452"/>
      <c r="FX22" s="1452"/>
      <c r="FY22" s="1452"/>
      <c r="FZ22" s="1452"/>
      <c r="GA22" s="1452"/>
      <c r="GB22" s="1452"/>
      <c r="GC22" s="1452"/>
      <c r="GD22" s="1452"/>
      <c r="GE22" s="1452"/>
      <c r="GF22" s="1452"/>
      <c r="GG22" s="1452"/>
      <c r="GH22" s="1452"/>
      <c r="GI22" s="1452"/>
      <c r="GJ22" s="1452"/>
      <c r="GK22" s="1452"/>
      <c r="GL22" s="1452"/>
      <c r="GM22" s="1452"/>
      <c r="GN22" s="1452"/>
      <c r="GO22" s="1452"/>
      <c r="GP22" s="1452"/>
      <c r="GQ22" s="1452"/>
      <c r="GR22" s="1452"/>
      <c r="GS22" s="1452"/>
      <c r="GT22" s="1452"/>
      <c r="GU22" s="1452"/>
      <c r="GV22" s="1452"/>
      <c r="GW22" s="1452"/>
      <c r="GX22" s="1452"/>
      <c r="GY22" s="1452"/>
      <c r="GZ22" s="1452"/>
      <c r="HA22" s="1452"/>
      <c r="HB22" s="1452">
        <v>13642</v>
      </c>
      <c r="HC22" s="1452"/>
      <c r="HD22" s="1452"/>
      <c r="HE22" s="1452"/>
      <c r="HF22" s="1452"/>
      <c r="HG22" s="1452"/>
      <c r="HH22" s="1452"/>
      <c r="HI22" s="1452"/>
      <c r="HJ22" s="1452"/>
      <c r="HK22" s="1452"/>
      <c r="HL22" s="1452"/>
      <c r="HM22" s="1452"/>
      <c r="HN22" s="1452"/>
      <c r="HO22" s="1452"/>
      <c r="HP22" s="1452"/>
      <c r="HQ22" s="1452"/>
      <c r="HR22" s="1452"/>
      <c r="HS22" s="1452"/>
      <c r="HT22" s="1452"/>
      <c r="HU22" s="1452"/>
      <c r="HV22" s="1452"/>
      <c r="HW22" s="1452"/>
      <c r="HX22" s="1452"/>
      <c r="HY22" s="1452"/>
      <c r="HZ22" s="1452"/>
      <c r="IA22" s="1452"/>
      <c r="IB22" s="1452"/>
      <c r="IC22" s="1452"/>
      <c r="ID22" s="1452"/>
      <c r="IE22" s="1452"/>
      <c r="IF22" s="1452"/>
      <c r="IG22" s="1452"/>
      <c r="IH22" s="1452"/>
      <c r="II22" s="1452"/>
      <c r="IJ22" s="1452"/>
      <c r="IK22" s="1452"/>
      <c r="IL22" s="1452"/>
      <c r="IM22" s="1452"/>
      <c r="IN22" s="1452"/>
      <c r="IO22" s="1452"/>
      <c r="IP22" s="1452"/>
      <c r="IQ22" s="1452"/>
      <c r="IR22" s="1452"/>
      <c r="IS22" s="1452"/>
      <c r="IT22" s="1452"/>
      <c r="IU22" s="1452"/>
      <c r="IV22" s="1452"/>
      <c r="IW22" s="1452"/>
      <c r="IX22" s="1452"/>
      <c r="IY22" s="1455"/>
      <c r="IZ22" s="1455"/>
      <c r="JA22" s="1455"/>
      <c r="JB22" s="1455"/>
      <c r="JC22" s="1455"/>
      <c r="JD22" s="1452"/>
      <c r="JE22" s="1455"/>
      <c r="JF22" s="1455"/>
      <c r="JG22" s="1452"/>
      <c r="JH22" s="1455"/>
      <c r="JI22" s="1455"/>
      <c r="JJ22" s="1455"/>
      <c r="JK22" s="1455"/>
      <c r="JL22" s="1455"/>
      <c r="JM22" s="1455"/>
      <c r="JN22" s="1455"/>
      <c r="JO22" s="1455"/>
      <c r="JP22" s="1452">
        <v>23642</v>
      </c>
      <c r="JQ22" s="1501"/>
      <c r="JR22" s="351"/>
      <c r="JS22" s="1400" t="s">
        <v>2943</v>
      </c>
      <c r="JT22" s="1400" t="s">
        <v>2882</v>
      </c>
    </row>
    <row r="23" spans="1:280" x14ac:dyDescent="0.25">
      <c r="A23" s="1367">
        <v>22</v>
      </c>
      <c r="B23" s="1411">
        <f t="shared" si="1"/>
        <v>1602</v>
      </c>
      <c r="C23" s="1508" t="s">
        <v>2956</v>
      </c>
      <c r="D23" s="1436" t="s">
        <v>2957</v>
      </c>
      <c r="E23" s="1452"/>
      <c r="F23" s="1452"/>
      <c r="G23" s="1452"/>
      <c r="H23" s="1452"/>
      <c r="I23" s="1452"/>
      <c r="J23" s="1452"/>
      <c r="K23" s="1452"/>
      <c r="L23" s="1452"/>
      <c r="M23" s="1452"/>
      <c r="N23" s="1452"/>
      <c r="O23" s="1452"/>
      <c r="P23" s="1452"/>
      <c r="Q23" s="1452"/>
      <c r="R23" s="1452"/>
      <c r="S23" s="1452"/>
      <c r="T23" s="1452"/>
      <c r="U23" s="1452"/>
      <c r="V23" s="1452"/>
      <c r="W23" s="1452"/>
      <c r="X23" s="1452"/>
      <c r="Y23" s="1452"/>
      <c r="Z23" s="1452"/>
      <c r="AA23" s="1452"/>
      <c r="AB23" s="1452"/>
      <c r="AC23" s="1452"/>
      <c r="AD23" s="1452"/>
      <c r="AE23" s="1452"/>
      <c r="AF23" s="1452"/>
      <c r="AG23" s="1452"/>
      <c r="AH23" s="1452"/>
      <c r="AI23" s="1455"/>
      <c r="AJ23" s="1452"/>
      <c r="AK23" s="1452"/>
      <c r="AL23" s="1452"/>
      <c r="AM23" s="1452"/>
      <c r="AN23" s="1452"/>
      <c r="AO23" s="1410"/>
      <c r="AP23" s="1455"/>
      <c r="AQ23" s="1455"/>
      <c r="AR23" s="1455"/>
      <c r="AS23" s="1455"/>
      <c r="AT23" s="1452">
        <v>1602</v>
      </c>
      <c r="AU23" s="1455"/>
      <c r="AV23" s="1452"/>
      <c r="AW23" s="1455"/>
      <c r="AX23" s="1455"/>
      <c r="AY23" s="1455"/>
      <c r="AZ23" s="1455"/>
      <c r="BA23" s="1455"/>
      <c r="BB23" s="1452"/>
      <c r="BC23" s="1455"/>
      <c r="BD23" s="1452">
        <v>1602</v>
      </c>
      <c r="BE23" s="1452"/>
      <c r="BF23" s="1455"/>
      <c r="BG23" s="1455"/>
      <c r="BH23" s="1452"/>
      <c r="BI23" s="1452"/>
      <c r="BJ23" s="1455"/>
      <c r="BK23" s="1455"/>
      <c r="BL23" s="1455"/>
      <c r="BM23" s="1455"/>
      <c r="BN23" s="1455"/>
      <c r="BO23" s="1455"/>
      <c r="BP23" s="1455"/>
      <c r="BQ23" s="1455"/>
      <c r="BR23" s="1455"/>
      <c r="BS23" s="1455"/>
      <c r="BT23" s="1455"/>
      <c r="BU23" s="1455"/>
      <c r="BV23" s="1452"/>
      <c r="BW23" s="1455"/>
      <c r="BX23" s="1455"/>
      <c r="BY23" s="1455"/>
      <c r="BZ23" s="1455"/>
      <c r="CA23" s="1455"/>
      <c r="CB23" s="1455"/>
      <c r="CC23" s="1455"/>
      <c r="CD23" s="1455"/>
      <c r="CE23" s="1455"/>
      <c r="CF23" s="1455"/>
      <c r="CG23" s="1455"/>
      <c r="CH23" s="1455"/>
      <c r="CI23" s="1452"/>
      <c r="CJ23" s="1452"/>
      <c r="CK23" s="1452"/>
      <c r="CL23" s="1452"/>
      <c r="CM23" s="1452"/>
      <c r="CN23" s="1452"/>
      <c r="CO23" s="1452">
        <v>1602</v>
      </c>
      <c r="CP23" s="1452"/>
      <c r="CQ23" s="1452"/>
      <c r="CR23" s="1452"/>
      <c r="CS23" s="1452"/>
      <c r="CT23" s="1452"/>
      <c r="CU23" s="1452"/>
      <c r="CV23" s="1452"/>
      <c r="CW23" s="1452"/>
      <c r="CX23" s="1452"/>
      <c r="CY23" s="1452"/>
      <c r="CZ23" s="1452"/>
      <c r="DA23" s="1452"/>
      <c r="DB23" s="1452"/>
      <c r="DC23" s="1452">
        <v>1602</v>
      </c>
      <c r="DD23" s="1452"/>
      <c r="DE23" s="1452"/>
      <c r="DF23" s="1452"/>
      <c r="DG23" s="1452"/>
      <c r="DH23" s="1452"/>
      <c r="DI23" s="1452"/>
      <c r="DJ23" s="1452"/>
      <c r="DK23" s="1452"/>
      <c r="DL23" s="1452"/>
      <c r="DM23" s="1452"/>
      <c r="DN23" s="1452">
        <v>1120</v>
      </c>
      <c r="DO23" s="1452"/>
      <c r="DP23" s="1452"/>
      <c r="DQ23" s="1452"/>
      <c r="DR23" s="1452"/>
      <c r="DS23" s="1452"/>
      <c r="DT23" s="1452"/>
      <c r="DU23" s="1452"/>
      <c r="DV23" s="1452"/>
      <c r="DW23" s="1452"/>
      <c r="DX23" s="1452"/>
      <c r="DY23" s="1452"/>
      <c r="DZ23" s="1452"/>
      <c r="EA23" s="1452"/>
      <c r="EB23" s="1452"/>
      <c r="EC23" s="1452"/>
      <c r="ED23" s="1452"/>
      <c r="EE23" s="1452"/>
      <c r="EF23" s="1452"/>
      <c r="EG23" s="1452"/>
      <c r="EH23" s="1452"/>
      <c r="EI23" s="1452"/>
      <c r="EJ23" s="1452"/>
      <c r="EK23" s="1452"/>
      <c r="EL23" s="1452"/>
      <c r="EM23" s="1452"/>
      <c r="EN23" s="1452"/>
      <c r="EO23" s="1452"/>
      <c r="EP23" s="1452"/>
      <c r="EQ23" s="1452"/>
      <c r="ER23" s="1452"/>
      <c r="ES23" s="1452"/>
      <c r="ET23" s="1452"/>
      <c r="EU23" s="1452"/>
      <c r="EV23" s="1452"/>
      <c r="EW23" s="1452"/>
      <c r="EX23" s="1452"/>
      <c r="EY23" s="1452"/>
      <c r="EZ23" s="1452"/>
      <c r="FA23" s="1452"/>
      <c r="FB23" s="1452"/>
      <c r="FC23" s="1452"/>
      <c r="FD23" s="1452"/>
      <c r="FE23" s="1452"/>
      <c r="FF23" s="1452"/>
      <c r="FG23" s="1452"/>
      <c r="FH23" s="1452"/>
      <c r="FI23" s="1452"/>
      <c r="FJ23" s="1452"/>
      <c r="FK23" s="1452"/>
      <c r="FL23" s="1452"/>
      <c r="FM23" s="1452"/>
      <c r="FN23" s="1452"/>
      <c r="FO23" s="1452"/>
      <c r="FP23" s="1452">
        <v>1602</v>
      </c>
      <c r="FQ23" s="1452"/>
      <c r="FR23" s="1452"/>
      <c r="FS23" s="1452"/>
      <c r="FT23" s="1452"/>
      <c r="FU23" s="1452"/>
      <c r="FV23" s="1452"/>
      <c r="FW23" s="1452"/>
      <c r="FX23" s="1452"/>
      <c r="FY23" s="1452"/>
      <c r="FZ23" s="1452"/>
      <c r="GA23" s="1452"/>
      <c r="GB23" s="1452"/>
      <c r="GC23" s="1452"/>
      <c r="GD23" s="1452"/>
      <c r="GE23" s="1452"/>
      <c r="GF23" s="1452"/>
      <c r="GG23" s="1452"/>
      <c r="GH23" s="1452"/>
      <c r="GI23" s="1452"/>
      <c r="GJ23" s="1452"/>
      <c r="GK23" s="1452"/>
      <c r="GL23" s="1452"/>
      <c r="GM23" s="1452"/>
      <c r="GN23" s="1452"/>
      <c r="GO23" s="1452"/>
      <c r="GP23" s="1452"/>
      <c r="GQ23" s="1452"/>
      <c r="GR23" s="1452"/>
      <c r="GS23" s="1452"/>
      <c r="GT23" s="1452"/>
      <c r="GU23" s="1452"/>
      <c r="GV23" s="1452"/>
      <c r="GW23" s="1452"/>
      <c r="GX23" s="1452"/>
      <c r="GY23" s="1452"/>
      <c r="GZ23" s="1452"/>
      <c r="HA23" s="1452"/>
      <c r="HB23" s="1452">
        <v>1602</v>
      </c>
      <c r="HC23" s="1452"/>
      <c r="HD23" s="1452"/>
      <c r="HE23" s="1452"/>
      <c r="HF23" s="1452"/>
      <c r="HG23" s="1452"/>
      <c r="HH23" s="1452"/>
      <c r="HI23" s="1452"/>
      <c r="HJ23" s="1452"/>
      <c r="HK23" s="1452"/>
      <c r="HL23" s="1452"/>
      <c r="HM23" s="1452"/>
      <c r="HN23" s="1452"/>
      <c r="HO23" s="1452"/>
      <c r="HP23" s="1452"/>
      <c r="HQ23" s="1452"/>
      <c r="HR23" s="1452"/>
      <c r="HS23" s="1452"/>
      <c r="HT23" s="1452"/>
      <c r="HU23" s="1452"/>
      <c r="HV23" s="1452"/>
      <c r="HW23" s="1452"/>
      <c r="HX23" s="1452"/>
      <c r="HY23" s="1452"/>
      <c r="HZ23" s="1452"/>
      <c r="IA23" s="1452"/>
      <c r="IB23" s="1452"/>
      <c r="IC23" s="1452"/>
      <c r="ID23" s="1452"/>
      <c r="IE23" s="1452"/>
      <c r="IF23" s="1452"/>
      <c r="IG23" s="1452"/>
      <c r="IH23" s="1452"/>
      <c r="II23" s="1452"/>
      <c r="IJ23" s="1452"/>
      <c r="IK23" s="1452"/>
      <c r="IL23" s="1452"/>
      <c r="IM23" s="1452"/>
      <c r="IN23" s="1452"/>
      <c r="IO23" s="1452"/>
      <c r="IP23" s="1452"/>
      <c r="IQ23" s="1452"/>
      <c r="IR23" s="1452"/>
      <c r="IS23" s="1452"/>
      <c r="IT23" s="1452"/>
      <c r="IU23" s="1452"/>
      <c r="IV23" s="1452"/>
      <c r="IW23" s="1452"/>
      <c r="IX23" s="1452"/>
      <c r="IY23" s="1455"/>
      <c r="IZ23" s="1455"/>
      <c r="JA23" s="1455"/>
      <c r="JB23" s="1455"/>
      <c r="JC23" s="1455"/>
      <c r="JD23" s="1452"/>
      <c r="JE23" s="1455"/>
      <c r="JF23" s="1455"/>
      <c r="JG23" s="1452"/>
      <c r="JH23" s="1455"/>
      <c r="JI23" s="1455"/>
      <c r="JJ23" s="1455"/>
      <c r="JK23" s="1455"/>
      <c r="JL23" s="1455"/>
      <c r="JM23" s="1455"/>
      <c r="JN23" s="1455"/>
      <c r="JO23" s="1455"/>
      <c r="JP23" s="1452">
        <v>1602</v>
      </c>
      <c r="JQ23" s="1501"/>
      <c r="JR23" s="351"/>
      <c r="JS23" s="1400" t="s">
        <v>2943</v>
      </c>
      <c r="JT23" s="1400" t="s">
        <v>2242</v>
      </c>
    </row>
    <row r="24" spans="1:280" x14ac:dyDescent="0.25">
      <c r="A24" s="1367">
        <v>23</v>
      </c>
      <c r="B24" s="1411">
        <f t="shared" si="1"/>
        <v>777</v>
      </c>
      <c r="C24" s="1508" t="s">
        <v>2958</v>
      </c>
      <c r="D24" s="1436" t="s">
        <v>2847</v>
      </c>
      <c r="E24" s="1452"/>
      <c r="F24" s="1452"/>
      <c r="G24" s="1452"/>
      <c r="H24" s="1452"/>
      <c r="I24" s="1452"/>
      <c r="J24" s="1452"/>
      <c r="K24" s="1452"/>
      <c r="L24" s="1452"/>
      <c r="M24" s="1452"/>
      <c r="N24" s="1452"/>
      <c r="O24" s="1452"/>
      <c r="P24" s="1452"/>
      <c r="Q24" s="1452"/>
      <c r="R24" s="1452"/>
      <c r="S24" s="1452"/>
      <c r="T24" s="1452"/>
      <c r="U24" s="1452"/>
      <c r="V24" s="1452"/>
      <c r="W24" s="1452"/>
      <c r="X24" s="1452"/>
      <c r="Y24" s="1452"/>
      <c r="Z24" s="1452"/>
      <c r="AA24" s="1452"/>
      <c r="AB24" s="1452"/>
      <c r="AC24" s="1452"/>
      <c r="AD24" s="1452"/>
      <c r="AE24" s="1452"/>
      <c r="AF24" s="1452"/>
      <c r="AG24" s="1452"/>
      <c r="AH24" s="1452"/>
      <c r="AI24" s="1455"/>
      <c r="AJ24" s="1452"/>
      <c r="AK24" s="1452"/>
      <c r="AL24" s="1452"/>
      <c r="AM24" s="1452"/>
      <c r="AN24" s="1452"/>
      <c r="AO24" s="1489"/>
      <c r="AP24" s="1455"/>
      <c r="AQ24" s="1455"/>
      <c r="AR24" s="1455"/>
      <c r="AS24" s="1455"/>
      <c r="AT24" s="1452"/>
      <c r="AU24" s="1455"/>
      <c r="AV24" s="1452"/>
      <c r="AW24" s="1455"/>
      <c r="AX24" s="1455"/>
      <c r="AY24" s="1455"/>
      <c r="AZ24" s="1455"/>
      <c r="BA24" s="1455"/>
      <c r="BB24" s="1452"/>
      <c r="BC24" s="1455"/>
      <c r="BD24" s="1452"/>
      <c r="BE24" s="1452"/>
      <c r="BF24" s="1455"/>
      <c r="BG24" s="1455"/>
      <c r="BH24" s="1452"/>
      <c r="BI24" s="1452"/>
      <c r="BJ24" s="1455"/>
      <c r="BK24" s="1455"/>
      <c r="BL24" s="1455"/>
      <c r="BM24" s="1455"/>
      <c r="BN24" s="1455"/>
      <c r="BO24" s="1455"/>
      <c r="BP24" s="1455"/>
      <c r="BQ24" s="1455"/>
      <c r="BR24" s="1455"/>
      <c r="BS24" s="1455"/>
      <c r="BT24" s="1455"/>
      <c r="BU24" s="1455"/>
      <c r="BV24" s="1452"/>
      <c r="BW24" s="1455"/>
      <c r="BX24" s="1455"/>
      <c r="BY24" s="1455"/>
      <c r="BZ24" s="1455"/>
      <c r="CA24" s="1455"/>
      <c r="CB24" s="1455"/>
      <c r="CC24" s="1455"/>
      <c r="CD24" s="1455"/>
      <c r="CE24" s="1455"/>
      <c r="CF24" s="1455"/>
      <c r="CG24" s="1455"/>
      <c r="CH24" s="1455"/>
      <c r="CI24" s="1452"/>
      <c r="CJ24" s="1452"/>
      <c r="CK24" s="1452"/>
      <c r="CL24" s="1452"/>
      <c r="CM24" s="1452"/>
      <c r="CN24" s="1452"/>
      <c r="CO24" s="1452"/>
      <c r="CP24" s="1452"/>
      <c r="CQ24" s="1452"/>
      <c r="CR24" s="1452"/>
      <c r="CS24" s="1452"/>
      <c r="CT24" s="1452"/>
      <c r="CU24" s="1452"/>
      <c r="CV24" s="1452"/>
      <c r="CW24" s="1452"/>
      <c r="CX24" s="1452"/>
      <c r="CY24" s="1452"/>
      <c r="CZ24" s="1452"/>
      <c r="DA24" s="1452"/>
      <c r="DB24" s="1452"/>
      <c r="DC24" s="1452">
        <v>777</v>
      </c>
      <c r="DD24" s="1452"/>
      <c r="DE24" s="1452"/>
      <c r="DF24" s="1452"/>
      <c r="DG24" s="1452"/>
      <c r="DH24" s="1452"/>
      <c r="DI24" s="1452"/>
      <c r="DJ24" s="1452"/>
      <c r="DK24" s="1452"/>
      <c r="DL24" s="1452"/>
      <c r="DM24" s="1452"/>
      <c r="DN24" s="1452"/>
      <c r="DO24" s="1452"/>
      <c r="DP24" s="1452"/>
      <c r="DQ24" s="1452"/>
      <c r="DR24" s="1452"/>
      <c r="DS24" s="1452"/>
      <c r="DT24" s="1452"/>
      <c r="DU24" s="1452"/>
      <c r="DV24" s="1452"/>
      <c r="DW24" s="1452"/>
      <c r="DX24" s="1452"/>
      <c r="DY24" s="1452"/>
      <c r="DZ24" s="1452"/>
      <c r="EA24" s="1452"/>
      <c r="EB24" s="1452"/>
      <c r="EC24" s="1452"/>
      <c r="ED24" s="1452"/>
      <c r="EE24" s="1452"/>
      <c r="EF24" s="1452"/>
      <c r="EG24" s="1452"/>
      <c r="EH24" s="1452"/>
      <c r="EI24" s="1452"/>
      <c r="EJ24" s="1452"/>
      <c r="EK24" s="1452"/>
      <c r="EL24" s="1452"/>
      <c r="EM24" s="1452"/>
      <c r="EN24" s="1452"/>
      <c r="EO24" s="1452"/>
      <c r="EP24" s="1452"/>
      <c r="EQ24" s="1452"/>
      <c r="ER24" s="1452"/>
      <c r="ES24" s="1452"/>
      <c r="ET24" s="1452"/>
      <c r="EU24" s="1452"/>
      <c r="EV24" s="1452"/>
      <c r="EW24" s="1452"/>
      <c r="EX24" s="1452"/>
      <c r="EY24" s="1452"/>
      <c r="EZ24" s="1452"/>
      <c r="FA24" s="1452"/>
      <c r="FB24" s="1452"/>
      <c r="FC24" s="1452"/>
      <c r="FD24" s="1452"/>
      <c r="FE24" s="1452"/>
      <c r="FF24" s="1452"/>
      <c r="FG24" s="1452"/>
      <c r="FH24" s="1452"/>
      <c r="FI24" s="1452"/>
      <c r="FJ24" s="1452"/>
      <c r="FK24" s="1452"/>
      <c r="FL24" s="1452"/>
      <c r="FM24" s="1452"/>
      <c r="FN24" s="1452"/>
      <c r="FO24" s="1452"/>
      <c r="FP24" s="1452">
        <v>777</v>
      </c>
      <c r="FQ24" s="1452"/>
      <c r="FR24" s="1452"/>
      <c r="FS24" s="1452"/>
      <c r="FT24" s="1452"/>
      <c r="FU24" s="1452"/>
      <c r="FV24" s="1452"/>
      <c r="FW24" s="1452"/>
      <c r="FX24" s="1452"/>
      <c r="FY24" s="1452"/>
      <c r="FZ24" s="1452"/>
      <c r="GA24" s="1452"/>
      <c r="GB24" s="1452"/>
      <c r="GC24" s="1452"/>
      <c r="GD24" s="1452"/>
      <c r="GE24" s="1452"/>
      <c r="GF24" s="1452"/>
      <c r="GG24" s="1452"/>
      <c r="GH24" s="1452"/>
      <c r="GI24" s="1452"/>
      <c r="GJ24" s="1452"/>
      <c r="GK24" s="1452"/>
      <c r="GL24" s="1452"/>
      <c r="GM24" s="1452"/>
      <c r="GN24" s="1452"/>
      <c r="GO24" s="1452"/>
      <c r="GP24" s="1452"/>
      <c r="GQ24" s="1452"/>
      <c r="GR24" s="1452"/>
      <c r="GS24" s="1452"/>
      <c r="GT24" s="1452"/>
      <c r="GU24" s="1452"/>
      <c r="GV24" s="1452"/>
      <c r="GW24" s="1452"/>
      <c r="GX24" s="1452"/>
      <c r="GY24" s="1452"/>
      <c r="GZ24" s="1452"/>
      <c r="HA24" s="1452"/>
      <c r="HB24" s="1452"/>
      <c r="HC24" s="1452"/>
      <c r="HD24" s="1452"/>
      <c r="HE24" s="1452"/>
      <c r="HF24" s="1452"/>
      <c r="HG24" s="1452"/>
      <c r="HH24" s="1452"/>
      <c r="HI24" s="1452"/>
      <c r="HJ24" s="1452"/>
      <c r="HK24" s="1452"/>
      <c r="HL24" s="1452"/>
      <c r="HM24" s="1452"/>
      <c r="HN24" s="1452"/>
      <c r="HO24" s="1452"/>
      <c r="HP24" s="1452"/>
      <c r="HQ24" s="1452"/>
      <c r="HR24" s="1452"/>
      <c r="HS24" s="1452"/>
      <c r="HT24" s="1452"/>
      <c r="HU24" s="1452"/>
      <c r="HV24" s="1452"/>
      <c r="HW24" s="1452"/>
      <c r="HX24" s="1452"/>
      <c r="HY24" s="1452"/>
      <c r="HZ24" s="1452"/>
      <c r="IA24" s="1452"/>
      <c r="IB24" s="1452"/>
      <c r="IC24" s="1452"/>
      <c r="ID24" s="1452"/>
      <c r="IE24" s="1452"/>
      <c r="IF24" s="1452"/>
      <c r="IG24" s="1452"/>
      <c r="IH24" s="1452"/>
      <c r="II24" s="1452"/>
      <c r="IJ24" s="1452"/>
      <c r="IK24" s="1452"/>
      <c r="IL24" s="1452"/>
      <c r="IM24" s="1452"/>
      <c r="IN24" s="1452"/>
      <c r="IO24" s="1452"/>
      <c r="IP24" s="1452"/>
      <c r="IQ24" s="1452"/>
      <c r="IR24" s="1452"/>
      <c r="IS24" s="1452"/>
      <c r="IT24" s="1452"/>
      <c r="IU24" s="1452"/>
      <c r="IV24" s="1452"/>
      <c r="IW24" s="1452"/>
      <c r="IX24" s="1452"/>
      <c r="IY24" s="1455"/>
      <c r="IZ24" s="1455"/>
      <c r="JA24" s="1455"/>
      <c r="JB24" s="1455"/>
      <c r="JC24" s="1455"/>
      <c r="JD24" s="1452"/>
      <c r="JE24" s="1455"/>
      <c r="JF24" s="1455"/>
      <c r="JG24" s="1452"/>
      <c r="JH24" s="1455"/>
      <c r="JI24" s="1455"/>
      <c r="JJ24" s="1455"/>
      <c r="JK24" s="1455"/>
      <c r="JL24" s="1455"/>
      <c r="JM24" s="1455"/>
      <c r="JN24" s="1455"/>
      <c r="JO24" s="1455"/>
      <c r="JP24" s="1452">
        <v>750</v>
      </c>
      <c r="JQ24" s="1501"/>
      <c r="JR24" s="351"/>
      <c r="JS24" s="1400" t="s">
        <v>2943</v>
      </c>
      <c r="JT24" s="1400" t="s">
        <v>2882</v>
      </c>
    </row>
    <row r="25" spans="1:280" ht="60" x14ac:dyDescent="0.25">
      <c r="A25" s="1367">
        <v>24</v>
      </c>
      <c r="B25" s="1411">
        <f t="shared" si="1"/>
        <v>71550</v>
      </c>
      <c r="C25" s="1508" t="s">
        <v>2959</v>
      </c>
      <c r="D25" s="258" t="s">
        <v>2960</v>
      </c>
      <c r="E25" s="1502"/>
      <c r="F25" s="1502"/>
      <c r="G25" s="1502"/>
      <c r="H25" s="1502"/>
      <c r="I25" s="1502"/>
      <c r="J25" s="1502"/>
      <c r="K25" s="1502"/>
      <c r="L25" s="1502"/>
      <c r="M25" s="1502">
        <v>13603</v>
      </c>
      <c r="N25" s="1502"/>
      <c r="O25" s="1502"/>
      <c r="P25" s="1502"/>
      <c r="Q25" s="1502">
        <v>750</v>
      </c>
      <c r="R25" s="1502"/>
      <c r="S25" s="1502"/>
      <c r="T25" s="1502"/>
      <c r="U25" s="1502"/>
      <c r="V25" s="1502"/>
      <c r="W25" s="1502"/>
      <c r="X25" s="1502"/>
      <c r="Y25" s="1502"/>
      <c r="Z25" s="1502">
        <v>8620</v>
      </c>
      <c r="AA25" s="1502"/>
      <c r="AB25" s="1502"/>
      <c r="AC25" s="1502">
        <v>14262</v>
      </c>
      <c r="AD25" s="1502"/>
      <c r="AE25" s="1502"/>
      <c r="AF25" s="1502"/>
      <c r="AG25" s="1502"/>
      <c r="AH25" s="1502"/>
      <c r="AI25" s="1502"/>
      <c r="AJ25" s="1502"/>
      <c r="AK25" s="1502"/>
      <c r="AL25" s="1502"/>
      <c r="AM25" s="1502"/>
      <c r="AN25" s="1502"/>
      <c r="AO25" s="1502"/>
      <c r="AP25" s="1502"/>
      <c r="AQ25" s="1502"/>
      <c r="AR25" s="1502"/>
      <c r="AS25" s="1502"/>
      <c r="AT25" s="1502">
        <f>AT16+AT17+AT18+AT19+AT20+AT21+AT22+AT23+AT24</f>
        <v>38173</v>
      </c>
      <c r="AU25" s="1502"/>
      <c r="AV25" s="1502">
        <v>6365</v>
      </c>
      <c r="AW25" s="1502"/>
      <c r="AX25" s="1502"/>
      <c r="AY25" s="1502"/>
      <c r="AZ25" s="1502"/>
      <c r="BA25" s="1502"/>
      <c r="BB25" s="1502"/>
      <c r="BC25" s="1502"/>
      <c r="BD25" s="1502">
        <f>BD16+BD17+BD18+BD19+BD20+BD21+BD22+BD23+BD24</f>
        <v>38173</v>
      </c>
      <c r="BE25" s="1502">
        <v>8620</v>
      </c>
      <c r="BF25" s="1502"/>
      <c r="BG25" s="1502"/>
      <c r="BH25" s="1502"/>
      <c r="BI25" s="1502"/>
      <c r="BJ25" s="1502"/>
      <c r="BK25" s="1502"/>
      <c r="BL25" s="1502"/>
      <c r="BM25" s="1502"/>
      <c r="BN25" s="1502"/>
      <c r="BO25" s="1502"/>
      <c r="BP25" s="1502"/>
      <c r="BQ25" s="1502"/>
      <c r="BR25" s="1502"/>
      <c r="BS25" s="1502"/>
      <c r="BT25" s="1502"/>
      <c r="BU25" s="1502"/>
      <c r="BV25" s="1502">
        <v>13603</v>
      </c>
      <c r="BW25" s="1502"/>
      <c r="BX25" s="1502"/>
      <c r="BY25" s="1502"/>
      <c r="BZ25" s="1502"/>
      <c r="CA25" s="1502"/>
      <c r="CB25" s="1502">
        <v>13603</v>
      </c>
      <c r="CC25" s="1502"/>
      <c r="CD25" s="1502"/>
      <c r="CE25" s="1502"/>
      <c r="CF25" s="1502"/>
      <c r="CG25" s="1502"/>
      <c r="CH25" s="1502"/>
      <c r="CI25" s="1503"/>
      <c r="CJ25" s="1503">
        <v>2817</v>
      </c>
      <c r="CK25" s="1502">
        <f t="shared" ref="CK25:CN25" si="2">CK16+CK17+CK18+CK19+CK20+CK21+CK22+CK23+CK24</f>
        <v>0</v>
      </c>
      <c r="CL25" s="1502">
        <f t="shared" si="2"/>
        <v>0</v>
      </c>
      <c r="CM25" s="1502">
        <f t="shared" si="2"/>
        <v>0</v>
      </c>
      <c r="CN25" s="1502">
        <f t="shared" si="2"/>
        <v>0</v>
      </c>
      <c r="CO25" s="1502">
        <f>CO16+CO17+CO18+CO19+CO20+CO21+CO22+CO23+CO24</f>
        <v>38173</v>
      </c>
      <c r="CP25" s="1502">
        <f t="shared" ref="CP25" si="3">CP16+CP17+CP18+CP19+CP20+CP21+CP22+CP23+CP24</f>
        <v>0</v>
      </c>
      <c r="CQ25" s="1502"/>
      <c r="CR25" s="1502"/>
      <c r="CS25" s="1502"/>
      <c r="CT25" s="1502"/>
      <c r="CU25" s="1502"/>
      <c r="CV25" s="1502"/>
      <c r="CW25" s="1502"/>
      <c r="CX25" s="1502"/>
      <c r="CY25" s="1502"/>
      <c r="CZ25" s="1502"/>
      <c r="DA25" s="1502"/>
      <c r="DB25" s="1502"/>
      <c r="DC25" s="1502">
        <f>DC16+DC17+DC18+DC19+DC20+DC21+DC22+DC23+DC24</f>
        <v>57856</v>
      </c>
      <c r="DD25" s="1502">
        <v>8620</v>
      </c>
      <c r="DE25" s="1502"/>
      <c r="DF25" s="1502"/>
      <c r="DG25" s="1502"/>
      <c r="DH25" s="1502"/>
      <c r="DI25" s="1502"/>
      <c r="DJ25" s="1502"/>
      <c r="DK25" s="1502"/>
      <c r="DL25" s="1502"/>
      <c r="DM25" s="1502"/>
      <c r="DN25" s="1502">
        <f>DN16+DN17+DN18+DN19+DN20+DN21+DN22+DN23+DN24</f>
        <v>8620</v>
      </c>
      <c r="DO25" s="1504">
        <v>844</v>
      </c>
      <c r="DP25" s="1502"/>
      <c r="DQ25" s="1502"/>
      <c r="DR25" s="1502"/>
      <c r="DS25" s="1504">
        <v>844</v>
      </c>
      <c r="DT25" s="1502"/>
      <c r="DU25" s="1502"/>
      <c r="DV25" s="1502">
        <v>8113</v>
      </c>
      <c r="DW25" s="1502"/>
      <c r="DX25" s="1503"/>
      <c r="DY25" s="1502"/>
      <c r="DZ25" s="1502"/>
      <c r="EA25" s="1502"/>
      <c r="EB25" s="1502"/>
      <c r="EC25" s="1502"/>
      <c r="ED25" s="1502">
        <v>6000</v>
      </c>
      <c r="EE25" s="1502">
        <v>12000</v>
      </c>
      <c r="EF25" s="1502"/>
      <c r="EG25" s="1502"/>
      <c r="EH25" s="1502"/>
      <c r="EI25" s="1502"/>
      <c r="EJ25" s="1502"/>
      <c r="EK25" s="1502"/>
      <c r="EL25" s="1502">
        <v>8064</v>
      </c>
      <c r="EM25" s="1502"/>
      <c r="EN25" s="1503"/>
      <c r="EO25" s="1502"/>
      <c r="EP25" s="1502"/>
      <c r="EQ25" s="1502"/>
      <c r="ER25" s="1502"/>
      <c r="ES25" s="1502"/>
      <c r="ET25" s="1502"/>
      <c r="EU25" s="1502"/>
      <c r="EV25" s="1502"/>
      <c r="EW25" s="1502"/>
      <c r="EX25" s="1502"/>
      <c r="EY25" s="1502"/>
      <c r="EZ25" s="1502"/>
      <c r="FA25" s="1502"/>
      <c r="FB25" s="1502"/>
      <c r="FC25" s="1502"/>
      <c r="FD25" s="1504">
        <v>4842</v>
      </c>
      <c r="FE25" s="1502">
        <v>13603</v>
      </c>
      <c r="FF25" s="1502"/>
      <c r="FG25" s="1502">
        <v>13603</v>
      </c>
      <c r="FH25" s="1502">
        <v>13603</v>
      </c>
      <c r="FI25" s="1502"/>
      <c r="FJ25" s="1502"/>
      <c r="FK25" s="1504">
        <v>16</v>
      </c>
      <c r="FL25" s="1502"/>
      <c r="FM25" s="1502"/>
      <c r="FN25" s="1502"/>
      <c r="FO25" s="1502"/>
      <c r="FP25" s="1502">
        <f>FP16+FP17+FP18+FP19+FP20+FP21+FP22+FP23+FP24</f>
        <v>71550</v>
      </c>
      <c r="FQ25" s="1502"/>
      <c r="FR25" s="1502"/>
      <c r="FS25" s="1502"/>
      <c r="FT25" s="1502"/>
      <c r="FU25" s="1502"/>
      <c r="FV25" s="1502"/>
      <c r="FW25" s="1502"/>
      <c r="FX25" s="1502"/>
      <c r="FY25" s="1502"/>
      <c r="FZ25" s="1502"/>
      <c r="GA25" s="1502"/>
      <c r="GB25" s="1502"/>
      <c r="GC25" s="1502"/>
      <c r="GD25" s="1502"/>
      <c r="GE25" s="1502"/>
      <c r="GF25" s="1502"/>
      <c r="GG25" s="1502"/>
      <c r="GH25" s="1502"/>
      <c r="GI25" s="1502">
        <v>13603</v>
      </c>
      <c r="GJ25" s="1502"/>
      <c r="GK25" s="1502"/>
      <c r="GL25" s="1502"/>
      <c r="GM25" s="1502"/>
      <c r="GN25" s="1502"/>
      <c r="GO25" s="1502">
        <v>6365</v>
      </c>
      <c r="GP25" s="1502"/>
      <c r="GQ25" s="1502">
        <v>6365</v>
      </c>
      <c r="GR25" s="1502"/>
      <c r="GS25" s="1502"/>
      <c r="GT25" s="1502"/>
      <c r="GU25" s="1502"/>
      <c r="GV25" s="1502"/>
      <c r="GW25" s="1502">
        <v>8620</v>
      </c>
      <c r="GX25" s="1502"/>
      <c r="GY25" s="1502"/>
      <c r="GZ25" s="1502"/>
      <c r="HA25" s="1502"/>
      <c r="HB25" s="1502">
        <f>HB16+HB17+HB18+HB19+HB20+HB21+HB22+HB23+HB24</f>
        <v>38173</v>
      </c>
      <c r="HC25" s="1502"/>
      <c r="HD25" s="1502"/>
      <c r="HE25" s="1502"/>
      <c r="HF25" s="1502"/>
      <c r="HG25" s="1502"/>
      <c r="HH25" s="1502"/>
      <c r="HI25" s="1502"/>
      <c r="HJ25" s="1502"/>
      <c r="HK25" s="1502"/>
      <c r="HL25" s="1502"/>
      <c r="HM25" s="1502"/>
      <c r="HN25" s="1502"/>
      <c r="HO25" s="1502"/>
      <c r="HP25" s="1502"/>
      <c r="HQ25" s="1502"/>
      <c r="HR25" s="1502"/>
      <c r="HS25" s="1502"/>
      <c r="HT25" s="1502">
        <v>13603</v>
      </c>
      <c r="HU25" s="1502">
        <v>28189</v>
      </c>
      <c r="HV25" s="1502">
        <v>13603</v>
      </c>
      <c r="HW25" s="1502"/>
      <c r="HX25" s="1502"/>
      <c r="HY25" s="1502"/>
      <c r="HZ25" s="1502"/>
      <c r="IA25" s="1502"/>
      <c r="IB25" s="1502"/>
      <c r="IC25" s="1502"/>
      <c r="ID25" s="1502"/>
      <c r="IE25" s="1502"/>
      <c r="IF25" s="1502"/>
      <c r="IG25" s="1502"/>
      <c r="IH25" s="1502"/>
      <c r="II25" s="1502"/>
      <c r="IJ25" s="1502"/>
      <c r="IK25" s="1502"/>
      <c r="IL25" s="1502"/>
      <c r="IM25" s="1502"/>
      <c r="IN25" s="1502"/>
      <c r="IO25" s="1502">
        <v>1526</v>
      </c>
      <c r="IP25" s="1502"/>
      <c r="IQ25" s="1502"/>
      <c r="IR25" s="1502"/>
      <c r="IS25" s="1502"/>
      <c r="IT25" s="1502"/>
      <c r="IU25" s="1502"/>
      <c r="IV25" s="1502"/>
      <c r="IW25" s="1502"/>
      <c r="IX25" s="1502"/>
      <c r="IY25" s="1504"/>
      <c r="IZ25" s="1502"/>
      <c r="JA25" s="1502"/>
      <c r="JB25" s="1502"/>
      <c r="JC25" s="1502"/>
      <c r="JD25" s="1502">
        <v>13603</v>
      </c>
      <c r="JE25" s="1502"/>
      <c r="JF25" s="1502"/>
      <c r="JG25" s="1502">
        <v>13603</v>
      </c>
      <c r="JH25" s="1502"/>
      <c r="JI25" s="1502"/>
      <c r="JJ25" s="1502"/>
      <c r="JK25" s="1502"/>
      <c r="JL25" s="1502"/>
      <c r="JM25" s="1502"/>
      <c r="JN25" s="1502"/>
      <c r="JO25" s="1502"/>
      <c r="JP25" s="1502">
        <f>JP16+JP17+JP18+JP19+JP20+JP21+JP22+JP23+JP24</f>
        <v>99958</v>
      </c>
      <c r="JQ25" s="1502"/>
      <c r="JR25" s="351"/>
      <c r="JS25" s="1400" t="s">
        <v>2961</v>
      </c>
      <c r="JT25" s="1400" t="s">
        <v>2962</v>
      </c>
    </row>
    <row r="26" spans="1:280" ht="30" x14ac:dyDescent="0.25">
      <c r="A26" s="1367">
        <v>25</v>
      </c>
      <c r="B26" s="1411">
        <f t="shared" si="1"/>
        <v>0</v>
      </c>
      <c r="C26" s="1508" t="s">
        <v>2963</v>
      </c>
      <c r="D26" s="1436" t="s">
        <v>2964</v>
      </c>
      <c r="E26" s="1502"/>
      <c r="F26" s="1502"/>
      <c r="G26" s="1502"/>
      <c r="H26" s="1502"/>
      <c r="I26" s="1502"/>
      <c r="J26" s="1502"/>
      <c r="K26" s="1502"/>
      <c r="L26" s="1502"/>
      <c r="M26" s="1502">
        <f>MAX(0,M13+M15-M25)</f>
        <v>957</v>
      </c>
      <c r="N26" s="1502"/>
      <c r="O26" s="1502"/>
      <c r="P26" s="1502"/>
      <c r="Q26" s="1502">
        <f>MAX(0,Q13+Q15-Q25)</f>
        <v>21055</v>
      </c>
      <c r="R26" s="1502"/>
      <c r="S26" s="1502"/>
      <c r="T26" s="1502"/>
      <c r="U26" s="1502"/>
      <c r="V26" s="1502"/>
      <c r="W26" s="1502"/>
      <c r="X26" s="1502"/>
      <c r="Y26" s="1502"/>
      <c r="Z26" s="1502">
        <f>MAX(0,Z13+Z15-Z25)</f>
        <v>23875</v>
      </c>
      <c r="AA26" s="1502"/>
      <c r="AB26" s="1502"/>
      <c r="AC26" s="1502">
        <f>MAX(0,AC13+AC15-AC25)</f>
        <v>3733</v>
      </c>
      <c r="AD26" s="1502"/>
      <c r="AE26" s="1502"/>
      <c r="AF26" s="1502"/>
      <c r="AG26" s="1502"/>
      <c r="AH26" s="1502"/>
      <c r="AI26" s="1502">
        <f>MAX(0,AI13+AI14-AI25)</f>
        <v>3788</v>
      </c>
      <c r="AJ26" s="1502"/>
      <c r="AK26" s="1502"/>
      <c r="AL26" s="1502"/>
      <c r="AM26" s="1502"/>
      <c r="AN26" s="1502"/>
      <c r="AO26" s="1502"/>
      <c r="AP26" s="1505"/>
      <c r="AQ26" s="1505"/>
      <c r="AR26" s="1505"/>
      <c r="AS26" s="1505"/>
      <c r="AT26" s="1502">
        <f>MAX(0,AT13+AT15-AT25)</f>
        <v>0</v>
      </c>
      <c r="AU26" s="1505"/>
      <c r="AV26" s="1502">
        <f>MAX(0,AV13+AV15-AV25)</f>
        <v>53100</v>
      </c>
      <c r="AW26" s="1505"/>
      <c r="AX26" s="1505"/>
      <c r="AY26" s="1505"/>
      <c r="AZ26" s="1505"/>
      <c r="BA26" s="1505"/>
      <c r="BB26" s="1502"/>
      <c r="BC26" s="1505"/>
      <c r="BD26" s="1502">
        <f>MAX(0,BD13+BD15-BD25)</f>
        <v>0</v>
      </c>
      <c r="BE26" s="1502">
        <f>MAX(0,BE13+BE15-BE25)</f>
        <v>7570</v>
      </c>
      <c r="BF26" s="1505"/>
      <c r="BG26" s="1505"/>
      <c r="BH26" s="1502"/>
      <c r="BI26" s="1502"/>
      <c r="BJ26" s="1505"/>
      <c r="BK26" s="1505"/>
      <c r="BL26" s="1505"/>
      <c r="BM26" s="1505"/>
      <c r="BN26" s="1505"/>
      <c r="BO26" s="1505"/>
      <c r="BP26" s="1505"/>
      <c r="BQ26" s="1505"/>
      <c r="BR26" s="1505"/>
      <c r="BS26" s="1505"/>
      <c r="BT26" s="1505"/>
      <c r="BU26" s="1505"/>
      <c r="BV26" s="1502">
        <f>MAX(0,BV13+BV15-BV25)</f>
        <v>957</v>
      </c>
      <c r="BW26" s="1505"/>
      <c r="BX26" s="1505"/>
      <c r="BY26" s="1505"/>
      <c r="BZ26" s="1505"/>
      <c r="CA26" s="1505"/>
      <c r="CB26" s="1505">
        <f>MAX(0,CB13+CB15-CB25)</f>
        <v>957</v>
      </c>
      <c r="CC26" s="1505"/>
      <c r="CD26" s="1505"/>
      <c r="CE26" s="1505"/>
      <c r="CF26" s="1505"/>
      <c r="CG26" s="1505"/>
      <c r="CH26" s="1505"/>
      <c r="CI26" s="1502">
        <f>MAX(0,CI13+CI15-CI25)</f>
        <v>0</v>
      </c>
      <c r="CJ26" s="1503">
        <v>25542</v>
      </c>
      <c r="CK26" s="1505"/>
      <c r="CL26" s="1505"/>
      <c r="CM26" s="1505"/>
      <c r="CN26" s="1505"/>
      <c r="CO26" s="1502">
        <f>MAX(0,CO13+CO15-CO25)</f>
        <v>0</v>
      </c>
      <c r="CP26" s="1502">
        <f>MAX(0,CP13+CP15-CP25)</f>
        <v>14560</v>
      </c>
      <c r="CQ26" s="1502"/>
      <c r="CR26" s="1505"/>
      <c r="CS26" s="1505"/>
      <c r="CT26" s="1505"/>
      <c r="CU26" s="1505"/>
      <c r="CV26" s="1505"/>
      <c r="CW26" s="1505"/>
      <c r="CX26" s="1505"/>
      <c r="CY26" s="1505"/>
      <c r="CZ26" s="1505"/>
      <c r="DA26" s="1505"/>
      <c r="DB26" s="1505"/>
      <c r="DC26" s="1502">
        <f>MAX(0,DC13+DC15-DC25)</f>
        <v>0</v>
      </c>
      <c r="DD26" s="1502">
        <f>MAX(0,DD13+DD15-DD25)</f>
        <v>23875</v>
      </c>
      <c r="DE26" s="1505"/>
      <c r="DF26" s="1505"/>
      <c r="DG26" s="1505"/>
      <c r="DH26" s="1505"/>
      <c r="DI26" s="1505"/>
      <c r="DJ26" s="1505"/>
      <c r="DK26" s="1505"/>
      <c r="DL26" s="1505"/>
      <c r="DM26" s="1505"/>
      <c r="DN26" s="1502">
        <f>MAX(0,DN13+DN15-DN25)</f>
        <v>32495</v>
      </c>
      <c r="DO26" s="1503">
        <f>MAX(0,DO13+DO15-DO25)</f>
        <v>3958</v>
      </c>
      <c r="DP26" s="1502"/>
      <c r="DQ26" s="1502"/>
      <c r="DR26" s="1502"/>
      <c r="DS26" s="1503">
        <f t="shared" ref="DS26" si="4">MAX(0,DS13+DS15-DS25)</f>
        <v>3958</v>
      </c>
      <c r="DT26" s="1505"/>
      <c r="DU26" s="1505"/>
      <c r="DV26" s="1502">
        <f t="shared" ref="DV26" si="5">MAX(0,DV13+DV15-DV25)</f>
        <v>8676</v>
      </c>
      <c r="DW26" s="1502"/>
      <c r="DX26" s="1502">
        <f>MAX(0,DX13+DX15-DX25)</f>
        <v>0</v>
      </c>
      <c r="DY26" s="1505"/>
      <c r="DZ26" s="1505"/>
      <c r="EA26" s="1503">
        <f t="shared" ref="EA26:EC26" si="6">MAX(0,EA13+EA15-EA25)</f>
        <v>34656</v>
      </c>
      <c r="EB26" s="1502">
        <f t="shared" si="6"/>
        <v>0</v>
      </c>
      <c r="EC26" s="1502">
        <f t="shared" si="6"/>
        <v>0</v>
      </c>
      <c r="ED26" s="1502">
        <f>MAX(0,ED13+ED15-ED25)</f>
        <v>4000</v>
      </c>
      <c r="EE26" s="1502">
        <f>MAX(0,EE13+EE15-EE25)</f>
        <v>0</v>
      </c>
      <c r="EF26" s="1505"/>
      <c r="EG26" s="1505"/>
      <c r="EH26" s="1505"/>
      <c r="EI26" s="1505"/>
      <c r="EJ26" s="1505"/>
      <c r="EK26" s="1505"/>
      <c r="EL26" s="1504">
        <v>44446</v>
      </c>
      <c r="EM26" s="1505"/>
      <c r="EN26" s="1503"/>
      <c r="EO26" s="1505"/>
      <c r="EP26" s="1505"/>
      <c r="EQ26" s="1505"/>
      <c r="ER26" s="1505"/>
      <c r="ES26" s="1505"/>
      <c r="ET26" s="1505"/>
      <c r="EU26" s="1505"/>
      <c r="EV26" s="1505"/>
      <c r="EW26" s="1505"/>
      <c r="EX26" s="1505"/>
      <c r="EY26" s="1505"/>
      <c r="EZ26" s="1505"/>
      <c r="FA26" s="1505"/>
      <c r="FB26" s="1505"/>
      <c r="FC26" s="1505"/>
      <c r="FD26" s="1503">
        <f>MAX(0,FD13+FD15-FD25)</f>
        <v>34321</v>
      </c>
      <c r="FE26" s="1502">
        <f>MAX(0,FE13+FE15-FE25)</f>
        <v>957</v>
      </c>
      <c r="FF26" s="1505"/>
      <c r="FG26" s="1502">
        <f>MAX(0,FG13+FG15-FG25)</f>
        <v>957</v>
      </c>
      <c r="FH26" s="1502">
        <f>MAX(0,FH13+FH15-FH25)</f>
        <v>957</v>
      </c>
      <c r="FI26" s="1505"/>
      <c r="FJ26" s="1505"/>
      <c r="FK26" s="1505"/>
      <c r="FL26" s="1505"/>
      <c r="FM26" s="1505"/>
      <c r="FN26" s="1505"/>
      <c r="FO26" s="1505"/>
      <c r="FP26" s="1505">
        <f>MAX(0,FP13+FP15-FP25)</f>
        <v>0</v>
      </c>
      <c r="FQ26" s="1505"/>
      <c r="FR26" s="1505"/>
      <c r="FS26" s="1505"/>
      <c r="FT26" s="1505"/>
      <c r="FU26" s="1505"/>
      <c r="FV26" s="1505"/>
      <c r="FW26" s="1505"/>
      <c r="FX26" s="1505"/>
      <c r="FY26" s="1505"/>
      <c r="FZ26" s="1502"/>
      <c r="GA26" s="1502"/>
      <c r="GB26" s="1502"/>
      <c r="GC26" s="1502"/>
      <c r="GD26" s="1502"/>
      <c r="GE26" s="1502"/>
      <c r="GF26" s="1502"/>
      <c r="GG26" s="1502"/>
      <c r="GH26" s="1502"/>
      <c r="GI26" s="1502">
        <f>MAX(0,GI13+GI15-GI25)</f>
        <v>957</v>
      </c>
      <c r="GJ26" s="1505"/>
      <c r="GK26" s="1505"/>
      <c r="GL26" s="1505"/>
      <c r="GM26" s="1505"/>
      <c r="GN26" s="1502"/>
      <c r="GO26" s="1502">
        <f>MAX(0,GO13+GO15-GO25)</f>
        <v>53100</v>
      </c>
      <c r="GP26" s="1505"/>
      <c r="GQ26" s="1502">
        <f>MAX(0,GQ13+GQ15-GQ25)</f>
        <v>53100</v>
      </c>
      <c r="GR26" s="1505"/>
      <c r="GS26" s="1505"/>
      <c r="GT26" s="1505"/>
      <c r="GU26" s="1505"/>
      <c r="GV26" s="1505"/>
      <c r="GW26" s="1502">
        <f>MAX(0,GW13+GW15-GW25)</f>
        <v>23875</v>
      </c>
      <c r="GX26" s="1505"/>
      <c r="GY26" s="1505"/>
      <c r="GZ26" s="1505"/>
      <c r="HA26" s="1505"/>
      <c r="HB26" s="1502">
        <f>MAX(0,HB13+HB15-HB25)</f>
        <v>0</v>
      </c>
      <c r="HC26" s="1505"/>
      <c r="HD26" s="1505"/>
      <c r="HE26" s="1505"/>
      <c r="HF26" s="1505"/>
      <c r="HG26" s="1505"/>
      <c r="HH26" s="1505"/>
      <c r="HI26" s="1505"/>
      <c r="HJ26" s="1505"/>
      <c r="HK26" s="1505"/>
      <c r="HL26" s="1505"/>
      <c r="HM26" s="1505"/>
      <c r="HN26" s="1505"/>
      <c r="HO26" s="1505"/>
      <c r="HP26" s="1505"/>
      <c r="HQ26" s="1505"/>
      <c r="HR26" s="1505"/>
      <c r="HS26" s="1505"/>
      <c r="HT26" s="1505">
        <f>MAX(0,HT13+HT15-HT25)</f>
        <v>2615</v>
      </c>
      <c r="HU26" s="1505">
        <f>MAX(0,HU13+HU15-HU25)</f>
        <v>4306</v>
      </c>
      <c r="HV26" s="1505">
        <f>MAX(0,HV13+HV15-HV25)</f>
        <v>957</v>
      </c>
      <c r="HW26" s="1505"/>
      <c r="HX26" s="1505"/>
      <c r="HY26" s="1505"/>
      <c r="HZ26" s="1505"/>
      <c r="IA26" s="1505"/>
      <c r="IB26" s="1505"/>
      <c r="IC26" s="1505"/>
      <c r="ID26" s="1505"/>
      <c r="IE26" s="1505"/>
      <c r="IF26" s="1505"/>
      <c r="IG26" s="1505"/>
      <c r="IH26" s="1505"/>
      <c r="II26" s="1505"/>
      <c r="IJ26" s="1505"/>
      <c r="IK26" s="1505"/>
      <c r="IL26" s="1505"/>
      <c r="IM26" s="1505"/>
      <c r="IN26" s="1505"/>
      <c r="IO26" s="1502">
        <f>MAX(0,IO14+IO15-IO25)</f>
        <v>0</v>
      </c>
      <c r="IP26" s="1505"/>
      <c r="IQ26" s="1505"/>
      <c r="IR26" s="1505"/>
      <c r="IS26" s="1505"/>
      <c r="IT26" s="1505"/>
      <c r="IU26" s="1505"/>
      <c r="IV26" s="1505"/>
      <c r="IW26" s="1505"/>
      <c r="IX26" s="1505"/>
      <c r="IY26" s="1505"/>
      <c r="IZ26" s="1505"/>
      <c r="JA26" s="1505"/>
      <c r="JB26" s="1505"/>
      <c r="JC26" s="1505"/>
      <c r="JD26" s="1502">
        <f>MAX(0,JD13+JD15-JD25)</f>
        <v>957</v>
      </c>
      <c r="JE26" s="1505"/>
      <c r="JF26" s="1505"/>
      <c r="JG26" s="1502">
        <f>MAX(0,JG13+JG15-JG25)</f>
        <v>0</v>
      </c>
      <c r="JH26" s="1502">
        <f>MAX(0,JH13+JH15-JH25)</f>
        <v>10353</v>
      </c>
      <c r="JI26" s="1505"/>
      <c r="JJ26" s="1505"/>
      <c r="JK26" s="1505"/>
      <c r="JL26" s="1504">
        <v>18650</v>
      </c>
      <c r="JM26" s="1505"/>
      <c r="JN26" s="1505"/>
      <c r="JO26" s="1505"/>
      <c r="JP26" s="1502">
        <f>MAX(0,JP13+JP15-JP25)</f>
        <v>1300020</v>
      </c>
      <c r="JQ26" s="1506"/>
      <c r="JR26" s="351"/>
      <c r="JS26" s="1400" t="s">
        <v>2965</v>
      </c>
      <c r="JT26" s="1400" t="s">
        <v>2224</v>
      </c>
    </row>
    <row r="27" spans="1:280" ht="40" x14ac:dyDescent="0.25">
      <c r="A27" s="1367">
        <v>26</v>
      </c>
      <c r="B27" s="1411">
        <f t="shared" si="1"/>
        <v>43907</v>
      </c>
      <c r="C27" s="1508" t="s">
        <v>2966</v>
      </c>
      <c r="D27" s="1436" t="s">
        <v>2967</v>
      </c>
      <c r="E27" s="1502"/>
      <c r="F27" s="1502"/>
      <c r="G27" s="1502"/>
      <c r="H27" s="1502"/>
      <c r="I27" s="1502"/>
      <c r="J27" s="1502"/>
      <c r="K27" s="1502"/>
      <c r="L27" s="1502"/>
      <c r="M27" s="1502">
        <f>MAX(0,M25-(M13+M15))</f>
        <v>0</v>
      </c>
      <c r="N27" s="1502"/>
      <c r="O27" s="1502"/>
      <c r="P27" s="1502"/>
      <c r="Q27" s="1502"/>
      <c r="R27" s="1502"/>
      <c r="S27" s="1502"/>
      <c r="T27" s="1502"/>
      <c r="U27" s="1502"/>
      <c r="V27" s="1502"/>
      <c r="W27" s="1502"/>
      <c r="X27" s="1502"/>
      <c r="Y27" s="1502"/>
      <c r="Z27" s="1502">
        <f>MAX(0,Z25-(Z13+Z15))</f>
        <v>0</v>
      </c>
      <c r="AA27" s="1502"/>
      <c r="AB27" s="1502"/>
      <c r="AC27" s="1502">
        <f>MAX(0,AC25-(AC13+AC15))</f>
        <v>0</v>
      </c>
      <c r="AD27" s="1502"/>
      <c r="AE27" s="1502"/>
      <c r="AF27" s="1502"/>
      <c r="AG27" s="1502"/>
      <c r="AH27" s="1502"/>
      <c r="AI27" s="1505"/>
      <c r="AJ27" s="1502"/>
      <c r="AK27" s="1502"/>
      <c r="AL27" s="1502"/>
      <c r="AM27" s="1502"/>
      <c r="AN27" s="1502"/>
      <c r="AO27" s="1502"/>
      <c r="AP27" s="1505"/>
      <c r="AQ27" s="1505"/>
      <c r="AR27" s="1505"/>
      <c r="AS27" s="1505"/>
      <c r="AT27" s="1502">
        <f>MAX(0,AT25-(AT13+AT15))</f>
        <v>10530</v>
      </c>
      <c r="AU27" s="1505"/>
      <c r="AV27" s="1502">
        <f>MAX(0,AV25-(AV13+AV15))</f>
        <v>0</v>
      </c>
      <c r="AW27" s="1505"/>
      <c r="AX27" s="1505"/>
      <c r="AY27" s="1505"/>
      <c r="AZ27" s="1505"/>
      <c r="BA27" s="1505"/>
      <c r="BB27" s="1502"/>
      <c r="BC27" s="1505"/>
      <c r="BD27" s="1502">
        <f>MAX(0,BD25-(BD13+BD15))</f>
        <v>10530</v>
      </c>
      <c r="BE27" s="1502">
        <f>MAX(0,BE25-(BE13+BE15))</f>
        <v>0</v>
      </c>
      <c r="BF27" s="1505"/>
      <c r="BG27" s="1505"/>
      <c r="BH27" s="1502"/>
      <c r="BI27" s="1502"/>
      <c r="BJ27" s="1505"/>
      <c r="BK27" s="1505"/>
      <c r="BL27" s="1505"/>
      <c r="BM27" s="1505"/>
      <c r="BN27" s="1505"/>
      <c r="BO27" s="1505"/>
      <c r="BP27" s="1505"/>
      <c r="BQ27" s="1505"/>
      <c r="BR27" s="1505"/>
      <c r="BS27" s="1505"/>
      <c r="BT27" s="1505"/>
      <c r="BU27" s="1505"/>
      <c r="BV27" s="1502">
        <f>MAX(0,BV25-(BV13+BV15))</f>
        <v>0</v>
      </c>
      <c r="BW27" s="1505"/>
      <c r="BX27" s="1505"/>
      <c r="BY27" s="1505"/>
      <c r="BZ27" s="1505"/>
      <c r="CA27" s="1505"/>
      <c r="CB27" s="1505">
        <f>MAX(0,CB25-(CB13+CB15))</f>
        <v>0</v>
      </c>
      <c r="CC27" s="1505"/>
      <c r="CD27" s="1505"/>
      <c r="CE27" s="1505"/>
      <c r="CF27" s="1505"/>
      <c r="CG27" s="1505"/>
      <c r="CH27" s="1505"/>
      <c r="CI27" s="1502">
        <f>MAX(0,CI25-(CI13+CI15))</f>
        <v>0</v>
      </c>
      <c r="CJ27" s="1505"/>
      <c r="CK27" s="1505"/>
      <c r="CL27" s="1505"/>
      <c r="CM27" s="1505"/>
      <c r="CN27" s="1505"/>
      <c r="CO27" s="1502">
        <f>MAX(0,CO25-(CO13+CO15))</f>
        <v>10530</v>
      </c>
      <c r="CP27" s="1502">
        <f>MAX(0,CP25-(CP13+CP15))</f>
        <v>0</v>
      </c>
      <c r="CQ27" s="1505"/>
      <c r="CR27" s="1505"/>
      <c r="CS27" s="1505"/>
      <c r="CT27" s="1505"/>
      <c r="CU27" s="1505"/>
      <c r="CV27" s="1505"/>
      <c r="CW27" s="1505"/>
      <c r="CX27" s="1505"/>
      <c r="CY27" s="1505"/>
      <c r="CZ27" s="1505"/>
      <c r="DA27" s="1505"/>
      <c r="DB27" s="1505"/>
      <c r="DC27" s="1502">
        <f>MAX(0,DC25-(DC13+DC15))</f>
        <v>28845</v>
      </c>
      <c r="DD27" s="1502">
        <f>MAX(0,DD25-(DD13+DD15))</f>
        <v>0</v>
      </c>
      <c r="DE27" s="1505"/>
      <c r="DF27" s="1505"/>
      <c r="DG27" s="1505"/>
      <c r="DH27" s="1505"/>
      <c r="DI27" s="1505"/>
      <c r="DJ27" s="1505"/>
      <c r="DK27" s="1505"/>
      <c r="DL27" s="1505"/>
      <c r="DM27" s="1505"/>
      <c r="DN27" s="1502">
        <f>MAX(0,DN25-(DN13+DN15))</f>
        <v>0</v>
      </c>
      <c r="DO27" s="1505"/>
      <c r="DP27" s="1505"/>
      <c r="DQ27" s="1505"/>
      <c r="DR27" s="1505"/>
      <c r="DS27" s="1505"/>
      <c r="DT27" s="1505"/>
      <c r="DU27" s="1505"/>
      <c r="DV27" s="1505">
        <v>0</v>
      </c>
      <c r="DW27" s="1505"/>
      <c r="DX27" s="1502">
        <f>MAX(0,DX25-(DX13+DX15))</f>
        <v>0</v>
      </c>
      <c r="DY27" s="1505"/>
      <c r="DZ27" s="1505"/>
      <c r="EA27" s="1502">
        <f t="shared" ref="EA27:EC27" si="7">MAX(0,EA25-(EA13+EA15))</f>
        <v>0</v>
      </c>
      <c r="EB27" s="1502">
        <f t="shared" si="7"/>
        <v>0</v>
      </c>
      <c r="EC27" s="1502">
        <f t="shared" si="7"/>
        <v>0</v>
      </c>
      <c r="ED27" s="1502">
        <f>MAX(0,ED25-(ED13+ED15))</f>
        <v>0</v>
      </c>
      <c r="EE27" s="1502">
        <f>MAX(0,EE25-(EE13+EE15))</f>
        <v>7000</v>
      </c>
      <c r="EF27" s="1505"/>
      <c r="EG27" s="1505"/>
      <c r="EH27" s="1505"/>
      <c r="EI27" s="1505"/>
      <c r="EJ27" s="1505"/>
      <c r="EK27" s="1505"/>
      <c r="EL27" s="1505"/>
      <c r="EM27" s="1505"/>
      <c r="EN27" s="1503"/>
      <c r="EO27" s="1505"/>
      <c r="EP27" s="1505"/>
      <c r="EQ27" s="1505"/>
      <c r="ER27" s="1505"/>
      <c r="ES27" s="1505"/>
      <c r="ET27" s="1505"/>
      <c r="EU27" s="1505"/>
      <c r="EV27" s="1505"/>
      <c r="EW27" s="1505"/>
      <c r="EX27" s="1505"/>
      <c r="EY27" s="1505"/>
      <c r="EZ27" s="1505"/>
      <c r="FA27" s="1505"/>
      <c r="FB27" s="1505"/>
      <c r="FC27" s="1505"/>
      <c r="FD27" s="1505"/>
      <c r="FE27" s="1502">
        <f>MAX(0,FE25-(FE13+FE15))</f>
        <v>0</v>
      </c>
      <c r="FF27" s="1505"/>
      <c r="FG27" s="1502">
        <f>MAX(0,FG25-(FG13+FG15))</f>
        <v>0</v>
      </c>
      <c r="FH27" s="1502">
        <f>MAX(0,FH25-(FH13+FH15))</f>
        <v>0</v>
      </c>
      <c r="FI27" s="1505"/>
      <c r="FJ27" s="1505"/>
      <c r="FK27" s="1504">
        <v>16</v>
      </c>
      <c r="FL27" s="1505"/>
      <c r="FM27" s="1505"/>
      <c r="FN27" s="1505"/>
      <c r="FO27" s="1505"/>
      <c r="FP27" s="1505">
        <f>MAX(0,FP25-(FP13+FP15))</f>
        <v>43907</v>
      </c>
      <c r="FQ27" s="1505"/>
      <c r="FR27" s="1505"/>
      <c r="FS27" s="1505"/>
      <c r="FT27" s="1505"/>
      <c r="FU27" s="1505"/>
      <c r="FV27" s="1505"/>
      <c r="FW27" s="1505"/>
      <c r="FX27" s="1505"/>
      <c r="FY27" s="1505"/>
      <c r="FZ27" s="1502"/>
      <c r="GA27" s="1502"/>
      <c r="GB27" s="1502"/>
      <c r="GC27" s="1502"/>
      <c r="GD27" s="1502"/>
      <c r="GE27" s="1502"/>
      <c r="GF27" s="1502"/>
      <c r="GG27" s="1502"/>
      <c r="GH27" s="1502"/>
      <c r="GI27" s="1502">
        <f>MAX(0,GI25-(GI13+GI15))</f>
        <v>0</v>
      </c>
      <c r="GJ27" s="1505"/>
      <c r="GK27" s="1505"/>
      <c r="GL27" s="1505"/>
      <c r="GM27" s="1505"/>
      <c r="GN27" s="1502"/>
      <c r="GO27" s="1502">
        <f>MAX(0,GO25-(GO13+GO15))</f>
        <v>0</v>
      </c>
      <c r="GP27" s="1505"/>
      <c r="GQ27" s="1502">
        <f>MAX(0,GQ25-(GQ13+GQ15))</f>
        <v>0</v>
      </c>
      <c r="GR27" s="1505"/>
      <c r="GS27" s="1505"/>
      <c r="GT27" s="1505"/>
      <c r="GU27" s="1505"/>
      <c r="GV27" s="1505"/>
      <c r="GW27" s="1502">
        <f>MAX(0,GW25-(GW13+GW15))</f>
        <v>0</v>
      </c>
      <c r="GX27" s="1505"/>
      <c r="GY27" s="1505"/>
      <c r="GZ27" s="1505"/>
      <c r="HA27" s="1505"/>
      <c r="HB27" s="1502"/>
      <c r="HC27" s="1505"/>
      <c r="HD27" s="1505"/>
      <c r="HE27" s="1505"/>
      <c r="HF27" s="1505"/>
      <c r="HG27" s="1505"/>
      <c r="HH27" s="1505"/>
      <c r="HI27" s="1505"/>
      <c r="HJ27" s="1505"/>
      <c r="HK27" s="1505"/>
      <c r="HL27" s="1505"/>
      <c r="HM27" s="1505"/>
      <c r="HN27" s="1505"/>
      <c r="HO27" s="1505"/>
      <c r="HP27" s="1505"/>
      <c r="HQ27" s="1505"/>
      <c r="HR27" s="1505"/>
      <c r="HS27" s="1505"/>
      <c r="HT27" s="1502">
        <f>MAX(0,HT25-(HT13+HT15))</f>
        <v>0</v>
      </c>
      <c r="HU27" s="1502">
        <f>MAX(0,HU25-(HU13+HU15))</f>
        <v>0</v>
      </c>
      <c r="HV27" s="1502">
        <f>MAX(0,HV25-(HV13+HV15))</f>
        <v>0</v>
      </c>
      <c r="HW27" s="1505"/>
      <c r="HX27" s="1505"/>
      <c r="HY27" s="1505"/>
      <c r="HZ27" s="1505"/>
      <c r="IA27" s="1505"/>
      <c r="IB27" s="1505"/>
      <c r="IC27" s="1505"/>
      <c r="ID27" s="1505"/>
      <c r="IE27" s="1505"/>
      <c r="IF27" s="1505"/>
      <c r="IG27" s="1505"/>
      <c r="IH27" s="1505"/>
      <c r="II27" s="1505"/>
      <c r="IJ27" s="1505"/>
      <c r="IK27" s="1505"/>
      <c r="IL27" s="1505"/>
      <c r="IM27" s="1505"/>
      <c r="IN27" s="1505"/>
      <c r="IO27" s="1502">
        <f>MAX(0,IO25-(IO14+IO15))</f>
        <v>1526</v>
      </c>
      <c r="IP27" s="1505"/>
      <c r="IQ27" s="1505"/>
      <c r="IR27" s="1505"/>
      <c r="IS27" s="1505"/>
      <c r="IT27" s="1505"/>
      <c r="IU27" s="1505"/>
      <c r="IV27" s="1505"/>
      <c r="IW27" s="1505"/>
      <c r="IX27" s="1505"/>
      <c r="IY27" s="1505"/>
      <c r="IZ27" s="1505"/>
      <c r="JA27" s="1505"/>
      <c r="JB27" s="1505"/>
      <c r="JC27" s="1505"/>
      <c r="JD27" s="1502">
        <f>MAX(0,JD25-(JD13+JD15))</f>
        <v>0</v>
      </c>
      <c r="JE27" s="1505"/>
      <c r="JF27" s="1505"/>
      <c r="JG27" s="1502">
        <f>MAX(0,JG25-(JG13+JG15))</f>
        <v>2037</v>
      </c>
      <c r="JH27" s="1505"/>
      <c r="JI27" s="1505"/>
      <c r="JJ27" s="1505"/>
      <c r="JK27" s="1505"/>
      <c r="JL27" s="1505"/>
      <c r="JM27" s="1505"/>
      <c r="JN27" s="1505"/>
      <c r="JO27" s="1505"/>
      <c r="JP27" s="1502">
        <f>MAX(0,JP25-(JP13+JP15))</f>
        <v>0</v>
      </c>
      <c r="JQ27" s="1506"/>
      <c r="JR27" s="351"/>
      <c r="JS27" s="1400" t="s">
        <v>2968</v>
      </c>
      <c r="JT27" s="1400" t="s">
        <v>2224</v>
      </c>
    </row>
    <row r="28" spans="1:280" ht="30" x14ac:dyDescent="0.25">
      <c r="A28" s="1367">
        <v>27</v>
      </c>
      <c r="B28" s="1411" t="str">
        <f t="shared" si="1"/>
        <v/>
      </c>
      <c r="C28" s="1508" t="s">
        <v>2969</v>
      </c>
      <c r="D28" s="1436" t="s">
        <v>2970</v>
      </c>
      <c r="E28" s="1452"/>
      <c r="F28" s="1452"/>
      <c r="G28" s="1452"/>
      <c r="H28" s="1452"/>
      <c r="I28" s="1452"/>
      <c r="J28" s="1452"/>
      <c r="K28" s="1452"/>
      <c r="L28" s="1452"/>
      <c r="M28" s="1452"/>
      <c r="N28" s="1452"/>
      <c r="O28" s="1452"/>
      <c r="P28" s="1452"/>
      <c r="Q28" s="1452"/>
      <c r="R28" s="1452"/>
      <c r="S28" s="1452"/>
      <c r="T28" s="1452"/>
      <c r="U28" s="1452"/>
      <c r="V28" s="1452"/>
      <c r="W28" s="1452"/>
      <c r="X28" s="1452"/>
      <c r="Y28" s="1452"/>
      <c r="Z28" s="1452">
        <v>1200</v>
      </c>
      <c r="AA28" s="1452"/>
      <c r="AB28" s="1452"/>
      <c r="AC28" s="1452">
        <v>1500</v>
      </c>
      <c r="AD28" s="1452"/>
      <c r="AE28" s="1452"/>
      <c r="AF28" s="1452"/>
      <c r="AG28" s="1452"/>
      <c r="AH28" s="1452"/>
      <c r="AI28" s="1455"/>
      <c r="AJ28" s="1452"/>
      <c r="AK28" s="1452"/>
      <c r="AL28" s="1452"/>
      <c r="AM28" s="1452"/>
      <c r="AN28" s="1452"/>
      <c r="AO28" s="1452"/>
      <c r="AP28" s="1455"/>
      <c r="AQ28" s="1455"/>
      <c r="AR28" s="1455"/>
      <c r="AS28" s="1455"/>
      <c r="AT28" s="1452"/>
      <c r="AU28" s="1455"/>
      <c r="AV28" s="1452"/>
      <c r="AW28" s="1455"/>
      <c r="AX28" s="1455"/>
      <c r="AY28" s="1455"/>
      <c r="AZ28" s="1455"/>
      <c r="BA28" s="1455"/>
      <c r="BB28" s="1452"/>
      <c r="BC28" s="1455"/>
      <c r="BD28" s="1452"/>
      <c r="BE28" s="1452">
        <v>1200</v>
      </c>
      <c r="BF28" s="1455"/>
      <c r="BG28" s="1455"/>
      <c r="BH28" s="1452"/>
      <c r="BI28" s="1452"/>
      <c r="BJ28" s="1455"/>
      <c r="BK28" s="1455"/>
      <c r="BL28" s="1455"/>
      <c r="BM28" s="1455"/>
      <c r="BN28" s="1455"/>
      <c r="BO28" s="1455"/>
      <c r="BP28" s="1455"/>
      <c r="BQ28" s="1455"/>
      <c r="BR28" s="1455"/>
      <c r="BS28" s="1455"/>
      <c r="BT28" s="1455"/>
      <c r="BU28" s="1455"/>
      <c r="BV28" s="1452"/>
      <c r="BW28" s="1455"/>
      <c r="BX28" s="1455"/>
      <c r="BY28" s="1455"/>
      <c r="BZ28" s="1455"/>
      <c r="CA28" s="1455"/>
      <c r="CB28" s="1455"/>
      <c r="CC28" s="1455"/>
      <c r="CD28" s="1455"/>
      <c r="CE28" s="1455"/>
      <c r="CF28" s="1455"/>
      <c r="CG28" s="1455"/>
      <c r="CH28" s="1455"/>
      <c r="CI28" s="1454"/>
      <c r="CJ28" s="1455"/>
      <c r="CK28" s="1455"/>
      <c r="CL28" s="1455"/>
      <c r="CM28" s="1455"/>
      <c r="CN28" s="1455"/>
      <c r="CO28" s="1452"/>
      <c r="CP28" s="1452"/>
      <c r="CQ28" s="1455"/>
      <c r="CR28" s="1455"/>
      <c r="CS28" s="1455"/>
      <c r="CT28" s="1455"/>
      <c r="CU28" s="1455"/>
      <c r="CV28" s="1455"/>
      <c r="CW28" s="1455"/>
      <c r="CX28" s="1455"/>
      <c r="CY28" s="1455"/>
      <c r="CZ28" s="1455"/>
      <c r="DA28" s="1455"/>
      <c r="DB28" s="1455"/>
      <c r="DC28" s="1452"/>
      <c r="DD28" s="1452">
        <v>1200</v>
      </c>
      <c r="DE28" s="1455"/>
      <c r="DF28" s="1455"/>
      <c r="DG28" s="1455"/>
      <c r="DH28" s="1455"/>
      <c r="DI28" s="1455"/>
      <c r="DJ28" s="1455"/>
      <c r="DK28" s="1455"/>
      <c r="DL28" s="1455"/>
      <c r="DM28" s="1455"/>
      <c r="DN28" s="1452">
        <v>1200</v>
      </c>
      <c r="DO28" s="1455"/>
      <c r="DP28" s="1455"/>
      <c r="DQ28" s="1455"/>
      <c r="DR28" s="1455"/>
      <c r="DS28" s="1455"/>
      <c r="DT28" s="1455"/>
      <c r="DU28" s="1455"/>
      <c r="DV28" s="1455"/>
      <c r="DW28" s="1455"/>
      <c r="DX28" s="1452"/>
      <c r="DY28" s="1455"/>
      <c r="DZ28" s="1455"/>
      <c r="EA28" s="1455"/>
      <c r="EB28" s="1455"/>
      <c r="EC28" s="1455"/>
      <c r="ED28" s="1452"/>
      <c r="EE28" s="1452"/>
      <c r="EF28" s="1455"/>
      <c r="EG28" s="1455"/>
      <c r="EH28" s="1455"/>
      <c r="EI28" s="1455"/>
      <c r="EJ28" s="1455"/>
      <c r="EK28" s="1455"/>
      <c r="EL28" s="1455"/>
      <c r="EM28" s="1455"/>
      <c r="EN28" s="1452"/>
      <c r="EO28" s="1455"/>
      <c r="EP28" s="1455"/>
      <c r="EQ28" s="1455"/>
      <c r="ER28" s="1455"/>
      <c r="ES28" s="1455"/>
      <c r="ET28" s="1455"/>
      <c r="EU28" s="1455"/>
      <c r="EV28" s="1455"/>
      <c r="EW28" s="1455"/>
      <c r="EX28" s="1455"/>
      <c r="EY28" s="1455"/>
      <c r="EZ28" s="1455"/>
      <c r="FA28" s="1455"/>
      <c r="FB28" s="1455"/>
      <c r="FC28" s="1455"/>
      <c r="FD28" s="1455"/>
      <c r="FE28" s="1452"/>
      <c r="FF28" s="1455"/>
      <c r="FG28" s="1452"/>
      <c r="FH28" s="1452"/>
      <c r="FI28" s="1455"/>
      <c r="FJ28" s="1455"/>
      <c r="FK28" s="1455"/>
      <c r="FL28" s="1455"/>
      <c r="FM28" s="1455"/>
      <c r="FN28" s="1455"/>
      <c r="FO28" s="1455"/>
      <c r="FP28" s="1455"/>
      <c r="FQ28" s="1455"/>
      <c r="FR28" s="1455"/>
      <c r="FS28" s="1455"/>
      <c r="FT28" s="1455"/>
      <c r="FU28" s="1455"/>
      <c r="FV28" s="1455"/>
      <c r="FW28" s="1455"/>
      <c r="FX28" s="1455"/>
      <c r="FY28" s="1455"/>
      <c r="FZ28" s="1455"/>
      <c r="GA28" s="1455"/>
      <c r="GB28" s="1455"/>
      <c r="GC28" s="1455"/>
      <c r="GD28" s="1455"/>
      <c r="GE28" s="1455"/>
      <c r="GF28" s="1455"/>
      <c r="GG28" s="1455"/>
      <c r="GH28" s="1455"/>
      <c r="GI28" s="1452"/>
      <c r="GJ28" s="1455"/>
      <c r="GK28" s="1455"/>
      <c r="GL28" s="1455"/>
      <c r="GM28" s="1455"/>
      <c r="GN28" s="1452"/>
      <c r="GO28" s="1452"/>
      <c r="GP28" s="1455"/>
      <c r="GQ28" s="1452"/>
      <c r="GR28" s="1455"/>
      <c r="GS28" s="1455"/>
      <c r="GT28" s="1455"/>
      <c r="GU28" s="1455"/>
      <c r="GV28" s="1455"/>
      <c r="GW28" s="1452">
        <v>1200</v>
      </c>
      <c r="GX28" s="1455"/>
      <c r="GY28" s="1455"/>
      <c r="GZ28" s="1455"/>
      <c r="HA28" s="1455"/>
      <c r="HB28" s="1452"/>
      <c r="HC28" s="1455"/>
      <c r="HD28" s="1455"/>
      <c r="HE28" s="1455"/>
      <c r="HF28" s="1455"/>
      <c r="HG28" s="1455"/>
      <c r="HH28" s="1455"/>
      <c r="HI28" s="1455"/>
      <c r="HJ28" s="1455"/>
      <c r="HK28" s="1455"/>
      <c r="HL28" s="1455"/>
      <c r="HM28" s="1455"/>
      <c r="HN28" s="1455"/>
      <c r="HO28" s="1455"/>
      <c r="HP28" s="1455"/>
      <c r="HQ28" s="1455"/>
      <c r="HR28" s="1455"/>
      <c r="HS28" s="1455"/>
      <c r="HT28" s="1452"/>
      <c r="HU28" s="1452">
        <v>1200</v>
      </c>
      <c r="HV28" s="1452"/>
      <c r="HW28" s="1455"/>
      <c r="HX28" s="1455"/>
      <c r="HY28" s="1455"/>
      <c r="HZ28" s="1455"/>
      <c r="IA28" s="1455"/>
      <c r="IB28" s="1455"/>
      <c r="IC28" s="1455"/>
      <c r="ID28" s="1455"/>
      <c r="IE28" s="1455"/>
      <c r="IF28" s="1455"/>
      <c r="IG28" s="1455"/>
      <c r="IH28" s="1455"/>
      <c r="II28" s="1455"/>
      <c r="IJ28" s="1455"/>
      <c r="IK28" s="1455"/>
      <c r="IL28" s="1455"/>
      <c r="IM28" s="1455"/>
      <c r="IN28" s="1455"/>
      <c r="IO28" s="1452">
        <v>912</v>
      </c>
      <c r="IP28" s="1455"/>
      <c r="IQ28" s="1455"/>
      <c r="IR28" s="1455"/>
      <c r="IS28" s="1455"/>
      <c r="IT28" s="1455"/>
      <c r="IU28" s="1455"/>
      <c r="IV28" s="1455"/>
      <c r="IW28" s="1455"/>
      <c r="IX28" s="1455"/>
      <c r="IY28" s="1455"/>
      <c r="IZ28" s="1455"/>
      <c r="JA28" s="1455"/>
      <c r="JB28" s="1455"/>
      <c r="JC28" s="1455"/>
      <c r="JD28" s="1452"/>
      <c r="JE28" s="1455"/>
      <c r="JF28" s="1455"/>
      <c r="JG28" s="1452"/>
      <c r="JH28" s="1455"/>
      <c r="JI28" s="1455"/>
      <c r="JJ28" s="1455"/>
      <c r="JK28" s="1455"/>
      <c r="JL28" s="1455"/>
      <c r="JM28" s="1455"/>
      <c r="JN28" s="1455"/>
      <c r="JO28" s="1455"/>
      <c r="JP28" s="1452">
        <v>1300000</v>
      </c>
      <c r="JQ28" s="1501"/>
      <c r="JR28" s="351"/>
      <c r="JS28" s="1400" t="s">
        <v>2971</v>
      </c>
      <c r="JT28" s="1400" t="s">
        <v>2242</v>
      </c>
    </row>
    <row r="29" spans="1:280" x14ac:dyDescent="0.25">
      <c r="A29" s="1367">
        <v>28</v>
      </c>
      <c r="B29" s="1411" t="str">
        <f t="shared" si="1"/>
        <v/>
      </c>
      <c r="C29" s="1508" t="s">
        <v>2972</v>
      </c>
      <c r="D29" s="1436" t="s">
        <v>2973</v>
      </c>
      <c r="E29" s="1452"/>
      <c r="F29" s="1452"/>
      <c r="G29" s="1452"/>
      <c r="H29" s="1452"/>
      <c r="I29" s="1452"/>
      <c r="J29" s="1452"/>
      <c r="K29" s="1452"/>
      <c r="L29" s="1452"/>
      <c r="M29" s="1452"/>
      <c r="N29" s="1452"/>
      <c r="O29" s="1452"/>
      <c r="P29" s="1452"/>
      <c r="Q29" s="1452"/>
      <c r="R29" s="1452"/>
      <c r="S29" s="1452"/>
      <c r="T29" s="1452"/>
      <c r="U29" s="1452"/>
      <c r="V29" s="1452"/>
      <c r="W29" s="1452"/>
      <c r="X29" s="1452"/>
      <c r="Y29" s="1452"/>
      <c r="Z29" s="1452">
        <v>800</v>
      </c>
      <c r="AA29" s="1452"/>
      <c r="AB29" s="1452"/>
      <c r="AC29" s="1452">
        <v>1000</v>
      </c>
      <c r="AD29" s="1452"/>
      <c r="AE29" s="1452"/>
      <c r="AF29" s="1452"/>
      <c r="AG29" s="1452"/>
      <c r="AH29" s="1452"/>
      <c r="AI29" s="1455"/>
      <c r="AJ29" s="1452"/>
      <c r="AK29" s="1452"/>
      <c r="AL29" s="1452"/>
      <c r="AM29" s="1452"/>
      <c r="AN29" s="1452"/>
      <c r="AO29" s="1452"/>
      <c r="AP29" s="1455"/>
      <c r="AQ29" s="1455"/>
      <c r="AR29" s="1455"/>
      <c r="AS29" s="1455"/>
      <c r="AT29" s="1452"/>
      <c r="AU29" s="1455"/>
      <c r="AV29" s="1452"/>
      <c r="AW29" s="1455"/>
      <c r="AX29" s="1455"/>
      <c r="AY29" s="1455"/>
      <c r="AZ29" s="1455"/>
      <c r="BA29" s="1455"/>
      <c r="BB29" s="1452"/>
      <c r="BC29" s="1455"/>
      <c r="BD29" s="1452"/>
      <c r="BE29" s="1452">
        <v>800</v>
      </c>
      <c r="BF29" s="1455"/>
      <c r="BG29" s="1455"/>
      <c r="BH29" s="1452"/>
      <c r="BI29" s="1452"/>
      <c r="BJ29" s="1455"/>
      <c r="BK29" s="1455"/>
      <c r="BL29" s="1455"/>
      <c r="BM29" s="1455"/>
      <c r="BN29" s="1455"/>
      <c r="BO29" s="1455"/>
      <c r="BP29" s="1455"/>
      <c r="BQ29" s="1455"/>
      <c r="BR29" s="1455"/>
      <c r="BS29" s="1455"/>
      <c r="BT29" s="1455"/>
      <c r="BU29" s="1455"/>
      <c r="BV29" s="1452"/>
      <c r="BW29" s="1455"/>
      <c r="BX29" s="1455"/>
      <c r="BY29" s="1455"/>
      <c r="BZ29" s="1455"/>
      <c r="CA29" s="1455"/>
      <c r="CB29" s="1455"/>
      <c r="CC29" s="1455"/>
      <c r="CD29" s="1455"/>
      <c r="CE29" s="1455"/>
      <c r="CF29" s="1455"/>
      <c r="CG29" s="1455"/>
      <c r="CH29" s="1455"/>
      <c r="CI29" s="1454"/>
      <c r="CJ29" s="1455"/>
      <c r="CK29" s="1455"/>
      <c r="CL29" s="1455"/>
      <c r="CM29" s="1455"/>
      <c r="CN29" s="1455"/>
      <c r="CO29" s="1452"/>
      <c r="CP29" s="1452"/>
      <c r="CQ29" s="1455"/>
      <c r="CR29" s="1455"/>
      <c r="CS29" s="1455"/>
      <c r="CT29" s="1455"/>
      <c r="CU29" s="1455"/>
      <c r="CV29" s="1455"/>
      <c r="CW29" s="1455"/>
      <c r="CX29" s="1455"/>
      <c r="CY29" s="1455"/>
      <c r="CZ29" s="1455"/>
      <c r="DA29" s="1455"/>
      <c r="DB29" s="1455"/>
      <c r="DC29" s="1452"/>
      <c r="DD29" s="1452">
        <v>800</v>
      </c>
      <c r="DE29" s="1455"/>
      <c r="DF29" s="1455"/>
      <c r="DG29" s="1455"/>
      <c r="DH29" s="1455"/>
      <c r="DI29" s="1455"/>
      <c r="DJ29" s="1455"/>
      <c r="DK29" s="1455"/>
      <c r="DL29" s="1455"/>
      <c r="DM29" s="1455"/>
      <c r="DN29" s="1452">
        <v>800</v>
      </c>
      <c r="DO29" s="1455"/>
      <c r="DP29" s="1455"/>
      <c r="DQ29" s="1455"/>
      <c r="DR29" s="1455"/>
      <c r="DS29" s="1455"/>
      <c r="DT29" s="1455"/>
      <c r="DU29" s="1455"/>
      <c r="DV29" s="1455"/>
      <c r="DW29" s="1455"/>
      <c r="DX29" s="1452"/>
      <c r="DY29" s="1455"/>
      <c r="DZ29" s="1455"/>
      <c r="EA29" s="1455"/>
      <c r="EB29" s="1455"/>
      <c r="EC29" s="1455"/>
      <c r="ED29" s="1452"/>
      <c r="EE29" s="1452"/>
      <c r="EF29" s="1455"/>
      <c r="EG29" s="1455"/>
      <c r="EH29" s="1455"/>
      <c r="EI29" s="1455"/>
      <c r="EJ29" s="1455"/>
      <c r="EK29" s="1455"/>
      <c r="EL29" s="1455"/>
      <c r="EM29" s="1455"/>
      <c r="EN29" s="1452"/>
      <c r="EO29" s="1455"/>
      <c r="EP29" s="1455"/>
      <c r="EQ29" s="1455"/>
      <c r="ER29" s="1455"/>
      <c r="ES29" s="1455"/>
      <c r="ET29" s="1455"/>
      <c r="EU29" s="1455"/>
      <c r="EV29" s="1455"/>
      <c r="EW29" s="1455"/>
      <c r="EX29" s="1455"/>
      <c r="EY29" s="1455"/>
      <c r="EZ29" s="1455"/>
      <c r="FA29" s="1455"/>
      <c r="FB29" s="1455"/>
      <c r="FC29" s="1455"/>
      <c r="FD29" s="1455"/>
      <c r="FE29" s="1452"/>
      <c r="FF29" s="1455"/>
      <c r="FG29" s="1452"/>
      <c r="FH29" s="1452"/>
      <c r="FI29" s="1455"/>
      <c r="FJ29" s="1455"/>
      <c r="FK29" s="1455"/>
      <c r="FL29" s="1455"/>
      <c r="FM29" s="1455"/>
      <c r="FN29" s="1455"/>
      <c r="FO29" s="1455"/>
      <c r="FP29" s="1455"/>
      <c r="FQ29" s="1455"/>
      <c r="FR29" s="1455"/>
      <c r="FS29" s="1455"/>
      <c r="FT29" s="1455"/>
      <c r="FU29" s="1455"/>
      <c r="FV29" s="1455"/>
      <c r="FW29" s="1455"/>
      <c r="FX29" s="1455"/>
      <c r="FY29" s="1455"/>
      <c r="FZ29" s="1455"/>
      <c r="GA29" s="1455"/>
      <c r="GB29" s="1455"/>
      <c r="GC29" s="1455"/>
      <c r="GD29" s="1455"/>
      <c r="GE29" s="1455"/>
      <c r="GF29" s="1455"/>
      <c r="GG29" s="1455"/>
      <c r="GH29" s="1455"/>
      <c r="GI29" s="1452"/>
      <c r="GJ29" s="1455"/>
      <c r="GK29" s="1455"/>
      <c r="GL29" s="1455"/>
      <c r="GM29" s="1455"/>
      <c r="GN29" s="1452"/>
      <c r="GO29" s="1452"/>
      <c r="GP29" s="1455"/>
      <c r="GQ29" s="1452"/>
      <c r="GR29" s="1455"/>
      <c r="GS29" s="1455"/>
      <c r="GT29" s="1455"/>
      <c r="GU29" s="1455"/>
      <c r="GV29" s="1455"/>
      <c r="GW29" s="1452">
        <v>800</v>
      </c>
      <c r="GX29" s="1455"/>
      <c r="GY29" s="1455"/>
      <c r="GZ29" s="1455"/>
      <c r="HA29" s="1455"/>
      <c r="HB29" s="1452"/>
      <c r="HC29" s="1455"/>
      <c r="HD29" s="1455"/>
      <c r="HE29" s="1455"/>
      <c r="HF29" s="1455"/>
      <c r="HG29" s="1455"/>
      <c r="HH29" s="1455"/>
      <c r="HI29" s="1455"/>
      <c r="HJ29" s="1455"/>
      <c r="HK29" s="1455"/>
      <c r="HL29" s="1455"/>
      <c r="HM29" s="1455"/>
      <c r="HN29" s="1455"/>
      <c r="HO29" s="1455"/>
      <c r="HP29" s="1455"/>
      <c r="HQ29" s="1455"/>
      <c r="HR29" s="1455"/>
      <c r="HS29" s="1455"/>
      <c r="HT29" s="1452"/>
      <c r="HU29" s="1452">
        <v>800</v>
      </c>
      <c r="HV29" s="1452"/>
      <c r="HW29" s="1455"/>
      <c r="HX29" s="1455"/>
      <c r="HY29" s="1455"/>
      <c r="HZ29" s="1455"/>
      <c r="IA29" s="1455"/>
      <c r="IB29" s="1455"/>
      <c r="IC29" s="1455"/>
      <c r="ID29" s="1455"/>
      <c r="IE29" s="1455"/>
      <c r="IF29" s="1455"/>
      <c r="IG29" s="1455"/>
      <c r="IH29" s="1455"/>
      <c r="II29" s="1455"/>
      <c r="IJ29" s="1455"/>
      <c r="IK29" s="1455"/>
      <c r="IL29" s="1455"/>
      <c r="IM29" s="1455"/>
      <c r="IN29" s="1455"/>
      <c r="IO29" s="1452"/>
      <c r="IP29" s="1455"/>
      <c r="IQ29" s="1455"/>
      <c r="IR29" s="1455"/>
      <c r="IS29" s="1455"/>
      <c r="IT29" s="1455"/>
      <c r="IU29" s="1455"/>
      <c r="IV29" s="1455"/>
      <c r="IW29" s="1455"/>
      <c r="IX29" s="1455"/>
      <c r="IY29" s="1455"/>
      <c r="IZ29" s="1455"/>
      <c r="JA29" s="1455"/>
      <c r="JB29" s="1455"/>
      <c r="JC29" s="1455"/>
      <c r="JD29" s="1452"/>
      <c r="JE29" s="1455"/>
      <c r="JF29" s="1455"/>
      <c r="JG29" s="1452"/>
      <c r="JH29" s="1455"/>
      <c r="JI29" s="1455"/>
      <c r="JJ29" s="1455"/>
      <c r="JK29" s="1455"/>
      <c r="JL29" s="1455"/>
      <c r="JM29" s="1455"/>
      <c r="JN29" s="1455"/>
      <c r="JO29" s="1455"/>
      <c r="JP29" s="1452"/>
      <c r="JQ29" s="1501"/>
      <c r="JR29" s="351"/>
      <c r="JS29" s="1400" t="s">
        <v>2943</v>
      </c>
      <c r="JT29" s="1400" t="s">
        <v>2242</v>
      </c>
    </row>
    <row r="30" spans="1:280" x14ac:dyDescent="0.25">
      <c r="A30" s="1367">
        <v>29</v>
      </c>
      <c r="B30" s="1411" t="str">
        <f t="shared" si="1"/>
        <v/>
      </c>
      <c r="C30" s="1508" t="s">
        <v>2974</v>
      </c>
      <c r="D30" s="1436" t="s">
        <v>2975</v>
      </c>
      <c r="E30" s="1452"/>
      <c r="F30" s="1452"/>
      <c r="G30" s="1452"/>
      <c r="H30" s="1452"/>
      <c r="I30" s="1452"/>
      <c r="J30" s="1452"/>
      <c r="K30" s="1452"/>
      <c r="L30" s="1452"/>
      <c r="M30" s="1452"/>
      <c r="N30" s="1452"/>
      <c r="O30" s="1452"/>
      <c r="P30" s="1452"/>
      <c r="Q30" s="1452"/>
      <c r="R30" s="1452"/>
      <c r="S30" s="1452"/>
      <c r="T30" s="1452"/>
      <c r="U30" s="1452"/>
      <c r="V30" s="1452"/>
      <c r="W30" s="1452"/>
      <c r="X30" s="1452"/>
      <c r="Y30" s="1452"/>
      <c r="Z30" s="1452"/>
      <c r="AA30" s="1452"/>
      <c r="AB30" s="1452"/>
      <c r="AC30" s="1452"/>
      <c r="AD30" s="1452"/>
      <c r="AE30" s="1452"/>
      <c r="AF30" s="1452"/>
      <c r="AG30" s="1452"/>
      <c r="AH30" s="1452"/>
      <c r="AI30" s="1455"/>
      <c r="AJ30" s="1452"/>
      <c r="AK30" s="1452"/>
      <c r="AL30" s="1452"/>
      <c r="AM30" s="1452"/>
      <c r="AN30" s="1452"/>
      <c r="AO30" s="1452"/>
      <c r="AP30" s="1455"/>
      <c r="AQ30" s="1455"/>
      <c r="AR30" s="1455"/>
      <c r="AS30" s="1455"/>
      <c r="AT30" s="1452"/>
      <c r="AU30" s="1455"/>
      <c r="AV30" s="1452"/>
      <c r="AW30" s="1455"/>
      <c r="AX30" s="1455"/>
      <c r="AY30" s="1455"/>
      <c r="AZ30" s="1455"/>
      <c r="BA30" s="1455"/>
      <c r="BB30" s="1452"/>
      <c r="BC30" s="1455"/>
      <c r="BD30" s="1452">
        <v>500</v>
      </c>
      <c r="BE30" s="1452"/>
      <c r="BF30" s="1455"/>
      <c r="BG30" s="1455"/>
      <c r="BH30" s="1452"/>
      <c r="BI30" s="1452"/>
      <c r="BJ30" s="1455"/>
      <c r="BK30" s="1455"/>
      <c r="BL30" s="1455"/>
      <c r="BM30" s="1455"/>
      <c r="BN30" s="1455"/>
      <c r="BO30" s="1455"/>
      <c r="BP30" s="1455"/>
      <c r="BQ30" s="1455"/>
      <c r="BR30" s="1455"/>
      <c r="BS30" s="1455"/>
      <c r="BT30" s="1455"/>
      <c r="BU30" s="1455"/>
      <c r="BV30" s="1452"/>
      <c r="BW30" s="1455"/>
      <c r="BX30" s="1455"/>
      <c r="BY30" s="1455"/>
      <c r="BZ30" s="1455"/>
      <c r="CA30" s="1455"/>
      <c r="CB30" s="1455"/>
      <c r="CC30" s="1455"/>
      <c r="CD30" s="1455"/>
      <c r="CE30" s="1455"/>
      <c r="CF30" s="1455"/>
      <c r="CG30" s="1455"/>
      <c r="CH30" s="1455"/>
      <c r="CI30" s="1452"/>
      <c r="CJ30" s="1455"/>
      <c r="CK30" s="1455"/>
      <c r="CL30" s="1455"/>
      <c r="CM30" s="1455"/>
      <c r="CN30" s="1455"/>
      <c r="CO30" s="1452"/>
      <c r="CP30" s="1452"/>
      <c r="CQ30" s="1455"/>
      <c r="CR30" s="1455"/>
      <c r="CS30" s="1455"/>
      <c r="CT30" s="1455"/>
      <c r="CU30" s="1455"/>
      <c r="CV30" s="1455"/>
      <c r="CW30" s="1455"/>
      <c r="CX30" s="1455"/>
      <c r="CY30" s="1455"/>
      <c r="CZ30" s="1455"/>
      <c r="DA30" s="1455"/>
      <c r="DB30" s="1455"/>
      <c r="DC30" s="1452"/>
      <c r="DD30" s="1452"/>
      <c r="DE30" s="1455"/>
      <c r="DF30" s="1455"/>
      <c r="DG30" s="1455"/>
      <c r="DH30" s="1455"/>
      <c r="DI30" s="1455"/>
      <c r="DJ30" s="1455"/>
      <c r="DK30" s="1455"/>
      <c r="DL30" s="1455"/>
      <c r="DM30" s="1455"/>
      <c r="DN30" s="1452"/>
      <c r="DO30" s="1455"/>
      <c r="DP30" s="1455"/>
      <c r="DQ30" s="1455"/>
      <c r="DR30" s="1455"/>
      <c r="DS30" s="1455"/>
      <c r="DT30" s="1455"/>
      <c r="DU30" s="1455"/>
      <c r="DV30" s="1455"/>
      <c r="DW30" s="1455"/>
      <c r="DX30" s="1452"/>
      <c r="DY30" s="1455"/>
      <c r="DZ30" s="1455"/>
      <c r="EA30" s="1455"/>
      <c r="EB30" s="1455"/>
      <c r="EC30" s="1455"/>
      <c r="ED30" s="1452"/>
      <c r="EE30" s="1452"/>
      <c r="EF30" s="1455"/>
      <c r="EG30" s="1455"/>
      <c r="EH30" s="1455"/>
      <c r="EI30" s="1455"/>
      <c r="EJ30" s="1455"/>
      <c r="EK30" s="1455"/>
      <c r="EL30" s="1455"/>
      <c r="EM30" s="1455"/>
      <c r="EN30" s="1452"/>
      <c r="EO30" s="1455"/>
      <c r="EP30" s="1455"/>
      <c r="EQ30" s="1455"/>
      <c r="ER30" s="1455"/>
      <c r="ES30" s="1455"/>
      <c r="ET30" s="1455"/>
      <c r="EU30" s="1455"/>
      <c r="EV30" s="1455"/>
      <c r="EW30" s="1455"/>
      <c r="EX30" s="1455"/>
      <c r="EY30" s="1455"/>
      <c r="EZ30" s="1455"/>
      <c r="FA30" s="1455"/>
      <c r="FB30" s="1455"/>
      <c r="FC30" s="1455"/>
      <c r="FD30" s="1455"/>
      <c r="FE30" s="1452"/>
      <c r="FF30" s="1455"/>
      <c r="FG30" s="1452"/>
      <c r="FH30" s="1452"/>
      <c r="FI30" s="1455"/>
      <c r="FJ30" s="1455"/>
      <c r="FK30" s="1455"/>
      <c r="FL30" s="1455"/>
      <c r="FM30" s="1455"/>
      <c r="FN30" s="1455"/>
      <c r="FO30" s="1455"/>
      <c r="FP30" s="1455"/>
      <c r="FQ30" s="1455"/>
      <c r="FR30" s="1455"/>
      <c r="FS30" s="1455"/>
      <c r="FT30" s="1455"/>
      <c r="FU30" s="1455"/>
      <c r="FV30" s="1455"/>
      <c r="FW30" s="1455"/>
      <c r="FX30" s="1455"/>
      <c r="FY30" s="1455"/>
      <c r="FZ30" s="1455"/>
      <c r="GA30" s="1455"/>
      <c r="GB30" s="1455"/>
      <c r="GC30" s="1455"/>
      <c r="GD30" s="1455"/>
      <c r="GE30" s="1455"/>
      <c r="GF30" s="1455"/>
      <c r="GG30" s="1455"/>
      <c r="GH30" s="1455"/>
      <c r="GI30" s="1452"/>
      <c r="GJ30" s="1455"/>
      <c r="GK30" s="1455"/>
      <c r="GL30" s="1455"/>
      <c r="GM30" s="1455"/>
      <c r="GN30" s="1452"/>
      <c r="GO30" s="1452"/>
      <c r="GP30" s="1455"/>
      <c r="GQ30" s="1452"/>
      <c r="GR30" s="1455"/>
      <c r="GS30" s="1455"/>
      <c r="GT30" s="1455"/>
      <c r="GU30" s="1455"/>
      <c r="GV30" s="1455"/>
      <c r="GW30" s="1452"/>
      <c r="GX30" s="1455"/>
      <c r="GY30" s="1455"/>
      <c r="GZ30" s="1455"/>
      <c r="HA30" s="1455"/>
      <c r="HB30" s="1452"/>
      <c r="HC30" s="1455"/>
      <c r="HD30" s="1455"/>
      <c r="HE30" s="1455"/>
      <c r="HF30" s="1455"/>
      <c r="HG30" s="1455"/>
      <c r="HH30" s="1455"/>
      <c r="HI30" s="1455"/>
      <c r="HJ30" s="1455"/>
      <c r="HK30" s="1455"/>
      <c r="HL30" s="1455"/>
      <c r="HM30" s="1455"/>
      <c r="HN30" s="1455"/>
      <c r="HO30" s="1455"/>
      <c r="HP30" s="1455"/>
      <c r="HQ30" s="1455"/>
      <c r="HR30" s="1455"/>
      <c r="HS30" s="1455"/>
      <c r="HT30" s="1452"/>
      <c r="HU30" s="1452"/>
      <c r="HV30" s="1452"/>
      <c r="HW30" s="1455"/>
      <c r="HX30" s="1455"/>
      <c r="HY30" s="1455"/>
      <c r="HZ30" s="1455"/>
      <c r="IA30" s="1455"/>
      <c r="IB30" s="1455"/>
      <c r="IC30" s="1455"/>
      <c r="ID30" s="1455"/>
      <c r="IE30" s="1455"/>
      <c r="IF30" s="1455"/>
      <c r="IG30" s="1455"/>
      <c r="IH30" s="1455"/>
      <c r="II30" s="1455"/>
      <c r="IJ30" s="1455"/>
      <c r="IK30" s="1455"/>
      <c r="IL30" s="1455"/>
      <c r="IM30" s="1455"/>
      <c r="IN30" s="1455"/>
      <c r="IO30" s="1452"/>
      <c r="IP30" s="1455"/>
      <c r="IQ30" s="1455"/>
      <c r="IR30" s="1455"/>
      <c r="IS30" s="1455"/>
      <c r="IT30" s="1455"/>
      <c r="IU30" s="1455"/>
      <c r="IV30" s="1455"/>
      <c r="IW30" s="1455"/>
      <c r="IX30" s="1455"/>
      <c r="IY30" s="1455"/>
      <c r="IZ30" s="1455"/>
      <c r="JA30" s="1455"/>
      <c r="JB30" s="1455"/>
      <c r="JC30" s="1455"/>
      <c r="JD30" s="1452"/>
      <c r="JE30" s="1455"/>
      <c r="JF30" s="1455"/>
      <c r="JG30" s="1452"/>
      <c r="JH30" s="1455"/>
      <c r="JI30" s="1455"/>
      <c r="JJ30" s="1455"/>
      <c r="JK30" s="1455"/>
      <c r="JL30" s="1455"/>
      <c r="JM30" s="1455"/>
      <c r="JN30" s="1455"/>
      <c r="JO30" s="1455"/>
      <c r="JP30" s="1452"/>
      <c r="JQ30" s="1501"/>
      <c r="JR30" s="351"/>
      <c r="JS30" s="1400"/>
      <c r="JT30" s="1400"/>
    </row>
    <row r="31" spans="1:280" x14ac:dyDescent="0.25">
      <c r="A31" s="1367">
        <v>30</v>
      </c>
      <c r="B31" s="1411">
        <f t="shared" si="1"/>
        <v>11260</v>
      </c>
      <c r="C31" s="1508" t="s">
        <v>2976</v>
      </c>
      <c r="D31" s="1436" t="s">
        <v>2977</v>
      </c>
      <c r="E31" s="1452"/>
      <c r="F31" s="1452"/>
      <c r="G31" s="1452"/>
      <c r="H31" s="1452"/>
      <c r="I31" s="1452"/>
      <c r="J31" s="1452"/>
      <c r="K31" s="1452"/>
      <c r="L31" s="1452"/>
      <c r="M31" s="1452">
        <v>1700</v>
      </c>
      <c r="N31" s="1452"/>
      <c r="O31" s="1452"/>
      <c r="P31" s="1452"/>
      <c r="Q31" s="1452"/>
      <c r="R31" s="1452"/>
      <c r="S31" s="1452"/>
      <c r="T31" s="1452"/>
      <c r="U31" s="1452"/>
      <c r="V31" s="1452"/>
      <c r="W31" s="1452"/>
      <c r="X31" s="1452"/>
      <c r="Y31" s="1452"/>
      <c r="Z31" s="1452"/>
      <c r="AA31" s="1452"/>
      <c r="AB31" s="1452"/>
      <c r="AC31" s="1452">
        <v>1650</v>
      </c>
      <c r="AD31" s="1452"/>
      <c r="AE31" s="1452"/>
      <c r="AF31" s="1452"/>
      <c r="AG31" s="1452"/>
      <c r="AH31" s="1452"/>
      <c r="AI31" s="1455"/>
      <c r="AJ31" s="1452"/>
      <c r="AK31" s="1452"/>
      <c r="AL31" s="1452"/>
      <c r="AM31" s="1452"/>
      <c r="AN31" s="1452"/>
      <c r="AO31" s="1452"/>
      <c r="AP31" s="1455"/>
      <c r="AQ31" s="1455"/>
      <c r="AR31" s="1455"/>
      <c r="AS31" s="1455"/>
      <c r="AT31" s="1452">
        <v>1260</v>
      </c>
      <c r="AU31" s="1455"/>
      <c r="AV31" s="1452"/>
      <c r="AW31" s="1455"/>
      <c r="AX31" s="1455"/>
      <c r="AY31" s="1455"/>
      <c r="AZ31" s="1455"/>
      <c r="BA31" s="1455"/>
      <c r="BB31" s="1452"/>
      <c r="BC31" s="1455"/>
      <c r="BD31" s="1452">
        <v>260</v>
      </c>
      <c r="BE31" s="1452"/>
      <c r="BF31" s="1455"/>
      <c r="BG31" s="1455"/>
      <c r="BH31" s="1452"/>
      <c r="BI31" s="1452"/>
      <c r="BJ31" s="1455"/>
      <c r="BK31" s="1455"/>
      <c r="BL31" s="1455"/>
      <c r="BM31" s="1455"/>
      <c r="BN31" s="1455"/>
      <c r="BO31" s="1455"/>
      <c r="BP31" s="1455"/>
      <c r="BQ31" s="1455"/>
      <c r="BR31" s="1455"/>
      <c r="BS31" s="1455"/>
      <c r="BT31" s="1455"/>
      <c r="BU31" s="1455"/>
      <c r="BV31" s="1452">
        <v>1700</v>
      </c>
      <c r="BW31" s="1455"/>
      <c r="BX31" s="1455"/>
      <c r="BY31" s="1455"/>
      <c r="BZ31" s="1455"/>
      <c r="CA31" s="1455"/>
      <c r="CB31" s="1455">
        <v>1700</v>
      </c>
      <c r="CC31" s="1455"/>
      <c r="CD31" s="1455"/>
      <c r="CE31" s="1455"/>
      <c r="CF31" s="1455"/>
      <c r="CG31" s="1455"/>
      <c r="CH31" s="1455"/>
      <c r="CI31" s="1454"/>
      <c r="CJ31" s="1455"/>
      <c r="CK31" s="1455"/>
      <c r="CL31" s="1455"/>
      <c r="CM31" s="1455"/>
      <c r="CN31" s="1455"/>
      <c r="CO31" s="1452">
        <v>1260</v>
      </c>
      <c r="CP31" s="1452">
        <v>1700</v>
      </c>
      <c r="CQ31" s="1455"/>
      <c r="CR31" s="1455"/>
      <c r="CS31" s="1455"/>
      <c r="CT31" s="1455"/>
      <c r="CU31" s="1455"/>
      <c r="CV31" s="1455"/>
      <c r="CW31" s="1455"/>
      <c r="CX31" s="1455"/>
      <c r="CY31" s="1455"/>
      <c r="CZ31" s="1455"/>
      <c r="DA31" s="1455"/>
      <c r="DB31" s="1455"/>
      <c r="DC31" s="1452">
        <v>11260</v>
      </c>
      <c r="DD31" s="1452"/>
      <c r="DE31" s="1455"/>
      <c r="DF31" s="1455"/>
      <c r="DG31" s="1455"/>
      <c r="DH31" s="1455"/>
      <c r="DI31" s="1455"/>
      <c r="DJ31" s="1455"/>
      <c r="DK31" s="1455"/>
      <c r="DL31" s="1455"/>
      <c r="DM31" s="1455"/>
      <c r="DN31" s="1452"/>
      <c r="DO31" s="1455"/>
      <c r="DP31" s="1455"/>
      <c r="DQ31" s="1455"/>
      <c r="DR31" s="1455"/>
      <c r="DS31" s="1455"/>
      <c r="DT31" s="1455"/>
      <c r="DU31" s="1455"/>
      <c r="DV31" s="1455"/>
      <c r="DW31" s="1455"/>
      <c r="DX31" s="1454"/>
      <c r="DY31" s="1455"/>
      <c r="DZ31" s="1455"/>
      <c r="EA31" s="1455"/>
      <c r="EB31" s="1455"/>
      <c r="EC31" s="1455"/>
      <c r="ED31" s="1452"/>
      <c r="EE31" s="1452"/>
      <c r="EF31" s="1455"/>
      <c r="EG31" s="1455"/>
      <c r="EH31" s="1455"/>
      <c r="EI31" s="1455"/>
      <c r="EJ31" s="1455"/>
      <c r="EK31" s="1455"/>
      <c r="EL31" s="1455"/>
      <c r="EM31" s="1455"/>
      <c r="EN31" s="1452"/>
      <c r="EO31" s="1455"/>
      <c r="EP31" s="1455"/>
      <c r="EQ31" s="1455"/>
      <c r="ER31" s="1455"/>
      <c r="ES31" s="1455"/>
      <c r="ET31" s="1455"/>
      <c r="EU31" s="1455"/>
      <c r="EV31" s="1455"/>
      <c r="EW31" s="1455"/>
      <c r="EX31" s="1455"/>
      <c r="EY31" s="1455"/>
      <c r="EZ31" s="1455"/>
      <c r="FA31" s="1455"/>
      <c r="FB31" s="1455"/>
      <c r="FC31" s="1455"/>
      <c r="FD31" s="1455"/>
      <c r="FE31" s="1452">
        <v>1700</v>
      </c>
      <c r="FF31" s="1455"/>
      <c r="FG31" s="1452">
        <v>1700</v>
      </c>
      <c r="FH31" s="1452">
        <v>1700</v>
      </c>
      <c r="FI31" s="1455"/>
      <c r="FJ31" s="1455"/>
      <c r="FK31" s="1455"/>
      <c r="FL31" s="1455"/>
      <c r="FM31" s="1455"/>
      <c r="FN31" s="1455"/>
      <c r="FO31" s="1455"/>
      <c r="FP31" s="1455">
        <v>11260</v>
      </c>
      <c r="FQ31" s="1455"/>
      <c r="FR31" s="1455"/>
      <c r="FS31" s="1455"/>
      <c r="FT31" s="1455"/>
      <c r="FU31" s="1455"/>
      <c r="FV31" s="1455"/>
      <c r="FW31" s="1455"/>
      <c r="FX31" s="1455"/>
      <c r="FY31" s="1455"/>
      <c r="FZ31" s="1455"/>
      <c r="GA31" s="1455"/>
      <c r="GB31" s="1455"/>
      <c r="GC31" s="1455"/>
      <c r="GD31" s="1455"/>
      <c r="GE31" s="1455"/>
      <c r="GF31" s="1455"/>
      <c r="GG31" s="1455"/>
      <c r="GH31" s="1455"/>
      <c r="GI31" s="1452">
        <v>1700</v>
      </c>
      <c r="GJ31" s="1455"/>
      <c r="GK31" s="1455"/>
      <c r="GL31" s="1455"/>
      <c r="GM31" s="1455"/>
      <c r="GN31" s="1452"/>
      <c r="GO31" s="1452"/>
      <c r="GP31" s="1455"/>
      <c r="GQ31" s="1452"/>
      <c r="GR31" s="1455"/>
      <c r="GS31" s="1455"/>
      <c r="GT31" s="1455"/>
      <c r="GU31" s="1455"/>
      <c r="GV31" s="1455"/>
      <c r="GW31" s="1452"/>
      <c r="GX31" s="1455"/>
      <c r="GY31" s="1455"/>
      <c r="GZ31" s="1455"/>
      <c r="HA31" s="1455"/>
      <c r="HB31" s="1452"/>
      <c r="HC31" s="1455"/>
      <c r="HD31" s="1455"/>
      <c r="HE31" s="1455"/>
      <c r="HF31" s="1455"/>
      <c r="HG31" s="1455"/>
      <c r="HH31" s="1455"/>
      <c r="HI31" s="1455"/>
      <c r="HJ31" s="1455"/>
      <c r="HK31" s="1455"/>
      <c r="HL31" s="1455"/>
      <c r="HM31" s="1455"/>
      <c r="HN31" s="1455"/>
      <c r="HO31" s="1455"/>
      <c r="HP31" s="1455"/>
      <c r="HQ31" s="1455"/>
      <c r="HR31" s="1455"/>
      <c r="HS31" s="1455"/>
      <c r="HT31" s="1452">
        <v>1700</v>
      </c>
      <c r="HU31" s="1452"/>
      <c r="HV31" s="1452">
        <v>1700</v>
      </c>
      <c r="HW31" s="1455"/>
      <c r="HX31" s="1455"/>
      <c r="HY31" s="1455"/>
      <c r="HZ31" s="1455"/>
      <c r="IA31" s="1455"/>
      <c r="IB31" s="1455"/>
      <c r="IC31" s="1455"/>
      <c r="ID31" s="1455"/>
      <c r="IE31" s="1455"/>
      <c r="IF31" s="1455"/>
      <c r="IG31" s="1455"/>
      <c r="IH31" s="1455"/>
      <c r="II31" s="1455"/>
      <c r="IJ31" s="1455"/>
      <c r="IK31" s="1455"/>
      <c r="IL31" s="1455"/>
      <c r="IM31" s="1455"/>
      <c r="IN31" s="1455"/>
      <c r="IO31" s="1452"/>
      <c r="IP31" s="1455"/>
      <c r="IQ31" s="1455"/>
      <c r="IR31" s="1455"/>
      <c r="IS31" s="1455"/>
      <c r="IT31" s="1455"/>
      <c r="IU31" s="1455"/>
      <c r="IV31" s="1455"/>
      <c r="IW31" s="1455"/>
      <c r="IX31" s="1455"/>
      <c r="IY31" s="1455"/>
      <c r="IZ31" s="1455"/>
      <c r="JA31" s="1455"/>
      <c r="JB31" s="1455"/>
      <c r="JC31" s="1455"/>
      <c r="JD31" s="1452">
        <v>1700</v>
      </c>
      <c r="JE31" s="1455"/>
      <c r="JF31" s="1455"/>
      <c r="JG31" s="1454">
        <v>1700</v>
      </c>
      <c r="JH31" s="1455"/>
      <c r="JI31" s="1455"/>
      <c r="JJ31" s="1455"/>
      <c r="JK31" s="1455"/>
      <c r="JL31" s="1455"/>
      <c r="JM31" s="1455"/>
      <c r="JN31" s="1455"/>
      <c r="JO31" s="1455"/>
      <c r="JP31" s="1452">
        <v>1260</v>
      </c>
      <c r="JQ31" s="1501"/>
      <c r="JR31" s="351"/>
      <c r="JS31" s="1400" t="s">
        <v>2943</v>
      </c>
      <c r="JT31" s="1400" t="s">
        <v>2242</v>
      </c>
    </row>
    <row r="32" spans="1:280" x14ac:dyDescent="0.25">
      <c r="A32" s="1367">
        <v>31</v>
      </c>
      <c r="B32" s="1411" t="str">
        <f t="shared" ref="B32:B45" si="8">IF(SE_A_IND&gt;1,IF(HLOOKUP(SE_A_IND-1,SSE_RANGE,A32)="","",HLOOKUP(SE_A_IND-1,SSE_RANGE,A32)),"")</f>
        <v/>
      </c>
      <c r="C32" s="1508" t="s">
        <v>2978</v>
      </c>
      <c r="D32" s="1436" t="s">
        <v>2979</v>
      </c>
      <c r="E32" s="1452"/>
      <c r="F32" s="1452"/>
      <c r="G32" s="1452"/>
      <c r="H32" s="1452"/>
      <c r="I32" s="1452"/>
      <c r="J32" s="1452"/>
      <c r="K32" s="1452"/>
      <c r="L32" s="1452"/>
      <c r="M32" s="1452"/>
      <c r="N32" s="1452"/>
      <c r="O32" s="1452"/>
      <c r="P32" s="1452"/>
      <c r="Q32" s="1452"/>
      <c r="R32" s="1452"/>
      <c r="S32" s="1452"/>
      <c r="T32" s="1452"/>
      <c r="U32" s="1452"/>
      <c r="V32" s="1452"/>
      <c r="W32" s="1452"/>
      <c r="X32" s="1452"/>
      <c r="Y32" s="1452"/>
      <c r="Z32" s="1452"/>
      <c r="AA32" s="1452"/>
      <c r="AB32" s="1452"/>
      <c r="AC32" s="1452"/>
      <c r="AD32" s="1452"/>
      <c r="AE32" s="1452"/>
      <c r="AF32" s="1452"/>
      <c r="AG32" s="1452"/>
      <c r="AH32" s="1452"/>
      <c r="AI32" s="1455"/>
      <c r="AJ32" s="1452"/>
      <c r="AK32" s="1452"/>
      <c r="AL32" s="1452"/>
      <c r="AM32" s="1452"/>
      <c r="AN32" s="1452"/>
      <c r="AO32" s="1452"/>
      <c r="AP32" s="1455"/>
      <c r="AQ32" s="1455"/>
      <c r="AR32" s="1455"/>
      <c r="AS32" s="1455"/>
      <c r="AT32" s="1452"/>
      <c r="AU32" s="1455"/>
      <c r="AV32" s="1452"/>
      <c r="AW32" s="1455"/>
      <c r="AX32" s="1455"/>
      <c r="AY32" s="1455"/>
      <c r="AZ32" s="1455"/>
      <c r="BA32" s="1455"/>
      <c r="BB32" s="1452"/>
      <c r="BC32" s="1455"/>
      <c r="BD32" s="1452"/>
      <c r="BE32" s="1452"/>
      <c r="BF32" s="1455"/>
      <c r="BG32" s="1455"/>
      <c r="BH32" s="1452"/>
      <c r="BI32" s="1452"/>
      <c r="BJ32" s="1455"/>
      <c r="BK32" s="1455"/>
      <c r="BL32" s="1455"/>
      <c r="BM32" s="1455"/>
      <c r="BN32" s="1455"/>
      <c r="BO32" s="1455"/>
      <c r="BP32" s="1455"/>
      <c r="BQ32" s="1455"/>
      <c r="BR32" s="1455"/>
      <c r="BS32" s="1455"/>
      <c r="BT32" s="1455"/>
      <c r="BU32" s="1455"/>
      <c r="BV32" s="1452"/>
      <c r="BW32" s="1455"/>
      <c r="BX32" s="1455"/>
      <c r="BY32" s="1455"/>
      <c r="BZ32" s="1455"/>
      <c r="CA32" s="1455"/>
      <c r="CB32" s="1455"/>
      <c r="CC32" s="1455"/>
      <c r="CD32" s="1455"/>
      <c r="CE32" s="1455"/>
      <c r="CF32" s="1455"/>
      <c r="CG32" s="1455"/>
      <c r="CH32" s="1455"/>
      <c r="CI32" s="1452"/>
      <c r="CJ32" s="1455"/>
      <c r="CK32" s="1455"/>
      <c r="CL32" s="1455"/>
      <c r="CM32" s="1455"/>
      <c r="CN32" s="1455"/>
      <c r="CO32" s="1452"/>
      <c r="CP32" s="1452"/>
      <c r="CQ32" s="1455"/>
      <c r="CR32" s="1455"/>
      <c r="CS32" s="1455"/>
      <c r="CT32" s="1455"/>
      <c r="CU32" s="1455"/>
      <c r="CV32" s="1455"/>
      <c r="CW32" s="1455"/>
      <c r="CX32" s="1455"/>
      <c r="CY32" s="1455"/>
      <c r="CZ32" s="1455"/>
      <c r="DA32" s="1455"/>
      <c r="DB32" s="1455"/>
      <c r="DC32" s="1452"/>
      <c r="DD32" s="1452"/>
      <c r="DE32" s="1455"/>
      <c r="DF32" s="1455"/>
      <c r="DG32" s="1455"/>
      <c r="DH32" s="1455"/>
      <c r="DI32" s="1455"/>
      <c r="DJ32" s="1455"/>
      <c r="DK32" s="1455"/>
      <c r="DL32" s="1455"/>
      <c r="DM32" s="1455"/>
      <c r="DN32" s="1452"/>
      <c r="DO32" s="1455"/>
      <c r="DP32" s="1455"/>
      <c r="DQ32" s="1455"/>
      <c r="DR32" s="1455"/>
      <c r="DS32" s="1455"/>
      <c r="DT32" s="1455"/>
      <c r="DU32" s="1455"/>
      <c r="DV32" s="1455"/>
      <c r="DW32" s="1455"/>
      <c r="DX32" s="1452"/>
      <c r="DY32" s="1455"/>
      <c r="DZ32" s="1455"/>
      <c r="EA32" s="1455"/>
      <c r="EB32" s="1455"/>
      <c r="EC32" s="1455"/>
      <c r="ED32" s="1452"/>
      <c r="EE32" s="1452"/>
      <c r="EF32" s="1455"/>
      <c r="EG32" s="1455"/>
      <c r="EH32" s="1455"/>
      <c r="EI32" s="1455"/>
      <c r="EJ32" s="1455"/>
      <c r="EK32" s="1455"/>
      <c r="EL32" s="1455"/>
      <c r="EM32" s="1455"/>
      <c r="EN32" s="1452"/>
      <c r="EO32" s="1455"/>
      <c r="EP32" s="1455"/>
      <c r="EQ32" s="1455"/>
      <c r="ER32" s="1455"/>
      <c r="ES32" s="1455"/>
      <c r="ET32" s="1455"/>
      <c r="EU32" s="1455"/>
      <c r="EV32" s="1455"/>
      <c r="EW32" s="1455"/>
      <c r="EX32" s="1455"/>
      <c r="EY32" s="1455"/>
      <c r="EZ32" s="1455"/>
      <c r="FA32" s="1455"/>
      <c r="FB32" s="1455"/>
      <c r="FC32" s="1455"/>
      <c r="FD32" s="1455"/>
      <c r="FE32" s="1452"/>
      <c r="FF32" s="1455"/>
      <c r="FG32" s="1452"/>
      <c r="FH32" s="1452"/>
      <c r="FI32" s="1455"/>
      <c r="FJ32" s="1455"/>
      <c r="FK32" s="1455"/>
      <c r="FL32" s="1455"/>
      <c r="FM32" s="1455"/>
      <c r="FN32" s="1455"/>
      <c r="FO32" s="1455"/>
      <c r="FP32" s="1455"/>
      <c r="FQ32" s="1455"/>
      <c r="FR32" s="1455"/>
      <c r="FS32" s="1455"/>
      <c r="FT32" s="1455"/>
      <c r="FU32" s="1455"/>
      <c r="FV32" s="1455"/>
      <c r="FW32" s="1455"/>
      <c r="FX32" s="1455"/>
      <c r="FY32" s="1455"/>
      <c r="FZ32" s="1455"/>
      <c r="GA32" s="1455"/>
      <c r="GB32" s="1455"/>
      <c r="GC32" s="1455"/>
      <c r="GD32" s="1455"/>
      <c r="GE32" s="1455"/>
      <c r="GF32" s="1455"/>
      <c r="GG32" s="1455"/>
      <c r="GH32" s="1455"/>
      <c r="GI32" s="1452"/>
      <c r="GJ32" s="1455"/>
      <c r="GK32" s="1455"/>
      <c r="GL32" s="1455"/>
      <c r="GM32" s="1455"/>
      <c r="GN32" s="1452"/>
      <c r="GO32" s="1452"/>
      <c r="GP32" s="1455"/>
      <c r="GQ32" s="1452"/>
      <c r="GR32" s="1455"/>
      <c r="GS32" s="1455"/>
      <c r="GT32" s="1455"/>
      <c r="GU32" s="1455"/>
      <c r="GV32" s="1455"/>
      <c r="GW32" s="1452"/>
      <c r="GX32" s="1455"/>
      <c r="GY32" s="1455"/>
      <c r="GZ32" s="1455"/>
      <c r="HA32" s="1455"/>
      <c r="HB32" s="1452"/>
      <c r="HC32" s="1455"/>
      <c r="HD32" s="1455"/>
      <c r="HE32" s="1455"/>
      <c r="HF32" s="1455"/>
      <c r="HG32" s="1455"/>
      <c r="HH32" s="1455"/>
      <c r="HI32" s="1455"/>
      <c r="HJ32" s="1455"/>
      <c r="HK32" s="1455"/>
      <c r="HL32" s="1455"/>
      <c r="HM32" s="1455"/>
      <c r="HN32" s="1455"/>
      <c r="HO32" s="1455"/>
      <c r="HP32" s="1455"/>
      <c r="HQ32" s="1455"/>
      <c r="HR32" s="1455"/>
      <c r="HS32" s="1455"/>
      <c r="HT32" s="1452"/>
      <c r="HU32" s="1452"/>
      <c r="HV32" s="1452"/>
      <c r="HW32" s="1455"/>
      <c r="HX32" s="1455"/>
      <c r="HY32" s="1455"/>
      <c r="HZ32" s="1455"/>
      <c r="IA32" s="1455"/>
      <c r="IB32" s="1455"/>
      <c r="IC32" s="1455"/>
      <c r="ID32" s="1455"/>
      <c r="IE32" s="1455"/>
      <c r="IF32" s="1455"/>
      <c r="IG32" s="1455"/>
      <c r="IH32" s="1455"/>
      <c r="II32" s="1455"/>
      <c r="IJ32" s="1455"/>
      <c r="IK32" s="1455"/>
      <c r="IL32" s="1455"/>
      <c r="IM32" s="1455"/>
      <c r="IN32" s="1455"/>
      <c r="IO32" s="1452"/>
      <c r="IP32" s="1455"/>
      <c r="IQ32" s="1455"/>
      <c r="IR32" s="1455"/>
      <c r="IS32" s="1455"/>
      <c r="IT32" s="1455"/>
      <c r="IU32" s="1455"/>
      <c r="IV32" s="1455"/>
      <c r="IW32" s="1455"/>
      <c r="IX32" s="1455"/>
      <c r="IY32" s="1455"/>
      <c r="IZ32" s="1455"/>
      <c r="JA32" s="1455"/>
      <c r="JB32" s="1455"/>
      <c r="JC32" s="1455"/>
      <c r="JD32" s="1452"/>
      <c r="JE32" s="1455"/>
      <c r="JF32" s="1455"/>
      <c r="JG32" s="1452"/>
      <c r="JH32" s="1455"/>
      <c r="JI32" s="1455"/>
      <c r="JJ32" s="1455"/>
      <c r="JK32" s="1455"/>
      <c r="JL32" s="1455"/>
      <c r="JM32" s="1455"/>
      <c r="JN32" s="1455"/>
      <c r="JO32" s="1455"/>
      <c r="JP32" s="1452"/>
      <c r="JQ32" s="1501"/>
      <c r="JR32" s="351"/>
      <c r="JS32" s="1400" t="s">
        <v>2943</v>
      </c>
      <c r="JT32" s="1400" t="s">
        <v>2242</v>
      </c>
    </row>
    <row r="33" spans="1:280" x14ac:dyDescent="0.25">
      <c r="A33" s="1367">
        <v>32</v>
      </c>
      <c r="B33" s="1411" t="str">
        <f t="shared" si="8"/>
        <v/>
      </c>
      <c r="C33" s="1508" t="s">
        <v>2980</v>
      </c>
      <c r="D33" s="1436" t="s">
        <v>2981</v>
      </c>
      <c r="E33" s="1452"/>
      <c r="F33" s="1452"/>
      <c r="G33" s="1452"/>
      <c r="H33" s="1452"/>
      <c r="I33" s="1452"/>
      <c r="J33" s="1452"/>
      <c r="K33" s="1452"/>
      <c r="L33" s="1452"/>
      <c r="M33" s="1452"/>
      <c r="N33" s="1452"/>
      <c r="O33" s="1452"/>
      <c r="P33" s="1452"/>
      <c r="Q33" s="1452"/>
      <c r="R33" s="1452"/>
      <c r="S33" s="1452"/>
      <c r="T33" s="1452"/>
      <c r="U33" s="1452"/>
      <c r="V33" s="1452"/>
      <c r="W33" s="1452"/>
      <c r="X33" s="1452"/>
      <c r="Y33" s="1452"/>
      <c r="Z33" s="1452"/>
      <c r="AA33" s="1452"/>
      <c r="AB33" s="1452"/>
      <c r="AC33" s="1452"/>
      <c r="AD33" s="1452"/>
      <c r="AE33" s="1452"/>
      <c r="AF33" s="1452"/>
      <c r="AG33" s="1452"/>
      <c r="AH33" s="1452"/>
      <c r="AI33" s="1455"/>
      <c r="AJ33" s="1452"/>
      <c r="AK33" s="1452"/>
      <c r="AL33" s="1452"/>
      <c r="AM33" s="1452"/>
      <c r="AN33" s="1452"/>
      <c r="AO33" s="1452"/>
      <c r="AP33" s="1455"/>
      <c r="AQ33" s="1455"/>
      <c r="AR33" s="1455"/>
      <c r="AS33" s="1455"/>
      <c r="AT33" s="1452"/>
      <c r="AU33" s="1455"/>
      <c r="AV33" s="1452"/>
      <c r="AW33" s="1455"/>
      <c r="AX33" s="1455"/>
      <c r="AY33" s="1455"/>
      <c r="AZ33" s="1455"/>
      <c r="BA33" s="1455"/>
      <c r="BB33" s="1452"/>
      <c r="BC33" s="1455"/>
      <c r="BD33" s="1452">
        <v>500</v>
      </c>
      <c r="BE33" s="1452"/>
      <c r="BF33" s="1455"/>
      <c r="BG33" s="1455"/>
      <c r="BH33" s="1452"/>
      <c r="BI33" s="1452"/>
      <c r="BJ33" s="1455"/>
      <c r="BK33" s="1455"/>
      <c r="BL33" s="1455"/>
      <c r="BM33" s="1455"/>
      <c r="BN33" s="1455"/>
      <c r="BO33" s="1455"/>
      <c r="BP33" s="1455"/>
      <c r="BQ33" s="1455"/>
      <c r="BR33" s="1455"/>
      <c r="BS33" s="1455"/>
      <c r="BT33" s="1455"/>
      <c r="BU33" s="1455"/>
      <c r="BV33" s="1452"/>
      <c r="BW33" s="1455"/>
      <c r="BX33" s="1455"/>
      <c r="BY33" s="1455"/>
      <c r="BZ33" s="1455"/>
      <c r="CA33" s="1455"/>
      <c r="CB33" s="1455"/>
      <c r="CC33" s="1455"/>
      <c r="CD33" s="1455"/>
      <c r="CE33" s="1455"/>
      <c r="CF33" s="1455"/>
      <c r="CG33" s="1455"/>
      <c r="CH33" s="1455"/>
      <c r="CI33" s="1452"/>
      <c r="CJ33" s="1455"/>
      <c r="CK33" s="1455"/>
      <c r="CL33" s="1455"/>
      <c r="CM33" s="1455"/>
      <c r="CN33" s="1455"/>
      <c r="CO33" s="1452"/>
      <c r="CP33" s="1452"/>
      <c r="CQ33" s="1455"/>
      <c r="CR33" s="1455"/>
      <c r="CS33" s="1455"/>
      <c r="CT33" s="1455"/>
      <c r="CU33" s="1455"/>
      <c r="CV33" s="1455"/>
      <c r="CW33" s="1455"/>
      <c r="CX33" s="1455"/>
      <c r="CY33" s="1455"/>
      <c r="CZ33" s="1455"/>
      <c r="DA33" s="1455"/>
      <c r="DB33" s="1455"/>
      <c r="DC33" s="1452"/>
      <c r="DD33" s="1452"/>
      <c r="DE33" s="1455"/>
      <c r="DF33" s="1455"/>
      <c r="DG33" s="1455"/>
      <c r="DH33" s="1455"/>
      <c r="DI33" s="1455"/>
      <c r="DJ33" s="1455"/>
      <c r="DK33" s="1455"/>
      <c r="DL33" s="1455"/>
      <c r="DM33" s="1455"/>
      <c r="DN33" s="1452"/>
      <c r="DO33" s="1455"/>
      <c r="DP33" s="1455"/>
      <c r="DQ33" s="1455"/>
      <c r="DR33" s="1455"/>
      <c r="DS33" s="1455"/>
      <c r="DT33" s="1455"/>
      <c r="DU33" s="1455"/>
      <c r="DV33" s="1455"/>
      <c r="DW33" s="1455"/>
      <c r="DX33" s="1452"/>
      <c r="DY33" s="1455"/>
      <c r="DZ33" s="1455"/>
      <c r="EA33" s="1455"/>
      <c r="EB33" s="1455"/>
      <c r="EC33" s="1455"/>
      <c r="ED33" s="1452"/>
      <c r="EE33" s="1452"/>
      <c r="EF33" s="1455"/>
      <c r="EG33" s="1455"/>
      <c r="EH33" s="1455"/>
      <c r="EI33" s="1455"/>
      <c r="EJ33" s="1455"/>
      <c r="EK33" s="1455"/>
      <c r="EL33" s="1455"/>
      <c r="EM33" s="1455"/>
      <c r="EN33" s="1452"/>
      <c r="EO33" s="1455"/>
      <c r="EP33" s="1455"/>
      <c r="EQ33" s="1455"/>
      <c r="ER33" s="1455"/>
      <c r="ES33" s="1455"/>
      <c r="ET33" s="1455"/>
      <c r="EU33" s="1455"/>
      <c r="EV33" s="1455"/>
      <c r="EW33" s="1455"/>
      <c r="EX33" s="1455"/>
      <c r="EY33" s="1455"/>
      <c r="EZ33" s="1455"/>
      <c r="FA33" s="1455"/>
      <c r="FB33" s="1455"/>
      <c r="FC33" s="1455"/>
      <c r="FD33" s="1455"/>
      <c r="FE33" s="1452"/>
      <c r="FF33" s="1455"/>
      <c r="FG33" s="1452"/>
      <c r="FH33" s="1452"/>
      <c r="FI33" s="1455"/>
      <c r="FJ33" s="1455"/>
      <c r="FK33" s="1455"/>
      <c r="FL33" s="1455"/>
      <c r="FM33" s="1455"/>
      <c r="FN33" s="1455"/>
      <c r="FO33" s="1455"/>
      <c r="FP33" s="1455"/>
      <c r="FQ33" s="1455"/>
      <c r="FR33" s="1455"/>
      <c r="FS33" s="1455"/>
      <c r="FT33" s="1455"/>
      <c r="FU33" s="1455"/>
      <c r="FV33" s="1455"/>
      <c r="FW33" s="1455"/>
      <c r="FX33" s="1455"/>
      <c r="FY33" s="1455"/>
      <c r="FZ33" s="1455"/>
      <c r="GA33" s="1455"/>
      <c r="GB33" s="1455"/>
      <c r="GC33" s="1455"/>
      <c r="GD33" s="1455"/>
      <c r="GE33" s="1455"/>
      <c r="GF33" s="1455"/>
      <c r="GG33" s="1455"/>
      <c r="GH33" s="1455"/>
      <c r="GI33" s="1452"/>
      <c r="GJ33" s="1455"/>
      <c r="GK33" s="1455"/>
      <c r="GL33" s="1455"/>
      <c r="GM33" s="1455"/>
      <c r="GN33" s="1452"/>
      <c r="GO33" s="1452"/>
      <c r="GP33" s="1455"/>
      <c r="GQ33" s="1452"/>
      <c r="GR33" s="1455"/>
      <c r="GS33" s="1455"/>
      <c r="GT33" s="1455"/>
      <c r="GU33" s="1455"/>
      <c r="GV33" s="1455"/>
      <c r="GW33" s="1452"/>
      <c r="GX33" s="1455"/>
      <c r="GY33" s="1455"/>
      <c r="GZ33" s="1455"/>
      <c r="HA33" s="1455"/>
      <c r="HB33" s="1452"/>
      <c r="HC33" s="1455"/>
      <c r="HD33" s="1455"/>
      <c r="HE33" s="1455"/>
      <c r="HF33" s="1455"/>
      <c r="HG33" s="1455"/>
      <c r="HH33" s="1455"/>
      <c r="HI33" s="1455"/>
      <c r="HJ33" s="1455"/>
      <c r="HK33" s="1455"/>
      <c r="HL33" s="1455"/>
      <c r="HM33" s="1455"/>
      <c r="HN33" s="1455"/>
      <c r="HO33" s="1455"/>
      <c r="HP33" s="1455"/>
      <c r="HQ33" s="1455"/>
      <c r="HR33" s="1455"/>
      <c r="HS33" s="1455"/>
      <c r="HT33" s="1452"/>
      <c r="HU33" s="1452"/>
      <c r="HV33" s="1452"/>
      <c r="HW33" s="1455"/>
      <c r="HX33" s="1455"/>
      <c r="HY33" s="1455"/>
      <c r="HZ33" s="1455"/>
      <c r="IA33" s="1455"/>
      <c r="IB33" s="1455"/>
      <c r="IC33" s="1455"/>
      <c r="ID33" s="1455"/>
      <c r="IE33" s="1455"/>
      <c r="IF33" s="1455"/>
      <c r="IG33" s="1455"/>
      <c r="IH33" s="1455"/>
      <c r="II33" s="1455"/>
      <c r="IJ33" s="1455"/>
      <c r="IK33" s="1455"/>
      <c r="IL33" s="1455"/>
      <c r="IM33" s="1455"/>
      <c r="IN33" s="1455"/>
      <c r="IO33" s="1452"/>
      <c r="IP33" s="1455"/>
      <c r="IQ33" s="1455"/>
      <c r="IR33" s="1455"/>
      <c r="IS33" s="1455"/>
      <c r="IT33" s="1455"/>
      <c r="IU33" s="1455"/>
      <c r="IV33" s="1455"/>
      <c r="IW33" s="1455"/>
      <c r="IX33" s="1455"/>
      <c r="IY33" s="1455"/>
      <c r="IZ33" s="1455"/>
      <c r="JA33" s="1455"/>
      <c r="JB33" s="1455"/>
      <c r="JC33" s="1455"/>
      <c r="JD33" s="1452"/>
      <c r="JE33" s="1455"/>
      <c r="JF33" s="1455"/>
      <c r="JG33" s="1452"/>
      <c r="JH33" s="1455"/>
      <c r="JI33" s="1455"/>
      <c r="JJ33" s="1455"/>
      <c r="JK33" s="1455"/>
      <c r="JL33" s="1455"/>
      <c r="JM33" s="1455"/>
      <c r="JN33" s="1455"/>
      <c r="JO33" s="1455"/>
      <c r="JP33" s="1452"/>
      <c r="JQ33" s="1501"/>
      <c r="JR33" s="351"/>
      <c r="JS33" s="1400"/>
      <c r="JT33" s="1400"/>
    </row>
    <row r="34" spans="1:280" x14ac:dyDescent="0.25">
      <c r="A34" s="1367">
        <v>33</v>
      </c>
      <c r="B34" s="1411">
        <f t="shared" si="8"/>
        <v>1340</v>
      </c>
      <c r="C34" s="1508" t="s">
        <v>2982</v>
      </c>
      <c r="D34" s="1436" t="s">
        <v>2983</v>
      </c>
      <c r="E34" s="1452"/>
      <c r="F34" s="1452"/>
      <c r="G34" s="1452"/>
      <c r="H34" s="1452"/>
      <c r="I34" s="1452"/>
      <c r="J34" s="1452"/>
      <c r="K34" s="1452"/>
      <c r="L34" s="1452"/>
      <c r="M34" s="1452">
        <v>3926</v>
      </c>
      <c r="N34" s="1452"/>
      <c r="O34" s="1452"/>
      <c r="P34" s="1452"/>
      <c r="Q34" s="1452"/>
      <c r="R34" s="1452"/>
      <c r="S34" s="1452"/>
      <c r="T34" s="1452"/>
      <c r="U34" s="1452"/>
      <c r="V34" s="1452"/>
      <c r="W34" s="1452"/>
      <c r="X34" s="1452"/>
      <c r="Y34" s="1452"/>
      <c r="Z34" s="1452"/>
      <c r="AA34" s="1452"/>
      <c r="AB34" s="1452"/>
      <c r="AC34" s="1452"/>
      <c r="AD34" s="1452"/>
      <c r="AE34" s="1452"/>
      <c r="AF34" s="1452"/>
      <c r="AG34" s="1452"/>
      <c r="AH34" s="1452"/>
      <c r="AI34" s="1455"/>
      <c r="AJ34" s="1452"/>
      <c r="AK34" s="1452"/>
      <c r="AL34" s="1452"/>
      <c r="AM34" s="1452"/>
      <c r="AN34" s="1452"/>
      <c r="AO34" s="1452"/>
      <c r="AP34" s="1455"/>
      <c r="AQ34" s="1455"/>
      <c r="AR34" s="1455"/>
      <c r="AS34" s="1455"/>
      <c r="AT34" s="1452">
        <v>1340</v>
      </c>
      <c r="AU34" s="1455"/>
      <c r="AV34" s="1452">
        <v>995</v>
      </c>
      <c r="AW34" s="1455"/>
      <c r="AX34" s="1455"/>
      <c r="AY34" s="1455"/>
      <c r="AZ34" s="1455"/>
      <c r="BA34" s="1455"/>
      <c r="BB34" s="1452"/>
      <c r="BC34" s="1455"/>
      <c r="BD34" s="1452">
        <v>1340</v>
      </c>
      <c r="BE34" s="1452"/>
      <c r="BF34" s="1455"/>
      <c r="BG34" s="1455"/>
      <c r="BH34" s="1452"/>
      <c r="BI34" s="1452"/>
      <c r="BJ34" s="1455"/>
      <c r="BK34" s="1455"/>
      <c r="BL34" s="1455"/>
      <c r="BM34" s="1455"/>
      <c r="BN34" s="1455"/>
      <c r="BO34" s="1455"/>
      <c r="BP34" s="1455"/>
      <c r="BQ34" s="1455"/>
      <c r="BR34" s="1455"/>
      <c r="BS34" s="1455"/>
      <c r="BT34" s="1455"/>
      <c r="BU34" s="1455"/>
      <c r="BV34" s="1452">
        <v>3926</v>
      </c>
      <c r="BW34" s="1455"/>
      <c r="BX34" s="1455"/>
      <c r="BY34" s="1455"/>
      <c r="BZ34" s="1455"/>
      <c r="CA34" s="1455"/>
      <c r="CB34" s="1455">
        <v>3926</v>
      </c>
      <c r="CC34" s="1455"/>
      <c r="CD34" s="1455"/>
      <c r="CE34" s="1455"/>
      <c r="CF34" s="1455"/>
      <c r="CG34" s="1455"/>
      <c r="CH34" s="1455"/>
      <c r="CI34" s="1452"/>
      <c r="CJ34" s="1455"/>
      <c r="CK34" s="1455"/>
      <c r="CL34" s="1455"/>
      <c r="CM34" s="1455"/>
      <c r="CN34" s="1455"/>
      <c r="CO34" s="1452">
        <v>1340</v>
      </c>
      <c r="CP34" s="1452">
        <v>3926</v>
      </c>
      <c r="CQ34" s="1455"/>
      <c r="CR34" s="1455"/>
      <c r="CS34" s="1455"/>
      <c r="CT34" s="1455"/>
      <c r="CU34" s="1455"/>
      <c r="CV34" s="1455"/>
      <c r="CW34" s="1455"/>
      <c r="CX34" s="1455"/>
      <c r="CY34" s="1455"/>
      <c r="CZ34" s="1455"/>
      <c r="DA34" s="1455"/>
      <c r="DB34" s="1455"/>
      <c r="DC34" s="1452">
        <v>1340</v>
      </c>
      <c r="DD34" s="1452"/>
      <c r="DE34" s="1455"/>
      <c r="DF34" s="1455"/>
      <c r="DG34" s="1455"/>
      <c r="DH34" s="1455"/>
      <c r="DI34" s="1455"/>
      <c r="DJ34" s="1455"/>
      <c r="DK34" s="1455"/>
      <c r="DL34" s="1455"/>
      <c r="DM34" s="1455"/>
      <c r="DN34" s="1452"/>
      <c r="DO34" s="1455"/>
      <c r="DP34" s="1455"/>
      <c r="DQ34" s="1455"/>
      <c r="DR34" s="1455"/>
      <c r="DS34" s="1455"/>
      <c r="DT34" s="1455"/>
      <c r="DU34" s="1455"/>
      <c r="DV34" s="1455"/>
      <c r="DW34" s="1455"/>
      <c r="DX34" s="1454"/>
      <c r="DY34" s="1455"/>
      <c r="DZ34" s="1455"/>
      <c r="EA34" s="1455"/>
      <c r="EB34" s="1455"/>
      <c r="EC34" s="1455"/>
      <c r="ED34" s="1452"/>
      <c r="EE34" s="1452"/>
      <c r="EF34" s="1455"/>
      <c r="EG34" s="1455"/>
      <c r="EH34" s="1455"/>
      <c r="EI34" s="1455"/>
      <c r="EJ34" s="1455"/>
      <c r="EK34" s="1455"/>
      <c r="EL34" s="1455"/>
      <c r="EM34" s="1455"/>
      <c r="EN34" s="1452"/>
      <c r="EO34" s="1455"/>
      <c r="EP34" s="1455"/>
      <c r="EQ34" s="1455"/>
      <c r="ER34" s="1455"/>
      <c r="ES34" s="1455"/>
      <c r="ET34" s="1455"/>
      <c r="EU34" s="1455"/>
      <c r="EV34" s="1455"/>
      <c r="EW34" s="1455"/>
      <c r="EX34" s="1455"/>
      <c r="EY34" s="1455"/>
      <c r="EZ34" s="1455"/>
      <c r="FA34" s="1455"/>
      <c r="FB34" s="1455"/>
      <c r="FC34" s="1455"/>
      <c r="FD34" s="1455"/>
      <c r="FE34" s="1452">
        <v>3926</v>
      </c>
      <c r="FF34" s="1455"/>
      <c r="FG34" s="1452">
        <v>3926</v>
      </c>
      <c r="FH34" s="1452">
        <v>3926</v>
      </c>
      <c r="FI34" s="1455"/>
      <c r="FJ34" s="1455"/>
      <c r="FK34" s="1455"/>
      <c r="FL34" s="1455"/>
      <c r="FM34" s="1455"/>
      <c r="FN34" s="1455"/>
      <c r="FO34" s="1455"/>
      <c r="FP34" s="1455">
        <v>1340</v>
      </c>
      <c r="FQ34" s="1455"/>
      <c r="FR34" s="1455"/>
      <c r="FS34" s="1455"/>
      <c r="FT34" s="1455"/>
      <c r="FU34" s="1455"/>
      <c r="FV34" s="1455"/>
      <c r="FW34" s="1455"/>
      <c r="FX34" s="1455"/>
      <c r="FY34" s="1455"/>
      <c r="FZ34" s="1455"/>
      <c r="GA34" s="1455"/>
      <c r="GB34" s="1455"/>
      <c r="GC34" s="1455"/>
      <c r="GD34" s="1455"/>
      <c r="GE34" s="1455"/>
      <c r="GF34" s="1455"/>
      <c r="GG34" s="1455"/>
      <c r="GH34" s="1455"/>
      <c r="GI34" s="1452">
        <v>3926</v>
      </c>
      <c r="GJ34" s="1455"/>
      <c r="GK34" s="1455"/>
      <c r="GL34" s="1455"/>
      <c r="GM34" s="1455"/>
      <c r="GN34" s="1452"/>
      <c r="GO34" s="1452">
        <v>995</v>
      </c>
      <c r="GP34" s="1455"/>
      <c r="GQ34" s="1452">
        <v>995</v>
      </c>
      <c r="GR34" s="1455"/>
      <c r="GS34" s="1455"/>
      <c r="GT34" s="1455"/>
      <c r="GU34" s="1455"/>
      <c r="GV34" s="1455"/>
      <c r="GW34" s="1452"/>
      <c r="GX34" s="1455"/>
      <c r="GY34" s="1455"/>
      <c r="GZ34" s="1455"/>
      <c r="HA34" s="1455"/>
      <c r="HB34" s="1452"/>
      <c r="HC34" s="1455"/>
      <c r="HD34" s="1455"/>
      <c r="HE34" s="1455"/>
      <c r="HF34" s="1455"/>
      <c r="HG34" s="1455"/>
      <c r="HH34" s="1455"/>
      <c r="HI34" s="1455"/>
      <c r="HJ34" s="1455"/>
      <c r="HK34" s="1455"/>
      <c r="HL34" s="1455"/>
      <c r="HM34" s="1455"/>
      <c r="HN34" s="1455"/>
      <c r="HO34" s="1455"/>
      <c r="HP34" s="1455"/>
      <c r="HQ34" s="1455"/>
      <c r="HR34" s="1455"/>
      <c r="HS34" s="1455"/>
      <c r="HT34" s="1452">
        <v>3926</v>
      </c>
      <c r="HU34" s="1452"/>
      <c r="HV34" s="1452">
        <v>3926</v>
      </c>
      <c r="HW34" s="1455"/>
      <c r="HX34" s="1455"/>
      <c r="HY34" s="1455"/>
      <c r="HZ34" s="1455"/>
      <c r="IA34" s="1455"/>
      <c r="IB34" s="1455"/>
      <c r="IC34" s="1455"/>
      <c r="ID34" s="1455"/>
      <c r="IE34" s="1455"/>
      <c r="IF34" s="1455"/>
      <c r="IG34" s="1455"/>
      <c r="IH34" s="1455"/>
      <c r="II34" s="1455"/>
      <c r="IJ34" s="1455"/>
      <c r="IK34" s="1455"/>
      <c r="IL34" s="1455"/>
      <c r="IM34" s="1455"/>
      <c r="IN34" s="1455"/>
      <c r="IO34" s="1452"/>
      <c r="IP34" s="1455"/>
      <c r="IQ34" s="1455"/>
      <c r="IR34" s="1455"/>
      <c r="IS34" s="1455"/>
      <c r="IT34" s="1455"/>
      <c r="IU34" s="1455"/>
      <c r="IV34" s="1455"/>
      <c r="IW34" s="1455"/>
      <c r="IX34" s="1455"/>
      <c r="IY34" s="1455"/>
      <c r="IZ34" s="1455"/>
      <c r="JA34" s="1455"/>
      <c r="JB34" s="1455"/>
      <c r="JC34" s="1455"/>
      <c r="JD34" s="1452">
        <v>3926</v>
      </c>
      <c r="JE34" s="1455"/>
      <c r="JF34" s="1455"/>
      <c r="JG34" s="1454">
        <v>3926</v>
      </c>
      <c r="JH34" s="1455"/>
      <c r="JI34" s="1455"/>
      <c r="JJ34" s="1455"/>
      <c r="JK34" s="1455"/>
      <c r="JL34" s="1455"/>
      <c r="JM34" s="1455"/>
      <c r="JN34" s="1455"/>
      <c r="JO34" s="1455"/>
      <c r="JP34" s="1452">
        <v>1340</v>
      </c>
      <c r="JQ34" s="1501"/>
      <c r="JR34" s="351"/>
      <c r="JS34" s="1400"/>
      <c r="JT34" s="1400" t="s">
        <v>2242</v>
      </c>
    </row>
    <row r="35" spans="1:280" ht="20" x14ac:dyDescent="0.25">
      <c r="A35" s="1367">
        <v>34</v>
      </c>
      <c r="B35" s="1411" t="str">
        <f t="shared" si="8"/>
        <v/>
      </c>
      <c r="C35" s="1508" t="s">
        <v>2984</v>
      </c>
      <c r="D35" s="1436" t="s">
        <v>2985</v>
      </c>
      <c r="E35" s="1452"/>
      <c r="F35" s="1452"/>
      <c r="G35" s="1452"/>
      <c r="H35" s="1452"/>
      <c r="I35" s="1452"/>
      <c r="J35" s="1452"/>
      <c r="K35" s="1452"/>
      <c r="L35" s="1452"/>
      <c r="M35" s="1452">
        <v>720</v>
      </c>
      <c r="N35" s="1452"/>
      <c r="O35" s="1452"/>
      <c r="P35" s="1452"/>
      <c r="Q35" s="1452"/>
      <c r="R35" s="1452"/>
      <c r="S35" s="1452"/>
      <c r="T35" s="1452"/>
      <c r="U35" s="1452"/>
      <c r="V35" s="1452"/>
      <c r="W35" s="1452"/>
      <c r="X35" s="1452"/>
      <c r="Y35" s="1452"/>
      <c r="Z35" s="1452"/>
      <c r="AA35" s="1452"/>
      <c r="AB35" s="1452"/>
      <c r="AC35" s="1452"/>
      <c r="AD35" s="1452"/>
      <c r="AE35" s="1452"/>
      <c r="AF35" s="1452"/>
      <c r="AG35" s="1452"/>
      <c r="AH35" s="1452"/>
      <c r="AI35" s="1455"/>
      <c r="AJ35" s="1452"/>
      <c r="AK35" s="1452"/>
      <c r="AL35" s="1452"/>
      <c r="AM35" s="1452"/>
      <c r="AN35" s="1452"/>
      <c r="AO35" s="1452"/>
      <c r="AP35" s="1455"/>
      <c r="AQ35" s="1455"/>
      <c r="AR35" s="1455"/>
      <c r="AS35" s="1455"/>
      <c r="AT35" s="1452"/>
      <c r="AU35" s="1455"/>
      <c r="AV35" s="1452"/>
      <c r="AW35" s="1455"/>
      <c r="AX35" s="1455"/>
      <c r="AY35" s="1455"/>
      <c r="AZ35" s="1455"/>
      <c r="BA35" s="1455"/>
      <c r="BB35" s="1452"/>
      <c r="BC35" s="1455"/>
      <c r="BD35" s="1452"/>
      <c r="BE35" s="1452"/>
      <c r="BF35" s="1455"/>
      <c r="BG35" s="1455"/>
      <c r="BH35" s="1452"/>
      <c r="BI35" s="1452"/>
      <c r="BJ35" s="1455"/>
      <c r="BK35" s="1455"/>
      <c r="BL35" s="1455"/>
      <c r="BM35" s="1455"/>
      <c r="BN35" s="1455"/>
      <c r="BO35" s="1455"/>
      <c r="BP35" s="1455"/>
      <c r="BQ35" s="1455"/>
      <c r="BR35" s="1455"/>
      <c r="BS35" s="1455"/>
      <c r="BT35" s="1455"/>
      <c r="BU35" s="1455"/>
      <c r="BV35" s="1452">
        <v>720</v>
      </c>
      <c r="BW35" s="1455"/>
      <c r="BX35" s="1455"/>
      <c r="BY35" s="1455"/>
      <c r="BZ35" s="1455"/>
      <c r="CA35" s="1455"/>
      <c r="CB35" s="1455">
        <v>720</v>
      </c>
      <c r="CC35" s="1455"/>
      <c r="CD35" s="1455"/>
      <c r="CE35" s="1455"/>
      <c r="CF35" s="1455"/>
      <c r="CG35" s="1455"/>
      <c r="CH35" s="1455"/>
      <c r="CI35" s="1452"/>
      <c r="CJ35" s="1455"/>
      <c r="CK35" s="1455"/>
      <c r="CL35" s="1455"/>
      <c r="CM35" s="1455"/>
      <c r="CN35" s="1455"/>
      <c r="CO35" s="1452"/>
      <c r="CP35" s="1452">
        <v>720</v>
      </c>
      <c r="CQ35" s="1455"/>
      <c r="CR35" s="1455"/>
      <c r="CS35" s="1455"/>
      <c r="CT35" s="1455"/>
      <c r="CU35" s="1455"/>
      <c r="CV35" s="1455"/>
      <c r="CW35" s="1455"/>
      <c r="CX35" s="1455"/>
      <c r="CY35" s="1455"/>
      <c r="CZ35" s="1455"/>
      <c r="DA35" s="1455"/>
      <c r="DB35" s="1455"/>
      <c r="DC35" s="1452"/>
      <c r="DD35" s="1452"/>
      <c r="DE35" s="1455"/>
      <c r="DF35" s="1455"/>
      <c r="DG35" s="1455"/>
      <c r="DH35" s="1455"/>
      <c r="DI35" s="1455"/>
      <c r="DJ35" s="1455"/>
      <c r="DK35" s="1455"/>
      <c r="DL35" s="1455"/>
      <c r="DM35" s="1455"/>
      <c r="DN35" s="1452"/>
      <c r="DO35" s="1455"/>
      <c r="DP35" s="1455"/>
      <c r="DQ35" s="1455"/>
      <c r="DR35" s="1455"/>
      <c r="DS35" s="1455"/>
      <c r="DT35" s="1455"/>
      <c r="DU35" s="1455"/>
      <c r="DV35" s="1455"/>
      <c r="DW35" s="1455"/>
      <c r="DX35" s="1454"/>
      <c r="DY35" s="1455"/>
      <c r="DZ35" s="1455"/>
      <c r="EA35" s="1455"/>
      <c r="EB35" s="1455"/>
      <c r="EC35" s="1455"/>
      <c r="ED35" s="1452"/>
      <c r="EE35" s="1452"/>
      <c r="EF35" s="1455"/>
      <c r="EG35" s="1455"/>
      <c r="EH35" s="1455"/>
      <c r="EI35" s="1455"/>
      <c r="EJ35" s="1455"/>
      <c r="EK35" s="1455"/>
      <c r="EL35" s="1455"/>
      <c r="EM35" s="1455"/>
      <c r="EN35" s="1452"/>
      <c r="EO35" s="1455"/>
      <c r="EP35" s="1455"/>
      <c r="EQ35" s="1455"/>
      <c r="ER35" s="1455"/>
      <c r="ES35" s="1455"/>
      <c r="ET35" s="1455"/>
      <c r="EU35" s="1455"/>
      <c r="EV35" s="1455"/>
      <c r="EW35" s="1455"/>
      <c r="EX35" s="1455"/>
      <c r="EY35" s="1455"/>
      <c r="EZ35" s="1455"/>
      <c r="FA35" s="1455"/>
      <c r="FB35" s="1455"/>
      <c r="FC35" s="1455"/>
      <c r="FD35" s="1455"/>
      <c r="FE35" s="1452">
        <v>720</v>
      </c>
      <c r="FF35" s="1455"/>
      <c r="FG35" s="1452">
        <v>720</v>
      </c>
      <c r="FH35" s="1452">
        <v>720</v>
      </c>
      <c r="FI35" s="1455"/>
      <c r="FJ35" s="1455"/>
      <c r="FK35" s="1455"/>
      <c r="FL35" s="1455"/>
      <c r="FM35" s="1455"/>
      <c r="FN35" s="1455"/>
      <c r="FO35" s="1455"/>
      <c r="FP35" s="1455"/>
      <c r="FQ35" s="1455"/>
      <c r="FR35" s="1455"/>
      <c r="FS35" s="1455"/>
      <c r="FT35" s="1455"/>
      <c r="FU35" s="1455"/>
      <c r="FV35" s="1455"/>
      <c r="FW35" s="1455"/>
      <c r="FX35" s="1455"/>
      <c r="FY35" s="1455"/>
      <c r="FZ35" s="1455"/>
      <c r="GA35" s="1455"/>
      <c r="GB35" s="1455"/>
      <c r="GC35" s="1455"/>
      <c r="GD35" s="1455"/>
      <c r="GE35" s="1455"/>
      <c r="GF35" s="1455"/>
      <c r="GG35" s="1455"/>
      <c r="GH35" s="1455"/>
      <c r="GI35" s="1452">
        <v>720</v>
      </c>
      <c r="GJ35" s="1455"/>
      <c r="GK35" s="1455"/>
      <c r="GL35" s="1455"/>
      <c r="GM35" s="1455"/>
      <c r="GN35" s="1452"/>
      <c r="GO35" s="1452"/>
      <c r="GP35" s="1455"/>
      <c r="GQ35" s="1452"/>
      <c r="GR35" s="1455"/>
      <c r="GS35" s="1455"/>
      <c r="GT35" s="1455"/>
      <c r="GU35" s="1455"/>
      <c r="GV35" s="1455"/>
      <c r="GW35" s="1452"/>
      <c r="GX35" s="1455"/>
      <c r="GY35" s="1455"/>
      <c r="GZ35" s="1455"/>
      <c r="HA35" s="1455"/>
      <c r="HB35" s="1452"/>
      <c r="HC35" s="1455"/>
      <c r="HD35" s="1455"/>
      <c r="HE35" s="1455"/>
      <c r="HF35" s="1455"/>
      <c r="HG35" s="1455"/>
      <c r="HH35" s="1455"/>
      <c r="HI35" s="1455"/>
      <c r="HJ35" s="1455"/>
      <c r="HK35" s="1455"/>
      <c r="HL35" s="1455"/>
      <c r="HM35" s="1455"/>
      <c r="HN35" s="1455"/>
      <c r="HO35" s="1455"/>
      <c r="HP35" s="1455"/>
      <c r="HQ35" s="1455"/>
      <c r="HR35" s="1455"/>
      <c r="HS35" s="1455"/>
      <c r="HT35" s="1452">
        <v>720</v>
      </c>
      <c r="HU35" s="1452"/>
      <c r="HV35" s="1452">
        <v>720</v>
      </c>
      <c r="HW35" s="1455"/>
      <c r="HX35" s="1455"/>
      <c r="HY35" s="1455"/>
      <c r="HZ35" s="1455"/>
      <c r="IA35" s="1455"/>
      <c r="IB35" s="1455"/>
      <c r="IC35" s="1455"/>
      <c r="ID35" s="1455"/>
      <c r="IE35" s="1455"/>
      <c r="IF35" s="1455"/>
      <c r="IG35" s="1455"/>
      <c r="IH35" s="1455"/>
      <c r="II35" s="1455"/>
      <c r="IJ35" s="1455"/>
      <c r="IK35" s="1455"/>
      <c r="IL35" s="1455"/>
      <c r="IM35" s="1455"/>
      <c r="IN35" s="1455"/>
      <c r="IO35" s="1452"/>
      <c r="IP35" s="1455"/>
      <c r="IQ35" s="1455"/>
      <c r="IR35" s="1455"/>
      <c r="IS35" s="1455"/>
      <c r="IT35" s="1455"/>
      <c r="IU35" s="1455"/>
      <c r="IV35" s="1455"/>
      <c r="IW35" s="1455"/>
      <c r="IX35" s="1455"/>
      <c r="IY35" s="1455"/>
      <c r="IZ35" s="1455"/>
      <c r="JA35" s="1455"/>
      <c r="JB35" s="1455"/>
      <c r="JC35" s="1455"/>
      <c r="JD35" s="1452">
        <v>720</v>
      </c>
      <c r="JE35" s="1455"/>
      <c r="JF35" s="1455"/>
      <c r="JG35" s="1454">
        <v>720</v>
      </c>
      <c r="JH35" s="1455"/>
      <c r="JI35" s="1455"/>
      <c r="JJ35" s="1455"/>
      <c r="JK35" s="1455"/>
      <c r="JL35" s="1455"/>
      <c r="JM35" s="1455"/>
      <c r="JN35" s="1455"/>
      <c r="JO35" s="1455"/>
      <c r="JP35" s="1452"/>
      <c r="JQ35" s="1501"/>
      <c r="JR35" s="351"/>
      <c r="JS35" s="1507" t="s">
        <v>2986</v>
      </c>
      <c r="JT35" s="1507" t="s">
        <v>2242</v>
      </c>
    </row>
    <row r="36" spans="1:280" ht="40" x14ac:dyDescent="0.25">
      <c r="A36" s="1367">
        <v>35</v>
      </c>
      <c r="B36" s="1411">
        <f t="shared" si="8"/>
        <v>0</v>
      </c>
      <c r="C36" s="1508" t="s">
        <v>2987</v>
      </c>
      <c r="D36" s="1436" t="s">
        <v>2988</v>
      </c>
      <c r="E36" s="1479"/>
      <c r="F36" s="1479"/>
      <c r="G36" s="1479"/>
      <c r="H36" s="1479"/>
      <c r="I36" s="1479"/>
      <c r="J36" s="1479"/>
      <c r="K36" s="1479"/>
      <c r="L36" s="1479"/>
      <c r="M36" s="1479">
        <f>MAX(0, (M26+M34+M35)-(M27+M28+M29+M31))</f>
        <v>3903</v>
      </c>
      <c r="N36" s="1479"/>
      <c r="O36" s="1479"/>
      <c r="P36" s="1479"/>
      <c r="Q36" s="1479">
        <f>MAX(0, (Q26+Q34+Q35)-(Q27+Q28+Q29+Q31))</f>
        <v>21055</v>
      </c>
      <c r="R36" s="1479"/>
      <c r="S36" s="1479"/>
      <c r="T36" s="1479"/>
      <c r="U36" s="1479"/>
      <c r="V36" s="1479"/>
      <c r="W36" s="1479"/>
      <c r="X36" s="1479"/>
      <c r="Y36" s="1479"/>
      <c r="Z36" s="1479">
        <v>21875</v>
      </c>
      <c r="AA36" s="1479"/>
      <c r="AB36" s="1479"/>
      <c r="AC36" s="1479">
        <f>MAX(0, (AC26+AC34+AC35)-(AC27+AC28+AC29+AC31))</f>
        <v>0</v>
      </c>
      <c r="AD36" s="1479"/>
      <c r="AE36" s="1479"/>
      <c r="AF36" s="1479"/>
      <c r="AG36" s="1479"/>
      <c r="AH36" s="1479"/>
      <c r="AI36" s="1479">
        <f>MAX(0,(AI26+AI34+AI35)-(AI15+AI27+AI28+AI29+AI31))</f>
        <v>2788</v>
      </c>
      <c r="AJ36" s="1479"/>
      <c r="AK36" s="1479"/>
      <c r="AL36" s="1479"/>
      <c r="AM36" s="1479"/>
      <c r="AN36" s="1479"/>
      <c r="AO36" s="1479"/>
      <c r="AP36" s="1479"/>
      <c r="AQ36" s="1479"/>
      <c r="AR36" s="1479"/>
      <c r="AS36" s="1479"/>
      <c r="AT36" s="1479">
        <f>MAX(0, (AT26+AT34+AT35)-(AT27+AT28+AT29+AT31))</f>
        <v>0</v>
      </c>
      <c r="AU36" s="1479"/>
      <c r="AV36" s="1479">
        <f>MAX(0, (AV26+AV34+AV35)-(AV27+AV28+AV29+AV31))</f>
        <v>54095</v>
      </c>
      <c r="AW36" s="1479"/>
      <c r="AX36" s="1479"/>
      <c r="AY36" s="1479"/>
      <c r="AZ36" s="1479"/>
      <c r="BA36" s="1479"/>
      <c r="BB36" s="1479"/>
      <c r="BC36" s="1479"/>
      <c r="BD36" s="1479">
        <f>MAX(0, (BD26+BD34+BD35)-(BD27+BD28+BD29+BD30+BD32+BD33+BD31))</f>
        <v>0</v>
      </c>
      <c r="BE36" s="1479">
        <f>MAX(0,(BE26+BE34+BE35)-(BE27+BE28+BE29+BE31))</f>
        <v>5570</v>
      </c>
      <c r="BF36" s="1479"/>
      <c r="BG36" s="1479"/>
      <c r="BH36" s="1479"/>
      <c r="BI36" s="1479"/>
      <c r="BJ36" s="1479"/>
      <c r="BK36" s="1479"/>
      <c r="BL36" s="1479"/>
      <c r="BM36" s="1479"/>
      <c r="BN36" s="1479"/>
      <c r="BO36" s="1479"/>
      <c r="BP36" s="1479"/>
      <c r="BQ36" s="1479"/>
      <c r="BR36" s="1479"/>
      <c r="BS36" s="1479"/>
      <c r="BT36" s="1479"/>
      <c r="BU36" s="1479"/>
      <c r="BV36" s="1479">
        <f>MAX(0, (BV26+BV34+BV35)-(BV27+BV28+BV29+BV31))</f>
        <v>3903</v>
      </c>
      <c r="BW36" s="1479"/>
      <c r="BX36" s="1479"/>
      <c r="BY36" s="1479"/>
      <c r="BZ36" s="1479"/>
      <c r="CA36" s="1479"/>
      <c r="CB36" s="1479">
        <f>MAX(0, (CB26+CB34+CB35)-(CB27+CB28+CB29+CB31))</f>
        <v>3903</v>
      </c>
      <c r="CC36" s="1479"/>
      <c r="CD36" s="1479"/>
      <c r="CE36" s="1479"/>
      <c r="CF36" s="1479"/>
      <c r="CG36" s="1479"/>
      <c r="CH36" s="1479"/>
      <c r="CI36" s="1479">
        <f>MAX(0, (CI26+CI34+CI35)-(CI27+CI28+CI29+CI31))</f>
        <v>0</v>
      </c>
      <c r="CJ36" s="1503">
        <v>25542</v>
      </c>
      <c r="CK36" s="1479"/>
      <c r="CL36" s="1479"/>
      <c r="CM36" s="1479"/>
      <c r="CN36" s="1479"/>
      <c r="CO36" s="1479">
        <f>MAX(0, (CO26+CO34+CO35)-(CO27+CO28+CO29+CO31))</f>
        <v>0</v>
      </c>
      <c r="CP36" s="1479">
        <f>MAX(0, (CP26+CP34+CP35)-(CP27+CP28+CP29+CP31))</f>
        <v>17506</v>
      </c>
      <c r="CQ36" s="1479"/>
      <c r="CR36" s="1479"/>
      <c r="CS36" s="1479"/>
      <c r="CT36" s="1479"/>
      <c r="CU36" s="1479"/>
      <c r="CV36" s="1479"/>
      <c r="CW36" s="1479"/>
      <c r="CX36" s="1479"/>
      <c r="CY36" s="1479"/>
      <c r="CZ36" s="1479"/>
      <c r="DA36" s="1479"/>
      <c r="DB36" s="1479"/>
      <c r="DC36" s="1479">
        <f>MAX(0, (DC26+DC34+DC35)-(DC27+DC28+DC29+DC31))</f>
        <v>0</v>
      </c>
      <c r="DD36" s="1479">
        <v>21875</v>
      </c>
      <c r="DE36" s="1479"/>
      <c r="DF36" s="1479"/>
      <c r="DG36" s="1479"/>
      <c r="DH36" s="1479"/>
      <c r="DI36" s="1479"/>
      <c r="DJ36" s="1479"/>
      <c r="DK36" s="1479"/>
      <c r="DL36" s="1479"/>
      <c r="DM36" s="1479"/>
      <c r="DN36" s="1479">
        <f>MAX(0, (DN26+DN34+DN35)-(DN27+DN28+DN29+DN31))</f>
        <v>30495</v>
      </c>
      <c r="DO36" s="1479">
        <f t="shared" ref="DO36:DS36" si="9">MAX(0, (DO26+DO34+DO35)-(DO27+DO28+DO29+DO31))</f>
        <v>3958</v>
      </c>
      <c r="DP36" s="1479"/>
      <c r="DQ36" s="1479"/>
      <c r="DR36" s="1479"/>
      <c r="DS36" s="1479">
        <f t="shared" si="9"/>
        <v>3958</v>
      </c>
      <c r="DT36" s="1479"/>
      <c r="DU36" s="1479"/>
      <c r="DV36" s="1479">
        <f t="shared" ref="DV36" si="10">MAX(0, (DV26+DV34+DV35)-(DV27+DV28+DV29+DV31))</f>
        <v>8676</v>
      </c>
      <c r="DW36" s="1479"/>
      <c r="DX36" s="1503"/>
      <c r="DY36" s="1479"/>
      <c r="DZ36" s="1479"/>
      <c r="EA36" s="1503">
        <f t="shared" ref="EA36:EC36" si="11">MAX(0, (EA26+EA34+EA35)-(EA27+EA28+EA29+EA31))</f>
        <v>34656</v>
      </c>
      <c r="EB36" s="1479">
        <f t="shared" si="11"/>
        <v>0</v>
      </c>
      <c r="EC36" s="1479">
        <f t="shared" si="11"/>
        <v>0</v>
      </c>
      <c r="ED36" s="1479">
        <f>MAX(0, (ED26+ED34+ED35)-(ED27+ED28+ED29+ED31))</f>
        <v>4000</v>
      </c>
      <c r="EE36" s="1479">
        <f>MAX(0, (EE26+EE34+EE35)-(EE27+EE28+EE29+EE31))</f>
        <v>0</v>
      </c>
      <c r="EF36" s="1479"/>
      <c r="EG36" s="1479"/>
      <c r="EH36" s="1479"/>
      <c r="EI36" s="1479"/>
      <c r="EJ36" s="1479"/>
      <c r="EK36" s="1479"/>
      <c r="EL36" s="1504">
        <v>44446</v>
      </c>
      <c r="EM36" s="1479"/>
      <c r="EN36" s="1503"/>
      <c r="EO36" s="1479"/>
      <c r="EP36" s="1479"/>
      <c r="EQ36" s="1479"/>
      <c r="ER36" s="1479"/>
      <c r="ES36" s="1479"/>
      <c r="ET36" s="1479"/>
      <c r="EU36" s="1479"/>
      <c r="EV36" s="1479"/>
      <c r="EW36" s="1479"/>
      <c r="EX36" s="1479"/>
      <c r="EY36" s="1479"/>
      <c r="EZ36" s="1479"/>
      <c r="FA36" s="1479"/>
      <c r="FB36" s="1479"/>
      <c r="FC36" s="1479"/>
      <c r="FD36" s="1503">
        <f>MAX(0, (FD26+FD34+FD35)-(FD27+FD28+FD29+FD31))</f>
        <v>34321</v>
      </c>
      <c r="FE36" s="1479">
        <f>MAX(0, (FE26+FE34+FE35)-(FE27+FE28+FE29+FE31))</f>
        <v>3903</v>
      </c>
      <c r="FF36" s="1479"/>
      <c r="FG36" s="1479">
        <f>MAX(0, (FG26+FG34+FG35)-(FG27+FG28+FG29+FG31))</f>
        <v>3903</v>
      </c>
      <c r="FH36" s="1479">
        <f>MAX(0, (FH26+FH34+FH35)-(FH27+FH28+FH29+FH31))</f>
        <v>3903</v>
      </c>
      <c r="FI36" s="1479"/>
      <c r="FJ36" s="1479"/>
      <c r="FK36" s="1479"/>
      <c r="FL36" s="1479"/>
      <c r="FM36" s="1479"/>
      <c r="FN36" s="1479"/>
      <c r="FO36" s="1479"/>
      <c r="FP36" s="1479">
        <f>MAX(0, (FP26+FP34+FP35)-(FP27+FP28+FP29+FP31))</f>
        <v>0</v>
      </c>
      <c r="FQ36" s="1479"/>
      <c r="FR36" s="1479"/>
      <c r="FS36" s="1479"/>
      <c r="FT36" s="1479"/>
      <c r="FU36" s="1479"/>
      <c r="FV36" s="1479"/>
      <c r="FW36" s="1479"/>
      <c r="FX36" s="1479"/>
      <c r="FY36" s="1479"/>
      <c r="FZ36" s="1479"/>
      <c r="GA36" s="1479"/>
      <c r="GB36" s="1479"/>
      <c r="GC36" s="1479"/>
      <c r="GD36" s="1479"/>
      <c r="GE36" s="1479"/>
      <c r="GF36" s="1479"/>
      <c r="GG36" s="1479"/>
      <c r="GH36" s="1479"/>
      <c r="GI36" s="1479">
        <f>MAX(0, (GI26+GI34+GI35)-(GI27+GI28+GI29+GI31))</f>
        <v>3903</v>
      </c>
      <c r="GJ36" s="1479"/>
      <c r="GK36" s="1479"/>
      <c r="GL36" s="1479"/>
      <c r="GM36" s="1479"/>
      <c r="GN36" s="1479"/>
      <c r="GO36" s="1479">
        <f>MAX(0, (GO26+GO34+GO35)-(GO27+GO28+GO29+GO31))</f>
        <v>54095</v>
      </c>
      <c r="GP36" s="1479"/>
      <c r="GQ36" s="1479">
        <f>MAX(0, (GQ26+GQ34+GQ35)-(GQ27+GQ28+GQ29+GQ31))</f>
        <v>54095</v>
      </c>
      <c r="GR36" s="1479"/>
      <c r="GS36" s="1479"/>
      <c r="GT36" s="1479"/>
      <c r="GU36" s="1479"/>
      <c r="GV36" s="1479"/>
      <c r="GW36" s="1479">
        <v>21875</v>
      </c>
      <c r="GX36" s="1479"/>
      <c r="GY36" s="1479"/>
      <c r="GZ36" s="1479"/>
      <c r="HA36" s="1479"/>
      <c r="HB36" s="1479">
        <f>MAX(0, (HB26+HB34+HB35)-(HB27+HB28+HB29+HB31))</f>
        <v>0</v>
      </c>
      <c r="HC36" s="1479"/>
      <c r="HD36" s="1479"/>
      <c r="HE36" s="1479"/>
      <c r="HF36" s="1479"/>
      <c r="HG36" s="1479"/>
      <c r="HH36" s="1479"/>
      <c r="HI36" s="1479"/>
      <c r="HJ36" s="1479"/>
      <c r="HK36" s="1479"/>
      <c r="HL36" s="1479"/>
      <c r="HM36" s="1479"/>
      <c r="HN36" s="1479"/>
      <c r="HO36" s="1479"/>
      <c r="HP36" s="1479"/>
      <c r="HQ36" s="1479"/>
      <c r="HR36" s="1479"/>
      <c r="HS36" s="1479"/>
      <c r="HT36" s="1479">
        <f>MAX(0, (HT26+HT34+HT35)-(HT27+HT28+HT29+HT31))</f>
        <v>5561</v>
      </c>
      <c r="HU36" s="1479">
        <f>MAX(0, (HU26+HU34+HU35)-(HU27+HU28+HU29+HU31))</f>
        <v>2306</v>
      </c>
      <c r="HV36" s="1479">
        <f>MAX(0, (HV26+HV34+HV35)-(HV27+HV28+HV29+HV31))</f>
        <v>3903</v>
      </c>
      <c r="HW36" s="1479"/>
      <c r="HX36" s="1479"/>
      <c r="HY36" s="1479"/>
      <c r="HZ36" s="1479"/>
      <c r="IA36" s="1479"/>
      <c r="IB36" s="1479"/>
      <c r="IC36" s="1479"/>
      <c r="ID36" s="1479"/>
      <c r="IE36" s="1479"/>
      <c r="IF36" s="1479"/>
      <c r="IG36" s="1479"/>
      <c r="IH36" s="1479"/>
      <c r="II36" s="1479"/>
      <c r="IJ36" s="1479"/>
      <c r="IK36" s="1479"/>
      <c r="IL36" s="1479"/>
      <c r="IM36" s="1479"/>
      <c r="IN36" s="1479"/>
      <c r="IO36" s="1479">
        <f>MAX(0, (IO26+IO34+IO35)-(IO27+IO28+IO29+IO31))</f>
        <v>0</v>
      </c>
      <c r="IP36" s="1479"/>
      <c r="IQ36" s="1479"/>
      <c r="IR36" s="1479"/>
      <c r="IS36" s="1479"/>
      <c r="IT36" s="1479"/>
      <c r="IU36" s="1479"/>
      <c r="IV36" s="1479"/>
      <c r="IW36" s="1479"/>
      <c r="IX36" s="1479"/>
      <c r="IY36" s="1503"/>
      <c r="IZ36" s="1479"/>
      <c r="JA36" s="1479"/>
      <c r="JB36" s="1479"/>
      <c r="JC36" s="1479"/>
      <c r="JD36" s="1479">
        <f>MAX(0, (JD26+JD34+JD35)-(JD27+JD28+JD29+JD31))</f>
        <v>3903</v>
      </c>
      <c r="JE36" s="1479"/>
      <c r="JF36" s="1479"/>
      <c r="JG36" s="1479">
        <f>MAX(0, (JG26+JG34+JG35)-(JG27+JG28+JG29+JG31))</f>
        <v>909</v>
      </c>
      <c r="JH36" s="1479">
        <f>MAX(0, (JH26+JH34+JH35)-(JH27+JH28+JH29+JH31))</f>
        <v>10353</v>
      </c>
      <c r="JI36" s="1479"/>
      <c r="JJ36" s="1479"/>
      <c r="JK36" s="1479"/>
      <c r="JL36" s="1503">
        <v>18650</v>
      </c>
      <c r="JM36" s="1479"/>
      <c r="JN36" s="1479"/>
      <c r="JO36" s="1479"/>
      <c r="JP36" s="1479">
        <f>MAX(0, (JP26+JP34+JP35)-(JP27+JP28+JP29+JP31))</f>
        <v>100</v>
      </c>
      <c r="JQ36" s="1479"/>
      <c r="JR36" s="351"/>
      <c r="JS36" s="1507" t="s">
        <v>2989</v>
      </c>
      <c r="JT36" s="1507" t="s">
        <v>2224</v>
      </c>
    </row>
    <row r="37" spans="1:280" x14ac:dyDescent="0.25">
      <c r="A37" s="1367">
        <v>36</v>
      </c>
      <c r="B37" s="1411" t="str">
        <f t="shared" si="8"/>
        <v/>
      </c>
      <c r="C37" s="1508" t="s">
        <v>2990</v>
      </c>
      <c r="D37" s="1436" t="s">
        <v>2991</v>
      </c>
      <c r="E37" s="1452"/>
      <c r="F37" s="1452"/>
      <c r="G37" s="1452"/>
      <c r="H37" s="1452"/>
      <c r="I37" s="1452"/>
      <c r="J37" s="1452"/>
      <c r="K37" s="1452"/>
      <c r="L37" s="1452"/>
      <c r="M37" s="1452"/>
      <c r="N37" s="1452"/>
      <c r="O37" s="1452"/>
      <c r="P37" s="1452"/>
      <c r="Q37" s="1452"/>
      <c r="R37" s="1452"/>
      <c r="S37" s="1452"/>
      <c r="T37" s="1452"/>
      <c r="U37" s="1452"/>
      <c r="V37" s="1452"/>
      <c r="W37" s="1452"/>
      <c r="X37" s="1452"/>
      <c r="Y37" s="1452"/>
      <c r="Z37" s="1452"/>
      <c r="AA37" s="1452"/>
      <c r="AB37" s="1452"/>
      <c r="AC37" s="1452"/>
      <c r="AD37" s="1452"/>
      <c r="AE37" s="1452"/>
      <c r="AF37" s="1452"/>
      <c r="AG37" s="1452"/>
      <c r="AH37" s="1452"/>
      <c r="AI37" s="1455"/>
      <c r="AJ37" s="1452"/>
      <c r="AK37" s="1452"/>
      <c r="AL37" s="1452"/>
      <c r="AM37" s="1452"/>
      <c r="AN37" s="1452"/>
      <c r="AO37" s="1452"/>
      <c r="AP37" s="1455"/>
      <c r="AQ37" s="1455"/>
      <c r="AR37" s="1455"/>
      <c r="AS37" s="1455"/>
      <c r="AT37" s="1452"/>
      <c r="AU37" s="1455"/>
      <c r="AV37" s="1452">
        <v>7295</v>
      </c>
      <c r="AW37" s="1455"/>
      <c r="AX37" s="1455"/>
      <c r="AY37" s="1455"/>
      <c r="AZ37" s="1455"/>
      <c r="BA37" s="1455"/>
      <c r="BB37" s="1452"/>
      <c r="BC37" s="1455"/>
      <c r="BD37" s="1452"/>
      <c r="BE37" s="1452"/>
      <c r="BF37" s="1455"/>
      <c r="BG37" s="1455"/>
      <c r="BH37" s="1452"/>
      <c r="BI37" s="1452"/>
      <c r="BJ37" s="1455"/>
      <c r="BK37" s="1455"/>
      <c r="BL37" s="1455"/>
      <c r="BM37" s="1455"/>
      <c r="BN37" s="1455"/>
      <c r="BO37" s="1455"/>
      <c r="BP37" s="1455"/>
      <c r="BQ37" s="1455"/>
      <c r="BR37" s="1455"/>
      <c r="BS37" s="1455"/>
      <c r="BT37" s="1455"/>
      <c r="BU37" s="1455"/>
      <c r="BV37" s="1452"/>
      <c r="BW37" s="1455"/>
      <c r="BX37" s="1455"/>
      <c r="BY37" s="1455"/>
      <c r="BZ37" s="1455"/>
      <c r="CA37" s="1455"/>
      <c r="CB37" s="1455"/>
      <c r="CC37" s="1455"/>
      <c r="CD37" s="1455"/>
      <c r="CE37" s="1455"/>
      <c r="CF37" s="1455"/>
      <c r="CG37" s="1455"/>
      <c r="CH37" s="1455"/>
      <c r="CI37" s="1452"/>
      <c r="CJ37" s="1455"/>
      <c r="CK37" s="1455"/>
      <c r="CL37" s="1455"/>
      <c r="CM37" s="1455"/>
      <c r="CN37" s="1455"/>
      <c r="CO37" s="1452"/>
      <c r="CP37" s="1452"/>
      <c r="CQ37" s="1455"/>
      <c r="CR37" s="1455"/>
      <c r="CS37" s="1455"/>
      <c r="CT37" s="1455"/>
      <c r="CU37" s="1455"/>
      <c r="CV37" s="1455"/>
      <c r="CW37" s="1455"/>
      <c r="CX37" s="1455"/>
      <c r="CY37" s="1455"/>
      <c r="CZ37" s="1455"/>
      <c r="DA37" s="1455"/>
      <c r="DB37" s="1455"/>
      <c r="DC37" s="1452"/>
      <c r="DD37" s="1452"/>
      <c r="DE37" s="1455"/>
      <c r="DF37" s="1455"/>
      <c r="DG37" s="1455"/>
      <c r="DH37" s="1455"/>
      <c r="DI37" s="1455"/>
      <c r="DJ37" s="1455"/>
      <c r="DK37" s="1455"/>
      <c r="DL37" s="1455"/>
      <c r="DM37" s="1455"/>
      <c r="DN37" s="1452"/>
      <c r="DO37" s="1455"/>
      <c r="DP37" s="1455"/>
      <c r="DQ37" s="1455"/>
      <c r="DR37" s="1455"/>
      <c r="DS37" s="1455"/>
      <c r="DT37" s="1455"/>
      <c r="DU37" s="1455"/>
      <c r="DV37" s="1455"/>
      <c r="DW37" s="1455"/>
      <c r="DX37" s="1455"/>
      <c r="DY37" s="1455"/>
      <c r="DZ37" s="1455"/>
      <c r="EA37" s="1455"/>
      <c r="EB37" s="1455"/>
      <c r="EC37" s="1455"/>
      <c r="ED37" s="1452"/>
      <c r="EE37" s="1452"/>
      <c r="EF37" s="1455"/>
      <c r="EG37" s="1455"/>
      <c r="EH37" s="1455"/>
      <c r="EI37" s="1455"/>
      <c r="EJ37" s="1455"/>
      <c r="EK37" s="1455"/>
      <c r="EL37" s="1455"/>
      <c r="EM37" s="1455"/>
      <c r="EN37" s="1452"/>
      <c r="EO37" s="1455"/>
      <c r="EP37" s="1455"/>
      <c r="EQ37" s="1455"/>
      <c r="ER37" s="1455"/>
      <c r="ES37" s="1455"/>
      <c r="ET37" s="1455"/>
      <c r="EU37" s="1455"/>
      <c r="EV37" s="1455"/>
      <c r="EW37" s="1455"/>
      <c r="EX37" s="1455"/>
      <c r="EY37" s="1455"/>
      <c r="EZ37" s="1455"/>
      <c r="FA37" s="1455"/>
      <c r="FB37" s="1455"/>
      <c r="FC37" s="1455"/>
      <c r="FD37" s="1455"/>
      <c r="FE37" s="1452"/>
      <c r="FF37" s="1455"/>
      <c r="FG37" s="1452"/>
      <c r="FH37" s="1452"/>
      <c r="FI37" s="1455"/>
      <c r="FJ37" s="1455"/>
      <c r="FK37" s="1455"/>
      <c r="FL37" s="1455"/>
      <c r="FM37" s="1455"/>
      <c r="FN37" s="1455"/>
      <c r="FO37" s="1455"/>
      <c r="FP37" s="1455"/>
      <c r="FQ37" s="1455"/>
      <c r="FR37" s="1455"/>
      <c r="FS37" s="1455"/>
      <c r="FT37" s="1455"/>
      <c r="FU37" s="1455"/>
      <c r="FV37" s="1455"/>
      <c r="FW37" s="1455"/>
      <c r="FX37" s="1455"/>
      <c r="FY37" s="1455"/>
      <c r="FZ37" s="1455"/>
      <c r="GA37" s="1455"/>
      <c r="GB37" s="1455"/>
      <c r="GC37" s="1455"/>
      <c r="GD37" s="1455"/>
      <c r="GE37" s="1455"/>
      <c r="GF37" s="1455"/>
      <c r="GG37" s="1455"/>
      <c r="GH37" s="1455"/>
      <c r="GI37" s="1452"/>
      <c r="GJ37" s="1455"/>
      <c r="GK37" s="1455"/>
      <c r="GL37" s="1455"/>
      <c r="GM37" s="1455"/>
      <c r="GN37" s="1452"/>
      <c r="GO37" s="1452">
        <v>7295</v>
      </c>
      <c r="GP37" s="1455"/>
      <c r="GQ37" s="1452">
        <v>7295</v>
      </c>
      <c r="GR37" s="1455"/>
      <c r="GS37" s="1455"/>
      <c r="GT37" s="1455"/>
      <c r="GU37" s="1455"/>
      <c r="GV37" s="1455"/>
      <c r="GW37" s="1452"/>
      <c r="GX37" s="1455"/>
      <c r="GY37" s="1455"/>
      <c r="GZ37" s="1455"/>
      <c r="HA37" s="1455"/>
      <c r="HB37" s="1452"/>
      <c r="HC37" s="1455"/>
      <c r="HD37" s="1455"/>
      <c r="HE37" s="1455"/>
      <c r="HF37" s="1455"/>
      <c r="HG37" s="1455"/>
      <c r="HH37" s="1455"/>
      <c r="HI37" s="1455"/>
      <c r="HJ37" s="1455"/>
      <c r="HK37" s="1455"/>
      <c r="HL37" s="1455"/>
      <c r="HM37" s="1455"/>
      <c r="HN37" s="1455"/>
      <c r="HO37" s="1455"/>
      <c r="HP37" s="1455"/>
      <c r="HQ37" s="1455"/>
      <c r="HR37" s="1455"/>
      <c r="HS37" s="1455"/>
      <c r="HT37" s="1452"/>
      <c r="HU37" s="1452"/>
      <c r="HV37" s="1452"/>
      <c r="HW37" s="1455"/>
      <c r="HX37" s="1455"/>
      <c r="HY37" s="1455"/>
      <c r="HZ37" s="1455"/>
      <c r="IA37" s="1455"/>
      <c r="IB37" s="1455"/>
      <c r="IC37" s="1455"/>
      <c r="ID37" s="1455"/>
      <c r="IE37" s="1455"/>
      <c r="IF37" s="1455"/>
      <c r="IG37" s="1455"/>
      <c r="IH37" s="1455"/>
      <c r="II37" s="1455"/>
      <c r="IJ37" s="1455"/>
      <c r="IK37" s="1455"/>
      <c r="IL37" s="1455"/>
      <c r="IM37" s="1455"/>
      <c r="IN37" s="1455"/>
      <c r="IO37" s="1452"/>
      <c r="IP37" s="1455"/>
      <c r="IQ37" s="1455"/>
      <c r="IR37" s="1455"/>
      <c r="IS37" s="1455"/>
      <c r="IT37" s="1455"/>
      <c r="IU37" s="1455"/>
      <c r="IV37" s="1455"/>
      <c r="IW37" s="1455"/>
      <c r="IX37" s="1455"/>
      <c r="IY37" s="1455"/>
      <c r="IZ37" s="1455"/>
      <c r="JA37" s="1455"/>
      <c r="JB37" s="1455"/>
      <c r="JC37" s="1455"/>
      <c r="JD37" s="1452"/>
      <c r="JE37" s="1455"/>
      <c r="JF37" s="1455"/>
      <c r="JG37" s="1454"/>
      <c r="JH37" s="1455"/>
      <c r="JI37" s="1455"/>
      <c r="JJ37" s="1455"/>
      <c r="JK37" s="1455"/>
      <c r="JL37" s="1455"/>
      <c r="JM37" s="1455"/>
      <c r="JN37" s="1455"/>
      <c r="JO37" s="1455"/>
      <c r="JP37" s="1452"/>
      <c r="JQ37" s="1501"/>
      <c r="JR37" s="351"/>
      <c r="JS37" s="1400" t="s">
        <v>2992</v>
      </c>
      <c r="JT37" s="1400" t="s">
        <v>2242</v>
      </c>
    </row>
    <row r="38" spans="1:280" x14ac:dyDescent="0.25">
      <c r="A38" s="1367">
        <v>37</v>
      </c>
      <c r="B38" s="1411" t="str">
        <f t="shared" si="8"/>
        <v/>
      </c>
      <c r="C38" s="1508" t="s">
        <v>2993</v>
      </c>
      <c r="D38" s="1436" t="s">
        <v>2994</v>
      </c>
      <c r="E38" s="1452"/>
      <c r="F38" s="1452"/>
      <c r="G38" s="1452"/>
      <c r="H38" s="1452"/>
      <c r="I38" s="1452"/>
      <c r="J38" s="1452"/>
      <c r="K38" s="1452"/>
      <c r="L38" s="1452"/>
      <c r="M38" s="1452">
        <v>250</v>
      </c>
      <c r="N38" s="1452"/>
      <c r="O38" s="1452"/>
      <c r="P38" s="1452"/>
      <c r="Q38" s="1452"/>
      <c r="R38" s="1452"/>
      <c r="S38" s="1452"/>
      <c r="T38" s="1452"/>
      <c r="U38" s="1452"/>
      <c r="V38" s="1452"/>
      <c r="W38" s="1452"/>
      <c r="X38" s="1452"/>
      <c r="Y38" s="1452"/>
      <c r="Z38" s="1452"/>
      <c r="AA38" s="1452"/>
      <c r="AB38" s="1452"/>
      <c r="AC38" s="1452"/>
      <c r="AD38" s="1452"/>
      <c r="AE38" s="1452"/>
      <c r="AF38" s="1452"/>
      <c r="AG38" s="1452"/>
      <c r="AH38" s="1452"/>
      <c r="AI38" s="1455"/>
      <c r="AJ38" s="1452"/>
      <c r="AK38" s="1452"/>
      <c r="AL38" s="1452"/>
      <c r="AM38" s="1452"/>
      <c r="AN38" s="1452"/>
      <c r="AO38" s="1452"/>
      <c r="AP38" s="1455"/>
      <c r="AQ38" s="1455"/>
      <c r="AR38" s="1455"/>
      <c r="AS38" s="1455"/>
      <c r="AT38" s="1452"/>
      <c r="AU38" s="1455"/>
      <c r="AV38" s="1452"/>
      <c r="AW38" s="1455"/>
      <c r="AX38" s="1455"/>
      <c r="AY38" s="1455"/>
      <c r="AZ38" s="1455"/>
      <c r="BA38" s="1455"/>
      <c r="BB38" s="1452"/>
      <c r="BC38" s="1455"/>
      <c r="BD38" s="1452"/>
      <c r="BE38" s="1452"/>
      <c r="BF38" s="1455"/>
      <c r="BG38" s="1455"/>
      <c r="BH38" s="1452"/>
      <c r="BI38" s="1452"/>
      <c r="BJ38" s="1455"/>
      <c r="BK38" s="1455"/>
      <c r="BL38" s="1455"/>
      <c r="BM38" s="1455"/>
      <c r="BN38" s="1455"/>
      <c r="BO38" s="1455"/>
      <c r="BP38" s="1455"/>
      <c r="BQ38" s="1455"/>
      <c r="BR38" s="1455"/>
      <c r="BS38" s="1455"/>
      <c r="BT38" s="1455"/>
      <c r="BU38" s="1455"/>
      <c r="BV38" s="1452">
        <v>250</v>
      </c>
      <c r="BW38" s="1455"/>
      <c r="BX38" s="1455"/>
      <c r="BY38" s="1455"/>
      <c r="BZ38" s="1455"/>
      <c r="CA38" s="1455"/>
      <c r="CB38" s="1455">
        <v>250</v>
      </c>
      <c r="CC38" s="1455"/>
      <c r="CD38" s="1455"/>
      <c r="CE38" s="1455"/>
      <c r="CF38" s="1455"/>
      <c r="CG38" s="1455"/>
      <c r="CH38" s="1455"/>
      <c r="CI38" s="1452"/>
      <c r="CJ38" s="1455"/>
      <c r="CK38" s="1455"/>
      <c r="CL38" s="1455"/>
      <c r="CM38" s="1455"/>
      <c r="CN38" s="1455"/>
      <c r="CO38" s="1452"/>
      <c r="CP38" s="1452">
        <v>250</v>
      </c>
      <c r="CQ38" s="1455"/>
      <c r="CR38" s="1455"/>
      <c r="CS38" s="1455"/>
      <c r="CT38" s="1455"/>
      <c r="CU38" s="1455"/>
      <c r="CV38" s="1455"/>
      <c r="CW38" s="1455"/>
      <c r="CX38" s="1455"/>
      <c r="CY38" s="1455"/>
      <c r="CZ38" s="1455"/>
      <c r="DA38" s="1455"/>
      <c r="DB38" s="1455"/>
      <c r="DC38" s="1452"/>
      <c r="DD38" s="1452"/>
      <c r="DE38" s="1455"/>
      <c r="DF38" s="1455"/>
      <c r="DG38" s="1455"/>
      <c r="DH38" s="1455"/>
      <c r="DI38" s="1455"/>
      <c r="DJ38" s="1455"/>
      <c r="DK38" s="1455"/>
      <c r="DL38" s="1455"/>
      <c r="DM38" s="1455"/>
      <c r="DN38" s="1452"/>
      <c r="DO38" s="1455"/>
      <c r="DP38" s="1455"/>
      <c r="DQ38" s="1455"/>
      <c r="DR38" s="1455"/>
      <c r="DS38" s="1455"/>
      <c r="DT38" s="1455"/>
      <c r="DU38" s="1455"/>
      <c r="DV38" s="1455"/>
      <c r="DW38" s="1455"/>
      <c r="DX38" s="1454"/>
      <c r="DY38" s="1455"/>
      <c r="DZ38" s="1455"/>
      <c r="EA38" s="1455"/>
      <c r="EB38" s="1455"/>
      <c r="EC38" s="1455"/>
      <c r="ED38" s="1452"/>
      <c r="EE38" s="1452"/>
      <c r="EF38" s="1455"/>
      <c r="EG38" s="1455"/>
      <c r="EH38" s="1455"/>
      <c r="EI38" s="1455"/>
      <c r="EJ38" s="1455"/>
      <c r="EK38" s="1455"/>
      <c r="EL38" s="1455"/>
      <c r="EM38" s="1455"/>
      <c r="EN38" s="1452"/>
      <c r="EO38" s="1455"/>
      <c r="EP38" s="1455"/>
      <c r="EQ38" s="1455"/>
      <c r="ER38" s="1455"/>
      <c r="ES38" s="1455"/>
      <c r="ET38" s="1455"/>
      <c r="EU38" s="1455"/>
      <c r="EV38" s="1455"/>
      <c r="EW38" s="1455"/>
      <c r="EX38" s="1455"/>
      <c r="EY38" s="1455"/>
      <c r="EZ38" s="1455"/>
      <c r="FA38" s="1455"/>
      <c r="FB38" s="1455"/>
      <c r="FC38" s="1455"/>
      <c r="FD38" s="1455"/>
      <c r="FE38" s="1452">
        <v>250</v>
      </c>
      <c r="FF38" s="1455"/>
      <c r="FG38" s="1452">
        <v>250</v>
      </c>
      <c r="FH38" s="1452">
        <v>250</v>
      </c>
      <c r="FI38" s="1455"/>
      <c r="FJ38" s="1455"/>
      <c r="FK38" s="1455"/>
      <c r="FL38" s="1455"/>
      <c r="FM38" s="1455"/>
      <c r="FN38" s="1455"/>
      <c r="FO38" s="1455"/>
      <c r="FP38" s="1455"/>
      <c r="FQ38" s="1455"/>
      <c r="FR38" s="1455"/>
      <c r="FS38" s="1455"/>
      <c r="FT38" s="1455"/>
      <c r="FU38" s="1455"/>
      <c r="FV38" s="1455"/>
      <c r="FW38" s="1455"/>
      <c r="FX38" s="1455"/>
      <c r="FY38" s="1455"/>
      <c r="FZ38" s="1455"/>
      <c r="GA38" s="1455"/>
      <c r="GB38" s="1455"/>
      <c r="GC38" s="1455"/>
      <c r="GD38" s="1455"/>
      <c r="GE38" s="1455"/>
      <c r="GF38" s="1455"/>
      <c r="GG38" s="1455"/>
      <c r="GH38" s="1455"/>
      <c r="GI38" s="1452">
        <v>250</v>
      </c>
      <c r="GJ38" s="1455"/>
      <c r="GK38" s="1455"/>
      <c r="GL38" s="1455"/>
      <c r="GM38" s="1455"/>
      <c r="GN38" s="1452"/>
      <c r="GO38" s="1452"/>
      <c r="GP38" s="1455"/>
      <c r="GQ38" s="1452"/>
      <c r="GR38" s="1455"/>
      <c r="GS38" s="1455"/>
      <c r="GT38" s="1455"/>
      <c r="GU38" s="1455"/>
      <c r="GV38" s="1455"/>
      <c r="GW38" s="1452"/>
      <c r="GX38" s="1455"/>
      <c r="GY38" s="1455"/>
      <c r="GZ38" s="1455"/>
      <c r="HA38" s="1455"/>
      <c r="HB38" s="1452"/>
      <c r="HC38" s="1455"/>
      <c r="HD38" s="1455"/>
      <c r="HE38" s="1455"/>
      <c r="HF38" s="1455"/>
      <c r="HG38" s="1455"/>
      <c r="HH38" s="1455"/>
      <c r="HI38" s="1455"/>
      <c r="HJ38" s="1455"/>
      <c r="HK38" s="1455"/>
      <c r="HL38" s="1455"/>
      <c r="HM38" s="1455"/>
      <c r="HN38" s="1455"/>
      <c r="HO38" s="1455"/>
      <c r="HP38" s="1455"/>
      <c r="HQ38" s="1455"/>
      <c r="HR38" s="1455"/>
      <c r="HS38" s="1455"/>
      <c r="HT38" s="1452">
        <v>250</v>
      </c>
      <c r="HU38" s="1452"/>
      <c r="HV38" s="1452">
        <v>250</v>
      </c>
      <c r="HW38" s="1455"/>
      <c r="HX38" s="1455"/>
      <c r="HY38" s="1455"/>
      <c r="HZ38" s="1455"/>
      <c r="IA38" s="1455"/>
      <c r="IB38" s="1455"/>
      <c r="IC38" s="1455"/>
      <c r="ID38" s="1455"/>
      <c r="IE38" s="1455"/>
      <c r="IF38" s="1455"/>
      <c r="IG38" s="1455"/>
      <c r="IH38" s="1455"/>
      <c r="II38" s="1455"/>
      <c r="IJ38" s="1455"/>
      <c r="IK38" s="1455"/>
      <c r="IL38" s="1455"/>
      <c r="IM38" s="1455"/>
      <c r="IN38" s="1455"/>
      <c r="IO38" s="1452"/>
      <c r="IP38" s="1455"/>
      <c r="IQ38" s="1455"/>
      <c r="IR38" s="1455"/>
      <c r="IS38" s="1455"/>
      <c r="IT38" s="1455"/>
      <c r="IU38" s="1455"/>
      <c r="IV38" s="1455"/>
      <c r="IW38" s="1455"/>
      <c r="IX38" s="1455"/>
      <c r="IY38" s="1455"/>
      <c r="IZ38" s="1455"/>
      <c r="JA38" s="1455"/>
      <c r="JB38" s="1455"/>
      <c r="JC38" s="1455"/>
      <c r="JD38" s="1452">
        <v>250</v>
      </c>
      <c r="JE38" s="1455"/>
      <c r="JF38" s="1455"/>
      <c r="JG38" s="1454">
        <v>250</v>
      </c>
      <c r="JH38" s="1455"/>
      <c r="JI38" s="1455"/>
      <c r="JJ38" s="1455"/>
      <c r="JK38" s="1455"/>
      <c r="JL38" s="1455"/>
      <c r="JM38" s="1455"/>
      <c r="JN38" s="1455"/>
      <c r="JO38" s="1455"/>
      <c r="JP38" s="1452"/>
      <c r="JQ38" s="1501"/>
      <c r="JR38" s="351"/>
      <c r="JS38" s="1400" t="s">
        <v>2927</v>
      </c>
      <c r="JT38" s="1400" t="s">
        <v>2242</v>
      </c>
    </row>
    <row r="39" spans="1:280" ht="30" x14ac:dyDescent="0.25">
      <c r="A39" s="1367">
        <v>38</v>
      </c>
      <c r="B39" s="1411">
        <f t="shared" si="8"/>
        <v>0</v>
      </c>
      <c r="C39" s="1508" t="s">
        <v>2995</v>
      </c>
      <c r="D39" s="1436" t="s">
        <v>2996</v>
      </c>
      <c r="E39" s="1479"/>
      <c r="F39" s="1479"/>
      <c r="G39" s="1479"/>
      <c r="H39" s="1479"/>
      <c r="I39" s="1479"/>
      <c r="J39" s="1479"/>
      <c r="K39" s="1479"/>
      <c r="L39" s="1479"/>
      <c r="M39" s="1479">
        <f>MAX(0,M36+M38-M37)</f>
        <v>4153</v>
      </c>
      <c r="N39" s="1479"/>
      <c r="O39" s="1479"/>
      <c r="P39" s="1479"/>
      <c r="Q39" s="1479">
        <f>MAX(0,Q36+Q38-Q37)</f>
        <v>21055</v>
      </c>
      <c r="R39" s="1479"/>
      <c r="S39" s="1479"/>
      <c r="T39" s="1479"/>
      <c r="U39" s="1479"/>
      <c r="V39" s="1479"/>
      <c r="W39" s="1479"/>
      <c r="X39" s="1479"/>
      <c r="Y39" s="1479"/>
      <c r="Z39" s="1479">
        <v>21875</v>
      </c>
      <c r="AA39" s="1479"/>
      <c r="AB39" s="1479"/>
      <c r="AC39" s="1479">
        <f>MAX(0,AC36+AC38-AC37)</f>
        <v>0</v>
      </c>
      <c r="AD39" s="1479"/>
      <c r="AE39" s="1479"/>
      <c r="AF39" s="1479"/>
      <c r="AG39" s="1479"/>
      <c r="AH39" s="1479"/>
      <c r="AI39" s="1479">
        <f>MAX(0,AI36+AI38-AI37)</f>
        <v>2788</v>
      </c>
      <c r="AJ39" s="1479"/>
      <c r="AK39" s="1479"/>
      <c r="AL39" s="1479"/>
      <c r="AM39" s="1479"/>
      <c r="AN39" s="1479"/>
      <c r="AO39" s="1479"/>
      <c r="AP39" s="1479"/>
      <c r="AQ39" s="1479"/>
      <c r="AR39" s="1479"/>
      <c r="AS39" s="1479"/>
      <c r="AT39" s="1479">
        <f>MAX(0,AT36+AT38-AT37)</f>
        <v>0</v>
      </c>
      <c r="AU39" s="1479"/>
      <c r="AV39" s="1479">
        <f>MAX(0,AV36+AV38-AV37)</f>
        <v>46800</v>
      </c>
      <c r="AW39" s="1479"/>
      <c r="AX39" s="1479"/>
      <c r="AY39" s="1479"/>
      <c r="AZ39" s="1479"/>
      <c r="BA39" s="1479"/>
      <c r="BB39" s="1479"/>
      <c r="BC39" s="1479"/>
      <c r="BD39" s="1479">
        <f>MAX(0,BD36+BD38-BD37)</f>
        <v>0</v>
      </c>
      <c r="BE39" s="1479">
        <f>MAX(0,BE36+BE38-BE37)</f>
        <v>5570</v>
      </c>
      <c r="BF39" s="1479"/>
      <c r="BG39" s="1479"/>
      <c r="BH39" s="1479"/>
      <c r="BI39" s="1479"/>
      <c r="BJ39" s="1479"/>
      <c r="BK39" s="1479"/>
      <c r="BL39" s="1479"/>
      <c r="BM39" s="1479"/>
      <c r="BN39" s="1479"/>
      <c r="BO39" s="1479"/>
      <c r="BP39" s="1479"/>
      <c r="BQ39" s="1479"/>
      <c r="BR39" s="1479"/>
      <c r="BS39" s="1479"/>
      <c r="BT39" s="1479"/>
      <c r="BU39" s="1479"/>
      <c r="BV39" s="1503">
        <f t="shared" ref="BV39" si="12">MAX(0,BV36+BV38-BV37)</f>
        <v>4153</v>
      </c>
      <c r="BW39" s="1479"/>
      <c r="BX39" s="1479"/>
      <c r="BY39" s="1479"/>
      <c r="BZ39" s="1479"/>
      <c r="CA39" s="1479"/>
      <c r="CB39" s="1479">
        <f>MAX(0,CB36+CB38-CB37)</f>
        <v>4153</v>
      </c>
      <c r="CC39" s="1479"/>
      <c r="CD39" s="1479"/>
      <c r="CE39" s="1479"/>
      <c r="CF39" s="1479"/>
      <c r="CG39" s="1479"/>
      <c r="CH39" s="1479"/>
      <c r="CI39" s="1479">
        <f>MAX(0,CI36+CI38-CI37)</f>
        <v>0</v>
      </c>
      <c r="CJ39" s="1503">
        <v>25542</v>
      </c>
      <c r="CK39" s="1479"/>
      <c r="CL39" s="1479"/>
      <c r="CM39" s="1479"/>
      <c r="CN39" s="1479"/>
      <c r="CO39" s="1479">
        <f>MAX(0,CO36+CO38-CO37)</f>
        <v>0</v>
      </c>
      <c r="CP39" s="1479">
        <f>MAX(0,CP36+CP38-CP37)</f>
        <v>17756</v>
      </c>
      <c r="CQ39" s="1479"/>
      <c r="CR39" s="1479"/>
      <c r="CS39" s="1479"/>
      <c r="CT39" s="1479"/>
      <c r="CU39" s="1479"/>
      <c r="CV39" s="1479"/>
      <c r="CW39" s="1479"/>
      <c r="CX39" s="1479"/>
      <c r="CY39" s="1479"/>
      <c r="CZ39" s="1479"/>
      <c r="DA39" s="1479"/>
      <c r="DB39" s="1479"/>
      <c r="DC39" s="1479">
        <f>MAX(0,DC36+DC38-DC37)</f>
        <v>0</v>
      </c>
      <c r="DD39" s="1479">
        <v>21875</v>
      </c>
      <c r="DE39" s="1479"/>
      <c r="DF39" s="1479"/>
      <c r="DG39" s="1479"/>
      <c r="DH39" s="1479"/>
      <c r="DI39" s="1479"/>
      <c r="DJ39" s="1479"/>
      <c r="DK39" s="1479"/>
      <c r="DL39" s="1479"/>
      <c r="DM39" s="1479"/>
      <c r="DN39" s="1479">
        <f>MAX(0,DN36+DN38-DN37)</f>
        <v>30495</v>
      </c>
      <c r="DO39" s="1479">
        <f t="shared" ref="DO39:DS39" si="13">MAX(0,DO36+DO38-DO37)</f>
        <v>3958</v>
      </c>
      <c r="DP39" s="1479"/>
      <c r="DQ39" s="1479"/>
      <c r="DR39" s="1479"/>
      <c r="DS39" s="1479">
        <f t="shared" si="13"/>
        <v>3958</v>
      </c>
      <c r="DT39" s="1479"/>
      <c r="DU39" s="1479"/>
      <c r="DV39" s="1479">
        <f t="shared" ref="DV39" si="14">MAX(0,DV36+DV38-DV37)</f>
        <v>8676</v>
      </c>
      <c r="DW39" s="1479"/>
      <c r="DX39" s="1503"/>
      <c r="DY39" s="1479"/>
      <c r="DZ39" s="1479"/>
      <c r="EA39" s="1503">
        <f t="shared" ref="EA39:EC39" si="15">MAX(0,EA36+EA38-EA37)</f>
        <v>34656</v>
      </c>
      <c r="EB39" s="1479">
        <f t="shared" si="15"/>
        <v>0</v>
      </c>
      <c r="EC39" s="1479">
        <f t="shared" si="15"/>
        <v>0</v>
      </c>
      <c r="ED39" s="1479">
        <f>MAX(0,ED36+ED38-ED37)</f>
        <v>4000</v>
      </c>
      <c r="EE39" s="1479">
        <f>MAX(0,EE36+EE38-EE37)</f>
        <v>0</v>
      </c>
      <c r="EF39" s="1479"/>
      <c r="EG39" s="1479"/>
      <c r="EH39" s="1479"/>
      <c r="EI39" s="1479"/>
      <c r="EJ39" s="1479"/>
      <c r="EK39" s="1479"/>
      <c r="EL39" s="1504">
        <v>44446</v>
      </c>
      <c r="EM39" s="1479"/>
      <c r="EN39" s="1503"/>
      <c r="EO39" s="1479"/>
      <c r="EP39" s="1479"/>
      <c r="EQ39" s="1479"/>
      <c r="ER39" s="1479"/>
      <c r="ES39" s="1479"/>
      <c r="ET39" s="1479"/>
      <c r="EU39" s="1479"/>
      <c r="EV39" s="1479"/>
      <c r="EW39" s="1479"/>
      <c r="EX39" s="1479"/>
      <c r="EY39" s="1479"/>
      <c r="EZ39" s="1479"/>
      <c r="FA39" s="1479"/>
      <c r="FB39" s="1479"/>
      <c r="FC39" s="1479"/>
      <c r="FD39" s="1479">
        <f>MAX(0,FD36+FD38-FD37)</f>
        <v>34321</v>
      </c>
      <c r="FE39" s="1479">
        <f>MAX(0,FE36+FE38-FE37)</f>
        <v>4153</v>
      </c>
      <c r="FF39" s="1479"/>
      <c r="FG39" s="1479">
        <f>MAX(0,FG36+FG38-FG37)</f>
        <v>4153</v>
      </c>
      <c r="FH39" s="1479">
        <f>MAX(0,FH36+FH38-FH37)</f>
        <v>4153</v>
      </c>
      <c r="FI39" s="1479"/>
      <c r="FJ39" s="1479"/>
      <c r="FK39" s="1479"/>
      <c r="FL39" s="1479"/>
      <c r="FM39" s="1479"/>
      <c r="FN39" s="1479"/>
      <c r="FO39" s="1479"/>
      <c r="FP39" s="1479">
        <f>MAX(0,FP36+FP38-FP37)</f>
        <v>0</v>
      </c>
      <c r="FQ39" s="1479"/>
      <c r="FR39" s="1479"/>
      <c r="FS39" s="1479"/>
      <c r="FT39" s="1479"/>
      <c r="FU39" s="1479"/>
      <c r="FV39" s="1479"/>
      <c r="FW39" s="1479"/>
      <c r="FX39" s="1479"/>
      <c r="FY39" s="1479"/>
      <c r="FZ39" s="1479"/>
      <c r="GA39" s="1479"/>
      <c r="GB39" s="1479"/>
      <c r="GC39" s="1479"/>
      <c r="GD39" s="1479"/>
      <c r="GE39" s="1479"/>
      <c r="GF39" s="1479"/>
      <c r="GG39" s="1479"/>
      <c r="GH39" s="1479"/>
      <c r="GI39" s="1479">
        <f>MAX(0,GI36+GI38-GI37)</f>
        <v>4153</v>
      </c>
      <c r="GJ39" s="1479"/>
      <c r="GK39" s="1479"/>
      <c r="GL39" s="1479"/>
      <c r="GM39" s="1479"/>
      <c r="GN39" s="1479"/>
      <c r="GO39" s="1479">
        <f>MAX(0,GO36+GO38-GO37)</f>
        <v>46800</v>
      </c>
      <c r="GP39" s="1479"/>
      <c r="GQ39" s="1479">
        <f>MAX(0,GQ36+GQ38-GQ37)</f>
        <v>46800</v>
      </c>
      <c r="GR39" s="1479"/>
      <c r="GS39" s="1479"/>
      <c r="GT39" s="1479"/>
      <c r="GU39" s="1479"/>
      <c r="GV39" s="1479"/>
      <c r="GW39" s="1503">
        <v>26034</v>
      </c>
      <c r="GX39" s="1479"/>
      <c r="GY39" s="1479"/>
      <c r="GZ39" s="1479"/>
      <c r="HA39" s="1479"/>
      <c r="HB39" s="1479">
        <f>MAX(0,HB36+HB38-HB37)</f>
        <v>0</v>
      </c>
      <c r="HC39" s="1479"/>
      <c r="HD39" s="1479"/>
      <c r="HE39" s="1479"/>
      <c r="HF39" s="1479"/>
      <c r="HG39" s="1479"/>
      <c r="HH39" s="1479"/>
      <c r="HI39" s="1479"/>
      <c r="HJ39" s="1479"/>
      <c r="HK39" s="1479"/>
      <c r="HL39" s="1479"/>
      <c r="HM39" s="1479"/>
      <c r="HN39" s="1479"/>
      <c r="HO39" s="1479"/>
      <c r="HP39" s="1479"/>
      <c r="HQ39" s="1479"/>
      <c r="HR39" s="1479"/>
      <c r="HS39" s="1479"/>
      <c r="HT39" s="1479">
        <f>MAX(0,HT36+HT38-HT37)</f>
        <v>5811</v>
      </c>
      <c r="HU39" s="1479">
        <f>MAX(0,HU36+HU38-HU37)</f>
        <v>2306</v>
      </c>
      <c r="HV39" s="1479">
        <f>MAX(0,HV36+HV38-HV37)</f>
        <v>4153</v>
      </c>
      <c r="HW39" s="1479"/>
      <c r="HX39" s="1479"/>
      <c r="HY39" s="1479"/>
      <c r="HZ39" s="1479"/>
      <c r="IA39" s="1479"/>
      <c r="IB39" s="1479"/>
      <c r="IC39" s="1479"/>
      <c r="ID39" s="1479"/>
      <c r="IE39" s="1479"/>
      <c r="IF39" s="1479"/>
      <c r="IG39" s="1479"/>
      <c r="IH39" s="1479"/>
      <c r="II39" s="1479"/>
      <c r="IJ39" s="1479"/>
      <c r="IK39" s="1479"/>
      <c r="IL39" s="1479"/>
      <c r="IM39" s="1479"/>
      <c r="IN39" s="1479"/>
      <c r="IO39" s="1479">
        <f>MAX(0,IO36+IO38-IO37)</f>
        <v>0</v>
      </c>
      <c r="IP39" s="1479"/>
      <c r="IQ39" s="1479"/>
      <c r="IR39" s="1479"/>
      <c r="IS39" s="1479"/>
      <c r="IT39" s="1479"/>
      <c r="IU39" s="1479"/>
      <c r="IV39" s="1479"/>
      <c r="IW39" s="1479"/>
      <c r="IX39" s="1479"/>
      <c r="IY39" s="1503"/>
      <c r="IZ39" s="1479"/>
      <c r="JA39" s="1479"/>
      <c r="JB39" s="1479"/>
      <c r="JC39" s="1479"/>
      <c r="JD39" s="1479">
        <f>MAX(0,JD36+JD38-JD37)</f>
        <v>4153</v>
      </c>
      <c r="JE39" s="1479"/>
      <c r="JF39" s="1479"/>
      <c r="JG39" s="1479">
        <f>MAX(0,JG36+JG38-JG37)</f>
        <v>1159</v>
      </c>
      <c r="JH39" s="1479">
        <f>MAX(0,JH36+JH38-JH37)</f>
        <v>10353</v>
      </c>
      <c r="JI39" s="1479"/>
      <c r="JJ39" s="1479"/>
      <c r="JK39" s="1479"/>
      <c r="JL39" s="1503">
        <v>18650</v>
      </c>
      <c r="JM39" s="1479"/>
      <c r="JN39" s="1479"/>
      <c r="JO39" s="1479"/>
      <c r="JP39" s="1479">
        <f>MAX(0,JP36+JP38-JP37)</f>
        <v>100</v>
      </c>
      <c r="JQ39" s="1479"/>
      <c r="JR39" s="351"/>
      <c r="JS39" s="1400" t="s">
        <v>2997</v>
      </c>
      <c r="JT39" s="1400" t="s">
        <v>2224</v>
      </c>
    </row>
    <row r="40" spans="1:280" ht="60" x14ac:dyDescent="0.25">
      <c r="A40" s="1367">
        <v>39</v>
      </c>
      <c r="B40" s="1411">
        <f t="shared" si="8"/>
        <v>53827</v>
      </c>
      <c r="C40" s="1508" t="s">
        <v>2998</v>
      </c>
      <c r="D40" s="1436" t="s">
        <v>2999</v>
      </c>
      <c r="E40" s="1479"/>
      <c r="F40" s="1479"/>
      <c r="G40" s="1479"/>
      <c r="H40" s="1479"/>
      <c r="I40" s="1479"/>
      <c r="J40" s="1479"/>
      <c r="K40" s="1479"/>
      <c r="L40" s="1479"/>
      <c r="M40" s="1479">
        <f>MAX(0,(M27+M28+M29+M31)-(M26+M34+M35))</f>
        <v>0</v>
      </c>
      <c r="N40" s="1479"/>
      <c r="O40" s="1479"/>
      <c r="P40" s="1479"/>
      <c r="Q40" s="1479"/>
      <c r="R40" s="1479"/>
      <c r="S40" s="1479"/>
      <c r="T40" s="1479"/>
      <c r="U40" s="1479"/>
      <c r="V40" s="1479"/>
      <c r="W40" s="1479"/>
      <c r="X40" s="1479"/>
      <c r="Y40" s="1479"/>
      <c r="Z40" s="1479">
        <f>MAX(0,(Z27+Z28+Z29+Z31)-(Z26+Z34+Z35))</f>
        <v>0</v>
      </c>
      <c r="AA40" s="1479"/>
      <c r="AB40" s="1479"/>
      <c r="AC40" s="1479">
        <f>MAX(0,(AC27+AC28+AC29+AC31)-(AC26+AC34+AC35))</f>
        <v>417</v>
      </c>
      <c r="AD40" s="1479"/>
      <c r="AE40" s="1479"/>
      <c r="AF40" s="1479"/>
      <c r="AG40" s="1479"/>
      <c r="AH40" s="1479"/>
      <c r="AI40" s="1479"/>
      <c r="AJ40" s="1479"/>
      <c r="AK40" s="1479"/>
      <c r="AL40" s="1479"/>
      <c r="AM40" s="1479"/>
      <c r="AN40" s="1479"/>
      <c r="AO40" s="1479"/>
      <c r="AP40" s="1479"/>
      <c r="AQ40" s="1479"/>
      <c r="AR40" s="1479"/>
      <c r="AS40" s="1479"/>
      <c r="AT40" s="1479">
        <f>MAX(0,(AT27+AT28+AT29+AT31)-(AT26+AT34+AT35))</f>
        <v>10450</v>
      </c>
      <c r="AU40" s="1479"/>
      <c r="AV40" s="1479">
        <f>MAX(0,(AV27+AV28+AV29+AV31)-(AV26+AV34+AV35))</f>
        <v>0</v>
      </c>
      <c r="AW40" s="1479"/>
      <c r="AX40" s="1479"/>
      <c r="AY40" s="1479"/>
      <c r="AZ40" s="1479"/>
      <c r="BA40" s="1479"/>
      <c r="BB40" s="1479"/>
      <c r="BC40" s="1479"/>
      <c r="BD40" s="1479">
        <f>MAX(0,(BD27+BD28+BD29+BD30+BD31+BD32+BD33)-(BD26+BD34+BD35))</f>
        <v>10450</v>
      </c>
      <c r="BE40" s="1479">
        <f>MAX(0,(BE27+BE28+BE29+BE31)-(BE26+BE34+BE35))</f>
        <v>0</v>
      </c>
      <c r="BF40" s="1479"/>
      <c r="BG40" s="1479"/>
      <c r="BH40" s="1479"/>
      <c r="BI40" s="1479"/>
      <c r="BJ40" s="1479"/>
      <c r="BK40" s="1479"/>
      <c r="BL40" s="1479"/>
      <c r="BM40" s="1479"/>
      <c r="BN40" s="1479"/>
      <c r="BO40" s="1479"/>
      <c r="BP40" s="1479"/>
      <c r="BQ40" s="1479"/>
      <c r="BR40" s="1479"/>
      <c r="BS40" s="1479"/>
      <c r="BT40" s="1479"/>
      <c r="BU40" s="1479"/>
      <c r="BV40" s="1479">
        <f>MAX(0,(BV27+BV28+BV29+BV31)-(BV26+BV34+BV35))</f>
        <v>0</v>
      </c>
      <c r="BW40" s="1479"/>
      <c r="BX40" s="1479"/>
      <c r="BY40" s="1479"/>
      <c r="BZ40" s="1479"/>
      <c r="CA40" s="1479"/>
      <c r="CB40" s="1479">
        <f>MAX(0,(CB27+CB28+CB29+CB31)-(CB26+CB34+CB35))</f>
        <v>0</v>
      </c>
      <c r="CC40" s="1479"/>
      <c r="CD40" s="1479"/>
      <c r="CE40" s="1479"/>
      <c r="CF40" s="1479"/>
      <c r="CG40" s="1479"/>
      <c r="CH40" s="1479"/>
      <c r="CI40" s="1503"/>
      <c r="CJ40" s="1479"/>
      <c r="CK40" s="1479"/>
      <c r="CL40" s="1479"/>
      <c r="CM40" s="1479"/>
      <c r="CN40" s="1479"/>
      <c r="CO40" s="1479">
        <f>MAX(0,(CO27+CO28+CO29+CO31)-(CO26+CO34+CO35))</f>
        <v>10450</v>
      </c>
      <c r="CP40" s="1479">
        <f>MAX(0,(CP27+CP28+CP29+CP31)-(CP26+CP34+CP35))</f>
        <v>0</v>
      </c>
      <c r="CQ40" s="1479"/>
      <c r="CR40" s="1479"/>
      <c r="CS40" s="1479"/>
      <c r="CT40" s="1479"/>
      <c r="CU40" s="1479"/>
      <c r="CV40" s="1479"/>
      <c r="CW40" s="1479"/>
      <c r="CX40" s="1479"/>
      <c r="CY40" s="1479"/>
      <c r="CZ40" s="1479"/>
      <c r="DA40" s="1479"/>
      <c r="DB40" s="1479"/>
      <c r="DC40" s="1479">
        <f>MAX(0,(DC27+DC28+DC29+DC31)-(DC26+DC34+DC35))</f>
        <v>38765</v>
      </c>
      <c r="DD40" s="1479">
        <f>MAX(0,(DD27+DD28+DD29+DD31)-(DD26+DD34+DD35))</f>
        <v>0</v>
      </c>
      <c r="DE40" s="1479"/>
      <c r="DF40" s="1479"/>
      <c r="DG40" s="1479"/>
      <c r="DH40" s="1479"/>
      <c r="DI40" s="1479"/>
      <c r="DJ40" s="1479"/>
      <c r="DK40" s="1479"/>
      <c r="DL40" s="1479"/>
      <c r="DM40" s="1479"/>
      <c r="DN40" s="1479">
        <f>MAX(0,(DN27+DN28+DN29+DN31)-(DN26+DN34+DN35))</f>
        <v>0</v>
      </c>
      <c r="DO40" s="1479"/>
      <c r="DP40" s="1479"/>
      <c r="DQ40" s="1479"/>
      <c r="DR40" s="1479"/>
      <c r="DS40" s="1479"/>
      <c r="DT40" s="1479"/>
      <c r="DU40" s="1479"/>
      <c r="DV40" s="1479"/>
      <c r="DW40" s="1479"/>
      <c r="DX40" s="1479">
        <f>MAX(0,(DX27+DX28+DX29+DX31)-(DX26+DX34+DX35))</f>
        <v>0</v>
      </c>
      <c r="DY40" s="1479"/>
      <c r="DZ40" s="1479"/>
      <c r="EA40" s="1479">
        <f t="shared" ref="EA40:EC40" si="16">MAX(0,(EA27+EA28+EA29+EA31)-(EA26+EA34+EA35))</f>
        <v>0</v>
      </c>
      <c r="EB40" s="1479">
        <f t="shared" si="16"/>
        <v>0</v>
      </c>
      <c r="EC40" s="1479">
        <f t="shared" si="16"/>
        <v>0</v>
      </c>
      <c r="ED40" s="1479">
        <f>MAX(0,(ED27+ED28+ED29+ED31)-(ED26+ED34+ED35))</f>
        <v>0</v>
      </c>
      <c r="EE40" s="1479">
        <f>MAX(0,(EE27+EE28+EE29+EE31)-(EE26+EE34+EE35))</f>
        <v>7000</v>
      </c>
      <c r="EF40" s="1479"/>
      <c r="EG40" s="1479"/>
      <c r="EH40" s="1479"/>
      <c r="EI40" s="1479"/>
      <c r="EJ40" s="1479"/>
      <c r="EK40" s="1479"/>
      <c r="EL40" s="1479"/>
      <c r="EM40" s="1479"/>
      <c r="EN40" s="1503"/>
      <c r="EO40" s="1479"/>
      <c r="EP40" s="1479"/>
      <c r="EQ40" s="1479"/>
      <c r="ER40" s="1479"/>
      <c r="ES40" s="1479"/>
      <c r="ET40" s="1479"/>
      <c r="EU40" s="1479"/>
      <c r="EV40" s="1479"/>
      <c r="EW40" s="1479"/>
      <c r="EX40" s="1479"/>
      <c r="EY40" s="1479"/>
      <c r="EZ40" s="1479"/>
      <c r="FA40" s="1479"/>
      <c r="FB40" s="1479"/>
      <c r="FC40" s="1479"/>
      <c r="FD40" s="1479">
        <f>MAX(0,(FD27+FD28+FD29+FD31)-(FD26+FD34+FD35))</f>
        <v>0</v>
      </c>
      <c r="FE40" s="1479">
        <f>MAX(0,(FE27+FE28+FE29+FE31)-(FE26+FE34+FE35))</f>
        <v>0</v>
      </c>
      <c r="FF40" s="1479"/>
      <c r="FG40" s="1479">
        <f>MAX(0,(FG27+FG28+FG29+FG31)-(FG26+FG34+FG35))</f>
        <v>0</v>
      </c>
      <c r="FH40" s="1479">
        <f>MAX(0,(FH27+FH28+FH29+FH31)-(FH26+FH34+FH35))</f>
        <v>0</v>
      </c>
      <c r="FI40" s="1479"/>
      <c r="FJ40" s="1479"/>
      <c r="FK40" s="1504">
        <v>16</v>
      </c>
      <c r="FL40" s="1479"/>
      <c r="FM40" s="1479"/>
      <c r="FN40" s="1479"/>
      <c r="FO40" s="1479"/>
      <c r="FP40" s="1479">
        <f>MAX(0,(FP27+FP28+FP29+FP31)-(FP26+FP34+FP35))</f>
        <v>53827</v>
      </c>
      <c r="FQ40" s="1479"/>
      <c r="FR40" s="1479"/>
      <c r="FS40" s="1479"/>
      <c r="FT40" s="1479"/>
      <c r="FU40" s="1479"/>
      <c r="FV40" s="1479"/>
      <c r="FW40" s="1479"/>
      <c r="FX40" s="1479"/>
      <c r="FY40" s="1479"/>
      <c r="FZ40" s="1479"/>
      <c r="GA40" s="1479"/>
      <c r="GB40" s="1479"/>
      <c r="GC40" s="1479"/>
      <c r="GD40" s="1479"/>
      <c r="GE40" s="1479"/>
      <c r="GF40" s="1479"/>
      <c r="GG40" s="1479"/>
      <c r="GH40" s="1479"/>
      <c r="GI40" s="1479">
        <f>MAX(0,(GI27+GI28+GI29+GI31)-(GI26+GI34+GI35))</f>
        <v>0</v>
      </c>
      <c r="GJ40" s="1479"/>
      <c r="GK40" s="1479"/>
      <c r="GL40" s="1479"/>
      <c r="GM40" s="1479"/>
      <c r="GN40" s="1479"/>
      <c r="GO40" s="1479">
        <f>MAX(0,(GO27+GO28+GO29+GO31)-(GO26+GO34+GO35))</f>
        <v>0</v>
      </c>
      <c r="GP40" s="1479"/>
      <c r="GQ40" s="1479">
        <f>MAX(0,(GQ27+GQ28+GQ29+GQ31)-(GQ26+GQ34+GQ35))</f>
        <v>0</v>
      </c>
      <c r="GR40" s="1479"/>
      <c r="GS40" s="1479"/>
      <c r="GT40" s="1479"/>
      <c r="GU40" s="1479"/>
      <c r="GV40" s="1479"/>
      <c r="GW40" s="1479">
        <f>MAX(0,(GW27+GW28+GW29+GW31)-(GW26+GW34+GW35))</f>
        <v>0</v>
      </c>
      <c r="GX40" s="1479"/>
      <c r="GY40" s="1479"/>
      <c r="GZ40" s="1479"/>
      <c r="HA40" s="1479"/>
      <c r="HB40" s="1479">
        <f>MAX(0,(HB27+HB28+HB29+HB31)-(HB26+HB34+HB35))</f>
        <v>0</v>
      </c>
      <c r="HC40" s="1479"/>
      <c r="HD40" s="1479"/>
      <c r="HE40" s="1479"/>
      <c r="HF40" s="1479"/>
      <c r="HG40" s="1479"/>
      <c r="HH40" s="1479"/>
      <c r="HI40" s="1479"/>
      <c r="HJ40" s="1479"/>
      <c r="HK40" s="1479"/>
      <c r="HL40" s="1479"/>
      <c r="HM40" s="1479"/>
      <c r="HN40" s="1479"/>
      <c r="HO40" s="1479"/>
      <c r="HP40" s="1479"/>
      <c r="HQ40" s="1479"/>
      <c r="HR40" s="1479"/>
      <c r="HS40" s="1479"/>
      <c r="HT40" s="1479">
        <f>MAX(0,(HT27+HT28+HT29+HT31)-(HT26+HT34+HT35))</f>
        <v>0</v>
      </c>
      <c r="HU40" s="1479">
        <f>MAX(0,(HU27+HU28+HU29+HU31)-(HU26+HU34+HU35))</f>
        <v>0</v>
      </c>
      <c r="HV40" s="1479">
        <f>MAX(0,(HV27+HV28+HV29+HV31)-(HV26+HV34+HV35))</f>
        <v>0</v>
      </c>
      <c r="HW40" s="1479"/>
      <c r="HX40" s="1479"/>
      <c r="HY40" s="1479"/>
      <c r="HZ40" s="1479"/>
      <c r="IA40" s="1479"/>
      <c r="IB40" s="1479"/>
      <c r="IC40" s="1479"/>
      <c r="ID40" s="1479"/>
      <c r="IE40" s="1479"/>
      <c r="IF40" s="1479"/>
      <c r="IG40" s="1479"/>
      <c r="IH40" s="1479"/>
      <c r="II40" s="1479"/>
      <c r="IJ40" s="1479"/>
      <c r="IK40" s="1479"/>
      <c r="IL40" s="1479"/>
      <c r="IM40" s="1479"/>
      <c r="IN40" s="1479"/>
      <c r="IO40" s="1479">
        <f>MAX(0,(IO27+IO28+IO29+IO31)-(IO26+IO34+IO35))</f>
        <v>2438</v>
      </c>
      <c r="IP40" s="1479"/>
      <c r="IQ40" s="1479"/>
      <c r="IR40" s="1479"/>
      <c r="IS40" s="1479"/>
      <c r="IT40" s="1479"/>
      <c r="IU40" s="1479"/>
      <c r="IV40" s="1479"/>
      <c r="IW40" s="1479"/>
      <c r="IX40" s="1479"/>
      <c r="IY40" s="1479"/>
      <c r="IZ40" s="1479"/>
      <c r="JA40" s="1479"/>
      <c r="JB40" s="1479"/>
      <c r="JC40" s="1479"/>
      <c r="JD40" s="1479">
        <f>MAX(0,(JD27+JD28+JD29+JD31)-(JD26+JD34+JD35))</f>
        <v>0</v>
      </c>
      <c r="JE40" s="1479"/>
      <c r="JF40" s="1479"/>
      <c r="JG40" s="1479">
        <f>MAX(0,(JG27+JG28+JG29+JG31)-(JG26+JG34+JG35))</f>
        <v>0</v>
      </c>
      <c r="JH40" s="1479"/>
      <c r="JI40" s="1479"/>
      <c r="JJ40" s="1479"/>
      <c r="JK40" s="1479"/>
      <c r="JL40" s="1479"/>
      <c r="JM40" s="1479"/>
      <c r="JN40" s="1479"/>
      <c r="JO40" s="1479"/>
      <c r="JP40" s="1479">
        <f>MAX(0,(JP27+JP28+JP29+JP31)-(JP26+JP34+JP35))</f>
        <v>0</v>
      </c>
      <c r="JQ40" s="1479"/>
      <c r="JR40" s="351"/>
      <c r="JS40" s="1400" t="s">
        <v>3000</v>
      </c>
      <c r="JT40" s="1400" t="s">
        <v>2224</v>
      </c>
    </row>
    <row r="41" spans="1:280" ht="20" x14ac:dyDescent="0.25">
      <c r="A41" s="1367">
        <v>40</v>
      </c>
      <c r="B41" s="1411">
        <f t="shared" si="8"/>
        <v>53827</v>
      </c>
      <c r="C41" s="1508" t="s">
        <v>3001</v>
      </c>
      <c r="D41" s="1436" t="s">
        <v>3002</v>
      </c>
      <c r="E41" s="1632"/>
      <c r="F41" s="1632"/>
      <c r="G41" s="1632"/>
      <c r="H41" s="1632"/>
      <c r="I41" s="1632"/>
      <c r="J41" s="1632"/>
      <c r="K41" s="1632"/>
      <c r="L41" s="1632"/>
      <c r="M41" s="1632" t="str">
        <f>IF(M12="Y","",IF(M40=0,"",M40))</f>
        <v/>
      </c>
      <c r="N41" s="1632"/>
      <c r="O41" s="1632"/>
      <c r="P41" s="1632"/>
      <c r="Q41" s="1632"/>
      <c r="R41" s="1632"/>
      <c r="S41" s="1632"/>
      <c r="T41" s="1632"/>
      <c r="U41" s="1632"/>
      <c r="V41" s="1632"/>
      <c r="W41" s="1632"/>
      <c r="X41" s="1632"/>
      <c r="Y41" s="1632"/>
      <c r="Z41" s="1632" t="str">
        <f>IF(Z12="Y","",IF(Z40=0,"",Z40))</f>
        <v/>
      </c>
      <c r="AA41" s="1632"/>
      <c r="AB41" s="1632"/>
      <c r="AC41" s="1632"/>
      <c r="AD41" s="1632"/>
      <c r="AE41" s="1632"/>
      <c r="AF41" s="1632"/>
      <c r="AG41" s="1632"/>
      <c r="AH41" s="1632"/>
      <c r="AI41" s="1632"/>
      <c r="AJ41" s="1632"/>
      <c r="AK41" s="1632"/>
      <c r="AL41" s="1632"/>
      <c r="AM41" s="1632"/>
      <c r="AN41" s="1632"/>
      <c r="AO41" s="1632" t="str">
        <f>IF(AO12="Y","",IF(AO40=0,"",AO40))</f>
        <v/>
      </c>
      <c r="AP41" s="1632"/>
      <c r="AQ41" s="1632"/>
      <c r="AR41" s="1632"/>
      <c r="AS41" s="1632"/>
      <c r="AT41" s="1632">
        <f>IF(AT12="Y","",IF(AT40=0,"",AT40))</f>
        <v>10450</v>
      </c>
      <c r="AU41" s="1632"/>
      <c r="AV41" s="1632" t="str">
        <f>IF(AV12="Y","",IF(AV40=0,"",AV40))</f>
        <v/>
      </c>
      <c r="AW41" s="1632"/>
      <c r="AX41" s="1632"/>
      <c r="AY41" s="1632"/>
      <c r="AZ41" s="1632"/>
      <c r="BA41" s="1632"/>
      <c r="BB41" s="1632"/>
      <c r="BC41" s="1632"/>
      <c r="BD41" s="1632">
        <f>IF(BD12="Y","",IF(BD40=0,"",BD40))</f>
        <v>10450</v>
      </c>
      <c r="BE41" s="1632" t="str">
        <f>IF(BE12="Y","",IF(BE40=0,"",BE40))</f>
        <v/>
      </c>
      <c r="BF41" s="1632"/>
      <c r="BG41" s="1632"/>
      <c r="BH41" s="1632"/>
      <c r="BI41" s="1632"/>
      <c r="BJ41" s="1632"/>
      <c r="BK41" s="1632"/>
      <c r="BL41" s="1632"/>
      <c r="BM41" s="1632"/>
      <c r="BN41" s="1632"/>
      <c r="BO41" s="1632"/>
      <c r="BP41" s="1632"/>
      <c r="BQ41" s="1632"/>
      <c r="BR41" s="1632"/>
      <c r="BS41" s="1632"/>
      <c r="BT41" s="1632"/>
      <c r="BU41" s="1632"/>
      <c r="BV41" s="1632" t="str">
        <f>IF(BV12="Y","",IF(BV40=0,"",BV40))</f>
        <v/>
      </c>
      <c r="BW41" s="1632"/>
      <c r="BX41" s="1632"/>
      <c r="BY41" s="1632"/>
      <c r="BZ41" s="1632"/>
      <c r="CA41" s="1632"/>
      <c r="CB41" s="1632"/>
      <c r="CC41" s="1632"/>
      <c r="CD41" s="1632"/>
      <c r="CE41" s="1632"/>
      <c r="CF41" s="1632"/>
      <c r="CG41" s="1632"/>
      <c r="CH41" s="1632"/>
      <c r="CI41" s="1632"/>
      <c r="CJ41" s="1479"/>
      <c r="CK41" s="1479"/>
      <c r="CL41" s="1479"/>
      <c r="CM41" s="1479"/>
      <c r="CN41" s="1479"/>
      <c r="CO41" s="1632">
        <f>IF(CO12="Y","",IF(CO40=0,"",CO40))</f>
        <v>10450</v>
      </c>
      <c r="CP41" s="1632" t="str">
        <f>IF(CP12="Y","",IF(CP40=0,"",CP40))</f>
        <v/>
      </c>
      <c r="CQ41" s="1479"/>
      <c r="CR41" s="1479"/>
      <c r="CS41" s="1479"/>
      <c r="CT41" s="1479"/>
      <c r="CU41" s="1479"/>
      <c r="CV41" s="1479"/>
      <c r="CW41" s="1479"/>
      <c r="CX41" s="1479"/>
      <c r="CY41" s="1479"/>
      <c r="CZ41" s="1479"/>
      <c r="DA41" s="1479"/>
      <c r="DB41" s="1479"/>
      <c r="DC41" s="1632">
        <f>IF(DC12="Y","",IF(DC40=0,"",DC40))</f>
        <v>38765</v>
      </c>
      <c r="DD41" s="1632" t="str">
        <f>IF(DD12="Y","",IF(DD40=0,"",DD40))</f>
        <v/>
      </c>
      <c r="DE41" s="1632"/>
      <c r="DF41" s="1632"/>
      <c r="DG41" s="1632"/>
      <c r="DH41" s="1632"/>
      <c r="DI41" s="1632"/>
      <c r="DJ41" s="1632"/>
      <c r="DK41" s="1632"/>
      <c r="DL41" s="1632"/>
      <c r="DM41" s="1632"/>
      <c r="DN41" s="1632" t="str">
        <f>IF(DN12="Y","",IF(DN40=0,"",DN40))</f>
        <v/>
      </c>
      <c r="DO41" s="1479"/>
      <c r="DP41" s="1632"/>
      <c r="DQ41" s="1632"/>
      <c r="DR41" s="1632"/>
      <c r="DS41" s="1479"/>
      <c r="DT41" s="1479"/>
      <c r="DU41" s="1479"/>
      <c r="DV41" s="1479"/>
      <c r="DW41" s="1479"/>
      <c r="DX41" s="1632" t="str">
        <f>IF(DX12="Y","",IF(DX40=0,"",DX40))</f>
        <v/>
      </c>
      <c r="DY41" s="1479"/>
      <c r="DZ41" s="1479"/>
      <c r="EA41" s="1479"/>
      <c r="EB41" s="1479"/>
      <c r="EC41" s="1479"/>
      <c r="ED41" s="1479" t="str">
        <f>IF(ED12="Y","",IF(ED40=0,"",ED40))</f>
        <v/>
      </c>
      <c r="EE41" s="1479">
        <v>2500</v>
      </c>
      <c r="EF41" s="1479"/>
      <c r="EG41" s="1479"/>
      <c r="EH41" s="1479"/>
      <c r="EI41" s="1479"/>
      <c r="EJ41" s="1479"/>
      <c r="EK41" s="1479"/>
      <c r="EL41" s="1479"/>
      <c r="EM41" s="1479"/>
      <c r="EN41" s="1454"/>
      <c r="EO41" s="1479"/>
      <c r="EP41" s="1479"/>
      <c r="EQ41" s="1479"/>
      <c r="ER41" s="1479"/>
      <c r="ES41" s="1479"/>
      <c r="ET41" s="1479"/>
      <c r="EU41" s="1479"/>
      <c r="EV41" s="1479"/>
      <c r="EW41" s="1479"/>
      <c r="EX41" s="1479"/>
      <c r="EY41" s="1479"/>
      <c r="EZ41" s="1479"/>
      <c r="FA41" s="1479"/>
      <c r="FB41" s="1479"/>
      <c r="FC41" s="1479"/>
      <c r="FD41" s="1479"/>
      <c r="FE41" s="1479" t="str">
        <f>IF(FE12="Y","",IF(FE40=0,"",FE40))</f>
        <v/>
      </c>
      <c r="FF41" s="1479"/>
      <c r="FG41" s="1479" t="str">
        <f>IF(FG12="Y","",IF(FG40=0,"",FG40))</f>
        <v/>
      </c>
      <c r="FH41" s="1479" t="str">
        <f>IF(FH12="Y","",IF(FH40=0,"",FH40))</f>
        <v/>
      </c>
      <c r="FI41" s="1479"/>
      <c r="FJ41" s="1479"/>
      <c r="FK41" s="1479"/>
      <c r="FL41" s="1479"/>
      <c r="FM41" s="1479"/>
      <c r="FN41" s="1479"/>
      <c r="FO41" s="1479"/>
      <c r="FP41" s="1479">
        <f>IF(FP12="Y","",IF(FP40=0,"",FP40))</f>
        <v>53827</v>
      </c>
      <c r="FQ41" s="1479"/>
      <c r="FR41" s="1479"/>
      <c r="FS41" s="1479"/>
      <c r="FT41" s="1479"/>
      <c r="FU41" s="1479"/>
      <c r="FV41" s="1479"/>
      <c r="FW41" s="1479"/>
      <c r="FX41" s="1479"/>
      <c r="FY41" s="1479"/>
      <c r="FZ41" s="1479"/>
      <c r="GA41" s="1479"/>
      <c r="GB41" s="1479"/>
      <c r="GC41" s="1479"/>
      <c r="GD41" s="1479"/>
      <c r="GE41" s="1479"/>
      <c r="GF41" s="1479"/>
      <c r="GG41" s="1479"/>
      <c r="GH41" s="1479"/>
      <c r="GI41" s="1479" t="str">
        <f>IF(GI12="Y","",IF(GI40=0,"",GI40))</f>
        <v/>
      </c>
      <c r="GJ41" s="1479"/>
      <c r="GK41" s="1479"/>
      <c r="GL41" s="1479"/>
      <c r="GM41" s="1479"/>
      <c r="GN41" s="1479" t="str">
        <f>IF(GN12="Y","",IF(GN40=0,"",GN40))</f>
        <v/>
      </c>
      <c r="GO41" s="1479" t="str">
        <f>IF(GO12="Y","",IF(GO40=0,"",GO40))</f>
        <v/>
      </c>
      <c r="GP41" s="1479"/>
      <c r="GQ41" s="1479" t="str">
        <f>IF(GQ12="Y","",IF(GQ40=0,"",GQ40))</f>
        <v/>
      </c>
      <c r="GR41" s="1479"/>
      <c r="GS41" s="1479"/>
      <c r="GT41" s="1479"/>
      <c r="GU41" s="1479"/>
      <c r="GV41" s="1479"/>
      <c r="GW41" s="1479" t="str">
        <f>IF(GW12="Y","",IF(GW40=0,"",GW40))</f>
        <v/>
      </c>
      <c r="GX41" s="1479"/>
      <c r="GY41" s="1479"/>
      <c r="GZ41" s="1479"/>
      <c r="HA41" s="1479"/>
      <c r="HB41" s="1454">
        <v>15680</v>
      </c>
      <c r="HC41" s="1479"/>
      <c r="HD41" s="1479"/>
      <c r="HE41" s="1479"/>
      <c r="HF41" s="1479"/>
      <c r="HG41" s="1479"/>
      <c r="HH41" s="1479"/>
      <c r="HI41" s="1479"/>
      <c r="HJ41" s="1479"/>
      <c r="HK41" s="1479"/>
      <c r="HL41" s="1479"/>
      <c r="HM41" s="1479"/>
      <c r="HN41" s="1479"/>
      <c r="HO41" s="1479"/>
      <c r="HP41" s="1479"/>
      <c r="HQ41" s="1479"/>
      <c r="HR41" s="1479"/>
      <c r="HS41" s="1479"/>
      <c r="HT41" s="1479" t="str">
        <f>IF(HT12="Y","",IF(HT40=0,"",HT40))</f>
        <v/>
      </c>
      <c r="HU41" s="1479" t="str">
        <f>IF(HU12="Y","",IF(HU40=0,"",HU40))</f>
        <v/>
      </c>
      <c r="HV41" s="1479" t="str">
        <f>IF(HV12="Y","",IF(HV40=0,"",HV40))</f>
        <v/>
      </c>
      <c r="HW41" s="1479"/>
      <c r="HX41" s="1479"/>
      <c r="HY41" s="1479"/>
      <c r="HZ41" s="1479"/>
      <c r="IA41" s="1479"/>
      <c r="IB41" s="1479"/>
      <c r="IC41" s="1479"/>
      <c r="ID41" s="1479"/>
      <c r="IE41" s="1479"/>
      <c r="IF41" s="1479"/>
      <c r="IG41" s="1479"/>
      <c r="IH41" s="1479"/>
      <c r="II41" s="1479"/>
      <c r="IJ41" s="1479"/>
      <c r="IK41" s="1479"/>
      <c r="IL41" s="1479"/>
      <c r="IM41" s="1479"/>
      <c r="IN41" s="1479"/>
      <c r="IO41" s="1479">
        <v>0</v>
      </c>
      <c r="IP41" s="1479"/>
      <c r="IQ41" s="1479"/>
      <c r="IR41" s="1479"/>
      <c r="IS41" s="1479"/>
      <c r="IT41" s="1479"/>
      <c r="IU41" s="1479"/>
      <c r="IV41" s="1479"/>
      <c r="IW41" s="1479"/>
      <c r="IX41" s="1479"/>
      <c r="IY41" s="1479"/>
      <c r="IZ41" s="1479"/>
      <c r="JA41" s="1479"/>
      <c r="JB41" s="1479"/>
      <c r="JC41" s="1479"/>
      <c r="JD41" s="1632" t="str">
        <f>IF(JD12="Y","",IF(JD40=0,"",JD40))</f>
        <v/>
      </c>
      <c r="JE41" s="1479"/>
      <c r="JF41" s="1479"/>
      <c r="JG41" s="1632" t="str">
        <f>IF(JG12="Y","",IF(JG40=0,"",JG40))</f>
        <v/>
      </c>
      <c r="JH41" s="1479"/>
      <c r="JI41" s="1479"/>
      <c r="JJ41" s="1479"/>
      <c r="JK41" s="1479"/>
      <c r="JL41" s="1479"/>
      <c r="JM41" s="1479"/>
      <c r="JN41" s="1479"/>
      <c r="JO41" s="1479"/>
      <c r="JP41" s="1479" t="str">
        <f>IF(JP12="Y","",IF(JP40=0,"",JP40))</f>
        <v/>
      </c>
      <c r="JQ41" s="1479"/>
      <c r="JR41" s="351"/>
      <c r="JS41" s="1400" t="s">
        <v>3003</v>
      </c>
      <c r="JT41" s="1400" t="s">
        <v>2224</v>
      </c>
    </row>
    <row r="42" spans="1:280" ht="20" x14ac:dyDescent="0.25">
      <c r="A42" s="1367">
        <v>41</v>
      </c>
      <c r="B42" s="1411" t="str">
        <f t="shared" si="8"/>
        <v/>
      </c>
      <c r="C42" s="1508" t="s">
        <v>3004</v>
      </c>
      <c r="D42" s="1436" t="s">
        <v>3005</v>
      </c>
      <c r="E42" s="1452"/>
      <c r="F42" s="1452"/>
      <c r="G42" s="1452"/>
      <c r="H42" s="1452"/>
      <c r="I42" s="1452"/>
      <c r="J42" s="1452"/>
      <c r="K42" s="1452"/>
      <c r="L42" s="1452"/>
      <c r="M42" s="1452"/>
      <c r="N42" s="1452"/>
      <c r="O42" s="1452"/>
      <c r="P42" s="1452"/>
      <c r="Q42" s="1452"/>
      <c r="R42" s="1452"/>
      <c r="S42" s="1452"/>
      <c r="T42" s="1452"/>
      <c r="U42" s="1452"/>
      <c r="V42" s="1452"/>
      <c r="W42" s="1452"/>
      <c r="X42" s="1452"/>
      <c r="Y42" s="1452"/>
      <c r="Z42" s="1452"/>
      <c r="AA42" s="1452"/>
      <c r="AB42" s="1452"/>
      <c r="AC42" s="1452"/>
      <c r="AD42" s="1452"/>
      <c r="AE42" s="1452"/>
      <c r="AF42" s="1452"/>
      <c r="AG42" s="1452"/>
      <c r="AH42" s="1452"/>
      <c r="AI42" s="1455"/>
      <c r="AJ42" s="1452"/>
      <c r="AK42" s="1452"/>
      <c r="AL42" s="1452"/>
      <c r="AM42" s="1452"/>
      <c r="AN42" s="1452"/>
      <c r="AO42" s="1452"/>
      <c r="AP42" s="1452"/>
      <c r="AQ42" s="1452"/>
      <c r="AR42" s="1452"/>
      <c r="AS42" s="1452"/>
      <c r="AT42" s="1452"/>
      <c r="AU42" s="1452"/>
      <c r="AV42" s="1452"/>
      <c r="AW42" s="1452"/>
      <c r="AX42" s="1452"/>
      <c r="AY42" s="1452"/>
      <c r="AZ42" s="1452"/>
      <c r="BA42" s="1452"/>
      <c r="BB42" s="1452"/>
      <c r="BC42" s="1452"/>
      <c r="BD42" s="1452"/>
      <c r="BE42" s="1452"/>
      <c r="BF42" s="1452"/>
      <c r="BG42" s="1452"/>
      <c r="BH42" s="1452"/>
      <c r="BI42" s="1452"/>
      <c r="BJ42" s="1452"/>
      <c r="BK42" s="1452"/>
      <c r="BL42" s="1452"/>
      <c r="BM42" s="1452"/>
      <c r="BN42" s="1452"/>
      <c r="BO42" s="1452"/>
      <c r="BP42" s="1452"/>
      <c r="BQ42" s="1452"/>
      <c r="BR42" s="1452"/>
      <c r="BS42" s="1452"/>
      <c r="BT42" s="1452"/>
      <c r="BU42" s="1452"/>
      <c r="BV42" s="1452"/>
      <c r="BW42" s="1452"/>
      <c r="BX42" s="1452"/>
      <c r="BY42" s="1452"/>
      <c r="BZ42" s="1452"/>
      <c r="CA42" s="1452"/>
      <c r="CB42" s="1452"/>
      <c r="CC42" s="1452"/>
      <c r="CD42" s="1452"/>
      <c r="CE42" s="1452"/>
      <c r="CF42" s="1452"/>
      <c r="CG42" s="1452"/>
      <c r="CH42" s="1452"/>
      <c r="CI42" s="1454"/>
      <c r="CJ42" s="1452"/>
      <c r="CK42" s="1452"/>
      <c r="CL42" s="2446"/>
      <c r="CM42" s="2446"/>
      <c r="CN42" s="2446"/>
      <c r="CO42" s="2446"/>
      <c r="CP42" s="2446"/>
      <c r="CQ42" s="2446"/>
      <c r="CR42" s="2446"/>
      <c r="CS42" s="2446"/>
      <c r="CT42" s="2446"/>
      <c r="CU42" s="2446"/>
      <c r="CV42" s="2446"/>
      <c r="CW42" s="2446"/>
      <c r="CX42" s="2446"/>
      <c r="CY42" s="2446"/>
      <c r="CZ42" s="2446"/>
      <c r="DA42" s="2446"/>
      <c r="DB42" s="2446"/>
      <c r="DC42" s="2446"/>
      <c r="DD42" s="2446"/>
      <c r="DE42" s="2446"/>
      <c r="DF42" s="2446"/>
      <c r="DG42" s="2446"/>
      <c r="DH42" s="2446"/>
      <c r="DI42" s="2446"/>
      <c r="DJ42" s="2446"/>
      <c r="DK42" s="2446"/>
      <c r="DL42" s="2446"/>
      <c r="DM42" s="2446"/>
      <c r="DN42" s="2446"/>
      <c r="DO42" s="2446"/>
      <c r="DP42" s="2446"/>
      <c r="DQ42" s="2446"/>
      <c r="DR42" s="2446"/>
      <c r="DS42" s="2446"/>
      <c r="DT42" s="2446"/>
      <c r="DU42" s="2446"/>
      <c r="DV42" s="2446"/>
      <c r="DW42" s="2446"/>
      <c r="DX42" s="2446"/>
      <c r="DY42" s="2446"/>
      <c r="DZ42" s="2446"/>
      <c r="EA42" s="2446"/>
      <c r="EB42" s="2446"/>
      <c r="EC42" s="2446"/>
      <c r="ED42" s="2446"/>
      <c r="EE42" s="2446"/>
      <c r="EF42" s="2446"/>
      <c r="EG42" s="2446"/>
      <c r="EH42" s="2446"/>
      <c r="EI42" s="2446"/>
      <c r="EJ42" s="2446"/>
      <c r="EK42" s="2446"/>
      <c r="EL42" s="2446"/>
      <c r="EM42" s="2446"/>
      <c r="EN42" s="2446"/>
      <c r="EO42" s="2446"/>
      <c r="EP42" s="2446"/>
      <c r="EQ42" s="2446"/>
      <c r="ER42" s="2446"/>
      <c r="ES42" s="2446"/>
      <c r="ET42" s="2446"/>
      <c r="EU42" s="2446"/>
      <c r="EV42" s="2446"/>
      <c r="EW42" s="2446"/>
      <c r="EX42" s="2446"/>
      <c r="EY42" s="2446"/>
      <c r="EZ42" s="2446"/>
      <c r="FA42" s="2446"/>
      <c r="FB42" s="2446"/>
      <c r="FC42" s="2446"/>
      <c r="FD42" s="2446"/>
      <c r="FE42" s="2446"/>
      <c r="FF42" s="2446"/>
      <c r="FG42" s="1452"/>
      <c r="FH42" s="1452"/>
      <c r="FI42" s="1455"/>
      <c r="FJ42" s="1455"/>
      <c r="FK42" s="1455"/>
      <c r="FL42" s="1455"/>
      <c r="FM42" s="1455"/>
      <c r="FN42" s="1455"/>
      <c r="FO42" s="1455"/>
      <c r="FP42" s="1455"/>
      <c r="FQ42" s="1455"/>
      <c r="FR42" s="1455"/>
      <c r="FS42" s="1455"/>
      <c r="FT42" s="1455"/>
      <c r="FU42" s="1455"/>
      <c r="FV42" s="1455"/>
      <c r="FW42" s="1455"/>
      <c r="FX42" s="1455"/>
      <c r="FY42" s="1455"/>
      <c r="FZ42" s="1455"/>
      <c r="GA42" s="1455"/>
      <c r="GB42" s="1455"/>
      <c r="GC42" s="1455"/>
      <c r="GD42" s="1455"/>
      <c r="GE42" s="1455"/>
      <c r="GF42" s="1455"/>
      <c r="GG42" s="1455"/>
      <c r="GH42" s="1455"/>
      <c r="GI42" s="1455"/>
      <c r="GJ42" s="1455"/>
      <c r="GK42" s="1455"/>
      <c r="GL42" s="1455"/>
      <c r="GM42" s="1455"/>
      <c r="GN42" s="1455"/>
      <c r="GO42" s="1455"/>
      <c r="GP42" s="1455"/>
      <c r="GQ42" s="1455"/>
      <c r="GR42" s="1455"/>
      <c r="GS42" s="1455"/>
      <c r="GT42" s="1455"/>
      <c r="GU42" s="1455"/>
      <c r="GV42" s="1455"/>
      <c r="GW42" s="1455"/>
      <c r="GX42" s="1455"/>
      <c r="GY42" s="1455"/>
      <c r="GZ42" s="1455"/>
      <c r="HA42" s="1455"/>
      <c r="HB42" s="1455"/>
      <c r="HC42" s="1455"/>
      <c r="HD42" s="1455"/>
      <c r="HE42" s="1455"/>
      <c r="HF42" s="1455"/>
      <c r="HG42" s="1455"/>
      <c r="HH42" s="1455"/>
      <c r="HI42" s="1455"/>
      <c r="HJ42" s="1455"/>
      <c r="HK42" s="1455"/>
      <c r="HL42" s="1455"/>
      <c r="HM42" s="1455"/>
      <c r="HN42" s="1455"/>
      <c r="HO42" s="1455"/>
      <c r="HP42" s="1455"/>
      <c r="HQ42" s="1455"/>
      <c r="HR42" s="1455"/>
      <c r="HS42" s="1455"/>
      <c r="HT42" s="1455"/>
      <c r="HU42" s="1455"/>
      <c r="HV42" s="1455"/>
      <c r="HW42" s="1455"/>
      <c r="HX42" s="1455"/>
      <c r="HY42" s="1455"/>
      <c r="HZ42" s="1455"/>
      <c r="IA42" s="1455"/>
      <c r="IB42" s="1455"/>
      <c r="IC42" s="1455"/>
      <c r="ID42" s="1455"/>
      <c r="IE42" s="1455"/>
      <c r="IF42" s="1455"/>
      <c r="IG42" s="1455"/>
      <c r="IH42" s="1455"/>
      <c r="II42" s="1455"/>
      <c r="IJ42" s="1455"/>
      <c r="IK42" s="1455"/>
      <c r="IL42" s="1455"/>
      <c r="IM42" s="1455"/>
      <c r="IN42" s="1455"/>
      <c r="IO42" s="1455"/>
      <c r="IP42" s="1455"/>
      <c r="IQ42" s="1455"/>
      <c r="IR42" s="1455"/>
      <c r="IS42" s="1455"/>
      <c r="IT42" s="1455"/>
      <c r="IU42" s="1455"/>
      <c r="IV42" s="1455"/>
      <c r="IW42" s="1455"/>
      <c r="IX42" s="1455"/>
      <c r="IY42" s="1455"/>
      <c r="IZ42" s="1455"/>
      <c r="JA42" s="1455"/>
      <c r="JB42" s="1455"/>
      <c r="JC42" s="1455"/>
      <c r="JD42" s="1455"/>
      <c r="JE42" s="1455"/>
      <c r="JF42" s="1455"/>
      <c r="JG42" s="1455"/>
      <c r="JH42" s="1455"/>
      <c r="JI42" s="1455"/>
      <c r="JJ42" s="1455"/>
      <c r="JK42" s="1455"/>
      <c r="JL42" s="1455"/>
      <c r="JM42" s="1455"/>
      <c r="JN42" s="1455"/>
      <c r="JO42" s="1455"/>
      <c r="JP42" s="1455"/>
      <c r="JQ42" s="1455"/>
      <c r="JR42" s="351"/>
      <c r="JS42" s="1400" t="s">
        <v>3006</v>
      </c>
      <c r="JT42" s="1400" t="s">
        <v>2242</v>
      </c>
    </row>
    <row r="43" spans="1:280" x14ac:dyDescent="0.25">
      <c r="A43" s="1367">
        <v>42</v>
      </c>
      <c r="B43" s="1411" t="str">
        <f t="shared" si="8"/>
        <v/>
      </c>
      <c r="C43" s="1508" t="s">
        <v>3007</v>
      </c>
      <c r="D43" s="1436" t="s">
        <v>3008</v>
      </c>
      <c r="E43" s="1452"/>
      <c r="F43" s="1452"/>
      <c r="G43" s="1452"/>
      <c r="H43" s="1452"/>
      <c r="I43" s="1452"/>
      <c r="J43" s="1452"/>
      <c r="K43" s="1452"/>
      <c r="L43" s="1452"/>
      <c r="M43" s="1452"/>
      <c r="N43" s="1452"/>
      <c r="O43" s="1452"/>
      <c r="P43" s="1452"/>
      <c r="Q43" s="1452"/>
      <c r="R43" s="1452"/>
      <c r="S43" s="1452"/>
      <c r="T43" s="1452"/>
      <c r="U43" s="1452"/>
      <c r="V43" s="1452"/>
      <c r="W43" s="1452"/>
      <c r="X43" s="1452"/>
      <c r="Y43" s="1452"/>
      <c r="Z43" s="1452"/>
      <c r="AA43" s="1452"/>
      <c r="AB43" s="1452"/>
      <c r="AC43" s="1452"/>
      <c r="AD43" s="1452"/>
      <c r="AE43" s="1452"/>
      <c r="AF43" s="1452"/>
      <c r="AG43" s="1452"/>
      <c r="AH43" s="1452"/>
      <c r="AI43" s="1455"/>
      <c r="AJ43" s="1452"/>
      <c r="AK43" s="1452"/>
      <c r="AL43" s="1452"/>
      <c r="AM43" s="1452"/>
      <c r="AN43" s="1452"/>
      <c r="AO43" s="1452"/>
      <c r="AP43" s="1452"/>
      <c r="AQ43" s="1452"/>
      <c r="AR43" s="1452"/>
      <c r="AS43" s="1452"/>
      <c r="AT43" s="1452"/>
      <c r="AU43" s="1452"/>
      <c r="AV43" s="1452"/>
      <c r="AW43" s="1452"/>
      <c r="AX43" s="1452"/>
      <c r="AY43" s="1452"/>
      <c r="AZ43" s="1452"/>
      <c r="BA43" s="1452"/>
      <c r="BB43" s="1452"/>
      <c r="BC43" s="1452"/>
      <c r="BD43" s="1452"/>
      <c r="BE43" s="1452"/>
      <c r="BF43" s="1452"/>
      <c r="BG43" s="1452"/>
      <c r="BH43" s="1452"/>
      <c r="BI43" s="1452"/>
      <c r="BJ43" s="1452"/>
      <c r="BK43" s="1452"/>
      <c r="BL43" s="1452"/>
      <c r="BM43" s="1452"/>
      <c r="BN43" s="1452"/>
      <c r="BO43" s="1452"/>
      <c r="BP43" s="1452"/>
      <c r="BQ43" s="1452"/>
      <c r="BR43" s="1452"/>
      <c r="BS43" s="1452"/>
      <c r="BT43" s="1452"/>
      <c r="BU43" s="1452"/>
      <c r="BV43" s="1452"/>
      <c r="BW43" s="1452"/>
      <c r="BX43" s="1452"/>
      <c r="BY43" s="1452"/>
      <c r="BZ43" s="1452"/>
      <c r="CA43" s="1452"/>
      <c r="CB43" s="1452"/>
      <c r="CC43" s="1452"/>
      <c r="CD43" s="1452"/>
      <c r="CE43" s="1452"/>
      <c r="CF43" s="1452"/>
      <c r="CG43" s="1452"/>
      <c r="CH43" s="1452"/>
      <c r="CI43" s="1452"/>
      <c r="CJ43" s="1782"/>
      <c r="CK43" s="1782"/>
      <c r="CL43" s="1782"/>
      <c r="CM43" s="1782"/>
      <c r="CN43" s="1782"/>
      <c r="CO43" s="1455"/>
      <c r="CP43" s="1455"/>
      <c r="CQ43" s="1452"/>
      <c r="CR43" s="1452"/>
      <c r="CS43" s="1452"/>
      <c r="CT43" s="1452"/>
      <c r="CU43" s="1452"/>
      <c r="CV43" s="1452"/>
      <c r="CW43" s="1452"/>
      <c r="CX43" s="1452"/>
      <c r="CY43" s="1452"/>
      <c r="CZ43" s="1452"/>
      <c r="DA43" s="1452"/>
      <c r="DB43" s="1452"/>
      <c r="DC43" s="1455"/>
      <c r="DD43" s="1455"/>
      <c r="DE43" s="1452"/>
      <c r="DF43" s="1452"/>
      <c r="DG43" s="1452"/>
      <c r="DH43" s="1452"/>
      <c r="DI43" s="1452"/>
      <c r="DJ43" s="1452"/>
      <c r="DK43" s="1452"/>
      <c r="DL43" s="1452"/>
      <c r="DM43" s="1452"/>
      <c r="DN43" s="1452"/>
      <c r="DO43" s="1452"/>
      <c r="DP43" s="1452"/>
      <c r="DQ43" s="1452"/>
      <c r="DR43" s="1452"/>
      <c r="DS43" s="1452"/>
      <c r="DT43" s="1452"/>
      <c r="DU43" s="1452"/>
      <c r="DV43" s="1452"/>
      <c r="DW43" s="1452"/>
      <c r="DX43" s="1452"/>
      <c r="DY43" s="1452"/>
      <c r="DZ43" s="1452"/>
      <c r="EA43" s="1452"/>
      <c r="EB43" s="1452"/>
      <c r="EC43" s="1452"/>
      <c r="ED43" s="1452"/>
      <c r="EE43" s="1452"/>
      <c r="EF43" s="1452"/>
      <c r="EG43" s="1452"/>
      <c r="EH43" s="1452"/>
      <c r="EI43" s="1452"/>
      <c r="EJ43" s="1452"/>
      <c r="EK43" s="1452"/>
      <c r="EL43" s="1452"/>
      <c r="EM43" s="1452"/>
      <c r="EN43" s="1452"/>
      <c r="EO43" s="1455"/>
      <c r="EP43" s="1455"/>
      <c r="EQ43" s="1455"/>
      <c r="ER43" s="1455"/>
      <c r="ES43" s="1455"/>
      <c r="ET43" s="1455"/>
      <c r="EU43" s="1455"/>
      <c r="EV43" s="1455"/>
      <c r="EW43" s="1455"/>
      <c r="EX43" s="1455"/>
      <c r="EY43" s="1455"/>
      <c r="EZ43" s="1455"/>
      <c r="FA43" s="1455"/>
      <c r="FB43" s="1455"/>
      <c r="FC43" s="1455"/>
      <c r="FD43" s="1455"/>
      <c r="FE43" s="1452"/>
      <c r="FF43" s="1455"/>
      <c r="FG43" s="1452"/>
      <c r="FH43" s="1452"/>
      <c r="FI43" s="1455"/>
      <c r="FJ43" s="1455"/>
      <c r="FK43" s="1472">
        <v>16</v>
      </c>
      <c r="FL43" s="1455"/>
      <c r="FM43" s="1455"/>
      <c r="FN43" s="1455"/>
      <c r="FO43" s="1455"/>
      <c r="FP43" s="1455"/>
      <c r="FQ43" s="1455"/>
      <c r="FR43" s="1455"/>
      <c r="FS43" s="1455"/>
      <c r="FT43" s="1455"/>
      <c r="FU43" s="1455"/>
      <c r="FV43" s="1455"/>
      <c r="FW43" s="1455"/>
      <c r="FX43" s="1455"/>
      <c r="FY43" s="1455"/>
      <c r="FZ43" s="1455"/>
      <c r="GA43" s="1455"/>
      <c r="GB43" s="1455"/>
      <c r="GC43" s="1455"/>
      <c r="GD43" s="1455"/>
      <c r="GE43" s="1455"/>
      <c r="GF43" s="1455"/>
      <c r="GG43" s="1455"/>
      <c r="GH43" s="1455"/>
      <c r="GI43" s="1452"/>
      <c r="GJ43" s="1455"/>
      <c r="GK43" s="1455"/>
      <c r="GL43" s="1455"/>
      <c r="GM43" s="1455"/>
      <c r="GN43" s="1452"/>
      <c r="GO43" s="1452"/>
      <c r="GP43" s="1455"/>
      <c r="GQ43" s="1452"/>
      <c r="GR43" s="1455"/>
      <c r="GS43" s="1455"/>
      <c r="GT43" s="1455"/>
      <c r="GU43" s="1455"/>
      <c r="GV43" s="1455"/>
      <c r="GW43" s="1452"/>
      <c r="GX43" s="1455"/>
      <c r="GY43" s="1455"/>
      <c r="GZ43" s="1455"/>
      <c r="HA43" s="1455"/>
      <c r="HB43" s="1452"/>
      <c r="HC43" s="1455"/>
      <c r="HD43" s="1455"/>
      <c r="HE43" s="1455"/>
      <c r="HF43" s="1455"/>
      <c r="HG43" s="1455"/>
      <c r="HH43" s="1455"/>
      <c r="HI43" s="1455"/>
      <c r="HJ43" s="1455"/>
      <c r="HK43" s="1455"/>
      <c r="HL43" s="1455"/>
      <c r="HM43" s="1455"/>
      <c r="HN43" s="1455"/>
      <c r="HO43" s="1455"/>
      <c r="HP43" s="1455"/>
      <c r="HQ43" s="1455"/>
      <c r="HR43" s="1455"/>
      <c r="HS43" s="1455"/>
      <c r="HT43" s="1452"/>
      <c r="HU43" s="1452"/>
      <c r="HV43" s="1452"/>
      <c r="HW43" s="1455"/>
      <c r="HX43" s="1455"/>
      <c r="HY43" s="1455"/>
      <c r="HZ43" s="1455"/>
      <c r="IA43" s="1455"/>
      <c r="IB43" s="1455"/>
      <c r="IC43" s="1455"/>
      <c r="ID43" s="1455"/>
      <c r="IE43" s="1455"/>
      <c r="IF43" s="1455"/>
      <c r="IG43" s="1455"/>
      <c r="IH43" s="1455"/>
      <c r="II43" s="1455"/>
      <c r="IJ43" s="1455"/>
      <c r="IK43" s="1455"/>
      <c r="IL43" s="1455"/>
      <c r="IM43" s="1455"/>
      <c r="IN43" s="1455"/>
      <c r="IO43" s="1452">
        <v>2072</v>
      </c>
      <c r="IP43" s="1455"/>
      <c r="IQ43" s="1455"/>
      <c r="IR43" s="1455"/>
      <c r="IS43" s="1455"/>
      <c r="IT43" s="1455"/>
      <c r="IU43" s="1455"/>
      <c r="IV43" s="1455"/>
      <c r="IW43" s="1455"/>
      <c r="IX43" s="1455"/>
      <c r="IY43" s="1455"/>
      <c r="IZ43" s="1455"/>
      <c r="JA43" s="1455"/>
      <c r="JB43" s="1455"/>
      <c r="JC43" s="1455"/>
      <c r="JD43" s="1452"/>
      <c r="JE43" s="1455"/>
      <c r="JF43" s="1455"/>
      <c r="JG43" s="1455"/>
      <c r="JH43" s="1455"/>
      <c r="JI43" s="1455"/>
      <c r="JJ43" s="1455"/>
      <c r="JK43" s="1455"/>
      <c r="JL43" s="1455"/>
      <c r="JM43" s="1455"/>
      <c r="JN43" s="1455"/>
      <c r="JO43" s="1455"/>
      <c r="JP43" s="1452"/>
      <c r="JQ43" s="1501"/>
      <c r="JR43" s="351"/>
      <c r="JS43" s="1400"/>
      <c r="JT43" s="1400" t="s">
        <v>2224</v>
      </c>
    </row>
    <row r="44" spans="1:280" x14ac:dyDescent="0.25">
      <c r="A44" s="1367">
        <v>43</v>
      </c>
      <c r="B44" s="1411" t="str">
        <f t="shared" si="8"/>
        <v/>
      </c>
      <c r="C44" s="1508" t="s">
        <v>3009</v>
      </c>
      <c r="D44" s="1436" t="str">
        <f>"If your total profits for "&amp;tax_year&amp;" are less than "&amp;DOLLAR(NIC2_SPT,0)&amp;" and you choose to pay Class 2 NICs voluntarily, put 'X' in the box"</f>
        <v>If your total profits for 2025-26 are less than £6,845 and you choose to pay Class 2 NICs voluntarily, put 'X' in the box</v>
      </c>
      <c r="E44" s="1452"/>
      <c r="F44" s="1452"/>
      <c r="G44" s="1452"/>
      <c r="H44" s="1452"/>
      <c r="I44" s="1452"/>
      <c r="J44" s="1452"/>
      <c r="K44" s="1452"/>
      <c r="L44" s="1452"/>
      <c r="M44" s="1452" t="s">
        <v>1707</v>
      </c>
      <c r="N44" s="1452"/>
      <c r="O44" s="1452"/>
      <c r="P44" s="1452"/>
      <c r="Q44" s="1782" t="s">
        <v>1615</v>
      </c>
      <c r="R44" s="1452"/>
      <c r="S44" s="1452"/>
      <c r="T44" s="1452"/>
      <c r="U44" s="1452"/>
      <c r="V44" s="1452"/>
      <c r="W44" s="1452"/>
      <c r="X44" s="1452"/>
      <c r="Y44" s="1452"/>
      <c r="Z44" s="1782" t="str">
        <f>IF(SE_A_IND&gt;1,IF(SE_B_IND&gt;1,"",IF(LUN_IND&gt;1,"",IF(PS_A_IND&gt;1,"",IF(PS_B_IND&gt;1,"",IF(AND(Z39&lt;NIC2_SPT,NIC2_Vol,NIC_ex_set=FALSE),"Y","N"))))),"")</f>
        <v/>
      </c>
      <c r="AA44" s="1452"/>
      <c r="AB44" s="1452"/>
      <c r="AC44" s="1782" t="str">
        <f>IF(SE_A_IND&gt;1,IF(SE_B_IND&gt;1,"",IF(LUN_IND&gt;1,"",IF(PS_A_IND&gt;1,"",IF(PS_B_IND&gt;1,"",IF(AND(AC39&lt;NIC2_SPT,NIC2_Vol,NIC_ex_set=FALSE),"Y","N"))))),"")</f>
        <v/>
      </c>
      <c r="AD44" s="1452"/>
      <c r="AE44" s="1452"/>
      <c r="AF44" s="1452"/>
      <c r="AG44" s="1452"/>
      <c r="AH44" s="1452"/>
      <c r="AI44" s="2446"/>
      <c r="AJ44" s="1452"/>
      <c r="AK44" s="1452"/>
      <c r="AL44" s="1452"/>
      <c r="AM44" s="1452"/>
      <c r="AN44" s="1452"/>
      <c r="AO44" s="1452" t="str">
        <f>IF(SE_A_IND&gt;1,IF(SE_B_IND&gt;1,"",IF(LUN_IND&gt;1,"",IF(PS_A_IND&gt;1,"",IF(PS_B_IND&gt;1,"",IF(AND(AO39&lt;NIC2_SPT,NIC2_Vol,NIC_ex_set=FALSE),"Y","N"))))),"")</f>
        <v/>
      </c>
      <c r="AP44" s="1452"/>
      <c r="AQ44" s="1452"/>
      <c r="AR44" s="1452"/>
      <c r="AS44" s="1452"/>
      <c r="AT44" s="1452" t="str">
        <f>IF(SE_A_IND&gt;1,IF(SE_B_IND&gt;1,"",IF(LUN_IND&gt;1,"",IF(PS_A_IND&gt;1,"",IF(PS_B_IND&gt;1,"",IF(AND(AT39&lt;NIC2_SPT,NIC2_Vol,NIC_ex_set=FALSE),"Y","N"))))),"")</f>
        <v/>
      </c>
      <c r="AU44" s="1452"/>
      <c r="AV44" s="1452" t="str">
        <f>IF(SE_A_IND&gt;1,IF(SE_B_IND&gt;1,"",IF(LUN_IND&gt;1,"",IF(PS_A_IND&gt;1,"",IF(PS_B_IND&gt;1,"",IF(AND(AV39&lt;NIC2_SPT,NIC2_Vol,NIC_ex_set=FALSE),"Y","N"))))),"")</f>
        <v/>
      </c>
      <c r="AW44" s="1452"/>
      <c r="AX44" s="1452"/>
      <c r="AY44" s="1452"/>
      <c r="AZ44" s="1452"/>
      <c r="BA44" s="1452"/>
      <c r="BB44" s="1452" t="str">
        <f>IF(SE_A_IND&gt;1,IF(SE_B_IND&gt;1,"",IF(LUN_IND&gt;1,"",IF(PS_A_IND&gt;1,"",IF(PS_B_IND&gt;1,"",IF(AND(BB39&lt;NIC2_SPT,NIC2_Vol,NIC_ex_set=FALSE),"Y","N"))))),"")</f>
        <v/>
      </c>
      <c r="BC44" s="1452"/>
      <c r="BD44" s="1452" t="s">
        <v>1707</v>
      </c>
      <c r="BE44" s="1452" t="str">
        <f>IF(SE_A_IND&gt;1,IF(SE_B_IND&gt;1,"",IF(LUN_IND&gt;1,"",IF(PS_A_IND&gt;1,"",IF(PS_B_IND&gt;1,"",IF(AND(BE39&lt;NIC2_SPT,NIC2_Vol,NIC_ex_set=FALSE),"Y","N"))))),"")</f>
        <v/>
      </c>
      <c r="BF44" s="1452"/>
      <c r="BG44" s="1452"/>
      <c r="BH44" s="1452"/>
      <c r="BI44" s="1452"/>
      <c r="BJ44" s="1452"/>
      <c r="BK44" s="1452"/>
      <c r="BL44" s="1452"/>
      <c r="BM44" s="1452"/>
      <c r="BN44" s="1452"/>
      <c r="BO44" s="1452"/>
      <c r="BP44" s="1452"/>
      <c r="BQ44" s="1452"/>
      <c r="BR44" s="1452"/>
      <c r="BS44" s="1452"/>
      <c r="BT44" s="1452"/>
      <c r="BU44" s="1452"/>
      <c r="BV44" s="1452" t="str">
        <f>IF(SE_A_IND&gt;1,IF(SE_B_IND&gt;1,"",IF(LUN_IND&gt;1,"",IF(PS_A_IND&gt;1,"",IF(PS_B_IND&gt;1,"",IF(AND(BV39&lt;NIC2_SPT,NIC2_Vol,NIC_ex_set=FALSE),"Y","N"))))),"")</f>
        <v/>
      </c>
      <c r="BW44" s="1452"/>
      <c r="BX44" s="1452"/>
      <c r="BY44" s="1452"/>
      <c r="BZ44" s="1452"/>
      <c r="CA44" s="1452"/>
      <c r="CB44" s="1452"/>
      <c r="CC44" s="1452"/>
      <c r="CD44" s="1452"/>
      <c r="CE44" s="1452"/>
      <c r="CF44" s="1452"/>
      <c r="CG44" s="1452"/>
      <c r="CH44" s="1452"/>
      <c r="CI44" s="1782" t="str">
        <f>IF(SE_A_IND&gt;1,IF(SE_B_IND&gt;1,"",IF(LUN_IND&gt;1,"",IF(PS_A_IND&gt;1,"",IF(PS_B_IND&gt;1,"",IF(AND(CI39&lt;NIC2_SPT,NIC2_Vol,NIC_ex_set=FALSE),"Y","N"))))),"")</f>
        <v/>
      </c>
      <c r="CJ44" s="1782"/>
      <c r="CK44" s="1782"/>
      <c r="CL44" s="1782"/>
      <c r="CM44" s="1782"/>
      <c r="CN44" s="1782"/>
      <c r="CO44" s="2446" t="s">
        <v>1707</v>
      </c>
      <c r="CP44" s="2446"/>
      <c r="CQ44" s="2446"/>
      <c r="CR44" s="2446"/>
      <c r="CS44" s="2446"/>
      <c r="CT44" s="2446"/>
      <c r="CU44" s="2446"/>
      <c r="CV44" s="2446"/>
      <c r="CW44" s="2446"/>
      <c r="CX44" s="2446"/>
      <c r="CY44" s="2446"/>
      <c r="CZ44" s="2446"/>
      <c r="DA44" s="2446"/>
      <c r="DB44" s="2446"/>
      <c r="DC44" s="2446" t="str">
        <f>IF(SE_A_IND&gt;1,IF(SE_B_IND&gt;1,"",IF(LUN_IND&gt;1,"",IF(PS_A_IND&gt;1,"",IF(PS_B_IND&gt;1,"",IF(AND(DC39&lt;NIC2_SPT,NIC2_Vol,NIC_ex_set=FALSE),"Y","N"))))),"")</f>
        <v/>
      </c>
      <c r="DD44" s="2446" t="str">
        <f>IF(SE_A_IND&gt;1,IF(SE_B_IND&gt;1,"",IF(LUN_IND&gt;1,"",IF(PS_A_IND&gt;1,"",IF(PS_B_IND&gt;1,"",IF(AND(DD39&lt;NIC2_SPT,NIC2_Vol,NIC_ex_set=FALSE),"Y","N"))))),"")</f>
        <v/>
      </c>
      <c r="DE44" s="1452"/>
      <c r="DF44" s="1452"/>
      <c r="DG44" s="1452"/>
      <c r="DH44" s="1452"/>
      <c r="DI44" s="1452"/>
      <c r="DJ44" s="1452"/>
      <c r="DK44" s="1452"/>
      <c r="DL44" s="1452"/>
      <c r="DM44" s="1452"/>
      <c r="DN44" s="1452" t="str">
        <f>IF(SE_A_IND&gt;1,IF(SE_B_IND&gt;1,"",IF(LUN_IND&gt;1,"",IF(PS_A_IND&gt;1,"",IF(PS_B_IND&gt;1,"",IF(AND(DN39&lt;NIC2_SPT,NIC2_Vol,NIC_ex_set=FALSE),"Y","N"))))),"")</f>
        <v/>
      </c>
      <c r="DO44" s="1452"/>
      <c r="DP44" s="1452"/>
      <c r="DQ44" s="1452"/>
      <c r="DR44" s="1452"/>
      <c r="DS44" s="1452"/>
      <c r="DT44" s="1452"/>
      <c r="DU44" s="1452"/>
      <c r="DV44" s="1452"/>
      <c r="DW44" s="1452"/>
      <c r="DX44" s="1452" t="str">
        <f>IF(SE_A_IND&gt;1,IF(SE_B_IND&gt;1,"",IF(LUN_IND&gt;1,"",IF(PS_A_IND&gt;1,"",IF(PS_B_IND&gt;1,"",IF(AND(DX39&lt;NIC2_SPT,NIC2_Vol,NIC_ex_set=FALSE),"Y","N"))))),"")</f>
        <v/>
      </c>
      <c r="DY44" s="1452"/>
      <c r="DZ44" s="1452"/>
      <c r="EA44" s="1452"/>
      <c r="EB44" s="1452"/>
      <c r="EC44" s="1452"/>
      <c r="ED44" s="1452" t="str">
        <f>IF(SE_A_IND&gt;1,IF(SE_B_IND&gt;1,"",IF(LUN_IND&gt;1,"",IF(PS_A_IND&gt;1,"",IF(PS_B_IND&gt;1,"",IF(AND(ED39&lt;NIC2_SPT,NIC2_Vol,NIC_ex_set=FALSE),"Y","N"))))),"")</f>
        <v/>
      </c>
      <c r="EE44" s="1452" t="str">
        <f>IF(SE_A_IND&gt;1,IF(SE_B_IND&gt;1,"",IF(LUN_IND&gt;1,"",IF(PS_A_IND&gt;1,"",IF(PS_B_IND&gt;1,"",IF(AND(EE39&lt;NIC2_SPT,NIC2_Vol,NIC_ex_set=FALSE),"Y","N"))))),"")</f>
        <v/>
      </c>
      <c r="EF44" s="1452"/>
      <c r="EG44" s="1452"/>
      <c r="EH44" s="1452"/>
      <c r="EI44" s="1452"/>
      <c r="EJ44" s="1452"/>
      <c r="EK44" s="1452"/>
      <c r="EL44" s="1452"/>
      <c r="EM44" s="1452"/>
      <c r="EN44" s="1781"/>
      <c r="EO44" s="2446"/>
      <c r="EP44" s="2446"/>
      <c r="EQ44" s="2446"/>
      <c r="ER44" s="2446"/>
      <c r="ES44" s="2446"/>
      <c r="ET44" s="2446"/>
      <c r="EU44" s="2446"/>
      <c r="EV44" s="2446"/>
      <c r="EW44" s="2446"/>
      <c r="EX44" s="2446"/>
      <c r="EY44" s="2446"/>
      <c r="EZ44" s="2446"/>
      <c r="FA44" s="2446"/>
      <c r="FB44" s="2446"/>
      <c r="FC44" s="2446"/>
      <c r="FD44" s="2446"/>
      <c r="FE44" s="1782" t="str">
        <f>IF(SE_A_IND&gt;1,IF(SE_B_IND&gt;1,"",IF(LUN_IND&gt;1,"",IF(PS_A_IND&gt;1,"",IF(PS_B_IND&gt;1,"",IF(AND(FE39&lt;NIC2_SPT,NIC2_Vol,NIC_ex_set=FALSE),"Y","N"))))),"")</f>
        <v/>
      </c>
      <c r="FF44" s="2446"/>
      <c r="FG44" s="1782" t="str">
        <f>IF(SE_A_IND&gt;1,IF(SE_B_IND&gt;1,"",IF(LUN_IND&gt;1,"",IF(PS_A_IND&gt;1,"",IF(PS_B_IND&gt;1,"",IF(AND(FG39&lt;NIC2_SPT,NIC2_Vol,NIC_ex_set=FALSE),"Y","N"))))),"")</f>
        <v/>
      </c>
      <c r="FH44" s="1782" t="str">
        <f>IF(SE_A_IND&gt;1,IF(SE_B_IND&gt;1,"",IF(LUN_IND&gt;1,"",IF(PS_A_IND&gt;1,"",IF(PS_B_IND&gt;1,"",IF(AND(FH39&lt;NIC2_SPT,NIC2_Vol,NIC_ex_set=FALSE),"Y","N"))))),"")</f>
        <v/>
      </c>
      <c r="FI44" s="2446"/>
      <c r="FJ44" s="2446"/>
      <c r="FK44" s="2446"/>
      <c r="FL44" s="2446"/>
      <c r="FM44" s="2446"/>
      <c r="FN44" s="2446"/>
      <c r="FO44" s="2446"/>
      <c r="FP44" s="2446" t="str">
        <f>IF(SE_A_IND&gt;1,IF(SE_B_IND&gt;1,"",IF(LUN_IND&gt;1,"",IF(PS_A_IND&gt;1,"",IF(PS_B_IND&gt;1,"",IF(AND(FP39&lt;NIC2_SPT,NIC2_Vol,NIC_ex_set=FALSE),"Y","N"))))),"")</f>
        <v/>
      </c>
      <c r="FQ44" s="2446"/>
      <c r="FR44" s="2446"/>
      <c r="FS44" s="2446"/>
      <c r="FT44" s="2446"/>
      <c r="FU44" s="2446"/>
      <c r="FV44" s="2446"/>
      <c r="FW44" s="2446"/>
      <c r="FX44" s="2446"/>
      <c r="FY44" s="2446"/>
      <c r="FZ44" s="2446"/>
      <c r="GA44" s="2446"/>
      <c r="GB44" s="2446"/>
      <c r="GC44" s="2446"/>
      <c r="GD44" s="2446"/>
      <c r="GE44" s="2446"/>
      <c r="GF44" s="2446"/>
      <c r="GG44" s="2446"/>
      <c r="GH44" s="2446"/>
      <c r="GI44" s="1782" t="str">
        <f>IF(SE_A_IND&gt;1,IF(SE_B_IND&gt;1,"",IF(LUN_IND&gt;1,"",IF(PS_A_IND&gt;1,"",IF(PS_B_IND&gt;1,"",IF(AND(GI39&lt;NIC2_SPT,NIC2_Vol,NIC_ex_set=FALSE),"Y","N"))))),"")</f>
        <v/>
      </c>
      <c r="GJ44" s="2446"/>
      <c r="GK44" s="2446"/>
      <c r="GL44" s="2446"/>
      <c r="GM44" s="2446"/>
      <c r="GN44" s="1782" t="str">
        <f>IF(SE_A_IND&gt;1,IF(SE_B_IND&gt;1,"",IF(LUN_IND&gt;1,"",IF(PS_A_IND&gt;1,"",IF(PS_B_IND&gt;1,"",IF(AND(GN39&lt;NIC2_SPT,NIC2_Vol,NIC_ex_set=FALSE),"Y","N"))))),"")</f>
        <v/>
      </c>
      <c r="GO44" s="1782" t="str">
        <f>IF(SE_A_IND&gt;1,IF(SE_B_IND&gt;1,"",IF(LUN_IND&gt;1,"",IF(PS_A_IND&gt;1,"",IF(PS_B_IND&gt;1,"",IF(AND(GO39&lt;NIC2_SPT,NIC2_Vol,NIC_ex_set=FALSE),"Y","N"))))),"")</f>
        <v/>
      </c>
      <c r="GP44" s="2446"/>
      <c r="GQ44" s="1782" t="str">
        <f>IF(SE_A_IND&gt;1,IF(SE_B_IND&gt;1,"",IF(LUN_IND&gt;1,"",IF(PS_A_IND&gt;1,"",IF(PS_B_IND&gt;1,"",IF(AND(GQ39&lt;NIC2_SPT,NIC2_Vol,NIC_ex_set=FALSE),"Y","N"))))),"")</f>
        <v/>
      </c>
      <c r="GR44" s="2446"/>
      <c r="GS44" s="2446"/>
      <c r="GT44" s="2446"/>
      <c r="GU44" s="2446"/>
      <c r="GV44" s="2446"/>
      <c r="GW44" s="1782" t="str">
        <f>IF(SE_A_IND&gt;1,IF(SE_B_IND&gt;1,"",IF(LUN_IND&gt;1,"",IF(PS_A_IND&gt;1,"",IF(PS_B_IND&gt;1,"",IF(AND(GW39&lt;NIC2_SPT,NIC2_Vol,NIC_ex_set=FALSE),"Y","N"))))),"")</f>
        <v/>
      </c>
      <c r="GX44" s="2446"/>
      <c r="GY44" s="2446"/>
      <c r="GZ44" s="2446"/>
      <c r="HA44" s="2446"/>
      <c r="HB44" s="1782" t="str">
        <f>IF(SE_A_IND&gt;1,IF(SE_B_IND&gt;1,"",IF(LUN_IND&gt;1,"",IF(PS_A_IND&gt;1,"",IF(PS_B_IND&gt;1,"",IF(AND(HB39&lt;NIC2_SPT,NIC2_Vol,NIC_ex_set=FALSE),"Y","N"))))),"")</f>
        <v/>
      </c>
      <c r="HC44" s="2446"/>
      <c r="HD44" s="2446"/>
      <c r="HE44" s="2446"/>
      <c r="HF44" s="2446"/>
      <c r="HG44" s="2446"/>
      <c r="HH44" s="2446"/>
      <c r="HI44" s="2446"/>
      <c r="HJ44" s="2446"/>
      <c r="HK44" s="2446"/>
      <c r="HL44" s="2446"/>
      <c r="HM44" s="2446"/>
      <c r="HN44" s="2446"/>
      <c r="HO44" s="2446"/>
      <c r="HP44" s="2446"/>
      <c r="HQ44" s="2446"/>
      <c r="HR44" s="2446"/>
      <c r="HS44" s="2446"/>
      <c r="HT44" s="1782" t="str">
        <f>IF(SE_A_IND&gt;1,IF(SE_B_IND&gt;1,"",IF(LUN_IND&gt;1,"",IF(PS_A_IND&gt;1,"",IF(PS_B_IND&gt;1,"",IF(AND(HT39&lt;NIC2_SPT,NIC2_Vol,NIC_ex_set=FALSE),"Y","N"))))),"")</f>
        <v/>
      </c>
      <c r="HU44" s="1782" t="str">
        <f>IF(SE_A_IND&gt;1,IF(SE_B_IND&gt;1,"",IF(LUN_IND&gt;1,"",IF(PS_A_IND&gt;1,"",IF(PS_B_IND&gt;1,"",IF(AND(HU39&lt;NIC2_SPT,NIC2_Vol,NIC_ex_set=FALSE),"Y","N"))))),"")</f>
        <v/>
      </c>
      <c r="HV44" s="1782" t="str">
        <f>IF(SE_A_IND&gt;1,IF(SE_B_IND&gt;1,"",IF(LUN_IND&gt;1,"",IF(PS_A_IND&gt;1,"",IF(PS_B_IND&gt;1,"",IF(AND(HV39&lt;NIC2_SPT,NIC2_Vol,NIC_ex_set=FALSE),"Y","N"))))),"")</f>
        <v/>
      </c>
      <c r="HW44" s="2446"/>
      <c r="HX44" s="2446"/>
      <c r="HY44" s="2446"/>
      <c r="HZ44" s="2446"/>
      <c r="IA44" s="2446"/>
      <c r="IB44" s="2446"/>
      <c r="IC44" s="2446"/>
      <c r="ID44" s="2446"/>
      <c r="IE44" s="2446"/>
      <c r="IF44" s="2446"/>
      <c r="IG44" s="2446"/>
      <c r="IH44" s="2446"/>
      <c r="II44" s="2446"/>
      <c r="IJ44" s="2446"/>
      <c r="IK44" s="2446"/>
      <c r="IL44" s="2446"/>
      <c r="IM44" s="2446"/>
      <c r="IN44" s="2446"/>
      <c r="IO44" s="1782" t="s">
        <v>1707</v>
      </c>
      <c r="IP44" s="2446"/>
      <c r="IQ44" s="2446"/>
      <c r="IR44" s="2446"/>
      <c r="IS44" s="2446"/>
      <c r="IT44" s="2446"/>
      <c r="IU44" s="2446"/>
      <c r="IV44" s="2446"/>
      <c r="IW44" s="2446"/>
      <c r="IX44" s="2446"/>
      <c r="IY44" s="2446"/>
      <c r="IZ44" s="2446"/>
      <c r="JA44" s="2446"/>
      <c r="JB44" s="2446"/>
      <c r="JC44" s="2446"/>
      <c r="JD44" s="1782" t="str">
        <f>IF(SE_A_IND&gt;1,IF(SE_B_IND&gt;1,"",IF(LUN_IND&gt;1,"",IF(PS_A_IND&gt;1,"",IF(PS_B_IND&gt;1,"",IF(AND(JD39&lt;NIC2_SPT,NIC2_Vol,NIC_ex_set=FALSE),"Y","N"))))),"")</f>
        <v/>
      </c>
      <c r="JE44" s="2446"/>
      <c r="JF44" s="2446"/>
      <c r="JG44" s="2543" t="s">
        <v>1707</v>
      </c>
      <c r="JH44" s="2446"/>
      <c r="JI44" s="2446"/>
      <c r="JJ44" s="2446"/>
      <c r="JK44" s="2446"/>
      <c r="JL44" s="2446"/>
      <c r="JM44" s="2446"/>
      <c r="JN44" s="2446"/>
      <c r="JO44" s="2446"/>
      <c r="JP44" s="1782" t="str">
        <f>IF(SE_A_IND&gt;1,IF(SE_B_IND&gt;1,"",IF(LUN_IND&gt;1,"",IF(PS_A_IND&gt;1,"",IF(PS_B_IND&gt;1,"",IF(AND(JP39&lt;NIC2_SPT,NIC2_Vol,NIC_ex_set=FALSE),"Y","N"))))),"")</f>
        <v/>
      </c>
      <c r="JQ44" s="2447" t="str">
        <f>IF(SE_A_IND&gt;1,IF(SE_B_IND&gt;1,"",IF(LUN_IND&gt;1,"",IF(PS_A_IND&gt;1,"",IF(PS_B_IND&gt;1,"",IF(AND(JQ39&lt;NIC2_SPT,NIC2_Vol,NIC_ex_set=FALSE),"Y","N"))))),"")</f>
        <v/>
      </c>
      <c r="JR44" s="351"/>
      <c r="JS44" s="1509"/>
      <c r="JT44" s="1400" t="s">
        <v>2319</v>
      </c>
    </row>
    <row r="45" spans="1:280" x14ac:dyDescent="0.25">
      <c r="A45" s="1367">
        <v>44</v>
      </c>
      <c r="B45" s="1411" t="str">
        <f t="shared" si="8"/>
        <v>N</v>
      </c>
      <c r="C45" s="1508" t="s">
        <v>3010</v>
      </c>
      <c r="D45" s="1436" t="s">
        <v>3011</v>
      </c>
      <c r="E45" s="1452"/>
      <c r="F45" s="1452"/>
      <c r="G45" s="1452"/>
      <c r="H45" s="1452"/>
      <c r="I45" s="1452"/>
      <c r="J45" s="1452"/>
      <c r="K45" s="1452"/>
      <c r="L45" s="1452"/>
      <c r="M45" s="1452" t="s">
        <v>1615</v>
      </c>
      <c r="N45" s="1452"/>
      <c r="O45" s="1452"/>
      <c r="P45" s="1452"/>
      <c r="Q45" s="1782" t="s">
        <v>1707</v>
      </c>
      <c r="R45" s="1452"/>
      <c r="S45" s="1452"/>
      <c r="T45" s="1452"/>
      <c r="U45" s="1452"/>
      <c r="V45" s="1452"/>
      <c r="W45" s="1452"/>
      <c r="X45" s="1452"/>
      <c r="Y45" s="1452"/>
      <c r="Z45" s="1782" t="str">
        <f>IF(SE_A_IND&gt;1,IF(NIC_ex_set,"Y","N"),"")</f>
        <v>N</v>
      </c>
      <c r="AA45" s="1452"/>
      <c r="AB45" s="1452"/>
      <c r="AC45" s="1782" t="str">
        <f>IF(SE_A_IND&gt;1,IF(NIC_ex_set,"Y","N"),"")</f>
        <v>N</v>
      </c>
      <c r="AD45" s="1452"/>
      <c r="AE45" s="1452"/>
      <c r="AF45" s="1452"/>
      <c r="AG45" s="1452"/>
      <c r="AH45" s="1452"/>
      <c r="AI45" s="2446"/>
      <c r="AJ45" s="1452"/>
      <c r="AK45" s="1452"/>
      <c r="AL45" s="1452"/>
      <c r="AM45" s="1452"/>
      <c r="AN45" s="1452"/>
      <c r="AO45" s="1452" t="str">
        <f>IF(SE_A_IND&gt;1,IF(NIC_ex_set,"Y","N"),"")</f>
        <v>N</v>
      </c>
      <c r="AP45" s="1452"/>
      <c r="AQ45" s="1452"/>
      <c r="AR45" s="1452"/>
      <c r="AS45" s="1452"/>
      <c r="AT45" s="1452" t="str">
        <f>IF(SE_A_IND&gt;1,IF(NIC_ex_set,"Y","N"),"")</f>
        <v>N</v>
      </c>
      <c r="AU45" s="1452"/>
      <c r="AV45" s="1452" t="str">
        <f>IF(SE_A_IND&gt;1,IF(NIC_ex_set,"Y","N"),"")</f>
        <v>N</v>
      </c>
      <c r="AW45" s="1452"/>
      <c r="AX45" s="1452"/>
      <c r="AY45" s="1452"/>
      <c r="AZ45" s="1452"/>
      <c r="BA45" s="1452"/>
      <c r="BB45" s="1452" t="str">
        <f>IF(SE_A_IND&gt;1,IF(NIC_ex_set,"Y","N"),"")</f>
        <v>N</v>
      </c>
      <c r="BC45" s="1452"/>
      <c r="BD45" s="1452" t="str">
        <f>IF(SE_A_IND&gt;1,IF(NIC_ex_set,"Y","N"),"")</f>
        <v>N</v>
      </c>
      <c r="BE45" s="1452" t="str">
        <f>IF(SE_A_IND&gt;1,IF(NIC_ex_set,"Y","N"),"")</f>
        <v>N</v>
      </c>
      <c r="BF45" s="1452"/>
      <c r="BG45" s="1452"/>
      <c r="BH45" s="1452"/>
      <c r="BI45" s="1452"/>
      <c r="BJ45" s="1452"/>
      <c r="BK45" s="1452"/>
      <c r="BL45" s="1452"/>
      <c r="BM45" s="1452"/>
      <c r="BN45" s="1452"/>
      <c r="BO45" s="1452"/>
      <c r="BP45" s="1452"/>
      <c r="BQ45" s="1452"/>
      <c r="BR45" s="1452"/>
      <c r="BS45" s="1452"/>
      <c r="BT45" s="1452"/>
      <c r="BU45" s="1452"/>
      <c r="BV45" s="1452" t="str">
        <f>IF(SE_A_IND&gt;1,IF(NIC_ex_set,"Y","N"),"")</f>
        <v>N</v>
      </c>
      <c r="BW45" s="1452"/>
      <c r="BX45" s="1452"/>
      <c r="BY45" s="1452"/>
      <c r="BZ45" s="1452"/>
      <c r="CA45" s="1452"/>
      <c r="CB45" s="1452"/>
      <c r="CC45" s="1452"/>
      <c r="CD45" s="1452"/>
      <c r="CE45" s="1452"/>
      <c r="CF45" s="1452"/>
      <c r="CG45" s="1452"/>
      <c r="CH45" s="1452"/>
      <c r="CI45" s="1782" t="str">
        <f>IF(SE_A_IND&gt;1,IF(NIC_ex_set,"Y","N"),"")</f>
        <v>N</v>
      </c>
      <c r="CJ45" s="2543" t="s">
        <v>1707</v>
      </c>
      <c r="CK45" s="2446"/>
      <c r="CL45" s="2446"/>
      <c r="CM45" s="2446"/>
      <c r="CN45" s="2446"/>
      <c r="CO45" s="2446"/>
      <c r="CP45" s="2446" t="s">
        <v>1707</v>
      </c>
      <c r="CQ45" s="2446"/>
      <c r="CR45" s="2446"/>
      <c r="CS45" s="2446"/>
      <c r="CT45" s="2446"/>
      <c r="CU45" s="2446"/>
      <c r="CV45" s="2446"/>
      <c r="CW45" s="2446"/>
      <c r="CX45" s="2446"/>
      <c r="CY45" s="2446"/>
      <c r="CZ45" s="2446"/>
      <c r="DA45" s="2446"/>
      <c r="DB45" s="2446"/>
      <c r="DC45" s="2446" t="str">
        <f>IF(SE_A_IND&gt;1,IF(NIC_ex_set,"Y","N"),"")</f>
        <v>N</v>
      </c>
      <c r="DD45" s="2446" t="str">
        <f>IF(SE_A_IND&gt;1,IF(NIC_ex_set,"Y","N"),"")</f>
        <v>N</v>
      </c>
      <c r="DE45" s="1452"/>
      <c r="DF45" s="1452"/>
      <c r="DG45" s="1452"/>
      <c r="DH45" s="1452"/>
      <c r="DI45" s="1452"/>
      <c r="DJ45" s="1452"/>
      <c r="DK45" s="1452"/>
      <c r="DL45" s="1452"/>
      <c r="DM45" s="1452"/>
      <c r="DN45" s="1452" t="str">
        <f>IF(SE_A_IND&gt;1,IF(NIC_ex_set,"Y","N"),"")</f>
        <v>N</v>
      </c>
      <c r="DO45" s="1452"/>
      <c r="DP45" s="1452"/>
      <c r="DQ45" s="1452"/>
      <c r="DR45" s="1452"/>
      <c r="DS45" s="1452"/>
      <c r="DT45" s="1452"/>
      <c r="DU45" s="1452"/>
      <c r="DV45" s="1452"/>
      <c r="DW45" s="1452"/>
      <c r="DX45" s="1452" t="str">
        <f>IF(SE_A_IND&gt;1,IF(NIC_ex_set,"Y","N"),"")</f>
        <v>N</v>
      </c>
      <c r="DY45" s="1452"/>
      <c r="DZ45" s="1452"/>
      <c r="EA45" s="1452"/>
      <c r="EB45" s="1452"/>
      <c r="EC45" s="1452"/>
      <c r="ED45" s="1452" t="str">
        <f>IF(SE_A_IND&gt;1,IF(NIC_ex_set,"Y","N"),"")</f>
        <v>N</v>
      </c>
      <c r="EE45" s="1452" t="str">
        <f>IF(SE_A_IND&gt;1,IF(NIC_ex_set,"Y","N"),"")</f>
        <v>N</v>
      </c>
      <c r="EF45" s="1452"/>
      <c r="EG45" s="1452"/>
      <c r="EH45" s="1452"/>
      <c r="EI45" s="1452"/>
      <c r="EJ45" s="1452"/>
      <c r="EK45" s="1452"/>
      <c r="EL45" s="1452"/>
      <c r="EM45" s="1452"/>
      <c r="EN45" s="1782"/>
      <c r="EO45" s="2446"/>
      <c r="EP45" s="2446"/>
      <c r="EQ45" s="2446"/>
      <c r="ER45" s="2446"/>
      <c r="ES45" s="2446"/>
      <c r="ET45" s="2446"/>
      <c r="EU45" s="2446"/>
      <c r="EV45" s="2446"/>
      <c r="EW45" s="2446"/>
      <c r="EX45" s="2446"/>
      <c r="EY45" s="2446"/>
      <c r="EZ45" s="2446"/>
      <c r="FA45" s="2446"/>
      <c r="FB45" s="2446"/>
      <c r="FC45" s="2446"/>
      <c r="FD45" s="2446"/>
      <c r="FE45" s="1782" t="str">
        <f>IF(SE_A_IND&gt;1,IF(NIC_ex_set,"Y","N"),"")</f>
        <v>N</v>
      </c>
      <c r="FF45" s="2446"/>
      <c r="FG45" s="1782" t="str">
        <f>IF(SE_A_IND&gt;1,IF(NIC_ex_set,"Y","N"),"")</f>
        <v>N</v>
      </c>
      <c r="FH45" s="1782" t="str">
        <f>IF(SE_A_IND&gt;1,IF(NIC_ex_set,"Y","N"),"")</f>
        <v>N</v>
      </c>
      <c r="FI45" s="2446"/>
      <c r="FJ45" s="2446"/>
      <c r="FK45" s="2446"/>
      <c r="FL45" s="2446"/>
      <c r="FM45" s="2446"/>
      <c r="FN45" s="2446"/>
      <c r="FO45" s="2446"/>
      <c r="FP45" s="2446" t="str">
        <f>IF(SE_A_IND&gt;1,IF(NIC_ex_set,"Y","N"),"")</f>
        <v>N</v>
      </c>
      <c r="FQ45" s="2446"/>
      <c r="FR45" s="2446"/>
      <c r="FS45" s="2446"/>
      <c r="FT45" s="2446"/>
      <c r="FU45" s="2446"/>
      <c r="FV45" s="2446"/>
      <c r="FW45" s="2446"/>
      <c r="FX45" s="2446"/>
      <c r="FY45" s="2446"/>
      <c r="FZ45" s="2446"/>
      <c r="GA45" s="2446"/>
      <c r="GB45" s="2446"/>
      <c r="GC45" s="2446"/>
      <c r="GD45" s="2446"/>
      <c r="GE45" s="2446"/>
      <c r="GF45" s="2446"/>
      <c r="GG45" s="2446"/>
      <c r="GH45" s="2446"/>
      <c r="GI45" s="1782" t="str">
        <f>IF(SE_A_IND&gt;1,IF(NIC_ex_set,"Y","N"),"")</f>
        <v>N</v>
      </c>
      <c r="GJ45" s="2446"/>
      <c r="GK45" s="2446"/>
      <c r="GL45" s="2446"/>
      <c r="GM45" s="2446"/>
      <c r="GN45" s="1782" t="str">
        <f>IF(SE_A_IND&gt;1,IF(NIC_ex_set,"Y","N"),"")</f>
        <v>N</v>
      </c>
      <c r="GO45" s="1782" t="str">
        <f>IF(SE_A_IND&gt;1,IF(NIC_ex_set,"Y","N"),"")</f>
        <v>N</v>
      </c>
      <c r="GP45" s="2446"/>
      <c r="GQ45" s="1782" t="str">
        <f>IF(SE_A_IND&gt;1,IF(NIC_ex_set,"Y","N"),"")</f>
        <v>N</v>
      </c>
      <c r="GR45" s="2446"/>
      <c r="GS45" s="2446"/>
      <c r="GT45" s="2446"/>
      <c r="GU45" s="2446"/>
      <c r="GV45" s="2446"/>
      <c r="GW45" s="1782" t="str">
        <f>IF(SE_A_IND&gt;1,IF(NIC_ex_set,"Y","N"),"")</f>
        <v>N</v>
      </c>
      <c r="GX45" s="2446"/>
      <c r="GY45" s="2446"/>
      <c r="GZ45" s="2446"/>
      <c r="HA45" s="2446"/>
      <c r="HB45" s="1782" t="str">
        <f>IF(SE_A_IND&gt;1,IF(NIC_ex_set,"Y","N"),"")</f>
        <v>N</v>
      </c>
      <c r="HC45" s="2446"/>
      <c r="HD45" s="2446"/>
      <c r="HE45" s="2446"/>
      <c r="HF45" s="2446"/>
      <c r="HG45" s="2446"/>
      <c r="HH45" s="2446"/>
      <c r="HI45" s="2446"/>
      <c r="HJ45" s="2446"/>
      <c r="HK45" s="2446"/>
      <c r="HL45" s="2446"/>
      <c r="HM45" s="2446"/>
      <c r="HN45" s="2446"/>
      <c r="HO45" s="2446"/>
      <c r="HP45" s="2446"/>
      <c r="HQ45" s="2446"/>
      <c r="HR45" s="2446"/>
      <c r="HS45" s="2446"/>
      <c r="HT45" s="1782" t="str">
        <f>IF(SE_A_IND&gt;1,IF(NIC_ex_set,"Y","N"),"")</f>
        <v>N</v>
      </c>
      <c r="HU45" s="1782" t="str">
        <f>IF(SE_A_IND&gt;1,IF(NIC_ex_set,"Y","N"),"")</f>
        <v>N</v>
      </c>
      <c r="HV45" s="1782" t="str">
        <f>IF(SE_A_IND&gt;1,IF(NIC_ex_set,"Y","N"),"")</f>
        <v>N</v>
      </c>
      <c r="HW45" s="2446"/>
      <c r="HX45" s="2446"/>
      <c r="HY45" s="2446"/>
      <c r="HZ45" s="2446"/>
      <c r="IA45" s="2446"/>
      <c r="IB45" s="2446"/>
      <c r="IC45" s="2446"/>
      <c r="ID45" s="2446"/>
      <c r="IE45" s="2446"/>
      <c r="IF45" s="2446"/>
      <c r="IG45" s="2446"/>
      <c r="IH45" s="2446"/>
      <c r="II45" s="2446"/>
      <c r="IJ45" s="2446"/>
      <c r="IK45" s="2446"/>
      <c r="IL45" s="2446"/>
      <c r="IM45" s="2446"/>
      <c r="IN45" s="2446"/>
      <c r="IO45" s="1782" t="str">
        <f>IF(SE_A_IND&gt;1,IF(NIC_ex_set,"Y","N"),"")</f>
        <v>N</v>
      </c>
      <c r="IP45" s="2446"/>
      <c r="IQ45" s="2446"/>
      <c r="IR45" s="2446"/>
      <c r="IS45" s="2446"/>
      <c r="IT45" s="2446"/>
      <c r="IU45" s="2446"/>
      <c r="IV45" s="2446"/>
      <c r="IW45" s="2446"/>
      <c r="IX45" s="2446"/>
      <c r="IY45" s="2446"/>
      <c r="IZ45" s="2446"/>
      <c r="JA45" s="2446"/>
      <c r="JB45" s="2446"/>
      <c r="JC45" s="2446"/>
      <c r="JD45" s="1782" t="str">
        <f>IF(SE_A_IND&gt;1,IF(NIC_ex_set,"Y","N"),"")</f>
        <v>N</v>
      </c>
      <c r="JE45" s="2446"/>
      <c r="JF45" s="2446"/>
      <c r="JG45" s="2446"/>
      <c r="JH45" s="2446"/>
      <c r="JI45" s="2446"/>
      <c r="JJ45" s="2446"/>
      <c r="JK45" s="2446"/>
      <c r="JL45" s="2446"/>
      <c r="JM45" s="2446"/>
      <c r="JN45" s="2446"/>
      <c r="JO45" s="2446"/>
      <c r="JP45" s="1782" t="str">
        <f>IF(SE_A_IND&gt;1,IF(NIC_ex_set,"Y","N"),"")</f>
        <v>N</v>
      </c>
      <c r="JQ45" s="2447" t="str">
        <f>IF(SE_A_IND&gt;1,IF(NIC_ex_set,"Y","N"),"")</f>
        <v>N</v>
      </c>
      <c r="JR45" s="351"/>
      <c r="JS45" s="1400"/>
      <c r="JT45" s="1400" t="s">
        <v>2319</v>
      </c>
    </row>
    <row r="46" spans="1:280" ht="12" thickBot="1" x14ac:dyDescent="0.3">
      <c r="A46" s="1367">
        <v>45</v>
      </c>
      <c r="B46" s="1411" t="str">
        <f>IF(SE_A_IND&gt;1,IF(HLOOKUP(SE_A_IND-1,SSE_RANGE,A46)="","",HLOOKUP(SE_A_IND-1,SSE_RANGE,A46)),"")</f>
        <v/>
      </c>
      <c r="C46" s="2541" t="s">
        <v>3012</v>
      </c>
      <c r="D46" s="722" t="s">
        <v>3013</v>
      </c>
      <c r="E46" s="2508"/>
      <c r="F46" s="2508"/>
      <c r="G46" s="2508"/>
      <c r="H46" s="2508"/>
      <c r="I46" s="2508"/>
      <c r="J46" s="2508"/>
      <c r="K46" s="2508"/>
      <c r="L46" s="2508"/>
      <c r="M46" s="2508"/>
      <c r="N46" s="2508"/>
      <c r="O46" s="2508"/>
      <c r="P46" s="2508"/>
      <c r="Q46" s="2508"/>
      <c r="R46" s="2508"/>
      <c r="S46" s="2508"/>
      <c r="T46" s="2508"/>
      <c r="U46" s="2508"/>
      <c r="V46" s="2508"/>
      <c r="W46" s="2508"/>
      <c r="X46" s="2508"/>
      <c r="Y46" s="2508"/>
      <c r="Z46" s="2508"/>
      <c r="AA46" s="2508"/>
      <c r="AB46" s="2508"/>
      <c r="AC46" s="2508"/>
      <c r="AD46" s="2508"/>
      <c r="AE46" s="2508"/>
      <c r="AF46" s="2508"/>
      <c r="AG46" s="2508"/>
      <c r="AH46" s="2508"/>
      <c r="AI46" s="2510"/>
      <c r="AJ46" s="2508"/>
      <c r="AK46" s="2508"/>
      <c r="AL46" s="2508"/>
      <c r="AM46" s="2508"/>
      <c r="AN46" s="2508"/>
      <c r="AO46" s="2508"/>
      <c r="AP46" s="2508"/>
      <c r="AQ46" s="2508"/>
      <c r="AR46" s="2508"/>
      <c r="AS46" s="2508"/>
      <c r="AT46" s="2508"/>
      <c r="AU46" s="2508"/>
      <c r="AV46" s="2508">
        <v>10421</v>
      </c>
      <c r="AW46" s="2508"/>
      <c r="AX46" s="2508"/>
      <c r="AY46" s="2508"/>
      <c r="AZ46" s="2508"/>
      <c r="BA46" s="2508"/>
      <c r="BB46" s="2508"/>
      <c r="BC46" s="2508"/>
      <c r="BD46" s="2508"/>
      <c r="BE46" s="2508"/>
      <c r="BF46" s="2508"/>
      <c r="BG46" s="2508"/>
      <c r="BH46" s="2508"/>
      <c r="BI46" s="2508"/>
      <c r="BJ46" s="2508"/>
      <c r="BK46" s="2508"/>
      <c r="BL46" s="2508"/>
      <c r="BM46" s="2508"/>
      <c r="BN46" s="2508"/>
      <c r="BO46" s="2508"/>
      <c r="BP46" s="2508"/>
      <c r="BQ46" s="2508"/>
      <c r="BR46" s="2508"/>
      <c r="BS46" s="2508"/>
      <c r="BT46" s="2508"/>
      <c r="BU46" s="2508"/>
      <c r="BV46" s="2508"/>
      <c r="BW46" s="2508"/>
      <c r="BX46" s="2508"/>
      <c r="BY46" s="2508"/>
      <c r="BZ46" s="2508"/>
      <c r="CA46" s="2508"/>
      <c r="CB46" s="2508"/>
      <c r="CC46" s="2508"/>
      <c r="CD46" s="2508"/>
      <c r="CE46" s="2508"/>
      <c r="CF46" s="2508"/>
      <c r="CG46" s="2508"/>
      <c r="CH46" s="2508"/>
      <c r="CI46" s="2508"/>
      <c r="CJ46" s="2510"/>
      <c r="CK46" s="2510"/>
      <c r="CL46" s="2510"/>
      <c r="CM46" s="2510"/>
      <c r="CN46" s="2510"/>
      <c r="CO46" s="2510"/>
      <c r="CP46" s="2510"/>
      <c r="CQ46" s="2510"/>
      <c r="CR46" s="2510"/>
      <c r="CS46" s="2510"/>
      <c r="CT46" s="2510"/>
      <c r="CU46" s="2510"/>
      <c r="CV46" s="2510"/>
      <c r="CW46" s="2510"/>
      <c r="CX46" s="2510"/>
      <c r="CY46" s="2510"/>
      <c r="CZ46" s="2510"/>
      <c r="DA46" s="2510"/>
      <c r="DB46" s="2510"/>
      <c r="DC46" s="2510"/>
      <c r="DD46" s="2510"/>
      <c r="DE46" s="1452"/>
      <c r="DF46" s="1452"/>
      <c r="DG46" s="1452"/>
      <c r="DH46" s="1452"/>
      <c r="DI46" s="1452"/>
      <c r="DJ46" s="1452"/>
      <c r="DK46" s="1452"/>
      <c r="DL46" s="1452"/>
      <c r="DM46" s="1452"/>
      <c r="DN46" s="1452"/>
      <c r="DO46" s="1452"/>
      <c r="DP46" s="1452"/>
      <c r="DQ46" s="1452"/>
      <c r="DR46" s="1452"/>
      <c r="DS46" s="1452"/>
      <c r="DT46" s="1452"/>
      <c r="DU46" s="1452"/>
      <c r="DV46" s="1452"/>
      <c r="DW46" s="1452"/>
      <c r="DX46" s="1452"/>
      <c r="DY46" s="1452"/>
      <c r="DZ46" s="1452"/>
      <c r="EA46" s="2544">
        <v>4267</v>
      </c>
      <c r="EB46" s="1452"/>
      <c r="EC46" s="1452"/>
      <c r="ED46" s="1452"/>
      <c r="EE46" s="1452"/>
      <c r="EF46" s="1452"/>
      <c r="EG46" s="1452"/>
      <c r="EH46" s="1452"/>
      <c r="EI46" s="1452"/>
      <c r="EJ46" s="1452"/>
      <c r="EK46" s="1452"/>
      <c r="EL46" s="1452"/>
      <c r="EM46" s="1452"/>
      <c r="EN46" s="2508"/>
      <c r="EO46" s="2510"/>
      <c r="EP46" s="2510"/>
      <c r="EQ46" s="2510"/>
      <c r="ER46" s="2510"/>
      <c r="ES46" s="2510"/>
      <c r="ET46" s="2510"/>
      <c r="EU46" s="2510"/>
      <c r="EV46" s="2510"/>
      <c r="EW46" s="2510"/>
      <c r="EX46" s="2510"/>
      <c r="EY46" s="2510"/>
      <c r="EZ46" s="2510"/>
      <c r="FA46" s="2510"/>
      <c r="FB46" s="2510"/>
      <c r="FC46" s="2510"/>
      <c r="FD46" s="2510"/>
      <c r="FE46" s="2508"/>
      <c r="FF46" s="2510"/>
      <c r="FG46" s="2508"/>
      <c r="FH46" s="2508"/>
      <c r="FI46" s="2510"/>
      <c r="FJ46" s="2510"/>
      <c r="FK46" s="2510"/>
      <c r="FL46" s="2510"/>
      <c r="FM46" s="2510"/>
      <c r="FN46" s="2510"/>
      <c r="FO46" s="2510"/>
      <c r="FP46" s="2510"/>
      <c r="FQ46" s="2510"/>
      <c r="FR46" s="2510"/>
      <c r="FS46" s="2510"/>
      <c r="FT46" s="2510"/>
      <c r="FU46" s="2510"/>
      <c r="FV46" s="2510"/>
      <c r="FW46" s="2510"/>
      <c r="FX46" s="2510"/>
      <c r="FY46" s="2510"/>
      <c r="FZ46" s="2510"/>
      <c r="GA46" s="2510"/>
      <c r="GB46" s="2510"/>
      <c r="GC46" s="2510"/>
      <c r="GD46" s="2510"/>
      <c r="GE46" s="2510"/>
      <c r="GF46" s="2510"/>
      <c r="GG46" s="2510"/>
      <c r="GH46" s="2510"/>
      <c r="GI46" s="2508"/>
      <c r="GJ46" s="2510"/>
      <c r="GK46" s="2510"/>
      <c r="GL46" s="2510"/>
      <c r="GM46" s="2510"/>
      <c r="GN46" s="2508"/>
      <c r="GO46" s="2508">
        <v>10421</v>
      </c>
      <c r="GP46" s="2510"/>
      <c r="GQ46" s="2508">
        <v>10421</v>
      </c>
      <c r="GR46" s="2510"/>
      <c r="GS46" s="2510"/>
      <c r="GT46" s="2510"/>
      <c r="GU46" s="2510"/>
      <c r="GV46" s="2510"/>
      <c r="GW46" s="2508"/>
      <c r="GX46" s="2510"/>
      <c r="GY46" s="2510"/>
      <c r="GZ46" s="2510"/>
      <c r="HA46" s="2510"/>
      <c r="HB46" s="2508"/>
      <c r="HC46" s="2510"/>
      <c r="HD46" s="2510"/>
      <c r="HE46" s="2510"/>
      <c r="HF46" s="2510"/>
      <c r="HG46" s="2510"/>
      <c r="HH46" s="2510"/>
      <c r="HI46" s="2510"/>
      <c r="HJ46" s="2510"/>
      <c r="HK46" s="2510"/>
      <c r="HL46" s="2510"/>
      <c r="HM46" s="2510"/>
      <c r="HN46" s="2510"/>
      <c r="HO46" s="2510"/>
      <c r="HP46" s="2510"/>
      <c r="HQ46" s="2510"/>
      <c r="HR46" s="2510"/>
      <c r="HS46" s="2510"/>
      <c r="HT46" s="2508"/>
      <c r="HU46" s="2508"/>
      <c r="HV46" s="2508"/>
      <c r="HW46" s="2510"/>
      <c r="HX46" s="2510"/>
      <c r="HY46" s="2510"/>
      <c r="HZ46" s="2510"/>
      <c r="IA46" s="2510"/>
      <c r="IB46" s="2510"/>
      <c r="IC46" s="2510"/>
      <c r="ID46" s="2510"/>
      <c r="IE46" s="2510"/>
      <c r="IF46" s="2510"/>
      <c r="IG46" s="2510"/>
      <c r="IH46" s="2510"/>
      <c r="II46" s="2510"/>
      <c r="IJ46" s="2510"/>
      <c r="IK46" s="2510"/>
      <c r="IL46" s="2510"/>
      <c r="IM46" s="2510"/>
      <c r="IN46" s="2510"/>
      <c r="IO46" s="2508"/>
      <c r="IP46" s="2510"/>
      <c r="IQ46" s="2510"/>
      <c r="IR46" s="2510"/>
      <c r="IS46" s="2510"/>
      <c r="IT46" s="2510"/>
      <c r="IU46" s="2510"/>
      <c r="IV46" s="2510"/>
      <c r="IW46" s="2510"/>
      <c r="IX46" s="2510"/>
      <c r="IY46" s="2510"/>
      <c r="IZ46" s="2510"/>
      <c r="JA46" s="2510"/>
      <c r="JB46" s="2510"/>
      <c r="JC46" s="2510"/>
      <c r="JD46" s="2508"/>
      <c r="JE46" s="2510"/>
      <c r="JF46" s="2510"/>
      <c r="JG46" s="2510"/>
      <c r="JH46" s="2510"/>
      <c r="JI46" s="2510"/>
      <c r="JJ46" s="2510"/>
      <c r="JK46" s="2510"/>
      <c r="JL46" s="2510"/>
      <c r="JM46" s="2510"/>
      <c r="JN46" s="2510"/>
      <c r="JO46" s="2510"/>
      <c r="JP46" s="2508"/>
      <c r="JQ46" s="2511"/>
      <c r="JR46" s="351"/>
      <c r="JS46" s="1400"/>
      <c r="JT46" s="1400" t="s">
        <v>2242</v>
      </c>
    </row>
    <row r="47" spans="1:280" ht="12" thickBot="1" x14ac:dyDescent="0.3"/>
    <row r="48" spans="1:280" x14ac:dyDescent="0.25">
      <c r="A48" s="1367" t="s">
        <v>2201</v>
      </c>
      <c r="B48" s="406" t="str">
        <f>"selected "&amp;SE_B_IND-1</f>
        <v>selected 0</v>
      </c>
      <c r="C48" s="314" t="s">
        <v>25</v>
      </c>
      <c r="D48" s="594"/>
      <c r="E48" s="418">
        <v>1</v>
      </c>
      <c r="F48" s="418">
        <v>2</v>
      </c>
      <c r="G48" s="418">
        <v>3</v>
      </c>
      <c r="H48" s="418">
        <v>4</v>
      </c>
      <c r="I48" s="418">
        <v>5</v>
      </c>
      <c r="J48" s="418">
        <v>6</v>
      </c>
      <c r="K48" s="418">
        <v>7</v>
      </c>
      <c r="L48" s="418">
        <v>8</v>
      </c>
      <c r="M48" s="418">
        <v>9</v>
      </c>
      <c r="N48" s="418">
        <v>10</v>
      </c>
      <c r="O48" s="418">
        <v>11</v>
      </c>
      <c r="P48" s="418">
        <v>12</v>
      </c>
      <c r="Q48" s="418">
        <v>13</v>
      </c>
      <c r="R48" s="418">
        <v>14</v>
      </c>
      <c r="S48" s="418">
        <v>15</v>
      </c>
      <c r="T48" s="418">
        <v>16</v>
      </c>
      <c r="U48" s="418">
        <v>17</v>
      </c>
      <c r="V48" s="418">
        <v>18</v>
      </c>
      <c r="W48" s="418">
        <v>19</v>
      </c>
      <c r="X48" s="418">
        <v>20</v>
      </c>
      <c r="Y48" s="418">
        <v>21</v>
      </c>
      <c r="Z48" s="418">
        <v>22</v>
      </c>
      <c r="AA48" s="418">
        <v>23</v>
      </c>
      <c r="AB48" s="418">
        <v>24</v>
      </c>
      <c r="AC48" s="418">
        <v>25</v>
      </c>
      <c r="AD48" s="418">
        <v>26</v>
      </c>
      <c r="AE48" s="418">
        <v>27</v>
      </c>
      <c r="AF48" s="418">
        <v>28</v>
      </c>
      <c r="AG48" s="418">
        <v>29</v>
      </c>
      <c r="AH48" s="418">
        <v>30</v>
      </c>
      <c r="AI48" s="418">
        <v>31</v>
      </c>
      <c r="AJ48" s="418">
        <v>32</v>
      </c>
      <c r="AK48" s="418">
        <v>33</v>
      </c>
      <c r="AL48" s="418">
        <v>34</v>
      </c>
      <c r="AM48" s="418">
        <v>35</v>
      </c>
      <c r="AN48" s="418">
        <v>36</v>
      </c>
      <c r="AO48" s="418">
        <v>37</v>
      </c>
      <c r="AP48" s="418">
        <v>38</v>
      </c>
      <c r="AQ48" s="418">
        <v>39</v>
      </c>
      <c r="AR48" s="418">
        <v>40</v>
      </c>
      <c r="AS48" s="418">
        <v>41</v>
      </c>
      <c r="AT48" s="418">
        <v>42</v>
      </c>
      <c r="AU48" s="418">
        <v>43</v>
      </c>
      <c r="AV48" s="418">
        <v>44</v>
      </c>
      <c r="AW48" s="418">
        <v>45</v>
      </c>
      <c r="AX48" s="418">
        <v>46</v>
      </c>
      <c r="AY48" s="418">
        <v>47</v>
      </c>
      <c r="AZ48" s="418">
        <v>48</v>
      </c>
      <c r="BA48" s="418">
        <v>49</v>
      </c>
      <c r="BB48" s="418">
        <v>50</v>
      </c>
      <c r="BC48" s="418">
        <v>51</v>
      </c>
      <c r="BD48" s="418">
        <v>52</v>
      </c>
      <c r="BE48" s="418">
        <v>53</v>
      </c>
      <c r="BF48" s="418">
        <v>54</v>
      </c>
      <c r="BG48" s="418">
        <v>55</v>
      </c>
      <c r="BH48" s="418">
        <v>56</v>
      </c>
      <c r="BI48" s="418">
        <v>57</v>
      </c>
      <c r="BJ48" s="418">
        <v>58</v>
      </c>
      <c r="BK48" s="418">
        <v>59</v>
      </c>
      <c r="BL48" s="418">
        <v>60</v>
      </c>
      <c r="BM48" s="418">
        <v>61</v>
      </c>
      <c r="BN48" s="418">
        <v>62</v>
      </c>
      <c r="BO48" s="418">
        <v>63</v>
      </c>
      <c r="BP48" s="418">
        <v>64</v>
      </c>
      <c r="BQ48" s="418">
        <v>65</v>
      </c>
      <c r="BR48" s="418">
        <v>66</v>
      </c>
      <c r="BS48" s="418">
        <v>67</v>
      </c>
      <c r="BT48" s="418">
        <v>68</v>
      </c>
      <c r="BU48" s="418">
        <v>69</v>
      </c>
      <c r="BV48" s="418">
        <v>70</v>
      </c>
      <c r="BW48" s="418">
        <v>71</v>
      </c>
      <c r="BX48" s="418">
        <v>72</v>
      </c>
      <c r="BY48" s="418">
        <v>73</v>
      </c>
      <c r="BZ48" s="418">
        <v>74</v>
      </c>
      <c r="CA48" s="418">
        <v>75</v>
      </c>
      <c r="CB48" s="418">
        <v>76</v>
      </c>
      <c r="CC48" s="418">
        <v>77</v>
      </c>
      <c r="CD48" s="418">
        <v>78</v>
      </c>
      <c r="CE48" s="418">
        <v>79</v>
      </c>
      <c r="CF48" s="418">
        <v>80</v>
      </c>
      <c r="CG48" s="418">
        <v>81</v>
      </c>
      <c r="CH48" s="418">
        <v>82</v>
      </c>
      <c r="CI48" s="418">
        <v>83</v>
      </c>
      <c r="CJ48" s="418">
        <v>84</v>
      </c>
      <c r="CK48" s="418">
        <v>85</v>
      </c>
      <c r="CL48" s="418">
        <v>86</v>
      </c>
      <c r="CM48" s="418">
        <v>87</v>
      </c>
      <c r="CN48" s="418">
        <v>88</v>
      </c>
      <c r="CO48" s="418">
        <v>89</v>
      </c>
      <c r="CP48" s="418">
        <v>90</v>
      </c>
      <c r="CQ48" s="418">
        <v>91</v>
      </c>
      <c r="CR48" s="418">
        <v>92</v>
      </c>
      <c r="CS48" s="418">
        <v>93</v>
      </c>
      <c r="CT48" s="418">
        <v>94</v>
      </c>
      <c r="CU48" s="418">
        <v>95</v>
      </c>
      <c r="CV48" s="418">
        <v>96</v>
      </c>
      <c r="CW48" s="418">
        <v>97</v>
      </c>
      <c r="CX48" s="418">
        <v>98</v>
      </c>
      <c r="CY48" s="418">
        <v>99</v>
      </c>
      <c r="CZ48" s="418">
        <v>100</v>
      </c>
      <c r="DA48" s="418">
        <v>101</v>
      </c>
      <c r="DB48" s="418">
        <v>102</v>
      </c>
      <c r="DC48" s="418">
        <v>103</v>
      </c>
      <c r="DD48" s="418">
        <v>104</v>
      </c>
      <c r="DE48" s="418">
        <v>105</v>
      </c>
      <c r="DF48" s="418">
        <v>106</v>
      </c>
      <c r="DG48" s="418">
        <v>107</v>
      </c>
      <c r="DH48" s="418">
        <v>108</v>
      </c>
      <c r="DI48" s="418">
        <v>109</v>
      </c>
      <c r="DJ48" s="418">
        <v>110</v>
      </c>
      <c r="DK48" s="418">
        <v>111</v>
      </c>
      <c r="DL48" s="418">
        <v>112</v>
      </c>
      <c r="DM48" s="418">
        <v>113</v>
      </c>
      <c r="DN48" s="418">
        <v>114</v>
      </c>
      <c r="DO48" s="418">
        <v>115</v>
      </c>
      <c r="DP48" s="418">
        <v>116</v>
      </c>
      <c r="DQ48" s="418">
        <v>117</v>
      </c>
      <c r="DR48" s="418">
        <v>118</v>
      </c>
      <c r="DS48" s="418">
        <v>119</v>
      </c>
      <c r="DT48" s="418">
        <v>120</v>
      </c>
      <c r="DU48" s="418">
        <v>121</v>
      </c>
      <c r="DV48" s="418">
        <v>122</v>
      </c>
      <c r="DW48" s="418">
        <v>123</v>
      </c>
      <c r="DX48" s="418">
        <v>124</v>
      </c>
      <c r="DY48" s="418">
        <v>125</v>
      </c>
      <c r="DZ48" s="418">
        <v>126</v>
      </c>
      <c r="EA48" s="418">
        <v>127</v>
      </c>
      <c r="EB48" s="418">
        <v>128</v>
      </c>
      <c r="EC48" s="418">
        <v>129</v>
      </c>
      <c r="ED48" s="418">
        <v>130</v>
      </c>
      <c r="EE48" s="418">
        <v>131</v>
      </c>
      <c r="EF48" s="418">
        <v>132</v>
      </c>
      <c r="EG48" s="418">
        <v>133</v>
      </c>
      <c r="EH48" s="418">
        <v>134</v>
      </c>
      <c r="EI48" s="418">
        <v>135</v>
      </c>
      <c r="EJ48" s="418">
        <v>136</v>
      </c>
      <c r="EK48" s="418">
        <v>137</v>
      </c>
      <c r="EL48" s="418">
        <v>138</v>
      </c>
      <c r="EM48" s="418">
        <v>139</v>
      </c>
      <c r="EN48" s="418">
        <v>140</v>
      </c>
      <c r="EO48" s="418">
        <v>141</v>
      </c>
      <c r="EP48" s="418">
        <v>142</v>
      </c>
      <c r="EQ48" s="418">
        <v>143</v>
      </c>
      <c r="ER48" s="418">
        <v>144</v>
      </c>
      <c r="ES48" s="418">
        <v>145</v>
      </c>
      <c r="ET48" s="418">
        <v>146</v>
      </c>
      <c r="EU48" s="418">
        <v>147</v>
      </c>
      <c r="EV48" s="418">
        <v>148</v>
      </c>
      <c r="EW48" s="418">
        <v>149</v>
      </c>
      <c r="EX48" s="418">
        <v>150</v>
      </c>
      <c r="EY48" s="418">
        <v>151</v>
      </c>
      <c r="EZ48" s="418">
        <v>152</v>
      </c>
      <c r="FA48" s="418">
        <v>153</v>
      </c>
      <c r="FB48" s="418">
        <v>154</v>
      </c>
      <c r="FC48" s="418">
        <v>155</v>
      </c>
      <c r="FD48" s="418">
        <v>156</v>
      </c>
      <c r="FE48" s="418">
        <v>157</v>
      </c>
      <c r="FF48" s="418">
        <v>158</v>
      </c>
      <c r="FG48" s="418">
        <v>159</v>
      </c>
      <c r="FH48" s="418">
        <v>160</v>
      </c>
      <c r="FI48" s="418">
        <v>161</v>
      </c>
      <c r="FJ48" s="418">
        <v>162</v>
      </c>
      <c r="FK48" s="418">
        <v>163</v>
      </c>
      <c r="FL48" s="418">
        <v>164</v>
      </c>
      <c r="FM48" s="418">
        <v>165</v>
      </c>
      <c r="FN48" s="418">
        <v>166</v>
      </c>
      <c r="FO48" s="418">
        <v>167</v>
      </c>
      <c r="FP48" s="418">
        <v>168</v>
      </c>
      <c r="FQ48" s="418">
        <v>169</v>
      </c>
      <c r="FR48" s="418">
        <v>170</v>
      </c>
      <c r="FS48" s="418">
        <v>171</v>
      </c>
      <c r="FT48" s="418">
        <v>172</v>
      </c>
      <c r="FU48" s="418">
        <v>173</v>
      </c>
      <c r="FV48" s="418">
        <v>174</v>
      </c>
      <c r="FW48" s="418">
        <v>175</v>
      </c>
      <c r="FX48" s="418">
        <v>176</v>
      </c>
      <c r="FY48" s="418">
        <v>177</v>
      </c>
      <c r="FZ48" s="418">
        <v>178</v>
      </c>
      <c r="GA48" s="418">
        <v>179</v>
      </c>
      <c r="GB48" s="418">
        <v>180</v>
      </c>
      <c r="GC48" s="418">
        <v>181</v>
      </c>
      <c r="GD48" s="418">
        <v>182</v>
      </c>
      <c r="GE48" s="418">
        <v>183</v>
      </c>
      <c r="GF48" s="418">
        <v>184</v>
      </c>
      <c r="GG48" s="418">
        <v>185</v>
      </c>
      <c r="GH48" s="418">
        <v>186</v>
      </c>
      <c r="GI48" s="418">
        <v>187</v>
      </c>
      <c r="GJ48" s="418">
        <v>188</v>
      </c>
      <c r="GK48" s="418">
        <v>189</v>
      </c>
      <c r="GL48" s="418">
        <v>190</v>
      </c>
      <c r="GM48" s="418">
        <v>191</v>
      </c>
      <c r="GN48" s="418">
        <v>192</v>
      </c>
      <c r="GO48" s="418">
        <v>193</v>
      </c>
      <c r="GP48" s="418">
        <v>194</v>
      </c>
      <c r="GQ48" s="418">
        <v>195</v>
      </c>
      <c r="GR48" s="418">
        <v>196</v>
      </c>
      <c r="GS48" s="418">
        <v>197</v>
      </c>
      <c r="GT48" s="418">
        <v>198</v>
      </c>
      <c r="GU48" s="418">
        <v>199</v>
      </c>
      <c r="GV48" s="418">
        <v>200</v>
      </c>
      <c r="GW48" s="418">
        <v>201</v>
      </c>
      <c r="GX48" s="418">
        <v>202</v>
      </c>
      <c r="GY48" s="418">
        <v>203</v>
      </c>
      <c r="GZ48" s="418">
        <v>204</v>
      </c>
      <c r="HA48" s="418">
        <v>205</v>
      </c>
      <c r="HB48" s="418">
        <v>206</v>
      </c>
      <c r="HC48" s="418">
        <v>207</v>
      </c>
      <c r="HD48" s="418">
        <v>208</v>
      </c>
      <c r="HE48" s="418">
        <v>209</v>
      </c>
      <c r="HF48" s="418">
        <v>210</v>
      </c>
      <c r="HG48" s="418">
        <v>211</v>
      </c>
      <c r="HH48" s="418">
        <v>212</v>
      </c>
      <c r="HI48" s="418">
        <v>213</v>
      </c>
      <c r="HJ48" s="418">
        <v>214</v>
      </c>
      <c r="HK48" s="418">
        <v>215</v>
      </c>
      <c r="HL48" s="418">
        <v>216</v>
      </c>
      <c r="HM48" s="418">
        <v>217</v>
      </c>
      <c r="HN48" s="418">
        <v>218</v>
      </c>
      <c r="HO48" s="418">
        <v>219</v>
      </c>
      <c r="HP48" s="418">
        <v>220</v>
      </c>
      <c r="HQ48" s="418">
        <v>221</v>
      </c>
      <c r="HR48" s="418">
        <v>222</v>
      </c>
      <c r="HS48" s="418">
        <v>223</v>
      </c>
      <c r="HT48" s="418">
        <v>224</v>
      </c>
      <c r="HU48" s="418">
        <v>225</v>
      </c>
      <c r="HV48" s="418">
        <v>226</v>
      </c>
      <c r="HW48" s="418">
        <v>227</v>
      </c>
      <c r="HX48" s="418">
        <v>228</v>
      </c>
      <c r="HY48" s="418">
        <v>229</v>
      </c>
      <c r="HZ48" s="418">
        <v>230</v>
      </c>
      <c r="IA48" s="418">
        <v>231</v>
      </c>
      <c r="IB48" s="418">
        <v>232</v>
      </c>
      <c r="IC48" s="418">
        <v>233</v>
      </c>
      <c r="ID48" s="418">
        <v>234</v>
      </c>
      <c r="IE48" s="418">
        <v>235</v>
      </c>
      <c r="IF48" s="418">
        <v>236</v>
      </c>
      <c r="IG48" s="418">
        <v>237</v>
      </c>
      <c r="IH48" s="418">
        <v>238</v>
      </c>
      <c r="II48" s="418">
        <v>239</v>
      </c>
      <c r="IJ48" s="418">
        <v>240</v>
      </c>
      <c r="IK48" s="418">
        <v>241</v>
      </c>
      <c r="IL48" s="418">
        <v>242</v>
      </c>
      <c r="IM48" s="418">
        <v>243</v>
      </c>
      <c r="IN48" s="418">
        <v>244</v>
      </c>
      <c r="IO48" s="418">
        <v>245</v>
      </c>
      <c r="IP48" s="418">
        <v>246</v>
      </c>
      <c r="IQ48" s="418">
        <v>247</v>
      </c>
      <c r="IR48" s="418">
        <v>248</v>
      </c>
      <c r="IS48" s="418">
        <v>249</v>
      </c>
      <c r="IT48" s="418">
        <v>250</v>
      </c>
      <c r="IU48" s="418">
        <v>251</v>
      </c>
      <c r="IV48" s="418">
        <v>252</v>
      </c>
      <c r="IW48" s="418">
        <v>253</v>
      </c>
      <c r="IX48" s="418">
        <v>254</v>
      </c>
      <c r="IY48" s="418">
        <v>255</v>
      </c>
      <c r="IZ48" s="418">
        <v>256</v>
      </c>
      <c r="JA48" s="418">
        <v>257</v>
      </c>
      <c r="JB48" s="418">
        <v>258</v>
      </c>
      <c r="JC48" s="418">
        <v>259</v>
      </c>
      <c r="JD48" s="418">
        <v>260</v>
      </c>
      <c r="JE48" s="418">
        <v>261</v>
      </c>
      <c r="JF48" s="418">
        <v>262</v>
      </c>
      <c r="JG48" s="418">
        <v>263</v>
      </c>
      <c r="JH48" s="418">
        <v>264</v>
      </c>
      <c r="JI48" s="418">
        <v>265</v>
      </c>
      <c r="JJ48" s="418">
        <v>266</v>
      </c>
      <c r="JK48" s="418">
        <v>267</v>
      </c>
      <c r="JL48" s="418">
        <v>268</v>
      </c>
      <c r="JM48" s="418">
        <v>269</v>
      </c>
      <c r="JN48" s="418">
        <v>270</v>
      </c>
      <c r="JO48" s="418">
        <v>271</v>
      </c>
      <c r="JP48" s="418">
        <v>272</v>
      </c>
      <c r="JQ48" s="418">
        <v>273</v>
      </c>
      <c r="JR48" s="351"/>
      <c r="JS48" s="1400" t="s">
        <v>2198</v>
      </c>
      <c r="JT48" s="10"/>
    </row>
    <row r="49" spans="1:280" x14ac:dyDescent="0.25">
      <c r="A49" s="1367">
        <v>2</v>
      </c>
      <c r="B49" s="1411" t="str">
        <f t="shared" ref="B49:B66" si="17">IF(SE_B_IND&gt;1,IF(HLOOKUP(SE_B_IND-1,FSE_RANGE,A49)="","",HLOOKUP(SE_B_IND-1,FSE_RANGE,A49)),"")</f>
        <v/>
      </c>
      <c r="C49" s="1435" t="s">
        <v>3014</v>
      </c>
      <c r="D49" s="1436" t="s">
        <v>3015</v>
      </c>
      <c r="E49" s="1416"/>
      <c r="F49" s="1381"/>
      <c r="G49" s="1381" t="s">
        <v>3016</v>
      </c>
      <c r="H49" s="1381"/>
      <c r="I49" s="1381" t="s">
        <v>3016</v>
      </c>
      <c r="J49" s="1381"/>
      <c r="K49" s="1381"/>
      <c r="L49" s="1381" t="s">
        <v>3016</v>
      </c>
      <c r="M49" s="1381"/>
      <c r="N49" s="1381"/>
      <c r="O49" s="1510"/>
      <c r="P49" s="1510"/>
      <c r="Q49" s="1381" t="s">
        <v>3016</v>
      </c>
      <c r="R49" s="1510"/>
      <c r="S49" s="1381" t="s">
        <v>3016</v>
      </c>
      <c r="T49" s="1511"/>
      <c r="U49" s="1511"/>
      <c r="V49" s="1511"/>
      <c r="W49" s="1511"/>
      <c r="X49" s="1511"/>
      <c r="Y49" s="1511"/>
      <c r="Z49" s="1511"/>
      <c r="AA49" s="1414" t="s">
        <v>3017</v>
      </c>
      <c r="AB49" s="1511"/>
      <c r="AC49" s="1381" t="s">
        <v>3016</v>
      </c>
      <c r="AD49" s="1381"/>
      <c r="AE49" s="1381" t="s">
        <v>3016</v>
      </c>
      <c r="AF49" s="1381"/>
      <c r="AG49" s="1381"/>
      <c r="AH49" s="1381" t="s">
        <v>3016</v>
      </c>
      <c r="AI49" s="1511"/>
      <c r="AJ49" s="1416" t="s">
        <v>3018</v>
      </c>
      <c r="AK49" s="1414" t="s">
        <v>3019</v>
      </c>
      <c r="AL49" s="1381"/>
      <c r="AM49" s="1414" t="s">
        <v>3020</v>
      </c>
      <c r="AN49" s="1414" t="s">
        <v>3021</v>
      </c>
      <c r="AO49" s="1511"/>
      <c r="AP49" s="1414" t="s">
        <v>3022</v>
      </c>
      <c r="AQ49" s="1511"/>
      <c r="AR49" s="1511"/>
      <c r="AS49" s="1511"/>
      <c r="AT49" s="1511"/>
      <c r="AU49" s="1511"/>
      <c r="AV49" s="1381" t="s">
        <v>3022</v>
      </c>
      <c r="AW49" s="1511"/>
      <c r="AX49" s="1511"/>
      <c r="AY49" s="1511"/>
      <c r="AZ49" s="1511"/>
      <c r="BA49" s="1511"/>
      <c r="BB49" s="1511"/>
      <c r="BC49" s="1511"/>
      <c r="BD49" s="1511"/>
      <c r="BE49" s="1511"/>
      <c r="BF49" s="1511"/>
      <c r="BG49" s="1511"/>
      <c r="BH49" s="1511"/>
      <c r="BI49" s="1511"/>
      <c r="BJ49" s="1382"/>
      <c r="BK49" s="1511"/>
      <c r="BL49" s="1511"/>
      <c r="BM49" s="1511"/>
      <c r="BN49" s="1511"/>
      <c r="BO49" s="1511"/>
      <c r="BP49" s="1511"/>
      <c r="BQ49" s="1511"/>
      <c r="BR49" s="1511"/>
      <c r="BS49" s="1511"/>
      <c r="BT49" s="1511"/>
      <c r="BU49" s="1511"/>
      <c r="BV49" s="1511"/>
      <c r="BW49" s="1511"/>
      <c r="BX49" s="1511"/>
      <c r="BY49" s="1511" t="s">
        <v>3023</v>
      </c>
      <c r="BZ49" s="1511"/>
      <c r="CA49" s="1511"/>
      <c r="CB49" s="1511" t="s">
        <v>3018</v>
      </c>
      <c r="CC49" s="1511"/>
      <c r="CD49" s="1414" t="s">
        <v>3024</v>
      </c>
      <c r="CE49" s="1511"/>
      <c r="CF49" s="1416" t="s">
        <v>3018</v>
      </c>
      <c r="CG49" s="1511"/>
      <c r="CH49" s="1381" t="s">
        <v>3016</v>
      </c>
      <c r="CI49" s="1511"/>
      <c r="CJ49" s="1511"/>
      <c r="CK49" s="1414" t="s">
        <v>3025</v>
      </c>
      <c r="CL49" s="1381" t="s">
        <v>3026</v>
      </c>
      <c r="CM49" s="1414" t="s">
        <v>3027</v>
      </c>
      <c r="CN49" s="1414" t="s">
        <v>3028</v>
      </c>
      <c r="CO49" s="1414" t="s">
        <v>3029</v>
      </c>
      <c r="CP49" s="1414" t="s">
        <v>3030</v>
      </c>
      <c r="CQ49" s="1511"/>
      <c r="CR49" s="1381" t="s">
        <v>3026</v>
      </c>
      <c r="CS49" s="1381" t="s">
        <v>3026</v>
      </c>
      <c r="CT49" s="1511"/>
      <c r="CU49" s="1381" t="s">
        <v>3031</v>
      </c>
      <c r="CV49" s="1381" t="s">
        <v>3031</v>
      </c>
      <c r="CW49" s="1511"/>
      <c r="CX49" s="1511"/>
      <c r="CY49" s="1511"/>
      <c r="CZ49" s="1511"/>
      <c r="DA49" s="1511"/>
      <c r="DB49" s="1511"/>
      <c r="DC49" s="1511" t="s">
        <v>3031</v>
      </c>
      <c r="DD49" s="1511"/>
      <c r="DE49" s="1511"/>
      <c r="DF49" s="1511"/>
      <c r="DG49" s="1511"/>
      <c r="DH49" s="1511"/>
      <c r="DI49" s="1511"/>
      <c r="DJ49" s="1381" t="s">
        <v>3031</v>
      </c>
      <c r="DK49" s="1511"/>
      <c r="DL49" s="1511"/>
      <c r="DM49" s="1511"/>
      <c r="DN49" s="1511"/>
      <c r="DO49" s="1381"/>
      <c r="DP49" s="1511"/>
      <c r="DQ49" s="1511"/>
      <c r="DR49" s="591" t="s">
        <v>3032</v>
      </c>
      <c r="DS49" s="1511"/>
      <c r="DT49" s="1511"/>
      <c r="DU49" s="1511"/>
      <c r="DV49" s="1511"/>
      <c r="DW49" s="1511"/>
      <c r="DX49" s="1511"/>
      <c r="DY49" s="1511"/>
      <c r="DZ49" s="1511"/>
      <c r="EA49" s="1414" t="s">
        <v>3033</v>
      </c>
      <c r="EB49" s="1511"/>
      <c r="EC49" s="1511"/>
      <c r="ED49" s="1511"/>
      <c r="EE49" s="1511"/>
      <c r="EF49" s="1381" t="s">
        <v>3034</v>
      </c>
      <c r="EG49" s="1381" t="s">
        <v>3035</v>
      </c>
      <c r="EH49" s="1511"/>
      <c r="EI49" s="1381" t="s">
        <v>3036</v>
      </c>
      <c r="EJ49" s="1511"/>
      <c r="EK49" s="1511"/>
      <c r="EM49" s="1381" t="s">
        <v>3026</v>
      </c>
      <c r="EN49" s="1511"/>
      <c r="EO49" s="1511"/>
      <c r="EP49" s="1511"/>
      <c r="EQ49" s="1511"/>
      <c r="ER49" s="1511"/>
      <c r="ES49" s="1464" t="s">
        <v>9732</v>
      </c>
      <c r="ET49" s="1464" t="s">
        <v>9734</v>
      </c>
      <c r="EU49" s="1511"/>
      <c r="EV49" s="1511"/>
      <c r="EW49" s="1511"/>
      <c r="EX49" s="1511"/>
      <c r="EY49" s="1381" t="s">
        <v>3026</v>
      </c>
      <c r="EZ49" s="1511"/>
      <c r="FA49" s="1511"/>
      <c r="FB49" s="1511"/>
      <c r="FC49" s="1511"/>
      <c r="FD49" s="1511"/>
      <c r="FE49" s="1511"/>
      <c r="FF49" s="1416" t="s">
        <v>3018</v>
      </c>
      <c r="FG49" s="1511"/>
      <c r="FH49" s="1381" t="s">
        <v>3031</v>
      </c>
      <c r="FI49" s="1464" t="s">
        <v>9736</v>
      </c>
      <c r="FJ49" s="1464" t="s">
        <v>9737</v>
      </c>
      <c r="FK49" s="1511"/>
      <c r="FL49" s="1511"/>
      <c r="FM49" s="1464" t="s">
        <v>9737</v>
      </c>
      <c r="FN49" s="1511"/>
      <c r="FO49" s="1464" t="s">
        <v>9740</v>
      </c>
      <c r="FP49" s="1511"/>
      <c r="FQ49" s="1511"/>
      <c r="FR49" s="1511"/>
      <c r="FS49" s="1511"/>
      <c r="FT49" s="1511"/>
      <c r="FU49" s="1511"/>
      <c r="FV49" s="1511"/>
      <c r="FW49" s="1511"/>
      <c r="FX49" s="1511"/>
      <c r="FY49" s="1511"/>
      <c r="FZ49" s="1414"/>
      <c r="GA49" s="1414"/>
      <c r="GB49" s="1414"/>
      <c r="GC49" s="1414"/>
      <c r="GD49" s="1414" t="s">
        <v>3037</v>
      </c>
      <c r="GE49" s="1511"/>
      <c r="GF49" s="1511"/>
      <c r="GG49" s="1511"/>
      <c r="GH49" s="1511"/>
      <c r="GI49" s="1511"/>
      <c r="GJ49" s="1381" t="s">
        <v>3036</v>
      </c>
      <c r="GK49" s="1511"/>
      <c r="GL49" s="1511"/>
      <c r="GM49" s="1511"/>
      <c r="GN49" s="1414" t="s">
        <v>3038</v>
      </c>
      <c r="GO49" s="1414"/>
      <c r="GP49" s="1414"/>
      <c r="GQ49" s="1414"/>
      <c r="GR49" s="1414"/>
      <c r="GS49" s="1414"/>
      <c r="GT49" s="1414"/>
      <c r="GU49" s="1414" t="s">
        <v>3037</v>
      </c>
      <c r="GV49" s="1511"/>
      <c r="GW49" s="1511"/>
      <c r="GX49" s="1381" t="s">
        <v>3039</v>
      </c>
      <c r="GY49" s="1511"/>
      <c r="GZ49" s="1511"/>
      <c r="HA49" s="1511"/>
      <c r="HB49" s="1381" t="s">
        <v>3022</v>
      </c>
      <c r="HC49" s="1381" t="s">
        <v>3031</v>
      </c>
      <c r="HD49" s="1511"/>
      <c r="HE49" s="1511"/>
      <c r="HF49" s="1511"/>
      <c r="HG49" s="1511"/>
      <c r="HH49" s="1511"/>
      <c r="HI49" s="1511" t="s">
        <v>2705</v>
      </c>
      <c r="HJ49" s="1511" t="s">
        <v>3040</v>
      </c>
      <c r="HK49" s="1511" t="s">
        <v>3041</v>
      </c>
      <c r="HL49" s="1464" t="s">
        <v>3041</v>
      </c>
      <c r="HM49" s="1511" t="s">
        <v>3042</v>
      </c>
      <c r="HN49" s="1511"/>
      <c r="HO49" s="1381" t="s">
        <v>3016</v>
      </c>
      <c r="HP49" s="1511"/>
      <c r="HQ49" s="1511"/>
      <c r="HR49" s="1511"/>
      <c r="HS49" s="1511"/>
      <c r="HT49" s="1511"/>
      <c r="HU49" s="1511"/>
      <c r="HV49" s="1511"/>
      <c r="HW49" s="1414" t="s">
        <v>3043</v>
      </c>
      <c r="HX49" s="1511"/>
      <c r="HY49" s="1511"/>
      <c r="HZ49" s="1511"/>
      <c r="IA49" s="1511"/>
      <c r="IB49" s="1511"/>
      <c r="IC49" s="1511"/>
      <c r="ID49" s="1511"/>
      <c r="IE49" s="1511"/>
      <c r="IF49" s="1511"/>
      <c r="IG49" s="1511"/>
      <c r="IH49" s="1511"/>
      <c r="II49" s="1511"/>
      <c r="IJ49" s="1511"/>
      <c r="IK49" s="1511"/>
      <c r="IL49" s="1464" t="s">
        <v>9616</v>
      </c>
      <c r="IM49" s="1511"/>
      <c r="IN49" s="1511"/>
      <c r="IO49" s="1511"/>
      <c r="IP49" s="1511"/>
      <c r="IQ49" s="1511"/>
      <c r="IR49" s="1511"/>
      <c r="IS49" s="1511"/>
      <c r="IT49" s="1511"/>
      <c r="IU49" s="1417" t="s">
        <v>3018</v>
      </c>
      <c r="IV49" s="1511"/>
      <c r="IW49" s="1464" t="s">
        <v>3044</v>
      </c>
      <c r="IX49" s="1464" t="s">
        <v>3045</v>
      </c>
      <c r="IY49" s="1416" t="s">
        <v>3018</v>
      </c>
      <c r="IZ49" s="1511"/>
      <c r="JA49" s="1381" t="s">
        <v>3026</v>
      </c>
      <c r="JB49" s="1464" t="s">
        <v>3046</v>
      </c>
      <c r="JC49" s="1511"/>
      <c r="JD49" s="1511"/>
      <c r="JE49" s="1511"/>
      <c r="JF49" s="1511"/>
      <c r="JG49" s="1511"/>
      <c r="JH49" s="1417" t="s">
        <v>3018</v>
      </c>
      <c r="JI49" s="1511"/>
      <c r="JJ49" s="1511"/>
      <c r="JK49" s="1417" t="s">
        <v>3018</v>
      </c>
      <c r="JL49" s="1511"/>
      <c r="JM49" s="1511"/>
      <c r="JN49" s="1511"/>
      <c r="JO49" s="1511"/>
      <c r="JP49" s="1511"/>
      <c r="JQ49" s="1466"/>
      <c r="JR49" s="351"/>
      <c r="JS49" s="1400"/>
      <c r="JT49" s="1400" t="s">
        <v>2291</v>
      </c>
    </row>
    <row r="50" spans="1:280" x14ac:dyDescent="0.25">
      <c r="A50" s="1367">
        <v>3</v>
      </c>
      <c r="B50" s="1411" t="str">
        <f>IF(SE_B_IND&gt;1,IF(HLOOKUP(SE_B_IND-1,FSE_RANGE,A50)="","",HLOOKUP(SE_B_IND-1,FSE_RANGE,A50)),"")</f>
        <v/>
      </c>
      <c r="C50" s="1435" t="s">
        <v>3047</v>
      </c>
      <c r="D50" s="1436" t="s">
        <v>2888</v>
      </c>
      <c r="E50" s="1416"/>
      <c r="F50" s="1381"/>
      <c r="G50" s="1381" t="s">
        <v>3048</v>
      </c>
      <c r="H50" s="1381"/>
      <c r="I50" s="1381" t="s">
        <v>3048</v>
      </c>
      <c r="J50" s="1381"/>
      <c r="K50" s="1381"/>
      <c r="L50" s="1381" t="s">
        <v>3048</v>
      </c>
      <c r="M50" s="1381"/>
      <c r="N50" s="1381"/>
      <c r="O50" s="1510"/>
      <c r="P50" s="1510"/>
      <c r="Q50" s="1381" t="s">
        <v>3048</v>
      </c>
      <c r="R50" s="1510"/>
      <c r="S50" s="1381" t="s">
        <v>3048</v>
      </c>
      <c r="T50" s="1511"/>
      <c r="U50" s="1511"/>
      <c r="V50" s="1511"/>
      <c r="W50" s="1511"/>
      <c r="X50" s="1511"/>
      <c r="Y50" s="1511"/>
      <c r="Z50" s="1511"/>
      <c r="AA50" s="1414" t="s">
        <v>3049</v>
      </c>
      <c r="AB50" s="1511"/>
      <c r="AC50" s="1381" t="s">
        <v>3048</v>
      </c>
      <c r="AD50" s="1381"/>
      <c r="AE50" s="1381" t="s">
        <v>3050</v>
      </c>
      <c r="AF50" s="1381"/>
      <c r="AG50" s="1381"/>
      <c r="AH50" s="1381" t="s">
        <v>3051</v>
      </c>
      <c r="AI50" s="1511"/>
      <c r="AJ50" s="1416" t="s">
        <v>3052</v>
      </c>
      <c r="AK50" s="1414" t="s">
        <v>3019</v>
      </c>
      <c r="AL50" s="1381"/>
      <c r="AM50" s="1414" t="s">
        <v>3053</v>
      </c>
      <c r="AN50" s="1414" t="s">
        <v>3054</v>
      </c>
      <c r="AO50" s="1511"/>
      <c r="AP50" s="1414" t="s">
        <v>3052</v>
      </c>
      <c r="AQ50" s="1511"/>
      <c r="AR50" s="1511"/>
      <c r="AS50" s="1511"/>
      <c r="AT50" s="1511"/>
      <c r="AU50" s="1511"/>
      <c r="AV50" s="1381" t="s">
        <v>3055</v>
      </c>
      <c r="AW50" s="1511"/>
      <c r="AX50" s="1511"/>
      <c r="AY50" s="1511"/>
      <c r="AZ50" s="1511"/>
      <c r="BA50" s="1511"/>
      <c r="BB50" s="1511"/>
      <c r="BC50" s="1511"/>
      <c r="BD50" s="1511"/>
      <c r="BE50" s="1511"/>
      <c r="BF50" s="1511"/>
      <c r="BG50" s="1511"/>
      <c r="BH50" s="1511"/>
      <c r="BI50" s="1511"/>
      <c r="BJ50" s="1382"/>
      <c r="BK50" s="1511"/>
      <c r="BL50" s="1511"/>
      <c r="BM50" s="1511"/>
      <c r="BN50" s="1511"/>
      <c r="BO50" s="1511"/>
      <c r="BP50" s="1511"/>
      <c r="BQ50" s="1511"/>
      <c r="BR50" s="1511"/>
      <c r="BS50" s="1511"/>
      <c r="BT50" s="1511"/>
      <c r="BU50" s="1511"/>
      <c r="BV50" s="1511"/>
      <c r="BW50" s="1511"/>
      <c r="BX50" s="1511"/>
      <c r="BY50" s="1511" t="s">
        <v>3056</v>
      </c>
      <c r="BZ50" s="1511"/>
      <c r="CA50" s="1511"/>
      <c r="CB50" s="1511" t="s">
        <v>3057</v>
      </c>
      <c r="CC50" s="1511"/>
      <c r="CD50" s="1414" t="s">
        <v>3058</v>
      </c>
      <c r="CE50" s="1511"/>
      <c r="CF50" s="1416" t="s">
        <v>3057</v>
      </c>
      <c r="CG50" s="1511"/>
      <c r="CH50" s="1381" t="s">
        <v>3048</v>
      </c>
      <c r="CI50" s="1511"/>
      <c r="CJ50" s="1511"/>
      <c r="CK50" s="1414" t="s">
        <v>3059</v>
      </c>
      <c r="CL50" s="1381" t="s">
        <v>3060</v>
      </c>
      <c r="CM50" s="1414" t="s">
        <v>3061</v>
      </c>
      <c r="CN50" s="1414" t="s">
        <v>3062</v>
      </c>
      <c r="CO50" s="1414" t="s">
        <v>3063</v>
      </c>
      <c r="CP50" s="1414" t="s">
        <v>3064</v>
      </c>
      <c r="CQ50" s="1511"/>
      <c r="CR50" s="1381" t="s">
        <v>3060</v>
      </c>
      <c r="CS50" s="1381" t="s">
        <v>3060</v>
      </c>
      <c r="CT50" s="1511"/>
      <c r="CU50" s="1381" t="s">
        <v>3065</v>
      </c>
      <c r="CV50" s="1381" t="s">
        <v>3065</v>
      </c>
      <c r="CW50" s="1511"/>
      <c r="CX50" s="1511"/>
      <c r="CY50" s="1511"/>
      <c r="CZ50" s="1511"/>
      <c r="DA50" s="1511"/>
      <c r="DB50" s="1511"/>
      <c r="DC50" s="1511" t="s">
        <v>3065</v>
      </c>
      <c r="DD50" s="1511"/>
      <c r="DE50" s="1511"/>
      <c r="DF50" s="1511"/>
      <c r="DG50" s="1511"/>
      <c r="DH50" s="1511"/>
      <c r="DI50" s="1511"/>
      <c r="DJ50" s="1381" t="s">
        <v>3065</v>
      </c>
      <c r="DK50" s="1511"/>
      <c r="DL50" s="1511"/>
      <c r="DM50" s="1511"/>
      <c r="DN50" s="1511"/>
      <c r="DO50" s="1381"/>
      <c r="DP50" s="1511"/>
      <c r="DQ50" s="1511"/>
      <c r="DR50" s="1464" t="s">
        <v>3066</v>
      </c>
      <c r="DS50" s="1511"/>
      <c r="DT50" s="1511"/>
      <c r="DU50" s="1511"/>
      <c r="DV50" s="1511"/>
      <c r="DW50" s="1511"/>
      <c r="DX50" s="1511"/>
      <c r="DY50" s="1511"/>
      <c r="DZ50" s="1511"/>
      <c r="EA50" s="1414" t="s">
        <v>3067</v>
      </c>
      <c r="EB50" s="1511"/>
      <c r="EC50" s="1511"/>
      <c r="ED50" s="1511"/>
      <c r="EE50" s="1511"/>
      <c r="EF50" s="1381" t="s">
        <v>3068</v>
      </c>
      <c r="EG50" s="1381" t="s">
        <v>3069</v>
      </c>
      <c r="EH50" s="1511"/>
      <c r="EI50" s="1381" t="s">
        <v>3070</v>
      </c>
      <c r="EJ50" s="1511"/>
      <c r="EK50" s="1511"/>
      <c r="EL50" s="1511"/>
      <c r="EM50" s="1381" t="s">
        <v>3060</v>
      </c>
      <c r="EN50" s="1511"/>
      <c r="EO50" s="1511"/>
      <c r="EP50" s="1511"/>
      <c r="EQ50" s="1511"/>
      <c r="ER50" s="1511"/>
      <c r="ES50" s="1464" t="s">
        <v>9733</v>
      </c>
      <c r="ET50" s="1464" t="s">
        <v>9735</v>
      </c>
      <c r="EU50" s="1511"/>
      <c r="EV50" s="1511"/>
      <c r="EW50" s="1511"/>
      <c r="EX50" s="1511"/>
      <c r="EY50" s="1381" t="s">
        <v>3060</v>
      </c>
      <c r="EZ50" s="1511"/>
      <c r="FA50" s="1511"/>
      <c r="FB50" s="1511"/>
      <c r="FC50" s="1511"/>
      <c r="FD50" s="1511"/>
      <c r="FE50" s="1511"/>
      <c r="FF50" s="1416" t="s">
        <v>3057</v>
      </c>
      <c r="FG50" s="1511"/>
      <c r="FH50" s="1381" t="s">
        <v>3065</v>
      </c>
      <c r="FI50" s="1464" t="s">
        <v>3071</v>
      </c>
      <c r="FJ50" s="1464" t="s">
        <v>9738</v>
      </c>
      <c r="FK50" s="1511"/>
      <c r="FL50" s="1511"/>
      <c r="FM50" s="1464" t="s">
        <v>9739</v>
      </c>
      <c r="FN50" s="1511"/>
      <c r="FO50" s="1464" t="s">
        <v>2890</v>
      </c>
      <c r="FP50" s="1511"/>
      <c r="FQ50" s="1511"/>
      <c r="FR50" s="1511"/>
      <c r="FS50" s="1511"/>
      <c r="FT50" s="1511"/>
      <c r="FU50" s="1511"/>
      <c r="FV50" s="1511"/>
      <c r="FW50" s="1511"/>
      <c r="FX50" s="1511"/>
      <c r="FY50" s="1511"/>
      <c r="FZ50" s="1414"/>
      <c r="GA50" s="1414"/>
      <c r="GB50" s="1414"/>
      <c r="GC50" s="1414"/>
      <c r="GD50" s="1414" t="s">
        <v>3072</v>
      </c>
      <c r="GE50" s="1511"/>
      <c r="GF50" s="1511"/>
      <c r="GG50" s="1511"/>
      <c r="GH50" s="1511"/>
      <c r="GI50" s="1511"/>
      <c r="GJ50" s="1381" t="s">
        <v>3070</v>
      </c>
      <c r="GK50" s="1511"/>
      <c r="GL50" s="1511"/>
      <c r="GM50" s="1511"/>
      <c r="GN50" s="1414" t="s">
        <v>3073</v>
      </c>
      <c r="GO50" s="1414"/>
      <c r="GP50" s="1414"/>
      <c r="GQ50" s="1414"/>
      <c r="GR50" s="1414"/>
      <c r="GS50" s="1414"/>
      <c r="GT50" s="1414"/>
      <c r="GU50" s="1414" t="s">
        <v>3072</v>
      </c>
      <c r="GV50" s="1511"/>
      <c r="GW50" s="1511"/>
      <c r="GX50" s="1381" t="s">
        <v>3048</v>
      </c>
      <c r="GY50" s="1511"/>
      <c r="GZ50" s="1511"/>
      <c r="HA50" s="1511"/>
      <c r="HB50" s="1381" t="s">
        <v>3055</v>
      </c>
      <c r="HC50" s="1381" t="s">
        <v>3065</v>
      </c>
      <c r="HD50" s="1511"/>
      <c r="HE50" s="1511"/>
      <c r="HF50" s="1511"/>
      <c r="HG50" s="1511"/>
      <c r="HH50" s="1511"/>
      <c r="HI50" s="1511" t="s">
        <v>3074</v>
      </c>
      <c r="HJ50" s="1511" t="s">
        <v>3048</v>
      </c>
      <c r="HK50" s="1511" t="s">
        <v>3048</v>
      </c>
      <c r="HL50" s="1464" t="s">
        <v>3048</v>
      </c>
      <c r="HM50" s="1511" t="s">
        <v>3042</v>
      </c>
      <c r="HN50" s="1511"/>
      <c r="HO50" s="1381" t="s">
        <v>3048</v>
      </c>
      <c r="HP50" s="1511"/>
      <c r="HQ50" s="1511"/>
      <c r="HR50" s="1511"/>
      <c r="HS50" s="1511"/>
      <c r="HT50" s="1511"/>
      <c r="HU50" s="1511"/>
      <c r="HV50" s="1511"/>
      <c r="HW50" s="1414" t="s">
        <v>3075</v>
      </c>
      <c r="HX50" s="1511"/>
      <c r="HY50" s="1511"/>
      <c r="HZ50" s="1511"/>
      <c r="IA50" s="1511"/>
      <c r="IB50" s="1511"/>
      <c r="IC50" s="1511"/>
      <c r="ID50" s="1511"/>
      <c r="IE50" s="1511"/>
      <c r="IF50" s="1511"/>
      <c r="IG50" s="1511"/>
      <c r="IH50" s="1511"/>
      <c r="II50" s="1511"/>
      <c r="IJ50" s="1511"/>
      <c r="IK50" s="1511"/>
      <c r="IL50" s="1464" t="s">
        <v>9617</v>
      </c>
      <c r="IM50" s="1511"/>
      <c r="IN50" s="1511"/>
      <c r="IO50" s="1511"/>
      <c r="IP50" s="1511"/>
      <c r="IQ50" s="1511"/>
      <c r="IR50" s="1511"/>
      <c r="IS50" s="1511"/>
      <c r="IT50" s="1511"/>
      <c r="IU50" s="1417" t="s">
        <v>3057</v>
      </c>
      <c r="IV50" s="1511"/>
      <c r="IW50" s="1464" t="s">
        <v>3076</v>
      </c>
      <c r="IX50" s="1464" t="s">
        <v>3077</v>
      </c>
      <c r="IY50" s="1416" t="s">
        <v>3057</v>
      </c>
      <c r="IZ50" s="1511"/>
      <c r="JA50" s="1381" t="s">
        <v>3060</v>
      </c>
      <c r="JB50" s="1464" t="s">
        <v>3078</v>
      </c>
      <c r="JC50" s="1511"/>
      <c r="JD50" s="1511"/>
      <c r="JE50" s="1511"/>
      <c r="JF50" s="1511"/>
      <c r="JG50" s="1511"/>
      <c r="JH50" s="1417" t="s">
        <v>3057</v>
      </c>
      <c r="JI50" s="1511"/>
      <c r="JJ50" s="1511"/>
      <c r="JK50" s="1417" t="s">
        <v>3057</v>
      </c>
      <c r="JL50" s="1511"/>
      <c r="JM50" s="1511"/>
      <c r="JN50" s="1511"/>
      <c r="JO50" s="1511"/>
      <c r="JP50" s="1511"/>
      <c r="JQ50" s="1466"/>
      <c r="JR50" s="351"/>
      <c r="JS50" s="1400"/>
      <c r="JT50" s="1400" t="s">
        <v>2291</v>
      </c>
    </row>
    <row r="51" spans="1:280" x14ac:dyDescent="0.25">
      <c r="A51" s="1367">
        <v>4</v>
      </c>
      <c r="B51" s="1411" t="str">
        <f t="shared" si="17"/>
        <v/>
      </c>
      <c r="C51" s="1435" t="s">
        <v>3079</v>
      </c>
      <c r="D51" s="1436" t="s">
        <v>3080</v>
      </c>
      <c r="E51" s="1416"/>
      <c r="F51" s="1381"/>
      <c r="G51" s="1381"/>
      <c r="H51" s="1381"/>
      <c r="I51" s="1381"/>
      <c r="J51" s="1381"/>
      <c r="K51" s="1381"/>
      <c r="L51" s="1381"/>
      <c r="M51" s="1381"/>
      <c r="N51" s="1381"/>
      <c r="O51" s="1510"/>
      <c r="P51" s="1510"/>
      <c r="Q51" s="1381"/>
      <c r="R51" s="1510"/>
      <c r="S51" s="1381"/>
      <c r="T51" s="1511"/>
      <c r="U51" s="1511"/>
      <c r="V51" s="1511"/>
      <c r="W51" s="1511"/>
      <c r="X51" s="1511"/>
      <c r="Y51" s="1511"/>
      <c r="Z51" s="1511"/>
      <c r="AA51" s="1511"/>
      <c r="AB51" s="1511"/>
      <c r="AC51" s="1381"/>
      <c r="AD51" s="1381"/>
      <c r="AE51" s="1381"/>
      <c r="AF51" s="1381"/>
      <c r="AG51" s="1381"/>
      <c r="AH51" s="1381"/>
      <c r="AI51" s="1511"/>
      <c r="AJ51" s="1416"/>
      <c r="AK51" s="1511"/>
      <c r="AL51" s="1381"/>
      <c r="AM51" s="1511"/>
      <c r="AN51" s="1511"/>
      <c r="AO51" s="1511"/>
      <c r="AP51" s="1511"/>
      <c r="AQ51" s="1511"/>
      <c r="AR51" s="1511"/>
      <c r="AS51" s="1511"/>
      <c r="AT51" s="1511"/>
      <c r="AU51" s="1511"/>
      <c r="AV51" s="1381"/>
      <c r="AW51" s="1511"/>
      <c r="AX51" s="1511"/>
      <c r="AY51" s="1511"/>
      <c r="AZ51" s="1511"/>
      <c r="BA51" s="1511"/>
      <c r="BB51" s="1511"/>
      <c r="BC51" s="1511"/>
      <c r="BD51" s="1511"/>
      <c r="BE51" s="1511"/>
      <c r="BF51" s="1511"/>
      <c r="BG51" s="1511"/>
      <c r="BH51" s="1511"/>
      <c r="BI51" s="1511"/>
      <c r="BJ51" s="1382"/>
      <c r="BK51" s="1511"/>
      <c r="BL51" s="1511"/>
      <c r="BM51" s="1511"/>
      <c r="BN51" s="1511"/>
      <c r="BO51" s="1511"/>
      <c r="BP51" s="1511"/>
      <c r="BQ51" s="1511"/>
      <c r="BR51" s="1511"/>
      <c r="BS51" s="1511"/>
      <c r="BT51" s="1511"/>
      <c r="BU51" s="1511"/>
      <c r="BV51" s="1511"/>
      <c r="BW51" s="1511"/>
      <c r="BX51" s="1511"/>
      <c r="BY51" s="1511"/>
      <c r="BZ51" s="1511"/>
      <c r="CA51" s="1511"/>
      <c r="CB51" s="1511"/>
      <c r="CC51" s="1511"/>
      <c r="CD51" s="1414"/>
      <c r="CE51" s="1511"/>
      <c r="CF51" s="1416"/>
      <c r="CG51" s="1511"/>
      <c r="CH51" s="1381"/>
      <c r="CI51" s="1511"/>
      <c r="CJ51" s="1511"/>
      <c r="CK51" s="1414" t="s">
        <v>3081</v>
      </c>
      <c r="CL51" s="1381" t="s">
        <v>3082</v>
      </c>
      <c r="CM51" s="1414" t="s">
        <v>3083</v>
      </c>
      <c r="CN51" s="1414" t="s">
        <v>3084</v>
      </c>
      <c r="CO51" s="1414" t="s">
        <v>3085</v>
      </c>
      <c r="CP51" s="1414" t="s">
        <v>3086</v>
      </c>
      <c r="CQ51" s="1511"/>
      <c r="CR51" s="1381" t="s">
        <v>3082</v>
      </c>
      <c r="CS51" s="1381" t="s">
        <v>3082</v>
      </c>
      <c r="CT51" s="1511"/>
      <c r="CU51" s="1381"/>
      <c r="CV51" s="1381"/>
      <c r="CW51" s="1511"/>
      <c r="CX51" s="1511"/>
      <c r="CY51" s="1511"/>
      <c r="CZ51" s="1511"/>
      <c r="DA51" s="1511"/>
      <c r="DB51" s="1511"/>
      <c r="DC51" s="1511"/>
      <c r="DD51" s="1511"/>
      <c r="DE51" s="1511"/>
      <c r="DF51" s="1511"/>
      <c r="DG51" s="1511"/>
      <c r="DH51" s="1511"/>
      <c r="DI51" s="1511"/>
      <c r="DJ51" s="1381"/>
      <c r="DK51" s="1511"/>
      <c r="DL51" s="1511"/>
      <c r="DM51" s="1511"/>
      <c r="DN51" s="1511"/>
      <c r="DO51" s="1381"/>
      <c r="DP51" s="1511"/>
      <c r="DQ51" s="1511"/>
      <c r="DR51" s="1511"/>
      <c r="DS51" s="1511"/>
      <c r="DT51" s="1511"/>
      <c r="DU51" s="1511"/>
      <c r="DV51" s="1511"/>
      <c r="DW51" s="1511"/>
      <c r="DX51" s="1511"/>
      <c r="DY51" s="1511"/>
      <c r="DZ51" s="1511"/>
      <c r="EA51" s="1414" t="s">
        <v>3087</v>
      </c>
      <c r="EB51" s="1511"/>
      <c r="EC51" s="1511"/>
      <c r="ED51" s="1511"/>
      <c r="EE51" s="1511"/>
      <c r="EF51" s="1381" t="s">
        <v>3088</v>
      </c>
      <c r="EG51" s="1381"/>
      <c r="EH51" s="1511"/>
      <c r="EI51" s="1381" t="s">
        <v>3089</v>
      </c>
      <c r="EJ51" s="1511"/>
      <c r="EK51" s="1511"/>
      <c r="EL51" s="1511"/>
      <c r="EM51" s="1381" t="s">
        <v>3082</v>
      </c>
      <c r="EN51" s="1511"/>
      <c r="EO51" s="1511"/>
      <c r="EP51" s="1511"/>
      <c r="EQ51" s="1511"/>
      <c r="ER51" s="1511"/>
      <c r="ES51" s="1511"/>
      <c r="ET51" s="1511"/>
      <c r="EU51" s="1511"/>
      <c r="EV51" s="1511"/>
      <c r="EW51" s="1511"/>
      <c r="EX51" s="1511"/>
      <c r="EY51" s="1381" t="s">
        <v>3082</v>
      </c>
      <c r="EZ51" s="1511"/>
      <c r="FA51" s="1511"/>
      <c r="FB51" s="1511"/>
      <c r="FC51" s="1511"/>
      <c r="FD51" s="1511"/>
      <c r="FE51" s="1511"/>
      <c r="FF51" s="1416"/>
      <c r="FG51" s="1511"/>
      <c r="FH51" s="1381"/>
      <c r="FI51" s="1464" t="s">
        <v>9741</v>
      </c>
      <c r="FJ51" s="1414"/>
      <c r="FK51" s="1511"/>
      <c r="FL51" s="1511"/>
      <c r="FM51" s="1511"/>
      <c r="FN51" s="1511"/>
      <c r="FO51" s="1464" t="s">
        <v>9742</v>
      </c>
      <c r="FP51" s="1511"/>
      <c r="FQ51" s="1511"/>
      <c r="FR51" s="1511"/>
      <c r="FS51" s="1511"/>
      <c r="FT51" s="1511"/>
      <c r="FU51" s="1511"/>
      <c r="FV51" s="1511"/>
      <c r="FW51" s="1511"/>
      <c r="FX51" s="1511"/>
      <c r="FY51" s="1511"/>
      <c r="FZ51" s="1414"/>
      <c r="GA51" s="1414"/>
      <c r="GB51" s="1414"/>
      <c r="GC51" s="1414"/>
      <c r="GD51" s="1414"/>
      <c r="GE51" s="1511"/>
      <c r="GF51" s="1511"/>
      <c r="GG51" s="1511"/>
      <c r="GH51" s="1511"/>
      <c r="GI51" s="1511"/>
      <c r="GJ51" s="1381" t="s">
        <v>3089</v>
      </c>
      <c r="GK51" s="1511"/>
      <c r="GL51" s="1511"/>
      <c r="GM51" s="1511"/>
      <c r="GN51" s="1414" t="s">
        <v>3090</v>
      </c>
      <c r="GO51" s="1414"/>
      <c r="GP51" s="1414"/>
      <c r="GQ51" s="1414"/>
      <c r="GR51" s="1414"/>
      <c r="GS51" s="1414"/>
      <c r="GT51" s="1414"/>
      <c r="GU51" s="1414"/>
      <c r="GV51" s="1511"/>
      <c r="GW51" s="1511"/>
      <c r="GX51" s="1381"/>
      <c r="GY51" s="1511"/>
      <c r="GZ51" s="1511"/>
      <c r="HA51" s="1511"/>
      <c r="HB51" s="1381"/>
      <c r="HC51" s="1381"/>
      <c r="HD51" s="1511"/>
      <c r="HE51" s="1511"/>
      <c r="HF51" s="1511"/>
      <c r="HG51" s="1511"/>
      <c r="HH51" s="1511"/>
      <c r="HI51" s="1511"/>
      <c r="HJ51" s="1511"/>
      <c r="HK51" s="1511"/>
      <c r="HL51" s="1511"/>
      <c r="HM51" s="1511"/>
      <c r="HN51" s="1511"/>
      <c r="HO51" s="1381"/>
      <c r="HP51" s="1511"/>
      <c r="HQ51" s="1511"/>
      <c r="HR51" s="1511"/>
      <c r="HS51" s="1511"/>
      <c r="HT51" s="1511"/>
      <c r="HU51" s="1511"/>
      <c r="HV51" s="1511"/>
      <c r="HW51" s="1414" t="s">
        <v>3091</v>
      </c>
      <c r="HX51" s="1511"/>
      <c r="HY51" s="1511"/>
      <c r="HZ51" s="1511"/>
      <c r="IA51" s="1511"/>
      <c r="IB51" s="1511"/>
      <c r="IC51" s="1511"/>
      <c r="ID51" s="1511"/>
      <c r="IE51" s="1511"/>
      <c r="IF51" s="1511"/>
      <c r="IG51" s="1511"/>
      <c r="IH51" s="1511"/>
      <c r="II51" s="1511"/>
      <c r="IJ51" s="1511"/>
      <c r="IK51" s="1511"/>
      <c r="IL51" s="1511"/>
      <c r="IM51" s="1511"/>
      <c r="IN51" s="1511"/>
      <c r="IO51" s="1511"/>
      <c r="IP51" s="1511"/>
      <c r="IQ51" s="1511"/>
      <c r="IR51" s="1511"/>
      <c r="IS51" s="1511"/>
      <c r="IT51" s="1511"/>
      <c r="IU51" s="1511"/>
      <c r="IV51" s="1511"/>
      <c r="IW51" s="1511"/>
      <c r="IX51" s="1511"/>
      <c r="IY51" s="1416"/>
      <c r="IZ51" s="1511"/>
      <c r="JA51" s="1381" t="s">
        <v>3082</v>
      </c>
      <c r="JB51" s="1511"/>
      <c r="JC51" s="1511"/>
      <c r="JD51" s="1511"/>
      <c r="JE51" s="1511"/>
      <c r="JF51" s="1511"/>
      <c r="JG51" s="1511"/>
      <c r="JH51" s="1511"/>
      <c r="JI51" s="1511"/>
      <c r="JJ51" s="1511"/>
      <c r="JK51" s="1511"/>
      <c r="JL51" s="1511"/>
      <c r="JM51" s="1511"/>
      <c r="JN51" s="1511"/>
      <c r="JO51" s="1511"/>
      <c r="JP51" s="1511"/>
      <c r="JQ51" s="1466"/>
      <c r="JR51" s="351"/>
      <c r="JS51" s="1400" t="s">
        <v>3092</v>
      </c>
      <c r="JT51" s="1400" t="s">
        <v>2215</v>
      </c>
    </row>
    <row r="52" spans="1:280" x14ac:dyDescent="0.25">
      <c r="A52" s="1367">
        <v>5</v>
      </c>
      <c r="B52" s="1411" t="str">
        <f t="shared" si="17"/>
        <v/>
      </c>
      <c r="C52" s="1435" t="s">
        <v>3093</v>
      </c>
      <c r="D52" s="1436" t="s">
        <v>3080</v>
      </c>
      <c r="E52" s="1381"/>
      <c r="F52" s="1381"/>
      <c r="G52" s="1381"/>
      <c r="H52" s="1381"/>
      <c r="I52" s="1381"/>
      <c r="J52" s="1381"/>
      <c r="K52" s="1381"/>
      <c r="L52" s="1381"/>
      <c r="M52" s="1381"/>
      <c r="N52" s="1381"/>
      <c r="O52" s="1510"/>
      <c r="P52" s="1510"/>
      <c r="Q52" s="1381"/>
      <c r="R52" s="1510"/>
      <c r="S52" s="1381"/>
      <c r="T52" s="1511"/>
      <c r="U52" s="1511"/>
      <c r="V52" s="1511"/>
      <c r="W52" s="1511"/>
      <c r="X52" s="1511"/>
      <c r="Y52" s="1511"/>
      <c r="Z52" s="1511"/>
      <c r="AA52" s="1511"/>
      <c r="AB52" s="1511"/>
      <c r="AC52" s="1381"/>
      <c r="AD52" s="1381"/>
      <c r="AE52" s="1381"/>
      <c r="AF52" s="1381"/>
      <c r="AG52" s="1381"/>
      <c r="AH52" s="1381"/>
      <c r="AI52" s="1511"/>
      <c r="AJ52" s="1381"/>
      <c r="AK52" s="1511"/>
      <c r="AL52" s="1381"/>
      <c r="AM52" s="1511"/>
      <c r="AN52" s="1511"/>
      <c r="AO52" s="1511"/>
      <c r="AP52" s="1511"/>
      <c r="AQ52" s="1511"/>
      <c r="AR52" s="1511"/>
      <c r="AS52" s="1511"/>
      <c r="AT52" s="1511"/>
      <c r="AU52" s="1511"/>
      <c r="AV52" s="1381"/>
      <c r="AW52" s="1511"/>
      <c r="AX52" s="1511"/>
      <c r="AY52" s="1511"/>
      <c r="AZ52" s="1511"/>
      <c r="BA52" s="1511"/>
      <c r="BB52" s="1511"/>
      <c r="BC52" s="1511"/>
      <c r="BD52" s="1511"/>
      <c r="BE52" s="1511"/>
      <c r="BF52" s="1511"/>
      <c r="BG52" s="1511"/>
      <c r="BH52" s="1511"/>
      <c r="BI52" s="1511"/>
      <c r="BJ52" s="1382"/>
      <c r="BK52" s="1511"/>
      <c r="BL52" s="1511"/>
      <c r="BM52" s="1511"/>
      <c r="BN52" s="1511"/>
      <c r="BO52" s="1511"/>
      <c r="BP52" s="1512"/>
      <c r="BQ52" s="1511"/>
      <c r="BR52" s="1511"/>
      <c r="BS52" s="1511"/>
      <c r="BT52" s="1511"/>
      <c r="BU52" s="1511"/>
      <c r="BV52" s="1511"/>
      <c r="BW52" s="1511"/>
      <c r="BX52" s="1511"/>
      <c r="BY52" s="1511"/>
      <c r="BZ52" s="1511"/>
      <c r="CA52" s="1511"/>
      <c r="CB52" s="1511"/>
      <c r="CC52" s="1511"/>
      <c r="CD52" s="1414"/>
      <c r="CE52" s="1511"/>
      <c r="CF52" s="1381"/>
      <c r="CG52" s="1511"/>
      <c r="CH52" s="1381"/>
      <c r="CI52" s="1511"/>
      <c r="CJ52" s="1511"/>
      <c r="CK52" s="1414" t="s">
        <v>3094</v>
      </c>
      <c r="CL52" s="1381" t="s">
        <v>3095</v>
      </c>
      <c r="CM52" s="1414" t="s">
        <v>3096</v>
      </c>
      <c r="CN52" s="1414" t="s">
        <v>3097</v>
      </c>
      <c r="CO52" s="1414" t="s">
        <v>3098</v>
      </c>
      <c r="CP52" s="1414" t="s">
        <v>3099</v>
      </c>
      <c r="CQ52" s="1511"/>
      <c r="CR52" s="1381" t="s">
        <v>3095</v>
      </c>
      <c r="CS52" s="1381" t="s">
        <v>3095</v>
      </c>
      <c r="CT52" s="1511"/>
      <c r="CU52" s="1381"/>
      <c r="CV52" s="1381"/>
      <c r="CW52" s="1511"/>
      <c r="CX52" s="1511"/>
      <c r="CY52" s="1511"/>
      <c r="CZ52" s="1511"/>
      <c r="DA52" s="1511"/>
      <c r="DB52" s="1511"/>
      <c r="DC52" s="1511"/>
      <c r="DD52" s="1511"/>
      <c r="DE52" s="1511"/>
      <c r="DF52" s="1511"/>
      <c r="DG52" s="1511"/>
      <c r="DH52" s="1511"/>
      <c r="DI52" s="1511"/>
      <c r="DJ52" s="1381"/>
      <c r="DK52" s="1511"/>
      <c r="DL52" s="1511"/>
      <c r="DM52" s="1511"/>
      <c r="DN52" s="1511"/>
      <c r="DO52" s="1381"/>
      <c r="DP52" s="1511"/>
      <c r="DQ52" s="1511"/>
      <c r="DR52" s="1511"/>
      <c r="DS52" s="1511"/>
      <c r="DT52" s="1511"/>
      <c r="DU52" s="1511"/>
      <c r="DV52" s="1511"/>
      <c r="DW52" s="1511"/>
      <c r="DX52" s="1511"/>
      <c r="DY52" s="1511"/>
      <c r="DZ52" s="1511"/>
      <c r="EA52" s="1414" t="s">
        <v>3100</v>
      </c>
      <c r="EB52" s="1511"/>
      <c r="EC52" s="1511"/>
      <c r="ED52" s="1511"/>
      <c r="EE52" s="1511"/>
      <c r="EF52" s="1381" t="s">
        <v>3101</v>
      </c>
      <c r="EG52" s="1381"/>
      <c r="EH52" s="1511"/>
      <c r="EI52" s="1381" t="s">
        <v>3102</v>
      </c>
      <c r="EJ52" s="1511"/>
      <c r="EK52" s="1511"/>
      <c r="EL52" s="1511"/>
      <c r="EM52" s="1381" t="s">
        <v>3095</v>
      </c>
      <c r="EN52" s="1511"/>
      <c r="EO52" s="1511"/>
      <c r="EP52" s="1511"/>
      <c r="EQ52" s="1511"/>
      <c r="ER52" s="1511"/>
      <c r="ES52" s="1464" t="s">
        <v>3103</v>
      </c>
      <c r="ET52" s="1464" t="s">
        <v>3104</v>
      </c>
      <c r="EU52" s="1511"/>
      <c r="EV52" s="1511"/>
      <c r="EW52" s="1511"/>
      <c r="EX52" s="1511"/>
      <c r="EY52" s="1381" t="s">
        <v>3095</v>
      </c>
      <c r="EZ52" s="1511"/>
      <c r="FA52" s="1511"/>
      <c r="FB52" s="1511"/>
      <c r="FC52" s="1511"/>
      <c r="FD52" s="1511"/>
      <c r="FE52" s="1511"/>
      <c r="FF52" s="1381"/>
      <c r="FG52" s="1511"/>
      <c r="FH52" s="1381"/>
      <c r="FI52" s="1464" t="s">
        <v>3105</v>
      </c>
      <c r="FJ52" s="1511"/>
      <c r="FK52" s="1511"/>
      <c r="FL52" s="1511"/>
      <c r="FM52" s="1511"/>
      <c r="FN52" s="1511"/>
      <c r="FO52" s="1464" t="s">
        <v>3106</v>
      </c>
      <c r="FP52" s="1511"/>
      <c r="FQ52" s="1511"/>
      <c r="FR52" s="1511"/>
      <c r="FS52" s="1511"/>
      <c r="FT52" s="1511"/>
      <c r="FU52" s="1511"/>
      <c r="FV52" s="1511"/>
      <c r="FW52" s="1511"/>
      <c r="FX52" s="1511"/>
      <c r="FY52" s="1511"/>
      <c r="FZ52" s="1414"/>
      <c r="GA52" s="1414"/>
      <c r="GB52" s="1414"/>
      <c r="GC52" s="1414"/>
      <c r="GD52" s="1414"/>
      <c r="GE52" s="1511"/>
      <c r="GF52" s="1511"/>
      <c r="GG52" s="1511"/>
      <c r="GH52" s="1511"/>
      <c r="GI52" s="1511"/>
      <c r="GJ52" s="1381" t="s">
        <v>3102</v>
      </c>
      <c r="GK52" s="1511"/>
      <c r="GL52" s="1511"/>
      <c r="GM52" s="1511"/>
      <c r="GN52" s="1414" t="s">
        <v>3107</v>
      </c>
      <c r="GO52" s="1414"/>
      <c r="GP52" s="1414"/>
      <c r="GQ52" s="1414"/>
      <c r="GR52" s="1414"/>
      <c r="GS52" s="1414"/>
      <c r="GT52" s="1414"/>
      <c r="GU52" s="1414"/>
      <c r="GV52" s="1511"/>
      <c r="GW52" s="1511"/>
      <c r="GX52" s="1381"/>
      <c r="GY52" s="1511"/>
      <c r="GZ52" s="1511"/>
      <c r="HA52" s="1511"/>
      <c r="HB52" s="1381"/>
      <c r="HC52" s="1381"/>
      <c r="HD52" s="1511"/>
      <c r="HE52" s="1511"/>
      <c r="HF52" s="1511"/>
      <c r="HG52" s="1511"/>
      <c r="HH52" s="1511"/>
      <c r="HI52" s="1511"/>
      <c r="HJ52" s="1511"/>
      <c r="HK52" s="1511"/>
      <c r="HL52" s="1511"/>
      <c r="HM52" s="1511"/>
      <c r="HN52" s="1511"/>
      <c r="HO52" s="1381"/>
      <c r="HP52" s="1511"/>
      <c r="HQ52" s="1511"/>
      <c r="HR52" s="1511"/>
      <c r="HS52" s="1511"/>
      <c r="HT52" s="1511"/>
      <c r="HU52" s="1511"/>
      <c r="HV52" s="1511"/>
      <c r="HW52" s="1414" t="s">
        <v>3108</v>
      </c>
      <c r="HX52" s="1511"/>
      <c r="HY52" s="1511"/>
      <c r="HZ52" s="1511"/>
      <c r="IA52" s="1511"/>
      <c r="IB52" s="1511"/>
      <c r="IC52" s="1511"/>
      <c r="ID52" s="1511"/>
      <c r="IE52" s="1511"/>
      <c r="IF52" s="1511"/>
      <c r="IG52" s="1511"/>
      <c r="IH52" s="1511"/>
      <c r="II52" s="1511"/>
      <c r="IJ52" s="1511"/>
      <c r="IK52" s="1511"/>
      <c r="IL52" s="1511"/>
      <c r="IM52" s="1511"/>
      <c r="IN52" s="1511"/>
      <c r="IO52" s="1511"/>
      <c r="IP52" s="1511"/>
      <c r="IQ52" s="1511"/>
      <c r="IR52" s="1511"/>
      <c r="IS52" s="1511"/>
      <c r="IT52" s="1511"/>
      <c r="IU52" s="1511"/>
      <c r="IV52" s="1511"/>
      <c r="IW52" s="1511"/>
      <c r="IX52" s="1511"/>
      <c r="IY52" s="1381"/>
      <c r="IZ52" s="1511"/>
      <c r="JA52" s="1381" t="s">
        <v>3095</v>
      </c>
      <c r="JB52" s="1511"/>
      <c r="JC52" s="1511"/>
      <c r="JD52" s="1511"/>
      <c r="JE52" s="1511"/>
      <c r="JF52" s="1511"/>
      <c r="JG52" s="1511"/>
      <c r="JH52" s="1511"/>
      <c r="JI52" s="1511"/>
      <c r="JJ52" s="1511"/>
      <c r="JK52" s="1511"/>
      <c r="JL52" s="1511"/>
      <c r="JM52" s="1511"/>
      <c r="JN52" s="1511"/>
      <c r="JO52" s="1511"/>
      <c r="JP52" s="1511"/>
      <c r="JQ52" s="1466"/>
      <c r="JR52" s="351"/>
      <c r="JS52" s="1400" t="s">
        <v>3109</v>
      </c>
      <c r="JT52" s="1400" t="s">
        <v>2215</v>
      </c>
    </row>
    <row r="53" spans="1:280" x14ac:dyDescent="0.25">
      <c r="A53" s="1367">
        <v>6</v>
      </c>
      <c r="B53" s="1411" t="str">
        <f t="shared" si="17"/>
        <v/>
      </c>
      <c r="C53" s="1435" t="s">
        <v>3110</v>
      </c>
      <c r="D53" s="1436" t="s">
        <v>2914</v>
      </c>
      <c r="E53" s="1381"/>
      <c r="F53" s="1272"/>
      <c r="G53" s="1272"/>
      <c r="H53" s="1272"/>
      <c r="I53" s="1272"/>
      <c r="J53" s="1272"/>
      <c r="K53" s="1272"/>
      <c r="L53" s="1272"/>
      <c r="M53" s="1272"/>
      <c r="N53" s="1272"/>
      <c r="O53" s="1513"/>
      <c r="P53" s="1513"/>
      <c r="Q53" s="1272"/>
      <c r="R53" s="1513"/>
      <c r="S53" s="1272"/>
      <c r="T53" s="1512"/>
      <c r="U53" s="1512"/>
      <c r="V53" s="1512"/>
      <c r="W53" s="1512"/>
      <c r="X53" s="1512"/>
      <c r="Y53" s="1512"/>
      <c r="Z53" s="1512"/>
      <c r="AA53" s="1512"/>
      <c r="AB53" s="1512"/>
      <c r="AC53" s="1272"/>
      <c r="AD53" s="1272"/>
      <c r="AE53" s="1272"/>
      <c r="AF53" s="1272"/>
      <c r="AG53" s="1272"/>
      <c r="AH53" s="1272"/>
      <c r="AI53" s="1512"/>
      <c r="AJ53" s="1381"/>
      <c r="AK53" s="1512"/>
      <c r="AL53" s="1272"/>
      <c r="AM53" s="1512"/>
      <c r="AN53" s="1512"/>
      <c r="AO53" s="1512"/>
      <c r="AP53" s="1512"/>
      <c r="AQ53" s="1512"/>
      <c r="AR53" s="1512"/>
      <c r="AS53" s="1512"/>
      <c r="AT53" s="1512"/>
      <c r="AU53" s="1512"/>
      <c r="AV53" s="1272"/>
      <c r="AW53" s="1512"/>
      <c r="AX53" s="1512"/>
      <c r="AY53" s="1512"/>
      <c r="AZ53" s="1512"/>
      <c r="BA53" s="1512"/>
      <c r="BB53" s="1512"/>
      <c r="BC53" s="1512"/>
      <c r="BD53" s="1512"/>
      <c r="BE53" s="1512"/>
      <c r="BF53" s="1512"/>
      <c r="BG53" s="1512"/>
      <c r="BH53" s="1512"/>
      <c r="BI53" s="1512"/>
      <c r="BJ53" s="1272"/>
      <c r="BK53" s="1512"/>
      <c r="BL53" s="1512"/>
      <c r="BM53" s="1512"/>
      <c r="BN53" s="1512"/>
      <c r="BO53" s="1512"/>
      <c r="BP53" s="1512"/>
      <c r="BQ53" s="1512"/>
      <c r="BR53" s="1512"/>
      <c r="BS53" s="1512"/>
      <c r="BT53" s="1512"/>
      <c r="BU53" s="1512"/>
      <c r="BV53" s="1512"/>
      <c r="BW53" s="1512"/>
      <c r="BX53" s="1512"/>
      <c r="BY53" s="1512"/>
      <c r="BZ53" s="1512"/>
      <c r="CA53" s="1512"/>
      <c r="CB53" s="1512"/>
      <c r="CC53" s="1512"/>
      <c r="CD53" s="1410"/>
      <c r="CE53" s="1512"/>
      <c r="CF53" s="1381"/>
      <c r="CG53" s="1512"/>
      <c r="CH53" s="1272"/>
      <c r="CI53" s="1512"/>
      <c r="CJ53" s="1512"/>
      <c r="CK53" s="1410"/>
      <c r="CL53" s="1272"/>
      <c r="CM53" s="1410"/>
      <c r="CN53" s="1410"/>
      <c r="CO53" s="1410"/>
      <c r="CP53" s="1410"/>
      <c r="CQ53" s="1512"/>
      <c r="CR53" s="1272"/>
      <c r="CS53" s="1272"/>
      <c r="CT53" s="1512"/>
      <c r="CU53" s="1272"/>
      <c r="CV53" s="1272"/>
      <c r="CW53" s="1512"/>
      <c r="CX53" s="1512"/>
      <c r="CY53" s="1512"/>
      <c r="CZ53" s="1512"/>
      <c r="DA53" s="1512"/>
      <c r="DB53" s="1512"/>
      <c r="DC53" s="1512"/>
      <c r="DD53" s="1512"/>
      <c r="DE53" s="1512"/>
      <c r="DF53" s="1512"/>
      <c r="DG53" s="1512"/>
      <c r="DH53" s="1512"/>
      <c r="DI53" s="1512"/>
      <c r="DJ53" s="1272"/>
      <c r="DK53" s="1512"/>
      <c r="DL53" s="1512"/>
      <c r="DM53" s="1512"/>
      <c r="DN53" s="1512"/>
      <c r="DO53" s="1272"/>
      <c r="DP53" s="1512"/>
      <c r="DQ53" s="1512"/>
      <c r="DR53" s="1512"/>
      <c r="DS53" s="1512"/>
      <c r="DT53" s="1512"/>
      <c r="DU53" s="1512"/>
      <c r="DV53" s="1512"/>
      <c r="DW53" s="1512"/>
      <c r="DX53" s="1512"/>
      <c r="DY53" s="1512"/>
      <c r="DZ53" s="1512"/>
      <c r="EA53" s="1410"/>
      <c r="EB53" s="1512"/>
      <c r="EC53" s="1512"/>
      <c r="ED53" s="1512"/>
      <c r="EE53" s="1512"/>
      <c r="EF53" s="1272"/>
      <c r="EG53" s="1272"/>
      <c r="EH53" s="1512"/>
      <c r="EI53" s="1272"/>
      <c r="EJ53" s="1512"/>
      <c r="EK53" s="1512"/>
      <c r="EL53" s="1512"/>
      <c r="EM53" s="1272"/>
      <c r="EN53" s="1512"/>
      <c r="EO53" s="1512"/>
      <c r="EP53" s="1512"/>
      <c r="EQ53" s="1512"/>
      <c r="ER53" s="1512"/>
      <c r="ES53" s="1512"/>
      <c r="ET53" s="1512"/>
      <c r="EU53" s="1512"/>
      <c r="EV53" s="1512"/>
      <c r="EW53" s="1512"/>
      <c r="EX53" s="1512"/>
      <c r="EY53" s="1272"/>
      <c r="EZ53" s="1512"/>
      <c r="FA53" s="1512"/>
      <c r="FB53" s="1512"/>
      <c r="FC53" s="1512"/>
      <c r="FD53" s="1512"/>
      <c r="FE53" s="1512"/>
      <c r="FF53" s="1381"/>
      <c r="FG53" s="1512"/>
      <c r="FH53" s="1272"/>
      <c r="FI53" s="1512"/>
      <c r="FJ53" s="1512"/>
      <c r="FK53" s="1512"/>
      <c r="FL53" s="1512"/>
      <c r="FM53" s="1512"/>
      <c r="FN53" s="1512"/>
      <c r="FO53" s="1512"/>
      <c r="FP53" s="1512"/>
      <c r="FQ53" s="1512"/>
      <c r="FR53" s="1512"/>
      <c r="FS53" s="1512"/>
      <c r="FT53" s="1512"/>
      <c r="FU53" s="1512"/>
      <c r="FV53" s="1512"/>
      <c r="FW53" s="1512"/>
      <c r="FX53" s="1512"/>
      <c r="FY53" s="1512"/>
      <c r="FZ53" s="1410"/>
      <c r="GA53" s="1410"/>
      <c r="GB53" s="1410"/>
      <c r="GC53" s="1410"/>
      <c r="GD53" s="1410"/>
      <c r="GE53" s="1512"/>
      <c r="GF53" s="1512"/>
      <c r="GG53" s="1512"/>
      <c r="GH53" s="1512"/>
      <c r="GI53" s="1512"/>
      <c r="GJ53" s="1272"/>
      <c r="GK53" s="1512"/>
      <c r="GL53" s="1512"/>
      <c r="GM53" s="1512"/>
      <c r="GN53" s="1410"/>
      <c r="GO53" s="1410"/>
      <c r="GP53" s="1410"/>
      <c r="GQ53" s="1410"/>
      <c r="GR53" s="1410"/>
      <c r="GS53" s="1410"/>
      <c r="GT53" s="1410"/>
      <c r="GU53" s="1410"/>
      <c r="GV53" s="1512"/>
      <c r="GW53" s="1512"/>
      <c r="GX53" s="1272"/>
      <c r="GY53" s="1512"/>
      <c r="GZ53" s="1512"/>
      <c r="HA53" s="1512"/>
      <c r="HB53" s="1272"/>
      <c r="HC53" s="1272"/>
      <c r="HD53" s="1512"/>
      <c r="HE53" s="1512"/>
      <c r="HF53" s="1512"/>
      <c r="HG53" s="1512"/>
      <c r="HH53" s="1512"/>
      <c r="HI53" s="1512"/>
      <c r="HJ53" s="1512"/>
      <c r="HK53" s="1512"/>
      <c r="HL53" s="1512"/>
      <c r="HM53" s="1512"/>
      <c r="HN53" s="1512"/>
      <c r="HO53" s="1272"/>
      <c r="HP53" s="1512"/>
      <c r="HQ53" s="1512"/>
      <c r="HR53" s="1512"/>
      <c r="HS53" s="1512"/>
      <c r="HT53" s="1512"/>
      <c r="HU53" s="1512"/>
      <c r="HV53" s="1512"/>
      <c r="HW53" s="1410"/>
      <c r="HX53" s="1512"/>
      <c r="HY53" s="1512"/>
      <c r="HZ53" s="1512"/>
      <c r="IA53" s="1512"/>
      <c r="IB53" s="1512"/>
      <c r="IC53" s="1512"/>
      <c r="ID53" s="1512"/>
      <c r="IE53" s="1512"/>
      <c r="IF53" s="1512"/>
      <c r="IG53" s="1512"/>
      <c r="IH53" s="1512"/>
      <c r="II53" s="1512"/>
      <c r="IJ53" s="1512"/>
      <c r="IK53" s="1512"/>
      <c r="IL53" s="1512"/>
      <c r="IM53" s="1512"/>
      <c r="IN53" s="1512"/>
      <c r="IO53" s="1512"/>
      <c r="IP53" s="1512"/>
      <c r="IQ53" s="1512"/>
      <c r="IR53" s="1512"/>
      <c r="IS53" s="1512"/>
      <c r="IT53" s="1512"/>
      <c r="IU53" s="1512"/>
      <c r="IV53" s="1512"/>
      <c r="IW53" s="1512"/>
      <c r="IX53" s="1512"/>
      <c r="IY53" s="1381"/>
      <c r="IZ53" s="1512"/>
      <c r="JA53" s="1272"/>
      <c r="JB53" s="1512"/>
      <c r="JC53" s="1512"/>
      <c r="JD53" s="1512"/>
      <c r="JE53" s="1512"/>
      <c r="JF53" s="1512"/>
      <c r="JG53" s="1512"/>
      <c r="JH53" s="1512"/>
      <c r="JI53" s="1512"/>
      <c r="JJ53" s="1512"/>
      <c r="JK53" s="1512"/>
      <c r="JL53" s="1512"/>
      <c r="JM53" s="1512"/>
      <c r="JN53" s="1512"/>
      <c r="JO53" s="1512"/>
      <c r="JP53" s="1512"/>
      <c r="JQ53" s="1514"/>
      <c r="JR53" s="351"/>
      <c r="JS53" s="1400"/>
      <c r="JT53" s="1400" t="s">
        <v>2319</v>
      </c>
    </row>
    <row r="54" spans="1:280" x14ac:dyDescent="0.25">
      <c r="A54" s="1367">
        <v>7</v>
      </c>
      <c r="B54" s="1411" t="str">
        <f t="shared" si="17"/>
        <v/>
      </c>
      <c r="C54" s="2533" t="s">
        <v>3111</v>
      </c>
      <c r="D54" s="1487" t="s">
        <v>2918</v>
      </c>
      <c r="E54" s="1381"/>
      <c r="F54" s="1272"/>
      <c r="G54" s="1382" t="s">
        <v>1707</v>
      </c>
      <c r="H54" s="1272"/>
      <c r="I54" s="1382" t="s">
        <v>1707</v>
      </c>
      <c r="J54" s="1272"/>
      <c r="K54" s="1272"/>
      <c r="L54" s="1382" t="s">
        <v>1707</v>
      </c>
      <c r="M54" s="1272"/>
      <c r="N54" s="1272"/>
      <c r="O54" s="1513"/>
      <c r="P54" s="1513"/>
      <c r="Q54" s="1382" t="s">
        <v>1615</v>
      </c>
      <c r="R54" s="1513"/>
      <c r="S54" s="1382" t="s">
        <v>1707</v>
      </c>
      <c r="T54" s="1512"/>
      <c r="U54" s="1512"/>
      <c r="V54" s="1512"/>
      <c r="W54" s="1512"/>
      <c r="X54" s="1512"/>
      <c r="Y54" s="1512"/>
      <c r="Z54" s="1512"/>
      <c r="AA54" s="1464" t="s">
        <v>1615</v>
      </c>
      <c r="AB54" s="1512"/>
      <c r="AC54" s="1382" t="s">
        <v>1707</v>
      </c>
      <c r="AD54" s="1272"/>
      <c r="AE54" s="1382" t="s">
        <v>1707</v>
      </c>
      <c r="AF54" s="1272"/>
      <c r="AG54" s="1272"/>
      <c r="AH54" s="1382" t="s">
        <v>1615</v>
      </c>
      <c r="AI54" s="1512"/>
      <c r="AJ54" s="1382" t="s">
        <v>1615</v>
      </c>
      <c r="AK54" s="1464" t="s">
        <v>1615</v>
      </c>
      <c r="AL54" s="1272"/>
      <c r="AM54" s="1488" t="s">
        <v>1707</v>
      </c>
      <c r="AN54" s="1488" t="s">
        <v>1707</v>
      </c>
      <c r="AO54" s="1512"/>
      <c r="AP54" s="1464" t="s">
        <v>1615</v>
      </c>
      <c r="AQ54" s="1512"/>
      <c r="AR54" s="1512"/>
      <c r="AS54" s="1512"/>
      <c r="AT54" s="1512"/>
      <c r="AU54" s="1512"/>
      <c r="AV54" s="1382" t="s">
        <v>1707</v>
      </c>
      <c r="AW54" s="1512"/>
      <c r="AX54" s="1512"/>
      <c r="AY54" s="1512"/>
      <c r="AZ54" s="1512"/>
      <c r="BA54" s="1512"/>
      <c r="BB54" s="1512"/>
      <c r="BC54" s="1512"/>
      <c r="BD54" s="1512"/>
      <c r="BE54" s="1512"/>
      <c r="BF54" s="1512"/>
      <c r="BG54" s="1512"/>
      <c r="BH54" s="1512"/>
      <c r="BI54" s="1512"/>
      <c r="BJ54" s="1272"/>
      <c r="BK54" s="1512"/>
      <c r="BL54" s="1512"/>
      <c r="BM54" s="1512"/>
      <c r="BN54" s="1512"/>
      <c r="BO54" s="1512"/>
      <c r="BP54" s="1515"/>
      <c r="BQ54" s="1512"/>
      <c r="BR54" s="1512"/>
      <c r="BS54" s="1512"/>
      <c r="BT54" s="1512"/>
      <c r="BU54" s="1512"/>
      <c r="BV54" s="1512"/>
      <c r="BW54" s="1512"/>
      <c r="BX54" s="1512"/>
      <c r="BY54" s="1464" t="s">
        <v>1615</v>
      </c>
      <c r="BZ54" s="1512"/>
      <c r="CA54" s="1512"/>
      <c r="CB54" s="1464" t="s">
        <v>1615</v>
      </c>
      <c r="CC54" s="1512"/>
      <c r="CD54" s="1464" t="s">
        <v>1615</v>
      </c>
      <c r="CE54" s="1512"/>
      <c r="CF54" s="1382" t="s">
        <v>1707</v>
      </c>
      <c r="CG54" s="1512"/>
      <c r="CH54" s="1382" t="s">
        <v>1615</v>
      </c>
      <c r="CI54" s="1512"/>
      <c r="CJ54" s="1512"/>
      <c r="CK54" s="1382" t="s">
        <v>1707</v>
      </c>
      <c r="CL54" s="1382" t="s">
        <v>1615</v>
      </c>
      <c r="CM54" s="1382" t="s">
        <v>1707</v>
      </c>
      <c r="CN54" s="1382" t="s">
        <v>1615</v>
      </c>
      <c r="CO54" s="1382" t="s">
        <v>1707</v>
      </c>
      <c r="CP54" s="1382" t="s">
        <v>1615</v>
      </c>
      <c r="CQ54" s="1512"/>
      <c r="CR54" s="1382" t="s">
        <v>1615</v>
      </c>
      <c r="CS54" s="1382" t="s">
        <v>1615</v>
      </c>
      <c r="CT54" s="1512"/>
      <c r="CU54" s="1382" t="s">
        <v>1707</v>
      </c>
      <c r="CV54" s="1382" t="s">
        <v>1707</v>
      </c>
      <c r="CW54" s="1512"/>
      <c r="CX54" s="1512"/>
      <c r="CY54" s="1512"/>
      <c r="CZ54" s="1512"/>
      <c r="DA54" s="1512"/>
      <c r="DB54" s="1512"/>
      <c r="DC54" s="1464" t="s">
        <v>1615</v>
      </c>
      <c r="DD54" s="1512"/>
      <c r="DE54" s="1512"/>
      <c r="DF54" s="1512"/>
      <c r="DG54" s="1512"/>
      <c r="DH54" s="1512"/>
      <c r="DI54" s="1512"/>
      <c r="DJ54" s="1464" t="s">
        <v>1615</v>
      </c>
      <c r="DK54" s="1512"/>
      <c r="DL54" s="1512"/>
      <c r="DM54" s="1512"/>
      <c r="DN54" s="1512"/>
      <c r="DO54" s="1382"/>
      <c r="DP54" s="1512"/>
      <c r="DQ54" s="1512"/>
      <c r="DR54" s="1464" t="s">
        <v>1615</v>
      </c>
      <c r="DS54" s="1512"/>
      <c r="DT54" s="1512"/>
      <c r="DU54" s="1512"/>
      <c r="DV54" s="1512"/>
      <c r="DW54" s="1512"/>
      <c r="DX54" s="1512"/>
      <c r="DY54" s="1512"/>
      <c r="DZ54" s="1512"/>
      <c r="EA54" s="1464" t="s">
        <v>1615</v>
      </c>
      <c r="EB54" s="1512"/>
      <c r="EC54" s="1512"/>
      <c r="ED54" s="1512"/>
      <c r="EE54" s="1512"/>
      <c r="EF54" s="1382" t="s">
        <v>1615</v>
      </c>
      <c r="EG54" s="1382" t="s">
        <v>1707</v>
      </c>
      <c r="EH54" s="1512"/>
      <c r="EI54" s="1382" t="s">
        <v>1615</v>
      </c>
      <c r="EJ54" s="1512"/>
      <c r="EK54" s="1512"/>
      <c r="EL54" s="1512"/>
      <c r="EM54" s="1382" t="s">
        <v>1615</v>
      </c>
      <c r="EN54" s="1512"/>
      <c r="EO54" s="1512"/>
      <c r="EP54" s="1512"/>
      <c r="EQ54" s="1512"/>
      <c r="ER54" s="1512"/>
      <c r="ES54" s="1464" t="s">
        <v>1615</v>
      </c>
      <c r="ET54" s="1464" t="s">
        <v>1615</v>
      </c>
      <c r="EU54" s="1512"/>
      <c r="EV54" s="1512"/>
      <c r="EW54" s="1512"/>
      <c r="EX54" s="1512"/>
      <c r="EY54" s="1382" t="s">
        <v>1615</v>
      </c>
      <c r="EZ54" s="1512"/>
      <c r="FA54" s="1512"/>
      <c r="FB54" s="1512"/>
      <c r="FC54" s="1512"/>
      <c r="FD54" s="1512"/>
      <c r="FE54" s="1512"/>
      <c r="FF54" s="1382" t="s">
        <v>1615</v>
      </c>
      <c r="FG54" s="1512"/>
      <c r="FH54" s="1382" t="s">
        <v>1707</v>
      </c>
      <c r="FI54" s="1382" t="s">
        <v>1615</v>
      </c>
      <c r="FJ54" s="1382" t="s">
        <v>1707</v>
      </c>
      <c r="FK54" s="1512"/>
      <c r="FL54" s="1512"/>
      <c r="FM54" s="1382" t="s">
        <v>1707</v>
      </c>
      <c r="FN54" s="1512"/>
      <c r="FO54" s="1382" t="s">
        <v>1615</v>
      </c>
      <c r="FP54" s="1512"/>
      <c r="FQ54" s="1512"/>
      <c r="FR54" s="1512"/>
      <c r="FS54" s="1512"/>
      <c r="FT54" s="1512"/>
      <c r="FU54" s="1512"/>
      <c r="FV54" s="1512"/>
      <c r="FW54" s="1512"/>
      <c r="FX54" s="1512"/>
      <c r="FY54" s="1512"/>
      <c r="FZ54" s="1410"/>
      <c r="GA54" s="1410"/>
      <c r="GB54" s="1410"/>
      <c r="GC54" s="1410"/>
      <c r="GD54" s="1464" t="s">
        <v>1615</v>
      </c>
      <c r="GE54" s="1512"/>
      <c r="GF54" s="1512"/>
      <c r="GG54" s="1512"/>
      <c r="GH54" s="1512"/>
      <c r="GI54" s="1512"/>
      <c r="GJ54" s="1382" t="s">
        <v>1615</v>
      </c>
      <c r="GK54" s="1512"/>
      <c r="GL54" s="1512"/>
      <c r="GM54" s="1512"/>
      <c r="GN54" s="1464" t="s">
        <v>1707</v>
      </c>
      <c r="GO54" s="1410"/>
      <c r="GP54" s="1410"/>
      <c r="GQ54" s="1410"/>
      <c r="GR54" s="1410"/>
      <c r="GS54" s="1410"/>
      <c r="GT54" s="1410"/>
      <c r="GU54" s="1464" t="s">
        <v>1707</v>
      </c>
      <c r="GV54" s="1512"/>
      <c r="GW54" s="1512"/>
      <c r="GX54" s="1382" t="s">
        <v>1707</v>
      </c>
      <c r="GY54" s="1512"/>
      <c r="GZ54" s="1512"/>
      <c r="HA54" s="1512"/>
      <c r="HB54" s="1382" t="s">
        <v>1707</v>
      </c>
      <c r="HC54" s="1382" t="s">
        <v>1707</v>
      </c>
      <c r="HD54" s="1512"/>
      <c r="HE54" s="1512"/>
      <c r="HF54" s="1512"/>
      <c r="HG54" s="1512"/>
      <c r="HH54" s="1512"/>
      <c r="HI54" s="1464" t="s">
        <v>1615</v>
      </c>
      <c r="HJ54" s="1464" t="s">
        <v>1707</v>
      </c>
      <c r="HK54" s="1464" t="s">
        <v>1707</v>
      </c>
      <c r="HL54" s="1464" t="s">
        <v>1615</v>
      </c>
      <c r="HM54" s="1464" t="s">
        <v>1615</v>
      </c>
      <c r="HN54" s="1512"/>
      <c r="HO54" s="1464" t="s">
        <v>1615</v>
      </c>
      <c r="HP54" s="1512"/>
      <c r="HQ54" s="1512"/>
      <c r="HR54" s="1512"/>
      <c r="HS54" s="1512"/>
      <c r="HT54" s="1512"/>
      <c r="HU54" s="1512"/>
      <c r="HV54" s="1512"/>
      <c r="HW54" s="1464" t="s">
        <v>1707</v>
      </c>
      <c r="HX54" s="1512"/>
      <c r="HY54" s="1512"/>
      <c r="HZ54" s="1512"/>
      <c r="IA54" s="1512"/>
      <c r="IB54" s="1512"/>
      <c r="IC54" s="1512"/>
      <c r="ID54" s="1512"/>
      <c r="IE54" s="1512"/>
      <c r="IF54" s="1512"/>
      <c r="IG54" s="1512"/>
      <c r="IH54" s="1512"/>
      <c r="II54" s="1512"/>
      <c r="IJ54" s="1512"/>
      <c r="IK54" s="1512"/>
      <c r="IL54" s="1464" t="s">
        <v>1707</v>
      </c>
      <c r="IM54" s="1512"/>
      <c r="IN54" s="1512"/>
      <c r="IO54" s="1512"/>
      <c r="IP54" s="1512"/>
      <c r="IQ54" s="1512"/>
      <c r="IR54" s="1512"/>
      <c r="IS54" s="1512"/>
      <c r="IT54" s="1512"/>
      <c r="IU54" s="1409" t="s">
        <v>1615</v>
      </c>
      <c r="IV54" s="1512"/>
      <c r="IW54" s="1464" t="s">
        <v>1707</v>
      </c>
      <c r="IX54" s="1464" t="s">
        <v>1615</v>
      </c>
      <c r="IY54" s="1382" t="s">
        <v>1615</v>
      </c>
      <c r="IZ54" s="1512"/>
      <c r="JA54" s="1464" t="s">
        <v>1615</v>
      </c>
      <c r="JB54" s="1464" t="s">
        <v>1707</v>
      </c>
      <c r="JC54" s="1512"/>
      <c r="JD54" s="1512"/>
      <c r="JE54" s="1512"/>
      <c r="JF54" s="1512"/>
      <c r="JG54" s="1512"/>
      <c r="JH54" s="1464" t="s">
        <v>1707</v>
      </c>
      <c r="JI54" s="1512"/>
      <c r="JJ54" s="1512"/>
      <c r="JK54" s="1464" t="s">
        <v>1615</v>
      </c>
      <c r="JL54" s="1512"/>
      <c r="JM54" s="1512"/>
      <c r="JN54" s="1512"/>
      <c r="JO54" s="1512"/>
      <c r="JP54" s="1512"/>
      <c r="JQ54" s="1514"/>
      <c r="JR54" s="351"/>
      <c r="JS54" s="1400"/>
      <c r="JT54" s="1400"/>
    </row>
    <row r="55" spans="1:280" x14ac:dyDescent="0.25">
      <c r="A55" s="1367">
        <v>8</v>
      </c>
      <c r="B55" s="1411" t="str">
        <f t="shared" si="17"/>
        <v/>
      </c>
      <c r="C55" s="1435" t="s">
        <v>3112</v>
      </c>
      <c r="D55" s="1436" t="s">
        <v>3113</v>
      </c>
      <c r="E55" s="1427"/>
      <c r="F55" s="1427"/>
      <c r="G55" s="1422" t="str">
        <f>"12/04/"&amp;Tax_year_start</f>
        <v>12/04/2025</v>
      </c>
      <c r="H55" s="1427"/>
      <c r="I55" s="1422" t="str">
        <f>"01/05/"&amp;Tax_year_start</f>
        <v>01/05/2025</v>
      </c>
      <c r="J55" s="1427"/>
      <c r="K55" s="1427"/>
      <c r="L55" s="1422" t="str">
        <f>"06/06/"&amp;Tax_year_start</f>
        <v>06/06/2025</v>
      </c>
      <c r="M55" s="1427"/>
      <c r="N55" s="1427"/>
      <c r="O55" s="1427"/>
      <c r="P55" s="1427"/>
      <c r="Q55" s="1427"/>
      <c r="R55" s="1427"/>
      <c r="S55" s="1422" t="str">
        <f>"07/08/"&amp;Tax_year_start</f>
        <v>07/08/2025</v>
      </c>
      <c r="T55" s="1427"/>
      <c r="U55" s="1427"/>
      <c r="V55" s="1427"/>
      <c r="W55" s="1427"/>
      <c r="X55" s="1427"/>
      <c r="Y55" s="1427"/>
      <c r="Z55" s="1427"/>
      <c r="AA55" s="1427"/>
      <c r="AB55" s="1427"/>
      <c r="AC55" s="1422" t="str">
        <f>"06/07/"&amp;Tax_year_start</f>
        <v>06/07/2025</v>
      </c>
      <c r="AD55" s="1427"/>
      <c r="AE55" s="1422" t="str">
        <f>"01/05/"&amp;Tax_year_start</f>
        <v>01/05/2025</v>
      </c>
      <c r="AF55" s="1427"/>
      <c r="AG55" s="1427"/>
      <c r="AH55" s="1427"/>
      <c r="AI55" s="1427"/>
      <c r="AJ55" s="1427"/>
      <c r="AK55" s="1427"/>
      <c r="AL55" s="1427"/>
      <c r="AM55" s="1516" t="str">
        <f>"13/08/"&amp;Tax_year_start</f>
        <v>13/08/2025</v>
      </c>
      <c r="AN55" s="1516" t="str">
        <f>"12/05/"&amp;Tax_year_start</f>
        <v>12/05/2025</v>
      </c>
      <c r="AO55" s="1427"/>
      <c r="AP55" s="1427"/>
      <c r="AQ55" s="1427"/>
      <c r="AR55" s="1427"/>
      <c r="AS55" s="1427"/>
      <c r="AT55" s="1427"/>
      <c r="AU55" s="1427"/>
      <c r="AV55" s="1427" t="str">
        <f>"17/04/"&amp;Tax_year_start</f>
        <v>17/04/2025</v>
      </c>
      <c r="AW55" s="1427"/>
      <c r="AX55" s="1427"/>
      <c r="AY55" s="1427"/>
      <c r="AZ55" s="1427"/>
      <c r="BA55" s="1427"/>
      <c r="BB55" s="1427"/>
      <c r="BC55" s="1427"/>
      <c r="BD55" s="1427"/>
      <c r="BE55" s="1427"/>
      <c r="BF55" s="1427"/>
      <c r="BG55" s="1427"/>
      <c r="BH55" s="1427"/>
      <c r="BI55" s="1427"/>
      <c r="BJ55" s="1427"/>
      <c r="BK55" s="1427"/>
      <c r="BL55" s="1427"/>
      <c r="BM55" s="1427"/>
      <c r="BN55" s="1427"/>
      <c r="BO55" s="1427"/>
      <c r="BP55" s="1427"/>
      <c r="BQ55" s="1427"/>
      <c r="BR55" s="1427"/>
      <c r="BS55" s="1427"/>
      <c r="BT55" s="1427"/>
      <c r="BU55" s="1427"/>
      <c r="BV55" s="1427"/>
      <c r="BW55" s="1427"/>
      <c r="BX55" s="1427"/>
      <c r="BY55" s="1427"/>
      <c r="BZ55" s="1427"/>
      <c r="CA55" s="1427"/>
      <c r="CB55" s="1427"/>
      <c r="CC55" s="1427"/>
      <c r="CD55" s="1427"/>
      <c r="CE55" s="1427"/>
      <c r="CF55" s="1427" t="str">
        <f>"06/04/"&amp;Tax_year_start</f>
        <v>06/04/2025</v>
      </c>
      <c r="CG55" s="1427"/>
      <c r="CH55" s="1427"/>
      <c r="CI55" s="1427"/>
      <c r="CJ55" s="1427"/>
      <c r="CK55" s="1427" t="str">
        <f>"11/05/"&amp;Tax_year_start</f>
        <v>11/05/2025</v>
      </c>
      <c r="CL55" s="1427"/>
      <c r="CM55" s="1427" t="str">
        <f>"06/05/"&amp;Tax_year_start</f>
        <v>06/05/2025</v>
      </c>
      <c r="CN55" s="1427"/>
      <c r="CO55" s="1427" t="str">
        <f>"26/04/"&amp;Tax_year_start</f>
        <v>26/04/2025</v>
      </c>
      <c r="CP55" s="1427"/>
      <c r="CQ55" s="1427"/>
      <c r="CR55" s="1427"/>
      <c r="CS55" s="1427"/>
      <c r="CT55" s="1427"/>
      <c r="CU55" s="1427" t="str">
        <f>"06/04/"&amp;Tax_year_start</f>
        <v>06/04/2025</v>
      </c>
      <c r="CV55" s="1427" t="str">
        <f>"15/04/"&amp;Tax_year_start</f>
        <v>15/04/2025</v>
      </c>
      <c r="CW55" s="1427"/>
      <c r="CX55" s="1427"/>
      <c r="CY55" s="1427"/>
      <c r="CZ55" s="1427"/>
      <c r="DA55" s="1427"/>
      <c r="DB55" s="1427"/>
      <c r="DC55" s="1427"/>
      <c r="DD55" s="1427"/>
      <c r="DE55" s="1427"/>
      <c r="DF55" s="1427"/>
      <c r="DG55" s="1427"/>
      <c r="DH55" s="1427"/>
      <c r="DI55" s="1427"/>
      <c r="DJ55" s="1427"/>
      <c r="DK55" s="1427"/>
      <c r="DL55" s="1427"/>
      <c r="DM55" s="1427"/>
      <c r="DN55" s="1427"/>
      <c r="DO55" s="1427"/>
      <c r="DP55" s="1427"/>
      <c r="DQ55" s="1427"/>
      <c r="DR55" s="1427"/>
      <c r="DS55" s="1427"/>
      <c r="DT55" s="1427"/>
      <c r="DU55" s="1427"/>
      <c r="DV55" s="1427"/>
      <c r="DW55" s="1427"/>
      <c r="DX55" s="1427"/>
      <c r="DY55" s="1427"/>
      <c r="DZ55" s="1427"/>
      <c r="EA55" s="1427"/>
      <c r="EB55" s="1427"/>
      <c r="EC55" s="1427"/>
      <c r="ED55" s="1427"/>
      <c r="EE55" s="1427"/>
      <c r="EF55" s="1427"/>
      <c r="EG55" s="1427" t="str">
        <f>"19/04/"&amp;Tax_year_start</f>
        <v>19/04/2025</v>
      </c>
      <c r="EH55" s="1427"/>
      <c r="EI55" s="1427"/>
      <c r="EJ55" s="1427"/>
      <c r="EK55" s="1427"/>
      <c r="EL55" s="1427"/>
      <c r="EM55" s="1427"/>
      <c r="EN55" s="1427"/>
      <c r="EO55" s="1427"/>
      <c r="EP55" s="1427"/>
      <c r="EQ55" s="1427"/>
      <c r="ER55" s="1427"/>
      <c r="ES55" s="1427"/>
      <c r="ET55" s="1427"/>
      <c r="EU55" s="1427"/>
      <c r="EV55" s="1427"/>
      <c r="EW55" s="1427"/>
      <c r="EX55" s="1427"/>
      <c r="EY55" s="1427"/>
      <c r="EZ55" s="1427"/>
      <c r="FA55" s="1427"/>
      <c r="FB55" s="1427"/>
      <c r="FC55" s="1427"/>
      <c r="FD55" s="1427"/>
      <c r="FE55" s="1427"/>
      <c r="FF55" s="1427"/>
      <c r="FG55" s="1427"/>
      <c r="FH55" s="1427" t="str">
        <f>"22/04/"&amp;Tax_year_start</f>
        <v>22/04/2025</v>
      </c>
      <c r="FI55" s="1427"/>
      <c r="FJ55" s="1427" t="str">
        <f>"26/04/"&amp;Tax_year_start</f>
        <v>26/04/2025</v>
      </c>
      <c r="FK55" s="1427"/>
      <c r="FL55" s="1427"/>
      <c r="FM55" s="1427" t="str">
        <f>"06/05/"&amp;Tax_year_start</f>
        <v>06/05/2025</v>
      </c>
      <c r="FN55" s="1427"/>
      <c r="FO55" s="1427"/>
      <c r="FP55" s="1427"/>
      <c r="FQ55" s="1427"/>
      <c r="FR55" s="1427"/>
      <c r="FS55" s="1427"/>
      <c r="FT55" s="1427"/>
      <c r="FU55" s="1427"/>
      <c r="FV55" s="1427"/>
      <c r="FW55" s="1427"/>
      <c r="FX55" s="1427"/>
      <c r="FY55" s="1427"/>
      <c r="FZ55" s="1427"/>
      <c r="GA55" s="1427"/>
      <c r="GB55" s="1427"/>
      <c r="GC55" s="1427"/>
      <c r="GD55" s="1427"/>
      <c r="GE55" s="1427"/>
      <c r="GF55" s="1427"/>
      <c r="GG55" s="1427"/>
      <c r="GH55" s="1427"/>
      <c r="GI55" s="1427"/>
      <c r="GJ55" s="1427"/>
      <c r="GK55" s="1427"/>
      <c r="GL55" s="1427"/>
      <c r="GM55" s="1427"/>
      <c r="GN55" s="1427" t="str">
        <f>"06/04/"&amp;Tax_year_start</f>
        <v>06/04/2025</v>
      </c>
      <c r="GO55" s="1427"/>
      <c r="GP55" s="1427"/>
      <c r="GQ55" s="1427"/>
      <c r="GR55" s="1427"/>
      <c r="GS55" s="1427"/>
      <c r="GT55" s="1427"/>
      <c r="GU55" s="1427" t="str">
        <f>"16/04/"&amp;Tax_year_start</f>
        <v>16/04/2025</v>
      </c>
      <c r="GV55" s="1427"/>
      <c r="GW55" s="1427"/>
      <c r="GX55" s="1427" t="str">
        <f>"25/04/"&amp;Tax_year_start</f>
        <v>25/04/2025</v>
      </c>
      <c r="GY55" s="1427"/>
      <c r="GZ55" s="1427"/>
      <c r="HA55" s="1427"/>
      <c r="HB55" s="1427" t="str">
        <f>"06/04/"&amp;Tax_year_start</f>
        <v>06/04/2025</v>
      </c>
      <c r="HC55" s="1427" t="str">
        <f>"28/04/"&amp;Tax_year_start</f>
        <v>28/04/2025</v>
      </c>
      <c r="HD55" s="1427"/>
      <c r="HE55" s="1427"/>
      <c r="HF55" s="1427"/>
      <c r="HG55" s="1427"/>
      <c r="HH55" s="1427"/>
      <c r="HI55" s="1427"/>
      <c r="HJ55" s="1427" t="str">
        <f>"06/04/"&amp;Tax_year_start</f>
        <v>06/04/2025</v>
      </c>
      <c r="HK55" s="1427" t="str">
        <f>"07/04/"&amp;Tax_year_start</f>
        <v>07/04/2025</v>
      </c>
      <c r="HL55" s="1427"/>
      <c r="HM55" s="1427"/>
      <c r="HN55" s="1427"/>
      <c r="HO55" s="1427"/>
      <c r="HP55" s="1427"/>
      <c r="HQ55" s="1427"/>
      <c r="HR55" s="1427"/>
      <c r="HS55" s="1427"/>
      <c r="HT55" s="1427"/>
      <c r="HU55" s="1427"/>
      <c r="HV55" s="1427"/>
      <c r="HW55" s="1362" t="str">
        <f>"06/08/"&amp;Tax_year_start</f>
        <v>06/08/2025</v>
      </c>
      <c r="HX55" s="1427"/>
      <c r="HY55" s="1427"/>
      <c r="HZ55" s="1427"/>
      <c r="IA55" s="1427"/>
      <c r="IB55" s="1427"/>
      <c r="IC55" s="1427"/>
      <c r="ID55" s="1427"/>
      <c r="IE55" s="1427"/>
      <c r="IF55" s="1427"/>
      <c r="IG55" s="1427"/>
      <c r="IH55" s="1427"/>
      <c r="II55" s="1427"/>
      <c r="IJ55" s="1427"/>
      <c r="IK55" s="1427"/>
      <c r="IL55" s="1481" t="str">
        <f>"06/04/"&amp;Tax_year_start</f>
        <v>06/04/2025</v>
      </c>
      <c r="IM55" s="1427"/>
      <c r="IN55" s="1427"/>
      <c r="IO55" s="1427"/>
      <c r="IP55" s="1427"/>
      <c r="IQ55" s="1427"/>
      <c r="IR55" s="1427"/>
      <c r="IS55" s="1427"/>
      <c r="IT55" s="1427"/>
      <c r="IU55" s="1427"/>
      <c r="IV55" s="1427"/>
      <c r="IW55" s="1481" t="str">
        <f>"12/07/"&amp;Tax_year_start</f>
        <v>12/07/2025</v>
      </c>
      <c r="IX55" s="1427"/>
      <c r="IY55" s="1427"/>
      <c r="IZ55" s="1427"/>
      <c r="JA55" s="1427"/>
      <c r="JB55" s="1362" t="str">
        <f>"12/06/"&amp;Tax_year_start</f>
        <v>12/06/2025</v>
      </c>
      <c r="JC55" s="1427"/>
      <c r="JD55" s="1427"/>
      <c r="JE55" s="1427"/>
      <c r="JF55" s="1427"/>
      <c r="JG55" s="1427"/>
      <c r="JH55" s="1362" t="str">
        <f>"06/06/"&amp;Tax_year_start</f>
        <v>06/06/2025</v>
      </c>
      <c r="JI55" s="1427"/>
      <c r="JJ55" s="1427"/>
      <c r="JK55" s="1427"/>
      <c r="JL55" s="1427"/>
      <c r="JM55" s="1427"/>
      <c r="JN55" s="1427"/>
      <c r="JO55" s="1427"/>
      <c r="JP55" s="1427"/>
      <c r="JQ55" s="1427"/>
      <c r="JR55" s="351"/>
      <c r="JS55" s="1400" t="s">
        <v>3114</v>
      </c>
      <c r="JT55" s="1400" t="s">
        <v>2208</v>
      </c>
    </row>
    <row r="56" spans="1:280" x14ac:dyDescent="0.25">
      <c r="A56" s="1367">
        <v>9</v>
      </c>
      <c r="B56" s="1411" t="str">
        <f t="shared" si="17"/>
        <v/>
      </c>
      <c r="C56" s="2533" t="s">
        <v>3115</v>
      </c>
      <c r="D56" s="1487" t="s">
        <v>2923</v>
      </c>
      <c r="E56" s="1491"/>
      <c r="F56" s="1492"/>
      <c r="G56" s="1495" t="s">
        <v>1615</v>
      </c>
      <c r="H56" s="1492"/>
      <c r="I56" s="1495" t="s">
        <v>1615</v>
      </c>
      <c r="J56" s="1492"/>
      <c r="K56" s="1492"/>
      <c r="L56" s="1495" t="s">
        <v>1615</v>
      </c>
      <c r="M56" s="1492"/>
      <c r="N56" s="1492"/>
      <c r="O56" s="1517"/>
      <c r="P56" s="1517"/>
      <c r="Q56" s="1495" t="s">
        <v>1707</v>
      </c>
      <c r="R56" s="1517"/>
      <c r="S56" s="1495" t="s">
        <v>1615</v>
      </c>
      <c r="T56" s="1515"/>
      <c r="U56" s="1515"/>
      <c r="V56" s="1515"/>
      <c r="W56" s="1515"/>
      <c r="X56" s="1515"/>
      <c r="Y56" s="1515"/>
      <c r="Z56" s="1515"/>
      <c r="AA56" s="1496" t="s">
        <v>1707</v>
      </c>
      <c r="AB56" s="1515"/>
      <c r="AC56" s="1495" t="s">
        <v>1707</v>
      </c>
      <c r="AD56" s="1492"/>
      <c r="AE56" s="1495" t="s">
        <v>1707</v>
      </c>
      <c r="AF56" s="1492"/>
      <c r="AG56" s="1492"/>
      <c r="AH56" s="1495" t="s">
        <v>1707</v>
      </c>
      <c r="AI56" s="1515"/>
      <c r="AJ56" s="1495" t="s">
        <v>1707</v>
      </c>
      <c r="AK56" s="1496" t="s">
        <v>1707</v>
      </c>
      <c r="AL56" s="1492"/>
      <c r="AM56" s="1518" t="s">
        <v>1707</v>
      </c>
      <c r="AN56" s="1518" t="s">
        <v>1615</v>
      </c>
      <c r="AO56" s="1515"/>
      <c r="AP56" s="1496" t="s">
        <v>1707</v>
      </c>
      <c r="AQ56" s="1515"/>
      <c r="AR56" s="1515"/>
      <c r="AS56" s="1515"/>
      <c r="AT56" s="1515"/>
      <c r="AU56" s="1515"/>
      <c r="AV56" s="1495" t="s">
        <v>1615</v>
      </c>
      <c r="AW56" s="1515"/>
      <c r="AX56" s="1515"/>
      <c r="AY56" s="1515"/>
      <c r="AZ56" s="1515"/>
      <c r="BA56" s="1515"/>
      <c r="BB56" s="1515"/>
      <c r="BC56" s="1515"/>
      <c r="BD56" s="1515"/>
      <c r="BE56" s="1515"/>
      <c r="BF56" s="1515"/>
      <c r="BG56" s="1515"/>
      <c r="BH56" s="1515"/>
      <c r="BI56" s="1515"/>
      <c r="BJ56" s="1492"/>
      <c r="BK56" s="1515"/>
      <c r="BL56" s="1515"/>
      <c r="BM56" s="1515"/>
      <c r="BN56" s="1515"/>
      <c r="BO56" s="1515"/>
      <c r="BP56" s="1515"/>
      <c r="BQ56" s="1515"/>
      <c r="BR56" s="1515"/>
      <c r="BS56" s="1515"/>
      <c r="BT56" s="1515"/>
      <c r="BU56" s="1515"/>
      <c r="BV56" s="1515"/>
      <c r="BW56" s="1515"/>
      <c r="BX56" s="1515"/>
      <c r="BY56" s="1496" t="s">
        <v>1707</v>
      </c>
      <c r="BZ56" s="1515"/>
      <c r="CA56" s="1515"/>
      <c r="CB56" s="1496" t="s">
        <v>1707</v>
      </c>
      <c r="CC56" s="1515"/>
      <c r="CD56" s="1464" t="s">
        <v>1707</v>
      </c>
      <c r="CE56" s="1515"/>
      <c r="CF56" s="1495" t="s">
        <v>1615</v>
      </c>
      <c r="CG56" s="1515"/>
      <c r="CH56" s="1495" t="s">
        <v>1707</v>
      </c>
      <c r="CI56" s="1515"/>
      <c r="CJ56" s="1515"/>
      <c r="CK56" s="1495" t="s">
        <v>1615</v>
      </c>
      <c r="CL56" s="1495" t="s">
        <v>1707</v>
      </c>
      <c r="CM56" s="1495" t="s">
        <v>1615</v>
      </c>
      <c r="CN56" s="1495" t="s">
        <v>1707</v>
      </c>
      <c r="CO56" s="1495" t="s">
        <v>1615</v>
      </c>
      <c r="CP56" s="1495" t="s">
        <v>1707</v>
      </c>
      <c r="CQ56" s="1515"/>
      <c r="CR56" s="1495" t="s">
        <v>1707</v>
      </c>
      <c r="CS56" s="1495" t="s">
        <v>1707</v>
      </c>
      <c r="CT56" s="1515"/>
      <c r="CU56" s="1495" t="s">
        <v>1615</v>
      </c>
      <c r="CV56" s="1495" t="s">
        <v>1615</v>
      </c>
      <c r="CW56" s="1515"/>
      <c r="CX56" s="1515"/>
      <c r="CY56" s="1515"/>
      <c r="CZ56" s="1515"/>
      <c r="DA56" s="1515"/>
      <c r="DB56" s="1515"/>
      <c r="DC56" s="1496" t="s">
        <v>1707</v>
      </c>
      <c r="DD56" s="1515"/>
      <c r="DE56" s="1515"/>
      <c r="DF56" s="1515"/>
      <c r="DG56" s="1515"/>
      <c r="DH56" s="1515"/>
      <c r="DI56" s="1515"/>
      <c r="DJ56" s="1496" t="s">
        <v>1707</v>
      </c>
      <c r="DK56" s="1515"/>
      <c r="DL56" s="1515"/>
      <c r="DM56" s="1515"/>
      <c r="DN56" s="1515"/>
      <c r="DO56" s="1495"/>
      <c r="DP56" s="1515"/>
      <c r="DQ56" s="1515"/>
      <c r="DR56" s="1496" t="s">
        <v>1707</v>
      </c>
      <c r="DS56" s="1515"/>
      <c r="DT56" s="1515"/>
      <c r="DU56" s="1515"/>
      <c r="DV56" s="1515"/>
      <c r="DW56" s="1515"/>
      <c r="DX56" s="1515"/>
      <c r="DY56" s="1515"/>
      <c r="DZ56" s="1515"/>
      <c r="EA56" s="1496" t="s">
        <v>1707</v>
      </c>
      <c r="EB56" s="1515"/>
      <c r="EC56" s="1515"/>
      <c r="ED56" s="1515"/>
      <c r="EE56" s="1515"/>
      <c r="EF56" s="1495" t="s">
        <v>1707</v>
      </c>
      <c r="EG56" s="1495" t="s">
        <v>1615</v>
      </c>
      <c r="EH56" s="1515"/>
      <c r="EI56" s="1495" t="s">
        <v>1707</v>
      </c>
      <c r="EJ56" s="1515"/>
      <c r="EK56" s="1515"/>
      <c r="EL56" s="1515"/>
      <c r="EM56" s="1495" t="s">
        <v>1707</v>
      </c>
      <c r="EN56" s="1515"/>
      <c r="EO56" s="1515"/>
      <c r="EP56" s="1515"/>
      <c r="EQ56" s="1515"/>
      <c r="ER56" s="1515"/>
      <c r="ES56" s="1496" t="s">
        <v>1707</v>
      </c>
      <c r="ET56" s="1496" t="s">
        <v>1707</v>
      </c>
      <c r="EU56" s="1515"/>
      <c r="EV56" s="1515"/>
      <c r="EW56" s="1515"/>
      <c r="EX56" s="1515"/>
      <c r="EY56" s="1495" t="s">
        <v>1707</v>
      </c>
      <c r="EZ56" s="1515"/>
      <c r="FA56" s="1515"/>
      <c r="FB56" s="1515"/>
      <c r="FC56" s="1515"/>
      <c r="FD56" s="1515"/>
      <c r="FE56" s="1515"/>
      <c r="FF56" s="1495" t="s">
        <v>1707</v>
      </c>
      <c r="FG56" s="1515"/>
      <c r="FH56" s="1495" t="s">
        <v>1615</v>
      </c>
      <c r="FI56" s="1495" t="s">
        <v>1707</v>
      </c>
      <c r="FJ56" s="1495" t="s">
        <v>1615</v>
      </c>
      <c r="FK56" s="1515"/>
      <c r="FL56" s="1515"/>
      <c r="FM56" s="1495" t="s">
        <v>1615</v>
      </c>
      <c r="FN56" s="1515"/>
      <c r="FO56" s="1495" t="s">
        <v>1707</v>
      </c>
      <c r="FP56" s="1515"/>
      <c r="FQ56" s="1515"/>
      <c r="FR56" s="1515"/>
      <c r="FS56" s="1515"/>
      <c r="FT56" s="1515"/>
      <c r="FU56" s="1515"/>
      <c r="FV56" s="1515"/>
      <c r="FW56" s="1515"/>
      <c r="FX56" s="1515"/>
      <c r="FY56" s="1515"/>
      <c r="FZ56" s="1489"/>
      <c r="GA56" s="1489"/>
      <c r="GB56" s="1489"/>
      <c r="GC56" s="1489"/>
      <c r="GD56" s="1496" t="s">
        <v>1707</v>
      </c>
      <c r="GE56" s="1515"/>
      <c r="GF56" s="1515"/>
      <c r="GG56" s="1515"/>
      <c r="GH56" s="1515"/>
      <c r="GI56" s="1515"/>
      <c r="GJ56" s="1495" t="s">
        <v>1707</v>
      </c>
      <c r="GK56" s="1515"/>
      <c r="GL56" s="1515"/>
      <c r="GM56" s="1515"/>
      <c r="GN56" s="1496" t="s">
        <v>1707</v>
      </c>
      <c r="GO56" s="1489"/>
      <c r="GP56" s="1489"/>
      <c r="GQ56" s="1489"/>
      <c r="GR56" s="1489"/>
      <c r="GS56" s="1489"/>
      <c r="GT56" s="1489"/>
      <c r="GU56" s="1496" t="s">
        <v>1707</v>
      </c>
      <c r="GV56" s="1515"/>
      <c r="GW56" s="1515"/>
      <c r="GX56" s="1495" t="s">
        <v>1707</v>
      </c>
      <c r="GY56" s="1515"/>
      <c r="GZ56" s="1515"/>
      <c r="HA56" s="1515"/>
      <c r="HB56" s="1495" t="s">
        <v>1615</v>
      </c>
      <c r="HC56" s="1495" t="s">
        <v>1615</v>
      </c>
      <c r="HD56" s="1515"/>
      <c r="HE56" s="1515"/>
      <c r="HF56" s="1515"/>
      <c r="HG56" s="1515"/>
      <c r="HH56" s="1515"/>
      <c r="HI56" s="1496" t="s">
        <v>1707</v>
      </c>
      <c r="HJ56" s="1496" t="s">
        <v>1707</v>
      </c>
      <c r="HK56" s="1496" t="s">
        <v>1615</v>
      </c>
      <c r="HL56" s="1464" t="s">
        <v>1615</v>
      </c>
      <c r="HM56" s="1496" t="s">
        <v>1707</v>
      </c>
      <c r="HN56" s="1515"/>
      <c r="HO56" s="1496" t="s">
        <v>1707</v>
      </c>
      <c r="HP56" s="1515"/>
      <c r="HQ56" s="1515"/>
      <c r="HR56" s="1515"/>
      <c r="HS56" s="1515"/>
      <c r="HT56" s="1515"/>
      <c r="HU56" s="1515"/>
      <c r="HV56" s="1515"/>
      <c r="HW56" s="1496" t="s">
        <v>1615</v>
      </c>
      <c r="HX56" s="1515"/>
      <c r="HY56" s="1515"/>
      <c r="HZ56" s="1515"/>
      <c r="IA56" s="1515"/>
      <c r="IB56" s="1515"/>
      <c r="IC56" s="1515"/>
      <c r="ID56" s="1515"/>
      <c r="IE56" s="1515"/>
      <c r="IF56" s="1515"/>
      <c r="IG56" s="1515"/>
      <c r="IH56" s="1515"/>
      <c r="II56" s="1515"/>
      <c r="IJ56" s="1515"/>
      <c r="IK56" s="1515"/>
      <c r="IL56" s="1496" t="s">
        <v>1615</v>
      </c>
      <c r="IM56" s="1515"/>
      <c r="IN56" s="1515"/>
      <c r="IO56" s="1515"/>
      <c r="IP56" s="1515"/>
      <c r="IQ56" s="1515"/>
      <c r="IR56" s="1515"/>
      <c r="IS56" s="1515"/>
      <c r="IT56" s="1515"/>
      <c r="IU56" s="1493" t="s">
        <v>1707</v>
      </c>
      <c r="IV56" s="1515"/>
      <c r="IW56" s="1464" t="s">
        <v>1707</v>
      </c>
      <c r="IX56" s="1464" t="s">
        <v>1707</v>
      </c>
      <c r="IY56" s="1495" t="s">
        <v>1615</v>
      </c>
      <c r="IZ56" s="1515"/>
      <c r="JA56" s="1464" t="s">
        <v>1707</v>
      </c>
      <c r="JB56" s="1464" t="s">
        <v>1615</v>
      </c>
      <c r="JC56" s="1515"/>
      <c r="JD56" s="1515"/>
      <c r="JE56" s="1515"/>
      <c r="JF56" s="1515"/>
      <c r="JG56" s="1515"/>
      <c r="JH56" s="1496" t="s">
        <v>1615</v>
      </c>
      <c r="JI56" s="1515"/>
      <c r="JJ56" s="1515"/>
      <c r="JK56" s="1496" t="s">
        <v>1707</v>
      </c>
      <c r="JL56" s="1515"/>
      <c r="JM56" s="1515"/>
      <c r="JN56" s="1515"/>
      <c r="JO56" s="1515"/>
      <c r="JP56" s="1515"/>
      <c r="JQ56" s="1519"/>
      <c r="JR56" s="351"/>
      <c r="JS56" s="1400"/>
      <c r="JT56" s="1400"/>
    </row>
    <row r="57" spans="1:280" ht="30" x14ac:dyDescent="0.25">
      <c r="A57" s="1367">
        <v>10</v>
      </c>
      <c r="B57" s="1411" t="str">
        <f t="shared" si="17"/>
        <v/>
      </c>
      <c r="C57" s="1435" t="s">
        <v>3116</v>
      </c>
      <c r="D57" s="1436" t="s">
        <v>3117</v>
      </c>
      <c r="E57" s="1427"/>
      <c r="F57" s="1427"/>
      <c r="G57" s="1427"/>
      <c r="H57" s="1427"/>
      <c r="I57" s="1427"/>
      <c r="J57" s="1427"/>
      <c r="K57" s="1427"/>
      <c r="L57" s="1427"/>
      <c r="M57" s="1427"/>
      <c r="N57" s="1427"/>
      <c r="O57" s="1427"/>
      <c r="P57" s="1427"/>
      <c r="Q57" s="1495" t="str">
        <f>"31/03/"&amp;Tax_year_end</f>
        <v>31/03/2026</v>
      </c>
      <c r="R57" s="1427"/>
      <c r="S57" s="1427"/>
      <c r="T57" s="1427"/>
      <c r="U57" s="1427"/>
      <c r="V57" s="1427"/>
      <c r="W57" s="1427"/>
      <c r="X57" s="1427"/>
      <c r="Y57" s="1427"/>
      <c r="Z57" s="1427"/>
      <c r="AA57" s="1495" t="str">
        <f>"31/01/"&amp;Tax_year_end</f>
        <v>31/01/2026</v>
      </c>
      <c r="AB57" s="1427"/>
      <c r="AC57" s="1495" t="str">
        <f>"31/03/"&amp;Tax_year_end</f>
        <v>31/03/2026</v>
      </c>
      <c r="AD57" s="1427"/>
      <c r="AE57" s="1495" t="str">
        <f>"31/03/"&amp;Tax_year_end</f>
        <v>31/03/2026</v>
      </c>
      <c r="AF57" s="1427"/>
      <c r="AG57" s="1427"/>
      <c r="AH57" s="1495" t="str">
        <f>"04/04/"&amp;Tax_year_end</f>
        <v>04/04/2026</v>
      </c>
      <c r="AI57" s="1427"/>
      <c r="AJ57" s="1495" t="str">
        <f>"31/03/"&amp;Tax_year_end</f>
        <v>31/03/2026</v>
      </c>
      <c r="AK57" s="1495" t="str">
        <f>"31/03/"&amp;Tax_year_end</f>
        <v>31/03/2026</v>
      </c>
      <c r="AL57" s="1427"/>
      <c r="AM57" s="1495" t="str">
        <f>"30/03/"&amp;Tax_year_end</f>
        <v>30/03/2026</v>
      </c>
      <c r="AN57" s="1427"/>
      <c r="AO57" s="1427"/>
      <c r="AP57" s="1495" t="str">
        <f>"22/03/"&amp;Tax_year_end</f>
        <v>22/03/2026</v>
      </c>
      <c r="AQ57" s="1427"/>
      <c r="AR57" s="1427"/>
      <c r="AS57" s="1427"/>
      <c r="AT57" s="1427"/>
      <c r="AU57" s="1427"/>
      <c r="AV57" s="1427"/>
      <c r="AW57" s="1427"/>
      <c r="AX57" s="1427"/>
      <c r="AY57" s="1427"/>
      <c r="AZ57" s="1427"/>
      <c r="BA57" s="1427"/>
      <c r="BB57" s="1427"/>
      <c r="BC57" s="1427"/>
      <c r="BD57" s="1427"/>
      <c r="BE57" s="1427"/>
      <c r="BF57" s="1427"/>
      <c r="BG57" s="1427"/>
      <c r="BH57" s="1427"/>
      <c r="BI57" s="1427"/>
      <c r="BJ57" s="1427"/>
      <c r="BK57" s="1427"/>
      <c r="BL57" s="1427"/>
      <c r="BM57" s="1427"/>
      <c r="BN57" s="1427"/>
      <c r="BO57" s="1427"/>
      <c r="BP57" s="1427"/>
      <c r="BQ57" s="1427"/>
      <c r="BR57" s="1427"/>
      <c r="BS57" s="1427"/>
      <c r="BT57" s="1427"/>
      <c r="BU57" s="1427"/>
      <c r="BV57" s="1427"/>
      <c r="BW57" s="1427"/>
      <c r="BX57" s="1427"/>
      <c r="BY57" s="1495" t="str">
        <f>"01/04/"&amp;Tax_year_end</f>
        <v>01/04/2026</v>
      </c>
      <c r="BZ57" s="1427"/>
      <c r="CA57" s="1427"/>
      <c r="CB57" s="1495" t="str">
        <f>"02/04/"&amp;Tax_year_end</f>
        <v>02/04/2026</v>
      </c>
      <c r="CC57" s="1427"/>
      <c r="CD57" s="1427" t="str">
        <f>"28/02/"&amp;Tax_year_end</f>
        <v>28/02/2026</v>
      </c>
      <c r="CE57" s="1427"/>
      <c r="CF57" s="1427"/>
      <c r="CG57" s="1427"/>
      <c r="CH57" s="1495" t="str">
        <f>"03/04/"&amp;Tax_year_end</f>
        <v>03/04/2026</v>
      </c>
      <c r="CI57" s="1427"/>
      <c r="CJ57" s="1427"/>
      <c r="CK57" s="1427"/>
      <c r="CL57" s="1495" t="str">
        <f>"03/04/"&amp;Tax_year_end</f>
        <v>03/04/2026</v>
      </c>
      <c r="CM57" s="1427"/>
      <c r="CN57" s="1495" t="str">
        <f>"04/04/"&amp;Tax_year_end</f>
        <v>04/04/2026</v>
      </c>
      <c r="CO57" s="1427"/>
      <c r="CP57" s="1495" t="str">
        <f>"03/04/"&amp;Tax_year_end</f>
        <v>03/04/2026</v>
      </c>
      <c r="CQ57" s="1427"/>
      <c r="CR57" s="1495" t="str">
        <f>"31/03/"&amp;Tax_year_end</f>
        <v>31/03/2026</v>
      </c>
      <c r="CS57" s="1495" t="str">
        <f>"31/03/"&amp;Tax_year_end</f>
        <v>31/03/2026</v>
      </c>
      <c r="CT57" s="1427"/>
      <c r="CU57" s="1427"/>
      <c r="CV57" s="1427"/>
      <c r="CW57" s="1427"/>
      <c r="CX57" s="1427"/>
      <c r="CY57" s="1427"/>
      <c r="CZ57" s="1427"/>
      <c r="DA57" s="1427"/>
      <c r="DB57" s="1427"/>
      <c r="DC57" s="1495" t="str">
        <f>"17/03/"&amp;Tax_year_end</f>
        <v>17/03/2026</v>
      </c>
      <c r="DD57" s="1427"/>
      <c r="DE57" s="1427"/>
      <c r="DF57" s="1427"/>
      <c r="DG57" s="1427"/>
      <c r="DH57" s="1427"/>
      <c r="DI57" s="1427"/>
      <c r="DJ57" s="1495" t="str">
        <f>"19/03/"&amp;Tax_year_end</f>
        <v>19/03/2026</v>
      </c>
      <c r="DK57" s="1427"/>
      <c r="DL57" s="1427"/>
      <c r="DM57" s="1427"/>
      <c r="DN57" s="1427"/>
      <c r="DO57" s="1427"/>
      <c r="DP57" s="1427"/>
      <c r="DQ57" s="1427"/>
      <c r="DR57" s="1495" t="str">
        <f>"20/03/"&amp;Tax_year_end</f>
        <v>20/03/2026</v>
      </c>
      <c r="DS57" s="1427"/>
      <c r="DT57" s="1427"/>
      <c r="DU57" s="1427"/>
      <c r="DV57" s="1427"/>
      <c r="DW57" s="1427"/>
      <c r="DX57" s="1427"/>
      <c r="DY57" s="1427"/>
      <c r="DZ57" s="1427"/>
      <c r="EA57" s="1495" t="str">
        <f>"31/03/"&amp;Tax_year_end</f>
        <v>31/03/2026</v>
      </c>
      <c r="EB57" s="1427"/>
      <c r="EC57" s="1427"/>
      <c r="ED57" s="1427"/>
      <c r="EE57" s="1427"/>
      <c r="EF57" s="1495" t="str">
        <f>"31/03/"&amp;Tax_year_end</f>
        <v>31/03/2026</v>
      </c>
      <c r="EG57" s="1427"/>
      <c r="EH57" s="1427"/>
      <c r="EI57" s="1520" t="str">
        <f>"31/08/"&amp;Tax_year_start</f>
        <v>31/08/2025</v>
      </c>
      <c r="EJ57" s="1427"/>
      <c r="EK57" s="1427"/>
      <c r="EL57" s="1427"/>
      <c r="EM57" s="1495" t="str">
        <f>"26/03/"&amp;Tax_year_end</f>
        <v>26/03/2026</v>
      </c>
      <c r="EN57" s="1427"/>
      <c r="EO57" s="1427"/>
      <c r="EP57" s="1427"/>
      <c r="EQ57" s="1427"/>
      <c r="ER57" s="1427"/>
      <c r="ES57" s="1495" t="str">
        <f>"21/03/"&amp;Tax_year_end</f>
        <v>21/03/2026</v>
      </c>
      <c r="ET57" s="1495" t="str">
        <f>"31/03/"&amp;Tax_year_end</f>
        <v>31/03/2026</v>
      </c>
      <c r="EU57" s="1427"/>
      <c r="EV57" s="1427"/>
      <c r="EW57" s="1427"/>
      <c r="EX57" s="1427"/>
      <c r="EY57" s="1495" t="str">
        <f>"31/03/"&amp;Tax_year_end</f>
        <v>31/03/2026</v>
      </c>
      <c r="EZ57" s="1427"/>
      <c r="FA57" s="1427"/>
      <c r="FB57" s="1427"/>
      <c r="FC57" s="1427"/>
      <c r="FD57" s="1427"/>
      <c r="FE57" s="1427"/>
      <c r="FF57" s="1495" t="str">
        <f>"11/03/"&amp;Tax_year_end</f>
        <v>11/03/2026</v>
      </c>
      <c r="FG57" s="1427"/>
      <c r="FH57" s="1427"/>
      <c r="FI57" s="1495" t="str">
        <f>"21/03/"&amp;Tax_year_end</f>
        <v>21/03/2026</v>
      </c>
      <c r="FJ57" s="1427"/>
      <c r="FK57" s="1427"/>
      <c r="FL57" s="1427"/>
      <c r="FM57" s="1427"/>
      <c r="FN57" s="1427"/>
      <c r="FO57" s="1495" t="str">
        <f>"21/03/"&amp;Tax_year_end</f>
        <v>21/03/2026</v>
      </c>
      <c r="FP57" s="1427"/>
      <c r="FQ57" s="1427"/>
      <c r="FR57" s="1427"/>
      <c r="FS57" s="1427"/>
      <c r="FT57" s="1427"/>
      <c r="FU57" s="1427"/>
      <c r="FV57" s="1427"/>
      <c r="FW57" s="1427"/>
      <c r="FX57" s="1427"/>
      <c r="FY57" s="1427"/>
      <c r="FZ57" s="1427"/>
      <c r="GA57" s="1427"/>
      <c r="GB57" s="1427"/>
      <c r="GC57" s="1427"/>
      <c r="GD57" s="1495" t="str">
        <f>"31/03/"&amp;Tax_year_end</f>
        <v>31/03/2026</v>
      </c>
      <c r="GE57" s="1427"/>
      <c r="GF57" s="1427"/>
      <c r="GG57" s="1427"/>
      <c r="GH57" s="1427"/>
      <c r="GI57" s="1427"/>
      <c r="GJ57" s="1520" t="str">
        <f>"31/08/"&amp;Tax_year_start</f>
        <v>31/08/2025</v>
      </c>
      <c r="GK57" s="1427"/>
      <c r="GL57" s="1427"/>
      <c r="GM57" s="1427"/>
      <c r="GN57" s="1495" t="str">
        <f>"26/03/"&amp;Tax_year_end</f>
        <v>26/03/2026</v>
      </c>
      <c r="GO57" s="1427"/>
      <c r="GP57" s="1427"/>
      <c r="GQ57" s="1427"/>
      <c r="GR57" s="1427"/>
      <c r="GS57" s="1427"/>
      <c r="GT57" s="1427"/>
      <c r="GU57" s="1427" t="str">
        <f>"31/03/"&amp;Tax_year_end</f>
        <v>31/03/2026</v>
      </c>
      <c r="GV57" s="1427"/>
      <c r="GW57" s="1427"/>
      <c r="GX57" s="1427" t="str">
        <f>"31/03/"&amp;Tax_year_end</f>
        <v>31/03/2026</v>
      </c>
      <c r="GY57" s="1427"/>
      <c r="GZ57" s="1427"/>
      <c r="HA57" s="1427"/>
      <c r="HB57" s="1427"/>
      <c r="HC57" s="1427"/>
      <c r="HD57" s="1427"/>
      <c r="HE57" s="1427"/>
      <c r="HF57" s="1427"/>
      <c r="HG57" s="1427"/>
      <c r="HH57" s="1427"/>
      <c r="HI57" s="1495" t="str">
        <f>"29/03/"&amp;Tax_year_end</f>
        <v>29/03/2026</v>
      </c>
      <c r="HJ57" s="1495" t="str">
        <f>"13/03/"&amp;Tax_year_end</f>
        <v>13/03/2026</v>
      </c>
      <c r="HK57" s="1427"/>
      <c r="HL57" s="1427"/>
      <c r="HM57" s="1495" t="str">
        <f>"12/03/"&amp;Tax_year_end</f>
        <v>12/03/2026</v>
      </c>
      <c r="HN57" s="1427"/>
      <c r="HO57" s="1495" t="str">
        <f>"31/03/"&amp;Tax_year_end</f>
        <v>31/03/2026</v>
      </c>
      <c r="HP57" s="1427"/>
      <c r="HQ57" s="1427"/>
      <c r="HR57" s="1427"/>
      <c r="HS57" s="1427"/>
      <c r="HT57" s="1427"/>
      <c r="HU57" s="1427"/>
      <c r="HV57" s="1427"/>
      <c r="HW57" s="1427"/>
      <c r="HX57" s="1427"/>
      <c r="HY57" s="1427"/>
      <c r="HZ57" s="1427"/>
      <c r="IA57" s="1427"/>
      <c r="IB57" s="1427"/>
      <c r="IC57" s="1427"/>
      <c r="ID57" s="1427"/>
      <c r="IE57" s="1427"/>
      <c r="IF57" s="1427"/>
      <c r="IG57" s="1427"/>
      <c r="IH57" s="1427"/>
      <c r="II57" s="1427"/>
      <c r="IJ57" s="1427"/>
      <c r="IK57" s="1427"/>
      <c r="IL57" s="1427"/>
      <c r="IM57" s="1427"/>
      <c r="IN57" s="1427"/>
      <c r="IO57" s="1427"/>
      <c r="IP57" s="1427"/>
      <c r="IQ57" s="1427"/>
      <c r="IR57" s="1427"/>
      <c r="IS57" s="1427"/>
      <c r="IT57" s="1427"/>
      <c r="IU57" s="1495" t="str">
        <f>"04/04/"&amp;Tax_year_end</f>
        <v>04/04/2026</v>
      </c>
      <c r="IV57" s="1515"/>
      <c r="IW57" s="1495" t="str">
        <f>"02/04/"&amp;Tax_year_end</f>
        <v>02/04/2026</v>
      </c>
      <c r="IX57" s="1495" t="str">
        <f>"01/04/"&amp;Tax_year_end</f>
        <v>01/04/2026</v>
      </c>
      <c r="IY57" s="1427"/>
      <c r="IZ57" s="1427"/>
      <c r="JA57" s="1495" t="str">
        <f>"31/03/"&amp;Tax_year_end</f>
        <v>31/03/2026</v>
      </c>
      <c r="JB57" s="1427"/>
      <c r="JC57" s="1427"/>
      <c r="JD57" s="1427"/>
      <c r="JE57" s="1427"/>
      <c r="JF57" s="1427"/>
      <c r="JG57" s="1427"/>
      <c r="JH57" s="1427"/>
      <c r="JI57" s="1427"/>
      <c r="JJ57" s="1427"/>
      <c r="JK57" s="1495" t="str">
        <f>"31/03/"&amp;Tax_year_end</f>
        <v>31/03/2026</v>
      </c>
      <c r="JL57" s="1427"/>
      <c r="JM57" s="1427"/>
      <c r="JN57" s="1427"/>
      <c r="JO57" s="1427"/>
      <c r="JP57" s="1427"/>
      <c r="JQ57" s="1427"/>
      <c r="JR57" s="351"/>
      <c r="JS57" s="1400" t="s">
        <v>3118</v>
      </c>
      <c r="JT57" s="1400" t="s">
        <v>2208</v>
      </c>
    </row>
    <row r="58" spans="1:280" x14ac:dyDescent="0.25">
      <c r="A58" s="1367">
        <v>11</v>
      </c>
      <c r="B58" s="1411" t="str">
        <f t="shared" si="17"/>
        <v/>
      </c>
      <c r="C58" s="1435" t="s">
        <v>3119</v>
      </c>
      <c r="D58" s="1436" t="s">
        <v>3120</v>
      </c>
      <c r="E58" s="1427"/>
      <c r="F58" s="1427"/>
      <c r="G58" s="1427" t="str">
        <f>"06/04/"&amp;Tax_year_start</f>
        <v>06/04/2025</v>
      </c>
      <c r="H58" s="1427"/>
      <c r="I58" s="1427" t="str">
        <f>"06/04/"&amp;Tax_year_start</f>
        <v>06/04/2025</v>
      </c>
      <c r="J58" s="1427"/>
      <c r="K58" s="1427"/>
      <c r="L58" s="1427" t="str">
        <f>"06/04/"&amp;Tax_year_start</f>
        <v>06/04/2025</v>
      </c>
      <c r="M58" s="1427"/>
      <c r="N58" s="1427"/>
      <c r="O58" s="1427"/>
      <c r="P58" s="1427"/>
      <c r="Q58" s="1427" t="str">
        <f>"06/04/"&amp;Tax_year_start</f>
        <v>06/04/2025</v>
      </c>
      <c r="R58" s="1427"/>
      <c r="S58" s="1427" t="str">
        <f>"06/04/"&amp;Tax_year_start</f>
        <v>06/04/2025</v>
      </c>
      <c r="T58" s="1427"/>
      <c r="U58" s="1427"/>
      <c r="V58" s="1427"/>
      <c r="W58" s="1427"/>
      <c r="X58" s="1427"/>
      <c r="Y58" s="1427"/>
      <c r="Z58" s="1427"/>
      <c r="AA58" s="1427" t="str">
        <f>"06/04/"&amp;Tax_year_start</f>
        <v>06/04/2025</v>
      </c>
      <c r="AB58" s="1427"/>
      <c r="AC58" s="1427" t="str">
        <f>"06/04/"&amp;Tax_year_start</f>
        <v>06/04/2025</v>
      </c>
      <c r="AD58" s="1427"/>
      <c r="AE58" s="1427" t="str">
        <f>"06/04/"&amp;Tax_year_start</f>
        <v>06/04/2025</v>
      </c>
      <c r="AF58" s="1427"/>
      <c r="AG58" s="1427"/>
      <c r="AH58" s="1427" t="str">
        <f>"06/04/"&amp;Tax_year_start</f>
        <v>06/04/2025</v>
      </c>
      <c r="AI58" s="1427"/>
      <c r="AJ58" s="1427" t="str">
        <f>"06/04/"&amp;Tax_year_start</f>
        <v>06/04/2025</v>
      </c>
      <c r="AK58" s="1427" t="str">
        <f>"06/04/"&amp;Tax_year_start</f>
        <v>06/04/2025</v>
      </c>
      <c r="AL58" s="1427"/>
      <c r="AM58" s="1427" t="str">
        <f>"06/04/"&amp;Tax_year_start</f>
        <v>06/04/2025</v>
      </c>
      <c r="AN58" s="1427" t="str">
        <f>"06/04/"&amp;Tax_year_start</f>
        <v>06/04/2025</v>
      </c>
      <c r="AO58" s="1427"/>
      <c r="AP58" s="1427" t="str">
        <f>"06/04/"&amp;Tax_year_start</f>
        <v>06/04/2025</v>
      </c>
      <c r="AQ58" s="1427"/>
      <c r="AR58" s="1427"/>
      <c r="AS58" s="1427"/>
      <c r="AT58" s="1427"/>
      <c r="AU58" s="1427"/>
      <c r="AV58" s="1427" t="str">
        <f>"06/04/"&amp;Tax_year_start</f>
        <v>06/04/2025</v>
      </c>
      <c r="AW58" s="1427"/>
      <c r="AX58" s="1427"/>
      <c r="AY58" s="1427"/>
      <c r="AZ58" s="1427"/>
      <c r="BA58" s="1427"/>
      <c r="BB58" s="1427"/>
      <c r="BC58" s="1427"/>
      <c r="BD58" s="1427"/>
      <c r="BE58" s="1427"/>
      <c r="BF58" s="1427"/>
      <c r="BG58" s="1427"/>
      <c r="BH58" s="1427"/>
      <c r="BI58" s="1427"/>
      <c r="BJ58" s="1427"/>
      <c r="BK58" s="1427"/>
      <c r="BL58" s="1427"/>
      <c r="BM58" s="1427"/>
      <c r="BN58" s="1427"/>
      <c r="BO58" s="1427"/>
      <c r="BP58" s="1427"/>
      <c r="BQ58" s="1427"/>
      <c r="BR58" s="1427"/>
      <c r="BS58" s="1427"/>
      <c r="BT58" s="1427"/>
      <c r="BU58" s="1427"/>
      <c r="BV58" s="1427"/>
      <c r="BW58" s="1427"/>
      <c r="BX58" s="1427"/>
      <c r="BY58" s="1427" t="str">
        <f>"06/04/"&amp;Tax_year_start</f>
        <v>06/04/2025</v>
      </c>
      <c r="BZ58" s="1427"/>
      <c r="CA58" s="1427"/>
      <c r="CB58" s="1427" t="str">
        <f>"06/04/"&amp;Tax_year_start</f>
        <v>06/04/2025</v>
      </c>
      <c r="CC58" s="1427"/>
      <c r="CD58" s="1427" t="str">
        <f>"06/04/"&amp;Tax_year_start</f>
        <v>06/04/2025</v>
      </c>
      <c r="CE58" s="1427"/>
      <c r="CF58" s="1427" t="str">
        <f>"06/04/"&amp;Tax_year_start</f>
        <v>06/04/2025</v>
      </c>
      <c r="CG58" s="1427"/>
      <c r="CH58" s="1427" t="str">
        <f>"06/04/"&amp;Tax_year_start</f>
        <v>06/04/2025</v>
      </c>
      <c r="CI58" s="1427"/>
      <c r="CJ58" s="1427"/>
      <c r="CK58" s="1427" t="str">
        <f t="shared" ref="CK58:CP58" si="18">"06/04/"&amp;Tax_year_start</f>
        <v>06/04/2025</v>
      </c>
      <c r="CL58" s="1427" t="str">
        <f t="shared" si="18"/>
        <v>06/04/2025</v>
      </c>
      <c r="CM58" s="1427" t="str">
        <f t="shared" si="18"/>
        <v>06/04/2025</v>
      </c>
      <c r="CN58" s="1427" t="str">
        <f t="shared" si="18"/>
        <v>06/04/2025</v>
      </c>
      <c r="CO58" s="1427" t="str">
        <f t="shared" si="18"/>
        <v>06/04/2025</v>
      </c>
      <c r="CP58" s="1427" t="str">
        <f t="shared" si="18"/>
        <v>06/04/2025</v>
      </c>
      <c r="CQ58" s="1427"/>
      <c r="CR58" s="1427" t="str">
        <f>"06/04/"&amp;Tax_year_start</f>
        <v>06/04/2025</v>
      </c>
      <c r="CS58" s="1427" t="str">
        <f>"06/04/"&amp;Tax_year_start</f>
        <v>06/04/2025</v>
      </c>
      <c r="CT58" s="1427"/>
      <c r="CU58" s="1427" t="str">
        <f>"06/04/"&amp;Tax_year_start</f>
        <v>06/04/2025</v>
      </c>
      <c r="CV58" s="1427" t="str">
        <f>"06/04/"&amp;Tax_year_start</f>
        <v>06/04/2025</v>
      </c>
      <c r="CW58" s="1427"/>
      <c r="CX58" s="1427"/>
      <c r="CY58" s="1427"/>
      <c r="CZ58" s="1427"/>
      <c r="DA58" s="1427"/>
      <c r="DB58" s="1427"/>
      <c r="DC58" s="1427" t="str">
        <f>"06/04/"&amp;Tax_year_start</f>
        <v>06/04/2025</v>
      </c>
      <c r="DD58" s="1427"/>
      <c r="DE58" s="1427"/>
      <c r="DF58" s="1427"/>
      <c r="DG58" s="1427"/>
      <c r="DH58" s="1427"/>
      <c r="DI58" s="1427"/>
      <c r="DJ58" s="1427" t="str">
        <f>"06/04/"&amp;Tax_year_start</f>
        <v>06/04/2025</v>
      </c>
      <c r="DK58" s="1427"/>
      <c r="DL58" s="1427"/>
      <c r="DM58" s="1427"/>
      <c r="DN58" s="1427"/>
      <c r="DO58" s="1427"/>
      <c r="DP58" s="1427"/>
      <c r="DQ58" s="1427"/>
      <c r="DR58" s="1427" t="str">
        <f>"06/04/"&amp;Tax_year_start</f>
        <v>06/04/2025</v>
      </c>
      <c r="DS58" s="1427"/>
      <c r="DT58" s="1427"/>
      <c r="DU58" s="1427"/>
      <c r="DV58" s="1427"/>
      <c r="DW58" s="1427"/>
      <c r="DX58" s="1427"/>
      <c r="DY58" s="1427"/>
      <c r="DZ58" s="1427"/>
      <c r="EA58" s="1427" t="str">
        <f>"06/04/"&amp;Tax_year_start</f>
        <v>06/04/2025</v>
      </c>
      <c r="EB58" s="1427"/>
      <c r="EC58" s="1427"/>
      <c r="ED58" s="1427"/>
      <c r="EE58" s="1427"/>
      <c r="EF58" s="1427" t="str">
        <f>"06/04/"&amp;Tax_year_start</f>
        <v>06/04/2025</v>
      </c>
      <c r="EG58" s="1427" t="str">
        <f>"06/04/"&amp;Tax_year_start</f>
        <v>06/04/2025</v>
      </c>
      <c r="EH58" s="1427"/>
      <c r="EI58" s="1427" t="str">
        <f>"06/04/"&amp;Tax_year_start</f>
        <v>06/04/2025</v>
      </c>
      <c r="EJ58" s="1427"/>
      <c r="EK58" s="1427"/>
      <c r="EL58" s="1427"/>
      <c r="EM58" s="1427" t="str">
        <f>"06/04/"&amp;Tax_year_start</f>
        <v>06/04/2025</v>
      </c>
      <c r="EN58" s="1427"/>
      <c r="EO58" s="1427"/>
      <c r="EP58" s="1427"/>
      <c r="EQ58" s="1427"/>
      <c r="ER58" s="1427"/>
      <c r="ES58" s="1427" t="str">
        <f>"06/04/"&amp;Tax_year_start</f>
        <v>06/04/2025</v>
      </c>
      <c r="ET58" s="1427" t="str">
        <f>"06/04/"&amp;Tax_year_start</f>
        <v>06/04/2025</v>
      </c>
      <c r="EU58" s="1427"/>
      <c r="EV58" s="1427"/>
      <c r="EW58" s="1427"/>
      <c r="EX58" s="1427"/>
      <c r="EY58" s="1427" t="str">
        <f>"06/04/"&amp;Tax_year_start</f>
        <v>06/04/2025</v>
      </c>
      <c r="EZ58" s="1427"/>
      <c r="FA58" s="1427"/>
      <c r="FB58" s="1427"/>
      <c r="FC58" s="1427"/>
      <c r="FD58" s="1427"/>
      <c r="FE58" s="1427"/>
      <c r="FF58" s="1427" t="str">
        <f>"06/04/"&amp;Tax_year_start</f>
        <v>06/04/2025</v>
      </c>
      <c r="FG58" s="1427"/>
      <c r="FH58" s="1427" t="str">
        <f>"06/04/"&amp;Tax_year_start</f>
        <v>06/04/2025</v>
      </c>
      <c r="FI58" s="1427" t="str">
        <f>"06/04/"&amp;Tax_year_start</f>
        <v>06/04/2025</v>
      </c>
      <c r="FJ58" s="1427" t="str">
        <f>"06/04/"&amp;Tax_year_start</f>
        <v>06/04/2025</v>
      </c>
      <c r="FK58" s="1427"/>
      <c r="FL58" s="1427"/>
      <c r="FM58" s="1427" t="str">
        <f>"06/04/"&amp;Tax_year_start</f>
        <v>06/04/2025</v>
      </c>
      <c r="FN58" s="1427"/>
      <c r="FO58" s="1427" t="str">
        <f>"06/04/"&amp;Tax_year_start</f>
        <v>06/04/2025</v>
      </c>
      <c r="FP58" s="1427"/>
      <c r="FQ58" s="1427"/>
      <c r="FR58" s="1427"/>
      <c r="FS58" s="1427"/>
      <c r="FT58" s="1427"/>
      <c r="FU58" s="1427"/>
      <c r="FV58" s="1427"/>
      <c r="FW58" s="1427"/>
      <c r="FX58" s="1427"/>
      <c r="FY58" s="1427"/>
      <c r="FZ58" s="1427"/>
      <c r="GA58" s="1427"/>
      <c r="GB58" s="1427"/>
      <c r="GC58" s="1427"/>
      <c r="GD58" s="1427" t="str">
        <f>"06/04/"&amp;Tax_year_start</f>
        <v>06/04/2025</v>
      </c>
      <c r="GE58" s="1427"/>
      <c r="GF58" s="1427"/>
      <c r="GG58" s="1427"/>
      <c r="GH58" s="1427"/>
      <c r="GI58" s="1427"/>
      <c r="GJ58" s="1427" t="str">
        <f>"06/04/"&amp;Tax_year_start</f>
        <v>06/04/2025</v>
      </c>
      <c r="GK58" s="1427"/>
      <c r="GL58" s="1427"/>
      <c r="GM58" s="1427"/>
      <c r="GN58" s="1427" t="str">
        <f>"06/04/"&amp;Tax_year_start</f>
        <v>06/04/2025</v>
      </c>
      <c r="GO58" s="1427"/>
      <c r="GP58" s="1427"/>
      <c r="GQ58" s="1427"/>
      <c r="GR58" s="1427"/>
      <c r="GS58" s="1427"/>
      <c r="GT58" s="1427"/>
      <c r="GU58" s="1427" t="str">
        <f>"06/04/"&amp;Tax_year_start</f>
        <v>06/04/2025</v>
      </c>
      <c r="GV58" s="1427"/>
      <c r="GW58" s="1427"/>
      <c r="GX58" s="1427" t="str">
        <f>"06/04/"&amp;Tax_year_start</f>
        <v>06/04/2025</v>
      </c>
      <c r="GY58" s="1427"/>
      <c r="GZ58" s="1427"/>
      <c r="HA58" s="1427"/>
      <c r="HB58" s="1427" t="str">
        <f>"06/04/"&amp;Tax_year_start</f>
        <v>06/04/2025</v>
      </c>
      <c r="HC58" s="1427" t="str">
        <f>"06/04/"&amp;Tax_year_start</f>
        <v>06/04/2025</v>
      </c>
      <c r="HD58" s="1427"/>
      <c r="HE58" s="1427"/>
      <c r="HF58" s="1427"/>
      <c r="HG58" s="1427"/>
      <c r="HH58" s="1427"/>
      <c r="HI58" s="1427" t="str">
        <f>"06/04/"&amp;Tax_year_start</f>
        <v>06/04/2025</v>
      </c>
      <c r="HJ58" s="1427" t="str">
        <f>"06/04/"&amp;Tax_year_start</f>
        <v>06/04/2025</v>
      </c>
      <c r="HK58" s="1427" t="str">
        <f>"06/04/"&amp;Tax_year_start</f>
        <v>06/04/2025</v>
      </c>
      <c r="HL58" s="1427" t="str">
        <f>"06/04/"&amp;Tax_year_start</f>
        <v>06/04/2025</v>
      </c>
      <c r="HM58" s="1427" t="str">
        <f>"06/04/"&amp;Tax_year_start</f>
        <v>06/04/2025</v>
      </c>
      <c r="HN58" s="1427"/>
      <c r="HO58" s="1427" t="str">
        <f>"06/04/"&amp;Tax_year_start</f>
        <v>06/04/2025</v>
      </c>
      <c r="HP58" s="1427"/>
      <c r="HQ58" s="1427"/>
      <c r="HR58" s="1427"/>
      <c r="HS58" s="1427"/>
      <c r="HT58" s="1427"/>
      <c r="HU58" s="1427"/>
      <c r="HV58" s="1427"/>
      <c r="HW58" s="1427" t="str">
        <f>"06/04/"&amp;Tax_year_start</f>
        <v>06/04/2025</v>
      </c>
      <c r="HX58" s="1427"/>
      <c r="HY58" s="1427"/>
      <c r="HZ58" s="1427"/>
      <c r="IA58" s="1427"/>
      <c r="IB58" s="1427"/>
      <c r="IC58" s="1427"/>
      <c r="ID58" s="1427"/>
      <c r="IE58" s="1427"/>
      <c r="IF58" s="1427"/>
      <c r="IG58" s="1427"/>
      <c r="IH58" s="1427"/>
      <c r="II58" s="1427"/>
      <c r="IJ58" s="1427"/>
      <c r="IK58" s="1427"/>
      <c r="IL58" s="1427" t="str">
        <f>"06/04/"&amp;Tax_year_start</f>
        <v>06/04/2025</v>
      </c>
      <c r="IM58" s="1427"/>
      <c r="IN58" s="1427"/>
      <c r="IO58" s="1427"/>
      <c r="IP58" s="1427"/>
      <c r="IQ58" s="1427"/>
      <c r="IR58" s="1427"/>
      <c r="IS58" s="1427"/>
      <c r="IT58" s="1427"/>
      <c r="IU58" s="1427" t="str">
        <f>"06/04/"&amp;Tax_year_start</f>
        <v>06/04/2025</v>
      </c>
      <c r="IV58" s="1427"/>
      <c r="IW58" s="1427" t="str">
        <f>"06/04/"&amp;Tax_year_start</f>
        <v>06/04/2025</v>
      </c>
      <c r="IX58" s="1427" t="str">
        <f>"06/04/"&amp;Tax_year_start</f>
        <v>06/04/2025</v>
      </c>
      <c r="IY58" s="1427" t="str">
        <f>"06/04/"&amp;Tax_year_start</f>
        <v>06/04/2025</v>
      </c>
      <c r="IZ58" s="1427"/>
      <c r="JA58" s="1427" t="str">
        <f>"06/04/"&amp;Tax_year_start</f>
        <v>06/04/2025</v>
      </c>
      <c r="JB58" s="1427" t="str">
        <f>"06/04/"&amp;Tax_year_start</f>
        <v>06/04/2025</v>
      </c>
      <c r="JC58" s="1427"/>
      <c r="JD58" s="1427"/>
      <c r="JE58" s="1427"/>
      <c r="JF58" s="1427"/>
      <c r="JG58" s="1427"/>
      <c r="JH58" s="1427" t="str">
        <f>"06/04/"&amp;Tax_year_start</f>
        <v>06/04/2025</v>
      </c>
      <c r="JI58" s="1427"/>
      <c r="JJ58" s="1427"/>
      <c r="JK58" s="1427" t="str">
        <f>"06/04/"&amp;Tax_year_start</f>
        <v>06/04/2025</v>
      </c>
      <c r="JL58" s="1427"/>
      <c r="JM58" s="1427"/>
      <c r="JN58" s="1427"/>
      <c r="JO58" s="1427"/>
      <c r="JP58" s="1427"/>
      <c r="JQ58" s="1427"/>
      <c r="JR58" s="351"/>
      <c r="JS58" s="1400"/>
      <c r="JT58" s="1400" t="s">
        <v>2208</v>
      </c>
    </row>
    <row r="59" spans="1:280" ht="40" x14ac:dyDescent="0.25">
      <c r="A59" s="1367">
        <v>12</v>
      </c>
      <c r="B59" s="1411" t="str">
        <f t="shared" si="17"/>
        <v/>
      </c>
      <c r="C59" s="1435" t="s">
        <v>3121</v>
      </c>
      <c r="D59" s="1436" t="s">
        <v>2930</v>
      </c>
      <c r="E59" s="1427"/>
      <c r="F59" s="1427"/>
      <c r="G59" s="1427" t="str">
        <f>"05/04/"&amp;Tax_year_end</f>
        <v>05/04/2026</v>
      </c>
      <c r="H59" s="1427"/>
      <c r="I59" s="1427" t="str">
        <f>"05/04/"&amp;Tax_year_end</f>
        <v>05/04/2026</v>
      </c>
      <c r="J59" s="1427"/>
      <c r="K59" s="1427"/>
      <c r="L59" s="1427" t="str">
        <f>"05/04/"&amp;Tax_year_end</f>
        <v>05/04/2026</v>
      </c>
      <c r="M59" s="1427"/>
      <c r="N59" s="1427"/>
      <c r="O59" s="1427"/>
      <c r="P59" s="1427"/>
      <c r="Q59" s="1422" t="str">
        <f>"31/03/"&amp;Tax_year_end</f>
        <v>31/03/2026</v>
      </c>
      <c r="R59" s="1427"/>
      <c r="S59" s="1427" t="str">
        <f>"05/04/"&amp;Tax_year_end</f>
        <v>05/04/2026</v>
      </c>
      <c r="T59" s="1427"/>
      <c r="U59" s="1427"/>
      <c r="V59" s="1427"/>
      <c r="W59" s="1427"/>
      <c r="X59" s="1427"/>
      <c r="Y59" s="1427"/>
      <c r="Z59" s="1427"/>
      <c r="AA59" s="1422" t="str">
        <f>"31/01/"&amp;Tax_year_end</f>
        <v>31/01/2026</v>
      </c>
      <c r="AB59" s="1427"/>
      <c r="AC59" s="1422" t="str">
        <f>"31/03/"&amp;Tax_year_end</f>
        <v>31/03/2026</v>
      </c>
      <c r="AD59" s="1427"/>
      <c r="AE59" s="1422" t="str">
        <f>"31/03/"&amp;Tax_year_end</f>
        <v>31/03/2026</v>
      </c>
      <c r="AF59" s="1427"/>
      <c r="AG59" s="1427"/>
      <c r="AH59" s="1422" t="str">
        <f>"04/04/"&amp;Tax_year_end</f>
        <v>04/04/2026</v>
      </c>
      <c r="AI59" s="1427"/>
      <c r="AJ59" s="1422" t="str">
        <f>"31/03/"&amp;Tax_year_end</f>
        <v>31/03/2026</v>
      </c>
      <c r="AK59" s="1422" t="str">
        <f>"31/03/"&amp;Tax_year_end</f>
        <v>31/03/2026</v>
      </c>
      <c r="AL59" s="1427"/>
      <c r="AM59" s="1422" t="str">
        <f>"30/03/"&amp;Tax_year_end</f>
        <v>30/03/2026</v>
      </c>
      <c r="AN59" s="1427" t="str">
        <f>"05/04/"&amp;Tax_year_end</f>
        <v>05/04/2026</v>
      </c>
      <c r="AO59" s="1427"/>
      <c r="AP59" s="1422" t="str">
        <f>"22/03/"&amp;Tax_year_end</f>
        <v>22/03/2026</v>
      </c>
      <c r="AQ59" s="1427"/>
      <c r="AR59" s="1427"/>
      <c r="AS59" s="1427"/>
      <c r="AT59" s="1427"/>
      <c r="AU59" s="1427"/>
      <c r="AV59" s="1427" t="str">
        <f>"05/04/"&amp;Tax_year_end</f>
        <v>05/04/2026</v>
      </c>
      <c r="AW59" s="1427"/>
      <c r="AX59" s="1427"/>
      <c r="AY59" s="1427"/>
      <c r="AZ59" s="1427"/>
      <c r="BA59" s="1427"/>
      <c r="BB59" s="1427"/>
      <c r="BC59" s="1427"/>
      <c r="BD59" s="1427"/>
      <c r="BE59" s="1427"/>
      <c r="BF59" s="1427"/>
      <c r="BG59" s="1427"/>
      <c r="BH59" s="1427"/>
      <c r="BI59" s="1427"/>
      <c r="BJ59" s="1362"/>
      <c r="BK59" s="1427"/>
      <c r="BL59" s="1427"/>
      <c r="BM59" s="1427"/>
      <c r="BN59" s="1427"/>
      <c r="BO59" s="1427"/>
      <c r="BP59" s="1427"/>
      <c r="BQ59" s="1427"/>
      <c r="BR59" s="1427"/>
      <c r="BS59" s="1427"/>
      <c r="BT59" s="1427"/>
      <c r="BU59" s="1427"/>
      <c r="BV59" s="1427"/>
      <c r="BW59" s="1427"/>
      <c r="BX59" s="1427"/>
      <c r="BY59" s="1422" t="str">
        <f>"01/04/"&amp;Tax_year_end</f>
        <v>01/04/2026</v>
      </c>
      <c r="BZ59" s="1427"/>
      <c r="CA59" s="1427"/>
      <c r="CB59" s="1422" t="str">
        <f>"02/04/"&amp;Tax_year_end</f>
        <v>02/04/2026</v>
      </c>
      <c r="CC59" s="1427"/>
      <c r="CD59" s="1427" t="str">
        <f>"28/02/"&amp;Tax_year_end</f>
        <v>28/02/2026</v>
      </c>
      <c r="CE59" s="1427"/>
      <c r="CF59" s="1427" t="str">
        <f>"05/04/"&amp;Tax_year_end</f>
        <v>05/04/2026</v>
      </c>
      <c r="CG59" s="1427"/>
      <c r="CH59" s="1422" t="str">
        <f>"03/04/"&amp;Tax_year_end</f>
        <v>03/04/2026</v>
      </c>
      <c r="CI59" s="1427"/>
      <c r="CJ59" s="1427"/>
      <c r="CK59" s="1427" t="str">
        <f>"05/04/"&amp;Tax_year_end</f>
        <v>05/04/2026</v>
      </c>
      <c r="CL59" s="1422" t="str">
        <f>"03/04/"&amp;Tax_year_end</f>
        <v>03/04/2026</v>
      </c>
      <c r="CM59" s="1427" t="str">
        <f>"05/04/"&amp;Tax_year_end</f>
        <v>05/04/2026</v>
      </c>
      <c r="CN59" s="1422" t="str">
        <f>"04/04/"&amp;Tax_year_end</f>
        <v>04/04/2026</v>
      </c>
      <c r="CO59" s="1427" t="str">
        <f>"05/04/"&amp;Tax_year_end</f>
        <v>05/04/2026</v>
      </c>
      <c r="CP59" s="1422" t="str">
        <f>"03/04/"&amp;Tax_year_end</f>
        <v>03/04/2026</v>
      </c>
      <c r="CQ59" s="1427"/>
      <c r="CR59" s="1422" t="str">
        <f>"31/03/"&amp;Tax_year_end</f>
        <v>31/03/2026</v>
      </c>
      <c r="CS59" s="1422" t="str">
        <f>"31/03/"&amp;Tax_year_end</f>
        <v>31/03/2026</v>
      </c>
      <c r="CT59" s="1427"/>
      <c r="CU59" s="1427" t="str">
        <f>"05/04/"&amp;Tax_year_end</f>
        <v>05/04/2026</v>
      </c>
      <c r="CV59" s="1427" t="str">
        <f>"05/04/"&amp;Tax_year_end</f>
        <v>05/04/2026</v>
      </c>
      <c r="CW59" s="1427"/>
      <c r="CX59" s="1427"/>
      <c r="CY59" s="1427"/>
      <c r="CZ59" s="1427"/>
      <c r="DA59" s="1427"/>
      <c r="DB59" s="1427"/>
      <c r="DC59" s="1422" t="str">
        <f>"17/03/"&amp;Tax_year_end</f>
        <v>17/03/2026</v>
      </c>
      <c r="DD59" s="1427"/>
      <c r="DE59" s="1427"/>
      <c r="DF59" s="1427"/>
      <c r="DG59" s="1427"/>
      <c r="DH59" s="1427"/>
      <c r="DI59" s="1427"/>
      <c r="DJ59" s="1422" t="str">
        <f>"19/03/"&amp;Tax_year_end</f>
        <v>19/03/2026</v>
      </c>
      <c r="DK59" s="1427"/>
      <c r="DL59" s="1427"/>
      <c r="DM59" s="1427"/>
      <c r="DN59" s="1427"/>
      <c r="DO59" s="1427"/>
      <c r="DP59" s="1427"/>
      <c r="DQ59" s="1427"/>
      <c r="DR59" s="1422" t="str">
        <f>"20/03/"&amp;Tax_year_end</f>
        <v>20/03/2026</v>
      </c>
      <c r="DS59" s="1427"/>
      <c r="DT59" s="1427"/>
      <c r="DU59" s="1427"/>
      <c r="DV59" s="1427"/>
      <c r="DW59" s="1427"/>
      <c r="DX59" s="1427"/>
      <c r="DY59" s="1427"/>
      <c r="DZ59" s="1427"/>
      <c r="EA59" s="1422" t="str">
        <f>"31/03/"&amp;Tax_year_end</f>
        <v>31/03/2026</v>
      </c>
      <c r="EB59" s="1427"/>
      <c r="EC59" s="1427"/>
      <c r="ED59" s="1427"/>
      <c r="EE59" s="1427"/>
      <c r="EF59" s="1422" t="str">
        <f>"31/03/"&amp;Tax_year_end</f>
        <v>31/03/2026</v>
      </c>
      <c r="EG59" s="1427" t="str">
        <f>"05/04/"&amp;Tax_year_end</f>
        <v>05/04/2026</v>
      </c>
      <c r="EH59" s="1427"/>
      <c r="EI59" s="1362" t="str">
        <f>"31/08/"&amp;Tax_year_start</f>
        <v>31/08/2025</v>
      </c>
      <c r="EJ59" s="1427"/>
      <c r="EK59" s="1427"/>
      <c r="EL59" s="1427"/>
      <c r="EM59" s="1422" t="str">
        <f>"26/03/"&amp;Tax_year_end</f>
        <v>26/03/2026</v>
      </c>
      <c r="EN59" s="1427"/>
      <c r="EO59" s="1427"/>
      <c r="EP59" s="1427"/>
      <c r="EQ59" s="1427"/>
      <c r="ER59" s="1427"/>
      <c r="ES59" s="1422" t="str">
        <f>"21/03/"&amp;Tax_year_end</f>
        <v>21/03/2026</v>
      </c>
      <c r="ET59" s="1422" t="str">
        <f>"31/03/"&amp;Tax_year_end</f>
        <v>31/03/2026</v>
      </c>
      <c r="EU59" s="1427"/>
      <c r="EV59" s="1427"/>
      <c r="EW59" s="1427"/>
      <c r="EX59" s="1427"/>
      <c r="EY59" s="1422" t="str">
        <f>"31/03/"&amp;Tax_year_end</f>
        <v>31/03/2026</v>
      </c>
      <c r="EZ59" s="1427"/>
      <c r="FA59" s="1427"/>
      <c r="FB59" s="1427"/>
      <c r="FC59" s="1427"/>
      <c r="FD59" s="1427"/>
      <c r="FE59" s="1427"/>
      <c r="FF59" s="1422" t="str">
        <f>"11/03/"&amp;Tax_year_end</f>
        <v>11/03/2026</v>
      </c>
      <c r="FG59" s="1427"/>
      <c r="FH59" s="1427" t="str">
        <f>"05/04/"&amp;Tax_year_end</f>
        <v>05/04/2026</v>
      </c>
      <c r="FI59" s="1422" t="str">
        <f>"21/03/"&amp;Tax_year_end</f>
        <v>21/03/2026</v>
      </c>
      <c r="FJ59" s="1427" t="str">
        <f>"05/04/"&amp;Tax_year_end</f>
        <v>05/04/2026</v>
      </c>
      <c r="FK59" s="1427"/>
      <c r="FL59" s="1427"/>
      <c r="FM59" s="1427" t="str">
        <f>"05/04/"&amp;Tax_year_end</f>
        <v>05/04/2026</v>
      </c>
      <c r="FN59" s="1427"/>
      <c r="FO59" s="1422" t="str">
        <f>"21/03/"&amp;Tax_year_end</f>
        <v>21/03/2026</v>
      </c>
      <c r="FP59" s="1427"/>
      <c r="FQ59" s="1427"/>
      <c r="FR59" s="1427"/>
      <c r="FS59" s="1427"/>
      <c r="FT59" s="1427"/>
      <c r="FU59" s="1427"/>
      <c r="FV59" s="1427"/>
      <c r="FW59" s="1427"/>
      <c r="FX59" s="1427"/>
      <c r="FY59" s="1427"/>
      <c r="FZ59" s="1427"/>
      <c r="GA59" s="1427"/>
      <c r="GB59" s="1427"/>
      <c r="GC59" s="1427"/>
      <c r="GD59" s="1422" t="str">
        <f>"31/03/"&amp;Tax_year_end</f>
        <v>31/03/2026</v>
      </c>
      <c r="GE59" s="1427"/>
      <c r="GF59" s="1427"/>
      <c r="GG59" s="1427"/>
      <c r="GH59" s="1427"/>
      <c r="GI59" s="1427"/>
      <c r="GJ59" s="1362" t="str">
        <f>"31/08/"&amp;Tax_year_start</f>
        <v>31/08/2025</v>
      </c>
      <c r="GK59" s="1427"/>
      <c r="GL59" s="1427"/>
      <c r="GM59" s="1427"/>
      <c r="GN59" s="1422" t="str">
        <f>"26/03/"&amp;Tax_year_end</f>
        <v>26/03/2026</v>
      </c>
      <c r="GO59" s="1427"/>
      <c r="GP59" s="1427"/>
      <c r="GQ59" s="1427"/>
      <c r="GR59" s="1427"/>
      <c r="GS59" s="1427"/>
      <c r="GT59" s="1427"/>
      <c r="GU59" s="1427" t="str">
        <f>"31/03/"&amp;Tax_year_end</f>
        <v>31/03/2026</v>
      </c>
      <c r="GV59" s="1427"/>
      <c r="GW59" s="1427"/>
      <c r="GX59" s="1427" t="str">
        <f>"31/03/"&amp;Tax_year_end</f>
        <v>31/03/2026</v>
      </c>
      <c r="GY59" s="1427"/>
      <c r="GZ59" s="1427"/>
      <c r="HA59" s="1427"/>
      <c r="HB59" s="1427" t="str">
        <f>"05/04/"&amp;Tax_year_end</f>
        <v>05/04/2026</v>
      </c>
      <c r="HC59" s="1427" t="str">
        <f>"05/04/"&amp;Tax_year_end</f>
        <v>05/04/2026</v>
      </c>
      <c r="HD59" s="1427"/>
      <c r="HE59" s="1427"/>
      <c r="HF59" s="1427"/>
      <c r="HG59" s="1427"/>
      <c r="HH59" s="1427"/>
      <c r="HI59" s="1422" t="str">
        <f>"29/03/"&amp;Tax_year_end</f>
        <v>29/03/2026</v>
      </c>
      <c r="HJ59" s="1422" t="str">
        <f>"13/03/"&amp;Tax_year_end</f>
        <v>13/03/2026</v>
      </c>
      <c r="HK59" s="1427" t="str">
        <f>"05/04/"&amp;Tax_year_end</f>
        <v>05/04/2026</v>
      </c>
      <c r="HL59" s="1427" t="str">
        <f>"05/04/"&amp;Tax_year_end</f>
        <v>05/04/2026</v>
      </c>
      <c r="HM59" s="1422" t="str">
        <f>"12/03/"&amp;Tax_year_end</f>
        <v>12/03/2026</v>
      </c>
      <c r="HN59" s="1427"/>
      <c r="HO59" s="1422" t="str">
        <f>"31/03/"&amp;Tax_year_end</f>
        <v>31/03/2026</v>
      </c>
      <c r="HP59" s="1427"/>
      <c r="HQ59" s="1427"/>
      <c r="HR59" s="1427"/>
      <c r="HS59" s="1427"/>
      <c r="HT59" s="1427"/>
      <c r="HU59" s="1427"/>
      <c r="HV59" s="1427"/>
      <c r="HW59" s="1427" t="str">
        <f>"05/04/"&amp;Tax_year_end</f>
        <v>05/04/2026</v>
      </c>
      <c r="HX59" s="1427"/>
      <c r="HY59" s="1427"/>
      <c r="HZ59" s="1427"/>
      <c r="IA59" s="1427"/>
      <c r="IB59" s="1427"/>
      <c r="IC59" s="1427"/>
      <c r="ID59" s="1427"/>
      <c r="IE59" s="1427"/>
      <c r="IF59" s="1427"/>
      <c r="IG59" s="1427"/>
      <c r="IH59" s="1427"/>
      <c r="II59" s="1427"/>
      <c r="IJ59" s="1427"/>
      <c r="IK59" s="1427"/>
      <c r="IL59" s="1422" t="str">
        <f>"04/04/"&amp;Tax_year_end</f>
        <v>04/04/2026</v>
      </c>
      <c r="IM59" s="1427"/>
      <c r="IN59" s="1427"/>
      <c r="IO59" s="1427"/>
      <c r="IP59" s="1427"/>
      <c r="IQ59" s="1427"/>
      <c r="IR59" s="1427"/>
      <c r="IS59" s="1427"/>
      <c r="IT59" s="1427"/>
      <c r="IU59" s="1422" t="str">
        <f>"04/04/"&amp;Tax_year_end</f>
        <v>04/04/2026</v>
      </c>
      <c r="IV59" s="1427"/>
      <c r="IW59" s="1422" t="str">
        <f>"02/04/"&amp;Tax_year_end</f>
        <v>02/04/2026</v>
      </c>
      <c r="IX59" s="1422" t="str">
        <f>"01/04/"&amp;Tax_year_end</f>
        <v>01/04/2026</v>
      </c>
      <c r="IY59" s="1427" t="str">
        <f>"05/04/"&amp;Tax_year_end</f>
        <v>05/04/2026</v>
      </c>
      <c r="IZ59" s="1427"/>
      <c r="JA59" s="1422" t="str">
        <f>"31/03/"&amp;Tax_year_end</f>
        <v>31/03/2026</v>
      </c>
      <c r="JB59" s="1427" t="str">
        <f>"05/04/"&amp;Tax_year_end</f>
        <v>05/04/2026</v>
      </c>
      <c r="JC59" s="1427"/>
      <c r="JD59" s="1427"/>
      <c r="JE59" s="1427"/>
      <c r="JF59" s="1427"/>
      <c r="JG59" s="1427"/>
      <c r="JH59" s="1427" t="str">
        <f>"05/04/"&amp;Tax_year_end</f>
        <v>05/04/2026</v>
      </c>
      <c r="JI59" s="1427"/>
      <c r="JJ59" s="1427"/>
      <c r="JK59" s="1422" t="str">
        <f>"31/03/"&amp;Tax_year_end</f>
        <v>31/03/2026</v>
      </c>
      <c r="JL59" s="1427"/>
      <c r="JM59" s="1427"/>
      <c r="JN59" s="1427"/>
      <c r="JO59" s="1427"/>
      <c r="JP59" s="1427"/>
      <c r="JQ59" s="1427"/>
      <c r="JR59" s="351"/>
      <c r="JS59" s="1521" t="s">
        <v>3122</v>
      </c>
      <c r="JT59" s="1400" t="s">
        <v>2208</v>
      </c>
    </row>
    <row r="60" spans="1:280" x14ac:dyDescent="0.25">
      <c r="A60" s="1367">
        <v>13</v>
      </c>
      <c r="B60" s="1411" t="str">
        <f t="shared" si="17"/>
        <v/>
      </c>
      <c r="C60" s="1435" t="s">
        <v>3123</v>
      </c>
      <c r="D60" s="1436" t="s">
        <v>2932</v>
      </c>
      <c r="E60" s="1416"/>
      <c r="F60" s="1416"/>
      <c r="G60" s="1522" t="s">
        <v>1615</v>
      </c>
      <c r="H60" s="1416"/>
      <c r="I60" s="1522" t="s">
        <v>1615</v>
      </c>
      <c r="J60" s="1522"/>
      <c r="K60" s="1522"/>
      <c r="L60" s="1522" t="s">
        <v>1615</v>
      </c>
      <c r="M60" s="1522"/>
      <c r="N60" s="1522"/>
      <c r="O60" s="1523"/>
      <c r="P60" s="1523"/>
      <c r="Q60" s="1522" t="s">
        <v>1615</v>
      </c>
      <c r="R60" s="1523"/>
      <c r="S60" s="1522" t="s">
        <v>1615</v>
      </c>
      <c r="T60" s="1524"/>
      <c r="U60" s="1524"/>
      <c r="V60" s="1524"/>
      <c r="W60" s="1524"/>
      <c r="X60" s="1524"/>
      <c r="Y60" s="1524"/>
      <c r="Z60" s="1524"/>
      <c r="AA60" s="1524" t="s">
        <v>1615</v>
      </c>
      <c r="AB60" s="1524"/>
      <c r="AC60" s="1522" t="s">
        <v>1615</v>
      </c>
      <c r="AD60" s="1522"/>
      <c r="AE60" s="1522" t="s">
        <v>1615</v>
      </c>
      <c r="AF60" s="1522"/>
      <c r="AG60" s="1522"/>
      <c r="AH60" s="1522" t="s">
        <v>1615</v>
      </c>
      <c r="AI60" s="1524"/>
      <c r="AJ60" s="1416" t="s">
        <v>1615</v>
      </c>
      <c r="AK60" s="1525" t="s">
        <v>1615</v>
      </c>
      <c r="AL60" s="1416"/>
      <c r="AM60" s="1525" t="s">
        <v>1615</v>
      </c>
      <c r="AN60" s="1525" t="s">
        <v>1615</v>
      </c>
      <c r="AO60" s="1524"/>
      <c r="AP60" s="1525" t="s">
        <v>1707</v>
      </c>
      <c r="AQ60" s="1524"/>
      <c r="AR60" s="1524"/>
      <c r="AS60" s="1524"/>
      <c r="AT60" s="1524"/>
      <c r="AU60" s="1524"/>
      <c r="AV60" s="1416" t="s">
        <v>1615</v>
      </c>
      <c r="AW60" s="1524"/>
      <c r="AX60" s="1524"/>
      <c r="AY60" s="1524"/>
      <c r="AZ60" s="1524"/>
      <c r="BA60" s="1524"/>
      <c r="BB60" s="1524"/>
      <c r="BC60" s="1524"/>
      <c r="BD60" s="1524"/>
      <c r="BE60" s="1524"/>
      <c r="BF60" s="1524"/>
      <c r="BG60" s="1524"/>
      <c r="BH60" s="1524"/>
      <c r="BI60" s="1524"/>
      <c r="BJ60" s="1417"/>
      <c r="BK60" s="1524"/>
      <c r="BL60" s="1524"/>
      <c r="BM60" s="1524"/>
      <c r="BN60" s="1524"/>
      <c r="BO60" s="1524"/>
      <c r="BP60" s="1511"/>
      <c r="BQ60" s="1524"/>
      <c r="BR60" s="1524"/>
      <c r="BS60" s="1524"/>
      <c r="BT60" s="1524"/>
      <c r="BU60" s="1524"/>
      <c r="BV60" s="1524"/>
      <c r="BW60" s="1524"/>
      <c r="BX60" s="1524"/>
      <c r="BY60" s="1500" t="s">
        <v>1615</v>
      </c>
      <c r="BZ60" s="1524"/>
      <c r="CA60" s="1524"/>
      <c r="CB60" s="1524" t="s">
        <v>1615</v>
      </c>
      <c r="CC60" s="1524"/>
      <c r="CD60" s="1525" t="s">
        <v>1615</v>
      </c>
      <c r="CE60" s="1524"/>
      <c r="CF60" s="1416" t="s">
        <v>1615</v>
      </c>
      <c r="CG60" s="1524"/>
      <c r="CH60" s="1522" t="s">
        <v>1615</v>
      </c>
      <c r="CI60" s="1524"/>
      <c r="CJ60" s="1524"/>
      <c r="CK60" s="1525" t="s">
        <v>1615</v>
      </c>
      <c r="CL60" s="1416" t="s">
        <v>1615</v>
      </c>
      <c r="CM60" s="1525" t="s">
        <v>1615</v>
      </c>
      <c r="CN60" s="1525" t="s">
        <v>1615</v>
      </c>
      <c r="CO60" s="1525" t="s">
        <v>1615</v>
      </c>
      <c r="CP60" s="1525" t="s">
        <v>1615</v>
      </c>
      <c r="CQ60" s="1524"/>
      <c r="CR60" s="1416" t="s">
        <v>1615</v>
      </c>
      <c r="CS60" s="1416" t="s">
        <v>1615</v>
      </c>
      <c r="CT60" s="1524"/>
      <c r="CU60" s="1522" t="s">
        <v>1615</v>
      </c>
      <c r="CV60" s="1522" t="s">
        <v>1615</v>
      </c>
      <c r="CW60" s="1524"/>
      <c r="CX60" s="1524"/>
      <c r="CY60" s="1524"/>
      <c r="CZ60" s="1524"/>
      <c r="DA60" s="1524"/>
      <c r="DB60" s="1524"/>
      <c r="DC60" s="1524" t="s">
        <v>1615</v>
      </c>
      <c r="DD60" s="1524"/>
      <c r="DE60" s="1524"/>
      <c r="DF60" s="1524"/>
      <c r="DG60" s="1524"/>
      <c r="DH60" s="1524"/>
      <c r="DI60" s="1524"/>
      <c r="DJ60" s="1522" t="s">
        <v>1615</v>
      </c>
      <c r="DK60" s="1524"/>
      <c r="DL60" s="1524"/>
      <c r="DM60" s="1524"/>
      <c r="DN60" s="1524"/>
      <c r="DO60" s="1416"/>
      <c r="DP60" s="1524"/>
      <c r="DQ60" s="1524"/>
      <c r="DR60" s="1524"/>
      <c r="DS60" s="1524"/>
      <c r="DT60" s="1524"/>
      <c r="DU60" s="1524"/>
      <c r="DV60" s="1524"/>
      <c r="DW60" s="1524"/>
      <c r="DX60" s="1524"/>
      <c r="DY60" s="1524"/>
      <c r="DZ60" s="1524"/>
      <c r="EA60" s="1525" t="s">
        <v>1615</v>
      </c>
      <c r="EB60" s="1524"/>
      <c r="EC60" s="1524"/>
      <c r="ED60" s="1524"/>
      <c r="EE60" s="1524"/>
      <c r="EF60" s="1522" t="s">
        <v>1615</v>
      </c>
      <c r="EG60" s="1522" t="s">
        <v>1707</v>
      </c>
      <c r="EH60" s="1524"/>
      <c r="EI60" s="1416" t="s">
        <v>1615</v>
      </c>
      <c r="EJ60" s="1524"/>
      <c r="EK60" s="1524"/>
      <c r="EL60" s="1524"/>
      <c r="EM60" s="1416" t="s">
        <v>1615</v>
      </c>
      <c r="EN60" s="1524"/>
      <c r="EO60" s="1524"/>
      <c r="EP60" s="1524"/>
      <c r="EQ60" s="1524"/>
      <c r="ER60" s="1524"/>
      <c r="ES60" s="1524"/>
      <c r="ET60" s="1524"/>
      <c r="EU60" s="1524"/>
      <c r="EV60" s="1524"/>
      <c r="EW60" s="1524"/>
      <c r="EX60" s="1524"/>
      <c r="EY60" s="1416" t="s">
        <v>1615</v>
      </c>
      <c r="EZ60" s="1524"/>
      <c r="FA60" s="1524"/>
      <c r="FB60" s="1524"/>
      <c r="FC60" s="1524"/>
      <c r="FD60" s="1524"/>
      <c r="FE60" s="1524"/>
      <c r="FF60" s="1416" t="s">
        <v>1615</v>
      </c>
      <c r="FG60" s="1524"/>
      <c r="FH60" s="1522" t="s">
        <v>1615</v>
      </c>
      <c r="FI60" s="1524"/>
      <c r="FJ60" s="1524"/>
      <c r="FK60" s="1524"/>
      <c r="FL60" s="1524"/>
      <c r="FM60" s="1526" t="s">
        <v>1707</v>
      </c>
      <c r="FN60" s="1524"/>
      <c r="FO60" s="1526" t="s">
        <v>1707</v>
      </c>
      <c r="FP60" s="1524"/>
      <c r="FQ60" s="1524"/>
      <c r="FR60" s="1524"/>
      <c r="FS60" s="1524"/>
      <c r="FT60" s="1524"/>
      <c r="FU60" s="1524"/>
      <c r="FV60" s="1524"/>
      <c r="FW60" s="1524"/>
      <c r="FX60" s="1524"/>
      <c r="FY60" s="1524"/>
      <c r="FZ60" s="1525"/>
      <c r="GA60" s="1525"/>
      <c r="GB60" s="1525"/>
      <c r="GC60" s="1525"/>
      <c r="GD60" s="1525" t="s">
        <v>1615</v>
      </c>
      <c r="GE60" s="1524"/>
      <c r="GF60" s="1524"/>
      <c r="GG60" s="1524"/>
      <c r="GH60" s="1524"/>
      <c r="GI60" s="1524"/>
      <c r="GJ60" s="1416" t="s">
        <v>1615</v>
      </c>
      <c r="GK60" s="1524"/>
      <c r="GL60" s="1524"/>
      <c r="GM60" s="1524"/>
      <c r="GN60" s="1525" t="s">
        <v>1615</v>
      </c>
      <c r="GO60" s="1489"/>
      <c r="GP60" s="1489"/>
      <c r="GQ60" s="1489"/>
      <c r="GR60" s="1489"/>
      <c r="GS60" s="1489"/>
      <c r="GT60" s="1489"/>
      <c r="GU60" s="1525" t="s">
        <v>1615</v>
      </c>
      <c r="GV60" s="1524"/>
      <c r="GW60" s="1524"/>
      <c r="GX60" s="1522" t="s">
        <v>1615</v>
      </c>
      <c r="GY60" s="1524"/>
      <c r="GZ60" s="1524"/>
      <c r="HA60" s="1524"/>
      <c r="HB60" s="1416" t="s">
        <v>1615</v>
      </c>
      <c r="HC60" s="1522" t="s">
        <v>1615</v>
      </c>
      <c r="HD60" s="1524"/>
      <c r="HE60" s="1524"/>
      <c r="HF60" s="1524"/>
      <c r="HG60" s="1524"/>
      <c r="HH60" s="1524"/>
      <c r="HI60" s="1524"/>
      <c r="HJ60" s="1524"/>
      <c r="HK60" s="1524"/>
      <c r="HL60" s="1524"/>
      <c r="HM60" s="1524"/>
      <c r="HN60" s="1524"/>
      <c r="HO60" s="1522" t="s">
        <v>1615</v>
      </c>
      <c r="HP60" s="1524"/>
      <c r="HQ60" s="1524"/>
      <c r="HR60" s="1524"/>
      <c r="HS60" s="1524"/>
      <c r="HT60" s="1524"/>
      <c r="HU60" s="1524"/>
      <c r="HV60" s="1524"/>
      <c r="HW60" s="1525" t="s">
        <v>1615</v>
      </c>
      <c r="HX60" s="1524"/>
      <c r="HY60" s="1524"/>
      <c r="HZ60" s="1524"/>
      <c r="IA60" s="1524"/>
      <c r="IB60" s="1524"/>
      <c r="IC60" s="1524"/>
      <c r="ID60" s="1524"/>
      <c r="IE60" s="1524"/>
      <c r="IF60" s="1524"/>
      <c r="IG60" s="1524"/>
      <c r="IH60" s="1524"/>
      <c r="II60" s="1524"/>
      <c r="IJ60" s="1524"/>
      <c r="IK60" s="1524"/>
      <c r="IL60" s="1417" t="s">
        <v>1615</v>
      </c>
      <c r="IM60" s="1524"/>
      <c r="IN60" s="1524"/>
      <c r="IO60" s="1524"/>
      <c r="IP60" s="1524"/>
      <c r="IQ60" s="1524"/>
      <c r="IR60" s="1524"/>
      <c r="IS60" s="1524"/>
      <c r="IT60" s="1524"/>
      <c r="IU60" s="1417" t="s">
        <v>1615</v>
      </c>
      <c r="IV60" s="1524"/>
      <c r="IW60" s="1417" t="s">
        <v>1615</v>
      </c>
      <c r="IX60" s="1417" t="s">
        <v>1615</v>
      </c>
      <c r="IY60" s="1416" t="s">
        <v>1615</v>
      </c>
      <c r="IZ60" s="1524"/>
      <c r="JA60" s="1416" t="s">
        <v>1615</v>
      </c>
      <c r="JB60" s="1526" t="s">
        <v>1707</v>
      </c>
      <c r="JC60" s="1524"/>
      <c r="JD60" s="1524"/>
      <c r="JE60" s="1524"/>
      <c r="JF60" s="1524"/>
      <c r="JG60" s="1524"/>
      <c r="JH60" s="1524"/>
      <c r="JI60" s="1524"/>
      <c r="JJ60" s="1524"/>
      <c r="JK60" s="1524"/>
      <c r="JL60" s="1524"/>
      <c r="JM60" s="1524"/>
      <c r="JN60" s="1524"/>
      <c r="JO60" s="1524"/>
      <c r="JP60" s="1524"/>
      <c r="JQ60" s="1527"/>
      <c r="JR60" s="351"/>
      <c r="JS60" s="1400"/>
      <c r="JT60" s="1400" t="s">
        <v>2319</v>
      </c>
    </row>
    <row r="61" spans="1:280" x14ac:dyDescent="0.25">
      <c r="A61" s="1367">
        <v>14</v>
      </c>
      <c r="B61" s="1411" t="str">
        <f t="shared" si="17"/>
        <v/>
      </c>
      <c r="C61" s="1435" t="s">
        <v>3124</v>
      </c>
      <c r="D61" s="1436" t="s">
        <v>3125</v>
      </c>
      <c r="E61" s="1416"/>
      <c r="F61" s="1416"/>
      <c r="G61" s="1522" t="s">
        <v>1615</v>
      </c>
      <c r="H61" s="1416"/>
      <c r="I61" s="1522" t="s">
        <v>1615</v>
      </c>
      <c r="J61" s="1522"/>
      <c r="K61" s="1522"/>
      <c r="L61" s="1522" t="s">
        <v>1615</v>
      </c>
      <c r="M61" s="1522"/>
      <c r="N61" s="1522"/>
      <c r="O61" s="1523"/>
      <c r="P61" s="1523"/>
      <c r="Q61" s="1522" t="s">
        <v>1615</v>
      </c>
      <c r="R61" s="1523"/>
      <c r="S61" s="1522" t="s">
        <v>1615</v>
      </c>
      <c r="T61" s="1524"/>
      <c r="U61" s="1524"/>
      <c r="V61" s="1524"/>
      <c r="W61" s="1524"/>
      <c r="X61" s="1524"/>
      <c r="Y61" s="1524"/>
      <c r="Z61" s="1524"/>
      <c r="AA61" s="1524"/>
      <c r="AB61" s="1524"/>
      <c r="AC61" s="1522" t="s">
        <v>1615</v>
      </c>
      <c r="AD61" s="1522"/>
      <c r="AE61" s="1522"/>
      <c r="AF61" s="1522"/>
      <c r="AG61" s="1522"/>
      <c r="AH61" s="1522"/>
      <c r="AI61" s="1524"/>
      <c r="AJ61" s="1416" t="s">
        <v>1615</v>
      </c>
      <c r="AK61" s="1524"/>
      <c r="AL61" s="1416"/>
      <c r="AM61" s="1524"/>
      <c r="AN61" s="1524"/>
      <c r="AO61" s="1524"/>
      <c r="AP61" s="1524"/>
      <c r="AQ61" s="1524"/>
      <c r="AR61" s="1524"/>
      <c r="AS61" s="1524"/>
      <c r="AT61" s="1524"/>
      <c r="AU61" s="1524"/>
      <c r="AV61" s="1416" t="s">
        <v>1615</v>
      </c>
      <c r="AW61" s="1524"/>
      <c r="AX61" s="1524"/>
      <c r="AY61" s="1524"/>
      <c r="AZ61" s="1524"/>
      <c r="BA61" s="1524"/>
      <c r="BB61" s="1524"/>
      <c r="BC61" s="1524"/>
      <c r="BD61" s="1524"/>
      <c r="BE61" s="1524"/>
      <c r="BF61" s="1524"/>
      <c r="BG61" s="1524"/>
      <c r="BH61" s="1524"/>
      <c r="BI61" s="1524"/>
      <c r="BJ61" s="1417"/>
      <c r="BK61" s="1524"/>
      <c r="BL61" s="1524"/>
      <c r="BM61" s="1524"/>
      <c r="BN61" s="1524"/>
      <c r="BO61" s="1524"/>
      <c r="BP61" s="1511"/>
      <c r="BQ61" s="1524"/>
      <c r="BR61" s="1524"/>
      <c r="BS61" s="1524"/>
      <c r="BT61" s="1524"/>
      <c r="BU61" s="1524"/>
      <c r="BV61" s="1524"/>
      <c r="BW61" s="1524"/>
      <c r="BX61" s="1524"/>
      <c r="BY61" s="1500" t="s">
        <v>1615</v>
      </c>
      <c r="BZ61" s="1524"/>
      <c r="CA61" s="1524"/>
      <c r="CB61" s="1524" t="s">
        <v>1615</v>
      </c>
      <c r="CC61" s="1524"/>
      <c r="CD61" s="1525" t="s">
        <v>1615</v>
      </c>
      <c r="CE61" s="1524"/>
      <c r="CF61" s="1416" t="s">
        <v>1615</v>
      </c>
      <c r="CG61" s="1524"/>
      <c r="CH61" s="1522" t="s">
        <v>1615</v>
      </c>
      <c r="CI61" s="1524"/>
      <c r="CJ61" s="1524"/>
      <c r="CK61" s="1525" t="s">
        <v>1615</v>
      </c>
      <c r="CL61" s="1416" t="s">
        <v>1615</v>
      </c>
      <c r="CM61" s="1525" t="s">
        <v>1615</v>
      </c>
      <c r="CN61" s="1525" t="s">
        <v>1615</v>
      </c>
      <c r="CO61" s="1525" t="s">
        <v>1615</v>
      </c>
      <c r="CP61" s="1525" t="s">
        <v>1615</v>
      </c>
      <c r="CQ61" s="1524"/>
      <c r="CR61" s="1416" t="s">
        <v>1615</v>
      </c>
      <c r="CS61" s="1416" t="s">
        <v>1615</v>
      </c>
      <c r="CT61" s="1524"/>
      <c r="CU61" s="1522" t="s">
        <v>1615</v>
      </c>
      <c r="CV61" s="1522" t="s">
        <v>1615</v>
      </c>
      <c r="CW61" s="1524"/>
      <c r="CX61" s="1524"/>
      <c r="CY61" s="1524"/>
      <c r="CZ61" s="1524"/>
      <c r="DA61" s="1524"/>
      <c r="DB61" s="1524"/>
      <c r="DC61" s="1524" t="s">
        <v>1615</v>
      </c>
      <c r="DD61" s="1524"/>
      <c r="DE61" s="1524"/>
      <c r="DF61" s="1524"/>
      <c r="DG61" s="1524"/>
      <c r="DH61" s="1524"/>
      <c r="DI61" s="1524"/>
      <c r="DJ61" s="1522" t="s">
        <v>1615</v>
      </c>
      <c r="DK61" s="1524"/>
      <c r="DL61" s="1524"/>
      <c r="DM61" s="1524"/>
      <c r="DN61" s="1524"/>
      <c r="DO61" s="1416"/>
      <c r="DP61" s="1524"/>
      <c r="DQ61" s="1524"/>
      <c r="DR61" s="1524"/>
      <c r="DS61" s="1524"/>
      <c r="DT61" s="1524"/>
      <c r="DU61" s="1524"/>
      <c r="DV61" s="1524"/>
      <c r="DW61" s="1524"/>
      <c r="DX61" s="1524"/>
      <c r="DY61" s="1524"/>
      <c r="DZ61" s="1524"/>
      <c r="EA61" s="1525" t="s">
        <v>1615</v>
      </c>
      <c r="EB61" s="1524"/>
      <c r="EC61" s="1524"/>
      <c r="ED61" s="1524"/>
      <c r="EE61" s="1524"/>
      <c r="EF61" s="1522" t="s">
        <v>1615</v>
      </c>
      <c r="EG61" s="1522" t="s">
        <v>1615</v>
      </c>
      <c r="EH61" s="1524"/>
      <c r="EI61" s="1416" t="s">
        <v>1615</v>
      </c>
      <c r="EJ61" s="1524"/>
      <c r="EK61" s="1524"/>
      <c r="EL61" s="1524"/>
      <c r="EM61" s="1416" t="s">
        <v>1615</v>
      </c>
      <c r="EN61" s="1524"/>
      <c r="EO61" s="1524"/>
      <c r="EP61" s="1524"/>
      <c r="EQ61" s="1524"/>
      <c r="ER61" s="1524"/>
      <c r="ES61" s="1524"/>
      <c r="ET61" s="1524"/>
      <c r="EU61" s="1524"/>
      <c r="EV61" s="1524"/>
      <c r="EW61" s="1524"/>
      <c r="EX61" s="1524"/>
      <c r="EY61" s="1416" t="s">
        <v>1615</v>
      </c>
      <c r="EZ61" s="1524"/>
      <c r="FA61" s="1524"/>
      <c r="FB61" s="1524"/>
      <c r="FC61" s="1524"/>
      <c r="FD61" s="1524"/>
      <c r="FE61" s="1524"/>
      <c r="FF61" s="1416" t="s">
        <v>1615</v>
      </c>
      <c r="FG61" s="1524"/>
      <c r="FH61" s="1522" t="s">
        <v>1615</v>
      </c>
      <c r="FI61" s="1524"/>
      <c r="FJ61" s="1524"/>
      <c r="FK61" s="1524"/>
      <c r="FL61" s="1524"/>
      <c r="FM61" s="1524"/>
      <c r="FN61" s="1524"/>
      <c r="FO61" s="1524"/>
      <c r="FP61" s="1524"/>
      <c r="FQ61" s="1524"/>
      <c r="FR61" s="1524"/>
      <c r="FS61" s="1524"/>
      <c r="FT61" s="1524"/>
      <c r="FU61" s="1524"/>
      <c r="FV61" s="1524"/>
      <c r="FW61" s="1524"/>
      <c r="FX61" s="1524"/>
      <c r="FY61" s="1524"/>
      <c r="FZ61" s="1525"/>
      <c r="GA61" s="1525"/>
      <c r="GB61" s="1525"/>
      <c r="GC61" s="1525"/>
      <c r="GD61" s="1525" t="s">
        <v>1615</v>
      </c>
      <c r="GE61" s="1524"/>
      <c r="GF61" s="1524"/>
      <c r="GG61" s="1524"/>
      <c r="GH61" s="1524"/>
      <c r="GI61" s="1524"/>
      <c r="GJ61" s="1416" t="s">
        <v>1615</v>
      </c>
      <c r="GK61" s="1524"/>
      <c r="GL61" s="1524"/>
      <c r="GM61" s="1524"/>
      <c r="GN61" s="1525" t="s">
        <v>1615</v>
      </c>
      <c r="GO61" s="1489"/>
      <c r="GP61" s="1489"/>
      <c r="GQ61" s="1489"/>
      <c r="GR61" s="1489"/>
      <c r="GS61" s="1489"/>
      <c r="GT61" s="1489"/>
      <c r="GU61" s="1525" t="s">
        <v>1615</v>
      </c>
      <c r="GV61" s="1524"/>
      <c r="GW61" s="1524"/>
      <c r="GX61" s="1522" t="s">
        <v>1615</v>
      </c>
      <c r="GY61" s="1524"/>
      <c r="GZ61" s="1524"/>
      <c r="HA61" s="1524"/>
      <c r="HB61" s="1416" t="s">
        <v>1615</v>
      </c>
      <c r="HC61" s="1522" t="s">
        <v>1615</v>
      </c>
      <c r="HD61" s="1524"/>
      <c r="HE61" s="1524"/>
      <c r="HF61" s="1524"/>
      <c r="HG61" s="1524"/>
      <c r="HH61" s="1524"/>
      <c r="HI61" s="1524"/>
      <c r="HJ61" s="1524"/>
      <c r="HK61" s="1524"/>
      <c r="HL61" s="1524"/>
      <c r="HM61" s="1524"/>
      <c r="HN61" s="1524"/>
      <c r="HO61" s="1522" t="s">
        <v>1615</v>
      </c>
      <c r="HP61" s="1524"/>
      <c r="HQ61" s="1524"/>
      <c r="HR61" s="1524"/>
      <c r="HS61" s="1524"/>
      <c r="HT61" s="1524"/>
      <c r="HU61" s="1524"/>
      <c r="HV61" s="1524"/>
      <c r="HW61" s="1525" t="s">
        <v>1615</v>
      </c>
      <c r="HX61" s="1524"/>
      <c r="HY61" s="1524"/>
      <c r="HZ61" s="1524"/>
      <c r="IA61" s="1524"/>
      <c r="IB61" s="1524"/>
      <c r="IC61" s="1524"/>
      <c r="ID61" s="1524"/>
      <c r="IE61" s="1524"/>
      <c r="IF61" s="1524"/>
      <c r="IG61" s="1524"/>
      <c r="IH61" s="1524"/>
      <c r="II61" s="1524"/>
      <c r="IJ61" s="1524"/>
      <c r="IK61" s="1524"/>
      <c r="IL61" s="1417" t="s">
        <v>1615</v>
      </c>
      <c r="IM61" s="1524"/>
      <c r="IN61" s="1524"/>
      <c r="IO61" s="1524"/>
      <c r="IP61" s="1524"/>
      <c r="IQ61" s="1524"/>
      <c r="IR61" s="1524"/>
      <c r="IS61" s="1524"/>
      <c r="IT61" s="1524"/>
      <c r="IU61" s="1417" t="s">
        <v>1615</v>
      </c>
      <c r="IV61" s="1524"/>
      <c r="IW61" s="1417" t="s">
        <v>1615</v>
      </c>
      <c r="IX61" s="1417" t="s">
        <v>1615</v>
      </c>
      <c r="IY61" s="1416" t="s">
        <v>1615</v>
      </c>
      <c r="IZ61" s="1524"/>
      <c r="JA61" s="1416" t="s">
        <v>1615</v>
      </c>
      <c r="JB61" s="1524"/>
      <c r="JC61" s="1524"/>
      <c r="JD61" s="1524"/>
      <c r="JE61" s="1524"/>
      <c r="JF61" s="1524"/>
      <c r="JG61" s="1524"/>
      <c r="JH61" s="1524"/>
      <c r="JI61" s="1524"/>
      <c r="JJ61" s="1524"/>
      <c r="JK61" s="1524"/>
      <c r="JL61" s="1524"/>
      <c r="JM61" s="1524"/>
      <c r="JN61" s="1524"/>
      <c r="JO61" s="1524"/>
      <c r="JP61" s="1524"/>
      <c r="JQ61" s="1527"/>
      <c r="JR61" s="351"/>
      <c r="JS61" s="1400"/>
      <c r="JT61" s="1400" t="s">
        <v>2319</v>
      </c>
    </row>
    <row r="62" spans="1:280" x14ac:dyDescent="0.25">
      <c r="A62" s="1367">
        <v>15</v>
      </c>
      <c r="B62" s="1411" t="str">
        <f t="shared" si="17"/>
        <v/>
      </c>
      <c r="C62" s="1435" t="s">
        <v>3126</v>
      </c>
      <c r="D62" s="1436" t="s">
        <v>3127</v>
      </c>
      <c r="E62" s="1416"/>
      <c r="F62" s="1416"/>
      <c r="G62" s="1522" t="s">
        <v>1615</v>
      </c>
      <c r="H62" s="1416"/>
      <c r="I62" s="1522" t="s">
        <v>1615</v>
      </c>
      <c r="J62" s="1522"/>
      <c r="K62" s="1522"/>
      <c r="L62" s="1522" t="s">
        <v>1615</v>
      </c>
      <c r="M62" s="1522"/>
      <c r="N62" s="1522"/>
      <c r="O62" s="1523"/>
      <c r="P62" s="1523"/>
      <c r="Q62" s="1522" t="s">
        <v>1615</v>
      </c>
      <c r="R62" s="1523"/>
      <c r="S62" s="1522" t="s">
        <v>1615</v>
      </c>
      <c r="T62" s="1524"/>
      <c r="U62" s="1524"/>
      <c r="V62" s="1524"/>
      <c r="W62" s="1524"/>
      <c r="X62" s="1524"/>
      <c r="Y62" s="1524"/>
      <c r="Z62" s="1524"/>
      <c r="AA62" s="1524"/>
      <c r="AB62" s="1524"/>
      <c r="AC62" s="1522" t="s">
        <v>1615</v>
      </c>
      <c r="AD62" s="1522"/>
      <c r="AE62" s="1522"/>
      <c r="AF62" s="1522"/>
      <c r="AG62" s="1522"/>
      <c r="AH62" s="1522"/>
      <c r="AI62" s="1524"/>
      <c r="AJ62" s="1416" t="s">
        <v>1615</v>
      </c>
      <c r="AK62" s="1524"/>
      <c r="AL62" s="1416"/>
      <c r="AM62" s="1524"/>
      <c r="AN62" s="1524"/>
      <c r="AO62" s="1524"/>
      <c r="AP62" s="1524"/>
      <c r="AQ62" s="1524"/>
      <c r="AR62" s="1524"/>
      <c r="AS62" s="1524"/>
      <c r="AT62" s="1524"/>
      <c r="AU62" s="1524"/>
      <c r="AV62" s="1416" t="s">
        <v>1615</v>
      </c>
      <c r="AW62" s="1524"/>
      <c r="AX62" s="1524"/>
      <c r="AY62" s="1524"/>
      <c r="AZ62" s="1524"/>
      <c r="BA62" s="1524"/>
      <c r="BB62" s="1524"/>
      <c r="BC62" s="1524"/>
      <c r="BD62" s="1524"/>
      <c r="BE62" s="1524"/>
      <c r="BF62" s="1524"/>
      <c r="BG62" s="1524"/>
      <c r="BH62" s="1524"/>
      <c r="BI62" s="1524"/>
      <c r="BJ62" s="1417"/>
      <c r="BK62" s="1524"/>
      <c r="BL62" s="1524"/>
      <c r="BM62" s="1524"/>
      <c r="BN62" s="1524"/>
      <c r="BO62" s="1524"/>
      <c r="BP62" s="1512"/>
      <c r="BQ62" s="1524"/>
      <c r="BR62" s="1524"/>
      <c r="BS62" s="1524"/>
      <c r="BT62" s="1524"/>
      <c r="BU62" s="1524"/>
      <c r="BV62" s="1524"/>
      <c r="BW62" s="1524"/>
      <c r="BX62" s="1524"/>
      <c r="BY62" s="1500" t="s">
        <v>1615</v>
      </c>
      <c r="BZ62" s="1524"/>
      <c r="CA62" s="1524"/>
      <c r="CB62" s="1524" t="s">
        <v>1615</v>
      </c>
      <c r="CC62" s="1524"/>
      <c r="CD62" s="1525" t="s">
        <v>1615</v>
      </c>
      <c r="CE62" s="1524"/>
      <c r="CF62" s="1416" t="s">
        <v>1615</v>
      </c>
      <c r="CG62" s="1524"/>
      <c r="CH62" s="1522" t="s">
        <v>1615</v>
      </c>
      <c r="CI62" s="1524"/>
      <c r="CJ62" s="1524"/>
      <c r="CK62" s="1525" t="s">
        <v>1615</v>
      </c>
      <c r="CL62" s="1416" t="s">
        <v>1615</v>
      </c>
      <c r="CM62" s="1525" t="s">
        <v>1615</v>
      </c>
      <c r="CN62" s="1525" t="s">
        <v>1615</v>
      </c>
      <c r="CO62" s="1525" t="s">
        <v>1615</v>
      </c>
      <c r="CP62" s="1525" t="s">
        <v>1615</v>
      </c>
      <c r="CQ62" s="1524"/>
      <c r="CR62" s="1416" t="s">
        <v>1615</v>
      </c>
      <c r="CS62" s="1416" t="s">
        <v>1615</v>
      </c>
      <c r="CT62" s="1524"/>
      <c r="CU62" s="1522" t="s">
        <v>1615</v>
      </c>
      <c r="CV62" s="1522" t="s">
        <v>1615</v>
      </c>
      <c r="CW62" s="1524"/>
      <c r="CX62" s="1524"/>
      <c r="CY62" s="1524"/>
      <c r="CZ62" s="1524"/>
      <c r="DA62" s="1524"/>
      <c r="DB62" s="1524"/>
      <c r="DC62" s="1524" t="s">
        <v>1615</v>
      </c>
      <c r="DD62" s="1524"/>
      <c r="DE62" s="1524"/>
      <c r="DF62" s="1524"/>
      <c r="DG62" s="1524"/>
      <c r="DH62" s="1524"/>
      <c r="DI62" s="1524"/>
      <c r="DJ62" s="1522" t="s">
        <v>1615</v>
      </c>
      <c r="DK62" s="1524"/>
      <c r="DL62" s="1524"/>
      <c r="DM62" s="1524"/>
      <c r="DN62" s="1524"/>
      <c r="DO62" s="1416"/>
      <c r="DP62" s="1524"/>
      <c r="DQ62" s="1524"/>
      <c r="DR62" s="1524"/>
      <c r="DS62" s="1524"/>
      <c r="DT62" s="1524"/>
      <c r="DU62" s="1524"/>
      <c r="DV62" s="1524"/>
      <c r="DW62" s="1524"/>
      <c r="DX62" s="1524"/>
      <c r="DY62" s="1524"/>
      <c r="DZ62" s="1524"/>
      <c r="EA62" s="1525" t="s">
        <v>1615</v>
      </c>
      <c r="EB62" s="1524"/>
      <c r="EC62" s="1524"/>
      <c r="ED62" s="1524"/>
      <c r="EE62" s="1524"/>
      <c r="EF62" s="1522" t="s">
        <v>1615</v>
      </c>
      <c r="EG62" s="1522" t="s">
        <v>1615</v>
      </c>
      <c r="EH62" s="1524"/>
      <c r="EI62" s="1416" t="s">
        <v>1615</v>
      </c>
      <c r="EJ62" s="1524"/>
      <c r="EK62" s="1524"/>
      <c r="EL62" s="1524"/>
      <c r="EM62" s="1416" t="s">
        <v>1615</v>
      </c>
      <c r="EN62" s="1524"/>
      <c r="EO62" s="1524"/>
      <c r="EP62" s="1524"/>
      <c r="EQ62" s="1524"/>
      <c r="ER62" s="1524"/>
      <c r="ES62" s="1524"/>
      <c r="ET62" s="1524"/>
      <c r="EU62" s="1524"/>
      <c r="EV62" s="1524"/>
      <c r="EW62" s="1524"/>
      <c r="EX62" s="1524"/>
      <c r="EY62" s="1416" t="s">
        <v>1615</v>
      </c>
      <c r="EZ62" s="1524"/>
      <c r="FA62" s="1524"/>
      <c r="FB62" s="1524"/>
      <c r="FC62" s="1524"/>
      <c r="FD62" s="1524"/>
      <c r="FE62" s="1524"/>
      <c r="FF62" s="1416" t="s">
        <v>1615</v>
      </c>
      <c r="FG62" s="1524"/>
      <c r="FH62" s="1522" t="s">
        <v>1615</v>
      </c>
      <c r="FI62" s="1524"/>
      <c r="FJ62" s="1524"/>
      <c r="FK62" s="1524"/>
      <c r="FL62" s="1524"/>
      <c r="FM62" s="1524"/>
      <c r="FN62" s="1524"/>
      <c r="FO62" s="1524"/>
      <c r="FP62" s="1524"/>
      <c r="FQ62" s="1524"/>
      <c r="FR62" s="1524"/>
      <c r="FS62" s="1524"/>
      <c r="FT62" s="1524"/>
      <c r="FU62" s="1524"/>
      <c r="FV62" s="1524"/>
      <c r="FW62" s="1524"/>
      <c r="FX62" s="1524"/>
      <c r="FY62" s="1524"/>
      <c r="FZ62" s="1525"/>
      <c r="GA62" s="1525"/>
      <c r="GB62" s="1525"/>
      <c r="GC62" s="1525"/>
      <c r="GD62" s="1525" t="s">
        <v>1615</v>
      </c>
      <c r="GE62" s="1524"/>
      <c r="GF62" s="1524"/>
      <c r="GG62" s="1524"/>
      <c r="GH62" s="1524"/>
      <c r="GI62" s="1524"/>
      <c r="GJ62" s="1416" t="s">
        <v>1615</v>
      </c>
      <c r="GK62" s="1524"/>
      <c r="GL62" s="1524"/>
      <c r="GM62" s="1524"/>
      <c r="GN62" s="1525" t="s">
        <v>1615</v>
      </c>
      <c r="GO62" s="1489"/>
      <c r="GP62" s="1489"/>
      <c r="GQ62" s="1489"/>
      <c r="GR62" s="1489"/>
      <c r="GS62" s="1489"/>
      <c r="GT62" s="1489"/>
      <c r="GU62" s="1525" t="s">
        <v>1615</v>
      </c>
      <c r="GV62" s="1524"/>
      <c r="GW62" s="1524"/>
      <c r="GX62" s="1522" t="s">
        <v>1615</v>
      </c>
      <c r="GY62" s="1524"/>
      <c r="GZ62" s="1524"/>
      <c r="HA62" s="1524"/>
      <c r="HB62" s="1416" t="s">
        <v>1615</v>
      </c>
      <c r="HC62" s="1522" t="s">
        <v>1615</v>
      </c>
      <c r="HD62" s="1524"/>
      <c r="HE62" s="1524"/>
      <c r="HF62" s="1524"/>
      <c r="HG62" s="1524"/>
      <c r="HH62" s="1524"/>
      <c r="HI62" s="1524"/>
      <c r="HJ62" s="1524"/>
      <c r="HK62" s="1524"/>
      <c r="HL62" s="1524"/>
      <c r="HM62" s="1524"/>
      <c r="HN62" s="1524"/>
      <c r="HO62" s="1522" t="s">
        <v>1615</v>
      </c>
      <c r="HP62" s="1524"/>
      <c r="HQ62" s="1524"/>
      <c r="HR62" s="1524"/>
      <c r="HS62" s="1524"/>
      <c r="HT62" s="1524"/>
      <c r="HU62" s="1524"/>
      <c r="HV62" s="1524"/>
      <c r="HW62" s="1525" t="s">
        <v>1615</v>
      </c>
      <c r="HX62" s="1524"/>
      <c r="HY62" s="1524"/>
      <c r="HZ62" s="1524"/>
      <c r="IA62" s="1524"/>
      <c r="IB62" s="1524"/>
      <c r="IC62" s="1524"/>
      <c r="ID62" s="1524"/>
      <c r="IE62" s="1524"/>
      <c r="IF62" s="1524"/>
      <c r="IG62" s="1524"/>
      <c r="IH62" s="1524"/>
      <c r="II62" s="1524"/>
      <c r="IJ62" s="1524"/>
      <c r="IK62" s="1524"/>
      <c r="IL62" s="1417" t="s">
        <v>1615</v>
      </c>
      <c r="IM62" s="1524"/>
      <c r="IN62" s="1524"/>
      <c r="IO62" s="1524"/>
      <c r="IP62" s="1524"/>
      <c r="IQ62" s="1524"/>
      <c r="IR62" s="1524"/>
      <c r="IS62" s="1524"/>
      <c r="IT62" s="1524"/>
      <c r="IU62" s="1417" t="s">
        <v>1615</v>
      </c>
      <c r="IV62" s="1524"/>
      <c r="IW62" s="1417" t="s">
        <v>1615</v>
      </c>
      <c r="IX62" s="1417" t="s">
        <v>1615</v>
      </c>
      <c r="IY62" s="1416" t="s">
        <v>1615</v>
      </c>
      <c r="IZ62" s="1524"/>
      <c r="JA62" s="1416" t="s">
        <v>1615</v>
      </c>
      <c r="JB62" s="1524"/>
      <c r="JC62" s="1524"/>
      <c r="JD62" s="1524"/>
      <c r="JE62" s="1524"/>
      <c r="JF62" s="1524"/>
      <c r="JG62" s="1524"/>
      <c r="JH62" s="1524"/>
      <c r="JI62" s="1524"/>
      <c r="JJ62" s="1524"/>
      <c r="JK62" s="1524"/>
      <c r="JL62" s="1524"/>
      <c r="JM62" s="1524"/>
      <c r="JN62" s="1524"/>
      <c r="JO62" s="1524"/>
      <c r="JP62" s="1524"/>
      <c r="JQ62" s="1527"/>
      <c r="JR62" s="351"/>
      <c r="JS62" s="1400"/>
      <c r="JT62" s="1400" t="s">
        <v>2319</v>
      </c>
    </row>
    <row r="63" spans="1:280" x14ac:dyDescent="0.25">
      <c r="A63" s="1367">
        <v>16</v>
      </c>
      <c r="B63" s="1411" t="str">
        <f t="shared" si="17"/>
        <v/>
      </c>
      <c r="C63" s="1435" t="s">
        <v>3128</v>
      </c>
      <c r="D63" s="1436" t="s">
        <v>3129</v>
      </c>
      <c r="E63" s="1416"/>
      <c r="F63" s="1416"/>
      <c r="G63" s="1522" t="s">
        <v>1615</v>
      </c>
      <c r="H63" s="1416"/>
      <c r="I63" s="1522" t="s">
        <v>1615</v>
      </c>
      <c r="J63" s="1522"/>
      <c r="K63" s="1522"/>
      <c r="L63" s="1522" t="s">
        <v>1615</v>
      </c>
      <c r="M63" s="1522"/>
      <c r="N63" s="1522"/>
      <c r="O63" s="1523"/>
      <c r="P63" s="1523"/>
      <c r="Q63" s="1522" t="s">
        <v>1615</v>
      </c>
      <c r="R63" s="1523"/>
      <c r="S63" s="1522" t="s">
        <v>1615</v>
      </c>
      <c r="T63" s="1524"/>
      <c r="U63" s="1524"/>
      <c r="V63" s="1524"/>
      <c r="W63" s="1524"/>
      <c r="X63" s="1524"/>
      <c r="Y63" s="1524"/>
      <c r="Z63" s="1524"/>
      <c r="AA63" s="1524"/>
      <c r="AB63" s="1524"/>
      <c r="AC63" s="1522" t="s">
        <v>1615</v>
      </c>
      <c r="AD63" s="1522"/>
      <c r="AE63" s="1522"/>
      <c r="AF63" s="1522"/>
      <c r="AG63" s="1522"/>
      <c r="AH63" s="1522"/>
      <c r="AI63" s="1524"/>
      <c r="AJ63" s="1416" t="s">
        <v>1615</v>
      </c>
      <c r="AK63" s="1524"/>
      <c r="AL63" s="1416"/>
      <c r="AM63" s="1524"/>
      <c r="AN63" s="1524"/>
      <c r="AO63" s="1524"/>
      <c r="AP63" s="1524"/>
      <c r="AQ63" s="1524"/>
      <c r="AR63" s="1524"/>
      <c r="AS63" s="1524"/>
      <c r="AT63" s="1524"/>
      <c r="AU63" s="1524"/>
      <c r="AV63" s="1416" t="s">
        <v>1615</v>
      </c>
      <c r="AW63" s="1524"/>
      <c r="AX63" s="1524"/>
      <c r="AY63" s="1524"/>
      <c r="AZ63" s="1524"/>
      <c r="BA63" s="1524"/>
      <c r="BB63" s="1524"/>
      <c r="BC63" s="1524"/>
      <c r="BD63" s="1524"/>
      <c r="BE63" s="1524"/>
      <c r="BF63" s="1524"/>
      <c r="BG63" s="1524"/>
      <c r="BH63" s="1524"/>
      <c r="BI63" s="1524"/>
      <c r="BJ63" s="1417"/>
      <c r="BK63" s="1524"/>
      <c r="BL63" s="1524"/>
      <c r="BM63" s="1524"/>
      <c r="BN63" s="1524"/>
      <c r="BO63" s="1524"/>
      <c r="BP63" s="1512"/>
      <c r="BQ63" s="1524"/>
      <c r="BR63" s="1524"/>
      <c r="BS63" s="1524"/>
      <c r="BT63" s="1524"/>
      <c r="BU63" s="1524"/>
      <c r="BV63" s="1524"/>
      <c r="BW63" s="1524"/>
      <c r="BX63" s="1524"/>
      <c r="BY63" s="1500" t="s">
        <v>1615</v>
      </c>
      <c r="BZ63" s="1524"/>
      <c r="CA63" s="1524"/>
      <c r="CB63" s="1524" t="s">
        <v>1615</v>
      </c>
      <c r="CC63" s="1524"/>
      <c r="CD63" s="1525" t="s">
        <v>1615</v>
      </c>
      <c r="CE63" s="1524"/>
      <c r="CF63" s="1416" t="s">
        <v>1615</v>
      </c>
      <c r="CG63" s="1524"/>
      <c r="CH63" s="1522" t="s">
        <v>1615</v>
      </c>
      <c r="CI63" s="1524"/>
      <c r="CJ63" s="1524"/>
      <c r="CK63" s="1525" t="s">
        <v>1615</v>
      </c>
      <c r="CL63" s="1416" t="s">
        <v>1615</v>
      </c>
      <c r="CM63" s="1525" t="s">
        <v>1615</v>
      </c>
      <c r="CN63" s="1525" t="s">
        <v>1615</v>
      </c>
      <c r="CO63" s="1525" t="s">
        <v>1615</v>
      </c>
      <c r="CP63" s="1525" t="s">
        <v>1615</v>
      </c>
      <c r="CQ63" s="1524"/>
      <c r="CR63" s="1416" t="s">
        <v>1615</v>
      </c>
      <c r="CS63" s="1416" t="s">
        <v>1615</v>
      </c>
      <c r="CT63" s="1524"/>
      <c r="CU63" s="1522" t="s">
        <v>1707</v>
      </c>
      <c r="CV63" s="1522" t="s">
        <v>1707</v>
      </c>
      <c r="CW63" s="1524"/>
      <c r="CX63" s="1524"/>
      <c r="CY63" s="1524"/>
      <c r="CZ63" s="1524"/>
      <c r="DA63" s="1524"/>
      <c r="DB63" s="1524"/>
      <c r="DC63" s="1524" t="s">
        <v>1707</v>
      </c>
      <c r="DD63" s="1524"/>
      <c r="DE63" s="1524"/>
      <c r="DF63" s="1524"/>
      <c r="DG63" s="1524"/>
      <c r="DH63" s="1524"/>
      <c r="DI63" s="1524"/>
      <c r="DJ63" s="1522" t="s">
        <v>1707</v>
      </c>
      <c r="DK63" s="1524"/>
      <c r="DL63" s="1524"/>
      <c r="DM63" s="1524"/>
      <c r="DN63" s="1524"/>
      <c r="DO63" s="1416"/>
      <c r="DP63" s="1524"/>
      <c r="DQ63" s="1524"/>
      <c r="DR63" s="1524"/>
      <c r="DS63" s="1524"/>
      <c r="DT63" s="1524"/>
      <c r="DU63" s="1524"/>
      <c r="DV63" s="1524"/>
      <c r="DW63" s="1524"/>
      <c r="DX63" s="1524"/>
      <c r="DY63" s="1524"/>
      <c r="DZ63" s="1524"/>
      <c r="EA63" s="1525" t="s">
        <v>1615</v>
      </c>
      <c r="EB63" s="1524"/>
      <c r="EC63" s="1524"/>
      <c r="ED63" s="1524"/>
      <c r="EE63" s="1524"/>
      <c r="EF63" s="1522" t="s">
        <v>1615</v>
      </c>
      <c r="EG63" s="1522" t="s">
        <v>1615</v>
      </c>
      <c r="EH63" s="1524"/>
      <c r="EI63" s="1416" t="s">
        <v>1615</v>
      </c>
      <c r="EJ63" s="1524"/>
      <c r="EK63" s="1524"/>
      <c r="EL63" s="1524"/>
      <c r="EM63" s="1416" t="s">
        <v>1615</v>
      </c>
      <c r="EN63" s="1524"/>
      <c r="EO63" s="1524"/>
      <c r="EP63" s="1524"/>
      <c r="EQ63" s="1524"/>
      <c r="ER63" s="1524"/>
      <c r="ES63" s="1524"/>
      <c r="ET63" s="1524"/>
      <c r="EU63" s="1524"/>
      <c r="EV63" s="1524"/>
      <c r="EW63" s="1524"/>
      <c r="EX63" s="1524"/>
      <c r="EY63" s="1416" t="s">
        <v>1615</v>
      </c>
      <c r="EZ63" s="1524"/>
      <c r="FA63" s="1524"/>
      <c r="FB63" s="1524"/>
      <c r="FC63" s="1524"/>
      <c r="FD63" s="1524"/>
      <c r="FE63" s="1524"/>
      <c r="FF63" s="1416" t="s">
        <v>1615</v>
      </c>
      <c r="FG63" s="1524"/>
      <c r="FH63" s="1522" t="s">
        <v>1707</v>
      </c>
      <c r="FI63" s="1524"/>
      <c r="FJ63" s="1524"/>
      <c r="FK63" s="1524"/>
      <c r="FL63" s="1524"/>
      <c r="FM63" s="1524"/>
      <c r="FN63" s="1524"/>
      <c r="FO63" s="1524"/>
      <c r="FP63" s="1524"/>
      <c r="FQ63" s="1524"/>
      <c r="FR63" s="1524"/>
      <c r="FS63" s="1524"/>
      <c r="FT63" s="1524"/>
      <c r="FU63" s="1524"/>
      <c r="FV63" s="1524"/>
      <c r="FW63" s="1524"/>
      <c r="FX63" s="1524"/>
      <c r="FY63" s="1524"/>
      <c r="FZ63" s="1525"/>
      <c r="GA63" s="1525"/>
      <c r="GB63" s="1525"/>
      <c r="GC63" s="1525"/>
      <c r="GD63" s="1525" t="s">
        <v>1615</v>
      </c>
      <c r="GE63" s="1524"/>
      <c r="GF63" s="1524"/>
      <c r="GG63" s="1524"/>
      <c r="GH63" s="1524"/>
      <c r="GI63" s="1524"/>
      <c r="GJ63" s="1416" t="s">
        <v>1615</v>
      </c>
      <c r="GK63" s="1524"/>
      <c r="GL63" s="1524"/>
      <c r="GM63" s="1524"/>
      <c r="GN63" s="1525" t="s">
        <v>1615</v>
      </c>
      <c r="GO63" s="1489"/>
      <c r="GP63" s="1489"/>
      <c r="GQ63" s="1489"/>
      <c r="GR63" s="1489"/>
      <c r="GS63" s="1489"/>
      <c r="GT63" s="1489"/>
      <c r="GU63" s="1525" t="s">
        <v>1615</v>
      </c>
      <c r="GV63" s="1524"/>
      <c r="GW63" s="1524"/>
      <c r="GX63" s="1522" t="s">
        <v>1615</v>
      </c>
      <c r="GY63" s="1524"/>
      <c r="GZ63" s="1524"/>
      <c r="HA63" s="1524"/>
      <c r="HB63" s="1416" t="s">
        <v>1615</v>
      </c>
      <c r="HC63" s="1522" t="s">
        <v>1707</v>
      </c>
      <c r="HD63" s="1524"/>
      <c r="HE63" s="1524"/>
      <c r="HF63" s="1524"/>
      <c r="HG63" s="1524"/>
      <c r="HH63" s="1524"/>
      <c r="HI63" s="1524"/>
      <c r="HJ63" s="1524"/>
      <c r="HK63" s="1524"/>
      <c r="HL63" s="1524"/>
      <c r="HM63" s="1524"/>
      <c r="HN63" s="1524"/>
      <c r="HO63" s="1522" t="s">
        <v>1615</v>
      </c>
      <c r="HP63" s="1524"/>
      <c r="HQ63" s="1524"/>
      <c r="HR63" s="1524"/>
      <c r="HS63" s="1524"/>
      <c r="HT63" s="1524"/>
      <c r="HU63" s="1524"/>
      <c r="HV63" s="1524"/>
      <c r="HW63" s="1525" t="s">
        <v>1615</v>
      </c>
      <c r="HX63" s="1524"/>
      <c r="HY63" s="1524"/>
      <c r="HZ63" s="1524"/>
      <c r="IA63" s="1524"/>
      <c r="IB63" s="1524"/>
      <c r="IC63" s="1524"/>
      <c r="ID63" s="1524"/>
      <c r="IE63" s="1524"/>
      <c r="IF63" s="1524"/>
      <c r="IG63" s="1524"/>
      <c r="IH63" s="1524"/>
      <c r="II63" s="1524"/>
      <c r="IJ63" s="1524"/>
      <c r="IK63" s="1524"/>
      <c r="IL63" s="1417" t="s">
        <v>1615</v>
      </c>
      <c r="IM63" s="1524"/>
      <c r="IN63" s="1524"/>
      <c r="IO63" s="1524"/>
      <c r="IP63" s="1524"/>
      <c r="IQ63" s="1524"/>
      <c r="IR63" s="1524"/>
      <c r="IS63" s="1524"/>
      <c r="IT63" s="1524"/>
      <c r="IU63" s="1417" t="s">
        <v>1615</v>
      </c>
      <c r="IV63" s="1524"/>
      <c r="IW63" s="1417" t="s">
        <v>1615</v>
      </c>
      <c r="IX63" s="1417" t="s">
        <v>1615</v>
      </c>
      <c r="IY63" s="1416" t="s">
        <v>1615</v>
      </c>
      <c r="IZ63" s="1524"/>
      <c r="JA63" s="1416" t="s">
        <v>1615</v>
      </c>
      <c r="JB63" s="1524"/>
      <c r="JC63" s="1524"/>
      <c r="JD63" s="1524"/>
      <c r="JE63" s="1524"/>
      <c r="JF63" s="1524"/>
      <c r="JG63" s="1524"/>
      <c r="JH63" s="1524"/>
      <c r="JI63" s="1524"/>
      <c r="JJ63" s="1524"/>
      <c r="JK63" s="1524"/>
      <c r="JL63" s="1524"/>
      <c r="JM63" s="1524"/>
      <c r="JN63" s="1524"/>
      <c r="JO63" s="1524"/>
      <c r="JP63" s="1524"/>
      <c r="JQ63" s="1527"/>
      <c r="JR63" s="351"/>
      <c r="JS63" s="1521" t="s">
        <v>3130</v>
      </c>
      <c r="JT63" s="1400" t="s">
        <v>3131</v>
      </c>
    </row>
    <row r="64" spans="1:280" x14ac:dyDescent="0.25">
      <c r="A64" s="1367">
        <v>17</v>
      </c>
      <c r="B64" s="1411" t="str">
        <f t="shared" si="17"/>
        <v/>
      </c>
      <c r="C64" s="1435" t="s">
        <v>3132</v>
      </c>
      <c r="D64" s="1436" t="s">
        <v>3133</v>
      </c>
      <c r="E64" s="1416"/>
      <c r="F64" s="1416"/>
      <c r="G64" s="1522" t="s">
        <v>1615</v>
      </c>
      <c r="H64" s="1416"/>
      <c r="I64" s="1522" t="s">
        <v>1615</v>
      </c>
      <c r="J64" s="1522"/>
      <c r="K64" s="1522"/>
      <c r="L64" s="1522" t="s">
        <v>1615</v>
      </c>
      <c r="M64" s="1522"/>
      <c r="N64" s="1522"/>
      <c r="O64" s="1523"/>
      <c r="P64" s="1523"/>
      <c r="Q64" s="1522" t="s">
        <v>1615</v>
      </c>
      <c r="R64" s="1523"/>
      <c r="S64" s="1522" t="s">
        <v>1615</v>
      </c>
      <c r="T64" s="1524"/>
      <c r="U64" s="1524"/>
      <c r="V64" s="1524"/>
      <c r="W64" s="1524"/>
      <c r="X64" s="1524"/>
      <c r="Y64" s="1524"/>
      <c r="Z64" s="1524"/>
      <c r="AA64" s="1524"/>
      <c r="AB64" s="1524"/>
      <c r="AC64" s="1522" t="s">
        <v>1615</v>
      </c>
      <c r="AD64" s="1522"/>
      <c r="AE64" s="1522"/>
      <c r="AF64" s="1522"/>
      <c r="AG64" s="1522"/>
      <c r="AH64" s="1522"/>
      <c r="AI64" s="1524"/>
      <c r="AJ64" s="1416" t="s">
        <v>1615</v>
      </c>
      <c r="AK64" s="1524"/>
      <c r="AL64" s="1416"/>
      <c r="AM64" s="1524"/>
      <c r="AN64" s="1524"/>
      <c r="AO64" s="1524"/>
      <c r="AP64" s="1524"/>
      <c r="AQ64" s="1524"/>
      <c r="AR64" s="1524"/>
      <c r="AS64" s="1524"/>
      <c r="AT64" s="1524"/>
      <c r="AU64" s="1524"/>
      <c r="AV64" s="1416" t="s">
        <v>1615</v>
      </c>
      <c r="AW64" s="1524"/>
      <c r="AX64" s="1524"/>
      <c r="AY64" s="1524"/>
      <c r="AZ64" s="1524"/>
      <c r="BA64" s="1524"/>
      <c r="BB64" s="1524"/>
      <c r="BC64" s="1524"/>
      <c r="BD64" s="1524"/>
      <c r="BE64" s="1524"/>
      <c r="BF64" s="1524"/>
      <c r="BG64" s="1524"/>
      <c r="BH64" s="1524"/>
      <c r="BI64" s="1524"/>
      <c r="BJ64" s="1417"/>
      <c r="BK64" s="1524"/>
      <c r="BL64" s="1524"/>
      <c r="BM64" s="1524"/>
      <c r="BN64" s="1524"/>
      <c r="BO64" s="1524"/>
      <c r="BP64" s="1515"/>
      <c r="BQ64" s="1524"/>
      <c r="BR64" s="1524"/>
      <c r="BS64" s="1524"/>
      <c r="BT64" s="1524"/>
      <c r="BU64" s="1524"/>
      <c r="BV64" s="1524"/>
      <c r="BW64" s="1524"/>
      <c r="BX64" s="1524"/>
      <c r="BY64" s="1500" t="s">
        <v>1615</v>
      </c>
      <c r="BZ64" s="1524"/>
      <c r="CA64" s="1524"/>
      <c r="CB64" s="1524" t="s">
        <v>1615</v>
      </c>
      <c r="CC64" s="1524"/>
      <c r="CD64" s="1525" t="s">
        <v>1615</v>
      </c>
      <c r="CE64" s="1524"/>
      <c r="CF64" s="1416" t="s">
        <v>1615</v>
      </c>
      <c r="CG64" s="1524"/>
      <c r="CH64" s="1522" t="s">
        <v>1615</v>
      </c>
      <c r="CI64" s="1524"/>
      <c r="CJ64" s="1524"/>
      <c r="CK64" s="1525" t="s">
        <v>1615</v>
      </c>
      <c r="CL64" s="1416" t="s">
        <v>1615</v>
      </c>
      <c r="CM64" s="1525" t="s">
        <v>1615</v>
      </c>
      <c r="CN64" s="1525" t="s">
        <v>1615</v>
      </c>
      <c r="CO64" s="1525" t="s">
        <v>1615</v>
      </c>
      <c r="CP64" s="1525" t="s">
        <v>1615</v>
      </c>
      <c r="CQ64" s="1524"/>
      <c r="CR64" s="1416" t="s">
        <v>1615</v>
      </c>
      <c r="CS64" s="1416" t="s">
        <v>1615</v>
      </c>
      <c r="CT64" s="1524"/>
      <c r="CU64" s="1522" t="s">
        <v>1615</v>
      </c>
      <c r="CV64" s="1522" t="s">
        <v>1615</v>
      </c>
      <c r="CW64" s="1524"/>
      <c r="CX64" s="1524"/>
      <c r="CY64" s="1524"/>
      <c r="CZ64" s="1524"/>
      <c r="DA64" s="1524"/>
      <c r="DB64" s="1524"/>
      <c r="DC64" s="1524" t="s">
        <v>1615</v>
      </c>
      <c r="DD64" s="1524"/>
      <c r="DE64" s="1524"/>
      <c r="DF64" s="1524"/>
      <c r="DG64" s="1524"/>
      <c r="DH64" s="1524"/>
      <c r="DI64" s="1524"/>
      <c r="DJ64" s="1522" t="s">
        <v>1615</v>
      </c>
      <c r="DK64" s="1524"/>
      <c r="DL64" s="1524"/>
      <c r="DM64" s="1524"/>
      <c r="DN64" s="1524"/>
      <c r="DO64" s="1416"/>
      <c r="DP64" s="1524"/>
      <c r="DQ64" s="1524"/>
      <c r="DR64" s="1524"/>
      <c r="DS64" s="1524"/>
      <c r="DT64" s="1524"/>
      <c r="DU64" s="1524"/>
      <c r="DV64" s="1524"/>
      <c r="DW64" s="1524"/>
      <c r="DX64" s="1524"/>
      <c r="DY64" s="1524"/>
      <c r="DZ64" s="1524"/>
      <c r="EA64" s="1525" t="s">
        <v>1615</v>
      </c>
      <c r="EB64" s="1524"/>
      <c r="EC64" s="1524"/>
      <c r="ED64" s="1524"/>
      <c r="EE64" s="1524"/>
      <c r="EF64" s="1522" t="s">
        <v>1615</v>
      </c>
      <c r="EG64" s="1522" t="s">
        <v>1615</v>
      </c>
      <c r="EH64" s="1524"/>
      <c r="EI64" s="1416" t="s">
        <v>1615</v>
      </c>
      <c r="EJ64" s="1524"/>
      <c r="EK64" s="1524"/>
      <c r="EL64" s="1524"/>
      <c r="EM64" s="1416" t="s">
        <v>1615</v>
      </c>
      <c r="EN64" s="1524"/>
      <c r="EO64" s="1524"/>
      <c r="EP64" s="1524"/>
      <c r="EQ64" s="1524"/>
      <c r="ER64" s="1524"/>
      <c r="ES64" s="1524"/>
      <c r="ET64" s="1524"/>
      <c r="EU64" s="1524"/>
      <c r="EV64" s="1524"/>
      <c r="EW64" s="1524"/>
      <c r="EX64" s="1524"/>
      <c r="EY64" s="1416" t="s">
        <v>1615</v>
      </c>
      <c r="EZ64" s="1524"/>
      <c r="FA64" s="1524"/>
      <c r="FB64" s="1524"/>
      <c r="FC64" s="1524"/>
      <c r="FD64" s="1524"/>
      <c r="FE64" s="1524"/>
      <c r="FF64" s="1416" t="s">
        <v>1615</v>
      </c>
      <c r="FG64" s="1524"/>
      <c r="FH64" s="1522" t="s">
        <v>1615</v>
      </c>
      <c r="FI64" s="1524"/>
      <c r="FJ64" s="1524"/>
      <c r="FK64" s="1524"/>
      <c r="FL64" s="1524"/>
      <c r="FM64" s="1524"/>
      <c r="FN64" s="1524"/>
      <c r="FO64" s="1524"/>
      <c r="FP64" s="1524"/>
      <c r="FQ64" s="1524"/>
      <c r="FR64" s="1524"/>
      <c r="FS64" s="1524"/>
      <c r="FT64" s="1524"/>
      <c r="FU64" s="1524"/>
      <c r="FV64" s="1524"/>
      <c r="FW64" s="1524"/>
      <c r="FX64" s="1524"/>
      <c r="FY64" s="1524"/>
      <c r="FZ64" s="1525"/>
      <c r="GA64" s="1525"/>
      <c r="GB64" s="1525"/>
      <c r="GC64" s="1525"/>
      <c r="GD64" s="1525" t="s">
        <v>1615</v>
      </c>
      <c r="GE64" s="1524"/>
      <c r="GF64" s="1524"/>
      <c r="GG64" s="1524"/>
      <c r="GH64" s="1524"/>
      <c r="GI64" s="1524"/>
      <c r="GJ64" s="1416" t="s">
        <v>1615</v>
      </c>
      <c r="GK64" s="1524"/>
      <c r="GL64" s="1524"/>
      <c r="GM64" s="1524"/>
      <c r="GN64" s="1525" t="s">
        <v>1615</v>
      </c>
      <c r="GO64" s="1489"/>
      <c r="GP64" s="1489"/>
      <c r="GQ64" s="1489"/>
      <c r="GR64" s="1489"/>
      <c r="GS64" s="1489"/>
      <c r="GT64" s="1489"/>
      <c r="GU64" s="1525" t="s">
        <v>1615</v>
      </c>
      <c r="GV64" s="1524"/>
      <c r="GW64" s="1524"/>
      <c r="GX64" s="1522" t="s">
        <v>1615</v>
      </c>
      <c r="GY64" s="1524"/>
      <c r="GZ64" s="1524"/>
      <c r="HA64" s="1524"/>
      <c r="HB64" s="1416" t="s">
        <v>1615</v>
      </c>
      <c r="HC64" s="1522" t="s">
        <v>1615</v>
      </c>
      <c r="HD64" s="1524"/>
      <c r="HE64" s="1524"/>
      <c r="HF64" s="1524"/>
      <c r="HG64" s="1524"/>
      <c r="HH64" s="1524"/>
      <c r="HI64" s="1524"/>
      <c r="HJ64" s="1524"/>
      <c r="HK64" s="1524"/>
      <c r="HL64" s="1524"/>
      <c r="HM64" s="1524"/>
      <c r="HN64" s="1524"/>
      <c r="HO64" s="1522" t="s">
        <v>1615</v>
      </c>
      <c r="HP64" s="1524"/>
      <c r="HQ64" s="1524"/>
      <c r="HR64" s="1524"/>
      <c r="HS64" s="1524"/>
      <c r="HT64" s="1524"/>
      <c r="HU64" s="1524"/>
      <c r="HV64" s="1524"/>
      <c r="HW64" s="1525" t="s">
        <v>1615</v>
      </c>
      <c r="HX64" s="1524"/>
      <c r="HY64" s="1524"/>
      <c r="HZ64" s="1524"/>
      <c r="IA64" s="1524"/>
      <c r="IB64" s="1524"/>
      <c r="IC64" s="1524"/>
      <c r="ID64" s="1524"/>
      <c r="IE64" s="1524"/>
      <c r="IF64" s="1524"/>
      <c r="IG64" s="1524"/>
      <c r="IH64" s="1524"/>
      <c r="II64" s="1524"/>
      <c r="IJ64" s="1524"/>
      <c r="IK64" s="1524"/>
      <c r="IL64" s="1417" t="s">
        <v>1615</v>
      </c>
      <c r="IM64" s="1524"/>
      <c r="IN64" s="1524"/>
      <c r="IO64" s="1524"/>
      <c r="IP64" s="1524"/>
      <c r="IQ64" s="1524"/>
      <c r="IR64" s="1524"/>
      <c r="IS64" s="1524"/>
      <c r="IT64" s="1524"/>
      <c r="IU64" s="1417" t="s">
        <v>1615</v>
      </c>
      <c r="IV64" s="1524"/>
      <c r="IW64" s="1417" t="s">
        <v>1615</v>
      </c>
      <c r="IX64" s="1417" t="s">
        <v>1615</v>
      </c>
      <c r="IY64" s="1416" t="s">
        <v>1615</v>
      </c>
      <c r="IZ64" s="1524"/>
      <c r="JA64" s="1416" t="s">
        <v>1615</v>
      </c>
      <c r="JB64" s="1524"/>
      <c r="JC64" s="1524"/>
      <c r="JD64" s="1524"/>
      <c r="JE64" s="1524"/>
      <c r="JF64" s="1524"/>
      <c r="JG64" s="1524"/>
      <c r="JH64" s="1524"/>
      <c r="JI64" s="1524"/>
      <c r="JJ64" s="1524"/>
      <c r="JK64" s="1524"/>
      <c r="JL64" s="1524"/>
      <c r="JM64" s="1524"/>
      <c r="JN64" s="1524"/>
      <c r="JO64" s="1524"/>
      <c r="JP64" s="1524"/>
      <c r="JQ64" s="1527"/>
      <c r="JR64" s="351"/>
      <c r="JS64" s="1400"/>
      <c r="JT64" s="1400" t="s">
        <v>2319</v>
      </c>
    </row>
    <row r="65" spans="1:280" x14ac:dyDescent="0.25">
      <c r="A65" s="1367">
        <v>18</v>
      </c>
      <c r="B65" s="1411" t="str">
        <f t="shared" si="17"/>
        <v/>
      </c>
      <c r="C65" s="1435" t="s">
        <v>3134</v>
      </c>
      <c r="D65" s="1436" t="s">
        <v>2934</v>
      </c>
      <c r="E65" s="1452"/>
      <c r="F65" s="1452"/>
      <c r="G65" s="1452">
        <v>17200</v>
      </c>
      <c r="H65" s="1452"/>
      <c r="I65" s="1452">
        <v>76834</v>
      </c>
      <c r="J65" s="1452"/>
      <c r="K65" s="1452"/>
      <c r="L65" s="1452">
        <v>17000</v>
      </c>
      <c r="M65" s="1452"/>
      <c r="N65" s="1452"/>
      <c r="O65" s="1528"/>
      <c r="P65" s="1528"/>
      <c r="Q65" s="1452">
        <v>74900</v>
      </c>
      <c r="R65" s="1528"/>
      <c r="S65" s="1452">
        <v>76560</v>
      </c>
      <c r="T65" s="1500"/>
      <c r="U65" s="1500"/>
      <c r="V65" s="1500"/>
      <c r="W65" s="1500"/>
      <c r="X65" s="1500"/>
      <c r="Y65" s="1500"/>
      <c r="Z65" s="1500"/>
      <c r="AA65" s="1455">
        <v>10430</v>
      </c>
      <c r="AB65" s="1500"/>
      <c r="AC65" s="1452">
        <v>74900</v>
      </c>
      <c r="AD65" s="1452"/>
      <c r="AE65" s="1452">
        <v>32495</v>
      </c>
      <c r="AF65" s="1452"/>
      <c r="AG65" s="1452"/>
      <c r="AH65" s="1452">
        <v>49900</v>
      </c>
      <c r="AI65" s="1500"/>
      <c r="AJ65" s="1452">
        <v>19930</v>
      </c>
      <c r="AK65" s="1455">
        <v>897</v>
      </c>
      <c r="AL65" s="1452"/>
      <c r="AM65" s="1455">
        <v>10194</v>
      </c>
      <c r="AN65" s="1455">
        <v>21694</v>
      </c>
      <c r="AO65" s="1455"/>
      <c r="AP65" s="1455">
        <v>15006</v>
      </c>
      <c r="AQ65" s="1500"/>
      <c r="AR65" s="1500"/>
      <c r="AS65" s="1500"/>
      <c r="AT65" s="1500"/>
      <c r="AU65" s="1500"/>
      <c r="AV65" s="1452">
        <v>73250</v>
      </c>
      <c r="AW65" s="1500"/>
      <c r="AX65" s="1500"/>
      <c r="AY65" s="1500"/>
      <c r="AZ65" s="1500"/>
      <c r="BA65" s="1500"/>
      <c r="BB65" s="1500"/>
      <c r="BC65" s="1500"/>
      <c r="BD65" s="1500"/>
      <c r="BE65" s="1500"/>
      <c r="BF65" s="1500"/>
      <c r="BG65" s="1500"/>
      <c r="BH65" s="1500"/>
      <c r="BI65" s="1500"/>
      <c r="BJ65" s="1454"/>
      <c r="BK65" s="1500"/>
      <c r="BL65" s="1500"/>
      <c r="BM65" s="1500"/>
      <c r="BN65" s="1500"/>
      <c r="BO65" s="1500"/>
      <c r="BP65" s="1515"/>
      <c r="BQ65" s="1500"/>
      <c r="BR65" s="1500"/>
      <c r="BS65" s="1500"/>
      <c r="BT65" s="1500"/>
      <c r="BU65" s="1500"/>
      <c r="BV65" s="1500"/>
      <c r="BW65" s="1500"/>
      <c r="BX65" s="1500"/>
      <c r="BY65" s="1500">
        <v>25000</v>
      </c>
      <c r="BZ65" s="1500"/>
      <c r="CA65" s="1500"/>
      <c r="CB65" s="1500">
        <v>1424131</v>
      </c>
      <c r="CC65" s="1500"/>
      <c r="CD65" s="1455">
        <v>190432</v>
      </c>
      <c r="CE65" s="1500"/>
      <c r="CF65" s="1452">
        <v>82959</v>
      </c>
      <c r="CG65" s="1500"/>
      <c r="CH65" s="1452">
        <v>74900</v>
      </c>
      <c r="CI65" s="1500"/>
      <c r="CJ65" s="1500"/>
      <c r="CK65" s="1455">
        <v>37700</v>
      </c>
      <c r="CL65" s="1452">
        <v>328938</v>
      </c>
      <c r="CM65" s="1455">
        <v>8008</v>
      </c>
      <c r="CN65" s="1455">
        <v>173808</v>
      </c>
      <c r="CO65" s="1455">
        <v>479786</v>
      </c>
      <c r="CP65" s="1455">
        <v>178351</v>
      </c>
      <c r="CQ65" s="1500"/>
      <c r="CR65" s="1452">
        <v>328938</v>
      </c>
      <c r="CS65" s="1452">
        <v>328938</v>
      </c>
      <c r="CT65" s="1500"/>
      <c r="CU65" s="1452">
        <v>175264</v>
      </c>
      <c r="CV65" s="1452">
        <v>175264</v>
      </c>
      <c r="CW65" s="1500"/>
      <c r="CX65" s="1500"/>
      <c r="CY65" s="1500"/>
      <c r="CZ65" s="1500"/>
      <c r="DA65" s="1500"/>
      <c r="DB65" s="1500"/>
      <c r="DC65" s="1500">
        <v>175264</v>
      </c>
      <c r="DD65" s="1500"/>
      <c r="DE65" s="1500"/>
      <c r="DF65" s="1500"/>
      <c r="DG65" s="1500"/>
      <c r="DH65" s="1500"/>
      <c r="DI65" s="1500"/>
      <c r="DJ65" s="1452">
        <v>175264</v>
      </c>
      <c r="DK65" s="1500"/>
      <c r="DL65" s="1500"/>
      <c r="DM65" s="1500"/>
      <c r="DN65" s="1500"/>
      <c r="DO65" s="1452"/>
      <c r="DP65" s="1500"/>
      <c r="DQ65" s="1500"/>
      <c r="DR65" s="1472">
        <v>171228</v>
      </c>
      <c r="DS65" s="1500"/>
      <c r="DT65" s="1500"/>
      <c r="DU65" s="1500"/>
      <c r="DV65" s="1500"/>
      <c r="DW65" s="1500"/>
      <c r="DX65" s="1500"/>
      <c r="DY65" s="1500"/>
      <c r="DZ65" s="1500"/>
      <c r="EA65" s="1455">
        <v>133319</v>
      </c>
      <c r="EB65" s="1500"/>
      <c r="EC65" s="1500"/>
      <c r="ED65" s="1500"/>
      <c r="EE65" s="1500"/>
      <c r="EF65" s="1452">
        <v>69203</v>
      </c>
      <c r="EG65" s="1452">
        <v>70000</v>
      </c>
      <c r="EH65" s="1500"/>
      <c r="EI65" s="1452">
        <v>67088</v>
      </c>
      <c r="EJ65" s="1500"/>
      <c r="EK65" s="1500"/>
      <c r="EL65" s="1500"/>
      <c r="EM65" s="1452">
        <v>328938</v>
      </c>
      <c r="EN65" s="1500"/>
      <c r="EO65" s="1500"/>
      <c r="EP65" s="1500"/>
      <c r="EQ65" s="1500"/>
      <c r="ER65" s="1500"/>
      <c r="ES65" s="1472">
        <v>8349</v>
      </c>
      <c r="ET65" s="1472">
        <v>6749</v>
      </c>
      <c r="EU65" s="1500"/>
      <c r="EV65" s="1500"/>
      <c r="EW65" s="1500"/>
      <c r="EX65" s="1500"/>
      <c r="EY65" s="1452">
        <v>328938</v>
      </c>
      <c r="EZ65" s="1500"/>
      <c r="FA65" s="1500"/>
      <c r="FB65" s="1500"/>
      <c r="FC65" s="1500"/>
      <c r="FD65" s="1500"/>
      <c r="FE65" s="1500"/>
      <c r="FF65" s="1452">
        <v>82959</v>
      </c>
      <c r="FG65" s="1500"/>
      <c r="FH65" s="1452">
        <v>175264</v>
      </c>
      <c r="FI65" s="1472">
        <v>2274</v>
      </c>
      <c r="FJ65" s="1472">
        <v>171876</v>
      </c>
      <c r="FK65" s="1500"/>
      <c r="FL65" s="1500"/>
      <c r="FM65" s="1472">
        <v>201584</v>
      </c>
      <c r="FN65" s="1500"/>
      <c r="FO65" s="1472">
        <v>3193</v>
      </c>
      <c r="FP65" s="1500"/>
      <c r="FQ65" s="1500"/>
      <c r="FR65" s="1500"/>
      <c r="FS65" s="1500"/>
      <c r="FT65" s="1500"/>
      <c r="FU65" s="1500"/>
      <c r="FV65" s="1500"/>
      <c r="FW65" s="1500"/>
      <c r="FX65" s="1500"/>
      <c r="FY65" s="1500"/>
      <c r="FZ65" s="1455"/>
      <c r="GA65" s="1455"/>
      <c r="GB65" s="1455"/>
      <c r="GC65" s="1455"/>
      <c r="GD65" s="1455">
        <v>86750</v>
      </c>
      <c r="GE65" s="1500"/>
      <c r="GF65" s="1500"/>
      <c r="GG65" s="1500"/>
      <c r="GH65" s="1500"/>
      <c r="GI65" s="1500"/>
      <c r="GJ65" s="1454">
        <v>59710</v>
      </c>
      <c r="GK65" s="1500"/>
      <c r="GL65" s="1500"/>
      <c r="GM65" s="1500"/>
      <c r="GN65" s="1455">
        <v>32495</v>
      </c>
      <c r="GO65" s="1489"/>
      <c r="GP65" s="1489"/>
      <c r="GQ65" s="1489"/>
      <c r="GR65" s="1489"/>
      <c r="GS65" s="1489"/>
      <c r="GT65" s="1489"/>
      <c r="GU65" s="1455">
        <v>36000</v>
      </c>
      <c r="GV65" s="1500"/>
      <c r="GW65" s="1500"/>
      <c r="GX65" s="1452">
        <v>155000</v>
      </c>
      <c r="GY65" s="1500"/>
      <c r="GZ65" s="1500"/>
      <c r="HA65" s="1500"/>
      <c r="HB65" s="1452">
        <v>73250</v>
      </c>
      <c r="HC65" s="1452">
        <v>175264</v>
      </c>
      <c r="HD65" s="1500"/>
      <c r="HE65" s="1500"/>
      <c r="HF65" s="1500"/>
      <c r="HG65" s="1500"/>
      <c r="HH65" s="1500"/>
      <c r="HI65" s="1472">
        <v>24756</v>
      </c>
      <c r="HJ65" s="1472">
        <v>126384</v>
      </c>
      <c r="HK65" s="1472">
        <v>173250</v>
      </c>
      <c r="HL65" s="1472">
        <v>201924</v>
      </c>
      <c r="HM65" s="1472">
        <v>42500</v>
      </c>
      <c r="HN65" s="1500"/>
      <c r="HO65" s="1452">
        <v>74900</v>
      </c>
      <c r="HP65" s="1500"/>
      <c r="HQ65" s="1500"/>
      <c r="HR65" s="1500"/>
      <c r="HS65" s="1500"/>
      <c r="HT65" s="1500"/>
      <c r="HU65" s="1472"/>
      <c r="HV65" s="1500"/>
      <c r="HW65" s="1455">
        <v>67395</v>
      </c>
      <c r="HX65" s="1500"/>
      <c r="HY65" s="1500"/>
      <c r="HZ65" s="1500"/>
      <c r="IA65" s="1500"/>
      <c r="IB65" s="1500"/>
      <c r="IC65" s="1500"/>
      <c r="ID65" s="1500"/>
      <c r="IE65" s="1500"/>
      <c r="IF65" s="1500"/>
      <c r="IG65" s="1500"/>
      <c r="IH65" s="1500"/>
      <c r="II65" s="1500"/>
      <c r="IJ65" s="1500"/>
      <c r="IK65" s="1500"/>
      <c r="IL65" s="1472">
        <v>63299</v>
      </c>
      <c r="IM65" s="1500"/>
      <c r="IN65" s="1500"/>
      <c r="IO65" s="1500"/>
      <c r="IP65" s="1500"/>
      <c r="IQ65" s="1500"/>
      <c r="IR65" s="1500"/>
      <c r="IS65" s="1500"/>
      <c r="IT65" s="1500"/>
      <c r="IU65" s="1472">
        <v>335729</v>
      </c>
      <c r="IV65" s="1500"/>
      <c r="IW65" s="1472">
        <v>5020</v>
      </c>
      <c r="IX65" s="1500">
        <v>4508982</v>
      </c>
      <c r="IY65" s="1452">
        <v>82959</v>
      </c>
      <c r="IZ65" s="1500"/>
      <c r="JA65" s="1452">
        <v>328938</v>
      </c>
      <c r="JB65" s="1472">
        <v>67942</v>
      </c>
      <c r="JC65" s="1500"/>
      <c r="JD65" s="1500"/>
      <c r="JE65" s="1500"/>
      <c r="JF65" s="1500"/>
      <c r="JG65" s="1500"/>
      <c r="JH65" s="1472">
        <v>6908</v>
      </c>
      <c r="JI65" s="1500"/>
      <c r="JJ65" s="1500"/>
      <c r="JK65" s="1472">
        <v>9210</v>
      </c>
      <c r="JL65" s="1500"/>
      <c r="JM65" s="1500"/>
      <c r="JN65" s="1500"/>
      <c r="JO65" s="1500"/>
      <c r="JP65" s="1500"/>
      <c r="JQ65" s="1477"/>
      <c r="JR65" s="351"/>
      <c r="JS65" s="1400"/>
      <c r="JT65" s="1400" t="s">
        <v>2224</v>
      </c>
    </row>
    <row r="66" spans="1:280" ht="20" x14ac:dyDescent="0.25">
      <c r="A66" s="1367">
        <v>19</v>
      </c>
      <c r="B66" s="1411" t="str">
        <f t="shared" si="17"/>
        <v/>
      </c>
      <c r="C66" s="1435" t="s">
        <v>3135</v>
      </c>
      <c r="D66" s="1436" t="s">
        <v>2937</v>
      </c>
      <c r="E66" s="1452"/>
      <c r="F66" s="1452"/>
      <c r="G66" s="1452"/>
      <c r="H66" s="1452"/>
      <c r="I66" s="1452"/>
      <c r="J66" s="1452"/>
      <c r="K66" s="1452"/>
      <c r="L66" s="1452"/>
      <c r="M66" s="1452"/>
      <c r="N66" s="1452"/>
      <c r="O66" s="1528"/>
      <c r="P66" s="1528"/>
      <c r="Q66" s="1452"/>
      <c r="R66" s="1528"/>
      <c r="S66" s="1452"/>
      <c r="T66" s="1500"/>
      <c r="U66" s="1500"/>
      <c r="V66" s="1500"/>
      <c r="W66" s="1500"/>
      <c r="X66" s="1500"/>
      <c r="Y66" s="1500"/>
      <c r="Z66" s="1500"/>
      <c r="AA66" s="1455"/>
      <c r="AB66" s="1500"/>
      <c r="AC66" s="1452"/>
      <c r="AD66" s="1452"/>
      <c r="AE66" s="1452"/>
      <c r="AF66" s="1452"/>
      <c r="AG66" s="1452"/>
      <c r="AH66" s="1452"/>
      <c r="AI66" s="1500"/>
      <c r="AJ66" s="1452"/>
      <c r="AK66" s="1500"/>
      <c r="AL66" s="1452"/>
      <c r="AM66" s="1500"/>
      <c r="AN66" s="1500"/>
      <c r="AO66" s="1500"/>
      <c r="AP66" s="1500"/>
      <c r="AQ66" s="1500"/>
      <c r="AR66" s="1500"/>
      <c r="AS66" s="1500"/>
      <c r="AT66" s="1500"/>
      <c r="AU66" s="1500"/>
      <c r="AV66" s="1452"/>
      <c r="AW66" s="1500"/>
      <c r="AX66" s="1500"/>
      <c r="AY66" s="1500"/>
      <c r="AZ66" s="1500"/>
      <c r="BA66" s="1500"/>
      <c r="BB66" s="1500"/>
      <c r="BC66" s="1500"/>
      <c r="BD66" s="1500"/>
      <c r="BE66" s="1500"/>
      <c r="BF66" s="1500"/>
      <c r="BG66" s="1500"/>
      <c r="BH66" s="1500"/>
      <c r="BI66" s="1500"/>
      <c r="BJ66" s="1452"/>
      <c r="BK66" s="1500"/>
      <c r="BL66" s="1500"/>
      <c r="BM66" s="1500"/>
      <c r="BN66" s="1500"/>
      <c r="BO66" s="1500"/>
      <c r="BP66" s="1515"/>
      <c r="BQ66" s="1500"/>
      <c r="BR66" s="1500"/>
      <c r="BS66" s="1500"/>
      <c r="BT66" s="1500"/>
      <c r="BU66" s="1500"/>
      <c r="BV66" s="1500"/>
      <c r="BW66" s="1500"/>
      <c r="BX66" s="1500"/>
      <c r="BY66" s="1500"/>
      <c r="BZ66" s="1500"/>
      <c r="CA66" s="1500"/>
      <c r="CB66" s="1500"/>
      <c r="CC66" s="1500"/>
      <c r="CD66" s="1455"/>
      <c r="CE66" s="1500"/>
      <c r="CF66" s="1452"/>
      <c r="CG66" s="1500"/>
      <c r="CH66" s="1452"/>
      <c r="CI66" s="1500"/>
      <c r="CJ66" s="1500"/>
      <c r="CK66" s="1455"/>
      <c r="CL66" s="1452"/>
      <c r="CM66" s="1455"/>
      <c r="CN66" s="1455"/>
      <c r="CO66" s="1455"/>
      <c r="CP66" s="1455"/>
      <c r="CQ66" s="1500"/>
      <c r="CR66" s="1452"/>
      <c r="CS66" s="1452"/>
      <c r="CT66" s="1500"/>
      <c r="CU66" s="1452">
        <v>5460</v>
      </c>
      <c r="CV66" s="1452">
        <v>5460</v>
      </c>
      <c r="CW66" s="1500"/>
      <c r="CX66" s="1500"/>
      <c r="CY66" s="1500"/>
      <c r="CZ66" s="1500"/>
      <c r="DA66" s="1500"/>
      <c r="DB66" s="1500"/>
      <c r="DC66" s="1500">
        <v>5460</v>
      </c>
      <c r="DD66" s="1500"/>
      <c r="DE66" s="1500"/>
      <c r="DF66" s="1500"/>
      <c r="DG66" s="1500"/>
      <c r="DH66" s="1500"/>
      <c r="DI66" s="1500"/>
      <c r="DJ66" s="1452">
        <v>5460</v>
      </c>
      <c r="DK66" s="1500"/>
      <c r="DL66" s="1500"/>
      <c r="DM66" s="1500"/>
      <c r="DN66" s="1500"/>
      <c r="DO66" s="1452"/>
      <c r="DP66" s="1500"/>
      <c r="DQ66" s="1500"/>
      <c r="DR66" s="1472">
        <v>60031</v>
      </c>
      <c r="DS66" s="1500"/>
      <c r="DT66" s="1500"/>
      <c r="DU66" s="1500"/>
      <c r="DV66" s="1500"/>
      <c r="DW66" s="1500"/>
      <c r="DX66" s="1500"/>
      <c r="DY66" s="1500"/>
      <c r="DZ66" s="1500"/>
      <c r="EA66" s="1455"/>
      <c r="EB66" s="1500"/>
      <c r="EC66" s="1500"/>
      <c r="ED66" s="1500"/>
      <c r="EE66" s="1500"/>
      <c r="EF66" s="1452"/>
      <c r="EG66" s="1452"/>
      <c r="EH66" s="1500"/>
      <c r="EI66" s="1452"/>
      <c r="EJ66" s="1500"/>
      <c r="EK66" s="1500"/>
      <c r="EL66" s="1500"/>
      <c r="EM66" s="1452"/>
      <c r="EN66" s="1500"/>
      <c r="EO66" s="1500"/>
      <c r="EP66" s="1500"/>
      <c r="EQ66" s="1500"/>
      <c r="ER66" s="1500"/>
      <c r="ES66" s="1500"/>
      <c r="ET66" s="1472">
        <v>4700</v>
      </c>
      <c r="EU66" s="1500"/>
      <c r="EV66" s="1500"/>
      <c r="EW66" s="1500"/>
      <c r="EX66" s="1500"/>
      <c r="EY66" s="1452"/>
      <c r="EZ66" s="1500"/>
      <c r="FA66" s="1500"/>
      <c r="FB66" s="1500"/>
      <c r="FC66" s="1500"/>
      <c r="FD66" s="1500"/>
      <c r="FE66" s="1500"/>
      <c r="FF66" s="1452"/>
      <c r="FG66" s="1500"/>
      <c r="FH66" s="1452">
        <v>5460</v>
      </c>
      <c r="FI66" s="1500"/>
      <c r="FJ66" s="1500"/>
      <c r="FK66" s="1500"/>
      <c r="FL66" s="1500"/>
      <c r="FM66" s="1500"/>
      <c r="FN66" s="1500"/>
      <c r="FO66" s="1500"/>
      <c r="FP66" s="1500"/>
      <c r="FQ66" s="1500"/>
      <c r="FR66" s="1500"/>
      <c r="FS66" s="1500"/>
      <c r="FT66" s="1500"/>
      <c r="FU66" s="1500"/>
      <c r="FV66" s="1500"/>
      <c r="FW66" s="1500"/>
      <c r="FX66" s="1500"/>
      <c r="FY66" s="1500"/>
      <c r="FZ66" s="1455"/>
      <c r="GA66" s="1455"/>
      <c r="GB66" s="1455"/>
      <c r="GC66" s="1455"/>
      <c r="GD66" s="1455"/>
      <c r="GE66" s="1500"/>
      <c r="GF66" s="1500"/>
      <c r="GG66" s="1500"/>
      <c r="GH66" s="1500"/>
      <c r="GI66" s="1500"/>
      <c r="GJ66" s="1452"/>
      <c r="GK66" s="1500"/>
      <c r="GL66" s="1500"/>
      <c r="GM66" s="1500"/>
      <c r="GN66" s="1455"/>
      <c r="GO66" s="1455"/>
      <c r="GP66" s="1455"/>
      <c r="GQ66" s="1455"/>
      <c r="GR66" s="1455"/>
      <c r="GS66" s="1455"/>
      <c r="GT66" s="1455"/>
      <c r="GU66" s="1455"/>
      <c r="GV66" s="1500"/>
      <c r="GW66" s="1500"/>
      <c r="GX66" s="1452"/>
      <c r="GY66" s="1500"/>
      <c r="GZ66" s="1500"/>
      <c r="HA66" s="1500"/>
      <c r="HB66" s="1452"/>
      <c r="HC66" s="1452">
        <v>5460</v>
      </c>
      <c r="HD66" s="1500"/>
      <c r="HE66" s="1500"/>
      <c r="HF66" s="1500"/>
      <c r="HG66" s="1500"/>
      <c r="HH66" s="1500"/>
      <c r="HI66" s="1500"/>
      <c r="HJ66" s="1500"/>
      <c r="HK66" s="1500"/>
      <c r="HL66" s="1500"/>
      <c r="HM66" s="1500"/>
      <c r="HN66" s="1500"/>
      <c r="HO66" s="1452"/>
      <c r="HP66" s="1500"/>
      <c r="HQ66" s="1500"/>
      <c r="HR66" s="1500"/>
      <c r="HS66" s="1500"/>
      <c r="HT66" s="1500"/>
      <c r="HU66" s="1472"/>
      <c r="HV66" s="1500"/>
      <c r="HW66" s="1455"/>
      <c r="HX66" s="1500"/>
      <c r="HY66" s="1500"/>
      <c r="HZ66" s="1500"/>
      <c r="IA66" s="1500"/>
      <c r="IB66" s="1500"/>
      <c r="IC66" s="1500"/>
      <c r="ID66" s="1500"/>
      <c r="IE66" s="1500"/>
      <c r="IF66" s="1500"/>
      <c r="IG66" s="1500"/>
      <c r="IH66" s="1500"/>
      <c r="II66" s="1500"/>
      <c r="IJ66" s="1500"/>
      <c r="IK66" s="1500"/>
      <c r="IL66" s="1500"/>
      <c r="IM66" s="1500"/>
      <c r="IN66" s="1500"/>
      <c r="IO66" s="1500"/>
      <c r="IP66" s="1500"/>
      <c r="IQ66" s="1500"/>
      <c r="IR66" s="1500"/>
      <c r="IS66" s="1500"/>
      <c r="IT66" s="1500"/>
      <c r="IU66" s="1500"/>
      <c r="IV66" s="1500"/>
      <c r="IW66" s="1500"/>
      <c r="IX66" s="1500"/>
      <c r="IY66" s="1452"/>
      <c r="IZ66" s="1500"/>
      <c r="JA66" s="1452"/>
      <c r="JB66" s="1500"/>
      <c r="JC66" s="1500"/>
      <c r="JD66" s="1500"/>
      <c r="JE66" s="1500"/>
      <c r="JF66" s="1500"/>
      <c r="JG66" s="1500"/>
      <c r="JH66" s="1500"/>
      <c r="JI66" s="1500"/>
      <c r="JJ66" s="1500"/>
      <c r="JK66" s="1500"/>
      <c r="JL66" s="1500"/>
      <c r="JM66" s="1500"/>
      <c r="JN66" s="1500"/>
      <c r="JO66" s="1500"/>
      <c r="JP66" s="1500"/>
      <c r="JQ66" s="1477"/>
      <c r="JR66" s="351"/>
      <c r="JS66" s="1521" t="s">
        <v>3136</v>
      </c>
      <c r="JT66" s="1400" t="s">
        <v>2242</v>
      </c>
    </row>
    <row r="67" spans="1:280" ht="20" x14ac:dyDescent="0.25">
      <c r="A67" s="1367">
        <v>20</v>
      </c>
      <c r="B67" s="1411" t="str">
        <f t="shared" ref="B67:B131" si="19">IF(SE_B_IND&gt;1,IF(HLOOKUP(SE_B_IND-1,FSE_RANGE,A67)="","",HLOOKUP(SE_B_IND-1,FSE_RANGE,A67)),"")</f>
        <v/>
      </c>
      <c r="C67" s="1435" t="s">
        <v>3137</v>
      </c>
      <c r="D67" s="1436" t="s">
        <v>2939</v>
      </c>
      <c r="E67" s="1452"/>
      <c r="F67" s="1452"/>
      <c r="G67" s="1452"/>
      <c r="H67" s="1452"/>
      <c r="I67" s="1452"/>
      <c r="J67" s="1452"/>
      <c r="K67" s="1452"/>
      <c r="L67" s="1452"/>
      <c r="M67" s="1452"/>
      <c r="N67" s="1452"/>
      <c r="O67" s="1528"/>
      <c r="P67" s="1528"/>
      <c r="Q67" s="1452"/>
      <c r="R67" s="1528"/>
      <c r="S67" s="1452"/>
      <c r="T67" s="1500"/>
      <c r="U67" s="1500"/>
      <c r="V67" s="1500"/>
      <c r="W67" s="1500"/>
      <c r="X67" s="1500"/>
      <c r="Y67" s="1500"/>
      <c r="Z67" s="1500"/>
      <c r="AA67" s="1455"/>
      <c r="AB67" s="1500"/>
      <c r="AC67" s="1452"/>
      <c r="AD67" s="1452"/>
      <c r="AE67" s="1452"/>
      <c r="AF67" s="1452"/>
      <c r="AG67" s="1452"/>
      <c r="AH67" s="1452"/>
      <c r="AI67" s="1500"/>
      <c r="AJ67" s="1452"/>
      <c r="AK67" s="1455">
        <v>897</v>
      </c>
      <c r="AL67" s="1452"/>
      <c r="AM67" s="1500"/>
      <c r="AN67" s="1500"/>
      <c r="AO67" s="1500"/>
      <c r="AP67" s="1500"/>
      <c r="AQ67" s="1500"/>
      <c r="AR67" s="1500"/>
      <c r="AS67" s="1500"/>
      <c r="AT67" s="1500"/>
      <c r="AU67" s="1500"/>
      <c r="AV67" s="1452"/>
      <c r="AW67" s="1500"/>
      <c r="AX67" s="1500"/>
      <c r="AY67" s="1500"/>
      <c r="AZ67" s="1500"/>
      <c r="BA67" s="1500"/>
      <c r="BB67" s="1500"/>
      <c r="BC67" s="1500"/>
      <c r="BD67" s="1500"/>
      <c r="BE67" s="1500"/>
      <c r="BF67" s="1500"/>
      <c r="BG67" s="1500"/>
      <c r="BH67" s="1500"/>
      <c r="BI67" s="1500"/>
      <c r="BJ67" s="1452"/>
      <c r="BK67" s="1500"/>
      <c r="BL67" s="1500"/>
      <c r="BM67" s="1500"/>
      <c r="BN67" s="1500"/>
      <c r="BO67" s="1500"/>
      <c r="BP67" s="1515"/>
      <c r="BQ67" s="1500"/>
      <c r="BR67" s="1500"/>
      <c r="BS67" s="1500"/>
      <c r="BT67" s="1500"/>
      <c r="BU67" s="1500"/>
      <c r="BV67" s="1500"/>
      <c r="BW67" s="1500"/>
      <c r="BX67" s="1500"/>
      <c r="BY67" s="1500"/>
      <c r="BZ67" s="1500"/>
      <c r="CA67" s="1500"/>
      <c r="CB67" s="1500"/>
      <c r="CC67" s="1500"/>
      <c r="CD67" s="1455"/>
      <c r="CE67" s="1500"/>
      <c r="CF67" s="1452"/>
      <c r="CG67" s="1500"/>
      <c r="CH67" s="1452"/>
      <c r="CI67" s="1500"/>
      <c r="CJ67" s="1500"/>
      <c r="CK67" s="1455"/>
      <c r="CL67" s="1452"/>
      <c r="CM67" s="1455"/>
      <c r="CN67" s="1455"/>
      <c r="CO67" s="1455"/>
      <c r="CP67" s="1455"/>
      <c r="CQ67" s="1500"/>
      <c r="CR67" s="1452"/>
      <c r="CS67" s="1452"/>
      <c r="CT67" s="1500"/>
      <c r="CU67" s="1452"/>
      <c r="CV67" s="1452"/>
      <c r="CW67" s="1500"/>
      <c r="CX67" s="1500"/>
      <c r="CY67" s="1500"/>
      <c r="CZ67" s="1500"/>
      <c r="DA67" s="1500"/>
      <c r="DB67" s="1500"/>
      <c r="DC67" s="1500"/>
      <c r="DD67" s="1500"/>
      <c r="DE67" s="1500"/>
      <c r="DF67" s="1500"/>
      <c r="DG67" s="1500"/>
      <c r="DH67" s="1500"/>
      <c r="DI67" s="1500"/>
      <c r="DJ67" s="1452"/>
      <c r="DK67" s="1500"/>
      <c r="DL67" s="1500"/>
      <c r="DM67" s="1500"/>
      <c r="DN67" s="1500"/>
      <c r="DO67" s="1452"/>
      <c r="DP67" s="1500"/>
      <c r="DQ67" s="1500"/>
      <c r="DR67" s="1500"/>
      <c r="DS67" s="1500"/>
      <c r="DT67" s="1500"/>
      <c r="DU67" s="1500"/>
      <c r="DV67" s="1500"/>
      <c r="DW67" s="1500"/>
      <c r="DX67" s="1500"/>
      <c r="DY67" s="1500"/>
      <c r="DZ67" s="1500"/>
      <c r="EA67" s="1455"/>
      <c r="EB67" s="1500"/>
      <c r="EC67" s="1500"/>
      <c r="ED67" s="1500"/>
      <c r="EE67" s="1500"/>
      <c r="EF67" s="1452"/>
      <c r="EG67" s="1452"/>
      <c r="EH67" s="1500"/>
      <c r="EI67" s="1452"/>
      <c r="EJ67" s="1500"/>
      <c r="EK67" s="1500"/>
      <c r="EL67" s="1500"/>
      <c r="EM67" s="1452"/>
      <c r="EN67" s="1500"/>
      <c r="EO67" s="1500"/>
      <c r="EP67" s="1500"/>
      <c r="EQ67" s="1500"/>
      <c r="ER67" s="1500"/>
      <c r="ES67" s="1500"/>
      <c r="ET67" s="1500"/>
      <c r="EU67" s="1500"/>
      <c r="EV67" s="1500"/>
      <c r="EW67" s="1500"/>
      <c r="EX67" s="1500"/>
      <c r="EY67" s="1452"/>
      <c r="EZ67" s="1500"/>
      <c r="FA67" s="1500"/>
      <c r="FB67" s="1500"/>
      <c r="FC67" s="1500"/>
      <c r="FD67" s="1500"/>
      <c r="FE67" s="1500"/>
      <c r="FF67" s="1452"/>
      <c r="FG67" s="1500"/>
      <c r="FH67" s="1452"/>
      <c r="FI67" s="1500"/>
      <c r="FJ67" s="1500"/>
      <c r="FK67" s="1500"/>
      <c r="FL67" s="1500"/>
      <c r="FM67" s="1472"/>
      <c r="FN67" s="1500"/>
      <c r="FO67" s="1472">
        <v>1000</v>
      </c>
      <c r="FP67" s="1500"/>
      <c r="FQ67" s="1500"/>
      <c r="FR67" s="1500"/>
      <c r="FS67" s="1500"/>
      <c r="FT67" s="1500"/>
      <c r="FU67" s="1500"/>
      <c r="FV67" s="1500"/>
      <c r="FW67" s="1500"/>
      <c r="FX67" s="1500"/>
      <c r="FY67" s="1500"/>
      <c r="FZ67" s="1455"/>
      <c r="GA67" s="1455"/>
      <c r="GB67" s="1455"/>
      <c r="GC67" s="1455"/>
      <c r="GD67" s="1455"/>
      <c r="GE67" s="1500"/>
      <c r="GF67" s="1500"/>
      <c r="GG67" s="1500"/>
      <c r="GH67" s="1500"/>
      <c r="GI67" s="1500"/>
      <c r="GJ67" s="1452"/>
      <c r="GK67" s="1500"/>
      <c r="GL67" s="1500"/>
      <c r="GM67" s="1500"/>
      <c r="GN67" s="1455"/>
      <c r="GO67" s="1455"/>
      <c r="GP67" s="1455"/>
      <c r="GQ67" s="1455"/>
      <c r="GR67" s="1455"/>
      <c r="GS67" s="1455"/>
      <c r="GT67" s="1455"/>
      <c r="GU67" s="1455"/>
      <c r="GV67" s="1500"/>
      <c r="GW67" s="1500"/>
      <c r="GX67" s="1452"/>
      <c r="GY67" s="1500"/>
      <c r="GZ67" s="1500"/>
      <c r="HA67" s="1500"/>
      <c r="HB67" s="1452"/>
      <c r="HC67" s="1452"/>
      <c r="HD67" s="1500"/>
      <c r="HE67" s="1500"/>
      <c r="HF67" s="1500"/>
      <c r="HG67" s="1500"/>
      <c r="HH67" s="1500"/>
      <c r="HI67" s="1500"/>
      <c r="HJ67" s="1500"/>
      <c r="HK67" s="1472">
        <v>1000</v>
      </c>
      <c r="HL67" s="1500"/>
      <c r="HM67" s="1472">
        <v>1000</v>
      </c>
      <c r="HN67" s="1500"/>
      <c r="HO67" s="1452"/>
      <c r="HP67" s="1500"/>
      <c r="HQ67" s="1500"/>
      <c r="HR67" s="1500"/>
      <c r="HS67" s="1500"/>
      <c r="HT67" s="1500"/>
      <c r="HU67" s="1500"/>
      <c r="HV67" s="1500"/>
      <c r="HW67" s="1455"/>
      <c r="HX67" s="1500"/>
      <c r="HY67" s="1500"/>
      <c r="HZ67" s="1500"/>
      <c r="IA67" s="1500"/>
      <c r="IB67" s="1500"/>
      <c r="IC67" s="1500"/>
      <c r="ID67" s="1500"/>
      <c r="IE67" s="1500"/>
      <c r="IF67" s="1500"/>
      <c r="IG67" s="1500"/>
      <c r="IH67" s="1500"/>
      <c r="II67" s="1500"/>
      <c r="IJ67" s="1500"/>
      <c r="IK67" s="1500"/>
      <c r="IL67" s="1500"/>
      <c r="IM67" s="1500"/>
      <c r="IN67" s="1500"/>
      <c r="IO67" s="1500"/>
      <c r="IP67" s="1500"/>
      <c r="IQ67" s="1500"/>
      <c r="IR67" s="1500"/>
      <c r="IS67" s="1500"/>
      <c r="IT67" s="1500"/>
      <c r="IU67" s="1500"/>
      <c r="IV67" s="1500"/>
      <c r="IW67" s="1500"/>
      <c r="IX67" s="1500"/>
      <c r="IY67" s="1452"/>
      <c r="IZ67" s="1500"/>
      <c r="JA67" s="1452"/>
      <c r="JB67" s="1472">
        <v>1000</v>
      </c>
      <c r="JC67" s="1500"/>
      <c r="JD67" s="1500"/>
      <c r="JE67" s="1500"/>
      <c r="JF67" s="1500"/>
      <c r="JG67" s="1500"/>
      <c r="JH67" s="1500"/>
      <c r="JI67" s="1500"/>
      <c r="JJ67" s="1500"/>
      <c r="JK67" s="1472">
        <v>1000</v>
      </c>
      <c r="JL67" s="1500"/>
      <c r="JM67" s="1500"/>
      <c r="JN67" s="1500"/>
      <c r="JO67" s="1500"/>
      <c r="JP67" s="1500"/>
      <c r="JQ67" s="1477"/>
      <c r="JR67" s="351"/>
      <c r="JS67" s="1400" t="s">
        <v>2940</v>
      </c>
      <c r="JT67" s="1400" t="s">
        <v>2242</v>
      </c>
    </row>
    <row r="68" spans="1:280" x14ac:dyDescent="0.25">
      <c r="A68" s="1367">
        <v>21</v>
      </c>
      <c r="B68" s="1411" t="str">
        <f t="shared" si="19"/>
        <v/>
      </c>
      <c r="C68" s="1435" t="s">
        <v>3138</v>
      </c>
      <c r="D68" s="1436" t="s">
        <v>2942</v>
      </c>
      <c r="E68" s="1452"/>
      <c r="F68" s="1452"/>
      <c r="G68" s="1452"/>
      <c r="H68" s="1452"/>
      <c r="I68" s="1452">
        <v>24700</v>
      </c>
      <c r="J68" s="1452"/>
      <c r="K68" s="1452"/>
      <c r="L68" s="1452"/>
      <c r="M68" s="1452"/>
      <c r="N68" s="1452"/>
      <c r="O68" s="1452"/>
      <c r="P68" s="1452"/>
      <c r="Q68" s="1452">
        <v>25000</v>
      </c>
      <c r="R68" s="1452"/>
      <c r="S68" s="1452">
        <v>25000</v>
      </c>
      <c r="T68" s="1500"/>
      <c r="U68" s="1500"/>
      <c r="V68" s="1500"/>
      <c r="W68" s="1500"/>
      <c r="X68" s="1500"/>
      <c r="Y68" s="1500"/>
      <c r="Z68" s="1500"/>
      <c r="AA68" s="1455"/>
      <c r="AB68" s="1500"/>
      <c r="AC68" s="1452">
        <v>25000</v>
      </c>
      <c r="AD68" s="1452"/>
      <c r="AE68" s="1452"/>
      <c r="AF68" s="1452"/>
      <c r="AG68" s="1452"/>
      <c r="AH68" s="1452"/>
      <c r="AI68" s="1500"/>
      <c r="AJ68" s="1452"/>
      <c r="AK68" s="1500"/>
      <c r="AL68" s="1452"/>
      <c r="AM68" s="1500"/>
      <c r="AN68" s="1500"/>
      <c r="AO68" s="1500"/>
      <c r="AP68" s="1500"/>
      <c r="AQ68" s="1500"/>
      <c r="AR68" s="1500"/>
      <c r="AS68" s="1500"/>
      <c r="AT68" s="1500"/>
      <c r="AU68" s="1500"/>
      <c r="AV68" s="1452">
        <v>23569</v>
      </c>
      <c r="AW68" s="1500"/>
      <c r="AX68" s="1500"/>
      <c r="AY68" s="1500"/>
      <c r="AZ68" s="1500"/>
      <c r="BA68" s="1500"/>
      <c r="BB68" s="1500"/>
      <c r="BC68" s="1500"/>
      <c r="BD68" s="1500"/>
      <c r="BE68" s="1500"/>
      <c r="BF68" s="1500"/>
      <c r="BG68" s="1500"/>
      <c r="BH68" s="1500"/>
      <c r="BI68" s="1500"/>
      <c r="BJ68" s="1454"/>
      <c r="BK68" s="1500"/>
      <c r="BL68" s="1500"/>
      <c r="BM68" s="1500"/>
      <c r="BN68" s="1500"/>
      <c r="BO68" s="1500"/>
      <c r="BP68" s="1515"/>
      <c r="BQ68" s="1500"/>
      <c r="BR68" s="1500"/>
      <c r="BS68" s="1500"/>
      <c r="BT68" s="1500"/>
      <c r="BU68" s="1500"/>
      <c r="BV68" s="1500"/>
      <c r="BW68" s="1500"/>
      <c r="BX68" s="1500"/>
      <c r="BY68" s="1500">
        <v>19000</v>
      </c>
      <c r="BZ68" s="1500"/>
      <c r="CA68" s="1500"/>
      <c r="CB68" s="1500">
        <v>20920</v>
      </c>
      <c r="CC68" s="1500"/>
      <c r="CD68" s="1455">
        <v>7890</v>
      </c>
      <c r="CE68" s="1500"/>
      <c r="CF68" s="1452">
        <v>19144</v>
      </c>
      <c r="CG68" s="1500"/>
      <c r="CH68" s="1452">
        <v>25000</v>
      </c>
      <c r="CI68" s="1500"/>
      <c r="CJ68" s="1500"/>
      <c r="CK68" s="1455"/>
      <c r="CL68" s="1452">
        <v>75512</v>
      </c>
      <c r="CM68" s="1455"/>
      <c r="CN68" s="1455">
        <v>43304</v>
      </c>
      <c r="CO68" s="1455"/>
      <c r="CP68" s="1455">
        <v>27532</v>
      </c>
      <c r="CQ68" s="1500"/>
      <c r="CR68" s="1452">
        <v>75512</v>
      </c>
      <c r="CS68" s="1452">
        <v>75512</v>
      </c>
      <c r="CT68" s="1500"/>
      <c r="CU68" s="1452"/>
      <c r="CV68" s="1452"/>
      <c r="CW68" s="1500"/>
      <c r="CX68" s="1500"/>
      <c r="CY68" s="1500"/>
      <c r="CZ68" s="1500"/>
      <c r="DA68" s="1500"/>
      <c r="DB68" s="1500"/>
      <c r="DC68" s="1500"/>
      <c r="DD68" s="1500"/>
      <c r="DE68" s="1500"/>
      <c r="DF68" s="1500"/>
      <c r="DG68" s="1500"/>
      <c r="DH68" s="1500"/>
      <c r="DI68" s="1500"/>
      <c r="DJ68" s="1452"/>
      <c r="DK68" s="1500"/>
      <c r="DL68" s="1500"/>
      <c r="DM68" s="1500"/>
      <c r="DN68" s="1500"/>
      <c r="DO68" s="1452"/>
      <c r="DP68" s="1500"/>
      <c r="DQ68" s="1500"/>
      <c r="DR68" s="1472">
        <v>89417</v>
      </c>
      <c r="DS68" s="1500"/>
      <c r="DT68" s="1500"/>
      <c r="DU68" s="1500"/>
      <c r="DV68" s="1500"/>
      <c r="DW68" s="1500"/>
      <c r="DX68" s="1500"/>
      <c r="DY68" s="1500"/>
      <c r="DZ68" s="1500"/>
      <c r="EA68" s="1455">
        <v>56254</v>
      </c>
      <c r="EB68" s="1500"/>
      <c r="EC68" s="1500"/>
      <c r="ED68" s="1500"/>
      <c r="EE68" s="1500"/>
      <c r="EF68" s="1452"/>
      <c r="EG68" s="1452">
        <v>2577</v>
      </c>
      <c r="EH68" s="1500"/>
      <c r="EI68" s="131"/>
      <c r="EJ68" s="1500"/>
      <c r="EK68" s="1500"/>
      <c r="EL68" s="1500"/>
      <c r="EM68" s="1452">
        <v>75512</v>
      </c>
      <c r="EN68" s="1500"/>
      <c r="EO68" s="1500"/>
      <c r="EP68" s="1500"/>
      <c r="EQ68" s="1500"/>
      <c r="ER68" s="1500"/>
      <c r="ES68" s="1500"/>
      <c r="ET68" s="1500"/>
      <c r="EU68" s="1500"/>
      <c r="EV68" s="1500"/>
      <c r="EW68" s="1500"/>
      <c r="EX68" s="1500"/>
      <c r="EY68" s="1452">
        <v>75512</v>
      </c>
      <c r="EZ68" s="1500"/>
      <c r="FA68" s="1500"/>
      <c r="FB68" s="1500"/>
      <c r="FC68" s="1500"/>
      <c r="FD68" s="1500"/>
      <c r="FE68" s="1500"/>
      <c r="FF68" s="1452">
        <v>19144</v>
      </c>
      <c r="FG68" s="1500"/>
      <c r="FH68" s="1452"/>
      <c r="FI68" s="1500"/>
      <c r="FJ68" s="1500"/>
      <c r="FK68" s="1500"/>
      <c r="FL68" s="1500"/>
      <c r="FM68" s="1500"/>
      <c r="FN68" s="1500"/>
      <c r="FO68" s="1500"/>
      <c r="FP68" s="1500"/>
      <c r="FQ68" s="1500"/>
      <c r="FR68" s="1500"/>
      <c r="FS68" s="1500"/>
      <c r="FT68" s="1500"/>
      <c r="FU68" s="1500"/>
      <c r="FV68" s="1500"/>
      <c r="FW68" s="1500"/>
      <c r="FX68" s="1500"/>
      <c r="FY68" s="1500"/>
      <c r="FZ68" s="1455"/>
      <c r="GA68" s="1455"/>
      <c r="GB68" s="1455"/>
      <c r="GC68" s="1455"/>
      <c r="GD68" s="1455"/>
      <c r="GE68" s="1500"/>
      <c r="GF68" s="1500"/>
      <c r="GG68" s="1500"/>
      <c r="GH68" s="1500"/>
      <c r="GI68" s="1500"/>
      <c r="GJ68" s="1014"/>
      <c r="GK68" s="1500"/>
      <c r="GL68" s="1500"/>
      <c r="GM68" s="1500"/>
      <c r="GN68" s="1455"/>
      <c r="GO68" s="1455"/>
      <c r="GP68" s="1455"/>
      <c r="GQ68" s="1455"/>
      <c r="GR68" s="1455"/>
      <c r="GS68" s="1455"/>
      <c r="GT68" s="1455"/>
      <c r="GU68" s="1455"/>
      <c r="GV68" s="1500"/>
      <c r="GW68" s="1500"/>
      <c r="GX68" s="1452"/>
      <c r="GY68" s="1500"/>
      <c r="GZ68" s="1500"/>
      <c r="HA68" s="1500"/>
      <c r="HB68" s="1452">
        <v>23569</v>
      </c>
      <c r="HC68" s="1452"/>
      <c r="HD68" s="1500"/>
      <c r="HE68" s="1500"/>
      <c r="HF68" s="1500"/>
      <c r="HG68" s="1500"/>
      <c r="HH68" s="1500"/>
      <c r="HI68" s="1500"/>
      <c r="HJ68" s="1500"/>
      <c r="HK68" s="1500"/>
      <c r="HL68" s="1500"/>
      <c r="HM68" s="1500"/>
      <c r="HN68" s="1500"/>
      <c r="HO68" s="1452">
        <v>25000</v>
      </c>
      <c r="HP68" s="1500"/>
      <c r="HQ68" s="1500"/>
      <c r="HR68" s="1500"/>
      <c r="HS68" s="1500"/>
      <c r="HT68" s="1500"/>
      <c r="HU68" s="1500"/>
      <c r="HV68" s="1500"/>
      <c r="HW68" s="1455"/>
      <c r="HX68" s="1500"/>
      <c r="HY68" s="1500"/>
      <c r="HZ68" s="1500"/>
      <c r="IA68" s="1500"/>
      <c r="IB68" s="1500"/>
      <c r="IC68" s="1500"/>
      <c r="ID68" s="1500"/>
      <c r="IE68" s="1500"/>
      <c r="IF68" s="1500"/>
      <c r="IG68" s="1500"/>
      <c r="IH68" s="1500"/>
      <c r="II68" s="1500"/>
      <c r="IJ68" s="1500"/>
      <c r="IK68" s="1500"/>
      <c r="IL68" s="1472">
        <v>3251</v>
      </c>
      <c r="IM68" s="1500"/>
      <c r="IN68" s="1500"/>
      <c r="IO68" s="1500"/>
      <c r="IP68" s="1500"/>
      <c r="IQ68" s="1500"/>
      <c r="IR68" s="1500"/>
      <c r="IS68" s="1500"/>
      <c r="IT68" s="1500"/>
      <c r="IU68" s="1472">
        <v>211330</v>
      </c>
      <c r="IV68" s="1500"/>
      <c r="IW68" s="1472">
        <v>2289.11</v>
      </c>
      <c r="IX68" s="1472">
        <v>241459</v>
      </c>
      <c r="IY68" s="1452">
        <v>19144</v>
      </c>
      <c r="IZ68" s="1500"/>
      <c r="JA68" s="1452">
        <v>75512</v>
      </c>
      <c r="JB68" s="1500"/>
      <c r="JC68" s="1500"/>
      <c r="JD68" s="1500"/>
      <c r="JE68" s="1500"/>
      <c r="JF68" s="1500"/>
      <c r="JG68" s="1500"/>
      <c r="JH68" s="1500"/>
      <c r="JI68" s="1500"/>
      <c r="JJ68" s="1500"/>
      <c r="JK68" s="1500"/>
      <c r="JL68" s="1500"/>
      <c r="JM68" s="1500"/>
      <c r="JN68" s="1500"/>
      <c r="JO68" s="1500"/>
      <c r="JP68" s="1500"/>
      <c r="JQ68" s="1477"/>
      <c r="JR68" s="351"/>
      <c r="JS68" s="1400" t="s">
        <v>3139</v>
      </c>
      <c r="JT68" s="1400" t="s">
        <v>2882</v>
      </c>
    </row>
    <row r="69" spans="1:280" x14ac:dyDescent="0.25">
      <c r="A69" s="1367">
        <v>22</v>
      </c>
      <c r="B69" s="1411" t="str">
        <f t="shared" si="19"/>
        <v/>
      </c>
      <c r="C69" s="1435" t="s">
        <v>3140</v>
      </c>
      <c r="D69" s="1436" t="s">
        <v>3141</v>
      </c>
      <c r="E69" s="1452"/>
      <c r="F69" s="1452"/>
      <c r="G69" s="1452"/>
      <c r="H69" s="1452"/>
      <c r="I69" s="1452"/>
      <c r="J69" s="1452"/>
      <c r="K69" s="1452"/>
      <c r="L69" s="1452"/>
      <c r="M69" s="1452"/>
      <c r="N69" s="1452"/>
      <c r="O69" s="1452"/>
      <c r="P69" s="1452"/>
      <c r="Q69" s="1452"/>
      <c r="R69" s="1452"/>
      <c r="S69" s="1452"/>
      <c r="T69" s="1500"/>
      <c r="U69" s="1500"/>
      <c r="V69" s="1500"/>
      <c r="W69" s="1500"/>
      <c r="X69" s="1500"/>
      <c r="Y69" s="1500"/>
      <c r="Z69" s="1500"/>
      <c r="AA69" s="1455"/>
      <c r="AB69" s="1500"/>
      <c r="AC69" s="1452"/>
      <c r="AD69" s="1452"/>
      <c r="AE69" s="1452"/>
      <c r="AF69" s="1452"/>
      <c r="AG69" s="1452"/>
      <c r="AH69" s="1452"/>
      <c r="AI69" s="1500"/>
      <c r="AJ69" s="1452"/>
      <c r="AK69" s="1500"/>
      <c r="AL69" s="1452"/>
      <c r="AM69" s="1500"/>
      <c r="AN69" s="1500"/>
      <c r="AO69" s="1500"/>
      <c r="AP69" s="1500"/>
      <c r="AQ69" s="1500"/>
      <c r="AR69" s="1500"/>
      <c r="AS69" s="1500"/>
      <c r="AT69" s="1500"/>
      <c r="AU69" s="1500"/>
      <c r="AV69" s="1452"/>
      <c r="AW69" s="1500"/>
      <c r="AX69" s="1500"/>
      <c r="AY69" s="1500"/>
      <c r="AZ69" s="1500"/>
      <c r="BA69" s="1500"/>
      <c r="BB69" s="1500"/>
      <c r="BC69" s="1500"/>
      <c r="BD69" s="1500"/>
      <c r="BE69" s="1500"/>
      <c r="BF69" s="1500"/>
      <c r="BG69" s="1500"/>
      <c r="BH69" s="1500"/>
      <c r="BI69" s="1500"/>
      <c r="BJ69" s="1454"/>
      <c r="BK69" s="1500"/>
      <c r="BL69" s="1500"/>
      <c r="BM69" s="1500"/>
      <c r="BN69" s="1500"/>
      <c r="BO69" s="1500"/>
      <c r="BP69" s="1511"/>
      <c r="BQ69" s="1500"/>
      <c r="BR69" s="1500"/>
      <c r="BS69" s="1500"/>
      <c r="BT69" s="1500"/>
      <c r="BU69" s="1500"/>
      <c r="BV69" s="1500"/>
      <c r="BW69" s="1500"/>
      <c r="BX69" s="1500"/>
      <c r="BY69" s="1500"/>
      <c r="BZ69" s="1500"/>
      <c r="CA69" s="1500"/>
      <c r="CB69" s="1500"/>
      <c r="CC69" s="1500"/>
      <c r="CD69" s="1455"/>
      <c r="CE69" s="1500"/>
      <c r="CF69" s="1452"/>
      <c r="CG69" s="1500"/>
      <c r="CH69" s="1452"/>
      <c r="CI69" s="1500"/>
      <c r="CJ69" s="1500"/>
      <c r="CK69" s="1455"/>
      <c r="CL69" s="1452"/>
      <c r="CM69" s="1455"/>
      <c r="CN69" s="1455"/>
      <c r="CO69" s="1455"/>
      <c r="CP69" s="1455"/>
      <c r="CQ69" s="1500"/>
      <c r="CR69" s="1452"/>
      <c r="CS69" s="1452"/>
      <c r="CT69" s="1500"/>
      <c r="CU69" s="1452"/>
      <c r="CV69" s="1452"/>
      <c r="CW69" s="1500"/>
      <c r="CX69" s="1500"/>
      <c r="CY69" s="1500"/>
      <c r="CZ69" s="1500"/>
      <c r="DA69" s="1500"/>
      <c r="DB69" s="1500"/>
      <c r="DC69" s="1500"/>
      <c r="DD69" s="1500"/>
      <c r="DE69" s="1500"/>
      <c r="DF69" s="1500"/>
      <c r="DG69" s="1500"/>
      <c r="DH69" s="1500"/>
      <c r="DI69" s="1500"/>
      <c r="DJ69" s="1452"/>
      <c r="DK69" s="1500"/>
      <c r="DL69" s="1500"/>
      <c r="DM69" s="1500"/>
      <c r="DN69" s="1500"/>
      <c r="DO69" s="1452"/>
      <c r="DP69" s="1500"/>
      <c r="DQ69" s="1500"/>
      <c r="DR69" s="1500"/>
      <c r="DS69" s="1500"/>
      <c r="DT69" s="1500"/>
      <c r="DU69" s="1500"/>
      <c r="DV69" s="1500"/>
      <c r="DW69" s="1500"/>
      <c r="DX69" s="1500"/>
      <c r="DY69" s="1500"/>
      <c r="DZ69" s="1500"/>
      <c r="EA69" s="1455"/>
      <c r="EB69" s="1500"/>
      <c r="EC69" s="1500"/>
      <c r="ED69" s="1500"/>
      <c r="EE69" s="1500"/>
      <c r="EF69" s="1452"/>
      <c r="EG69" s="1452"/>
      <c r="EH69" s="1500"/>
      <c r="EI69" s="1452">
        <v>300</v>
      </c>
      <c r="EJ69" s="1500"/>
      <c r="EK69" s="1500"/>
      <c r="EL69" s="1500"/>
      <c r="EM69" s="1452"/>
      <c r="EN69" s="1500"/>
      <c r="EO69" s="1500"/>
      <c r="EP69" s="1500"/>
      <c r="EQ69" s="1500"/>
      <c r="ER69" s="1500"/>
      <c r="ES69" s="1500"/>
      <c r="ET69" s="1500"/>
      <c r="EU69" s="1500"/>
      <c r="EV69" s="1500"/>
      <c r="EW69" s="1500"/>
      <c r="EX69" s="1500"/>
      <c r="EY69" s="1452"/>
      <c r="EZ69" s="1500"/>
      <c r="FA69" s="1500"/>
      <c r="FB69" s="1500"/>
      <c r="FC69" s="1500"/>
      <c r="FD69" s="1500"/>
      <c r="FE69" s="1500"/>
      <c r="FF69" s="1452"/>
      <c r="FG69" s="1500"/>
      <c r="FH69" s="1452"/>
      <c r="FI69" s="1500"/>
      <c r="FJ69" s="1500"/>
      <c r="FK69" s="1500"/>
      <c r="FL69" s="1500"/>
      <c r="FM69" s="1500"/>
      <c r="FN69" s="1500"/>
      <c r="FO69" s="1500"/>
      <c r="FP69" s="1500"/>
      <c r="FQ69" s="1500"/>
      <c r="FR69" s="1500"/>
      <c r="FS69" s="1500"/>
      <c r="FT69" s="1500"/>
      <c r="FU69" s="1500"/>
      <c r="FV69" s="1500"/>
      <c r="FW69" s="1500"/>
      <c r="FX69" s="1500"/>
      <c r="FY69" s="1500"/>
      <c r="FZ69" s="1455"/>
      <c r="GA69" s="1455"/>
      <c r="GB69" s="1455"/>
      <c r="GC69" s="1455"/>
      <c r="GD69" s="1455"/>
      <c r="GE69" s="1500"/>
      <c r="GF69" s="1500"/>
      <c r="GG69" s="1500"/>
      <c r="GH69" s="1500"/>
      <c r="GI69" s="1500"/>
      <c r="GJ69" s="1454">
        <v>300</v>
      </c>
      <c r="GK69" s="1500"/>
      <c r="GL69" s="1500"/>
      <c r="GM69" s="1500"/>
      <c r="GN69" s="1455"/>
      <c r="GO69" s="1455"/>
      <c r="GP69" s="1455"/>
      <c r="GQ69" s="1455"/>
      <c r="GR69" s="1455"/>
      <c r="GS69" s="1455"/>
      <c r="GT69" s="1455"/>
      <c r="GU69" s="1455"/>
      <c r="GV69" s="1500"/>
      <c r="GW69" s="1500"/>
      <c r="GX69" s="1452"/>
      <c r="GY69" s="1500"/>
      <c r="GZ69" s="1500"/>
      <c r="HA69" s="1500"/>
      <c r="HB69" s="1452"/>
      <c r="HC69" s="1452"/>
      <c r="HD69" s="1500"/>
      <c r="HE69" s="1500"/>
      <c r="HF69" s="1500"/>
      <c r="HG69" s="1500"/>
      <c r="HH69" s="1500"/>
      <c r="HI69" s="1500"/>
      <c r="HJ69" s="1500"/>
      <c r="HK69" s="1500"/>
      <c r="HL69" s="1500"/>
      <c r="HM69" s="1500"/>
      <c r="HN69" s="1500"/>
      <c r="HO69" s="1452"/>
      <c r="HP69" s="1500"/>
      <c r="HQ69" s="1500"/>
      <c r="HR69" s="1500"/>
      <c r="HS69" s="1500"/>
      <c r="HT69" s="1500"/>
      <c r="HU69" s="1500"/>
      <c r="HV69" s="1500"/>
      <c r="HW69" s="1455"/>
      <c r="HX69" s="1500"/>
      <c r="HY69" s="1500"/>
      <c r="HZ69" s="1500"/>
      <c r="IA69" s="1500"/>
      <c r="IB69" s="1500"/>
      <c r="IC69" s="1500"/>
      <c r="ID69" s="1500"/>
      <c r="IE69" s="1500"/>
      <c r="IF69" s="1500"/>
      <c r="IG69" s="1500"/>
      <c r="IH69" s="1500"/>
      <c r="II69" s="1500"/>
      <c r="IJ69" s="1500"/>
      <c r="IK69" s="1500"/>
      <c r="IL69" s="1500"/>
      <c r="IM69" s="1500"/>
      <c r="IN69" s="1500"/>
      <c r="IO69" s="1500"/>
      <c r="IP69" s="1500"/>
      <c r="IQ69" s="1500"/>
      <c r="IR69" s="1500"/>
      <c r="IS69" s="1500"/>
      <c r="IT69" s="1500"/>
      <c r="IU69" s="1500"/>
      <c r="IV69" s="1500"/>
      <c r="IW69" s="1500"/>
      <c r="IX69" s="1500"/>
      <c r="IY69" s="1452"/>
      <c r="IZ69" s="1500"/>
      <c r="JA69" s="1452"/>
      <c r="JB69" s="1500"/>
      <c r="JC69" s="1500"/>
      <c r="JD69" s="1500"/>
      <c r="JE69" s="1500"/>
      <c r="JF69" s="1500"/>
      <c r="JG69" s="1500"/>
      <c r="JH69" s="1500"/>
      <c r="JI69" s="1500"/>
      <c r="JJ69" s="1500"/>
      <c r="JK69" s="1500"/>
      <c r="JL69" s="1500"/>
      <c r="JM69" s="1500"/>
      <c r="JN69" s="1500"/>
      <c r="JO69" s="1500"/>
      <c r="JP69" s="1500"/>
      <c r="JQ69" s="1477"/>
      <c r="JR69" s="351"/>
      <c r="JS69" s="1400" t="s">
        <v>3139</v>
      </c>
      <c r="JT69" s="1400" t="s">
        <v>2242</v>
      </c>
    </row>
    <row r="70" spans="1:280" x14ac:dyDescent="0.25">
      <c r="A70" s="1367">
        <v>23</v>
      </c>
      <c r="B70" s="1411" t="str">
        <f t="shared" si="19"/>
        <v/>
      </c>
      <c r="C70" s="1435" t="s">
        <v>3142</v>
      </c>
      <c r="D70" s="1436" t="s">
        <v>2947</v>
      </c>
      <c r="E70" s="1452"/>
      <c r="F70" s="1452"/>
      <c r="G70" s="1452">
        <v>2000</v>
      </c>
      <c r="H70" s="1452"/>
      <c r="I70" s="1452">
        <v>4049</v>
      </c>
      <c r="J70" s="1452"/>
      <c r="K70" s="1452"/>
      <c r="L70" s="1452"/>
      <c r="M70" s="1452"/>
      <c r="N70" s="1452"/>
      <c r="O70" s="1452"/>
      <c r="P70" s="1452"/>
      <c r="Q70" s="1452">
        <v>2000</v>
      </c>
      <c r="R70" s="1452"/>
      <c r="S70" s="1452">
        <v>2000</v>
      </c>
      <c r="T70" s="1500"/>
      <c r="U70" s="1500"/>
      <c r="V70" s="1500"/>
      <c r="W70" s="1500"/>
      <c r="X70" s="1500"/>
      <c r="Y70" s="1500"/>
      <c r="Z70" s="1500"/>
      <c r="AA70" s="1455"/>
      <c r="AB70" s="1500"/>
      <c r="AC70" s="1452">
        <v>2000</v>
      </c>
      <c r="AD70" s="1452"/>
      <c r="AE70" s="1452"/>
      <c r="AF70" s="1452"/>
      <c r="AG70" s="1452"/>
      <c r="AH70" s="1452"/>
      <c r="AI70" s="1500"/>
      <c r="AJ70" s="1452">
        <v>7850</v>
      </c>
      <c r="AK70" s="1500"/>
      <c r="AL70" s="1452"/>
      <c r="AM70" s="1455">
        <v>2570</v>
      </c>
      <c r="AN70" s="1455">
        <v>4532</v>
      </c>
      <c r="AO70" s="1500"/>
      <c r="AP70" s="1500"/>
      <c r="AQ70" s="1500"/>
      <c r="AR70" s="1500"/>
      <c r="AS70" s="1500"/>
      <c r="AT70" s="1500"/>
      <c r="AU70" s="1500"/>
      <c r="AV70" s="1452">
        <v>22000</v>
      </c>
      <c r="AW70" s="1500"/>
      <c r="AX70" s="1500"/>
      <c r="AY70" s="1500"/>
      <c r="AZ70" s="1500"/>
      <c r="BA70" s="1500"/>
      <c r="BB70" s="1500"/>
      <c r="BC70" s="1500"/>
      <c r="BD70" s="1500"/>
      <c r="BE70" s="1500"/>
      <c r="BF70" s="1500"/>
      <c r="BG70" s="1500"/>
      <c r="BH70" s="1500"/>
      <c r="BI70" s="1500"/>
      <c r="BJ70" s="1454"/>
      <c r="BK70" s="1500"/>
      <c r="BL70" s="1500"/>
      <c r="BM70" s="1500"/>
      <c r="BN70" s="1500"/>
      <c r="BO70" s="1500"/>
      <c r="BP70" s="1511"/>
      <c r="BQ70" s="1500"/>
      <c r="BR70" s="1500"/>
      <c r="BS70" s="1500"/>
      <c r="BT70" s="1500"/>
      <c r="BU70" s="1500"/>
      <c r="BV70" s="1500"/>
      <c r="BW70" s="1500"/>
      <c r="BX70" s="1500"/>
      <c r="BY70" s="1500"/>
      <c r="BZ70" s="1500"/>
      <c r="CA70" s="1500"/>
      <c r="CB70" s="1500">
        <v>3780</v>
      </c>
      <c r="CC70" s="1500"/>
      <c r="CD70" s="1455">
        <v>42356</v>
      </c>
      <c r="CE70" s="1500"/>
      <c r="CF70" s="1452">
        <v>3780</v>
      </c>
      <c r="CG70" s="1500"/>
      <c r="CH70" s="1452">
        <v>2000</v>
      </c>
      <c r="CI70" s="1500"/>
      <c r="CJ70" s="1500"/>
      <c r="CK70" s="1455">
        <v>12570</v>
      </c>
      <c r="CL70" s="1452">
        <v>99532</v>
      </c>
      <c r="CM70" s="1455">
        <v>12570</v>
      </c>
      <c r="CN70" s="1455">
        <v>24140</v>
      </c>
      <c r="CO70" s="1455">
        <v>279853</v>
      </c>
      <c r="CP70" s="1455">
        <v>56500</v>
      </c>
      <c r="CQ70" s="1500"/>
      <c r="CR70" s="1452">
        <v>99532</v>
      </c>
      <c r="CS70" s="1452">
        <v>99532</v>
      </c>
      <c r="CT70" s="1500"/>
      <c r="CU70" s="1452">
        <v>10640</v>
      </c>
      <c r="CV70" s="1452">
        <v>10640</v>
      </c>
      <c r="CW70" s="1500"/>
      <c r="CX70" s="1500"/>
      <c r="CY70" s="1500"/>
      <c r="CZ70" s="1500"/>
      <c r="DA70" s="1500"/>
      <c r="DB70" s="1500"/>
      <c r="DC70" s="1500">
        <v>10640</v>
      </c>
      <c r="DD70" s="1500"/>
      <c r="DE70" s="1500"/>
      <c r="DF70" s="1500"/>
      <c r="DG70" s="1500"/>
      <c r="DH70" s="1500"/>
      <c r="DI70" s="1500"/>
      <c r="DJ70" s="1452">
        <v>10640</v>
      </c>
      <c r="DK70" s="1500"/>
      <c r="DL70" s="1500"/>
      <c r="DM70" s="1500"/>
      <c r="DN70" s="1500"/>
      <c r="DO70" s="1452"/>
      <c r="DP70" s="1500"/>
      <c r="DQ70" s="1500"/>
      <c r="DR70" s="1472">
        <v>22459</v>
      </c>
      <c r="DS70" s="1500"/>
      <c r="DT70" s="1500"/>
      <c r="DU70" s="1500"/>
      <c r="DV70" s="1500"/>
      <c r="DW70" s="1500"/>
      <c r="DX70" s="1500"/>
      <c r="DY70" s="1500"/>
      <c r="DZ70" s="1500"/>
      <c r="EA70" s="1455">
        <v>27998</v>
      </c>
      <c r="EB70" s="1500"/>
      <c r="EC70" s="1500"/>
      <c r="ED70" s="1500"/>
      <c r="EE70" s="1500"/>
      <c r="EF70" s="1452">
        <v>15430</v>
      </c>
      <c r="EG70" s="1452">
        <v>25337</v>
      </c>
      <c r="EH70" s="1500"/>
      <c r="EI70" s="1452">
        <v>1500</v>
      </c>
      <c r="EJ70" s="1500"/>
      <c r="EK70" s="1500"/>
      <c r="EL70" s="1500"/>
      <c r="EM70" s="1452">
        <v>99532</v>
      </c>
      <c r="EN70" s="1500"/>
      <c r="EO70" s="1500"/>
      <c r="EP70" s="1500"/>
      <c r="EQ70" s="1500"/>
      <c r="ER70" s="1500"/>
      <c r="ES70" s="1500"/>
      <c r="ET70" s="1500"/>
      <c r="EU70" s="1500"/>
      <c r="EV70" s="1500"/>
      <c r="EW70" s="1500"/>
      <c r="EX70" s="1500"/>
      <c r="EY70" s="1452">
        <v>99532</v>
      </c>
      <c r="EZ70" s="1500"/>
      <c r="FA70" s="1500"/>
      <c r="FB70" s="1500"/>
      <c r="FC70" s="1500"/>
      <c r="FD70" s="1500"/>
      <c r="FE70" s="1500"/>
      <c r="FF70" s="1452">
        <v>3780</v>
      </c>
      <c r="FG70" s="1500"/>
      <c r="FH70" s="1452">
        <v>10640</v>
      </c>
      <c r="FI70" s="1500"/>
      <c r="FJ70" s="1500"/>
      <c r="FK70" s="1500"/>
      <c r="FL70" s="1500"/>
      <c r="FM70" s="1500"/>
      <c r="FN70" s="1500"/>
      <c r="FO70" s="1500"/>
      <c r="FP70" s="1500"/>
      <c r="FQ70" s="1500"/>
      <c r="FR70" s="1500"/>
      <c r="FS70" s="1500"/>
      <c r="FT70" s="1500"/>
      <c r="FU70" s="1500"/>
      <c r="FV70" s="1500"/>
      <c r="FW70" s="1500"/>
      <c r="FX70" s="1500"/>
      <c r="FY70" s="1500"/>
      <c r="FZ70" s="1455"/>
      <c r="GA70" s="1455"/>
      <c r="GB70" s="1455"/>
      <c r="GC70" s="1455"/>
      <c r="GD70" s="1455">
        <v>35890</v>
      </c>
      <c r="GE70" s="1500"/>
      <c r="GF70" s="1500"/>
      <c r="GG70" s="1500"/>
      <c r="GH70" s="1500"/>
      <c r="GI70" s="1500"/>
      <c r="GJ70" s="1454">
        <v>1500</v>
      </c>
      <c r="GK70" s="1500"/>
      <c r="GL70" s="1500"/>
      <c r="GM70" s="1500"/>
      <c r="GN70" s="1455"/>
      <c r="GO70" s="1455"/>
      <c r="GP70" s="1455"/>
      <c r="GQ70" s="1455"/>
      <c r="GR70" s="1455"/>
      <c r="GS70" s="1455"/>
      <c r="GT70" s="1455"/>
      <c r="GU70" s="1455">
        <v>14680</v>
      </c>
      <c r="GV70" s="1500"/>
      <c r="GW70" s="1500"/>
      <c r="GX70" s="1452">
        <v>28750</v>
      </c>
      <c r="GY70" s="1500"/>
      <c r="GZ70" s="1500"/>
      <c r="HA70" s="1500"/>
      <c r="HB70" s="1452">
        <v>22000</v>
      </c>
      <c r="HC70" s="1452">
        <v>10640</v>
      </c>
      <c r="HD70" s="1500"/>
      <c r="HE70" s="1500"/>
      <c r="HF70" s="1500"/>
      <c r="HG70" s="1500"/>
      <c r="HH70" s="1500"/>
      <c r="HI70" s="1500"/>
      <c r="HJ70" s="1500"/>
      <c r="HK70" s="1500"/>
      <c r="HL70" s="1500"/>
      <c r="HM70" s="1500"/>
      <c r="HN70" s="1500"/>
      <c r="HO70" s="1452">
        <v>2000</v>
      </c>
      <c r="HP70" s="1500"/>
      <c r="HQ70" s="1500"/>
      <c r="HR70" s="1500"/>
      <c r="HS70" s="1500"/>
      <c r="HT70" s="1500"/>
      <c r="HU70" s="1500"/>
      <c r="HV70" s="1500"/>
      <c r="HW70" s="1455">
        <v>13265</v>
      </c>
      <c r="HX70" s="1500"/>
      <c r="HY70" s="1500"/>
      <c r="HZ70" s="1500"/>
      <c r="IA70" s="1500"/>
      <c r="IB70" s="1500"/>
      <c r="IC70" s="1500"/>
      <c r="ID70" s="1500"/>
      <c r="IE70" s="1500"/>
      <c r="IF70" s="1500"/>
      <c r="IG70" s="1500"/>
      <c r="IH70" s="1500"/>
      <c r="II70" s="1500"/>
      <c r="IJ70" s="1500"/>
      <c r="IK70" s="1500"/>
      <c r="IL70" s="1472">
        <v>29500</v>
      </c>
      <c r="IM70" s="1500"/>
      <c r="IN70" s="1500"/>
      <c r="IO70" s="1500"/>
      <c r="IP70" s="1500"/>
      <c r="IQ70" s="1500"/>
      <c r="IR70" s="1500"/>
      <c r="IS70" s="1500"/>
      <c r="IT70" s="1500"/>
      <c r="IU70" s="1472">
        <v>31602</v>
      </c>
      <c r="IV70" s="1500"/>
      <c r="IW70" s="1472">
        <v>2709.32</v>
      </c>
      <c r="IX70" s="1472">
        <v>19799</v>
      </c>
      <c r="IY70" s="1452">
        <v>3780</v>
      </c>
      <c r="IZ70" s="1500"/>
      <c r="JA70" s="1452">
        <v>99532</v>
      </c>
      <c r="JB70" s="1500"/>
      <c r="JC70" s="1500"/>
      <c r="JD70" s="1500"/>
      <c r="JE70" s="1500"/>
      <c r="JF70" s="1500"/>
      <c r="JG70" s="1500"/>
      <c r="JH70" s="1500"/>
      <c r="JI70" s="1500"/>
      <c r="JJ70" s="1500"/>
      <c r="JK70" s="1500"/>
      <c r="JL70" s="1500"/>
      <c r="JM70" s="1500"/>
      <c r="JN70" s="1500"/>
      <c r="JO70" s="1500"/>
      <c r="JP70" s="1500"/>
      <c r="JQ70" s="1477"/>
      <c r="JR70" s="351"/>
      <c r="JS70" s="1400" t="s">
        <v>3139</v>
      </c>
      <c r="JT70" s="1400" t="s">
        <v>2242</v>
      </c>
    </row>
    <row r="71" spans="1:280" x14ac:dyDescent="0.25">
      <c r="A71" s="1367">
        <v>24</v>
      </c>
      <c r="B71" s="1411" t="str">
        <f t="shared" si="19"/>
        <v/>
      </c>
      <c r="C71" s="1435" t="s">
        <v>3143</v>
      </c>
      <c r="D71" s="1436" t="s">
        <v>2945</v>
      </c>
      <c r="E71" s="1452"/>
      <c r="F71" s="1452"/>
      <c r="G71" s="1452"/>
      <c r="H71" s="1452"/>
      <c r="I71" s="1452">
        <v>11800</v>
      </c>
      <c r="J71" s="1452"/>
      <c r="K71" s="1452"/>
      <c r="L71" s="1452"/>
      <c r="M71" s="1452"/>
      <c r="N71" s="1452"/>
      <c r="O71" s="1452"/>
      <c r="P71" s="1452"/>
      <c r="Q71" s="1452">
        <v>12000</v>
      </c>
      <c r="R71" s="1452"/>
      <c r="S71" s="1452">
        <v>12000</v>
      </c>
      <c r="T71" s="1500"/>
      <c r="U71" s="1500"/>
      <c r="V71" s="1500"/>
      <c r="W71" s="1500"/>
      <c r="X71" s="1500"/>
      <c r="Y71" s="1500"/>
      <c r="Z71" s="1500"/>
      <c r="AA71" s="1455">
        <v>750</v>
      </c>
      <c r="AB71" s="1500"/>
      <c r="AC71" s="1452">
        <v>12000</v>
      </c>
      <c r="AD71" s="1452"/>
      <c r="AE71" s="1452"/>
      <c r="AF71" s="1452"/>
      <c r="AG71" s="1452"/>
      <c r="AH71" s="1452"/>
      <c r="AI71" s="1500"/>
      <c r="AJ71" s="1452"/>
      <c r="AK71" s="1500"/>
      <c r="AL71" s="1452"/>
      <c r="AM71" s="1500"/>
      <c r="AN71" s="1455"/>
      <c r="AO71" s="1500"/>
      <c r="AP71" s="1455">
        <v>4526</v>
      </c>
      <c r="AQ71" s="1500"/>
      <c r="AR71" s="1500"/>
      <c r="AS71" s="1500"/>
      <c r="AT71" s="1500"/>
      <c r="AU71" s="1500"/>
      <c r="AV71" s="1452">
        <v>16200</v>
      </c>
      <c r="AW71" s="1500"/>
      <c r="AX71" s="1500"/>
      <c r="AY71" s="1500"/>
      <c r="AZ71" s="1500"/>
      <c r="BA71" s="1500"/>
      <c r="BB71" s="1500"/>
      <c r="BC71" s="1500"/>
      <c r="BD71" s="1500"/>
      <c r="BE71" s="1500"/>
      <c r="BF71" s="1500"/>
      <c r="BG71" s="1500"/>
      <c r="BH71" s="1500"/>
      <c r="BI71" s="1500"/>
      <c r="BJ71" s="1454"/>
      <c r="BK71" s="1500"/>
      <c r="BL71" s="1500"/>
      <c r="BM71" s="1500"/>
      <c r="BN71" s="1500"/>
      <c r="BO71" s="1500"/>
      <c r="BP71" s="1511"/>
      <c r="BQ71" s="1500"/>
      <c r="BR71" s="1500"/>
      <c r="BS71" s="1500"/>
      <c r="BT71" s="1500"/>
      <c r="BU71" s="1500"/>
      <c r="BV71" s="1500"/>
      <c r="BW71" s="1500"/>
      <c r="BX71" s="1500"/>
      <c r="BY71" s="1500"/>
      <c r="BZ71" s="1500"/>
      <c r="CA71" s="1500"/>
      <c r="CB71" s="1500"/>
      <c r="CC71" s="1500"/>
      <c r="CD71" s="1455">
        <v>15735</v>
      </c>
      <c r="CE71" s="1500"/>
      <c r="CF71" s="1452"/>
      <c r="CG71" s="1500"/>
      <c r="CH71" s="1452">
        <v>12000</v>
      </c>
      <c r="CI71" s="1500"/>
      <c r="CJ71" s="1500"/>
      <c r="CK71" s="1455"/>
      <c r="CL71" s="1452">
        <v>3747</v>
      </c>
      <c r="CM71" s="1455"/>
      <c r="CN71" s="1455">
        <v>2508</v>
      </c>
      <c r="CO71" s="1455"/>
      <c r="CP71" s="1455">
        <v>6342</v>
      </c>
      <c r="CQ71" s="1500"/>
      <c r="CR71" s="1452">
        <v>3747</v>
      </c>
      <c r="CS71" s="1452">
        <v>3747</v>
      </c>
      <c r="CT71" s="1500"/>
      <c r="CU71" s="1452">
        <v>2421</v>
      </c>
      <c r="CV71" s="1452">
        <v>2421</v>
      </c>
      <c r="CW71" s="1500"/>
      <c r="CX71" s="1500"/>
      <c r="CY71" s="1500"/>
      <c r="CZ71" s="1500"/>
      <c r="DA71" s="1500"/>
      <c r="DB71" s="1500"/>
      <c r="DC71" s="1500">
        <v>2421</v>
      </c>
      <c r="DD71" s="1500"/>
      <c r="DE71" s="1500"/>
      <c r="DF71" s="1500"/>
      <c r="DG71" s="1500"/>
      <c r="DH71" s="1500"/>
      <c r="DI71" s="1500"/>
      <c r="DJ71" s="1452">
        <v>2421</v>
      </c>
      <c r="DK71" s="1500"/>
      <c r="DL71" s="1500"/>
      <c r="DM71" s="1500"/>
      <c r="DN71" s="1500"/>
      <c r="DO71" s="1452"/>
      <c r="DP71" s="1500"/>
      <c r="DQ71" s="1500"/>
      <c r="DR71" s="1500"/>
      <c r="DS71" s="1500"/>
      <c r="DT71" s="1500"/>
      <c r="DU71" s="1500"/>
      <c r="DV71" s="1500"/>
      <c r="DW71" s="1500"/>
      <c r="DX71" s="1500"/>
      <c r="DY71" s="1500"/>
      <c r="DZ71" s="1500"/>
      <c r="EA71" s="1455">
        <v>4557</v>
      </c>
      <c r="EB71" s="1500"/>
      <c r="EC71" s="1500"/>
      <c r="ED71" s="1500"/>
      <c r="EE71" s="1500"/>
      <c r="EF71" s="1452">
        <v>12688</v>
      </c>
      <c r="EG71" s="1452">
        <v>11799</v>
      </c>
      <c r="EH71" s="1500"/>
      <c r="EI71" s="1452">
        <v>3678</v>
      </c>
      <c r="EJ71" s="1500"/>
      <c r="EK71" s="1500"/>
      <c r="EL71" s="1500"/>
      <c r="EM71" s="1452">
        <v>3747</v>
      </c>
      <c r="EN71" s="1500"/>
      <c r="EO71" s="1500"/>
      <c r="EP71" s="1500"/>
      <c r="EQ71" s="1500"/>
      <c r="ER71" s="1500"/>
      <c r="ES71" s="1500"/>
      <c r="ET71" s="1472">
        <v>397</v>
      </c>
      <c r="EU71" s="1500"/>
      <c r="EV71" s="1500"/>
      <c r="EW71" s="1500"/>
      <c r="EX71" s="1500"/>
      <c r="EY71" s="1452">
        <v>3747</v>
      </c>
      <c r="EZ71" s="1500"/>
      <c r="FA71" s="1500"/>
      <c r="FB71" s="1500"/>
      <c r="FC71" s="1500"/>
      <c r="FD71" s="1500"/>
      <c r="FE71" s="1500"/>
      <c r="FF71" s="1452"/>
      <c r="FG71" s="1500"/>
      <c r="FH71" s="1452">
        <v>2421</v>
      </c>
      <c r="FI71" s="1500"/>
      <c r="FJ71" s="1472">
        <v>480</v>
      </c>
      <c r="FK71" s="1500"/>
      <c r="FL71" s="1500"/>
      <c r="FM71" s="1500"/>
      <c r="FN71" s="1500"/>
      <c r="FO71" s="1500"/>
      <c r="FP71" s="1500"/>
      <c r="FQ71" s="1500"/>
      <c r="FR71" s="1500"/>
      <c r="FS71" s="1500"/>
      <c r="FT71" s="1500"/>
      <c r="FU71" s="1500"/>
      <c r="FV71" s="1500"/>
      <c r="FW71" s="1500"/>
      <c r="FX71" s="1500"/>
      <c r="FY71" s="1500"/>
      <c r="FZ71" s="1455"/>
      <c r="GA71" s="1455"/>
      <c r="GB71" s="1455"/>
      <c r="GC71" s="1455"/>
      <c r="GD71" s="1455"/>
      <c r="GE71" s="1500"/>
      <c r="GF71" s="1500"/>
      <c r="GG71" s="1500"/>
      <c r="GH71" s="1500"/>
      <c r="GI71" s="1500"/>
      <c r="GJ71" s="1454">
        <v>3678</v>
      </c>
      <c r="GK71" s="1500"/>
      <c r="GL71" s="1500"/>
      <c r="GM71" s="1500"/>
      <c r="GN71" s="1455"/>
      <c r="GO71" s="1455"/>
      <c r="GP71" s="1455"/>
      <c r="GQ71" s="1455"/>
      <c r="GR71" s="1455"/>
      <c r="GS71" s="1455"/>
      <c r="GT71" s="1455"/>
      <c r="GU71" s="1455"/>
      <c r="GV71" s="1500"/>
      <c r="GW71" s="1500"/>
      <c r="GX71" s="1452">
        <v>17900</v>
      </c>
      <c r="GY71" s="1500"/>
      <c r="GZ71" s="1500"/>
      <c r="HA71" s="1500"/>
      <c r="HB71" s="1452">
        <v>16200</v>
      </c>
      <c r="HC71" s="1452">
        <v>2421</v>
      </c>
      <c r="HD71" s="1500"/>
      <c r="HE71" s="1500"/>
      <c r="HF71" s="1500"/>
      <c r="HG71" s="1500"/>
      <c r="HH71" s="1500"/>
      <c r="HI71" s="1500"/>
      <c r="HJ71" s="1500"/>
      <c r="HK71" s="1500"/>
      <c r="HL71" s="1500"/>
      <c r="HM71" s="1500"/>
      <c r="HN71" s="1500"/>
      <c r="HO71" s="1452">
        <v>12000</v>
      </c>
      <c r="HP71" s="1500"/>
      <c r="HQ71" s="1500"/>
      <c r="HR71" s="1500"/>
      <c r="HS71" s="1500"/>
      <c r="HT71" s="1500"/>
      <c r="HU71" s="1500"/>
      <c r="HV71" s="1500"/>
      <c r="HW71" s="1455"/>
      <c r="HX71" s="1500"/>
      <c r="HY71" s="1500"/>
      <c r="HZ71" s="1500"/>
      <c r="IA71" s="1500"/>
      <c r="IB71" s="1500"/>
      <c r="IC71" s="1500"/>
      <c r="ID71" s="1500"/>
      <c r="IE71" s="1500"/>
      <c r="IF71" s="1500"/>
      <c r="IG71" s="1500"/>
      <c r="IH71" s="1500"/>
      <c r="II71" s="1500"/>
      <c r="IJ71" s="1500"/>
      <c r="IK71" s="1500"/>
      <c r="IL71" s="1500"/>
      <c r="IM71" s="1500"/>
      <c r="IN71" s="1500"/>
      <c r="IO71" s="1500"/>
      <c r="IP71" s="1500"/>
      <c r="IQ71" s="1500"/>
      <c r="IR71" s="1500"/>
      <c r="IS71" s="1500"/>
      <c r="IT71" s="1500"/>
      <c r="IU71" s="1472">
        <v>3850</v>
      </c>
      <c r="IV71" s="1500"/>
      <c r="IW71" s="1500"/>
      <c r="IX71" s="1472">
        <v>47532</v>
      </c>
      <c r="IY71" s="1452"/>
      <c r="IZ71" s="1500"/>
      <c r="JA71" s="1452">
        <v>3747</v>
      </c>
      <c r="JB71" s="1500"/>
      <c r="JC71" s="1500"/>
      <c r="JD71" s="1500"/>
      <c r="JE71" s="1500"/>
      <c r="JF71" s="1500"/>
      <c r="JG71" s="1500"/>
      <c r="JH71" s="1500"/>
      <c r="JI71" s="1500"/>
      <c r="JJ71" s="1500"/>
      <c r="JK71" s="1500"/>
      <c r="JL71" s="1500"/>
      <c r="JM71" s="1500"/>
      <c r="JN71" s="1500"/>
      <c r="JO71" s="1500"/>
      <c r="JP71" s="1500"/>
      <c r="JQ71" s="1477"/>
      <c r="JR71" s="351"/>
      <c r="JS71" s="1400" t="s">
        <v>3139</v>
      </c>
      <c r="JT71" s="1400" t="s">
        <v>2242</v>
      </c>
    </row>
    <row r="72" spans="1:280" x14ac:dyDescent="0.25">
      <c r="A72" s="1367">
        <v>25</v>
      </c>
      <c r="B72" s="1411" t="str">
        <f t="shared" si="19"/>
        <v/>
      </c>
      <c r="C72" s="1435" t="s">
        <v>3144</v>
      </c>
      <c r="D72" s="1436" t="s">
        <v>2949</v>
      </c>
      <c r="E72" s="1452"/>
      <c r="F72" s="1452"/>
      <c r="G72" s="1452"/>
      <c r="H72" s="1452"/>
      <c r="I72" s="1452">
        <v>10600</v>
      </c>
      <c r="J72" s="1452"/>
      <c r="K72" s="1452"/>
      <c r="L72" s="1452"/>
      <c r="M72" s="1452"/>
      <c r="N72" s="1452"/>
      <c r="O72" s="1452"/>
      <c r="P72" s="1452"/>
      <c r="Q72" s="1452">
        <v>10800</v>
      </c>
      <c r="R72" s="1452"/>
      <c r="S72" s="1452">
        <v>10800</v>
      </c>
      <c r="T72" s="1500"/>
      <c r="U72" s="1500"/>
      <c r="V72" s="1500"/>
      <c r="W72" s="1500"/>
      <c r="X72" s="1500"/>
      <c r="Y72" s="1500"/>
      <c r="Z72" s="1500"/>
      <c r="AA72" s="1455"/>
      <c r="AB72" s="1500"/>
      <c r="AC72" s="1452">
        <v>10800</v>
      </c>
      <c r="AD72" s="1452"/>
      <c r="AE72" s="1452"/>
      <c r="AF72" s="1452"/>
      <c r="AG72" s="1452"/>
      <c r="AH72" s="1452"/>
      <c r="AI72" s="1500"/>
      <c r="AJ72" s="1452"/>
      <c r="AK72" s="1500"/>
      <c r="AL72" s="1452"/>
      <c r="AM72" s="1500"/>
      <c r="AN72" s="1455">
        <v>3267</v>
      </c>
      <c r="AO72" s="1500"/>
      <c r="AP72" s="1500"/>
      <c r="AQ72" s="1500"/>
      <c r="AR72" s="1500"/>
      <c r="AS72" s="1500"/>
      <c r="AT72" s="1500"/>
      <c r="AU72" s="1500"/>
      <c r="AV72" s="1452">
        <v>15600</v>
      </c>
      <c r="AW72" s="1500"/>
      <c r="AX72" s="1500"/>
      <c r="AY72" s="1500"/>
      <c r="AZ72" s="1500"/>
      <c r="BA72" s="1500"/>
      <c r="BB72" s="1500"/>
      <c r="BC72" s="1500"/>
      <c r="BD72" s="1500"/>
      <c r="BE72" s="1500"/>
      <c r="BF72" s="1500"/>
      <c r="BG72" s="1500"/>
      <c r="BH72" s="1500"/>
      <c r="BI72" s="1500"/>
      <c r="BJ72" s="1454"/>
      <c r="BK72" s="1500"/>
      <c r="BL72" s="1500"/>
      <c r="BM72" s="1500"/>
      <c r="BN72" s="1500"/>
      <c r="BO72" s="1500"/>
      <c r="BP72" s="1512"/>
      <c r="BQ72" s="1500"/>
      <c r="BR72" s="1500"/>
      <c r="BS72" s="1500"/>
      <c r="BT72" s="1500"/>
      <c r="BU72" s="1500"/>
      <c r="BV72" s="1500"/>
      <c r="BW72" s="1500"/>
      <c r="BX72" s="1500"/>
      <c r="BY72" s="1500"/>
      <c r="BZ72" s="1500"/>
      <c r="CA72" s="1500"/>
      <c r="CB72" s="1500"/>
      <c r="CC72" s="1500"/>
      <c r="CD72" s="1455"/>
      <c r="CE72" s="1500"/>
      <c r="CF72" s="1452"/>
      <c r="CG72" s="1500"/>
      <c r="CH72" s="1452">
        <v>10800</v>
      </c>
      <c r="CI72" s="1500"/>
      <c r="CJ72" s="1500"/>
      <c r="CK72" s="1455">
        <v>8600</v>
      </c>
      <c r="CL72" s="1452">
        <v>16128</v>
      </c>
      <c r="CM72" s="1455">
        <v>5400</v>
      </c>
      <c r="CN72" s="1455">
        <v>4300</v>
      </c>
      <c r="CO72" s="1455">
        <v>25672</v>
      </c>
      <c r="CP72" s="1455">
        <v>31769</v>
      </c>
      <c r="CQ72" s="1500"/>
      <c r="CR72" s="1452">
        <v>16128</v>
      </c>
      <c r="CS72" s="1452">
        <v>16128</v>
      </c>
      <c r="CT72" s="1500"/>
      <c r="CU72" s="1452">
        <v>25623</v>
      </c>
      <c r="CV72" s="1452">
        <v>25623</v>
      </c>
      <c r="CW72" s="1500"/>
      <c r="CX72" s="1500"/>
      <c r="CY72" s="1500"/>
      <c r="CZ72" s="1500"/>
      <c r="DA72" s="1500"/>
      <c r="DB72" s="1500"/>
      <c r="DC72" s="1500">
        <v>25623</v>
      </c>
      <c r="DD72" s="1500"/>
      <c r="DE72" s="1500"/>
      <c r="DF72" s="1500"/>
      <c r="DG72" s="1500"/>
      <c r="DH72" s="1500"/>
      <c r="DI72" s="1500"/>
      <c r="DJ72" s="1452">
        <v>25623</v>
      </c>
      <c r="DK72" s="1500"/>
      <c r="DL72" s="1500"/>
      <c r="DM72" s="1500"/>
      <c r="DN72" s="1500"/>
      <c r="DO72" s="1452"/>
      <c r="DP72" s="1500"/>
      <c r="DQ72" s="1500"/>
      <c r="DR72" s="1472">
        <v>28631</v>
      </c>
      <c r="DS72" s="1500"/>
      <c r="DT72" s="1500"/>
      <c r="DU72" s="1500"/>
      <c r="DV72" s="1500"/>
      <c r="DW72" s="1500"/>
      <c r="DX72" s="1500"/>
      <c r="DY72" s="1500"/>
      <c r="DZ72" s="1500"/>
      <c r="EA72" s="1455">
        <v>6253</v>
      </c>
      <c r="EB72" s="1500"/>
      <c r="EC72" s="1500"/>
      <c r="ED72" s="1500"/>
      <c r="EE72" s="1500"/>
      <c r="EF72" s="1452">
        <v>13211</v>
      </c>
      <c r="EG72" s="1452">
        <v>13980</v>
      </c>
      <c r="EH72" s="1500"/>
      <c r="EI72" s="1452">
        <v>1252</v>
      </c>
      <c r="EJ72" s="1500"/>
      <c r="EK72" s="1500"/>
      <c r="EL72" s="1500"/>
      <c r="EM72" s="1452">
        <v>16128</v>
      </c>
      <c r="EN72" s="1500"/>
      <c r="EO72" s="1500"/>
      <c r="EP72" s="1500"/>
      <c r="EQ72" s="1500"/>
      <c r="ER72" s="1500"/>
      <c r="ES72" s="1500"/>
      <c r="ET72" s="1472">
        <v>3816</v>
      </c>
      <c r="EU72" s="1500"/>
      <c r="EV72" s="1500"/>
      <c r="EW72" s="1500"/>
      <c r="EX72" s="1500"/>
      <c r="EY72" s="1452">
        <v>16128</v>
      </c>
      <c r="EZ72" s="1500"/>
      <c r="FA72" s="1500"/>
      <c r="FB72" s="1500"/>
      <c r="FC72" s="1500"/>
      <c r="FD72" s="1500"/>
      <c r="FE72" s="1500"/>
      <c r="FF72" s="1452"/>
      <c r="FG72" s="1500"/>
      <c r="FH72" s="1452">
        <v>25623</v>
      </c>
      <c r="FI72" s="1500"/>
      <c r="FJ72" s="1472">
        <v>312</v>
      </c>
      <c r="FK72" s="1500"/>
      <c r="FL72" s="1500"/>
      <c r="FM72" s="1500"/>
      <c r="FN72" s="1500"/>
      <c r="FO72" s="1500"/>
      <c r="FP72" s="1500"/>
      <c r="FQ72" s="1500"/>
      <c r="FR72" s="1500"/>
      <c r="FS72" s="1500"/>
      <c r="FT72" s="1500"/>
      <c r="FU72" s="1500"/>
      <c r="FV72" s="1500"/>
      <c r="FW72" s="1500"/>
      <c r="FX72" s="1500"/>
      <c r="FY72" s="1500"/>
      <c r="FZ72" s="1455"/>
      <c r="GA72" s="1455"/>
      <c r="GB72" s="1455"/>
      <c r="GC72" s="1455"/>
      <c r="GD72" s="1455">
        <v>28500</v>
      </c>
      <c r="GE72" s="1500"/>
      <c r="GF72" s="1500"/>
      <c r="GG72" s="1500"/>
      <c r="GH72" s="1500"/>
      <c r="GI72" s="1500"/>
      <c r="GJ72" s="1454">
        <v>1252</v>
      </c>
      <c r="GK72" s="1500"/>
      <c r="GL72" s="1500"/>
      <c r="GM72" s="1500"/>
      <c r="GN72" s="1455">
        <v>25000</v>
      </c>
      <c r="GO72" s="1455"/>
      <c r="GP72" s="1455"/>
      <c r="GQ72" s="1455"/>
      <c r="GR72" s="1455"/>
      <c r="GS72" s="1455"/>
      <c r="GT72" s="1455"/>
      <c r="GU72" s="1455">
        <v>8750</v>
      </c>
      <c r="GV72" s="1500"/>
      <c r="GW72" s="1500"/>
      <c r="GX72" s="1452">
        <v>11876</v>
      </c>
      <c r="GY72" s="1500"/>
      <c r="GZ72" s="1500"/>
      <c r="HA72" s="1500"/>
      <c r="HB72" s="1452">
        <v>15600</v>
      </c>
      <c r="HC72" s="1452">
        <v>25623</v>
      </c>
      <c r="HD72" s="1500"/>
      <c r="HE72" s="1500"/>
      <c r="HF72" s="1500"/>
      <c r="HG72" s="1500"/>
      <c r="HH72" s="1500"/>
      <c r="HI72" s="1500"/>
      <c r="HJ72" s="1500"/>
      <c r="HK72" s="1500"/>
      <c r="HL72" s="1500"/>
      <c r="HM72" s="1500"/>
      <c r="HN72" s="1500"/>
      <c r="HO72" s="1452">
        <v>10800</v>
      </c>
      <c r="HP72" s="1500"/>
      <c r="HQ72" s="1500"/>
      <c r="HR72" s="1500"/>
      <c r="HS72" s="1500"/>
      <c r="HT72" s="1500"/>
      <c r="HU72" s="1500"/>
      <c r="HV72" s="1500"/>
      <c r="HW72" s="1455">
        <v>25400</v>
      </c>
      <c r="HX72" s="1500"/>
      <c r="HY72" s="1500"/>
      <c r="HZ72" s="1500"/>
      <c r="IA72" s="1500"/>
      <c r="IB72" s="1500"/>
      <c r="IC72" s="1500"/>
      <c r="ID72" s="1500"/>
      <c r="IE72" s="1500"/>
      <c r="IF72" s="1500"/>
      <c r="IG72" s="1500"/>
      <c r="IH72" s="1500"/>
      <c r="II72" s="1500"/>
      <c r="IJ72" s="1500"/>
      <c r="IK72" s="1500"/>
      <c r="IL72" s="1472">
        <v>19800</v>
      </c>
      <c r="IM72" s="1500"/>
      <c r="IN72" s="1500"/>
      <c r="IO72" s="1500"/>
      <c r="IP72" s="1500"/>
      <c r="IQ72" s="1500"/>
      <c r="IR72" s="1500"/>
      <c r="IS72" s="1500"/>
      <c r="IT72" s="1500"/>
      <c r="IU72" s="1472">
        <v>27400</v>
      </c>
      <c r="IV72" s="1500"/>
      <c r="IW72" s="1500"/>
      <c r="IX72" s="1472">
        <v>43443</v>
      </c>
      <c r="IY72" s="1452"/>
      <c r="IZ72" s="1500"/>
      <c r="JA72" s="1452">
        <v>16128</v>
      </c>
      <c r="JB72" s="1500"/>
      <c r="JC72" s="1500"/>
      <c r="JD72" s="1500"/>
      <c r="JE72" s="1500"/>
      <c r="JF72" s="1500"/>
      <c r="JG72" s="1500"/>
      <c r="JH72" s="1500"/>
      <c r="JI72" s="1500"/>
      <c r="JJ72" s="1500"/>
      <c r="JK72" s="1500"/>
      <c r="JL72" s="1500"/>
      <c r="JM72" s="1500"/>
      <c r="JN72" s="1500"/>
      <c r="JO72" s="1500"/>
      <c r="JP72" s="1500"/>
      <c r="JQ72" s="1477"/>
      <c r="JR72" s="351"/>
      <c r="JS72" s="1400" t="s">
        <v>3139</v>
      </c>
      <c r="JT72" s="1400" t="s">
        <v>2882</v>
      </c>
    </row>
    <row r="73" spans="1:280" x14ac:dyDescent="0.25">
      <c r="A73" s="1367">
        <v>26</v>
      </c>
      <c r="B73" s="1411" t="str">
        <f t="shared" si="19"/>
        <v/>
      </c>
      <c r="C73" s="1435" t="s">
        <v>3145</v>
      </c>
      <c r="D73" s="1436" t="s">
        <v>2951</v>
      </c>
      <c r="E73" s="1452"/>
      <c r="F73" s="1452"/>
      <c r="G73" s="1452"/>
      <c r="H73" s="1452"/>
      <c r="I73" s="1452"/>
      <c r="J73" s="1452"/>
      <c r="K73" s="1452"/>
      <c r="L73" s="1452"/>
      <c r="M73" s="1452"/>
      <c r="N73" s="1452"/>
      <c r="O73" s="1452"/>
      <c r="P73" s="1452"/>
      <c r="Q73" s="1452"/>
      <c r="R73" s="1452"/>
      <c r="S73" s="1452"/>
      <c r="T73" s="1500"/>
      <c r="U73" s="1500"/>
      <c r="V73" s="1500"/>
      <c r="W73" s="1500"/>
      <c r="X73" s="1500"/>
      <c r="Y73" s="1500"/>
      <c r="Z73" s="1500"/>
      <c r="AA73" s="1455">
        <v>816</v>
      </c>
      <c r="AB73" s="1500"/>
      <c r="AC73" s="1452"/>
      <c r="AD73" s="1452"/>
      <c r="AE73" s="1452"/>
      <c r="AF73" s="1452"/>
      <c r="AG73" s="1452"/>
      <c r="AH73" s="1452"/>
      <c r="AI73" s="1500"/>
      <c r="AJ73" s="1452">
        <v>4203</v>
      </c>
      <c r="AK73" s="1500"/>
      <c r="AL73" s="1452"/>
      <c r="AM73" s="1500"/>
      <c r="AN73" s="1455"/>
      <c r="AO73" s="1500"/>
      <c r="AP73" s="1455"/>
      <c r="AQ73" s="1500"/>
      <c r="AR73" s="1500"/>
      <c r="AS73" s="1500"/>
      <c r="AT73" s="1500"/>
      <c r="AU73" s="1500"/>
      <c r="AV73" s="1452"/>
      <c r="AW73" s="1500"/>
      <c r="AX73" s="1500"/>
      <c r="AY73" s="1500"/>
      <c r="AZ73" s="1500"/>
      <c r="BA73" s="1500"/>
      <c r="BB73" s="1500"/>
      <c r="BC73" s="1500"/>
      <c r="BD73" s="1500"/>
      <c r="BE73" s="1500"/>
      <c r="BF73" s="1500"/>
      <c r="BG73" s="1500"/>
      <c r="BH73" s="1500"/>
      <c r="BI73" s="1500"/>
      <c r="BJ73" s="1452"/>
      <c r="BK73" s="1500"/>
      <c r="BL73" s="1500"/>
      <c r="BM73" s="1500"/>
      <c r="BN73" s="1500"/>
      <c r="BO73" s="1500"/>
      <c r="BP73" s="1512"/>
      <c r="BQ73" s="1500"/>
      <c r="BR73" s="1500"/>
      <c r="BS73" s="1500"/>
      <c r="BT73" s="1500"/>
      <c r="BU73" s="1500"/>
      <c r="BV73" s="1500"/>
      <c r="BW73" s="1500"/>
      <c r="BX73" s="1500"/>
      <c r="BY73" s="1500"/>
      <c r="BZ73" s="1500"/>
      <c r="CA73" s="1500"/>
      <c r="CB73" s="1500">
        <v>4203</v>
      </c>
      <c r="CC73" s="1500"/>
      <c r="CD73" s="1455">
        <v>670</v>
      </c>
      <c r="CE73" s="1500"/>
      <c r="CF73" s="1452">
        <v>4203</v>
      </c>
      <c r="CG73" s="1500"/>
      <c r="CH73" s="1452"/>
      <c r="CI73" s="1500"/>
      <c r="CJ73" s="1500"/>
      <c r="CK73" s="1455"/>
      <c r="CL73" s="1452"/>
      <c r="CM73" s="1455"/>
      <c r="CN73" s="1455">
        <v>7018</v>
      </c>
      <c r="CO73" s="1455"/>
      <c r="CP73" s="1455">
        <v>7651</v>
      </c>
      <c r="CQ73" s="1500"/>
      <c r="CR73" s="1452"/>
      <c r="CS73" s="1452"/>
      <c r="CT73" s="1500"/>
      <c r="CU73" s="1452"/>
      <c r="CV73" s="1452"/>
      <c r="CW73" s="1500"/>
      <c r="CX73" s="1500"/>
      <c r="CY73" s="1500"/>
      <c r="CZ73" s="1500"/>
      <c r="DA73" s="1500"/>
      <c r="DB73" s="1500"/>
      <c r="DC73" s="1500"/>
      <c r="DD73" s="1500"/>
      <c r="DE73" s="1500"/>
      <c r="DF73" s="1500"/>
      <c r="DG73" s="1500"/>
      <c r="DH73" s="1500"/>
      <c r="DI73" s="1500"/>
      <c r="DJ73" s="1452"/>
      <c r="DK73" s="1500"/>
      <c r="DL73" s="1500"/>
      <c r="DM73" s="1500"/>
      <c r="DN73" s="1500"/>
      <c r="DO73" s="1452"/>
      <c r="DP73" s="1500"/>
      <c r="DQ73" s="1500"/>
      <c r="DR73" s="1472">
        <v>71681</v>
      </c>
      <c r="DS73" s="1500"/>
      <c r="DT73" s="1500"/>
      <c r="DU73" s="1500"/>
      <c r="DV73" s="1500"/>
      <c r="DW73" s="1500"/>
      <c r="DX73" s="1500"/>
      <c r="DY73" s="1500"/>
      <c r="DZ73" s="1500"/>
      <c r="EA73" s="1455">
        <v>9118</v>
      </c>
      <c r="EB73" s="1500"/>
      <c r="EC73" s="1500"/>
      <c r="ED73" s="1500"/>
      <c r="EE73" s="1500"/>
      <c r="EF73" s="1452">
        <v>3256</v>
      </c>
      <c r="EG73" s="1452">
        <v>5920</v>
      </c>
      <c r="EH73" s="1500"/>
      <c r="EI73" s="1452"/>
      <c r="EJ73" s="1500"/>
      <c r="EK73" s="1500"/>
      <c r="EL73" s="1500"/>
      <c r="EM73" s="1452"/>
      <c r="EN73" s="1500"/>
      <c r="EO73" s="1500"/>
      <c r="EP73" s="1500"/>
      <c r="EQ73" s="1500"/>
      <c r="ER73" s="1500"/>
      <c r="ES73" s="1500"/>
      <c r="ET73" s="1500"/>
      <c r="EU73" s="1500"/>
      <c r="EV73" s="1500"/>
      <c r="EW73" s="1500"/>
      <c r="EX73" s="1500"/>
      <c r="EY73" s="1452"/>
      <c r="EZ73" s="1500"/>
      <c r="FA73" s="1500"/>
      <c r="FB73" s="1500"/>
      <c r="FC73" s="1500"/>
      <c r="FD73" s="1500"/>
      <c r="FE73" s="1500"/>
      <c r="FF73" s="1452">
        <v>4203</v>
      </c>
      <c r="FG73" s="1500"/>
      <c r="FH73" s="1452"/>
      <c r="FI73" s="1500"/>
      <c r="FJ73" s="1500"/>
      <c r="FK73" s="1500"/>
      <c r="FL73" s="1500"/>
      <c r="FM73" s="1500"/>
      <c r="FN73" s="1500"/>
      <c r="FO73" s="1500"/>
      <c r="FP73" s="1500"/>
      <c r="FQ73" s="1500"/>
      <c r="FR73" s="1500"/>
      <c r="FS73" s="1500"/>
      <c r="FT73" s="1500"/>
      <c r="FU73" s="1500"/>
      <c r="FV73" s="1500"/>
      <c r="FW73" s="1500"/>
      <c r="FX73" s="1500"/>
      <c r="FY73" s="1500"/>
      <c r="FZ73" s="1455"/>
      <c r="GA73" s="1455"/>
      <c r="GB73" s="1455"/>
      <c r="GC73" s="1455"/>
      <c r="GD73" s="1455">
        <v>6598</v>
      </c>
      <c r="GE73" s="1500"/>
      <c r="GF73" s="1500"/>
      <c r="GG73" s="1500"/>
      <c r="GH73" s="1500"/>
      <c r="GI73" s="1500"/>
      <c r="GJ73" s="1452"/>
      <c r="GK73" s="1500"/>
      <c r="GL73" s="1500"/>
      <c r="GM73" s="1500"/>
      <c r="GN73" s="1455"/>
      <c r="GO73" s="1455"/>
      <c r="GP73" s="1455"/>
      <c r="GQ73" s="1455"/>
      <c r="GR73" s="1455"/>
      <c r="GS73" s="1455"/>
      <c r="GT73" s="1455"/>
      <c r="GU73" s="1455">
        <v>1290</v>
      </c>
      <c r="GV73" s="1500"/>
      <c r="GW73" s="1500"/>
      <c r="GX73" s="1452">
        <v>3679</v>
      </c>
      <c r="GY73" s="1500"/>
      <c r="GZ73" s="1500"/>
      <c r="HA73" s="1500"/>
      <c r="HB73" s="1452"/>
      <c r="HC73" s="1452"/>
      <c r="HD73" s="1500"/>
      <c r="HE73" s="1500"/>
      <c r="HF73" s="1500"/>
      <c r="HG73" s="1500"/>
      <c r="HH73" s="1500"/>
      <c r="HI73" s="1500"/>
      <c r="HJ73" s="1500"/>
      <c r="HK73" s="1500"/>
      <c r="HL73" s="1500"/>
      <c r="HM73" s="1500"/>
      <c r="HN73" s="1500"/>
      <c r="HO73" s="1452"/>
      <c r="HP73" s="1500"/>
      <c r="HQ73" s="1500"/>
      <c r="HR73" s="1500"/>
      <c r="HS73" s="1500"/>
      <c r="HT73" s="1500"/>
      <c r="HU73" s="1500"/>
      <c r="HV73" s="1500"/>
      <c r="HW73" s="1455"/>
      <c r="HX73" s="1500"/>
      <c r="HY73" s="1500"/>
      <c r="HZ73" s="1500"/>
      <c r="IA73" s="1500"/>
      <c r="IB73" s="1500"/>
      <c r="IC73" s="1500"/>
      <c r="ID73" s="1500"/>
      <c r="IE73" s="1500"/>
      <c r="IF73" s="1500"/>
      <c r="IG73" s="1500"/>
      <c r="IH73" s="1500"/>
      <c r="II73" s="1500"/>
      <c r="IJ73" s="1500"/>
      <c r="IK73" s="1500"/>
      <c r="IL73" s="1500"/>
      <c r="IM73" s="1500"/>
      <c r="IN73" s="1500"/>
      <c r="IO73" s="1500"/>
      <c r="IP73" s="1500"/>
      <c r="IQ73" s="1500"/>
      <c r="IR73" s="1500"/>
      <c r="IS73" s="1500"/>
      <c r="IT73" s="1500"/>
      <c r="IU73" s="1472">
        <v>20401</v>
      </c>
      <c r="IV73" s="1500"/>
      <c r="IW73" s="1500"/>
      <c r="IX73" s="1472">
        <v>-339</v>
      </c>
      <c r="IY73" s="1452">
        <v>4203</v>
      </c>
      <c r="IZ73" s="1500"/>
      <c r="JA73" s="1452"/>
      <c r="JB73" s="1500"/>
      <c r="JC73" s="1500"/>
      <c r="JD73" s="1500"/>
      <c r="JE73" s="1500"/>
      <c r="JF73" s="1500"/>
      <c r="JG73" s="1500"/>
      <c r="JH73" s="1500"/>
      <c r="JI73" s="1500"/>
      <c r="JJ73" s="1500"/>
      <c r="JK73" s="1500"/>
      <c r="JL73" s="1500"/>
      <c r="JM73" s="1500"/>
      <c r="JN73" s="1500"/>
      <c r="JO73" s="1500"/>
      <c r="JP73" s="1500"/>
      <c r="JQ73" s="1477"/>
      <c r="JR73" s="351"/>
      <c r="JS73" s="1400" t="s">
        <v>3139</v>
      </c>
      <c r="JT73" s="1400" t="s">
        <v>2882</v>
      </c>
    </row>
    <row r="74" spans="1:280" x14ac:dyDescent="0.25">
      <c r="A74" s="1367">
        <v>27</v>
      </c>
      <c r="B74" s="1411" t="str">
        <f t="shared" si="19"/>
        <v/>
      </c>
      <c r="C74" s="1435" t="s">
        <v>3146</v>
      </c>
      <c r="D74" s="1436" t="s">
        <v>2957</v>
      </c>
      <c r="E74" s="1452"/>
      <c r="F74" s="1452"/>
      <c r="G74" s="1452"/>
      <c r="H74" s="1452"/>
      <c r="I74" s="1452"/>
      <c r="J74" s="1452"/>
      <c r="K74" s="1452"/>
      <c r="L74" s="1452"/>
      <c r="M74" s="1452"/>
      <c r="N74" s="1452"/>
      <c r="O74" s="1452"/>
      <c r="P74" s="1452"/>
      <c r="Q74" s="1452"/>
      <c r="R74" s="1452"/>
      <c r="S74" s="1452"/>
      <c r="T74" s="1500"/>
      <c r="U74" s="1500"/>
      <c r="V74" s="1500"/>
      <c r="W74" s="1500"/>
      <c r="X74" s="1500"/>
      <c r="Y74" s="1500"/>
      <c r="Z74" s="1500"/>
      <c r="AA74" s="1500"/>
      <c r="AB74" s="1500"/>
      <c r="AC74" s="1452"/>
      <c r="AD74" s="1452"/>
      <c r="AE74" s="1452"/>
      <c r="AF74" s="1452"/>
      <c r="AG74" s="1452"/>
      <c r="AH74" s="1452"/>
      <c r="AI74" s="1500"/>
      <c r="AJ74" s="1452">
        <v>600</v>
      </c>
      <c r="AK74" s="1500"/>
      <c r="AL74" s="1452"/>
      <c r="AM74" s="1500"/>
      <c r="AN74" s="1455"/>
      <c r="AO74" s="1500"/>
      <c r="AP74" s="1455">
        <v>950</v>
      </c>
      <c r="AQ74" s="1500"/>
      <c r="AR74" s="1500"/>
      <c r="AS74" s="1500"/>
      <c r="AT74" s="1500"/>
      <c r="AU74" s="1500"/>
      <c r="AV74" s="1452"/>
      <c r="AW74" s="1500"/>
      <c r="AX74" s="1500"/>
      <c r="AY74" s="1500"/>
      <c r="AZ74" s="1500"/>
      <c r="BA74" s="1500"/>
      <c r="BB74" s="1500"/>
      <c r="BC74" s="1500"/>
      <c r="BD74" s="1500"/>
      <c r="BE74" s="1500"/>
      <c r="BF74" s="1500"/>
      <c r="BG74" s="1500"/>
      <c r="BH74" s="1500"/>
      <c r="BI74" s="1500"/>
      <c r="BJ74" s="1454"/>
      <c r="BK74" s="1500"/>
      <c r="BL74" s="1500"/>
      <c r="BM74" s="1500"/>
      <c r="BN74" s="1500"/>
      <c r="BO74" s="1500"/>
      <c r="BP74" s="1515"/>
      <c r="BQ74" s="1500"/>
      <c r="BR74" s="1500"/>
      <c r="BS74" s="1500"/>
      <c r="BT74" s="1500"/>
      <c r="BU74" s="1500"/>
      <c r="BV74" s="1500"/>
      <c r="BW74" s="1500"/>
      <c r="BX74" s="1500"/>
      <c r="BY74" s="1500">
        <v>900</v>
      </c>
      <c r="BZ74" s="1500"/>
      <c r="CA74" s="1500"/>
      <c r="CB74" s="1500"/>
      <c r="CC74" s="1500"/>
      <c r="CD74" s="1455"/>
      <c r="CE74" s="1500"/>
      <c r="CF74" s="1452"/>
      <c r="CG74" s="1500"/>
      <c r="CH74" s="1452"/>
      <c r="CI74" s="1500"/>
      <c r="CJ74" s="1500"/>
      <c r="CK74" s="1455">
        <v>1600</v>
      </c>
      <c r="CL74" s="1452">
        <v>6040</v>
      </c>
      <c r="CM74" s="1455">
        <v>8</v>
      </c>
      <c r="CN74" s="1455">
        <v>2279</v>
      </c>
      <c r="CO74" s="1455"/>
      <c r="CP74" s="1455"/>
      <c r="CQ74" s="1500"/>
      <c r="CR74" s="1452">
        <v>6040</v>
      </c>
      <c r="CS74" s="1452">
        <v>6040</v>
      </c>
      <c r="CT74" s="1500"/>
      <c r="CU74" s="1452">
        <v>640</v>
      </c>
      <c r="CV74" s="1452">
        <v>640</v>
      </c>
      <c r="CW74" s="1500"/>
      <c r="CX74" s="1500"/>
      <c r="CY74" s="1500"/>
      <c r="CZ74" s="1500"/>
      <c r="DA74" s="1500"/>
      <c r="DB74" s="1500"/>
      <c r="DC74" s="1500">
        <v>640</v>
      </c>
      <c r="DD74" s="1500"/>
      <c r="DE74" s="1500"/>
      <c r="DF74" s="1500"/>
      <c r="DG74" s="1500"/>
      <c r="DH74" s="1500"/>
      <c r="DI74" s="1500"/>
      <c r="DJ74" s="1452">
        <v>640</v>
      </c>
      <c r="DK74" s="1500"/>
      <c r="DL74" s="1500"/>
      <c r="DM74" s="1500"/>
      <c r="DN74" s="1500"/>
      <c r="DO74" s="1452"/>
      <c r="DP74" s="1500"/>
      <c r="DQ74" s="1500"/>
      <c r="DR74" s="1472">
        <v>28154</v>
      </c>
      <c r="DS74" s="1500"/>
      <c r="DT74" s="1500"/>
      <c r="DU74" s="1500"/>
      <c r="DV74" s="1500"/>
      <c r="DW74" s="1500"/>
      <c r="DX74" s="1500"/>
      <c r="DY74" s="1500"/>
      <c r="DZ74" s="1500"/>
      <c r="EA74" s="1455">
        <v>2279</v>
      </c>
      <c r="EB74" s="1500"/>
      <c r="EC74" s="1500"/>
      <c r="ED74" s="1500"/>
      <c r="EE74" s="1500"/>
      <c r="EF74" s="1452">
        <v>158</v>
      </c>
      <c r="EG74" s="1452"/>
      <c r="EH74" s="1500"/>
      <c r="EI74" s="1452">
        <v>961</v>
      </c>
      <c r="EJ74" s="1500"/>
      <c r="EK74" s="1500"/>
      <c r="EL74" s="1500"/>
      <c r="EM74" s="1452">
        <v>6040</v>
      </c>
      <c r="EN74" s="1500"/>
      <c r="EO74" s="1500"/>
      <c r="EP74" s="1500"/>
      <c r="EQ74" s="1500"/>
      <c r="ER74" s="1500"/>
      <c r="ES74" s="1500"/>
      <c r="ET74" s="1472">
        <v>1111</v>
      </c>
      <c r="EU74" s="1500"/>
      <c r="EV74" s="1500"/>
      <c r="EW74" s="1500"/>
      <c r="EX74" s="1500"/>
      <c r="EY74" s="1452">
        <v>6040</v>
      </c>
      <c r="EZ74" s="1500"/>
      <c r="FA74" s="1500"/>
      <c r="FB74" s="1500"/>
      <c r="FC74" s="1500"/>
      <c r="FD74" s="1500"/>
      <c r="FE74" s="1500"/>
      <c r="FF74" s="1452"/>
      <c r="FG74" s="1500"/>
      <c r="FH74" s="1452">
        <v>640</v>
      </c>
      <c r="FI74" s="1500"/>
      <c r="FJ74" s="1500"/>
      <c r="FK74" s="1500"/>
      <c r="FL74" s="1500"/>
      <c r="FM74" s="1500"/>
      <c r="FN74" s="1500"/>
      <c r="FO74" s="1500"/>
      <c r="FP74" s="1500"/>
      <c r="FQ74" s="1500"/>
      <c r="FR74" s="1500"/>
      <c r="FS74" s="1500"/>
      <c r="FT74" s="1500"/>
      <c r="FU74" s="1500"/>
      <c r="FV74" s="1500"/>
      <c r="FW74" s="1500"/>
      <c r="FX74" s="1500"/>
      <c r="FY74" s="1500"/>
      <c r="FZ74" s="1455"/>
      <c r="GA74" s="1455"/>
      <c r="GB74" s="1455"/>
      <c r="GC74" s="1455"/>
      <c r="GD74" s="1455">
        <v>2460</v>
      </c>
      <c r="GE74" s="1500"/>
      <c r="GF74" s="1500"/>
      <c r="GG74" s="1500"/>
      <c r="GH74" s="1500"/>
      <c r="GI74" s="1500"/>
      <c r="GJ74" s="1454">
        <v>961</v>
      </c>
      <c r="GK74" s="1500"/>
      <c r="GL74" s="1500"/>
      <c r="GM74" s="1500"/>
      <c r="GN74" s="1455">
        <v>620</v>
      </c>
      <c r="GO74" s="1455"/>
      <c r="GP74" s="1455"/>
      <c r="GQ74" s="1455"/>
      <c r="GR74" s="1455"/>
      <c r="GS74" s="1455"/>
      <c r="GT74" s="1455"/>
      <c r="GU74" s="1455">
        <v>860</v>
      </c>
      <c r="GV74" s="1500"/>
      <c r="GW74" s="1500"/>
      <c r="GX74" s="1452">
        <v>1250</v>
      </c>
      <c r="GY74" s="1500"/>
      <c r="GZ74" s="1500"/>
      <c r="HA74" s="1500"/>
      <c r="HB74" s="1452"/>
      <c r="HC74" s="1452">
        <v>640</v>
      </c>
      <c r="HD74" s="1500"/>
      <c r="HE74" s="1500"/>
      <c r="HF74" s="1500"/>
      <c r="HG74" s="1500"/>
      <c r="HH74" s="1500"/>
      <c r="HI74" s="1500"/>
      <c r="HJ74" s="1500"/>
      <c r="HK74" s="1500"/>
      <c r="HL74" s="1500"/>
      <c r="HM74" s="1500"/>
      <c r="HN74" s="1500"/>
      <c r="HO74" s="1452"/>
      <c r="HP74" s="1500"/>
      <c r="HQ74" s="1500"/>
      <c r="HR74" s="1500"/>
      <c r="HS74" s="1500"/>
      <c r="HT74" s="1500"/>
      <c r="HU74" s="1500"/>
      <c r="HV74" s="1500"/>
      <c r="HW74" s="1455"/>
      <c r="HX74" s="1500"/>
      <c r="HY74" s="1500"/>
      <c r="HZ74" s="1500"/>
      <c r="IA74" s="1500"/>
      <c r="IB74" s="1500"/>
      <c r="IC74" s="1500"/>
      <c r="ID74" s="1500"/>
      <c r="IE74" s="1500"/>
      <c r="IF74" s="1500"/>
      <c r="IG74" s="1500"/>
      <c r="IH74" s="1500"/>
      <c r="II74" s="1500"/>
      <c r="IJ74" s="1500"/>
      <c r="IK74" s="1500"/>
      <c r="IL74" s="1472">
        <v>5411</v>
      </c>
      <c r="IM74" s="1500"/>
      <c r="IN74" s="1500"/>
      <c r="IO74" s="1500"/>
      <c r="IP74" s="1500"/>
      <c r="IQ74" s="1500"/>
      <c r="IR74" s="1500"/>
      <c r="IS74" s="1500"/>
      <c r="IT74" s="1500"/>
      <c r="IU74" s="1472">
        <v>101</v>
      </c>
      <c r="IV74" s="1500"/>
      <c r="IW74" s="1500"/>
      <c r="IX74" s="1472">
        <v>6513</v>
      </c>
      <c r="IY74" s="1452"/>
      <c r="IZ74" s="1500"/>
      <c r="JA74" s="1452">
        <v>6040</v>
      </c>
      <c r="JB74" s="1500"/>
      <c r="JC74" s="1500"/>
      <c r="JD74" s="1500"/>
      <c r="JE74" s="1500"/>
      <c r="JF74" s="1500"/>
      <c r="JG74" s="1500"/>
      <c r="JH74" s="1500"/>
      <c r="JI74" s="1500"/>
      <c r="JJ74" s="1500"/>
      <c r="JK74" s="1500"/>
      <c r="JL74" s="1500"/>
      <c r="JM74" s="1500"/>
      <c r="JN74" s="1500"/>
      <c r="JO74" s="1500"/>
      <c r="JP74" s="1500"/>
      <c r="JQ74" s="1477"/>
      <c r="JR74" s="351"/>
      <c r="JS74" s="1400" t="s">
        <v>3139</v>
      </c>
      <c r="JT74" s="1400" t="s">
        <v>2242</v>
      </c>
    </row>
    <row r="75" spans="1:280" x14ac:dyDescent="0.25">
      <c r="A75" s="1367">
        <v>28</v>
      </c>
      <c r="B75" s="1411" t="str">
        <f t="shared" si="19"/>
        <v/>
      </c>
      <c r="C75" s="1435" t="s">
        <v>3147</v>
      </c>
      <c r="D75" s="1436" t="s">
        <v>3148</v>
      </c>
      <c r="E75" s="1452"/>
      <c r="F75" s="1452"/>
      <c r="G75" s="1452"/>
      <c r="H75" s="1452"/>
      <c r="I75" s="1452">
        <v>1200</v>
      </c>
      <c r="J75" s="1452"/>
      <c r="K75" s="1452"/>
      <c r="L75" s="1452"/>
      <c r="M75" s="1452"/>
      <c r="N75" s="1452"/>
      <c r="O75" s="1452"/>
      <c r="P75" s="1452"/>
      <c r="Q75" s="1452">
        <v>1400</v>
      </c>
      <c r="R75" s="1452"/>
      <c r="S75" s="1452">
        <v>1400</v>
      </c>
      <c r="T75" s="1500"/>
      <c r="U75" s="1500"/>
      <c r="V75" s="1500"/>
      <c r="W75" s="1500"/>
      <c r="X75" s="1500"/>
      <c r="Y75" s="1500"/>
      <c r="Z75" s="1500"/>
      <c r="AA75" s="1500"/>
      <c r="AB75" s="1500"/>
      <c r="AC75" s="1452">
        <v>1400</v>
      </c>
      <c r="AD75" s="1452"/>
      <c r="AE75" s="1452"/>
      <c r="AF75" s="1452"/>
      <c r="AG75" s="1452"/>
      <c r="AH75" s="1452"/>
      <c r="AI75" s="1500"/>
      <c r="AJ75" s="1452"/>
      <c r="AK75" s="1500"/>
      <c r="AL75" s="1452"/>
      <c r="AM75" s="1500"/>
      <c r="AN75" s="1455">
        <v>1324</v>
      </c>
      <c r="AO75" s="1500"/>
      <c r="AP75" s="1455">
        <v>700</v>
      </c>
      <c r="AQ75" s="1500"/>
      <c r="AR75" s="1500"/>
      <c r="AS75" s="1500"/>
      <c r="AT75" s="1500"/>
      <c r="AU75" s="1500"/>
      <c r="AV75" s="1452"/>
      <c r="AW75" s="1500"/>
      <c r="AX75" s="1500"/>
      <c r="AY75" s="1500"/>
      <c r="AZ75" s="1500"/>
      <c r="BA75" s="1500"/>
      <c r="BB75" s="1500"/>
      <c r="BC75" s="1500"/>
      <c r="BD75" s="1500"/>
      <c r="BE75" s="1500"/>
      <c r="BF75" s="1500"/>
      <c r="BG75" s="1500"/>
      <c r="BH75" s="1500"/>
      <c r="BI75" s="1500"/>
      <c r="BJ75" s="1454"/>
      <c r="BK75" s="1500"/>
      <c r="BL75" s="1500"/>
      <c r="BM75" s="1500"/>
      <c r="BN75" s="1500"/>
      <c r="BO75" s="1500"/>
      <c r="BP75" s="1515"/>
      <c r="BQ75" s="1500"/>
      <c r="BR75" s="1500"/>
      <c r="BS75" s="1500"/>
      <c r="BT75" s="1500"/>
      <c r="BU75" s="1500"/>
      <c r="BV75" s="1500"/>
      <c r="BW75" s="1500"/>
      <c r="BX75" s="1500"/>
      <c r="BY75" s="1500">
        <v>100</v>
      </c>
      <c r="BZ75" s="1500"/>
      <c r="CA75" s="1500"/>
      <c r="CB75" s="1500"/>
      <c r="CC75" s="1500"/>
      <c r="CD75" s="1455">
        <v>1234</v>
      </c>
      <c r="CE75" s="1500"/>
      <c r="CF75" s="1452"/>
      <c r="CG75" s="1500"/>
      <c r="CH75" s="1452">
        <v>1400</v>
      </c>
      <c r="CI75" s="1500"/>
      <c r="CJ75" s="1500"/>
      <c r="CK75" s="1455"/>
      <c r="CL75" s="1452">
        <v>764</v>
      </c>
      <c r="CM75" s="1455"/>
      <c r="CN75" s="1455"/>
      <c r="CO75" s="1455">
        <v>63452</v>
      </c>
      <c r="CP75" s="1455"/>
      <c r="CQ75" s="1500"/>
      <c r="CR75" s="1452">
        <v>764</v>
      </c>
      <c r="CS75" s="1452">
        <v>764</v>
      </c>
      <c r="CT75" s="1500"/>
      <c r="CU75" s="1452"/>
      <c r="CV75" s="1452"/>
      <c r="CW75" s="1500"/>
      <c r="CX75" s="1500"/>
      <c r="CY75" s="1500"/>
      <c r="CZ75" s="1500"/>
      <c r="DA75" s="1500"/>
      <c r="DB75" s="1500"/>
      <c r="DC75" s="1500"/>
      <c r="DD75" s="1500"/>
      <c r="DE75" s="1500"/>
      <c r="DF75" s="1500"/>
      <c r="DG75" s="1500"/>
      <c r="DH75" s="1500"/>
      <c r="DI75" s="1500"/>
      <c r="DJ75" s="1452"/>
      <c r="DK75" s="1500"/>
      <c r="DL75" s="1500"/>
      <c r="DM75" s="1500"/>
      <c r="DN75" s="1500"/>
      <c r="DO75" s="1452"/>
      <c r="DP75" s="1500"/>
      <c r="DQ75" s="1500"/>
      <c r="DR75" s="1500"/>
      <c r="DS75" s="1500"/>
      <c r="DT75" s="1500"/>
      <c r="DU75" s="1500"/>
      <c r="DV75" s="1500"/>
      <c r="DW75" s="1500"/>
      <c r="DX75" s="1500"/>
      <c r="DY75" s="1500"/>
      <c r="DZ75" s="1500"/>
      <c r="EA75" s="1455"/>
      <c r="EB75" s="1500"/>
      <c r="EC75" s="1500"/>
      <c r="ED75" s="1500"/>
      <c r="EE75" s="1500"/>
      <c r="EF75" s="1452">
        <v>2219</v>
      </c>
      <c r="EG75" s="1452">
        <v>3256</v>
      </c>
      <c r="EH75" s="1500"/>
      <c r="EI75" s="1452"/>
      <c r="EJ75" s="1500"/>
      <c r="EK75" s="1500"/>
      <c r="EL75" s="1500"/>
      <c r="EM75" s="1452">
        <v>764</v>
      </c>
      <c r="EN75" s="1500"/>
      <c r="EO75" s="1500"/>
      <c r="EP75" s="1500"/>
      <c r="EQ75" s="1500"/>
      <c r="ER75" s="1500"/>
      <c r="ES75" s="1500"/>
      <c r="ET75" s="1500"/>
      <c r="EU75" s="1500"/>
      <c r="EV75" s="1500"/>
      <c r="EW75" s="1500"/>
      <c r="EX75" s="1500"/>
      <c r="EY75" s="1452">
        <v>764</v>
      </c>
      <c r="EZ75" s="1500"/>
      <c r="FA75" s="1500"/>
      <c r="FB75" s="1500"/>
      <c r="FC75" s="1500"/>
      <c r="FD75" s="1500"/>
      <c r="FE75" s="1500"/>
      <c r="FF75" s="1452"/>
      <c r="FG75" s="1500"/>
      <c r="FH75" s="1452"/>
      <c r="FI75" s="1500"/>
      <c r="FJ75" s="1500"/>
      <c r="FK75" s="1500"/>
      <c r="FL75" s="1500"/>
      <c r="FM75" s="1500"/>
      <c r="FN75" s="1500"/>
      <c r="FO75" s="1500"/>
      <c r="FP75" s="1500"/>
      <c r="FQ75" s="1500"/>
      <c r="FR75" s="1500"/>
      <c r="FS75" s="1500"/>
      <c r="FT75" s="1500"/>
      <c r="FU75" s="1500"/>
      <c r="FV75" s="1500"/>
      <c r="FW75" s="1500"/>
      <c r="FX75" s="1500"/>
      <c r="FY75" s="1500"/>
      <c r="FZ75" s="1455"/>
      <c r="GA75" s="1455"/>
      <c r="GB75" s="1455"/>
      <c r="GC75" s="1455"/>
      <c r="GD75" s="1455">
        <v>4350</v>
      </c>
      <c r="GE75" s="1500"/>
      <c r="GF75" s="1500"/>
      <c r="GG75" s="1500"/>
      <c r="GH75" s="1500"/>
      <c r="GI75" s="1500"/>
      <c r="GJ75" s="1452"/>
      <c r="GK75" s="1500"/>
      <c r="GL75" s="1500"/>
      <c r="GM75" s="1500"/>
      <c r="GN75" s="1455"/>
      <c r="GO75" s="1455"/>
      <c r="GP75" s="1455"/>
      <c r="GQ75" s="1455"/>
      <c r="GR75" s="1455"/>
      <c r="GS75" s="1455"/>
      <c r="GT75" s="1455"/>
      <c r="GU75" s="1455">
        <v>500</v>
      </c>
      <c r="GV75" s="1500"/>
      <c r="GW75" s="1500"/>
      <c r="GX75" s="1452">
        <v>500</v>
      </c>
      <c r="GY75" s="1500"/>
      <c r="GZ75" s="1500"/>
      <c r="HA75" s="1500"/>
      <c r="HB75" s="1452"/>
      <c r="HC75" s="1452"/>
      <c r="HD75" s="1500"/>
      <c r="HE75" s="1500"/>
      <c r="HF75" s="1500"/>
      <c r="HG75" s="1500"/>
      <c r="HH75" s="1500"/>
      <c r="HI75" s="1500"/>
      <c r="HJ75" s="1500"/>
      <c r="HK75" s="1500"/>
      <c r="HL75" s="1500"/>
      <c r="HM75" s="1500"/>
      <c r="HN75" s="1500"/>
      <c r="HO75" s="1452">
        <v>1400</v>
      </c>
      <c r="HP75" s="1500"/>
      <c r="HQ75" s="1500"/>
      <c r="HR75" s="1500"/>
      <c r="HS75" s="1500"/>
      <c r="HT75" s="1500"/>
      <c r="HU75" s="1500"/>
      <c r="HV75" s="1500"/>
      <c r="HW75" s="1455">
        <v>1750</v>
      </c>
      <c r="HX75" s="1500"/>
      <c r="HY75" s="1500"/>
      <c r="HZ75" s="1500"/>
      <c r="IA75" s="1500"/>
      <c r="IB75" s="1500"/>
      <c r="IC75" s="1500"/>
      <c r="ID75" s="1500"/>
      <c r="IE75" s="1500"/>
      <c r="IF75" s="1500"/>
      <c r="IG75" s="1500"/>
      <c r="IH75" s="1500"/>
      <c r="II75" s="1500"/>
      <c r="IJ75" s="1500"/>
      <c r="IK75" s="1500"/>
      <c r="IL75" s="1472">
        <v>1100</v>
      </c>
      <c r="IM75" s="1500"/>
      <c r="IN75" s="1500"/>
      <c r="IO75" s="1500"/>
      <c r="IP75" s="1500"/>
      <c r="IQ75" s="1500"/>
      <c r="IR75" s="1500"/>
      <c r="IS75" s="1500"/>
      <c r="IT75" s="1500"/>
      <c r="IU75" s="1500"/>
      <c r="IV75" s="1500"/>
      <c r="IW75" s="1500"/>
      <c r="IX75" s="1500"/>
      <c r="IY75" s="1452"/>
      <c r="IZ75" s="1500"/>
      <c r="JA75" s="1452">
        <v>764</v>
      </c>
      <c r="JB75" s="1500"/>
      <c r="JC75" s="1500"/>
      <c r="JD75" s="1500"/>
      <c r="JE75" s="1500"/>
      <c r="JF75" s="1500"/>
      <c r="JG75" s="1500"/>
      <c r="JH75" s="1500"/>
      <c r="JI75" s="1500"/>
      <c r="JJ75" s="1500"/>
      <c r="JK75" s="1500"/>
      <c r="JL75" s="1500"/>
      <c r="JM75" s="1500"/>
      <c r="JN75" s="1500"/>
      <c r="JO75" s="1500"/>
      <c r="JP75" s="1500"/>
      <c r="JQ75" s="1477"/>
      <c r="JR75" s="351"/>
      <c r="JS75" s="1400" t="s">
        <v>3139</v>
      </c>
      <c r="JT75" s="1400" t="s">
        <v>2242</v>
      </c>
    </row>
    <row r="76" spans="1:280" x14ac:dyDescent="0.25">
      <c r="A76" s="1367">
        <v>29</v>
      </c>
      <c r="B76" s="1411" t="str">
        <f t="shared" si="19"/>
        <v/>
      </c>
      <c r="C76" s="1435" t="s">
        <v>3149</v>
      </c>
      <c r="D76" s="1436" t="s">
        <v>3150</v>
      </c>
      <c r="E76" s="1452"/>
      <c r="F76" s="1452"/>
      <c r="G76" s="1452"/>
      <c r="H76" s="1452"/>
      <c r="I76" s="1452">
        <v>5600</v>
      </c>
      <c r="J76" s="1452"/>
      <c r="K76" s="1452"/>
      <c r="L76" s="1452"/>
      <c r="M76" s="1452"/>
      <c r="N76" s="1452"/>
      <c r="O76" s="1452"/>
      <c r="P76" s="1452"/>
      <c r="Q76" s="1452">
        <v>5800</v>
      </c>
      <c r="R76" s="1452"/>
      <c r="S76" s="1452">
        <v>5800</v>
      </c>
      <c r="T76" s="1500"/>
      <c r="U76" s="1500"/>
      <c r="V76" s="1500"/>
      <c r="W76" s="1500"/>
      <c r="X76" s="1500"/>
      <c r="Y76" s="1500"/>
      <c r="Z76" s="1500"/>
      <c r="AA76" s="1500"/>
      <c r="AB76" s="1500"/>
      <c r="AC76" s="1452">
        <v>5800</v>
      </c>
      <c r="AD76" s="1452"/>
      <c r="AE76" s="1452"/>
      <c r="AF76" s="1452"/>
      <c r="AG76" s="1452"/>
      <c r="AH76" s="1452"/>
      <c r="AI76" s="1500"/>
      <c r="AJ76" s="1452"/>
      <c r="AK76" s="1500"/>
      <c r="AL76" s="1452"/>
      <c r="AM76" s="1500"/>
      <c r="AN76" s="1500"/>
      <c r="AO76" s="1500"/>
      <c r="AP76" s="1455">
        <v>200</v>
      </c>
      <c r="AQ76" s="1500"/>
      <c r="AR76" s="1500"/>
      <c r="AS76" s="1500"/>
      <c r="AT76" s="1500"/>
      <c r="AU76" s="1500"/>
      <c r="AV76" s="1452"/>
      <c r="AW76" s="1500"/>
      <c r="AX76" s="1500"/>
      <c r="AY76" s="1500"/>
      <c r="AZ76" s="1500"/>
      <c r="BA76" s="1500"/>
      <c r="BB76" s="1500"/>
      <c r="BC76" s="1500"/>
      <c r="BD76" s="1500"/>
      <c r="BE76" s="1500"/>
      <c r="BF76" s="1500"/>
      <c r="BG76" s="1500"/>
      <c r="BH76" s="1500"/>
      <c r="BI76" s="1500"/>
      <c r="BJ76" s="1454"/>
      <c r="BK76" s="1500"/>
      <c r="BL76" s="1500"/>
      <c r="BM76" s="1500"/>
      <c r="BN76" s="1500"/>
      <c r="BO76" s="1500"/>
      <c r="BP76" s="1515"/>
      <c r="BQ76" s="1500"/>
      <c r="BR76" s="1500"/>
      <c r="BS76" s="1500"/>
      <c r="BT76" s="1500"/>
      <c r="BU76" s="1500"/>
      <c r="BV76" s="1500"/>
      <c r="BW76" s="1500"/>
      <c r="BX76" s="1500"/>
      <c r="BY76" s="1500"/>
      <c r="BZ76" s="1500"/>
      <c r="CA76" s="1500"/>
      <c r="CB76" s="1500"/>
      <c r="CC76" s="1500"/>
      <c r="CD76" s="1455"/>
      <c r="CE76" s="1500"/>
      <c r="CF76" s="1452"/>
      <c r="CG76" s="1500"/>
      <c r="CH76" s="1452">
        <v>5800</v>
      </c>
      <c r="CI76" s="1500"/>
      <c r="CJ76" s="1500"/>
      <c r="CK76" s="1455"/>
      <c r="CL76" s="1452">
        <v>9523</v>
      </c>
      <c r="CM76" s="1455">
        <v>9</v>
      </c>
      <c r="CN76" s="1455"/>
      <c r="CO76" s="1455"/>
      <c r="CP76" s="1455"/>
      <c r="CQ76" s="1500"/>
      <c r="CR76" s="1452">
        <v>9523</v>
      </c>
      <c r="CS76" s="1452">
        <v>9523</v>
      </c>
      <c r="CT76" s="1500"/>
      <c r="CU76" s="1452"/>
      <c r="CV76" s="1452"/>
      <c r="CW76" s="1500"/>
      <c r="CX76" s="1500"/>
      <c r="CY76" s="1500"/>
      <c r="CZ76" s="1500"/>
      <c r="DA76" s="1500"/>
      <c r="DB76" s="1500"/>
      <c r="DC76" s="1500"/>
      <c r="DD76" s="1500"/>
      <c r="DE76" s="1500"/>
      <c r="DF76" s="1500"/>
      <c r="DG76" s="1500"/>
      <c r="DH76" s="1500"/>
      <c r="DI76" s="1500"/>
      <c r="DJ76" s="1452"/>
      <c r="DK76" s="1500"/>
      <c r="DL76" s="1500"/>
      <c r="DM76" s="1500"/>
      <c r="DN76" s="1500"/>
      <c r="DO76" s="1452"/>
      <c r="DP76" s="1500"/>
      <c r="DQ76" s="1500"/>
      <c r="DR76" s="1500"/>
      <c r="DS76" s="1500"/>
      <c r="DT76" s="1500"/>
      <c r="DU76" s="1500"/>
      <c r="DV76" s="1500"/>
      <c r="DW76" s="1500"/>
      <c r="DX76" s="1500"/>
      <c r="DY76" s="1500"/>
      <c r="DZ76" s="1500"/>
      <c r="EA76" s="1455"/>
      <c r="EB76" s="1500"/>
      <c r="EC76" s="1500"/>
      <c r="ED76" s="1500"/>
      <c r="EE76" s="1500"/>
      <c r="EF76" s="1452">
        <v>1931</v>
      </c>
      <c r="EG76" s="1452">
        <v>4556</v>
      </c>
      <c r="EH76" s="1500"/>
      <c r="EI76" s="1452"/>
      <c r="EJ76" s="1500"/>
      <c r="EK76" s="1500"/>
      <c r="EL76" s="1500"/>
      <c r="EM76" s="1452">
        <v>9523</v>
      </c>
      <c r="EN76" s="1500"/>
      <c r="EO76" s="1500"/>
      <c r="EP76" s="1500"/>
      <c r="EQ76" s="1500"/>
      <c r="ER76" s="1500"/>
      <c r="ES76" s="1500"/>
      <c r="ET76" s="1500"/>
      <c r="EU76" s="1500"/>
      <c r="EV76" s="1500"/>
      <c r="EW76" s="1500"/>
      <c r="EX76" s="1500"/>
      <c r="EY76" s="1452">
        <v>9523</v>
      </c>
      <c r="EZ76" s="1500"/>
      <c r="FA76" s="1500"/>
      <c r="FB76" s="1500"/>
      <c r="FC76" s="1500"/>
      <c r="FD76" s="1500"/>
      <c r="FE76" s="1500"/>
      <c r="FF76" s="1452"/>
      <c r="FG76" s="1500"/>
      <c r="FH76" s="1452"/>
      <c r="FI76" s="1500"/>
      <c r="FJ76" s="1500"/>
      <c r="FK76" s="1500"/>
      <c r="FL76" s="1500"/>
      <c r="FM76" s="1500"/>
      <c r="FN76" s="1500"/>
      <c r="FO76" s="1500"/>
      <c r="FP76" s="1500"/>
      <c r="FQ76" s="1500"/>
      <c r="FR76" s="1500"/>
      <c r="FS76" s="1500"/>
      <c r="FT76" s="1500"/>
      <c r="FU76" s="1500"/>
      <c r="FV76" s="1500"/>
      <c r="FW76" s="1500"/>
      <c r="FX76" s="1500"/>
      <c r="FY76" s="1500"/>
      <c r="FZ76" s="1455"/>
      <c r="GA76" s="1455"/>
      <c r="GB76" s="1455"/>
      <c r="GC76" s="1455"/>
      <c r="GD76" s="1455"/>
      <c r="GE76" s="1500"/>
      <c r="GF76" s="1500"/>
      <c r="GG76" s="1500"/>
      <c r="GH76" s="1500"/>
      <c r="GI76" s="1500"/>
      <c r="GJ76" s="1452"/>
      <c r="GK76" s="1500"/>
      <c r="GL76" s="1500"/>
      <c r="GM76" s="1500"/>
      <c r="GN76" s="1455"/>
      <c r="GO76" s="1455"/>
      <c r="GP76" s="1455"/>
      <c r="GQ76" s="1455"/>
      <c r="GR76" s="1455"/>
      <c r="GS76" s="1455"/>
      <c r="GT76" s="1455"/>
      <c r="GU76" s="1455"/>
      <c r="GV76" s="1500"/>
      <c r="GW76" s="1500"/>
      <c r="GX76" s="1452">
        <v>78000</v>
      </c>
      <c r="GY76" s="1500"/>
      <c r="GZ76" s="1500"/>
      <c r="HA76" s="1500"/>
      <c r="HB76" s="1452"/>
      <c r="HC76" s="1452"/>
      <c r="HD76" s="1500"/>
      <c r="HE76" s="1500"/>
      <c r="HF76" s="1500"/>
      <c r="HG76" s="1500"/>
      <c r="HH76" s="1500"/>
      <c r="HI76" s="1500"/>
      <c r="HJ76" s="1500"/>
      <c r="HK76" s="1500"/>
      <c r="HL76" s="1500"/>
      <c r="HM76" s="1500"/>
      <c r="HN76" s="1500"/>
      <c r="HO76" s="1452">
        <v>5800</v>
      </c>
      <c r="HP76" s="1500"/>
      <c r="HQ76" s="1500"/>
      <c r="HR76" s="1500"/>
      <c r="HS76" s="1500"/>
      <c r="HT76" s="1500"/>
      <c r="HU76" s="1500"/>
      <c r="HV76" s="1500"/>
      <c r="HW76" s="1500"/>
      <c r="HX76" s="1500"/>
      <c r="HY76" s="1500"/>
      <c r="HZ76" s="1500"/>
      <c r="IA76" s="1500"/>
      <c r="IB76" s="1500"/>
      <c r="IC76" s="1500"/>
      <c r="ID76" s="1500"/>
      <c r="IE76" s="1500"/>
      <c r="IF76" s="1500"/>
      <c r="IG76" s="1500"/>
      <c r="IH76" s="1500"/>
      <c r="II76" s="1500"/>
      <c r="IJ76" s="1500"/>
      <c r="IK76" s="1500"/>
      <c r="IL76" s="1500"/>
      <c r="IM76" s="1500"/>
      <c r="IN76" s="1500"/>
      <c r="IO76" s="1500"/>
      <c r="IP76" s="1500"/>
      <c r="IQ76" s="1500"/>
      <c r="IR76" s="1500"/>
      <c r="IS76" s="1500"/>
      <c r="IT76" s="1500"/>
      <c r="IU76" s="1500"/>
      <c r="IV76" s="1500"/>
      <c r="IW76" s="1500"/>
      <c r="IX76" s="1472">
        <v>938</v>
      </c>
      <c r="IY76" s="1452"/>
      <c r="IZ76" s="1500"/>
      <c r="JA76" s="1452">
        <v>9523</v>
      </c>
      <c r="JB76" s="1500"/>
      <c r="JC76" s="1500"/>
      <c r="JD76" s="1500"/>
      <c r="JE76" s="1500"/>
      <c r="JF76" s="1500"/>
      <c r="JG76" s="1500"/>
      <c r="JH76" s="1500"/>
      <c r="JI76" s="1500"/>
      <c r="JJ76" s="1500"/>
      <c r="JK76" s="1500"/>
      <c r="JL76" s="1500"/>
      <c r="JM76" s="1500"/>
      <c r="JN76" s="1500"/>
      <c r="JO76" s="1500"/>
      <c r="JP76" s="1500"/>
      <c r="JQ76" s="1477"/>
      <c r="JR76" s="351"/>
      <c r="JS76" s="1400" t="s">
        <v>3139</v>
      </c>
      <c r="JT76" s="1400" t="s">
        <v>2882</v>
      </c>
    </row>
    <row r="77" spans="1:280" x14ac:dyDescent="0.25">
      <c r="A77" s="1367">
        <v>30</v>
      </c>
      <c r="B77" s="1411" t="str">
        <f t="shared" si="19"/>
        <v/>
      </c>
      <c r="C77" s="1435" t="s">
        <v>3151</v>
      </c>
      <c r="D77" s="1436" t="s">
        <v>2955</v>
      </c>
      <c r="E77" s="1452"/>
      <c r="F77" s="1452"/>
      <c r="G77" s="1452"/>
      <c r="H77" s="1452"/>
      <c r="I77" s="1452">
        <v>1300</v>
      </c>
      <c r="J77" s="1452"/>
      <c r="K77" s="1452"/>
      <c r="L77" s="1452"/>
      <c r="M77" s="1452"/>
      <c r="N77" s="1452"/>
      <c r="O77" s="1452"/>
      <c r="P77" s="1452"/>
      <c r="Q77" s="1452">
        <v>1500</v>
      </c>
      <c r="R77" s="1452"/>
      <c r="S77" s="1452">
        <v>1500</v>
      </c>
      <c r="T77" s="1500"/>
      <c r="U77" s="1500"/>
      <c r="V77" s="1500"/>
      <c r="W77" s="1500"/>
      <c r="X77" s="1500"/>
      <c r="Y77" s="1500"/>
      <c r="Z77" s="1500"/>
      <c r="AA77" s="1500"/>
      <c r="AB77" s="1500"/>
      <c r="AC77" s="1452">
        <v>1500</v>
      </c>
      <c r="AD77" s="1452"/>
      <c r="AE77" s="1452"/>
      <c r="AF77" s="1452"/>
      <c r="AG77" s="1452"/>
      <c r="AH77" s="1452"/>
      <c r="AI77" s="1500"/>
      <c r="AJ77" s="1452">
        <v>216</v>
      </c>
      <c r="AK77" s="1500"/>
      <c r="AL77" s="1452"/>
      <c r="AM77" s="1500"/>
      <c r="AN77" s="1500"/>
      <c r="AO77" s="1500"/>
      <c r="AP77" s="1500"/>
      <c r="AQ77" s="1500"/>
      <c r="AR77" s="1500"/>
      <c r="AS77" s="1500"/>
      <c r="AT77" s="1500"/>
      <c r="AU77" s="1500"/>
      <c r="AV77" s="1452"/>
      <c r="AW77" s="1500"/>
      <c r="AX77" s="1500"/>
      <c r="AY77" s="1500"/>
      <c r="AZ77" s="1500"/>
      <c r="BA77" s="1500"/>
      <c r="BB77" s="1500"/>
      <c r="BC77" s="1500"/>
      <c r="BD77" s="1500"/>
      <c r="BE77" s="1500"/>
      <c r="BF77" s="1500"/>
      <c r="BG77" s="1500"/>
      <c r="BH77" s="1500"/>
      <c r="BI77" s="1500"/>
      <c r="BJ77" s="1454"/>
      <c r="BK77" s="1500"/>
      <c r="BL77" s="1500"/>
      <c r="BM77" s="1500"/>
      <c r="BN77" s="1500"/>
      <c r="BO77" s="1500"/>
      <c r="BP77" s="1515"/>
      <c r="BQ77" s="1500"/>
      <c r="BR77" s="1500"/>
      <c r="BS77" s="1500"/>
      <c r="BT77" s="1500"/>
      <c r="BU77" s="1500"/>
      <c r="BV77" s="1500"/>
      <c r="BW77" s="1500"/>
      <c r="BX77" s="1500"/>
      <c r="BY77" s="1500"/>
      <c r="BZ77" s="1500"/>
      <c r="CA77" s="1500"/>
      <c r="CB77" s="1500">
        <v>216</v>
      </c>
      <c r="CC77" s="1500"/>
      <c r="CD77" s="1455"/>
      <c r="CE77" s="1500"/>
      <c r="CF77" s="1452">
        <v>216</v>
      </c>
      <c r="CG77" s="1500"/>
      <c r="CH77" s="1452">
        <v>1500</v>
      </c>
      <c r="CI77" s="1500"/>
      <c r="CJ77" s="1500"/>
      <c r="CK77" s="1455"/>
      <c r="CL77" s="1452">
        <v>2719</v>
      </c>
      <c r="CM77" s="1455">
        <v>21</v>
      </c>
      <c r="CN77" s="1455">
        <v>74</v>
      </c>
      <c r="CO77" s="1455"/>
      <c r="CP77" s="1455"/>
      <c r="CQ77" s="1500"/>
      <c r="CR77" s="1452">
        <v>2719</v>
      </c>
      <c r="CS77" s="1452">
        <v>2719</v>
      </c>
      <c r="CT77" s="1500"/>
      <c r="CU77" s="1452"/>
      <c r="CV77" s="1452"/>
      <c r="CW77" s="1500"/>
      <c r="CX77" s="1500"/>
      <c r="CY77" s="1500"/>
      <c r="CZ77" s="1500"/>
      <c r="DA77" s="1500"/>
      <c r="DB77" s="1500"/>
      <c r="DC77" s="1500"/>
      <c r="DD77" s="1500"/>
      <c r="DE77" s="1500"/>
      <c r="DF77" s="1500"/>
      <c r="DG77" s="1500"/>
      <c r="DH77" s="1500"/>
      <c r="DI77" s="1500"/>
      <c r="DJ77" s="1452"/>
      <c r="DK77" s="1500"/>
      <c r="DL77" s="1500"/>
      <c r="DM77" s="1500"/>
      <c r="DN77" s="1500"/>
      <c r="DO77" s="1452"/>
      <c r="DP77" s="1500"/>
      <c r="DQ77" s="1500"/>
      <c r="DR77" s="1472">
        <v>48</v>
      </c>
      <c r="DS77" s="1500"/>
      <c r="DT77" s="1500"/>
      <c r="DU77" s="1500"/>
      <c r="DV77" s="1500"/>
      <c r="DW77" s="1500"/>
      <c r="DX77" s="1500"/>
      <c r="DY77" s="1500"/>
      <c r="DZ77" s="1500"/>
      <c r="EA77" s="1455">
        <v>74</v>
      </c>
      <c r="EB77" s="1500"/>
      <c r="EC77" s="1500"/>
      <c r="ED77" s="1500"/>
      <c r="EE77" s="1500"/>
      <c r="EF77" s="1452">
        <v>287</v>
      </c>
      <c r="EG77" s="1452">
        <v>240</v>
      </c>
      <c r="EH77" s="1500"/>
      <c r="EI77" s="1452"/>
      <c r="EJ77" s="1500"/>
      <c r="EK77" s="1500"/>
      <c r="EL77" s="1500"/>
      <c r="EM77" s="1452">
        <v>2719</v>
      </c>
      <c r="EN77" s="1500"/>
      <c r="EO77" s="1500"/>
      <c r="EP77" s="1500"/>
      <c r="EQ77" s="1500"/>
      <c r="ER77" s="1500"/>
      <c r="ES77" s="1500"/>
      <c r="ET77" s="1472">
        <v>97</v>
      </c>
      <c r="EU77" s="1500"/>
      <c r="EV77" s="1500"/>
      <c r="EW77" s="1500"/>
      <c r="EX77" s="1500"/>
      <c r="EY77" s="1452">
        <v>2719</v>
      </c>
      <c r="EZ77" s="1500"/>
      <c r="FA77" s="1500"/>
      <c r="FB77" s="1500"/>
      <c r="FC77" s="1500"/>
      <c r="FD77" s="1500"/>
      <c r="FE77" s="1500"/>
      <c r="FF77" s="1452">
        <v>216</v>
      </c>
      <c r="FG77" s="1500"/>
      <c r="FH77" s="1452"/>
      <c r="FI77" s="1500"/>
      <c r="FJ77" s="1500"/>
      <c r="FK77" s="1500"/>
      <c r="FL77" s="1500"/>
      <c r="FM77" s="1500"/>
      <c r="FN77" s="1500"/>
      <c r="FO77" s="1500"/>
      <c r="FP77" s="1500"/>
      <c r="FQ77" s="1500"/>
      <c r="FR77" s="1500"/>
      <c r="FS77" s="1500"/>
      <c r="FT77" s="1500"/>
      <c r="FU77" s="1500"/>
      <c r="FV77" s="1500"/>
      <c r="FW77" s="1500"/>
      <c r="FX77" s="1500"/>
      <c r="FY77" s="1500"/>
      <c r="FZ77" s="1455"/>
      <c r="GA77" s="1455"/>
      <c r="GB77" s="1455"/>
      <c r="GC77" s="1455"/>
      <c r="GD77" s="1455"/>
      <c r="GE77" s="1500"/>
      <c r="GF77" s="1500"/>
      <c r="GG77" s="1500"/>
      <c r="GH77" s="1500"/>
      <c r="GI77" s="1500"/>
      <c r="GJ77" s="1452"/>
      <c r="GK77" s="1500"/>
      <c r="GL77" s="1500"/>
      <c r="GM77" s="1500"/>
      <c r="GN77" s="1500"/>
      <c r="GO77" s="1500"/>
      <c r="GP77" s="1500"/>
      <c r="GQ77" s="1500"/>
      <c r="GR77" s="1500"/>
      <c r="GS77" s="1500"/>
      <c r="GT77" s="1500"/>
      <c r="GU77" s="1500"/>
      <c r="GV77" s="1500"/>
      <c r="GW77" s="1500"/>
      <c r="GX77" s="1452"/>
      <c r="GY77" s="1500"/>
      <c r="GZ77" s="1500"/>
      <c r="HA77" s="1500"/>
      <c r="HB77" s="1452"/>
      <c r="HC77" s="1452"/>
      <c r="HD77" s="1500"/>
      <c r="HE77" s="1500"/>
      <c r="HF77" s="1500"/>
      <c r="HG77" s="1500"/>
      <c r="HH77" s="1500"/>
      <c r="HI77" s="1500"/>
      <c r="HJ77" s="1500"/>
      <c r="HK77" s="1500"/>
      <c r="HL77" s="1500"/>
      <c r="HM77" s="1500"/>
      <c r="HN77" s="1500"/>
      <c r="HO77" s="1452">
        <v>1500</v>
      </c>
      <c r="HP77" s="1500"/>
      <c r="HQ77" s="1500"/>
      <c r="HR77" s="1500"/>
      <c r="HS77" s="1500"/>
      <c r="HT77" s="1500"/>
      <c r="HU77" s="1500"/>
      <c r="HV77" s="1500"/>
      <c r="HW77" s="1500"/>
      <c r="HX77" s="1500"/>
      <c r="HY77" s="1500"/>
      <c r="HZ77" s="1500"/>
      <c r="IA77" s="1500"/>
      <c r="IB77" s="1500"/>
      <c r="IC77" s="1500"/>
      <c r="ID77" s="1500"/>
      <c r="IE77" s="1500"/>
      <c r="IF77" s="1500"/>
      <c r="IG77" s="1500"/>
      <c r="IH77" s="1500"/>
      <c r="II77" s="1500"/>
      <c r="IJ77" s="1500"/>
      <c r="IK77" s="1500"/>
      <c r="IL77" s="1500"/>
      <c r="IM77" s="1500"/>
      <c r="IN77" s="1500"/>
      <c r="IO77" s="1500"/>
      <c r="IP77" s="1500"/>
      <c r="IQ77" s="1500"/>
      <c r="IR77" s="1500"/>
      <c r="IS77" s="1500"/>
      <c r="IT77" s="1500"/>
      <c r="IU77" s="1500"/>
      <c r="IV77" s="1500"/>
      <c r="IW77" s="1500"/>
      <c r="IX77" s="1472">
        <v>900</v>
      </c>
      <c r="IY77" s="1452">
        <v>216</v>
      </c>
      <c r="IZ77" s="1500"/>
      <c r="JA77" s="1452">
        <v>2719</v>
      </c>
      <c r="JB77" s="1500"/>
      <c r="JC77" s="1500"/>
      <c r="JD77" s="1500"/>
      <c r="JE77" s="1500"/>
      <c r="JF77" s="1500"/>
      <c r="JG77" s="1500"/>
      <c r="JH77" s="1500"/>
      <c r="JI77" s="1500"/>
      <c r="JJ77" s="1500"/>
      <c r="JK77" s="1500"/>
      <c r="JL77" s="1500"/>
      <c r="JM77" s="1500"/>
      <c r="JN77" s="1500"/>
      <c r="JO77" s="1500"/>
      <c r="JP77" s="1500"/>
      <c r="JQ77" s="1477"/>
      <c r="JR77" s="351"/>
      <c r="JS77" s="1400" t="s">
        <v>3139</v>
      </c>
      <c r="JT77" s="1400" t="s">
        <v>2882</v>
      </c>
    </row>
    <row r="78" spans="1:280" x14ac:dyDescent="0.25">
      <c r="A78" s="1367">
        <v>31</v>
      </c>
      <c r="B78" s="1411" t="str">
        <f t="shared" si="19"/>
        <v/>
      </c>
      <c r="C78" s="1435" t="s">
        <v>3152</v>
      </c>
      <c r="D78" s="1436" t="s">
        <v>3153</v>
      </c>
      <c r="E78" s="1452"/>
      <c r="F78" s="1452"/>
      <c r="G78" s="1452"/>
      <c r="H78" s="1452"/>
      <c r="I78" s="1452"/>
      <c r="J78" s="1452"/>
      <c r="K78" s="1452"/>
      <c r="L78" s="1452"/>
      <c r="M78" s="1452"/>
      <c r="N78" s="1452"/>
      <c r="O78" s="1452"/>
      <c r="P78" s="1452"/>
      <c r="Q78" s="1452"/>
      <c r="R78" s="1452"/>
      <c r="S78" s="1452"/>
      <c r="T78" s="1500"/>
      <c r="U78" s="1500"/>
      <c r="V78" s="1500"/>
      <c r="W78" s="1500"/>
      <c r="X78" s="1500"/>
      <c r="Y78" s="1500"/>
      <c r="Z78" s="1500"/>
      <c r="AA78" s="1500"/>
      <c r="AB78" s="1500"/>
      <c r="AC78" s="1452"/>
      <c r="AD78" s="1452"/>
      <c r="AE78" s="1452"/>
      <c r="AF78" s="1452"/>
      <c r="AG78" s="1452"/>
      <c r="AH78" s="1452"/>
      <c r="AI78" s="1500"/>
      <c r="AJ78" s="1452"/>
      <c r="AK78" s="1500"/>
      <c r="AL78" s="1452"/>
      <c r="AM78" s="1500"/>
      <c r="AN78" s="1500"/>
      <c r="AO78" s="1500"/>
      <c r="AP78" s="1500"/>
      <c r="AQ78" s="1500"/>
      <c r="AR78" s="1500"/>
      <c r="AS78" s="1500"/>
      <c r="AT78" s="1500"/>
      <c r="AU78" s="1500"/>
      <c r="AV78" s="1452"/>
      <c r="AW78" s="1500"/>
      <c r="AX78" s="1500"/>
      <c r="AY78" s="1500"/>
      <c r="AZ78" s="1500"/>
      <c r="BA78" s="1500"/>
      <c r="BB78" s="1500"/>
      <c r="BC78" s="1500"/>
      <c r="BD78" s="1500"/>
      <c r="BE78" s="1500"/>
      <c r="BF78" s="1500"/>
      <c r="BG78" s="1500"/>
      <c r="BH78" s="1500"/>
      <c r="BI78" s="1500"/>
      <c r="BJ78" s="1454"/>
      <c r="BK78" s="1500"/>
      <c r="BL78" s="1500"/>
      <c r="BM78" s="1500"/>
      <c r="BN78" s="1500"/>
      <c r="BO78" s="1500"/>
      <c r="BP78" s="1515"/>
      <c r="BQ78" s="1500"/>
      <c r="BR78" s="1500"/>
      <c r="BS78" s="1500"/>
      <c r="BT78" s="1500"/>
      <c r="BU78" s="1500"/>
      <c r="BV78" s="1500"/>
      <c r="BW78" s="1500"/>
      <c r="BX78" s="1500"/>
      <c r="BY78" s="1500"/>
      <c r="BZ78" s="1500"/>
      <c r="CA78" s="1500"/>
      <c r="CB78" s="1500">
        <v>1317</v>
      </c>
      <c r="CC78" s="1500"/>
      <c r="CD78" s="1455"/>
      <c r="CE78" s="1500"/>
      <c r="CF78" s="1452">
        <v>1317</v>
      </c>
      <c r="CG78" s="1500"/>
      <c r="CH78" s="1452"/>
      <c r="CI78" s="1500"/>
      <c r="CJ78" s="1500"/>
      <c r="CK78" s="1455"/>
      <c r="CL78" s="1452">
        <v>798</v>
      </c>
      <c r="CM78" s="1455"/>
      <c r="CN78" s="1455"/>
      <c r="CO78" s="1455"/>
      <c r="CP78" s="1455">
        <v>13248</v>
      </c>
      <c r="CQ78" s="1500"/>
      <c r="CR78" s="1452">
        <v>798</v>
      </c>
      <c r="CS78" s="1452">
        <v>798</v>
      </c>
      <c r="CT78" s="1500"/>
      <c r="CU78" s="1452"/>
      <c r="CV78" s="1452"/>
      <c r="CW78" s="1500"/>
      <c r="CX78" s="1500"/>
      <c r="CY78" s="1500"/>
      <c r="CZ78" s="1500"/>
      <c r="DA78" s="1500"/>
      <c r="DB78" s="1500"/>
      <c r="DC78" s="1500"/>
      <c r="DD78" s="1500"/>
      <c r="DE78" s="1500"/>
      <c r="DF78" s="1500"/>
      <c r="DG78" s="1500"/>
      <c r="DH78" s="1500"/>
      <c r="DI78" s="1500"/>
      <c r="DJ78" s="1452"/>
      <c r="DK78" s="1500"/>
      <c r="DL78" s="1500"/>
      <c r="DM78" s="1500"/>
      <c r="DN78" s="1500"/>
      <c r="DO78" s="1452"/>
      <c r="DP78" s="1500"/>
      <c r="DQ78" s="1500"/>
      <c r="DR78" s="1500"/>
      <c r="DS78" s="1500"/>
      <c r="DT78" s="1500"/>
      <c r="DU78" s="1500"/>
      <c r="DV78" s="1500"/>
      <c r="DW78" s="1500"/>
      <c r="DX78" s="1500"/>
      <c r="DY78" s="1500"/>
      <c r="DZ78" s="1500"/>
      <c r="EA78" s="1455"/>
      <c r="EB78" s="1500"/>
      <c r="EC78" s="1500"/>
      <c r="ED78" s="1500"/>
      <c r="EE78" s="1500"/>
      <c r="EF78" s="1452"/>
      <c r="EG78" s="1452">
        <v>3326</v>
      </c>
      <c r="EH78" s="1500"/>
      <c r="EI78" s="1452"/>
      <c r="EJ78" s="1500"/>
      <c r="EK78" s="1500"/>
      <c r="EL78" s="1500"/>
      <c r="EM78" s="1452">
        <v>798</v>
      </c>
      <c r="EN78" s="1500"/>
      <c r="EO78" s="1500"/>
      <c r="EP78" s="1500"/>
      <c r="EQ78" s="1500"/>
      <c r="ER78" s="1500"/>
      <c r="ES78" s="1500"/>
      <c r="ET78" s="1500"/>
      <c r="EU78" s="1500"/>
      <c r="EV78" s="1500"/>
      <c r="EW78" s="1500"/>
      <c r="EX78" s="1500"/>
      <c r="EY78" s="1452">
        <v>798</v>
      </c>
      <c r="EZ78" s="1500"/>
      <c r="FA78" s="1500"/>
      <c r="FB78" s="1500"/>
      <c r="FC78" s="1500"/>
      <c r="FD78" s="1500"/>
      <c r="FE78" s="1500"/>
      <c r="FF78" s="1452">
        <v>1317</v>
      </c>
      <c r="FG78" s="1500"/>
      <c r="FH78" s="1452"/>
      <c r="FI78" s="1500"/>
      <c r="FJ78" s="1500"/>
      <c r="FK78" s="1500"/>
      <c r="FL78" s="1500"/>
      <c r="FM78" s="1500"/>
      <c r="FN78" s="1500"/>
      <c r="FO78" s="1500"/>
      <c r="FP78" s="1500"/>
      <c r="FQ78" s="1500"/>
      <c r="FR78" s="1500"/>
      <c r="FS78" s="1500"/>
      <c r="FT78" s="1500"/>
      <c r="FU78" s="1500"/>
      <c r="FV78" s="1500"/>
      <c r="FW78" s="1500"/>
      <c r="FX78" s="1500"/>
      <c r="FY78" s="1500"/>
      <c r="FZ78" s="1455"/>
      <c r="GA78" s="1455"/>
      <c r="GB78" s="1455"/>
      <c r="GC78" s="1455"/>
      <c r="GD78" s="1455"/>
      <c r="GE78" s="1500"/>
      <c r="GF78" s="1500"/>
      <c r="GG78" s="1500"/>
      <c r="GH78" s="1500"/>
      <c r="GI78" s="1500"/>
      <c r="GJ78" s="1452"/>
      <c r="GK78" s="1500"/>
      <c r="GL78" s="1500"/>
      <c r="GM78" s="1500"/>
      <c r="GN78" s="1500"/>
      <c r="GO78" s="1500"/>
      <c r="GP78" s="1500"/>
      <c r="GQ78" s="1500"/>
      <c r="GR78" s="1500"/>
      <c r="GS78" s="1500"/>
      <c r="GT78" s="1500"/>
      <c r="GU78" s="1500"/>
      <c r="GV78" s="1500"/>
      <c r="GW78" s="1500"/>
      <c r="GX78" s="1452">
        <v>45000</v>
      </c>
      <c r="GY78" s="1500"/>
      <c r="GZ78" s="1500"/>
      <c r="HA78" s="1500"/>
      <c r="HB78" s="1452"/>
      <c r="HC78" s="1452"/>
      <c r="HD78" s="1500"/>
      <c r="HE78" s="1500"/>
      <c r="HF78" s="1500"/>
      <c r="HG78" s="1500"/>
      <c r="HH78" s="1500"/>
      <c r="HI78" s="1500"/>
      <c r="HJ78" s="1500"/>
      <c r="HK78" s="1500"/>
      <c r="HL78" s="1500"/>
      <c r="HM78" s="1500"/>
      <c r="HN78" s="1500"/>
      <c r="HO78" s="1452"/>
      <c r="HP78" s="1500"/>
      <c r="HQ78" s="1500"/>
      <c r="HR78" s="1500"/>
      <c r="HS78" s="1500"/>
      <c r="HT78" s="1500"/>
      <c r="HU78" s="1500"/>
      <c r="HV78" s="1500"/>
      <c r="HW78" s="1500"/>
      <c r="HX78" s="1500"/>
      <c r="HY78" s="1500"/>
      <c r="HZ78" s="1500"/>
      <c r="IA78" s="1500"/>
      <c r="IB78" s="1500"/>
      <c r="IC78" s="1500"/>
      <c r="ID78" s="1500"/>
      <c r="IE78" s="1500"/>
      <c r="IF78" s="1500"/>
      <c r="IG78" s="1500"/>
      <c r="IH78" s="1500"/>
      <c r="II78" s="1500"/>
      <c r="IJ78" s="1500"/>
      <c r="IK78" s="1500"/>
      <c r="IL78" s="1500"/>
      <c r="IM78" s="1500"/>
      <c r="IN78" s="1500"/>
      <c r="IO78" s="1500"/>
      <c r="IP78" s="1500"/>
      <c r="IQ78" s="1500"/>
      <c r="IR78" s="1500"/>
      <c r="IS78" s="1500"/>
      <c r="IT78" s="1500"/>
      <c r="IU78" s="1500"/>
      <c r="IV78" s="1500"/>
      <c r="IW78" s="1500"/>
      <c r="IX78" s="1500"/>
      <c r="IY78" s="1452">
        <v>1317</v>
      </c>
      <c r="IZ78" s="1500"/>
      <c r="JA78" s="1452">
        <v>798</v>
      </c>
      <c r="JB78" s="1500"/>
      <c r="JC78" s="1500"/>
      <c r="JD78" s="1500"/>
      <c r="JE78" s="1500"/>
      <c r="JF78" s="1500"/>
      <c r="JG78" s="1500"/>
      <c r="JH78" s="1500"/>
      <c r="JI78" s="1500"/>
      <c r="JJ78" s="1500"/>
      <c r="JK78" s="1500"/>
      <c r="JL78" s="1500"/>
      <c r="JM78" s="1500"/>
      <c r="JN78" s="1500"/>
      <c r="JO78" s="1500"/>
      <c r="JP78" s="1500"/>
      <c r="JQ78" s="1477"/>
      <c r="JR78" s="351"/>
      <c r="JS78" s="1400" t="s">
        <v>3139</v>
      </c>
      <c r="JT78" s="1400" t="s">
        <v>2882</v>
      </c>
    </row>
    <row r="79" spans="1:280" x14ac:dyDescent="0.25">
      <c r="A79" s="1367">
        <v>32</v>
      </c>
      <c r="B79" s="1411" t="str">
        <f t="shared" si="19"/>
        <v/>
      </c>
      <c r="C79" s="1435" t="s">
        <v>3154</v>
      </c>
      <c r="D79" s="1436" t="s">
        <v>2953</v>
      </c>
      <c r="E79" s="1452"/>
      <c r="F79" s="1452"/>
      <c r="G79" s="1452"/>
      <c r="H79" s="1452"/>
      <c r="I79" s="1452"/>
      <c r="J79" s="1452"/>
      <c r="K79" s="1452"/>
      <c r="L79" s="1452"/>
      <c r="M79" s="1452"/>
      <c r="N79" s="1452"/>
      <c r="O79" s="1452"/>
      <c r="P79" s="1452"/>
      <c r="Q79" s="1452"/>
      <c r="R79" s="1452"/>
      <c r="S79" s="1452"/>
      <c r="T79" s="1500"/>
      <c r="U79" s="1500"/>
      <c r="V79" s="1500"/>
      <c r="W79" s="1500"/>
      <c r="X79" s="1500"/>
      <c r="Y79" s="1500"/>
      <c r="Z79" s="1500"/>
      <c r="AA79" s="1500"/>
      <c r="AB79" s="1500"/>
      <c r="AC79" s="1452"/>
      <c r="AD79" s="1452"/>
      <c r="AE79" s="1452"/>
      <c r="AF79" s="1452"/>
      <c r="AG79" s="1452"/>
      <c r="AH79" s="1452"/>
      <c r="AI79" s="1500"/>
      <c r="AJ79" s="1452"/>
      <c r="AK79" s="1500"/>
      <c r="AL79" s="1452"/>
      <c r="AM79" s="1500"/>
      <c r="AN79" s="1500"/>
      <c r="AO79" s="1500"/>
      <c r="AP79" s="1500"/>
      <c r="AQ79" s="1500"/>
      <c r="AR79" s="1500"/>
      <c r="AS79" s="1500"/>
      <c r="AT79" s="1500"/>
      <c r="AU79" s="1500"/>
      <c r="AV79" s="1452">
        <v>659</v>
      </c>
      <c r="AW79" s="1500"/>
      <c r="AX79" s="1500"/>
      <c r="AY79" s="1500"/>
      <c r="AZ79" s="1500"/>
      <c r="BA79" s="1500"/>
      <c r="BB79" s="1500"/>
      <c r="BC79" s="1500"/>
      <c r="BD79" s="1500"/>
      <c r="BE79" s="1500"/>
      <c r="BF79" s="1500"/>
      <c r="BG79" s="1500"/>
      <c r="BH79" s="1500"/>
      <c r="BI79" s="1500"/>
      <c r="BJ79" s="1454"/>
      <c r="BK79" s="1500"/>
      <c r="BL79" s="1500"/>
      <c r="BM79" s="1500"/>
      <c r="BN79" s="1500"/>
      <c r="BO79" s="1500"/>
      <c r="BP79" s="1511"/>
      <c r="BQ79" s="1500"/>
      <c r="BR79" s="1500"/>
      <c r="BS79" s="1500"/>
      <c r="BT79" s="1500"/>
      <c r="BU79" s="1500"/>
      <c r="BV79" s="1500"/>
      <c r="BW79" s="1500"/>
      <c r="BX79" s="1500"/>
      <c r="BY79" s="1500"/>
      <c r="BZ79" s="1500"/>
      <c r="CA79" s="1500"/>
      <c r="CB79" s="1500"/>
      <c r="CC79" s="1500"/>
      <c r="CD79" s="1455">
        <v>3578</v>
      </c>
      <c r="CE79" s="1500"/>
      <c r="CF79" s="1452"/>
      <c r="CG79" s="1500"/>
      <c r="CH79" s="1452"/>
      <c r="CI79" s="1500"/>
      <c r="CJ79" s="1500"/>
      <c r="CK79" s="1455">
        <v>1000</v>
      </c>
      <c r="CL79" s="1452">
        <v>6284</v>
      </c>
      <c r="CM79" s="1455"/>
      <c r="CN79" s="1455">
        <v>2790</v>
      </c>
      <c r="CO79" s="1455">
        <v>121342</v>
      </c>
      <c r="CP79" s="1455"/>
      <c r="CQ79" s="1500"/>
      <c r="CR79" s="1452">
        <v>6284</v>
      </c>
      <c r="CS79" s="1452">
        <v>6284</v>
      </c>
      <c r="CT79" s="1500"/>
      <c r="CU79" s="1452">
        <v>1562</v>
      </c>
      <c r="CV79" s="1452">
        <v>1562</v>
      </c>
      <c r="CW79" s="1500"/>
      <c r="CX79" s="1500"/>
      <c r="CY79" s="1500"/>
      <c r="CZ79" s="1500"/>
      <c r="DA79" s="1500"/>
      <c r="DB79" s="1500"/>
      <c r="DC79" s="1500">
        <v>1562</v>
      </c>
      <c r="DD79" s="1500"/>
      <c r="DE79" s="1500"/>
      <c r="DF79" s="1500"/>
      <c r="DG79" s="1500"/>
      <c r="DH79" s="1500"/>
      <c r="DI79" s="1500"/>
      <c r="DJ79" s="1452">
        <v>1562</v>
      </c>
      <c r="DK79" s="1500"/>
      <c r="DL79" s="1500"/>
      <c r="DM79" s="1500"/>
      <c r="DN79" s="1500"/>
      <c r="DO79" s="1452"/>
      <c r="DP79" s="1500"/>
      <c r="DQ79" s="1500"/>
      <c r="DR79" s="1472">
        <v>6021</v>
      </c>
      <c r="DS79" s="1500"/>
      <c r="DT79" s="1500"/>
      <c r="DU79" s="1500"/>
      <c r="DV79" s="1500"/>
      <c r="DW79" s="1500"/>
      <c r="DX79" s="1500"/>
      <c r="DY79" s="1500"/>
      <c r="DZ79" s="1500"/>
      <c r="EA79" s="1455">
        <v>2790</v>
      </c>
      <c r="EB79" s="1500"/>
      <c r="EC79" s="1500"/>
      <c r="ED79" s="1500"/>
      <c r="EE79" s="1500"/>
      <c r="EF79" s="1452"/>
      <c r="EG79" s="1452">
        <v>2169</v>
      </c>
      <c r="EH79" s="1500"/>
      <c r="EI79" s="1452">
        <v>2150</v>
      </c>
      <c r="EJ79" s="1500"/>
      <c r="EK79" s="1500"/>
      <c r="EL79" s="1500"/>
      <c r="EM79" s="1452">
        <v>6284</v>
      </c>
      <c r="EN79" s="1500"/>
      <c r="EO79" s="1500"/>
      <c r="EP79" s="1500"/>
      <c r="EQ79" s="1500"/>
      <c r="ER79" s="1500"/>
      <c r="ES79" s="1500"/>
      <c r="ET79" s="1472">
        <v>2351</v>
      </c>
      <c r="EU79" s="1500"/>
      <c r="EV79" s="1500"/>
      <c r="EW79" s="1500"/>
      <c r="EX79" s="1500"/>
      <c r="EY79" s="1452">
        <v>6284</v>
      </c>
      <c r="EZ79" s="1500"/>
      <c r="FA79" s="1500"/>
      <c r="FB79" s="1500"/>
      <c r="FC79" s="1500"/>
      <c r="FD79" s="1500"/>
      <c r="FE79" s="1500"/>
      <c r="FF79" s="1452"/>
      <c r="FG79" s="1500"/>
      <c r="FH79" s="1452">
        <v>1562</v>
      </c>
      <c r="FI79" s="1500"/>
      <c r="FJ79" s="1472">
        <v>1450</v>
      </c>
      <c r="FK79" s="1500"/>
      <c r="FL79" s="1500"/>
      <c r="FM79" s="1500"/>
      <c r="FN79" s="1500"/>
      <c r="FO79" s="1500"/>
      <c r="FP79" s="1500"/>
      <c r="FQ79" s="1500"/>
      <c r="FR79" s="1500"/>
      <c r="FS79" s="1500"/>
      <c r="FT79" s="1500"/>
      <c r="FU79" s="1500"/>
      <c r="FV79" s="1500"/>
      <c r="FW79" s="1500"/>
      <c r="FX79" s="1500"/>
      <c r="FY79" s="1500"/>
      <c r="FZ79" s="1455"/>
      <c r="GA79" s="1455"/>
      <c r="GB79" s="1455"/>
      <c r="GC79" s="1455"/>
      <c r="GD79" s="1455"/>
      <c r="GE79" s="1500"/>
      <c r="GF79" s="1500"/>
      <c r="GG79" s="1500"/>
      <c r="GH79" s="1500"/>
      <c r="GI79" s="1500"/>
      <c r="GJ79" s="1454">
        <v>2150</v>
      </c>
      <c r="GK79" s="1500"/>
      <c r="GL79" s="1500"/>
      <c r="GM79" s="1500"/>
      <c r="GN79" s="1500"/>
      <c r="GO79" s="1500"/>
      <c r="GP79" s="1500"/>
      <c r="GQ79" s="1500"/>
      <c r="GR79" s="1500"/>
      <c r="GS79" s="1500"/>
      <c r="GT79" s="1500"/>
      <c r="GU79" s="1500"/>
      <c r="GV79" s="1500"/>
      <c r="GW79" s="1500"/>
      <c r="GX79" s="1452">
        <v>17948</v>
      </c>
      <c r="GY79" s="1500"/>
      <c r="GZ79" s="1500"/>
      <c r="HA79" s="1500"/>
      <c r="HB79" s="1452">
        <v>659</v>
      </c>
      <c r="HC79" s="1452">
        <v>1562</v>
      </c>
      <c r="HD79" s="1500"/>
      <c r="HE79" s="1500"/>
      <c r="HF79" s="1500"/>
      <c r="HG79" s="1500"/>
      <c r="HH79" s="1500"/>
      <c r="HI79" s="1500"/>
      <c r="HJ79" s="1500"/>
      <c r="HK79" s="1500"/>
      <c r="HL79" s="1500"/>
      <c r="HM79" s="1500"/>
      <c r="HN79" s="1500"/>
      <c r="HO79" s="1452"/>
      <c r="HP79" s="1500"/>
      <c r="HQ79" s="1500"/>
      <c r="HR79" s="1500"/>
      <c r="HS79" s="1500"/>
      <c r="HT79" s="1500"/>
      <c r="HU79" s="1500"/>
      <c r="HV79" s="1500"/>
      <c r="HW79" s="1500"/>
      <c r="HX79" s="1500"/>
      <c r="HY79" s="1500"/>
      <c r="HZ79" s="1500"/>
      <c r="IA79" s="1500"/>
      <c r="IB79" s="1500"/>
      <c r="IC79" s="1500"/>
      <c r="ID79" s="1500"/>
      <c r="IE79" s="1500"/>
      <c r="IF79" s="1500"/>
      <c r="IG79" s="1500"/>
      <c r="IH79" s="1500"/>
      <c r="II79" s="1500"/>
      <c r="IJ79" s="1500"/>
      <c r="IK79" s="1500"/>
      <c r="IL79" s="1500"/>
      <c r="IM79" s="1500"/>
      <c r="IN79" s="1500"/>
      <c r="IO79" s="1500"/>
      <c r="IP79" s="1500"/>
      <c r="IQ79" s="1500"/>
      <c r="IR79" s="1500"/>
      <c r="IS79" s="1500"/>
      <c r="IT79" s="1500"/>
      <c r="IU79" s="1500"/>
      <c r="IV79" s="1500"/>
      <c r="IW79" s="1500"/>
      <c r="IX79" s="1472">
        <v>21873</v>
      </c>
      <c r="IY79" s="1452"/>
      <c r="IZ79" s="1500"/>
      <c r="JA79" s="1452">
        <v>6284</v>
      </c>
      <c r="JB79" s="1500"/>
      <c r="JC79" s="1500"/>
      <c r="JD79" s="1500"/>
      <c r="JE79" s="1500"/>
      <c r="JF79" s="1500"/>
      <c r="JG79" s="1500"/>
      <c r="JH79" s="1500"/>
      <c r="JI79" s="1500"/>
      <c r="JJ79" s="1500"/>
      <c r="JK79" s="1500"/>
      <c r="JL79" s="1500"/>
      <c r="JM79" s="1500"/>
      <c r="JN79" s="1500"/>
      <c r="JO79" s="1500"/>
      <c r="JP79" s="1500"/>
      <c r="JQ79" s="1477"/>
      <c r="JR79" s="351"/>
      <c r="JS79" s="1400" t="s">
        <v>3139</v>
      </c>
      <c r="JT79" s="1400" t="s">
        <v>2882</v>
      </c>
    </row>
    <row r="80" spans="1:280" x14ac:dyDescent="0.25">
      <c r="A80" s="1367">
        <v>33</v>
      </c>
      <c r="B80" s="1411" t="str">
        <f t="shared" si="19"/>
        <v/>
      </c>
      <c r="C80" s="1435" t="s">
        <v>3155</v>
      </c>
      <c r="D80" s="1436" t="s">
        <v>3156</v>
      </c>
      <c r="E80" s="1452"/>
      <c r="F80" s="1452"/>
      <c r="G80" s="1452"/>
      <c r="H80" s="1452"/>
      <c r="I80" s="1452"/>
      <c r="J80" s="1452"/>
      <c r="K80" s="1452"/>
      <c r="L80" s="1452"/>
      <c r="M80" s="1452"/>
      <c r="N80" s="1452"/>
      <c r="O80" s="1452"/>
      <c r="P80" s="1452"/>
      <c r="Q80" s="1452"/>
      <c r="R80" s="1452"/>
      <c r="S80" s="1452"/>
      <c r="T80" s="1500"/>
      <c r="U80" s="1500"/>
      <c r="V80" s="1500"/>
      <c r="W80" s="1500"/>
      <c r="X80" s="1500"/>
      <c r="Y80" s="1500"/>
      <c r="Z80" s="1500"/>
      <c r="AA80" s="1500"/>
      <c r="AB80" s="1500"/>
      <c r="AC80" s="1452"/>
      <c r="AD80" s="1452"/>
      <c r="AE80" s="1452"/>
      <c r="AF80" s="1452"/>
      <c r="AG80" s="1452"/>
      <c r="AH80" s="1452"/>
      <c r="AI80" s="1500"/>
      <c r="AJ80" s="1452"/>
      <c r="AK80" s="1500"/>
      <c r="AL80" s="1452"/>
      <c r="AM80" s="1500"/>
      <c r="AN80" s="1500"/>
      <c r="AO80" s="1500"/>
      <c r="AP80" s="1500"/>
      <c r="AQ80" s="1500"/>
      <c r="AR80" s="1500"/>
      <c r="AS80" s="1500"/>
      <c r="AT80" s="1500"/>
      <c r="AU80" s="1500"/>
      <c r="AV80" s="1452"/>
      <c r="AW80" s="1500"/>
      <c r="AX80" s="1500"/>
      <c r="AY80" s="1500"/>
      <c r="AZ80" s="1500"/>
      <c r="BA80" s="1500"/>
      <c r="BB80" s="1500"/>
      <c r="BC80" s="1500"/>
      <c r="BD80" s="1500"/>
      <c r="BE80" s="1500"/>
      <c r="BF80" s="1500"/>
      <c r="BG80" s="1500"/>
      <c r="BH80" s="1500"/>
      <c r="BI80" s="1500"/>
      <c r="BJ80" s="1454"/>
      <c r="BK80" s="1500"/>
      <c r="BL80" s="1500"/>
      <c r="BM80" s="1500"/>
      <c r="BN80" s="1500"/>
      <c r="BO80" s="1500"/>
      <c r="BP80" s="1511"/>
      <c r="BQ80" s="1500"/>
      <c r="BR80" s="1500"/>
      <c r="BS80" s="1500"/>
      <c r="BT80" s="1500"/>
      <c r="BU80" s="1500"/>
      <c r="BV80" s="1500"/>
      <c r="BW80" s="1500"/>
      <c r="BX80" s="1500"/>
      <c r="BY80" s="1500"/>
      <c r="BZ80" s="1500"/>
      <c r="CA80" s="1500"/>
      <c r="CB80" s="1500"/>
      <c r="CC80" s="1500"/>
      <c r="CD80" s="1500"/>
      <c r="CE80" s="1500"/>
      <c r="CF80" s="1452"/>
      <c r="CG80" s="1500"/>
      <c r="CH80" s="1452"/>
      <c r="CI80" s="1500"/>
      <c r="CJ80" s="1500"/>
      <c r="CK80" s="1455"/>
      <c r="CL80" s="1452">
        <v>8592</v>
      </c>
      <c r="CM80" s="1455"/>
      <c r="CN80" s="1455">
        <v>6487</v>
      </c>
      <c r="CO80" s="1455"/>
      <c r="CP80" s="1455"/>
      <c r="CQ80" s="1500"/>
      <c r="CR80" s="1452">
        <v>8592</v>
      </c>
      <c r="CS80" s="1452">
        <v>8592</v>
      </c>
      <c r="CT80" s="1500"/>
      <c r="CU80" s="1452"/>
      <c r="CV80" s="1452"/>
      <c r="CW80" s="1500"/>
      <c r="CX80" s="1500"/>
      <c r="CY80" s="1500"/>
      <c r="CZ80" s="1500"/>
      <c r="DA80" s="1500"/>
      <c r="DB80" s="1500"/>
      <c r="DC80" s="1500"/>
      <c r="DD80" s="1500"/>
      <c r="DE80" s="1500"/>
      <c r="DF80" s="1500"/>
      <c r="DG80" s="1500"/>
      <c r="DH80" s="1500"/>
      <c r="DI80" s="1500"/>
      <c r="DJ80" s="1452"/>
      <c r="DK80" s="1500"/>
      <c r="DL80" s="1500"/>
      <c r="DM80" s="1500"/>
      <c r="DN80" s="1500"/>
      <c r="DO80" s="1452"/>
      <c r="DP80" s="1500"/>
      <c r="DQ80" s="1500"/>
      <c r="DR80" s="1472">
        <v>26309</v>
      </c>
      <c r="DS80" s="1500"/>
      <c r="DT80" s="1500"/>
      <c r="DU80" s="1500"/>
      <c r="DV80" s="1500"/>
      <c r="DW80" s="1500"/>
      <c r="DX80" s="1500"/>
      <c r="DY80" s="1500"/>
      <c r="DZ80" s="1500"/>
      <c r="EA80" s="1455">
        <v>6487</v>
      </c>
      <c r="EB80" s="1500"/>
      <c r="EC80" s="1500"/>
      <c r="ED80" s="1500"/>
      <c r="EE80" s="1500"/>
      <c r="EF80" s="1452"/>
      <c r="EG80" s="1452"/>
      <c r="EH80" s="1500"/>
      <c r="EI80" s="1452"/>
      <c r="EJ80" s="1500"/>
      <c r="EK80" s="1500"/>
      <c r="EL80" s="1500"/>
      <c r="EM80" s="1452">
        <v>8592</v>
      </c>
      <c r="EN80" s="1500"/>
      <c r="EO80" s="1500"/>
      <c r="EP80" s="1500"/>
      <c r="EQ80" s="1500"/>
      <c r="ER80" s="1500"/>
      <c r="ES80" s="1500"/>
      <c r="ET80" s="1472">
        <v>1006</v>
      </c>
      <c r="EU80" s="1500"/>
      <c r="EV80" s="1500"/>
      <c r="EW80" s="1500"/>
      <c r="EX80" s="1500"/>
      <c r="EY80" s="1452">
        <v>8592</v>
      </c>
      <c r="EZ80" s="1500"/>
      <c r="FA80" s="1500"/>
      <c r="FB80" s="1500"/>
      <c r="FC80" s="1500"/>
      <c r="FD80" s="1500"/>
      <c r="FE80" s="1500"/>
      <c r="FF80" s="1452"/>
      <c r="FG80" s="1500"/>
      <c r="FH80" s="1452"/>
      <c r="FI80" s="1500"/>
      <c r="FJ80" s="1500"/>
      <c r="FK80" s="1500"/>
      <c r="FL80" s="1500"/>
      <c r="FM80" s="1500"/>
      <c r="FN80" s="1500"/>
      <c r="FO80" s="1500"/>
      <c r="FP80" s="1500"/>
      <c r="FQ80" s="1500"/>
      <c r="FR80" s="1500"/>
      <c r="FS80" s="1500"/>
      <c r="FT80" s="1500"/>
      <c r="FU80" s="1500"/>
      <c r="FV80" s="1500"/>
      <c r="FW80" s="1500"/>
      <c r="FX80" s="1500"/>
      <c r="FY80" s="1500"/>
      <c r="FZ80" s="1455"/>
      <c r="GA80" s="1455"/>
      <c r="GB80" s="1455"/>
      <c r="GC80" s="1455"/>
      <c r="GD80" s="1455"/>
      <c r="GE80" s="1500"/>
      <c r="GF80" s="1500"/>
      <c r="GG80" s="1500"/>
      <c r="GH80" s="1500"/>
      <c r="GI80" s="1500"/>
      <c r="GJ80" s="1452"/>
      <c r="GK80" s="1500"/>
      <c r="GL80" s="1500"/>
      <c r="GM80" s="1500"/>
      <c r="GN80" s="1500"/>
      <c r="GO80" s="1500"/>
      <c r="GP80" s="1500"/>
      <c r="GQ80" s="1500"/>
      <c r="GR80" s="1500"/>
      <c r="GS80" s="1500"/>
      <c r="GT80" s="1500"/>
      <c r="GU80" s="1500"/>
      <c r="GV80" s="1500"/>
      <c r="GW80" s="1500"/>
      <c r="GX80" s="1452">
        <v>2000</v>
      </c>
      <c r="GY80" s="1500"/>
      <c r="GZ80" s="1500"/>
      <c r="HA80" s="1500"/>
      <c r="HB80" s="1452"/>
      <c r="HC80" s="1452"/>
      <c r="HD80" s="1500"/>
      <c r="HE80" s="1500"/>
      <c r="HF80" s="1500"/>
      <c r="HG80" s="1500"/>
      <c r="HH80" s="1500"/>
      <c r="HI80" s="1500"/>
      <c r="HJ80" s="1500"/>
      <c r="HK80" s="1500"/>
      <c r="HL80" s="1500"/>
      <c r="HM80" s="1500"/>
      <c r="HN80" s="1500"/>
      <c r="HO80" s="1452"/>
      <c r="HP80" s="1500"/>
      <c r="HQ80" s="1500"/>
      <c r="HR80" s="1500"/>
      <c r="HS80" s="1500"/>
      <c r="HT80" s="1500"/>
      <c r="HU80" s="1500"/>
      <c r="HV80" s="1500"/>
      <c r="HW80" s="1500"/>
      <c r="HX80" s="1500"/>
      <c r="HY80" s="1500"/>
      <c r="HZ80" s="1500"/>
      <c r="IA80" s="1500"/>
      <c r="IB80" s="1500"/>
      <c r="IC80" s="1500"/>
      <c r="ID80" s="1500"/>
      <c r="IE80" s="1500"/>
      <c r="IF80" s="1500"/>
      <c r="IG80" s="1500"/>
      <c r="IH80" s="1500"/>
      <c r="II80" s="1500"/>
      <c r="IJ80" s="1500"/>
      <c r="IK80" s="1500"/>
      <c r="IL80" s="1500"/>
      <c r="IM80" s="1500"/>
      <c r="IN80" s="1500"/>
      <c r="IO80" s="1500"/>
      <c r="IP80" s="1500"/>
      <c r="IQ80" s="1500"/>
      <c r="IR80" s="1500"/>
      <c r="IS80" s="1500"/>
      <c r="IT80" s="1500"/>
      <c r="IU80" s="1500"/>
      <c r="IV80" s="1500"/>
      <c r="IW80" s="1500"/>
      <c r="IX80" s="1472">
        <v>3580</v>
      </c>
      <c r="IY80" s="1452"/>
      <c r="IZ80" s="1500"/>
      <c r="JA80" s="1452">
        <v>8592</v>
      </c>
      <c r="JB80" s="1500"/>
      <c r="JC80" s="1500"/>
      <c r="JD80" s="1500"/>
      <c r="JE80" s="1500"/>
      <c r="JF80" s="1500"/>
      <c r="JG80" s="1500"/>
      <c r="JH80" s="1500"/>
      <c r="JI80" s="1500"/>
      <c r="JJ80" s="1500"/>
      <c r="JK80" s="1500"/>
      <c r="JL80" s="1500"/>
      <c r="JM80" s="1500"/>
      <c r="JN80" s="1500"/>
      <c r="JO80" s="1500"/>
      <c r="JP80" s="1500"/>
      <c r="JQ80" s="1477"/>
      <c r="JR80" s="351"/>
      <c r="JS80" s="1400" t="s">
        <v>3139</v>
      </c>
      <c r="JT80" s="1400" t="s">
        <v>2882</v>
      </c>
    </row>
    <row r="81" spans="1:280" x14ac:dyDescent="0.25">
      <c r="A81" s="1367">
        <v>34</v>
      </c>
      <c r="B81" s="1411" t="str">
        <f t="shared" si="19"/>
        <v/>
      </c>
      <c r="C81" s="1435" t="s">
        <v>3157</v>
      </c>
      <c r="D81" s="1436" t="s">
        <v>2847</v>
      </c>
      <c r="E81" s="1452"/>
      <c r="F81" s="1452"/>
      <c r="G81" s="1452"/>
      <c r="H81" s="1452"/>
      <c r="I81" s="1452">
        <v>1300</v>
      </c>
      <c r="J81" s="1452"/>
      <c r="K81" s="1452"/>
      <c r="L81" s="1452">
        <v>2100</v>
      </c>
      <c r="M81" s="1452"/>
      <c r="N81" s="1452"/>
      <c r="O81" s="1452"/>
      <c r="P81" s="1452"/>
      <c r="Q81" s="1452">
        <v>1500</v>
      </c>
      <c r="R81" s="1452"/>
      <c r="S81" s="1452">
        <v>500</v>
      </c>
      <c r="T81" s="1500"/>
      <c r="U81" s="1500"/>
      <c r="V81" s="1500"/>
      <c r="W81" s="1500"/>
      <c r="X81" s="1500"/>
      <c r="Y81" s="1500"/>
      <c r="Z81" s="1500"/>
      <c r="AA81" s="1500"/>
      <c r="AB81" s="1500"/>
      <c r="AC81" s="1452">
        <v>1500</v>
      </c>
      <c r="AD81" s="1452"/>
      <c r="AE81" s="1452"/>
      <c r="AF81" s="1452"/>
      <c r="AG81" s="1452"/>
      <c r="AH81" s="1452"/>
      <c r="AI81" s="1500"/>
      <c r="AJ81" s="1452">
        <v>3661</v>
      </c>
      <c r="AK81" s="1500"/>
      <c r="AL81" s="1452"/>
      <c r="AM81" s="1500"/>
      <c r="AN81" s="1500"/>
      <c r="AO81" s="1500"/>
      <c r="AP81" s="1500"/>
      <c r="AQ81" s="1500"/>
      <c r="AR81" s="1500"/>
      <c r="AS81" s="1500"/>
      <c r="AT81" s="1500"/>
      <c r="AU81" s="1500"/>
      <c r="AV81" s="1452">
        <v>223</v>
      </c>
      <c r="AW81" s="1500"/>
      <c r="AX81" s="1500"/>
      <c r="AY81" s="1500"/>
      <c r="AZ81" s="1500"/>
      <c r="BA81" s="1500"/>
      <c r="BB81" s="1500"/>
      <c r="BC81" s="1500"/>
      <c r="BD81" s="1500"/>
      <c r="BE81" s="1500"/>
      <c r="BF81" s="1500"/>
      <c r="BG81" s="1500"/>
      <c r="BH81" s="1500"/>
      <c r="BI81" s="1500"/>
      <c r="BJ81" s="1454"/>
      <c r="BK81" s="1500"/>
      <c r="BL81" s="1500"/>
      <c r="BM81" s="1500"/>
      <c r="BN81" s="1500"/>
      <c r="BO81" s="1500"/>
      <c r="BP81" s="1511"/>
      <c r="BQ81" s="1500"/>
      <c r="BR81" s="1500"/>
      <c r="BS81" s="1500"/>
      <c r="BT81" s="1500"/>
      <c r="BU81" s="1500"/>
      <c r="BV81" s="1500"/>
      <c r="BW81" s="1500"/>
      <c r="BX81" s="1500"/>
      <c r="BY81" s="1500"/>
      <c r="BZ81" s="1500"/>
      <c r="CA81" s="1500"/>
      <c r="CB81" s="1500"/>
      <c r="CC81" s="1500"/>
      <c r="CD81" s="1500"/>
      <c r="CE81" s="1500"/>
      <c r="CF81" s="1452"/>
      <c r="CG81" s="1500"/>
      <c r="CH81" s="1452">
        <v>1500</v>
      </c>
      <c r="CI81" s="1500"/>
      <c r="CJ81" s="1500"/>
      <c r="CK81" s="1455">
        <v>2350</v>
      </c>
      <c r="CL81" s="1452">
        <v>627</v>
      </c>
      <c r="CM81" s="1455"/>
      <c r="CN81" s="1455">
        <v>4026</v>
      </c>
      <c r="CO81" s="1455"/>
      <c r="CP81" s="1455">
        <v>309</v>
      </c>
      <c r="CQ81" s="1500"/>
      <c r="CR81" s="1452">
        <v>627</v>
      </c>
      <c r="CS81" s="1452">
        <v>627</v>
      </c>
      <c r="CT81" s="1500"/>
      <c r="CU81" s="1452"/>
      <c r="CV81" s="1452"/>
      <c r="CW81" s="1500"/>
      <c r="CX81" s="1500"/>
      <c r="CY81" s="1500"/>
      <c r="CZ81" s="1500"/>
      <c r="DA81" s="1500"/>
      <c r="DB81" s="1500"/>
      <c r="DC81" s="1500"/>
      <c r="DD81" s="1500"/>
      <c r="DE81" s="1500"/>
      <c r="DF81" s="1500"/>
      <c r="DG81" s="1500"/>
      <c r="DH81" s="1500"/>
      <c r="DI81" s="1500"/>
      <c r="DJ81" s="1452"/>
      <c r="DK81" s="1500"/>
      <c r="DL81" s="1500"/>
      <c r="DM81" s="1500"/>
      <c r="DN81" s="1500"/>
      <c r="DO81" s="1452"/>
      <c r="DP81" s="1500"/>
      <c r="DQ81" s="1500"/>
      <c r="DR81" s="1500"/>
      <c r="DS81" s="1500"/>
      <c r="DT81" s="1500"/>
      <c r="DU81" s="1500"/>
      <c r="DV81" s="1500"/>
      <c r="DW81" s="1500"/>
      <c r="DX81" s="1500"/>
      <c r="DY81" s="1500"/>
      <c r="DZ81" s="1500"/>
      <c r="EA81" s="1455">
        <v>4026</v>
      </c>
      <c r="EB81" s="1500"/>
      <c r="EC81" s="1500"/>
      <c r="ED81" s="1500"/>
      <c r="EE81" s="1500"/>
      <c r="EF81" s="1452"/>
      <c r="EG81" s="1452">
        <v>1840</v>
      </c>
      <c r="EH81" s="1500"/>
      <c r="EI81" s="1452">
        <v>59</v>
      </c>
      <c r="EJ81" s="1500"/>
      <c r="EK81" s="1500"/>
      <c r="EL81" s="1500"/>
      <c r="EM81" s="1452">
        <v>627</v>
      </c>
      <c r="EN81" s="1500"/>
      <c r="EO81" s="1500"/>
      <c r="EP81" s="1500"/>
      <c r="EQ81" s="1500"/>
      <c r="ER81" s="1500"/>
      <c r="ES81" s="1472">
        <v>8464</v>
      </c>
      <c r="ET81" s="1500"/>
      <c r="EU81" s="1500"/>
      <c r="EV81" s="1500"/>
      <c r="EW81" s="1500"/>
      <c r="EX81" s="1500"/>
      <c r="EY81" s="1452">
        <v>627</v>
      </c>
      <c r="EZ81" s="1500"/>
      <c r="FA81" s="1500"/>
      <c r="FB81" s="1500"/>
      <c r="FC81" s="1500"/>
      <c r="FD81" s="1500"/>
      <c r="FE81" s="1500"/>
      <c r="FF81" s="1452"/>
      <c r="FG81" s="1500"/>
      <c r="FH81" s="1452"/>
      <c r="FI81" s="1500"/>
      <c r="FJ81" s="1500"/>
      <c r="FK81" s="1500"/>
      <c r="FL81" s="1500"/>
      <c r="FM81" s="1500"/>
      <c r="FN81" s="1500"/>
      <c r="FO81" s="1500"/>
      <c r="FP81" s="1500"/>
      <c r="FQ81" s="1500"/>
      <c r="FR81" s="1500"/>
      <c r="FS81" s="1500"/>
      <c r="FT81" s="1500"/>
      <c r="FU81" s="1500"/>
      <c r="FV81" s="1500"/>
      <c r="FW81" s="1500"/>
      <c r="FX81" s="1500"/>
      <c r="FY81" s="1500"/>
      <c r="FZ81" s="1455"/>
      <c r="GA81" s="1455"/>
      <c r="GB81" s="1455"/>
      <c r="GC81" s="1455"/>
      <c r="GD81" s="1455"/>
      <c r="GE81" s="1500"/>
      <c r="GF81" s="1500"/>
      <c r="GG81" s="1500"/>
      <c r="GH81" s="1500"/>
      <c r="GI81" s="1500"/>
      <c r="GJ81" s="1454">
        <v>59</v>
      </c>
      <c r="GK81" s="1500"/>
      <c r="GL81" s="1500"/>
      <c r="GM81" s="1500"/>
      <c r="GN81" s="1500"/>
      <c r="GO81" s="1500"/>
      <c r="GP81" s="1500"/>
      <c r="GQ81" s="1500"/>
      <c r="GR81" s="1500"/>
      <c r="GS81" s="1500"/>
      <c r="GT81" s="1500"/>
      <c r="GU81" s="1500"/>
      <c r="GV81" s="1500"/>
      <c r="GW81" s="1500"/>
      <c r="GX81" s="1452">
        <v>860</v>
      </c>
      <c r="GY81" s="1500"/>
      <c r="GZ81" s="1500"/>
      <c r="HA81" s="1500"/>
      <c r="HB81" s="1452">
        <v>223</v>
      </c>
      <c r="HC81" s="1452"/>
      <c r="HD81" s="1500"/>
      <c r="HE81" s="1500"/>
      <c r="HF81" s="1500"/>
      <c r="HG81" s="1500"/>
      <c r="HH81" s="1500"/>
      <c r="HI81" s="1500"/>
      <c r="HJ81" s="1500"/>
      <c r="HK81" s="1500"/>
      <c r="HL81" s="1500"/>
      <c r="HM81" s="1500"/>
      <c r="HN81" s="1500"/>
      <c r="HO81" s="1452">
        <v>1500</v>
      </c>
      <c r="HP81" s="1500"/>
      <c r="HQ81" s="1500"/>
      <c r="HR81" s="1500"/>
      <c r="HS81" s="1500"/>
      <c r="HT81" s="1500"/>
      <c r="HU81" s="1500"/>
      <c r="HV81" s="1500"/>
      <c r="HW81" s="1500"/>
      <c r="HX81" s="1500"/>
      <c r="HY81" s="1500"/>
      <c r="HZ81" s="1500"/>
      <c r="IA81" s="1500"/>
      <c r="IB81" s="1500"/>
      <c r="IC81" s="1500"/>
      <c r="ID81" s="1500"/>
      <c r="IE81" s="1500"/>
      <c r="IF81" s="1500"/>
      <c r="IG81" s="1500"/>
      <c r="IH81" s="1500"/>
      <c r="II81" s="1500"/>
      <c r="IJ81" s="1500"/>
      <c r="IK81" s="1500"/>
      <c r="IL81" s="1500"/>
      <c r="IM81" s="1500"/>
      <c r="IN81" s="1500"/>
      <c r="IO81" s="1500"/>
      <c r="IP81" s="1500"/>
      <c r="IQ81" s="1500"/>
      <c r="IR81" s="1500"/>
      <c r="IS81" s="1500"/>
      <c r="IT81" s="1500"/>
      <c r="IU81" s="1500"/>
      <c r="IV81" s="1500"/>
      <c r="IW81" s="1500"/>
      <c r="IX81" s="1472">
        <v>12217</v>
      </c>
      <c r="IY81" s="1452"/>
      <c r="IZ81" s="1500"/>
      <c r="JA81" s="1452">
        <v>627</v>
      </c>
      <c r="JB81" s="1500"/>
      <c r="JC81" s="1500"/>
      <c r="JD81" s="1500"/>
      <c r="JE81" s="1500"/>
      <c r="JF81" s="1500"/>
      <c r="JG81" s="1500"/>
      <c r="JH81" s="1500"/>
      <c r="JI81" s="1500"/>
      <c r="JJ81" s="1500"/>
      <c r="JK81" s="1500"/>
      <c r="JL81" s="1500"/>
      <c r="JM81" s="1500"/>
      <c r="JN81" s="1500"/>
      <c r="JO81" s="1500"/>
      <c r="JP81" s="1500"/>
      <c r="JQ81" s="1477"/>
      <c r="JR81" s="351"/>
      <c r="JS81" s="1400" t="s">
        <v>3139</v>
      </c>
      <c r="JT81" s="1400" t="s">
        <v>2882</v>
      </c>
    </row>
    <row r="82" spans="1:280" ht="50" x14ac:dyDescent="0.25">
      <c r="A82" s="1367">
        <v>35</v>
      </c>
      <c r="B82" s="1411" t="str">
        <f t="shared" si="19"/>
        <v/>
      </c>
      <c r="C82" s="1435" t="s">
        <v>3158</v>
      </c>
      <c r="D82" s="1436" t="s">
        <v>2960</v>
      </c>
      <c r="E82" s="1479"/>
      <c r="F82" s="1479"/>
      <c r="G82" s="1479">
        <f>G68+G69+G70+G71+G72+G73+G74+G75+G76+G77+G78+G79+G80+G81</f>
        <v>2000</v>
      </c>
      <c r="H82" s="1479"/>
      <c r="I82" s="1479">
        <f>I68+I69+I70+I71+I72+I73+I74+I75+I76+I77+I78+I79+I80+I81</f>
        <v>60549</v>
      </c>
      <c r="J82" s="1479"/>
      <c r="K82" s="1479"/>
      <c r="L82" s="1479">
        <f>L68+L69+L70+L71+L72+L73+L74+L75+L76+L77+L78+L79+L80+L81</f>
        <v>2100</v>
      </c>
      <c r="M82" s="1479"/>
      <c r="N82" s="1479"/>
      <c r="O82" s="1479"/>
      <c r="P82" s="1479"/>
      <c r="Q82" s="1479">
        <f>Q68+Q69+Q70+Q71+Q72+Q73+Q74+Q75+Q76+Q77+Q78+Q79+Q80+Q81</f>
        <v>60000</v>
      </c>
      <c r="R82" s="1479"/>
      <c r="S82" s="1479">
        <f>S68+S69+S70+S71+S72+S73+S74+S75+S76+S77+S78+S79+S80+S81</f>
        <v>59000</v>
      </c>
      <c r="T82" s="1479"/>
      <c r="U82" s="1479"/>
      <c r="V82" s="1479"/>
      <c r="W82" s="1479"/>
      <c r="X82" s="1479"/>
      <c r="Y82" s="1479"/>
      <c r="Z82" s="1479"/>
      <c r="AA82" s="1479">
        <f t="shared" ref="AA82" si="20">AA68+AA69+AA70+AA71+AA72+AA73+AA74+AA75+AA76+AA77+AA78+AA79+AA80+AA81</f>
        <v>1566</v>
      </c>
      <c r="AB82" s="1479"/>
      <c r="AC82" s="1479">
        <f>AC68+AC69+AC70+AC71+AC72+AC73+AC74+AC75+AC76+AC77+AC78+AC79+AC80+AC81</f>
        <v>60000</v>
      </c>
      <c r="AD82" s="1479"/>
      <c r="AE82" s="1479">
        <v>10620</v>
      </c>
      <c r="AF82" s="1479"/>
      <c r="AG82" s="1479"/>
      <c r="AH82" s="1479">
        <v>1570</v>
      </c>
      <c r="AI82" s="1479"/>
      <c r="AJ82" s="1479">
        <f>AJ68+AJ69+AJ70+AJ71+AJ72+AJ73+AJ74+AJ75+AJ76+AJ77+AJ78+AJ79+AJ80+AJ81</f>
        <v>16530</v>
      </c>
      <c r="AK82" s="1479"/>
      <c r="AL82" s="1479"/>
      <c r="AM82" s="1479">
        <f t="shared" ref="AM82:AN82" si="21">AM68+AM69+AM70+AM71+AM72+AM73+AM74+AM75+AM76+AM77+AM78+AM79+AM80+AM81</f>
        <v>2570</v>
      </c>
      <c r="AN82" s="1479">
        <f t="shared" si="21"/>
        <v>9123</v>
      </c>
      <c r="AO82" s="1479"/>
      <c r="AP82" s="1479">
        <f t="shared" ref="AP82" si="22">AP68+AP69+AP70+AP71+AP72+AP73+AP74+AP75+AP76+AP77+AP78+AP79+AP80+AP81</f>
        <v>6376</v>
      </c>
      <c r="AQ82" s="1479"/>
      <c r="AR82" s="1479"/>
      <c r="AS82" s="1479"/>
      <c r="AT82" s="1479"/>
      <c r="AU82" s="1479"/>
      <c r="AV82" s="1479">
        <f>AV68+AV69+AV70+AV71+AV72+AV73+AV74+AV75+AV76+AV77+AV78+AV79+AV80+AV81</f>
        <v>78251</v>
      </c>
      <c r="AW82" s="1479"/>
      <c r="AX82" s="1479"/>
      <c r="AY82" s="1479"/>
      <c r="AZ82" s="1479"/>
      <c r="BA82" s="1479"/>
      <c r="BB82" s="1479"/>
      <c r="BC82" s="1479"/>
      <c r="BD82" s="1479"/>
      <c r="BE82" s="1479"/>
      <c r="BF82" s="1479"/>
      <c r="BG82" s="1479"/>
      <c r="BH82" s="1479"/>
      <c r="BI82" s="1479"/>
      <c r="BJ82" s="1503"/>
      <c r="BK82" s="1529"/>
      <c r="BL82" s="1529"/>
      <c r="BM82" s="1529"/>
      <c r="BN82" s="1529"/>
      <c r="BO82" s="1529"/>
      <c r="BP82" s="1479"/>
      <c r="BQ82" s="1529"/>
      <c r="BR82" s="1529"/>
      <c r="BS82" s="1529"/>
      <c r="BT82" s="1529"/>
      <c r="BU82" s="1529"/>
      <c r="BV82" s="1529"/>
      <c r="BW82" s="1529"/>
      <c r="BX82" s="1529"/>
      <c r="BY82" s="1529">
        <f t="shared" ref="BY82" si="23">BY68+BY69+BY70+BY71+BY72+BY73+BY74+BY75+BY76+BY77+BY78+BY79+BY80+BY81</f>
        <v>20000</v>
      </c>
      <c r="BZ82" s="1529"/>
      <c r="CA82" s="1529"/>
      <c r="CB82" s="1529">
        <f>CB68+CB69+CB70+CB71+CB72+CB73+CB74+CB75+CB76+CB77+CB78+CB79+CB80+CB81</f>
        <v>30436</v>
      </c>
      <c r="CC82" s="1529"/>
      <c r="CD82" s="1529">
        <f t="shared" ref="CD82" si="24">CD68+CD69+CD70+CD71+CD72+CD73+CD74+CD75+CD76+CD77+CD78+CD79+CD80+CD81</f>
        <v>71463</v>
      </c>
      <c r="CE82" s="1529"/>
      <c r="CF82" s="1479">
        <f>CF68+CF69+CF70+CF71+CF72+CF73+CF74+CF75+CF76+CF77+CF78+CF79+CF80+CF81</f>
        <v>28660</v>
      </c>
      <c r="CG82" s="1529"/>
      <c r="CH82" s="1479">
        <f>CH68+CH69+CH70+CH71+CH72+CH73+CH74+CH75+CH76+CH77+CH78+CH79+CH80+CH81</f>
        <v>60000</v>
      </c>
      <c r="CI82" s="1529"/>
      <c r="CJ82" s="1529"/>
      <c r="CK82" s="1479">
        <f t="shared" ref="CK82:CP82" si="25">CK68+CK69+CK70+CK71+CK72+CK73+CK74+CK75+CK76+CK77+CK78+CK79+CK80+CK81</f>
        <v>26120</v>
      </c>
      <c r="CL82" s="1479">
        <f t="shared" si="25"/>
        <v>230266</v>
      </c>
      <c r="CM82" s="1479">
        <f t="shared" si="25"/>
        <v>18008</v>
      </c>
      <c r="CN82" s="1479">
        <f>CN68+CN69+CN70+CN71+CN72+CN73+CN74+CN75+CN76+CN77+CN78+CN79+CN80+CN81</f>
        <v>96926</v>
      </c>
      <c r="CO82" s="1479">
        <f t="shared" si="25"/>
        <v>490319</v>
      </c>
      <c r="CP82" s="1479">
        <f t="shared" si="25"/>
        <v>143351</v>
      </c>
      <c r="CQ82" s="1529"/>
      <c r="CR82" s="1479">
        <f>CR68+CR69+CR70+CR71+CR72+CR73+CR74+CR75+CR76+CR77+CR78+CR79+CR80+CR81</f>
        <v>230266</v>
      </c>
      <c r="CS82" s="1479">
        <f>CS68+CS69+CS70+CS71+CS72+CS73+CS74+CS75+CS76+CS77+CS78+CS79+CS80+CS81</f>
        <v>230266</v>
      </c>
      <c r="CT82" s="1529"/>
      <c r="CU82" s="1479">
        <f>CU68+CU69+CU70+CU71+CU72+CU73+CU74+CU75+CU76+CU77+CU78+CU79+CU80+CU81</f>
        <v>40886</v>
      </c>
      <c r="CV82" s="1479">
        <f>CV68+CV69+CV70+CV71+CV72+CV73+CV74+CV75+CV76+CV77+CV78+CV79+CV80+CV81</f>
        <v>40886</v>
      </c>
      <c r="CW82" s="1529"/>
      <c r="CX82" s="1529"/>
      <c r="CY82" s="1529"/>
      <c r="CZ82" s="1529"/>
      <c r="DA82" s="1529"/>
      <c r="DB82" s="1529"/>
      <c r="DC82" s="1529">
        <f>DC68+DC69+DC70+DC71+DC72+DC73+DC74+DC75+DC76+DC77+DC78+DC79+DC80+DC81</f>
        <v>40886</v>
      </c>
      <c r="DD82" s="1529"/>
      <c r="DE82" s="1529"/>
      <c r="DF82" s="1529"/>
      <c r="DG82" s="1529"/>
      <c r="DH82" s="1529"/>
      <c r="DI82" s="1529"/>
      <c r="DJ82" s="1479">
        <f>DJ68+DJ69+DJ70+DJ71+DJ72+DJ73+DJ74+DJ75+DJ76+DJ77+DJ78+DJ79+DJ80+DJ81</f>
        <v>40886</v>
      </c>
      <c r="DK82" s="1479"/>
      <c r="DL82" s="1479"/>
      <c r="DM82" s="1479"/>
      <c r="DN82" s="1479"/>
      <c r="DO82" s="1479"/>
      <c r="DP82" s="1479"/>
      <c r="DQ82" s="1479"/>
      <c r="DR82" s="1479">
        <f>DR68+DR69+DR70+DR71+DR72+DR73+DR74+DR75+DR76+DR77+DR78+DR79+DR80+DR81</f>
        <v>272720</v>
      </c>
      <c r="DS82" s="1529"/>
      <c r="DT82" s="1529"/>
      <c r="DU82" s="1529"/>
      <c r="DV82" s="1529"/>
      <c r="DW82" s="1529"/>
      <c r="DX82" s="1529"/>
      <c r="DY82" s="1529"/>
      <c r="DZ82" s="1529"/>
      <c r="EA82" s="1529">
        <f>EA68+EA69+EA70+EA71+EA72+EA73+EA74+EA75+EA76+EA77+EA78+EA79+EA80+EA81</f>
        <v>119836</v>
      </c>
      <c r="EB82" s="1529"/>
      <c r="EC82" s="1529"/>
      <c r="ED82" s="1529"/>
      <c r="EE82" s="1529"/>
      <c r="EF82" s="1479">
        <f>EF68+EF69+EF70+EF71+EF72+EF73+EF74+EF75+EF76+EF77+EF78+EF79+EF80+EF81</f>
        <v>49180</v>
      </c>
      <c r="EG82" s="1479">
        <f>EG68+EG69+EG70+EG71+EG72+EG73+EG74+EG75+EG76+EG77+EG78+EG79+EG80+EG81</f>
        <v>75000</v>
      </c>
      <c r="EH82" s="1529"/>
      <c r="EI82" s="1479">
        <f>EI68+EI69+EI70+EI71+EI72+EI73+EI74+EI75+EI76+EI77+EI78+EI79+EI80+EI81</f>
        <v>9900</v>
      </c>
      <c r="EJ82" s="1529"/>
      <c r="EK82" s="1529"/>
      <c r="EL82" s="1529"/>
      <c r="EM82" s="1479">
        <f>EM68+EM69+EM70+EM71+EM72+EM73+EM74+EM75+EM76+EM77+EM78+EM79+EM80+EM81</f>
        <v>230266</v>
      </c>
      <c r="EN82" s="1479"/>
      <c r="EO82" s="1479"/>
      <c r="EP82" s="1479"/>
      <c r="EQ82" s="1479"/>
      <c r="ER82" s="1479"/>
      <c r="ES82" s="1503">
        <f t="shared" ref="ES82:ET82" si="26">ES68+ES69+ES70+ES71+ES72+ES73+ES74+ES75+ES76+ES77+ES78+ES79+ES80+ES81</f>
        <v>8464</v>
      </c>
      <c r="ET82" s="1503">
        <f t="shared" si="26"/>
        <v>8778</v>
      </c>
      <c r="EU82" s="1529"/>
      <c r="EV82" s="1529"/>
      <c r="EW82" s="1529"/>
      <c r="EX82" s="1529"/>
      <c r="EY82" s="1479">
        <f>EY68+EY69+EY70+EY71+EY72+EY73+EY74+EY75+EY76+EY77+EY78+EY79+EY80+EY81</f>
        <v>230266</v>
      </c>
      <c r="EZ82" s="1529"/>
      <c r="FA82" s="1529"/>
      <c r="FB82" s="1529"/>
      <c r="FC82" s="1529"/>
      <c r="FD82" s="1529"/>
      <c r="FE82" s="1529"/>
      <c r="FF82" s="1479">
        <f>FF68+FF69+FF70+FF71+FF72+FF73+FF74+FF75+FF76+FF77+FF78+FF79+FF80+FF81</f>
        <v>28660</v>
      </c>
      <c r="FG82" s="1529"/>
      <c r="FH82" s="1479">
        <f>FH68+FH69+FH70+FH71+FH72+FH73+FH74+FH75+FH76+FH77+FH78+FH79+FH80+FH81</f>
        <v>40886</v>
      </c>
      <c r="FI82" s="1479">
        <f t="shared" ref="FI82:FU82" si="27">FI68+FI69+FI70+FI71+FI72+FI73+FI74+FI75+FI76+FI77+FI78+FI79+FI80+FI81</f>
        <v>0</v>
      </c>
      <c r="FJ82" s="1503">
        <f t="shared" si="27"/>
        <v>2242</v>
      </c>
      <c r="FK82" s="1479">
        <f t="shared" si="27"/>
        <v>0</v>
      </c>
      <c r="FL82" s="1479">
        <f t="shared" si="27"/>
        <v>0</v>
      </c>
      <c r="FM82" s="1479">
        <f t="shared" si="27"/>
        <v>0</v>
      </c>
      <c r="FN82" s="1479">
        <f t="shared" si="27"/>
        <v>0</v>
      </c>
      <c r="FO82" s="1479"/>
      <c r="FP82" s="1479">
        <f t="shared" si="27"/>
        <v>0</v>
      </c>
      <c r="FQ82" s="1479">
        <f t="shared" si="27"/>
        <v>0</v>
      </c>
      <c r="FR82" s="1479">
        <f t="shared" si="27"/>
        <v>0</v>
      </c>
      <c r="FS82" s="1479">
        <f t="shared" si="27"/>
        <v>0</v>
      </c>
      <c r="FT82" s="1479">
        <f t="shared" si="27"/>
        <v>0</v>
      </c>
      <c r="FU82" s="1479">
        <f t="shared" si="27"/>
        <v>0</v>
      </c>
      <c r="FV82" s="1529"/>
      <c r="FW82" s="1529"/>
      <c r="FX82" s="1529"/>
      <c r="FY82" s="1529"/>
      <c r="FZ82" s="1479"/>
      <c r="GA82" s="1479"/>
      <c r="GB82" s="1479"/>
      <c r="GC82" s="1479"/>
      <c r="GD82" s="1479">
        <f t="shared" ref="GD82" si="28">GD68+GD69+GD70+GD71+GD72+GD73+GD74+GD75+GD76+GD77+GD78+GD79+GD80+GD81</f>
        <v>77798</v>
      </c>
      <c r="GE82" s="1479"/>
      <c r="GF82" s="1479"/>
      <c r="GG82" s="1479"/>
      <c r="GH82" s="1479"/>
      <c r="GI82" s="1479"/>
      <c r="GJ82" s="1479">
        <f t="shared" ref="GJ82:GU82" si="29">GJ68+GJ69+GJ70+GJ71+GJ72+GJ73+GJ74+GJ75+GJ76+GJ77+GJ78+GJ79+GJ80+GJ81</f>
        <v>9900</v>
      </c>
      <c r="GK82" s="1479">
        <f t="shared" si="29"/>
        <v>0</v>
      </c>
      <c r="GL82" s="1479">
        <f t="shared" si="29"/>
        <v>0</v>
      </c>
      <c r="GM82" s="1479">
        <f t="shared" si="29"/>
        <v>0</v>
      </c>
      <c r="GN82" s="1479">
        <f t="shared" si="29"/>
        <v>25620</v>
      </c>
      <c r="GO82" s="1479">
        <f t="shared" si="29"/>
        <v>0</v>
      </c>
      <c r="GP82" s="1479">
        <f t="shared" si="29"/>
        <v>0</v>
      </c>
      <c r="GQ82" s="1479">
        <f t="shared" si="29"/>
        <v>0</v>
      </c>
      <c r="GR82" s="1479">
        <f t="shared" si="29"/>
        <v>0</v>
      </c>
      <c r="GS82" s="1479">
        <f t="shared" si="29"/>
        <v>0</v>
      </c>
      <c r="GT82" s="1479">
        <f t="shared" si="29"/>
        <v>0</v>
      </c>
      <c r="GU82" s="1479">
        <f t="shared" si="29"/>
        <v>26080</v>
      </c>
      <c r="GV82" s="1479"/>
      <c r="GW82" s="1479"/>
      <c r="GX82" s="1479">
        <f>GX68+GX69+GX70+GX71+GX72+GX73+GX74+GX75+GX76+GX77+GX78+GX79+GX80+GX81</f>
        <v>207763</v>
      </c>
      <c r="GY82" s="1529"/>
      <c r="GZ82" s="1529"/>
      <c r="HA82" s="1529"/>
      <c r="HB82" s="1479">
        <f>HB68+HB69+HB70+HB71+HB72+HB73+HB74+HB75+HB76+HB77+HB78+HB79+HB80+HB81</f>
        <v>78251</v>
      </c>
      <c r="HC82" s="1479">
        <f>HC68+HC69+HC70+HC71+HC72+HC73+HC74+HC75+HC76+HC77+HC78+HC79+HC80+HC81</f>
        <v>40886</v>
      </c>
      <c r="HD82" s="1529"/>
      <c r="HE82" s="1529"/>
      <c r="HF82" s="1529"/>
      <c r="HG82" s="1529"/>
      <c r="HH82" s="1529"/>
      <c r="HI82" s="1529"/>
      <c r="HJ82" s="1529"/>
      <c r="HK82" s="1529"/>
      <c r="HL82" s="1529"/>
      <c r="HM82" s="1529"/>
      <c r="HN82" s="1529"/>
      <c r="HO82" s="1479">
        <f>HO68+HO69+HO70+HO71+HO72+HO73+HO74+HO75+HO76+HO77+HO78+HO79+HO80+HO81</f>
        <v>60000</v>
      </c>
      <c r="HP82" s="1479"/>
      <c r="HQ82" s="1479"/>
      <c r="HR82" s="1479"/>
      <c r="HS82" s="1479"/>
      <c r="HT82" s="1479"/>
      <c r="HU82" s="1503"/>
      <c r="HV82" s="1479"/>
      <c r="HW82" s="1479">
        <f t="shared" ref="HW82" si="30">HW68+HW69+HW70+HW71+HW72+HW73+HW74+HW75+HW76+HW77+HW78+HW79+HW80+HW81</f>
        <v>40415</v>
      </c>
      <c r="HX82" s="1529"/>
      <c r="HY82" s="1529"/>
      <c r="HZ82" s="1529"/>
      <c r="IA82" s="1529"/>
      <c r="IB82" s="1529"/>
      <c r="IC82" s="1529"/>
      <c r="ID82" s="1529"/>
      <c r="IE82" s="1529"/>
      <c r="IF82" s="1529"/>
      <c r="IG82" s="1529"/>
      <c r="IH82" s="1529"/>
      <c r="II82" s="1529"/>
      <c r="IJ82" s="1529"/>
      <c r="IK82" s="1529"/>
      <c r="IL82" s="1503">
        <f t="shared" ref="IL82" si="31">IL68+IL69+IL70+IL71+IL72+IL73+IL74+IL75+IL76+IL77+IL78+IL79+IL80+IL81</f>
        <v>59062</v>
      </c>
      <c r="IM82" s="1529"/>
      <c r="IN82" s="1529"/>
      <c r="IO82" s="1529"/>
      <c r="IP82" s="1529"/>
      <c r="IQ82" s="1529"/>
      <c r="IR82" s="1529"/>
      <c r="IS82" s="1529"/>
      <c r="IT82" s="1529"/>
      <c r="IU82" s="1503">
        <f>IU68+IU69+IU70+IU71+IU72+IU73+IU74+IU75+IU76+IU77+IU78+IU79+IU80+IU81</f>
        <v>294684</v>
      </c>
      <c r="IV82" s="1529"/>
      <c r="IW82" s="1503">
        <f>IW68+IW69+IW70+IW71+IW72+IW73+IW74+IW75+IW76+IW77+IW78+IW79+IW80+IW81</f>
        <v>4998.43</v>
      </c>
      <c r="IX82" s="1503">
        <f>IX68+IX69+IX70+IX71+IX72+IX73+IX74+IX75+IX76+IX77+IX78+IX79+IX80+IX81</f>
        <v>397915</v>
      </c>
      <c r="IY82" s="1479">
        <f>IY68+IY69+IY70+IY71+IY72+IY73+IY74+IY75+IY76+IY77+IY78+IY79+IY80+IY81</f>
        <v>28660</v>
      </c>
      <c r="IZ82" s="1529"/>
      <c r="JA82" s="1479">
        <f>JA68+JA69+JA70+JA71+JA72+JA73+JA74+JA75+JA76+JA77+JA78+JA79+JA80+JA81</f>
        <v>230266</v>
      </c>
      <c r="JB82" s="1529"/>
      <c r="JC82" s="1529"/>
      <c r="JD82" s="1529"/>
      <c r="JE82" s="1529"/>
      <c r="JF82" s="1529"/>
      <c r="JG82" s="1529"/>
      <c r="JH82" s="1529"/>
      <c r="JI82" s="1529"/>
      <c r="JJ82" s="1529"/>
      <c r="JK82" s="1529"/>
      <c r="JL82" s="1529"/>
      <c r="JM82" s="1529"/>
      <c r="JN82" s="1529"/>
      <c r="JO82" s="1529"/>
      <c r="JP82" s="1529"/>
      <c r="JQ82" s="1530"/>
      <c r="JR82" s="351"/>
      <c r="JS82" s="1400" t="s">
        <v>3159</v>
      </c>
      <c r="JT82" s="1400" t="s">
        <v>2253</v>
      </c>
    </row>
    <row r="83" spans="1:280" x14ac:dyDescent="0.25">
      <c r="A83" s="1367">
        <v>36</v>
      </c>
      <c r="B83" s="1411" t="str">
        <f t="shared" si="19"/>
        <v/>
      </c>
      <c r="C83" s="1435" t="s">
        <v>3160</v>
      </c>
      <c r="D83" s="1436" t="s">
        <v>3161</v>
      </c>
      <c r="E83" s="1452"/>
      <c r="F83" s="1452"/>
      <c r="G83" s="1452"/>
      <c r="H83" s="1452"/>
      <c r="I83" s="1452"/>
      <c r="J83" s="1452"/>
      <c r="K83" s="1452"/>
      <c r="L83" s="1452"/>
      <c r="M83" s="1452"/>
      <c r="N83" s="1452"/>
      <c r="O83" s="1452"/>
      <c r="P83" s="1452"/>
      <c r="Q83" s="1452"/>
      <c r="R83" s="1528"/>
      <c r="S83" s="1452"/>
      <c r="T83" s="1455"/>
      <c r="U83" s="1455"/>
      <c r="V83" s="1455"/>
      <c r="W83" s="1455"/>
      <c r="X83" s="1455"/>
      <c r="Y83" s="1455"/>
      <c r="Z83" s="1455"/>
      <c r="AA83" s="1500"/>
      <c r="AB83" s="1455"/>
      <c r="AC83" s="1452"/>
      <c r="AD83" s="1452"/>
      <c r="AE83" s="1452"/>
      <c r="AF83" s="1452"/>
      <c r="AG83" s="1452"/>
      <c r="AH83" s="1452"/>
      <c r="AI83" s="1500"/>
      <c r="AJ83" s="1452"/>
      <c r="AK83" s="1500"/>
      <c r="AL83" s="1452"/>
      <c r="AM83" s="1500"/>
      <c r="AN83" s="1500"/>
      <c r="AO83" s="1500"/>
      <c r="AP83" s="1500"/>
      <c r="AQ83" s="1500"/>
      <c r="AR83" s="1500"/>
      <c r="AS83" s="1500"/>
      <c r="AT83" s="1500"/>
      <c r="AU83" s="1500"/>
      <c r="AV83" s="1452"/>
      <c r="AW83" s="1500"/>
      <c r="AX83" s="1500"/>
      <c r="AY83" s="1500"/>
      <c r="AZ83" s="1500"/>
      <c r="BA83" s="1500"/>
      <c r="BB83" s="1500"/>
      <c r="BC83" s="1500"/>
      <c r="BD83" s="1500"/>
      <c r="BE83" s="1500"/>
      <c r="BF83" s="1500"/>
      <c r="BG83" s="1500"/>
      <c r="BH83" s="1500"/>
      <c r="BI83" s="1500"/>
      <c r="BJ83" s="1452"/>
      <c r="BK83" s="1500"/>
      <c r="BL83" s="1500"/>
      <c r="BM83" s="1500"/>
      <c r="BN83" s="1500"/>
      <c r="BO83" s="1500"/>
      <c r="BP83" s="1452"/>
      <c r="BQ83" s="1500"/>
      <c r="BR83" s="1500"/>
      <c r="BS83" s="1500"/>
      <c r="BT83" s="1500"/>
      <c r="BU83" s="1500"/>
      <c r="BV83" s="1500"/>
      <c r="BW83" s="1500"/>
      <c r="BX83" s="1500"/>
      <c r="BY83" s="1500"/>
      <c r="BZ83" s="1500"/>
      <c r="CA83" s="1500"/>
      <c r="CB83" s="1500"/>
      <c r="CC83" s="1500"/>
      <c r="CD83" s="1500"/>
      <c r="CE83" s="1500"/>
      <c r="CF83" s="1452"/>
      <c r="CG83" s="1500"/>
      <c r="CH83" s="1452"/>
      <c r="CI83" s="1500"/>
      <c r="CJ83" s="1500"/>
      <c r="CK83" s="1500"/>
      <c r="CL83" s="1452"/>
      <c r="CM83" s="1500"/>
      <c r="CN83" s="1500"/>
      <c r="CO83" s="1500"/>
      <c r="CP83" s="1500"/>
      <c r="CQ83" s="1500"/>
      <c r="CR83" s="1452"/>
      <c r="CS83" s="1452"/>
      <c r="CT83" s="1500"/>
      <c r="CU83" s="1452"/>
      <c r="CV83" s="1452"/>
      <c r="CW83" s="1500"/>
      <c r="CX83" s="1500"/>
      <c r="CY83" s="1500"/>
      <c r="CZ83" s="1500"/>
      <c r="DA83" s="1500"/>
      <c r="DB83" s="1500"/>
      <c r="DC83" s="1500"/>
      <c r="DD83" s="1500"/>
      <c r="DE83" s="1500"/>
      <c r="DF83" s="1500"/>
      <c r="DG83" s="1500"/>
      <c r="DH83" s="1500"/>
      <c r="DI83" s="1500"/>
      <c r="DJ83" s="1452"/>
      <c r="DK83" s="1500"/>
      <c r="DL83" s="1500"/>
      <c r="DM83" s="1500"/>
      <c r="DN83" s="1500"/>
      <c r="DO83" s="1452"/>
      <c r="DP83" s="1500"/>
      <c r="DQ83" s="1500"/>
      <c r="DR83" s="1500"/>
      <c r="DS83" s="1500"/>
      <c r="DT83" s="1500"/>
      <c r="DU83" s="1500"/>
      <c r="DV83" s="1500"/>
      <c r="DW83" s="1500"/>
      <c r="DX83" s="1500"/>
      <c r="DY83" s="1500"/>
      <c r="DZ83" s="1500"/>
      <c r="EA83" s="1500"/>
      <c r="EB83" s="1500"/>
      <c r="EC83" s="1500"/>
      <c r="ED83" s="1500"/>
      <c r="EE83" s="1500"/>
      <c r="EF83" s="1452"/>
      <c r="EG83" s="1452"/>
      <c r="EH83" s="1500"/>
      <c r="EI83" s="1452"/>
      <c r="EJ83" s="1500"/>
      <c r="EK83" s="1500"/>
      <c r="EL83" s="1500"/>
      <c r="EM83" s="1452"/>
      <c r="EN83" s="1500"/>
      <c r="EO83" s="1500"/>
      <c r="EP83" s="1500"/>
      <c r="EQ83" s="1500"/>
      <c r="ER83" s="1500"/>
      <c r="ES83" s="1500"/>
      <c r="ET83" s="1500"/>
      <c r="EU83" s="1500"/>
      <c r="EV83" s="1500"/>
      <c r="EW83" s="1500"/>
      <c r="EX83" s="1500"/>
      <c r="EY83" s="1452"/>
      <c r="EZ83" s="1500"/>
      <c r="FA83" s="1500"/>
      <c r="FB83" s="1500"/>
      <c r="FC83" s="1500"/>
      <c r="FD83" s="1500"/>
      <c r="FE83" s="1500"/>
      <c r="FF83" s="1452"/>
      <c r="FG83" s="1500"/>
      <c r="FH83" s="1452"/>
      <c r="FI83" s="1500"/>
      <c r="FJ83" s="1500"/>
      <c r="FK83" s="1500"/>
      <c r="FL83" s="1500"/>
      <c r="FM83" s="1500"/>
      <c r="FN83" s="1500"/>
      <c r="FO83" s="1500"/>
      <c r="FP83" s="1500"/>
      <c r="FQ83" s="1500"/>
      <c r="FR83" s="1500"/>
      <c r="FS83" s="1500"/>
      <c r="FT83" s="1500"/>
      <c r="FU83" s="1500"/>
      <c r="FV83" s="1500"/>
      <c r="FW83" s="1500"/>
      <c r="FX83" s="1500"/>
      <c r="FY83" s="1500"/>
      <c r="FZ83" s="1500"/>
      <c r="GA83" s="1500"/>
      <c r="GB83" s="1500"/>
      <c r="GC83" s="1500"/>
      <c r="GD83" s="1500"/>
      <c r="GE83" s="1500"/>
      <c r="GF83" s="1500"/>
      <c r="GG83" s="1500"/>
      <c r="GH83" s="1500"/>
      <c r="GI83" s="1500"/>
      <c r="GJ83" s="1452"/>
      <c r="GK83" s="1500"/>
      <c r="GL83" s="1500"/>
      <c r="GM83" s="1500"/>
      <c r="GN83" s="1500"/>
      <c r="GO83" s="1500"/>
      <c r="GP83" s="1500"/>
      <c r="GQ83" s="1500"/>
      <c r="GR83" s="1500"/>
      <c r="GS83" s="1500"/>
      <c r="GT83" s="1500"/>
      <c r="GU83" s="1500"/>
      <c r="GV83" s="1500"/>
      <c r="GW83" s="1500"/>
      <c r="GX83" s="1452"/>
      <c r="GY83" s="1500"/>
      <c r="GZ83" s="1500"/>
      <c r="HA83" s="1500"/>
      <c r="HB83" s="1452"/>
      <c r="HC83" s="1452"/>
      <c r="HD83" s="1500"/>
      <c r="HE83" s="1500"/>
      <c r="HF83" s="1500"/>
      <c r="HG83" s="1500"/>
      <c r="HH83" s="1500"/>
      <c r="HI83" s="1500"/>
      <c r="HJ83" s="1500"/>
      <c r="HK83" s="1500"/>
      <c r="HL83" s="1500"/>
      <c r="HM83" s="1500"/>
      <c r="HN83" s="1500"/>
      <c r="HO83" s="1452"/>
      <c r="HP83" s="1500"/>
      <c r="HQ83" s="1500"/>
      <c r="HR83" s="1500"/>
      <c r="HS83" s="1500"/>
      <c r="HT83" s="1500"/>
      <c r="HU83" s="1500"/>
      <c r="HV83" s="1500"/>
      <c r="HW83" s="1500"/>
      <c r="HX83" s="1500"/>
      <c r="HY83" s="1500"/>
      <c r="HZ83" s="1500"/>
      <c r="IA83" s="1500"/>
      <c r="IB83" s="1500"/>
      <c r="IC83" s="1500"/>
      <c r="ID83" s="1500"/>
      <c r="IE83" s="1500"/>
      <c r="IF83" s="1500"/>
      <c r="IG83" s="1500"/>
      <c r="IH83" s="1500"/>
      <c r="II83" s="1500"/>
      <c r="IJ83" s="1500"/>
      <c r="IK83" s="1500"/>
      <c r="IL83" s="1500"/>
      <c r="IM83" s="1500"/>
      <c r="IN83" s="1500"/>
      <c r="IO83" s="1500"/>
      <c r="IP83" s="1500"/>
      <c r="IQ83" s="1500"/>
      <c r="IR83" s="1500"/>
      <c r="IS83" s="1500"/>
      <c r="IT83" s="1500"/>
      <c r="IU83" s="1500"/>
      <c r="IV83" s="1500"/>
      <c r="IW83" s="1500"/>
      <c r="IX83" s="1500"/>
      <c r="IY83" s="1452"/>
      <c r="IZ83" s="1500"/>
      <c r="JA83" s="1452"/>
      <c r="JB83" s="1500"/>
      <c r="JC83" s="1500"/>
      <c r="JD83" s="1500"/>
      <c r="JE83" s="1500"/>
      <c r="JF83" s="1500"/>
      <c r="JG83" s="1500"/>
      <c r="JH83" s="1500"/>
      <c r="JI83" s="1500"/>
      <c r="JJ83" s="1500"/>
      <c r="JK83" s="1500"/>
      <c r="JL83" s="1500"/>
      <c r="JM83" s="1500"/>
      <c r="JN83" s="1500"/>
      <c r="JO83" s="1500"/>
      <c r="JP83" s="1500"/>
      <c r="JQ83" s="1477"/>
      <c r="JR83" s="351"/>
      <c r="JS83" s="1400" t="s">
        <v>3139</v>
      </c>
      <c r="JT83" s="1400" t="s">
        <v>2882</v>
      </c>
    </row>
    <row r="84" spans="1:280" x14ac:dyDescent="0.25">
      <c r="A84" s="1367">
        <v>37</v>
      </c>
      <c r="B84" s="1411" t="str">
        <f t="shared" si="19"/>
        <v/>
      </c>
      <c r="C84" s="1435" t="s">
        <v>3162</v>
      </c>
      <c r="D84" s="1436" t="s">
        <v>3163</v>
      </c>
      <c r="E84" s="1452"/>
      <c r="F84" s="1452"/>
      <c r="G84" s="1452"/>
      <c r="H84" s="1452"/>
      <c r="I84" s="1452"/>
      <c r="J84" s="1452"/>
      <c r="K84" s="1452"/>
      <c r="L84" s="1452"/>
      <c r="M84" s="1452"/>
      <c r="N84" s="1452"/>
      <c r="O84" s="1452"/>
      <c r="P84" s="1452"/>
      <c r="Q84" s="1452"/>
      <c r="R84" s="1528"/>
      <c r="S84" s="1452"/>
      <c r="T84" s="1455"/>
      <c r="U84" s="1455"/>
      <c r="V84" s="1455"/>
      <c r="W84" s="1455"/>
      <c r="X84" s="1455"/>
      <c r="Y84" s="1455"/>
      <c r="Z84" s="1455"/>
      <c r="AA84" s="1500"/>
      <c r="AB84" s="1455"/>
      <c r="AC84" s="1452"/>
      <c r="AD84" s="1452"/>
      <c r="AE84" s="1452"/>
      <c r="AF84" s="1452"/>
      <c r="AG84" s="1452"/>
      <c r="AH84" s="1452"/>
      <c r="AI84" s="1500"/>
      <c r="AJ84" s="1452"/>
      <c r="AK84" s="1500"/>
      <c r="AL84" s="1452"/>
      <c r="AM84" s="1500"/>
      <c r="AN84" s="1500"/>
      <c r="AO84" s="1500"/>
      <c r="AP84" s="1500"/>
      <c r="AQ84" s="1500"/>
      <c r="AR84" s="1500"/>
      <c r="AS84" s="1500"/>
      <c r="AT84" s="1500"/>
      <c r="AU84" s="1500"/>
      <c r="AV84" s="1452"/>
      <c r="AW84" s="1500"/>
      <c r="AX84" s="1500"/>
      <c r="AY84" s="1500"/>
      <c r="AZ84" s="1500"/>
      <c r="BA84" s="1500"/>
      <c r="BB84" s="1500"/>
      <c r="BC84" s="1500"/>
      <c r="BD84" s="1500"/>
      <c r="BE84" s="1500"/>
      <c r="BF84" s="1500"/>
      <c r="BG84" s="1500"/>
      <c r="BH84" s="1500"/>
      <c r="BI84" s="1500"/>
      <c r="BJ84" s="1452"/>
      <c r="BK84" s="1500"/>
      <c r="BL84" s="1500"/>
      <c r="BM84" s="1500"/>
      <c r="BN84" s="1500"/>
      <c r="BO84" s="1500"/>
      <c r="BP84" s="1452"/>
      <c r="BQ84" s="1500"/>
      <c r="BR84" s="1500"/>
      <c r="BS84" s="1500"/>
      <c r="BT84" s="1500"/>
      <c r="BU84" s="1500"/>
      <c r="BV84" s="1500"/>
      <c r="BW84" s="1500"/>
      <c r="BX84" s="1500"/>
      <c r="BY84" s="1500"/>
      <c r="BZ84" s="1500"/>
      <c r="CA84" s="1500"/>
      <c r="CB84" s="1500"/>
      <c r="CC84" s="1500"/>
      <c r="CD84" s="1500"/>
      <c r="CE84" s="1500"/>
      <c r="CF84" s="1452"/>
      <c r="CG84" s="1500"/>
      <c r="CH84" s="1452"/>
      <c r="CI84" s="1500"/>
      <c r="CJ84" s="1500"/>
      <c r="CK84" s="1500"/>
      <c r="CL84" s="1452"/>
      <c r="CM84" s="1500"/>
      <c r="CN84" s="1500"/>
      <c r="CO84" s="1500"/>
      <c r="CP84" s="1500"/>
      <c r="CQ84" s="1500"/>
      <c r="CR84" s="1452"/>
      <c r="CS84" s="1452"/>
      <c r="CT84" s="1500"/>
      <c r="CU84" s="1452"/>
      <c r="CV84" s="1452"/>
      <c r="CW84" s="1500"/>
      <c r="CX84" s="1500"/>
      <c r="CY84" s="1500"/>
      <c r="CZ84" s="1500"/>
      <c r="DA84" s="1500"/>
      <c r="DB84" s="1500"/>
      <c r="DC84" s="1500"/>
      <c r="DD84" s="1500"/>
      <c r="DE84" s="1500"/>
      <c r="DF84" s="1500"/>
      <c r="DG84" s="1500"/>
      <c r="DH84" s="1500"/>
      <c r="DI84" s="1500"/>
      <c r="DJ84" s="1452"/>
      <c r="DK84" s="1500"/>
      <c r="DL84" s="1500"/>
      <c r="DM84" s="1500"/>
      <c r="DN84" s="1500"/>
      <c r="DO84" s="1452"/>
      <c r="DP84" s="1500"/>
      <c r="DQ84" s="1500"/>
      <c r="DR84" s="1500"/>
      <c r="DS84" s="1500"/>
      <c r="DT84" s="1500"/>
      <c r="DU84" s="1500"/>
      <c r="DV84" s="1500"/>
      <c r="DW84" s="1500"/>
      <c r="DX84" s="1500"/>
      <c r="DY84" s="1500"/>
      <c r="DZ84" s="1500"/>
      <c r="EA84" s="1500"/>
      <c r="EB84" s="1500"/>
      <c r="EC84" s="1500"/>
      <c r="ED84" s="1500"/>
      <c r="EE84" s="1500"/>
      <c r="EF84" s="1452"/>
      <c r="EG84" s="1452"/>
      <c r="EH84" s="1500"/>
      <c r="EI84" s="1452">
        <v>270</v>
      </c>
      <c r="EJ84" s="1500"/>
      <c r="EK84" s="1500"/>
      <c r="EL84" s="1500"/>
      <c r="EM84" s="1452"/>
      <c r="EN84" s="1500"/>
      <c r="EO84" s="1500"/>
      <c r="EP84" s="1500"/>
      <c r="EQ84" s="1500"/>
      <c r="ER84" s="1500"/>
      <c r="ES84" s="1500"/>
      <c r="ET84" s="1500"/>
      <c r="EU84" s="1500"/>
      <c r="EV84" s="1500"/>
      <c r="EW84" s="1500"/>
      <c r="EX84" s="1500"/>
      <c r="EY84" s="1452"/>
      <c r="EZ84" s="1500"/>
      <c r="FA84" s="1500"/>
      <c r="FB84" s="1500"/>
      <c r="FC84" s="1500"/>
      <c r="FD84" s="1500"/>
      <c r="FE84" s="1500"/>
      <c r="FF84" s="1452"/>
      <c r="FG84" s="1500"/>
      <c r="FH84" s="1452"/>
      <c r="FI84" s="1500"/>
      <c r="FJ84" s="1500"/>
      <c r="FK84" s="1500"/>
      <c r="FL84" s="1500"/>
      <c r="FM84" s="1500"/>
      <c r="FN84" s="1500"/>
      <c r="FO84" s="1500"/>
      <c r="FP84" s="1500"/>
      <c r="FQ84" s="1500"/>
      <c r="FR84" s="1500"/>
      <c r="FS84" s="1500"/>
      <c r="FT84" s="1500"/>
      <c r="FU84" s="1500"/>
      <c r="FV84" s="1500"/>
      <c r="FW84" s="1500"/>
      <c r="FX84" s="1500"/>
      <c r="FY84" s="1500"/>
      <c r="FZ84" s="1500"/>
      <c r="GA84" s="1500"/>
      <c r="GB84" s="1500"/>
      <c r="GC84" s="1500"/>
      <c r="GD84" s="1500"/>
      <c r="GE84" s="1500"/>
      <c r="GF84" s="1500"/>
      <c r="GG84" s="1500"/>
      <c r="GH84" s="1500"/>
      <c r="GI84" s="1500"/>
      <c r="GJ84" s="1454"/>
      <c r="GK84" s="1500"/>
      <c r="GL84" s="1500"/>
      <c r="GM84" s="1500"/>
      <c r="GN84" s="1500"/>
      <c r="GO84" s="1500"/>
      <c r="GP84" s="1500"/>
      <c r="GQ84" s="1500"/>
      <c r="GR84" s="1500"/>
      <c r="GS84" s="1500"/>
      <c r="GT84" s="1500"/>
      <c r="GU84" s="1500"/>
      <c r="GV84" s="1500"/>
      <c r="GW84" s="1500"/>
      <c r="GX84" s="1452"/>
      <c r="GY84" s="1500"/>
      <c r="GZ84" s="1500"/>
      <c r="HA84" s="1500"/>
      <c r="HB84" s="1452"/>
      <c r="HC84" s="1452"/>
      <c r="HD84" s="1500"/>
      <c r="HE84" s="1500"/>
      <c r="HF84" s="1500"/>
      <c r="HG84" s="1500"/>
      <c r="HH84" s="1500"/>
      <c r="HI84" s="1500"/>
      <c r="HJ84" s="1500"/>
      <c r="HK84" s="1500"/>
      <c r="HL84" s="1500"/>
      <c r="HM84" s="1500"/>
      <c r="HN84" s="1500"/>
      <c r="HO84" s="1452"/>
      <c r="HP84" s="1500"/>
      <c r="HQ84" s="1500"/>
      <c r="HR84" s="1500"/>
      <c r="HS84" s="1500"/>
      <c r="HT84" s="1500"/>
      <c r="HU84" s="1500"/>
      <c r="HV84" s="1500"/>
      <c r="HW84" s="1500"/>
      <c r="HX84" s="1500"/>
      <c r="HY84" s="1500"/>
      <c r="HZ84" s="1500"/>
      <c r="IA84" s="1500"/>
      <c r="IB84" s="1500"/>
      <c r="IC84" s="1500"/>
      <c r="ID84" s="1500"/>
      <c r="IE84" s="1500"/>
      <c r="IF84" s="1500"/>
      <c r="IG84" s="1500"/>
      <c r="IH84" s="1500"/>
      <c r="II84" s="1500"/>
      <c r="IJ84" s="1500"/>
      <c r="IK84" s="1500"/>
      <c r="IL84" s="1500"/>
      <c r="IM84" s="1500"/>
      <c r="IN84" s="1500"/>
      <c r="IO84" s="1500"/>
      <c r="IP84" s="1500"/>
      <c r="IQ84" s="1500"/>
      <c r="IR84" s="1500"/>
      <c r="IS84" s="1500"/>
      <c r="IT84" s="1500"/>
      <c r="IU84" s="1500"/>
      <c r="IV84" s="1500"/>
      <c r="IW84" s="1500"/>
      <c r="IX84" s="1500"/>
      <c r="IY84" s="1452"/>
      <c r="IZ84" s="1500"/>
      <c r="JA84" s="1452"/>
      <c r="JB84" s="1500"/>
      <c r="JC84" s="1500"/>
      <c r="JD84" s="1500"/>
      <c r="JE84" s="1500"/>
      <c r="JF84" s="1500"/>
      <c r="JG84" s="1500"/>
      <c r="JH84" s="1500"/>
      <c r="JI84" s="1500"/>
      <c r="JJ84" s="1500"/>
      <c r="JK84" s="1500"/>
      <c r="JL84" s="1500"/>
      <c r="JM84" s="1500"/>
      <c r="JN84" s="1500"/>
      <c r="JO84" s="1500"/>
      <c r="JP84" s="1500"/>
      <c r="JQ84" s="1477"/>
      <c r="JR84" s="351"/>
      <c r="JS84" s="1400" t="s">
        <v>3139</v>
      </c>
      <c r="JT84" s="1400" t="s">
        <v>2242</v>
      </c>
    </row>
    <row r="85" spans="1:280" x14ac:dyDescent="0.25">
      <c r="A85" s="1367">
        <v>38</v>
      </c>
      <c r="B85" s="1411" t="str">
        <f t="shared" si="19"/>
        <v/>
      </c>
      <c r="C85" s="1435" t="s">
        <v>3164</v>
      </c>
      <c r="D85" s="1436" t="s">
        <v>3165</v>
      </c>
      <c r="E85" s="1452"/>
      <c r="F85" s="1452"/>
      <c r="G85" s="1452"/>
      <c r="H85" s="1452"/>
      <c r="I85" s="1452"/>
      <c r="J85" s="1452"/>
      <c r="K85" s="1452"/>
      <c r="L85" s="1452"/>
      <c r="M85" s="1452"/>
      <c r="N85" s="1452"/>
      <c r="O85" s="1452"/>
      <c r="P85" s="1452"/>
      <c r="Q85" s="1452"/>
      <c r="R85" s="1528"/>
      <c r="S85" s="1452"/>
      <c r="T85" s="1455"/>
      <c r="U85" s="1455"/>
      <c r="V85" s="1455"/>
      <c r="W85" s="1455"/>
      <c r="X85" s="1455"/>
      <c r="Y85" s="1455"/>
      <c r="Z85" s="1455"/>
      <c r="AA85" s="1500"/>
      <c r="AB85" s="1455"/>
      <c r="AC85" s="1452"/>
      <c r="AD85" s="1452"/>
      <c r="AE85" s="1452"/>
      <c r="AF85" s="1452"/>
      <c r="AG85" s="1452"/>
      <c r="AH85" s="1452"/>
      <c r="AI85" s="1500"/>
      <c r="AJ85" s="1452"/>
      <c r="AK85" s="1500"/>
      <c r="AL85" s="1452"/>
      <c r="AM85" s="1500"/>
      <c r="AN85" s="1500"/>
      <c r="AO85" s="1500"/>
      <c r="AP85" s="1500"/>
      <c r="AQ85" s="1500"/>
      <c r="AR85" s="1500"/>
      <c r="AS85" s="1500"/>
      <c r="AT85" s="1500"/>
      <c r="AU85" s="1500"/>
      <c r="AV85" s="1452"/>
      <c r="AW85" s="1500"/>
      <c r="AX85" s="1500"/>
      <c r="AY85" s="1500"/>
      <c r="AZ85" s="1500"/>
      <c r="BA85" s="1500"/>
      <c r="BB85" s="1500"/>
      <c r="BC85" s="1500"/>
      <c r="BD85" s="1500"/>
      <c r="BE85" s="1500"/>
      <c r="BF85" s="1500"/>
      <c r="BG85" s="1500"/>
      <c r="BH85" s="1500"/>
      <c r="BI85" s="1500"/>
      <c r="BJ85" s="1452"/>
      <c r="BK85" s="1500"/>
      <c r="BL85" s="1500"/>
      <c r="BM85" s="1500"/>
      <c r="BN85" s="1500"/>
      <c r="BO85" s="1500"/>
      <c r="BP85" s="1452"/>
      <c r="BQ85" s="1500"/>
      <c r="BR85" s="1500"/>
      <c r="BS85" s="1500"/>
      <c r="BT85" s="1500"/>
      <c r="BU85" s="1500"/>
      <c r="BV85" s="1500"/>
      <c r="BW85" s="1500"/>
      <c r="BX85" s="1500"/>
      <c r="BY85" s="1500"/>
      <c r="BZ85" s="1500"/>
      <c r="CA85" s="1500"/>
      <c r="CB85" s="1500"/>
      <c r="CC85" s="1500"/>
      <c r="CD85" s="1500"/>
      <c r="CE85" s="1500"/>
      <c r="CF85" s="1452"/>
      <c r="CG85" s="1500"/>
      <c r="CH85" s="1452"/>
      <c r="CI85" s="1500"/>
      <c r="CJ85" s="1500"/>
      <c r="CK85" s="1500"/>
      <c r="CL85" s="1452"/>
      <c r="CM85" s="1500"/>
      <c r="CN85" s="1500"/>
      <c r="CO85" s="1500"/>
      <c r="CP85" s="1500"/>
      <c r="CQ85" s="1500"/>
      <c r="CR85" s="1452"/>
      <c r="CS85" s="1452"/>
      <c r="CT85" s="1500"/>
      <c r="CU85" s="1452"/>
      <c r="CV85" s="1452"/>
      <c r="CW85" s="1500"/>
      <c r="CX85" s="1500"/>
      <c r="CY85" s="1500"/>
      <c r="CZ85" s="1500"/>
      <c r="DA85" s="1500"/>
      <c r="DB85" s="1500"/>
      <c r="DC85" s="1500"/>
      <c r="DD85" s="1500"/>
      <c r="DE85" s="1500"/>
      <c r="DF85" s="1500"/>
      <c r="DG85" s="1500"/>
      <c r="DH85" s="1500"/>
      <c r="DI85" s="1500"/>
      <c r="DJ85" s="1452"/>
      <c r="DK85" s="1500"/>
      <c r="DL85" s="1500"/>
      <c r="DM85" s="1500"/>
      <c r="DN85" s="1500"/>
      <c r="DO85" s="1452"/>
      <c r="DP85" s="1500"/>
      <c r="DQ85" s="1500"/>
      <c r="DR85" s="1500"/>
      <c r="DS85" s="1500"/>
      <c r="DT85" s="1500"/>
      <c r="DU85" s="1500"/>
      <c r="DV85" s="1500"/>
      <c r="DW85" s="1500"/>
      <c r="DX85" s="1500"/>
      <c r="DY85" s="1500"/>
      <c r="DZ85" s="1500"/>
      <c r="EA85" s="1500"/>
      <c r="EB85" s="1500"/>
      <c r="EC85" s="1500"/>
      <c r="ED85" s="1500"/>
      <c r="EE85" s="1500"/>
      <c r="EF85" s="1452"/>
      <c r="EG85" s="1452"/>
      <c r="EH85" s="1500"/>
      <c r="EI85" s="1452">
        <v>212</v>
      </c>
      <c r="EJ85" s="1500"/>
      <c r="EK85" s="1500"/>
      <c r="EL85" s="1500"/>
      <c r="EM85" s="1452"/>
      <c r="EN85" s="1500"/>
      <c r="EO85" s="1500"/>
      <c r="EP85" s="1500"/>
      <c r="EQ85" s="1500"/>
      <c r="ER85" s="1500"/>
      <c r="ES85" s="1500"/>
      <c r="ET85" s="1500"/>
      <c r="EU85" s="1500"/>
      <c r="EV85" s="1500"/>
      <c r="EW85" s="1500"/>
      <c r="EX85" s="1500"/>
      <c r="EY85" s="1452"/>
      <c r="EZ85" s="1500"/>
      <c r="FA85" s="1500"/>
      <c r="FB85" s="1500"/>
      <c r="FC85" s="1500"/>
      <c r="FD85" s="1500"/>
      <c r="FE85" s="1500"/>
      <c r="FF85" s="1452"/>
      <c r="FG85" s="1500"/>
      <c r="FH85" s="1452"/>
      <c r="FI85" s="1500"/>
      <c r="FJ85" s="1500"/>
      <c r="FK85" s="1500"/>
      <c r="FL85" s="1500"/>
      <c r="FM85" s="1500"/>
      <c r="FN85" s="1500"/>
      <c r="FO85" s="1500"/>
      <c r="FP85" s="1500"/>
      <c r="FQ85" s="1500"/>
      <c r="FR85" s="1500"/>
      <c r="FS85" s="1500"/>
      <c r="FT85" s="1500"/>
      <c r="FU85" s="1500"/>
      <c r="FV85" s="1500"/>
      <c r="FW85" s="1500"/>
      <c r="FX85" s="1500"/>
      <c r="FY85" s="1500"/>
      <c r="FZ85" s="1500"/>
      <c r="GA85" s="1500"/>
      <c r="GB85" s="1500"/>
      <c r="GC85" s="1500"/>
      <c r="GD85" s="1500"/>
      <c r="GE85" s="1500"/>
      <c r="GF85" s="1500"/>
      <c r="GG85" s="1500"/>
      <c r="GH85" s="1500"/>
      <c r="GI85" s="1500"/>
      <c r="GJ85" s="1454"/>
      <c r="GK85" s="1500"/>
      <c r="GL85" s="1500"/>
      <c r="GM85" s="1500"/>
      <c r="GN85" s="1500"/>
      <c r="GO85" s="1500"/>
      <c r="GP85" s="1500"/>
      <c r="GQ85" s="1500"/>
      <c r="GR85" s="1500"/>
      <c r="GS85" s="1500"/>
      <c r="GT85" s="1500"/>
      <c r="GU85" s="1500"/>
      <c r="GV85" s="1500"/>
      <c r="GW85" s="1500"/>
      <c r="GX85" s="1452"/>
      <c r="GY85" s="1500"/>
      <c r="GZ85" s="1500"/>
      <c r="HA85" s="1500"/>
      <c r="HB85" s="1452"/>
      <c r="HC85" s="1452"/>
      <c r="HD85" s="1500"/>
      <c r="HE85" s="1500"/>
      <c r="HF85" s="1500"/>
      <c r="HG85" s="1500"/>
      <c r="HH85" s="1500"/>
      <c r="HI85" s="1500"/>
      <c r="HJ85" s="1500"/>
      <c r="HK85" s="1500"/>
      <c r="HL85" s="1500"/>
      <c r="HM85" s="1500"/>
      <c r="HN85" s="1500"/>
      <c r="HO85" s="1452"/>
      <c r="HP85" s="1500"/>
      <c r="HQ85" s="1500"/>
      <c r="HR85" s="1500"/>
      <c r="HS85" s="1500"/>
      <c r="HT85" s="1500"/>
      <c r="HU85" s="1500"/>
      <c r="HV85" s="1500"/>
      <c r="HW85" s="1500"/>
      <c r="HX85" s="1500"/>
      <c r="HY85" s="1500"/>
      <c r="HZ85" s="1500"/>
      <c r="IA85" s="1500"/>
      <c r="IB85" s="1500"/>
      <c r="IC85" s="1500"/>
      <c r="ID85" s="1500"/>
      <c r="IE85" s="1500"/>
      <c r="IF85" s="1500"/>
      <c r="IG85" s="1500"/>
      <c r="IH85" s="1500"/>
      <c r="II85" s="1500"/>
      <c r="IJ85" s="1500"/>
      <c r="IK85" s="1500"/>
      <c r="IL85" s="1500"/>
      <c r="IM85" s="1500"/>
      <c r="IN85" s="1500"/>
      <c r="IO85" s="1500"/>
      <c r="IP85" s="1500"/>
      <c r="IQ85" s="1500"/>
      <c r="IR85" s="1500"/>
      <c r="IS85" s="1500"/>
      <c r="IT85" s="1500"/>
      <c r="IU85" s="1500"/>
      <c r="IV85" s="1500"/>
      <c r="IW85" s="1500"/>
      <c r="IX85" s="1500"/>
      <c r="IY85" s="1452"/>
      <c r="IZ85" s="1500"/>
      <c r="JA85" s="1452"/>
      <c r="JB85" s="1500"/>
      <c r="JC85" s="1500"/>
      <c r="JD85" s="1500"/>
      <c r="JE85" s="1500"/>
      <c r="JF85" s="1500"/>
      <c r="JG85" s="1500"/>
      <c r="JH85" s="1500"/>
      <c r="JI85" s="1500"/>
      <c r="JJ85" s="1500"/>
      <c r="JK85" s="1500"/>
      <c r="JL85" s="1500"/>
      <c r="JM85" s="1500"/>
      <c r="JN85" s="1500"/>
      <c r="JO85" s="1500"/>
      <c r="JP85" s="1500"/>
      <c r="JQ85" s="1477"/>
      <c r="JR85" s="351"/>
      <c r="JS85" s="1400" t="s">
        <v>3139</v>
      </c>
      <c r="JT85" s="1400" t="s">
        <v>2242</v>
      </c>
    </row>
    <row r="86" spans="1:280" x14ac:dyDescent="0.25">
      <c r="A86" s="1367">
        <v>39</v>
      </c>
      <c r="B86" s="1411" t="str">
        <f t="shared" si="19"/>
        <v/>
      </c>
      <c r="C86" s="1435" t="s">
        <v>3166</v>
      </c>
      <c r="D86" s="1436" t="s">
        <v>3167</v>
      </c>
      <c r="E86" s="1452"/>
      <c r="F86" s="1452"/>
      <c r="G86" s="1452"/>
      <c r="H86" s="1452"/>
      <c r="I86" s="1452"/>
      <c r="J86" s="1452"/>
      <c r="K86" s="1452"/>
      <c r="L86" s="1452"/>
      <c r="M86" s="1452"/>
      <c r="N86" s="1452"/>
      <c r="O86" s="1452"/>
      <c r="P86" s="1452"/>
      <c r="Q86" s="1452"/>
      <c r="R86" s="1528"/>
      <c r="S86" s="1452"/>
      <c r="T86" s="1455"/>
      <c r="U86" s="1455"/>
      <c r="V86" s="1455"/>
      <c r="W86" s="1455"/>
      <c r="X86" s="1455"/>
      <c r="Y86" s="1455"/>
      <c r="Z86" s="1455"/>
      <c r="AA86" s="1500"/>
      <c r="AB86" s="1455"/>
      <c r="AC86" s="1452"/>
      <c r="AD86" s="1452"/>
      <c r="AE86" s="1452"/>
      <c r="AF86" s="1452"/>
      <c r="AG86" s="1452"/>
      <c r="AH86" s="1452"/>
      <c r="AI86" s="1500"/>
      <c r="AJ86" s="1452"/>
      <c r="AK86" s="1500"/>
      <c r="AL86" s="1452"/>
      <c r="AM86" s="1500"/>
      <c r="AN86" s="1500"/>
      <c r="AO86" s="1500"/>
      <c r="AP86" s="1500"/>
      <c r="AQ86" s="1500"/>
      <c r="AR86" s="1500"/>
      <c r="AS86" s="1500"/>
      <c r="AT86" s="1500"/>
      <c r="AU86" s="1500"/>
      <c r="AV86" s="1452"/>
      <c r="AW86" s="1500"/>
      <c r="AX86" s="1500"/>
      <c r="AY86" s="1500"/>
      <c r="AZ86" s="1500"/>
      <c r="BA86" s="1500"/>
      <c r="BB86" s="1500"/>
      <c r="BC86" s="1500"/>
      <c r="BD86" s="1500"/>
      <c r="BE86" s="1500"/>
      <c r="BF86" s="1500"/>
      <c r="BG86" s="1500"/>
      <c r="BH86" s="1500"/>
      <c r="BI86" s="1500"/>
      <c r="BJ86" s="1454"/>
      <c r="BK86" s="1500"/>
      <c r="BL86" s="1500"/>
      <c r="BM86" s="1500"/>
      <c r="BN86" s="1500"/>
      <c r="BO86" s="1500"/>
      <c r="BP86" s="1452"/>
      <c r="BQ86" s="1500"/>
      <c r="BR86" s="1500"/>
      <c r="BS86" s="1500"/>
      <c r="BT86" s="1500"/>
      <c r="BU86" s="1500"/>
      <c r="BV86" s="1500"/>
      <c r="BW86" s="1500"/>
      <c r="BX86" s="1500"/>
      <c r="BY86" s="1500"/>
      <c r="BZ86" s="1500"/>
      <c r="CA86" s="1500"/>
      <c r="CB86" s="1500"/>
      <c r="CC86" s="1500"/>
      <c r="CD86" s="1500"/>
      <c r="CE86" s="1500"/>
      <c r="CF86" s="1452"/>
      <c r="CG86" s="1500"/>
      <c r="CH86" s="1452"/>
      <c r="CI86" s="1500"/>
      <c r="CJ86" s="1500"/>
      <c r="CK86" s="1500"/>
      <c r="CL86" s="1452">
        <v>199</v>
      </c>
      <c r="CM86" s="1500"/>
      <c r="CN86" s="1500"/>
      <c r="CO86" s="1500"/>
      <c r="CP86" s="1500"/>
      <c r="CQ86" s="1500"/>
      <c r="CR86" s="1452">
        <v>199</v>
      </c>
      <c r="CS86" s="1452">
        <v>199</v>
      </c>
      <c r="CT86" s="1500"/>
      <c r="CU86" s="1452">
        <v>561</v>
      </c>
      <c r="CV86" s="1452">
        <v>561</v>
      </c>
      <c r="CW86" s="1500"/>
      <c r="CX86" s="1500"/>
      <c r="CY86" s="1500"/>
      <c r="CZ86" s="1500"/>
      <c r="DA86" s="1500"/>
      <c r="DB86" s="1500"/>
      <c r="DC86" s="1500">
        <v>561</v>
      </c>
      <c r="DD86" s="1500"/>
      <c r="DE86" s="1500"/>
      <c r="DF86" s="1500"/>
      <c r="DG86" s="1500"/>
      <c r="DH86" s="1500"/>
      <c r="DI86" s="1500"/>
      <c r="DJ86" s="1452">
        <v>561</v>
      </c>
      <c r="DK86" s="1500"/>
      <c r="DL86" s="1500"/>
      <c r="DM86" s="1500"/>
      <c r="DN86" s="1500"/>
      <c r="DO86" s="1452"/>
      <c r="DP86" s="1500"/>
      <c r="DQ86" s="1500"/>
      <c r="DR86" s="1500"/>
      <c r="DS86" s="1500"/>
      <c r="DT86" s="1500"/>
      <c r="DU86" s="1500"/>
      <c r="DV86" s="1500"/>
      <c r="DW86" s="1500"/>
      <c r="DX86" s="1500"/>
      <c r="DY86" s="1500"/>
      <c r="DZ86" s="1500"/>
      <c r="EA86" s="1500"/>
      <c r="EB86" s="1500"/>
      <c r="EC86" s="1500"/>
      <c r="ED86" s="1500"/>
      <c r="EE86" s="1500"/>
      <c r="EF86" s="1452"/>
      <c r="EG86" s="1452"/>
      <c r="EH86" s="1500"/>
      <c r="EI86" s="1452">
        <v>205</v>
      </c>
      <c r="EJ86" s="1500"/>
      <c r="EK86" s="1500"/>
      <c r="EL86" s="1500"/>
      <c r="EM86" s="1452">
        <v>199</v>
      </c>
      <c r="EN86" s="1500"/>
      <c r="EO86" s="1500"/>
      <c r="EP86" s="1500"/>
      <c r="EQ86" s="1500"/>
      <c r="ER86" s="1500"/>
      <c r="ES86" s="1500"/>
      <c r="ET86" s="1500"/>
      <c r="EU86" s="1500"/>
      <c r="EV86" s="1500"/>
      <c r="EW86" s="1500"/>
      <c r="EX86" s="1500"/>
      <c r="EY86" s="1452">
        <v>199</v>
      </c>
      <c r="EZ86" s="1500"/>
      <c r="FA86" s="1500"/>
      <c r="FB86" s="1500"/>
      <c r="FC86" s="1500"/>
      <c r="FD86" s="1500"/>
      <c r="FE86" s="1500"/>
      <c r="FF86" s="1452"/>
      <c r="FG86" s="1500"/>
      <c r="FH86" s="1452">
        <v>561</v>
      </c>
      <c r="FI86" s="1500"/>
      <c r="FJ86" s="1500"/>
      <c r="FK86" s="1500"/>
      <c r="FL86" s="1500"/>
      <c r="FM86" s="1500"/>
      <c r="FN86" s="1500"/>
      <c r="FO86" s="1500"/>
      <c r="FP86" s="1500"/>
      <c r="FQ86" s="1500"/>
      <c r="FR86" s="1500"/>
      <c r="FS86" s="1500"/>
      <c r="FT86" s="1500"/>
      <c r="FU86" s="1500"/>
      <c r="FV86" s="1500"/>
      <c r="FW86" s="1500"/>
      <c r="FX86" s="1500"/>
      <c r="FY86" s="1500"/>
      <c r="FZ86" s="1500"/>
      <c r="GA86" s="1500"/>
      <c r="GB86" s="1500"/>
      <c r="GC86" s="1500"/>
      <c r="GD86" s="1500"/>
      <c r="GE86" s="1500"/>
      <c r="GF86" s="1500"/>
      <c r="GG86" s="1500"/>
      <c r="GH86" s="1500"/>
      <c r="GI86" s="1500"/>
      <c r="GJ86" s="1454"/>
      <c r="GK86" s="1500"/>
      <c r="GL86" s="1500"/>
      <c r="GM86" s="1500"/>
      <c r="GN86" s="1500"/>
      <c r="GO86" s="1500"/>
      <c r="GP86" s="1500"/>
      <c r="GQ86" s="1500"/>
      <c r="GR86" s="1500"/>
      <c r="GS86" s="1500"/>
      <c r="GT86" s="1500"/>
      <c r="GU86" s="1500"/>
      <c r="GV86" s="1500"/>
      <c r="GW86" s="1500"/>
      <c r="GX86" s="1452"/>
      <c r="GY86" s="1500"/>
      <c r="GZ86" s="1500"/>
      <c r="HA86" s="1500"/>
      <c r="HB86" s="1452"/>
      <c r="HC86" s="1452">
        <v>561</v>
      </c>
      <c r="HD86" s="1500"/>
      <c r="HE86" s="1500"/>
      <c r="HF86" s="1500"/>
      <c r="HG86" s="1500"/>
      <c r="HH86" s="1500"/>
      <c r="HI86" s="1500"/>
      <c r="HJ86" s="1500"/>
      <c r="HK86" s="1500"/>
      <c r="HL86" s="1500"/>
      <c r="HM86" s="1500"/>
      <c r="HN86" s="1500"/>
      <c r="HO86" s="1452"/>
      <c r="HP86" s="1500"/>
      <c r="HQ86" s="1500"/>
      <c r="HR86" s="1500"/>
      <c r="HS86" s="1500"/>
      <c r="HT86" s="1500"/>
      <c r="HU86" s="1500"/>
      <c r="HV86" s="1500"/>
      <c r="HW86" s="1500"/>
      <c r="HX86" s="1500"/>
      <c r="HY86" s="1500"/>
      <c r="HZ86" s="1500"/>
      <c r="IA86" s="1500"/>
      <c r="IB86" s="1500"/>
      <c r="IC86" s="1500"/>
      <c r="ID86" s="1500"/>
      <c r="IE86" s="1500"/>
      <c r="IF86" s="1500"/>
      <c r="IG86" s="1500"/>
      <c r="IH86" s="1500"/>
      <c r="II86" s="1500"/>
      <c r="IJ86" s="1500"/>
      <c r="IK86" s="1500"/>
      <c r="IL86" s="1500"/>
      <c r="IM86" s="1500"/>
      <c r="IN86" s="1500"/>
      <c r="IO86" s="1500"/>
      <c r="IP86" s="1500"/>
      <c r="IQ86" s="1500"/>
      <c r="IR86" s="1500"/>
      <c r="IS86" s="1500"/>
      <c r="IT86" s="1500"/>
      <c r="IU86" s="1500"/>
      <c r="IV86" s="1500"/>
      <c r="IW86" s="1500"/>
      <c r="IX86" s="1500"/>
      <c r="IY86" s="1452"/>
      <c r="IZ86" s="1500"/>
      <c r="JA86" s="1452">
        <v>199</v>
      </c>
      <c r="JB86" s="1500"/>
      <c r="JC86" s="1500"/>
      <c r="JD86" s="1500"/>
      <c r="JE86" s="1500"/>
      <c r="JF86" s="1500"/>
      <c r="JG86" s="1500"/>
      <c r="JH86" s="1500"/>
      <c r="JI86" s="1500"/>
      <c r="JJ86" s="1500"/>
      <c r="JK86" s="1500"/>
      <c r="JL86" s="1500"/>
      <c r="JM86" s="1500"/>
      <c r="JN86" s="1500"/>
      <c r="JO86" s="1500"/>
      <c r="JP86" s="1500"/>
      <c r="JQ86" s="1477"/>
      <c r="JR86" s="351"/>
      <c r="JS86" s="1400" t="s">
        <v>3139</v>
      </c>
      <c r="JT86" s="1400" t="s">
        <v>2242</v>
      </c>
    </row>
    <row r="87" spans="1:280" x14ac:dyDescent="0.25">
      <c r="A87" s="1367">
        <v>40</v>
      </c>
      <c r="B87" s="1411" t="str">
        <f t="shared" si="19"/>
        <v/>
      </c>
      <c r="C87" s="1435" t="s">
        <v>3168</v>
      </c>
      <c r="D87" s="1436" t="s">
        <v>3169</v>
      </c>
      <c r="E87" s="1452"/>
      <c r="F87" s="1452"/>
      <c r="G87" s="1452"/>
      <c r="H87" s="1452"/>
      <c r="I87" s="1452"/>
      <c r="J87" s="1452"/>
      <c r="K87" s="1452"/>
      <c r="L87" s="1452"/>
      <c r="M87" s="1452"/>
      <c r="N87" s="1452"/>
      <c r="O87" s="1452"/>
      <c r="P87" s="1452"/>
      <c r="Q87" s="1452"/>
      <c r="R87" s="1528"/>
      <c r="S87" s="1452"/>
      <c r="T87" s="1455"/>
      <c r="U87" s="1455"/>
      <c r="V87" s="1455"/>
      <c r="W87" s="1455"/>
      <c r="X87" s="1455"/>
      <c r="Y87" s="1455"/>
      <c r="Z87" s="1455"/>
      <c r="AA87" s="1500"/>
      <c r="AB87" s="1455"/>
      <c r="AC87" s="1452"/>
      <c r="AD87" s="1452"/>
      <c r="AE87" s="1452"/>
      <c r="AF87" s="1452"/>
      <c r="AG87" s="1452"/>
      <c r="AH87" s="1452"/>
      <c r="AI87" s="1500"/>
      <c r="AJ87" s="1452"/>
      <c r="AK87" s="1500"/>
      <c r="AL87" s="1452"/>
      <c r="AM87" s="1500"/>
      <c r="AN87" s="1500"/>
      <c r="AO87" s="1500"/>
      <c r="AP87" s="1500"/>
      <c r="AQ87" s="1500"/>
      <c r="AR87" s="1500"/>
      <c r="AS87" s="1500"/>
      <c r="AT87" s="1500"/>
      <c r="AU87" s="1500"/>
      <c r="AV87" s="1452"/>
      <c r="AW87" s="1500"/>
      <c r="AX87" s="1500"/>
      <c r="AY87" s="1500"/>
      <c r="AZ87" s="1500"/>
      <c r="BA87" s="1500"/>
      <c r="BB87" s="1500"/>
      <c r="BC87" s="1500"/>
      <c r="BD87" s="1500"/>
      <c r="BE87" s="1500"/>
      <c r="BF87" s="1500"/>
      <c r="BG87" s="1500"/>
      <c r="BH87" s="1500"/>
      <c r="BI87" s="1500"/>
      <c r="BJ87" s="1452"/>
      <c r="BK87" s="1500"/>
      <c r="BL87" s="1500"/>
      <c r="BM87" s="1500"/>
      <c r="BN87" s="1500"/>
      <c r="BO87" s="1500"/>
      <c r="BP87" s="1452"/>
      <c r="BQ87" s="1500"/>
      <c r="BR87" s="1500"/>
      <c r="BS87" s="1500"/>
      <c r="BT87" s="1500"/>
      <c r="BU87" s="1500"/>
      <c r="BV87" s="1500"/>
      <c r="BW87" s="1500"/>
      <c r="BX87" s="1500"/>
      <c r="BY87" s="1500"/>
      <c r="BZ87" s="1500"/>
      <c r="CA87" s="1500"/>
      <c r="CB87" s="1500"/>
      <c r="CC87" s="1500"/>
      <c r="CD87" s="1500"/>
      <c r="CE87" s="1500"/>
      <c r="CF87" s="1452"/>
      <c r="CG87" s="1500"/>
      <c r="CH87" s="1452"/>
      <c r="CI87" s="1500"/>
      <c r="CJ87" s="1500"/>
      <c r="CK87" s="1500"/>
      <c r="CL87" s="1452"/>
      <c r="CM87" s="1500"/>
      <c r="CN87" s="1500"/>
      <c r="CO87" s="1500"/>
      <c r="CP87" s="1500"/>
      <c r="CQ87" s="1500"/>
      <c r="CR87" s="1452"/>
      <c r="CS87" s="1452"/>
      <c r="CT87" s="1500"/>
      <c r="CU87" s="1452">
        <v>2135</v>
      </c>
      <c r="CV87" s="1452">
        <v>2135</v>
      </c>
      <c r="CW87" s="1500"/>
      <c r="CX87" s="1500"/>
      <c r="CY87" s="1500"/>
      <c r="CZ87" s="1500"/>
      <c r="DA87" s="1500"/>
      <c r="DB87" s="1500"/>
      <c r="DC87" s="1500">
        <v>2135</v>
      </c>
      <c r="DD87" s="1500"/>
      <c r="DE87" s="1500"/>
      <c r="DF87" s="1500"/>
      <c r="DG87" s="1500"/>
      <c r="DH87" s="1500"/>
      <c r="DI87" s="1500"/>
      <c r="DJ87" s="1452">
        <v>2135</v>
      </c>
      <c r="DK87" s="1500"/>
      <c r="DL87" s="1500"/>
      <c r="DM87" s="1500"/>
      <c r="DN87" s="1500"/>
      <c r="DO87" s="1452"/>
      <c r="DP87" s="1500"/>
      <c r="DQ87" s="1500"/>
      <c r="DR87" s="1472">
        <v>7338</v>
      </c>
      <c r="DS87" s="1500"/>
      <c r="DT87" s="1500"/>
      <c r="DU87" s="1500"/>
      <c r="DV87" s="1500"/>
      <c r="DW87" s="1500"/>
      <c r="DX87" s="1500"/>
      <c r="DY87" s="1500"/>
      <c r="DZ87" s="1500"/>
      <c r="EA87" s="1500"/>
      <c r="EB87" s="1500"/>
      <c r="EC87" s="1500"/>
      <c r="ED87" s="1500"/>
      <c r="EE87" s="1500"/>
      <c r="EF87" s="1452"/>
      <c r="EG87" s="1452"/>
      <c r="EH87" s="1500"/>
      <c r="EI87" s="1452"/>
      <c r="EJ87" s="1500"/>
      <c r="EK87" s="1500"/>
      <c r="EL87" s="1500"/>
      <c r="EM87" s="1452"/>
      <c r="EN87" s="1500"/>
      <c r="EO87" s="1500"/>
      <c r="EP87" s="1500"/>
      <c r="EQ87" s="1500"/>
      <c r="ER87" s="1500"/>
      <c r="ES87" s="1500"/>
      <c r="ET87" s="1500"/>
      <c r="EU87" s="1500"/>
      <c r="EV87" s="1500"/>
      <c r="EW87" s="1500"/>
      <c r="EX87" s="1500"/>
      <c r="EY87" s="1452"/>
      <c r="EZ87" s="1500"/>
      <c r="FA87" s="1500"/>
      <c r="FB87" s="1500"/>
      <c r="FC87" s="1500"/>
      <c r="FD87" s="1500"/>
      <c r="FE87" s="1500"/>
      <c r="FF87" s="1452"/>
      <c r="FG87" s="1500"/>
      <c r="FH87" s="1452">
        <v>2135</v>
      </c>
      <c r="FI87" s="1500"/>
      <c r="FJ87" s="1500"/>
      <c r="FK87" s="1500"/>
      <c r="FL87" s="1500"/>
      <c r="FM87" s="1500"/>
      <c r="FN87" s="1500"/>
      <c r="FO87" s="1500"/>
      <c r="FP87" s="1500"/>
      <c r="FQ87" s="1500"/>
      <c r="FR87" s="1500"/>
      <c r="FS87" s="1500"/>
      <c r="FT87" s="1500"/>
      <c r="FU87" s="1500"/>
      <c r="FV87" s="1500"/>
      <c r="FW87" s="1500"/>
      <c r="FX87" s="1500"/>
      <c r="FY87" s="1500"/>
      <c r="FZ87" s="1500"/>
      <c r="GA87" s="1500"/>
      <c r="GB87" s="1500"/>
      <c r="GC87" s="1500"/>
      <c r="GD87" s="1500"/>
      <c r="GE87" s="1500"/>
      <c r="GF87" s="1500"/>
      <c r="GG87" s="1500"/>
      <c r="GH87" s="1500"/>
      <c r="GI87" s="1500"/>
      <c r="GJ87" s="1452"/>
      <c r="GK87" s="1500"/>
      <c r="GL87" s="1500"/>
      <c r="GM87" s="1500"/>
      <c r="GN87" s="1500"/>
      <c r="GO87" s="1500"/>
      <c r="GP87" s="1500"/>
      <c r="GQ87" s="1500"/>
      <c r="GR87" s="1500"/>
      <c r="GS87" s="1500"/>
      <c r="GT87" s="1500"/>
      <c r="GU87" s="1500"/>
      <c r="GV87" s="1500"/>
      <c r="GW87" s="1500"/>
      <c r="GX87" s="1452"/>
      <c r="GY87" s="1500"/>
      <c r="GZ87" s="1500"/>
      <c r="HA87" s="1500"/>
      <c r="HB87" s="1452"/>
      <c r="HC87" s="1452">
        <v>2135</v>
      </c>
      <c r="HD87" s="1500"/>
      <c r="HE87" s="1500"/>
      <c r="HF87" s="1500"/>
      <c r="HG87" s="1500"/>
      <c r="HH87" s="1500"/>
      <c r="HI87" s="1500"/>
      <c r="HJ87" s="1500"/>
      <c r="HK87" s="1500"/>
      <c r="HL87" s="1500"/>
      <c r="HM87" s="1500"/>
      <c r="HN87" s="1500"/>
      <c r="HO87" s="1452"/>
      <c r="HP87" s="1500"/>
      <c r="HQ87" s="1500"/>
      <c r="HR87" s="1500"/>
      <c r="HS87" s="1500"/>
      <c r="HT87" s="1500"/>
      <c r="HU87" s="1500"/>
      <c r="HV87" s="1500"/>
      <c r="HW87" s="1500"/>
      <c r="HX87" s="1500"/>
      <c r="HY87" s="1500"/>
      <c r="HZ87" s="1500"/>
      <c r="IA87" s="1500"/>
      <c r="IB87" s="1500"/>
      <c r="IC87" s="1500"/>
      <c r="ID87" s="1500"/>
      <c r="IE87" s="1500"/>
      <c r="IF87" s="1500"/>
      <c r="IG87" s="1500"/>
      <c r="IH87" s="1500"/>
      <c r="II87" s="1500"/>
      <c r="IJ87" s="1500"/>
      <c r="IK87" s="1500"/>
      <c r="IL87" s="1500"/>
      <c r="IM87" s="1500"/>
      <c r="IN87" s="1500"/>
      <c r="IO87" s="1500"/>
      <c r="IP87" s="1500"/>
      <c r="IQ87" s="1500"/>
      <c r="IR87" s="1500"/>
      <c r="IS87" s="1500"/>
      <c r="IT87" s="1500"/>
      <c r="IU87" s="1500"/>
      <c r="IV87" s="1500"/>
      <c r="IW87" s="1500"/>
      <c r="IX87" s="1500"/>
      <c r="IY87" s="1452"/>
      <c r="IZ87" s="1500"/>
      <c r="JA87" s="1452"/>
      <c r="JB87" s="1500"/>
      <c r="JC87" s="1500"/>
      <c r="JD87" s="1500"/>
      <c r="JE87" s="1500"/>
      <c r="JF87" s="1500"/>
      <c r="JG87" s="1500"/>
      <c r="JH87" s="1500"/>
      <c r="JI87" s="1500"/>
      <c r="JJ87" s="1500"/>
      <c r="JK87" s="1500"/>
      <c r="JL87" s="1500"/>
      <c r="JM87" s="1500"/>
      <c r="JN87" s="1500"/>
      <c r="JO87" s="1500"/>
      <c r="JP87" s="1500"/>
      <c r="JQ87" s="1477"/>
      <c r="JR87" s="351"/>
      <c r="JS87" s="1400" t="s">
        <v>3139</v>
      </c>
      <c r="JT87" s="1400" t="s">
        <v>2882</v>
      </c>
    </row>
    <row r="88" spans="1:280" x14ac:dyDescent="0.25">
      <c r="A88" s="1367">
        <v>41</v>
      </c>
      <c r="B88" s="1411" t="str">
        <f t="shared" si="19"/>
        <v/>
      </c>
      <c r="C88" s="1435" t="s">
        <v>3170</v>
      </c>
      <c r="D88" s="1436" t="s">
        <v>3171</v>
      </c>
      <c r="E88" s="1452"/>
      <c r="F88" s="1452"/>
      <c r="G88" s="1452"/>
      <c r="H88" s="1452"/>
      <c r="I88" s="1452"/>
      <c r="J88" s="1452"/>
      <c r="K88" s="1452"/>
      <c r="L88" s="1452"/>
      <c r="M88" s="1452"/>
      <c r="N88" s="1452"/>
      <c r="O88" s="1452"/>
      <c r="P88" s="1452"/>
      <c r="Q88" s="1452"/>
      <c r="R88" s="1528"/>
      <c r="S88" s="1452"/>
      <c r="T88" s="1455"/>
      <c r="U88" s="1455"/>
      <c r="V88" s="1455"/>
      <c r="W88" s="1455"/>
      <c r="X88" s="1455"/>
      <c r="Y88" s="1455"/>
      <c r="Z88" s="1455"/>
      <c r="AA88" s="1500"/>
      <c r="AB88" s="1455"/>
      <c r="AC88" s="1452"/>
      <c r="AD88" s="1452"/>
      <c r="AE88" s="1452"/>
      <c r="AF88" s="1452"/>
      <c r="AG88" s="1452"/>
      <c r="AH88" s="1452"/>
      <c r="AI88" s="1500"/>
      <c r="AJ88" s="1452"/>
      <c r="AK88" s="1500"/>
      <c r="AL88" s="1452"/>
      <c r="AM88" s="1500"/>
      <c r="AN88" s="1500"/>
      <c r="AO88" s="1500"/>
      <c r="AP88" s="1500"/>
      <c r="AQ88" s="1500"/>
      <c r="AR88" s="1500"/>
      <c r="AS88" s="1500"/>
      <c r="AT88" s="1500"/>
      <c r="AU88" s="1500"/>
      <c r="AV88" s="1452"/>
      <c r="AW88" s="1500"/>
      <c r="AX88" s="1500"/>
      <c r="AY88" s="1500"/>
      <c r="AZ88" s="1500"/>
      <c r="BA88" s="1500"/>
      <c r="BB88" s="1500"/>
      <c r="BC88" s="1500"/>
      <c r="BD88" s="1500"/>
      <c r="BE88" s="1500"/>
      <c r="BF88" s="1500"/>
      <c r="BG88" s="1500"/>
      <c r="BH88" s="1500"/>
      <c r="BI88" s="1500"/>
      <c r="BJ88" s="1452"/>
      <c r="BK88" s="1500"/>
      <c r="BL88" s="1500"/>
      <c r="BM88" s="1500"/>
      <c r="BN88" s="1500"/>
      <c r="BO88" s="1500"/>
      <c r="BP88" s="1452"/>
      <c r="BQ88" s="1500"/>
      <c r="BR88" s="1500"/>
      <c r="BS88" s="1500"/>
      <c r="BT88" s="1500"/>
      <c r="BU88" s="1500"/>
      <c r="BV88" s="1500"/>
      <c r="BW88" s="1500"/>
      <c r="BX88" s="1500"/>
      <c r="BY88" s="1500"/>
      <c r="BZ88" s="1500"/>
      <c r="CA88" s="1500"/>
      <c r="CB88" s="1500"/>
      <c r="CC88" s="1500"/>
      <c r="CD88" s="1500"/>
      <c r="CE88" s="1500"/>
      <c r="CF88" s="1452"/>
      <c r="CG88" s="1500"/>
      <c r="CH88" s="1452"/>
      <c r="CI88" s="1500"/>
      <c r="CJ88" s="1500"/>
      <c r="CK88" s="1500"/>
      <c r="CL88" s="1452"/>
      <c r="CM88" s="1500"/>
      <c r="CN88" s="1500"/>
      <c r="CO88" s="1500"/>
      <c r="CP88" s="1500"/>
      <c r="CQ88" s="1500"/>
      <c r="CR88" s="1452"/>
      <c r="CS88" s="1452"/>
      <c r="CT88" s="1500"/>
      <c r="CU88" s="1452"/>
      <c r="CV88" s="1452"/>
      <c r="CW88" s="1500"/>
      <c r="CX88" s="1500"/>
      <c r="CY88" s="1500"/>
      <c r="CZ88" s="1500"/>
      <c r="DA88" s="1500"/>
      <c r="DB88" s="1500"/>
      <c r="DC88" s="1500"/>
      <c r="DD88" s="1500"/>
      <c r="DE88" s="1500"/>
      <c r="DF88" s="1500"/>
      <c r="DG88" s="1500"/>
      <c r="DH88" s="1500"/>
      <c r="DI88" s="1500"/>
      <c r="DJ88" s="1452"/>
      <c r="DK88" s="1500"/>
      <c r="DL88" s="1500"/>
      <c r="DM88" s="1500"/>
      <c r="DN88" s="1500"/>
      <c r="DO88" s="1452"/>
      <c r="DP88" s="1500"/>
      <c r="DQ88" s="1500"/>
      <c r="DR88" s="1500"/>
      <c r="DS88" s="1500"/>
      <c r="DT88" s="1500"/>
      <c r="DU88" s="1500"/>
      <c r="DV88" s="1500"/>
      <c r="DW88" s="1500"/>
      <c r="DX88" s="1500"/>
      <c r="DY88" s="1500"/>
      <c r="DZ88" s="1500"/>
      <c r="EA88" s="1500"/>
      <c r="EB88" s="1500"/>
      <c r="EC88" s="1500"/>
      <c r="ED88" s="1500"/>
      <c r="EE88" s="1500"/>
      <c r="EF88" s="1452"/>
      <c r="EG88" s="1452"/>
      <c r="EH88" s="1500"/>
      <c r="EI88" s="1452"/>
      <c r="EJ88" s="1500"/>
      <c r="EK88" s="1500"/>
      <c r="EL88" s="1500"/>
      <c r="EM88" s="1452"/>
      <c r="EN88" s="1500"/>
      <c r="EO88" s="1500"/>
      <c r="EP88" s="1500"/>
      <c r="EQ88" s="1500"/>
      <c r="ER88" s="1500"/>
      <c r="ES88" s="1500"/>
      <c r="ET88" s="1500"/>
      <c r="EU88" s="1500"/>
      <c r="EV88" s="1500"/>
      <c r="EW88" s="1500"/>
      <c r="EX88" s="1500"/>
      <c r="EY88" s="1452"/>
      <c r="EZ88" s="1500"/>
      <c r="FA88" s="1500"/>
      <c r="FB88" s="1500"/>
      <c r="FC88" s="1500"/>
      <c r="FD88" s="1500"/>
      <c r="FE88" s="1500"/>
      <c r="FF88" s="1452"/>
      <c r="FG88" s="1500"/>
      <c r="FH88" s="1452"/>
      <c r="FI88" s="1500"/>
      <c r="FJ88" s="1500"/>
      <c r="FK88" s="1500"/>
      <c r="FL88" s="1500"/>
      <c r="FM88" s="1500"/>
      <c r="FN88" s="1500"/>
      <c r="FO88" s="1500"/>
      <c r="FP88" s="1500"/>
      <c r="FQ88" s="1500"/>
      <c r="FR88" s="1500"/>
      <c r="FS88" s="1500"/>
      <c r="FT88" s="1500"/>
      <c r="FU88" s="1500"/>
      <c r="FV88" s="1500"/>
      <c r="FW88" s="1500"/>
      <c r="FX88" s="1500"/>
      <c r="FY88" s="1500"/>
      <c r="FZ88" s="1500"/>
      <c r="GA88" s="1500"/>
      <c r="GB88" s="1500"/>
      <c r="GC88" s="1500"/>
      <c r="GD88" s="1500"/>
      <c r="GE88" s="1500"/>
      <c r="GF88" s="1500"/>
      <c r="GG88" s="1500"/>
      <c r="GH88" s="1500"/>
      <c r="GI88" s="1500"/>
      <c r="GJ88" s="1452"/>
      <c r="GK88" s="1500"/>
      <c r="GL88" s="1500"/>
      <c r="GM88" s="1500"/>
      <c r="GN88" s="1500"/>
      <c r="GO88" s="1500"/>
      <c r="GP88" s="1500"/>
      <c r="GQ88" s="1500"/>
      <c r="GR88" s="1500"/>
      <c r="GS88" s="1500"/>
      <c r="GT88" s="1500"/>
      <c r="GU88" s="1500"/>
      <c r="GV88" s="1500"/>
      <c r="GW88" s="1500"/>
      <c r="GX88" s="1452"/>
      <c r="GY88" s="1500"/>
      <c r="GZ88" s="1500"/>
      <c r="HA88" s="1500"/>
      <c r="HB88" s="1452"/>
      <c r="HC88" s="1452"/>
      <c r="HD88" s="1500"/>
      <c r="HE88" s="1500"/>
      <c r="HF88" s="1500"/>
      <c r="HG88" s="1500"/>
      <c r="HH88" s="1500"/>
      <c r="HI88" s="1500"/>
      <c r="HJ88" s="1500"/>
      <c r="HK88" s="1500"/>
      <c r="HL88" s="1500"/>
      <c r="HM88" s="1500"/>
      <c r="HN88" s="1500"/>
      <c r="HO88" s="1452"/>
      <c r="HP88" s="1500"/>
      <c r="HQ88" s="1500"/>
      <c r="HR88" s="1500"/>
      <c r="HS88" s="1500"/>
      <c r="HT88" s="1500"/>
      <c r="HU88" s="1500"/>
      <c r="HV88" s="1500"/>
      <c r="HW88" s="1500"/>
      <c r="HX88" s="1500"/>
      <c r="HY88" s="1500"/>
      <c r="HZ88" s="1500"/>
      <c r="IA88" s="1500"/>
      <c r="IB88" s="1500"/>
      <c r="IC88" s="1500"/>
      <c r="ID88" s="1500"/>
      <c r="IE88" s="1500"/>
      <c r="IF88" s="1500"/>
      <c r="IG88" s="1500"/>
      <c r="IH88" s="1500"/>
      <c r="II88" s="1500"/>
      <c r="IJ88" s="1500"/>
      <c r="IK88" s="1500"/>
      <c r="IL88" s="1500"/>
      <c r="IM88" s="1500"/>
      <c r="IN88" s="1500"/>
      <c r="IO88" s="1500"/>
      <c r="IP88" s="1500"/>
      <c r="IQ88" s="1500"/>
      <c r="IR88" s="1500"/>
      <c r="IS88" s="1500"/>
      <c r="IT88" s="1500"/>
      <c r="IU88" s="1500"/>
      <c r="IV88" s="1500"/>
      <c r="IW88" s="1500"/>
      <c r="IX88" s="1500"/>
      <c r="IY88" s="1452"/>
      <c r="IZ88" s="1500"/>
      <c r="JA88" s="1452"/>
      <c r="JB88" s="1500"/>
      <c r="JC88" s="1500"/>
      <c r="JD88" s="1500"/>
      <c r="JE88" s="1500"/>
      <c r="JF88" s="1500"/>
      <c r="JG88" s="1500"/>
      <c r="JH88" s="1500"/>
      <c r="JI88" s="1500"/>
      <c r="JJ88" s="1500"/>
      <c r="JK88" s="1500"/>
      <c r="JL88" s="1500"/>
      <c r="JM88" s="1500"/>
      <c r="JN88" s="1500"/>
      <c r="JO88" s="1500"/>
      <c r="JP88" s="1500"/>
      <c r="JQ88" s="1477"/>
      <c r="JR88" s="351"/>
      <c r="JS88" s="1400" t="s">
        <v>3139</v>
      </c>
      <c r="JT88" s="1400" t="s">
        <v>2882</v>
      </c>
    </row>
    <row r="89" spans="1:280" x14ac:dyDescent="0.25">
      <c r="A89" s="1367">
        <v>42</v>
      </c>
      <c r="B89" s="1411" t="str">
        <f t="shared" si="19"/>
        <v/>
      </c>
      <c r="C89" s="1435" t="s">
        <v>3172</v>
      </c>
      <c r="D89" s="1436" t="s">
        <v>3173</v>
      </c>
      <c r="E89" s="1452"/>
      <c r="F89" s="1452"/>
      <c r="G89" s="1452"/>
      <c r="H89" s="1452"/>
      <c r="I89" s="1452"/>
      <c r="J89" s="1452"/>
      <c r="K89" s="1452"/>
      <c r="L89" s="1452"/>
      <c r="M89" s="1452"/>
      <c r="N89" s="1452"/>
      <c r="O89" s="1452"/>
      <c r="P89" s="1452"/>
      <c r="Q89" s="1452"/>
      <c r="R89" s="1528"/>
      <c r="S89" s="1452"/>
      <c r="T89" s="1455"/>
      <c r="U89" s="1455"/>
      <c r="V89" s="1455"/>
      <c r="W89" s="1455"/>
      <c r="X89" s="1455"/>
      <c r="Y89" s="1455"/>
      <c r="Z89" s="1455"/>
      <c r="AA89" s="1500"/>
      <c r="AB89" s="1455"/>
      <c r="AC89" s="1452"/>
      <c r="AD89" s="1452"/>
      <c r="AE89" s="1452"/>
      <c r="AF89" s="1452"/>
      <c r="AG89" s="1452"/>
      <c r="AH89" s="1452"/>
      <c r="AI89" s="1500"/>
      <c r="AJ89" s="1452"/>
      <c r="AK89" s="1500"/>
      <c r="AL89" s="1452"/>
      <c r="AM89" s="1500"/>
      <c r="AN89" s="1500"/>
      <c r="AO89" s="1500"/>
      <c r="AP89" s="1500"/>
      <c r="AQ89" s="1500"/>
      <c r="AR89" s="1500"/>
      <c r="AS89" s="1500"/>
      <c r="AT89" s="1500"/>
      <c r="AU89" s="1500"/>
      <c r="AV89" s="1452"/>
      <c r="AW89" s="1500"/>
      <c r="AX89" s="1500"/>
      <c r="AY89" s="1500"/>
      <c r="AZ89" s="1500"/>
      <c r="BA89" s="1500"/>
      <c r="BB89" s="1500"/>
      <c r="BC89" s="1500"/>
      <c r="BD89" s="1500"/>
      <c r="BE89" s="1500"/>
      <c r="BF89" s="1500"/>
      <c r="BG89" s="1500"/>
      <c r="BH89" s="1500"/>
      <c r="BI89" s="1500"/>
      <c r="BJ89" s="1452"/>
      <c r="BK89" s="1500"/>
      <c r="BL89" s="1500"/>
      <c r="BM89" s="1500"/>
      <c r="BN89" s="1500"/>
      <c r="BO89" s="1500"/>
      <c r="BP89" s="1452"/>
      <c r="BQ89" s="1500"/>
      <c r="BR89" s="1500"/>
      <c r="BS89" s="1500"/>
      <c r="BT89" s="1500"/>
      <c r="BU89" s="1500"/>
      <c r="BV89" s="1500"/>
      <c r="BW89" s="1500"/>
      <c r="BX89" s="1500"/>
      <c r="BY89" s="1500"/>
      <c r="BZ89" s="1500"/>
      <c r="CA89" s="1500"/>
      <c r="CB89" s="1500"/>
      <c r="CC89" s="1500"/>
      <c r="CD89" s="1500"/>
      <c r="CE89" s="1500"/>
      <c r="CF89" s="1452"/>
      <c r="CG89" s="1500"/>
      <c r="CH89" s="1452"/>
      <c r="CI89" s="1500"/>
      <c r="CJ89" s="1500"/>
      <c r="CK89" s="1500"/>
      <c r="CL89" s="1452"/>
      <c r="CM89" s="1500"/>
      <c r="CN89" s="1500"/>
      <c r="CO89" s="1500"/>
      <c r="CP89" s="1500"/>
      <c r="CQ89" s="1500"/>
      <c r="CR89" s="1452"/>
      <c r="CS89" s="1452"/>
      <c r="CT89" s="1500"/>
      <c r="CU89" s="1452"/>
      <c r="CV89" s="1452"/>
      <c r="CW89" s="1500"/>
      <c r="CX89" s="1500"/>
      <c r="CY89" s="1500"/>
      <c r="CZ89" s="1500"/>
      <c r="DA89" s="1500"/>
      <c r="DB89" s="1500"/>
      <c r="DC89" s="1500"/>
      <c r="DD89" s="1500"/>
      <c r="DE89" s="1500"/>
      <c r="DF89" s="1500"/>
      <c r="DG89" s="1500"/>
      <c r="DH89" s="1500"/>
      <c r="DI89" s="1500"/>
      <c r="DJ89" s="1452"/>
      <c r="DK89" s="1500"/>
      <c r="DL89" s="1500"/>
      <c r="DM89" s="1500"/>
      <c r="DN89" s="1500"/>
      <c r="DO89" s="1452"/>
      <c r="DP89" s="1500"/>
      <c r="DQ89" s="1500"/>
      <c r="DR89" s="1472">
        <v>18204</v>
      </c>
      <c r="DS89" s="1500"/>
      <c r="DT89" s="1500"/>
      <c r="DU89" s="1500"/>
      <c r="DV89" s="1500"/>
      <c r="DW89" s="1500"/>
      <c r="DX89" s="1500"/>
      <c r="DY89" s="1500"/>
      <c r="DZ89" s="1500"/>
      <c r="EA89" s="1500"/>
      <c r="EB89" s="1500"/>
      <c r="EC89" s="1500"/>
      <c r="ED89" s="1500"/>
      <c r="EE89" s="1500"/>
      <c r="EF89" s="1452"/>
      <c r="EG89" s="1452"/>
      <c r="EH89" s="1500"/>
      <c r="EI89" s="1452"/>
      <c r="EJ89" s="1500"/>
      <c r="EK89" s="1500"/>
      <c r="EL89" s="1500"/>
      <c r="EM89" s="1452"/>
      <c r="EN89" s="1500"/>
      <c r="EO89" s="1500"/>
      <c r="EP89" s="1500"/>
      <c r="EQ89" s="1500"/>
      <c r="ER89" s="1500"/>
      <c r="ES89" s="1500"/>
      <c r="ET89" s="1500"/>
      <c r="EU89" s="1500"/>
      <c r="EV89" s="1500"/>
      <c r="EW89" s="1500"/>
      <c r="EX89" s="1500"/>
      <c r="EY89" s="1452"/>
      <c r="EZ89" s="1500"/>
      <c r="FA89" s="1500"/>
      <c r="FB89" s="1500"/>
      <c r="FC89" s="1500"/>
      <c r="FD89" s="1500"/>
      <c r="FE89" s="1500"/>
      <c r="FF89" s="1452"/>
      <c r="FG89" s="1500"/>
      <c r="FH89" s="1452"/>
      <c r="FI89" s="1500"/>
      <c r="FJ89" s="1500"/>
      <c r="FK89" s="1500"/>
      <c r="FL89" s="1500"/>
      <c r="FM89" s="1500"/>
      <c r="FN89" s="1500"/>
      <c r="FO89" s="1500"/>
      <c r="FP89" s="1500"/>
      <c r="FQ89" s="1500"/>
      <c r="FR89" s="1500"/>
      <c r="FS89" s="1500"/>
      <c r="FT89" s="1500"/>
      <c r="FU89" s="1500"/>
      <c r="FV89" s="1500"/>
      <c r="FW89" s="1500"/>
      <c r="FX89" s="1500"/>
      <c r="FY89" s="1500"/>
      <c r="FZ89" s="1500"/>
      <c r="GA89" s="1500"/>
      <c r="GB89" s="1500"/>
      <c r="GC89" s="1500"/>
      <c r="GD89" s="1500"/>
      <c r="GE89" s="1500"/>
      <c r="GF89" s="1500"/>
      <c r="GG89" s="1500"/>
      <c r="GH89" s="1500"/>
      <c r="GI89" s="1500"/>
      <c r="GJ89" s="1452"/>
      <c r="GK89" s="1500"/>
      <c r="GL89" s="1500"/>
      <c r="GM89" s="1500"/>
      <c r="GN89" s="1500"/>
      <c r="GO89" s="1500"/>
      <c r="GP89" s="1500"/>
      <c r="GQ89" s="1500"/>
      <c r="GR89" s="1500"/>
      <c r="GS89" s="1500"/>
      <c r="GT89" s="1500"/>
      <c r="GU89" s="1500"/>
      <c r="GV89" s="1500"/>
      <c r="GW89" s="1500"/>
      <c r="GX89" s="1452"/>
      <c r="GY89" s="1500"/>
      <c r="GZ89" s="1500"/>
      <c r="HA89" s="1500"/>
      <c r="HB89" s="1452"/>
      <c r="HC89" s="1452"/>
      <c r="HD89" s="1500"/>
      <c r="HE89" s="1500"/>
      <c r="HF89" s="1500"/>
      <c r="HG89" s="1500"/>
      <c r="HH89" s="1500"/>
      <c r="HI89" s="1500"/>
      <c r="HJ89" s="1500"/>
      <c r="HK89" s="1500"/>
      <c r="HL89" s="1500"/>
      <c r="HM89" s="1500"/>
      <c r="HN89" s="1500"/>
      <c r="HO89" s="1452"/>
      <c r="HP89" s="1500"/>
      <c r="HQ89" s="1500"/>
      <c r="HR89" s="1500"/>
      <c r="HS89" s="1500"/>
      <c r="HT89" s="1500"/>
      <c r="HU89" s="1500"/>
      <c r="HV89" s="1500"/>
      <c r="HW89" s="1500"/>
      <c r="HX89" s="1500"/>
      <c r="HY89" s="1500"/>
      <c r="HZ89" s="1500"/>
      <c r="IA89" s="1500"/>
      <c r="IB89" s="1500"/>
      <c r="IC89" s="1500"/>
      <c r="ID89" s="1500"/>
      <c r="IE89" s="1500"/>
      <c r="IF89" s="1500"/>
      <c r="IG89" s="1500"/>
      <c r="IH89" s="1500"/>
      <c r="II89" s="1500"/>
      <c r="IJ89" s="1500"/>
      <c r="IK89" s="1500"/>
      <c r="IL89" s="1500"/>
      <c r="IM89" s="1500"/>
      <c r="IN89" s="1500"/>
      <c r="IO89" s="1500"/>
      <c r="IP89" s="1500"/>
      <c r="IQ89" s="1500"/>
      <c r="IR89" s="1500"/>
      <c r="IS89" s="1500"/>
      <c r="IT89" s="1500"/>
      <c r="IU89" s="1500"/>
      <c r="IV89" s="1500"/>
      <c r="IW89" s="1500"/>
      <c r="IX89" s="1500"/>
      <c r="IY89" s="1452"/>
      <c r="IZ89" s="1500"/>
      <c r="JA89" s="1452"/>
      <c r="JB89" s="1500"/>
      <c r="JC89" s="1500"/>
      <c r="JD89" s="1500"/>
      <c r="JE89" s="1500"/>
      <c r="JF89" s="1500"/>
      <c r="JG89" s="1500"/>
      <c r="JH89" s="1500"/>
      <c r="JI89" s="1500"/>
      <c r="JJ89" s="1500"/>
      <c r="JK89" s="1500"/>
      <c r="JL89" s="1500"/>
      <c r="JM89" s="1500"/>
      <c r="JN89" s="1500"/>
      <c r="JO89" s="1500"/>
      <c r="JP89" s="1500"/>
      <c r="JQ89" s="1477"/>
      <c r="JR89" s="351"/>
      <c r="JS89" s="1400" t="s">
        <v>3139</v>
      </c>
      <c r="JT89" s="1400" t="s">
        <v>2242</v>
      </c>
    </row>
    <row r="90" spans="1:280" x14ac:dyDescent="0.25">
      <c r="A90" s="1367">
        <v>43</v>
      </c>
      <c r="B90" s="1411" t="str">
        <f t="shared" si="19"/>
        <v/>
      </c>
      <c r="C90" s="1435" t="s">
        <v>3174</v>
      </c>
      <c r="D90" s="1436" t="s">
        <v>3175</v>
      </c>
      <c r="E90" s="1452"/>
      <c r="F90" s="1452"/>
      <c r="G90" s="1452"/>
      <c r="H90" s="1452"/>
      <c r="I90" s="1452"/>
      <c r="J90" s="1452"/>
      <c r="K90" s="1452"/>
      <c r="L90" s="1452"/>
      <c r="M90" s="1452"/>
      <c r="N90" s="1452"/>
      <c r="O90" s="1452"/>
      <c r="P90" s="1452"/>
      <c r="Q90" s="1452"/>
      <c r="R90" s="1528"/>
      <c r="S90" s="1452"/>
      <c r="T90" s="1455"/>
      <c r="U90" s="1455"/>
      <c r="V90" s="1455"/>
      <c r="W90" s="1455"/>
      <c r="X90" s="1455"/>
      <c r="Y90" s="1455"/>
      <c r="Z90" s="1455"/>
      <c r="AA90" s="1500"/>
      <c r="AB90" s="1455"/>
      <c r="AC90" s="1452"/>
      <c r="AD90" s="1452"/>
      <c r="AE90" s="1452"/>
      <c r="AF90" s="1452"/>
      <c r="AG90" s="1452"/>
      <c r="AH90" s="1452"/>
      <c r="AI90" s="1500"/>
      <c r="AJ90" s="1452"/>
      <c r="AK90" s="1500"/>
      <c r="AL90" s="1452"/>
      <c r="AM90" s="1500"/>
      <c r="AN90" s="1500"/>
      <c r="AO90" s="1500"/>
      <c r="AP90" s="1500"/>
      <c r="AQ90" s="1500"/>
      <c r="AR90" s="1500"/>
      <c r="AS90" s="1500"/>
      <c r="AT90" s="1500"/>
      <c r="AU90" s="1500"/>
      <c r="AV90" s="1452"/>
      <c r="AW90" s="1500"/>
      <c r="AX90" s="1500"/>
      <c r="AY90" s="1500"/>
      <c r="AZ90" s="1500"/>
      <c r="BA90" s="1500"/>
      <c r="BB90" s="1500"/>
      <c r="BC90" s="1500"/>
      <c r="BD90" s="1500"/>
      <c r="BE90" s="1500"/>
      <c r="BF90" s="1500"/>
      <c r="BG90" s="1500"/>
      <c r="BH90" s="1500"/>
      <c r="BI90" s="1500"/>
      <c r="BJ90" s="1452"/>
      <c r="BK90" s="1500"/>
      <c r="BL90" s="1500"/>
      <c r="BM90" s="1500"/>
      <c r="BN90" s="1500"/>
      <c r="BO90" s="1500"/>
      <c r="BP90" s="1452"/>
      <c r="BQ90" s="1500"/>
      <c r="BR90" s="1500"/>
      <c r="BS90" s="1500"/>
      <c r="BT90" s="1500"/>
      <c r="BU90" s="1500"/>
      <c r="BV90" s="1500"/>
      <c r="BW90" s="1500"/>
      <c r="BX90" s="1500"/>
      <c r="BY90" s="1500"/>
      <c r="BZ90" s="1500"/>
      <c r="CA90" s="1500"/>
      <c r="CB90" s="1500"/>
      <c r="CC90" s="1500"/>
      <c r="CD90" s="1500"/>
      <c r="CE90" s="1500"/>
      <c r="CF90" s="1452"/>
      <c r="CG90" s="1500"/>
      <c r="CH90" s="1452"/>
      <c r="CI90" s="1500"/>
      <c r="CJ90" s="1500"/>
      <c r="CK90" s="1500"/>
      <c r="CL90" s="1452"/>
      <c r="CM90" s="1500"/>
      <c r="CN90" s="1500"/>
      <c r="CO90" s="1500"/>
      <c r="CP90" s="1500"/>
      <c r="CQ90" s="1500"/>
      <c r="CR90" s="1452"/>
      <c r="CS90" s="1452"/>
      <c r="CT90" s="1500"/>
      <c r="CU90" s="1452"/>
      <c r="CV90" s="1452"/>
      <c r="CW90" s="1500"/>
      <c r="CX90" s="1500"/>
      <c r="CY90" s="1500"/>
      <c r="CZ90" s="1500"/>
      <c r="DA90" s="1500"/>
      <c r="DB90" s="1500"/>
      <c r="DC90" s="1500"/>
      <c r="DD90" s="1500"/>
      <c r="DE90" s="1500"/>
      <c r="DF90" s="1500"/>
      <c r="DG90" s="1500"/>
      <c r="DH90" s="1500"/>
      <c r="DI90" s="1500"/>
      <c r="DJ90" s="1452"/>
      <c r="DK90" s="1500"/>
      <c r="DL90" s="1500"/>
      <c r="DM90" s="1500"/>
      <c r="DN90" s="1500"/>
      <c r="DO90" s="1452"/>
      <c r="DP90" s="1500"/>
      <c r="DQ90" s="1500"/>
      <c r="DR90" s="1500"/>
      <c r="DS90" s="1500"/>
      <c r="DT90" s="1500"/>
      <c r="DU90" s="1500"/>
      <c r="DV90" s="1500"/>
      <c r="DW90" s="1500"/>
      <c r="DX90" s="1500"/>
      <c r="DY90" s="1500"/>
      <c r="DZ90" s="1500"/>
      <c r="EA90" s="1500"/>
      <c r="EB90" s="1500"/>
      <c r="EC90" s="1500"/>
      <c r="ED90" s="1500"/>
      <c r="EE90" s="1500"/>
      <c r="EF90" s="1452"/>
      <c r="EG90" s="1452"/>
      <c r="EH90" s="1500"/>
      <c r="EI90" s="1452"/>
      <c r="EJ90" s="1500"/>
      <c r="EK90" s="1500"/>
      <c r="EL90" s="1500"/>
      <c r="EM90" s="1452"/>
      <c r="EN90" s="1500"/>
      <c r="EO90" s="1500"/>
      <c r="EP90" s="1500"/>
      <c r="EQ90" s="1500"/>
      <c r="ER90" s="1500"/>
      <c r="ES90" s="1500"/>
      <c r="ET90" s="1500"/>
      <c r="EU90" s="1500"/>
      <c r="EV90" s="1500"/>
      <c r="EW90" s="1500"/>
      <c r="EX90" s="1500"/>
      <c r="EY90" s="1452"/>
      <c r="EZ90" s="1500"/>
      <c r="FA90" s="1500"/>
      <c r="FB90" s="1500"/>
      <c r="FC90" s="1500"/>
      <c r="FD90" s="1500"/>
      <c r="FE90" s="1500"/>
      <c r="FF90" s="1452"/>
      <c r="FG90" s="1500"/>
      <c r="FH90" s="1452"/>
      <c r="FI90" s="1500"/>
      <c r="FJ90" s="1500"/>
      <c r="FK90" s="1500"/>
      <c r="FL90" s="1500"/>
      <c r="FM90" s="1500"/>
      <c r="FN90" s="1500"/>
      <c r="FO90" s="1500"/>
      <c r="FP90" s="1500"/>
      <c r="FQ90" s="1500"/>
      <c r="FR90" s="1500"/>
      <c r="FS90" s="1500"/>
      <c r="FT90" s="1500"/>
      <c r="FU90" s="1500"/>
      <c r="FV90" s="1500"/>
      <c r="FW90" s="1500"/>
      <c r="FX90" s="1500"/>
      <c r="FY90" s="1500"/>
      <c r="FZ90" s="1500"/>
      <c r="GA90" s="1500"/>
      <c r="GB90" s="1500"/>
      <c r="GC90" s="1500"/>
      <c r="GD90" s="1500"/>
      <c r="GE90" s="1500"/>
      <c r="GF90" s="1500"/>
      <c r="GG90" s="1500"/>
      <c r="GH90" s="1500"/>
      <c r="GI90" s="1500"/>
      <c r="GJ90" s="1452"/>
      <c r="GK90" s="1500"/>
      <c r="GL90" s="1500"/>
      <c r="GM90" s="1500"/>
      <c r="GN90" s="1500"/>
      <c r="GO90" s="1500"/>
      <c r="GP90" s="1500"/>
      <c r="GQ90" s="1500"/>
      <c r="GR90" s="1500"/>
      <c r="GS90" s="1500"/>
      <c r="GT90" s="1500"/>
      <c r="GU90" s="1500"/>
      <c r="GV90" s="1500"/>
      <c r="GW90" s="1500"/>
      <c r="GX90" s="1452"/>
      <c r="GY90" s="1500"/>
      <c r="GZ90" s="1500"/>
      <c r="HA90" s="1500"/>
      <c r="HB90" s="1452"/>
      <c r="HC90" s="1452"/>
      <c r="HD90" s="1500"/>
      <c r="HE90" s="1500"/>
      <c r="HF90" s="1500"/>
      <c r="HG90" s="1500"/>
      <c r="HH90" s="1500"/>
      <c r="HI90" s="1500"/>
      <c r="HJ90" s="1500"/>
      <c r="HK90" s="1500"/>
      <c r="HL90" s="1500"/>
      <c r="HM90" s="1500"/>
      <c r="HN90" s="1500"/>
      <c r="HO90" s="1452"/>
      <c r="HP90" s="1500"/>
      <c r="HQ90" s="1500"/>
      <c r="HR90" s="1500"/>
      <c r="HS90" s="1500"/>
      <c r="HT90" s="1500"/>
      <c r="HU90" s="1500"/>
      <c r="HV90" s="1500"/>
      <c r="HW90" s="1500"/>
      <c r="HX90" s="1500"/>
      <c r="HY90" s="1500"/>
      <c r="HZ90" s="1500"/>
      <c r="IA90" s="1500"/>
      <c r="IB90" s="1500"/>
      <c r="IC90" s="1500"/>
      <c r="ID90" s="1500"/>
      <c r="IE90" s="1500"/>
      <c r="IF90" s="1500"/>
      <c r="IG90" s="1500"/>
      <c r="IH90" s="1500"/>
      <c r="II90" s="1500"/>
      <c r="IJ90" s="1500"/>
      <c r="IK90" s="1500"/>
      <c r="IL90" s="1500"/>
      <c r="IM90" s="1500"/>
      <c r="IN90" s="1500"/>
      <c r="IO90" s="1500"/>
      <c r="IP90" s="1500"/>
      <c r="IQ90" s="1500"/>
      <c r="IR90" s="1500"/>
      <c r="IS90" s="1500"/>
      <c r="IT90" s="1500"/>
      <c r="IU90" s="1500"/>
      <c r="IV90" s="1500"/>
      <c r="IW90" s="1500"/>
      <c r="IX90" s="1500"/>
      <c r="IY90" s="1452"/>
      <c r="IZ90" s="1500"/>
      <c r="JA90" s="1452"/>
      <c r="JB90" s="1500"/>
      <c r="JC90" s="1500"/>
      <c r="JD90" s="1500"/>
      <c r="JE90" s="1500"/>
      <c r="JF90" s="1500"/>
      <c r="JG90" s="1500"/>
      <c r="JH90" s="1500"/>
      <c r="JI90" s="1500"/>
      <c r="JJ90" s="1500"/>
      <c r="JK90" s="1500"/>
      <c r="JL90" s="1500"/>
      <c r="JM90" s="1500"/>
      <c r="JN90" s="1500"/>
      <c r="JO90" s="1500"/>
      <c r="JP90" s="1500"/>
      <c r="JQ90" s="1477"/>
      <c r="JR90" s="351"/>
      <c r="JS90" s="1400" t="s">
        <v>3139</v>
      </c>
      <c r="JT90" s="1400" t="s">
        <v>2242</v>
      </c>
    </row>
    <row r="91" spans="1:280" x14ac:dyDescent="0.25">
      <c r="A91" s="1367">
        <v>44</v>
      </c>
      <c r="B91" s="1411" t="str">
        <f t="shared" si="19"/>
        <v/>
      </c>
      <c r="C91" s="1435" t="s">
        <v>3176</v>
      </c>
      <c r="D91" s="1436" t="s">
        <v>3177</v>
      </c>
      <c r="E91" s="1452"/>
      <c r="F91" s="1452"/>
      <c r="G91" s="1452"/>
      <c r="H91" s="1452"/>
      <c r="I91" s="1452"/>
      <c r="J91" s="1452"/>
      <c r="K91" s="1452"/>
      <c r="L91" s="1452"/>
      <c r="M91" s="1452"/>
      <c r="N91" s="1452"/>
      <c r="O91" s="1452"/>
      <c r="P91" s="1452"/>
      <c r="Q91" s="1452"/>
      <c r="R91" s="1528"/>
      <c r="S91" s="1452"/>
      <c r="T91" s="1455"/>
      <c r="U91" s="1455"/>
      <c r="V91" s="1455"/>
      <c r="W91" s="1455"/>
      <c r="X91" s="1455"/>
      <c r="Y91" s="1455"/>
      <c r="Z91" s="1455"/>
      <c r="AA91" s="1500"/>
      <c r="AB91" s="1455"/>
      <c r="AC91" s="1452"/>
      <c r="AD91" s="1452"/>
      <c r="AE91" s="1452"/>
      <c r="AF91" s="1452"/>
      <c r="AG91" s="1452"/>
      <c r="AH91" s="1452"/>
      <c r="AI91" s="1500"/>
      <c r="AJ91" s="1452"/>
      <c r="AK91" s="1500"/>
      <c r="AL91" s="1452"/>
      <c r="AM91" s="1500"/>
      <c r="AN91" s="1500"/>
      <c r="AO91" s="1500"/>
      <c r="AP91" s="1500"/>
      <c r="AQ91" s="1500"/>
      <c r="AR91" s="1500"/>
      <c r="AS91" s="1500"/>
      <c r="AT91" s="1500"/>
      <c r="AU91" s="1500"/>
      <c r="AV91" s="1452"/>
      <c r="AW91" s="1500"/>
      <c r="AX91" s="1500"/>
      <c r="AY91" s="1500"/>
      <c r="AZ91" s="1500"/>
      <c r="BA91" s="1500"/>
      <c r="BB91" s="1500"/>
      <c r="BC91" s="1500"/>
      <c r="BD91" s="1500"/>
      <c r="BE91" s="1500"/>
      <c r="BF91" s="1500"/>
      <c r="BG91" s="1500"/>
      <c r="BH91" s="1500"/>
      <c r="BI91" s="1500"/>
      <c r="BJ91" s="1452"/>
      <c r="BK91" s="1500"/>
      <c r="BL91" s="1500"/>
      <c r="BM91" s="1500"/>
      <c r="BN91" s="1500"/>
      <c r="BO91" s="1500"/>
      <c r="BP91" s="1452"/>
      <c r="BQ91" s="1500"/>
      <c r="BR91" s="1500"/>
      <c r="BS91" s="1500"/>
      <c r="BT91" s="1500"/>
      <c r="BU91" s="1500"/>
      <c r="BV91" s="1500"/>
      <c r="BW91" s="1500"/>
      <c r="BX91" s="1500"/>
      <c r="BY91" s="1500"/>
      <c r="BZ91" s="1500"/>
      <c r="CA91" s="1500"/>
      <c r="CB91" s="1500"/>
      <c r="CC91" s="1500"/>
      <c r="CD91" s="1500"/>
      <c r="CE91" s="1500"/>
      <c r="CF91" s="1452"/>
      <c r="CG91" s="1500"/>
      <c r="CH91" s="1452"/>
      <c r="CI91" s="1500"/>
      <c r="CJ91" s="1500"/>
      <c r="CK91" s="1500"/>
      <c r="CL91" s="1452"/>
      <c r="CM91" s="1500"/>
      <c r="CN91" s="1500"/>
      <c r="CO91" s="1500"/>
      <c r="CP91" s="1500"/>
      <c r="CQ91" s="1500"/>
      <c r="CR91" s="1452"/>
      <c r="CS91" s="1452"/>
      <c r="CT91" s="1500"/>
      <c r="CU91" s="1452"/>
      <c r="CV91" s="1452"/>
      <c r="CW91" s="1500"/>
      <c r="CX91" s="1500"/>
      <c r="CY91" s="1500"/>
      <c r="CZ91" s="1500"/>
      <c r="DA91" s="1500"/>
      <c r="DB91" s="1500"/>
      <c r="DC91" s="1500"/>
      <c r="DD91" s="1500"/>
      <c r="DE91" s="1500"/>
      <c r="DF91" s="1500"/>
      <c r="DG91" s="1500"/>
      <c r="DH91" s="1500"/>
      <c r="DI91" s="1500"/>
      <c r="DJ91" s="1452"/>
      <c r="DK91" s="1500"/>
      <c r="DL91" s="1500"/>
      <c r="DM91" s="1500"/>
      <c r="DN91" s="1500"/>
      <c r="DO91" s="1452"/>
      <c r="DP91" s="1500"/>
      <c r="DQ91" s="1500"/>
      <c r="DR91" s="1500"/>
      <c r="DS91" s="1500"/>
      <c r="DT91" s="1500"/>
      <c r="DU91" s="1500"/>
      <c r="DV91" s="1500"/>
      <c r="DW91" s="1500"/>
      <c r="DX91" s="1500"/>
      <c r="DY91" s="1500"/>
      <c r="DZ91" s="1500"/>
      <c r="EA91" s="1500"/>
      <c r="EB91" s="1500"/>
      <c r="EC91" s="1500"/>
      <c r="ED91" s="1500"/>
      <c r="EE91" s="1500"/>
      <c r="EF91" s="1452"/>
      <c r="EG91" s="1452"/>
      <c r="EH91" s="1500"/>
      <c r="EI91" s="1452"/>
      <c r="EJ91" s="1500"/>
      <c r="EK91" s="1500"/>
      <c r="EL91" s="1500"/>
      <c r="EM91" s="1452"/>
      <c r="EN91" s="1500"/>
      <c r="EO91" s="1500"/>
      <c r="EP91" s="1500"/>
      <c r="EQ91" s="1500"/>
      <c r="ER91" s="1500"/>
      <c r="ES91" s="1500"/>
      <c r="ET91" s="1500"/>
      <c r="EU91" s="1500"/>
      <c r="EV91" s="1500"/>
      <c r="EW91" s="1500"/>
      <c r="EX91" s="1500"/>
      <c r="EY91" s="1452"/>
      <c r="EZ91" s="1500"/>
      <c r="FA91" s="1500"/>
      <c r="FB91" s="1500"/>
      <c r="FC91" s="1500"/>
      <c r="FD91" s="1500"/>
      <c r="FE91" s="1500"/>
      <c r="FF91" s="1452"/>
      <c r="FG91" s="1500"/>
      <c r="FH91" s="1452"/>
      <c r="FI91" s="1500"/>
      <c r="FJ91" s="1500"/>
      <c r="FK91" s="1500"/>
      <c r="FL91" s="1500"/>
      <c r="FM91" s="1500"/>
      <c r="FN91" s="1500"/>
      <c r="FO91" s="1500"/>
      <c r="FP91" s="1500"/>
      <c r="FQ91" s="1500"/>
      <c r="FR91" s="1500"/>
      <c r="FS91" s="1500"/>
      <c r="FT91" s="1500"/>
      <c r="FU91" s="1500"/>
      <c r="FV91" s="1500"/>
      <c r="FW91" s="1500"/>
      <c r="FX91" s="1500"/>
      <c r="FY91" s="1500"/>
      <c r="FZ91" s="1500"/>
      <c r="GA91" s="1500"/>
      <c r="GB91" s="1500"/>
      <c r="GC91" s="1500"/>
      <c r="GD91" s="1500"/>
      <c r="GE91" s="1500"/>
      <c r="GF91" s="1500"/>
      <c r="GG91" s="1500"/>
      <c r="GH91" s="1500"/>
      <c r="GI91" s="1500"/>
      <c r="GJ91" s="1452"/>
      <c r="GK91" s="1500"/>
      <c r="GL91" s="1500"/>
      <c r="GM91" s="1500"/>
      <c r="GN91" s="1500"/>
      <c r="GO91" s="1500"/>
      <c r="GP91" s="1500"/>
      <c r="GQ91" s="1500"/>
      <c r="GR91" s="1500"/>
      <c r="GS91" s="1500"/>
      <c r="GT91" s="1500"/>
      <c r="GU91" s="1500"/>
      <c r="GV91" s="1500"/>
      <c r="GW91" s="1500"/>
      <c r="GX91" s="1452"/>
      <c r="GY91" s="1500"/>
      <c r="GZ91" s="1500"/>
      <c r="HA91" s="1500"/>
      <c r="HB91" s="1452"/>
      <c r="HC91" s="1452"/>
      <c r="HD91" s="1500"/>
      <c r="HE91" s="1500"/>
      <c r="HF91" s="1500"/>
      <c r="HG91" s="1500"/>
      <c r="HH91" s="1500"/>
      <c r="HI91" s="1500"/>
      <c r="HJ91" s="1500"/>
      <c r="HK91" s="1500"/>
      <c r="HL91" s="1500"/>
      <c r="HM91" s="1500"/>
      <c r="HN91" s="1500"/>
      <c r="HO91" s="1452"/>
      <c r="HP91" s="1500"/>
      <c r="HQ91" s="1500"/>
      <c r="HR91" s="1500"/>
      <c r="HS91" s="1500"/>
      <c r="HT91" s="1500"/>
      <c r="HU91" s="1500"/>
      <c r="HV91" s="1500"/>
      <c r="HW91" s="1500"/>
      <c r="HX91" s="1500"/>
      <c r="HY91" s="1500"/>
      <c r="HZ91" s="1500"/>
      <c r="IA91" s="1500"/>
      <c r="IB91" s="1500"/>
      <c r="IC91" s="1500"/>
      <c r="ID91" s="1500"/>
      <c r="IE91" s="1500"/>
      <c r="IF91" s="1500"/>
      <c r="IG91" s="1500"/>
      <c r="IH91" s="1500"/>
      <c r="II91" s="1500"/>
      <c r="IJ91" s="1500"/>
      <c r="IK91" s="1500"/>
      <c r="IL91" s="1500"/>
      <c r="IM91" s="1500"/>
      <c r="IN91" s="1500"/>
      <c r="IO91" s="1500"/>
      <c r="IP91" s="1500"/>
      <c r="IQ91" s="1500"/>
      <c r="IR91" s="1500"/>
      <c r="IS91" s="1500"/>
      <c r="IT91" s="1500"/>
      <c r="IU91" s="1500"/>
      <c r="IV91" s="1500"/>
      <c r="IW91" s="1500"/>
      <c r="IX91" s="1500"/>
      <c r="IY91" s="1452"/>
      <c r="IZ91" s="1500"/>
      <c r="JA91" s="1452"/>
      <c r="JB91" s="1500"/>
      <c r="JC91" s="1500"/>
      <c r="JD91" s="1500"/>
      <c r="JE91" s="1500"/>
      <c r="JF91" s="1500"/>
      <c r="JG91" s="1500"/>
      <c r="JH91" s="1500"/>
      <c r="JI91" s="1500"/>
      <c r="JJ91" s="1500"/>
      <c r="JK91" s="1500"/>
      <c r="JL91" s="1500"/>
      <c r="JM91" s="1500"/>
      <c r="JN91" s="1500"/>
      <c r="JO91" s="1500"/>
      <c r="JP91" s="1500"/>
      <c r="JQ91" s="1477"/>
      <c r="JR91" s="351"/>
      <c r="JS91" s="1400" t="s">
        <v>3139</v>
      </c>
      <c r="JT91" s="1400" t="s">
        <v>2882</v>
      </c>
    </row>
    <row r="92" spans="1:280" x14ac:dyDescent="0.25">
      <c r="A92" s="1367">
        <v>45</v>
      </c>
      <c r="B92" s="1411" t="str">
        <f t="shared" si="19"/>
        <v/>
      </c>
      <c r="C92" s="1435" t="s">
        <v>3178</v>
      </c>
      <c r="D92" s="1436" t="s">
        <v>3179</v>
      </c>
      <c r="E92" s="1452"/>
      <c r="F92" s="1452"/>
      <c r="G92" s="1452"/>
      <c r="H92" s="1452"/>
      <c r="I92" s="1452"/>
      <c r="J92" s="1452"/>
      <c r="K92" s="1452"/>
      <c r="L92" s="1452"/>
      <c r="M92" s="1452"/>
      <c r="N92" s="1452"/>
      <c r="O92" s="1452"/>
      <c r="P92" s="1452"/>
      <c r="Q92" s="1452"/>
      <c r="R92" s="1528"/>
      <c r="S92" s="1452"/>
      <c r="T92" s="1455"/>
      <c r="U92" s="1455"/>
      <c r="V92" s="1455"/>
      <c r="W92" s="1455"/>
      <c r="X92" s="1455"/>
      <c r="Y92" s="1455"/>
      <c r="Z92" s="1455"/>
      <c r="AA92" s="1500"/>
      <c r="AB92" s="1455"/>
      <c r="AC92" s="1452"/>
      <c r="AD92" s="1452"/>
      <c r="AE92" s="1452"/>
      <c r="AF92" s="1452"/>
      <c r="AG92" s="1452"/>
      <c r="AH92" s="1452"/>
      <c r="AI92" s="1500"/>
      <c r="AJ92" s="1452"/>
      <c r="AK92" s="1500"/>
      <c r="AL92" s="1452"/>
      <c r="AM92" s="1500"/>
      <c r="AN92" s="1500"/>
      <c r="AO92" s="1500"/>
      <c r="AP92" s="1500"/>
      <c r="AQ92" s="1500"/>
      <c r="AR92" s="1500"/>
      <c r="AS92" s="1500"/>
      <c r="AT92" s="1500"/>
      <c r="AU92" s="1500"/>
      <c r="AV92" s="1452"/>
      <c r="AW92" s="1500"/>
      <c r="AX92" s="1500"/>
      <c r="AY92" s="1500"/>
      <c r="AZ92" s="1500"/>
      <c r="BA92" s="1500"/>
      <c r="BB92" s="1500"/>
      <c r="BC92" s="1500"/>
      <c r="BD92" s="1500"/>
      <c r="BE92" s="1500"/>
      <c r="BF92" s="1500"/>
      <c r="BG92" s="1500"/>
      <c r="BH92" s="1500"/>
      <c r="BI92" s="1500"/>
      <c r="BJ92" s="1452"/>
      <c r="BK92" s="1500"/>
      <c r="BL92" s="1500"/>
      <c r="BM92" s="1500"/>
      <c r="BN92" s="1500"/>
      <c r="BO92" s="1500"/>
      <c r="BP92" s="1452"/>
      <c r="BQ92" s="1500"/>
      <c r="BR92" s="1500"/>
      <c r="BS92" s="1500"/>
      <c r="BT92" s="1500"/>
      <c r="BU92" s="1500"/>
      <c r="BV92" s="1500"/>
      <c r="BW92" s="1500"/>
      <c r="BX92" s="1500"/>
      <c r="BY92" s="1500"/>
      <c r="BZ92" s="1500"/>
      <c r="CA92" s="1500"/>
      <c r="CB92" s="1500"/>
      <c r="CC92" s="1500"/>
      <c r="CD92" s="1500"/>
      <c r="CE92" s="1500"/>
      <c r="CF92" s="1452"/>
      <c r="CG92" s="1500"/>
      <c r="CH92" s="1452"/>
      <c r="CI92" s="1500"/>
      <c r="CJ92" s="1500"/>
      <c r="CK92" s="1500"/>
      <c r="CL92" s="1452"/>
      <c r="CM92" s="1500"/>
      <c r="CN92" s="1500"/>
      <c r="CO92" s="1500"/>
      <c r="CP92" s="1500"/>
      <c r="CQ92" s="1500"/>
      <c r="CR92" s="1452"/>
      <c r="CS92" s="1452"/>
      <c r="CT92" s="1500"/>
      <c r="CU92" s="1452"/>
      <c r="CV92" s="1452"/>
      <c r="CW92" s="1500"/>
      <c r="CX92" s="1500"/>
      <c r="CY92" s="1500"/>
      <c r="CZ92" s="1500"/>
      <c r="DA92" s="1500"/>
      <c r="DB92" s="1500"/>
      <c r="DC92" s="1500"/>
      <c r="DD92" s="1500"/>
      <c r="DE92" s="1500"/>
      <c r="DF92" s="1500"/>
      <c r="DG92" s="1500"/>
      <c r="DH92" s="1500"/>
      <c r="DI92" s="1500"/>
      <c r="DJ92" s="1452"/>
      <c r="DK92" s="1500"/>
      <c r="DL92" s="1500"/>
      <c r="DM92" s="1500"/>
      <c r="DN92" s="1500"/>
      <c r="DO92" s="1452"/>
      <c r="DP92" s="1500"/>
      <c r="DQ92" s="1500"/>
      <c r="DR92" s="1500"/>
      <c r="DS92" s="1500"/>
      <c r="DT92" s="1500"/>
      <c r="DU92" s="1500"/>
      <c r="DV92" s="1500"/>
      <c r="DW92" s="1500"/>
      <c r="DX92" s="1500"/>
      <c r="DY92" s="1500"/>
      <c r="DZ92" s="1500"/>
      <c r="EA92" s="1500"/>
      <c r="EB92" s="1500"/>
      <c r="EC92" s="1500"/>
      <c r="ED92" s="1500"/>
      <c r="EE92" s="1500"/>
      <c r="EF92" s="1452"/>
      <c r="EG92" s="1452"/>
      <c r="EH92" s="1500"/>
      <c r="EI92" s="1452"/>
      <c r="EJ92" s="1500"/>
      <c r="EK92" s="1500"/>
      <c r="EL92" s="1500"/>
      <c r="EM92" s="1452"/>
      <c r="EN92" s="1500"/>
      <c r="EO92" s="1500"/>
      <c r="EP92" s="1500"/>
      <c r="EQ92" s="1500"/>
      <c r="ER92" s="1500"/>
      <c r="ES92" s="1500"/>
      <c r="ET92" s="1500"/>
      <c r="EU92" s="1500"/>
      <c r="EV92" s="1500"/>
      <c r="EW92" s="1500"/>
      <c r="EX92" s="1500"/>
      <c r="EY92" s="1452"/>
      <c r="EZ92" s="1500"/>
      <c r="FA92" s="1500"/>
      <c r="FB92" s="1500"/>
      <c r="FC92" s="1500"/>
      <c r="FD92" s="1500"/>
      <c r="FE92" s="1500"/>
      <c r="FF92" s="1452"/>
      <c r="FG92" s="1500"/>
      <c r="FH92" s="1452"/>
      <c r="FI92" s="1500"/>
      <c r="FJ92" s="1500"/>
      <c r="FK92" s="1500"/>
      <c r="FL92" s="1500"/>
      <c r="FM92" s="1500"/>
      <c r="FN92" s="1500"/>
      <c r="FO92" s="1500"/>
      <c r="FP92" s="1500"/>
      <c r="FQ92" s="1500"/>
      <c r="FR92" s="1500"/>
      <c r="FS92" s="1500"/>
      <c r="FT92" s="1500"/>
      <c r="FU92" s="1500"/>
      <c r="FV92" s="1500"/>
      <c r="FW92" s="1500"/>
      <c r="FX92" s="1500"/>
      <c r="FY92" s="1500"/>
      <c r="FZ92" s="1500"/>
      <c r="GA92" s="1500"/>
      <c r="GB92" s="1500"/>
      <c r="GC92" s="1500"/>
      <c r="GD92" s="1500"/>
      <c r="GE92" s="1500"/>
      <c r="GF92" s="1500"/>
      <c r="GG92" s="1500"/>
      <c r="GH92" s="1500"/>
      <c r="GI92" s="1500"/>
      <c r="GJ92" s="1452"/>
      <c r="GK92" s="1500"/>
      <c r="GL92" s="1500"/>
      <c r="GM92" s="1500"/>
      <c r="GN92" s="1500"/>
      <c r="GO92" s="1500"/>
      <c r="GP92" s="1500"/>
      <c r="GQ92" s="1500"/>
      <c r="GR92" s="1500"/>
      <c r="GS92" s="1500"/>
      <c r="GT92" s="1500"/>
      <c r="GU92" s="1500"/>
      <c r="GV92" s="1500"/>
      <c r="GW92" s="1500"/>
      <c r="GX92" s="1452"/>
      <c r="GY92" s="1500"/>
      <c r="GZ92" s="1500"/>
      <c r="HA92" s="1500"/>
      <c r="HB92" s="1452"/>
      <c r="HC92" s="1452"/>
      <c r="HD92" s="1500"/>
      <c r="HE92" s="1500"/>
      <c r="HF92" s="1500"/>
      <c r="HG92" s="1500"/>
      <c r="HH92" s="1500"/>
      <c r="HI92" s="1500"/>
      <c r="HJ92" s="1500"/>
      <c r="HK92" s="1500"/>
      <c r="HL92" s="1500"/>
      <c r="HM92" s="1500"/>
      <c r="HN92" s="1500"/>
      <c r="HO92" s="1452"/>
      <c r="HP92" s="1500"/>
      <c r="HQ92" s="1500"/>
      <c r="HR92" s="1500"/>
      <c r="HS92" s="1500"/>
      <c r="HT92" s="1500"/>
      <c r="HU92" s="1500"/>
      <c r="HV92" s="1500"/>
      <c r="HW92" s="1500"/>
      <c r="HX92" s="1500"/>
      <c r="HY92" s="1500"/>
      <c r="HZ92" s="1500"/>
      <c r="IA92" s="1500"/>
      <c r="IB92" s="1500"/>
      <c r="IC92" s="1500"/>
      <c r="ID92" s="1500"/>
      <c r="IE92" s="1500"/>
      <c r="IF92" s="1500"/>
      <c r="IG92" s="1500"/>
      <c r="IH92" s="1500"/>
      <c r="II92" s="1500"/>
      <c r="IJ92" s="1500"/>
      <c r="IK92" s="1500"/>
      <c r="IL92" s="1500"/>
      <c r="IM92" s="1500"/>
      <c r="IN92" s="1500"/>
      <c r="IO92" s="1500"/>
      <c r="IP92" s="1500"/>
      <c r="IQ92" s="1500"/>
      <c r="IR92" s="1500"/>
      <c r="IS92" s="1500"/>
      <c r="IT92" s="1500"/>
      <c r="IU92" s="1500"/>
      <c r="IV92" s="1500"/>
      <c r="IW92" s="1500"/>
      <c r="IX92" s="1500"/>
      <c r="IY92" s="1452"/>
      <c r="IZ92" s="1500"/>
      <c r="JA92" s="1452"/>
      <c r="JB92" s="1500"/>
      <c r="JC92" s="1500"/>
      <c r="JD92" s="1500"/>
      <c r="JE92" s="1500"/>
      <c r="JF92" s="1500"/>
      <c r="JG92" s="1500"/>
      <c r="JH92" s="1500"/>
      <c r="JI92" s="1500"/>
      <c r="JJ92" s="1500"/>
      <c r="JK92" s="1500"/>
      <c r="JL92" s="1500"/>
      <c r="JM92" s="1500"/>
      <c r="JN92" s="1500"/>
      <c r="JO92" s="1500"/>
      <c r="JP92" s="1500"/>
      <c r="JQ92" s="1477"/>
      <c r="JR92" s="351"/>
      <c r="JS92" s="1400" t="s">
        <v>3139</v>
      </c>
      <c r="JT92" s="1400" t="s">
        <v>2882</v>
      </c>
    </row>
    <row r="93" spans="1:280" x14ac:dyDescent="0.25">
      <c r="A93" s="1367">
        <v>46</v>
      </c>
      <c r="B93" s="1411" t="str">
        <f t="shared" si="19"/>
        <v/>
      </c>
      <c r="C93" s="1435" t="s">
        <v>3180</v>
      </c>
      <c r="D93" s="1436" t="s">
        <v>3181</v>
      </c>
      <c r="E93" s="1452"/>
      <c r="F93" s="1452"/>
      <c r="G93" s="1452"/>
      <c r="H93" s="1452"/>
      <c r="I93" s="1452"/>
      <c r="J93" s="1452"/>
      <c r="K93" s="1452"/>
      <c r="L93" s="1452"/>
      <c r="M93" s="1452"/>
      <c r="N93" s="1452"/>
      <c r="O93" s="1452"/>
      <c r="P93" s="1452"/>
      <c r="Q93" s="1452"/>
      <c r="R93" s="1528"/>
      <c r="S93" s="1452"/>
      <c r="T93" s="1455"/>
      <c r="U93" s="1455"/>
      <c r="V93" s="1455"/>
      <c r="W93" s="1455"/>
      <c r="X93" s="1455"/>
      <c r="Y93" s="1455"/>
      <c r="Z93" s="1455"/>
      <c r="AA93" s="1500"/>
      <c r="AB93" s="1455"/>
      <c r="AC93" s="1452"/>
      <c r="AD93" s="1452"/>
      <c r="AE93" s="1452"/>
      <c r="AF93" s="1452"/>
      <c r="AG93" s="1452"/>
      <c r="AH93" s="1452"/>
      <c r="AI93" s="1500"/>
      <c r="AJ93" s="1452"/>
      <c r="AK93" s="1500"/>
      <c r="AL93" s="1452"/>
      <c r="AM93" s="1500"/>
      <c r="AN93" s="1500"/>
      <c r="AO93" s="1500"/>
      <c r="AP93" s="1500"/>
      <c r="AQ93" s="1500"/>
      <c r="AR93" s="1500"/>
      <c r="AS93" s="1500"/>
      <c r="AT93" s="1500"/>
      <c r="AU93" s="1500"/>
      <c r="AV93" s="1452"/>
      <c r="AW93" s="1500"/>
      <c r="AX93" s="1500"/>
      <c r="AY93" s="1500"/>
      <c r="AZ93" s="1500"/>
      <c r="BA93" s="1500"/>
      <c r="BB93" s="1500"/>
      <c r="BC93" s="1500"/>
      <c r="BD93" s="1500"/>
      <c r="BE93" s="1500"/>
      <c r="BF93" s="1500"/>
      <c r="BG93" s="1500"/>
      <c r="BH93" s="1500"/>
      <c r="BI93" s="1500"/>
      <c r="BJ93" s="1452"/>
      <c r="BK93" s="1500"/>
      <c r="BL93" s="1500"/>
      <c r="BM93" s="1500"/>
      <c r="BN93" s="1500"/>
      <c r="BO93" s="1500"/>
      <c r="BP93" s="1452"/>
      <c r="BQ93" s="1500"/>
      <c r="BR93" s="1500"/>
      <c r="BS93" s="1500"/>
      <c r="BT93" s="1500"/>
      <c r="BU93" s="1500"/>
      <c r="BV93" s="1500"/>
      <c r="BW93" s="1500"/>
      <c r="BX93" s="1500"/>
      <c r="BY93" s="1500"/>
      <c r="BZ93" s="1500"/>
      <c r="CA93" s="1500"/>
      <c r="CB93" s="1500"/>
      <c r="CC93" s="1500"/>
      <c r="CD93" s="1500"/>
      <c r="CE93" s="1500"/>
      <c r="CF93" s="1452"/>
      <c r="CG93" s="1500"/>
      <c r="CH93" s="1452"/>
      <c r="CI93" s="1500"/>
      <c r="CJ93" s="1500"/>
      <c r="CK93" s="1500"/>
      <c r="CL93" s="1452"/>
      <c r="CM93" s="1500"/>
      <c r="CN93" s="1500"/>
      <c r="CO93" s="1500"/>
      <c r="CP93" s="1500"/>
      <c r="CQ93" s="1500"/>
      <c r="CR93" s="1452"/>
      <c r="CS93" s="1452"/>
      <c r="CT93" s="1500"/>
      <c r="CU93" s="1452"/>
      <c r="CV93" s="1452"/>
      <c r="CW93" s="1500"/>
      <c r="CX93" s="1500"/>
      <c r="CY93" s="1500"/>
      <c r="CZ93" s="1500"/>
      <c r="DA93" s="1500"/>
      <c r="DB93" s="1500"/>
      <c r="DC93" s="1500"/>
      <c r="DD93" s="1500"/>
      <c r="DE93" s="1500"/>
      <c r="DF93" s="1500"/>
      <c r="DG93" s="1500"/>
      <c r="DH93" s="1500"/>
      <c r="DI93" s="1500"/>
      <c r="DJ93" s="1452"/>
      <c r="DK93" s="1500"/>
      <c r="DL93" s="1500"/>
      <c r="DM93" s="1500"/>
      <c r="DN93" s="1500"/>
      <c r="DO93" s="1452"/>
      <c r="DP93" s="1500"/>
      <c r="DQ93" s="1500"/>
      <c r="DR93" s="1500"/>
      <c r="DS93" s="1500"/>
      <c r="DT93" s="1500"/>
      <c r="DU93" s="1500"/>
      <c r="DV93" s="1500"/>
      <c r="DW93" s="1500"/>
      <c r="DX93" s="1500"/>
      <c r="DY93" s="1500"/>
      <c r="DZ93" s="1500"/>
      <c r="EA93" s="1500"/>
      <c r="EB93" s="1500"/>
      <c r="EC93" s="1500"/>
      <c r="ED93" s="1500"/>
      <c r="EE93" s="1500"/>
      <c r="EF93" s="1452"/>
      <c r="EG93" s="1452"/>
      <c r="EH93" s="1500"/>
      <c r="EI93" s="1452"/>
      <c r="EJ93" s="1500"/>
      <c r="EK93" s="1500"/>
      <c r="EL93" s="1500"/>
      <c r="EM93" s="1452"/>
      <c r="EN93" s="1500"/>
      <c r="EO93" s="1500"/>
      <c r="EP93" s="1500"/>
      <c r="EQ93" s="1500"/>
      <c r="ER93" s="1500"/>
      <c r="ES93" s="1500"/>
      <c r="ET93" s="1500"/>
      <c r="EU93" s="1500"/>
      <c r="EV93" s="1500"/>
      <c r="EW93" s="1500"/>
      <c r="EX93" s="1500"/>
      <c r="EY93" s="1452"/>
      <c r="EZ93" s="1500"/>
      <c r="FA93" s="1500"/>
      <c r="FB93" s="1500"/>
      <c r="FC93" s="1500"/>
      <c r="FD93" s="1500"/>
      <c r="FE93" s="1500"/>
      <c r="FF93" s="1452"/>
      <c r="FG93" s="1500"/>
      <c r="FH93" s="1452"/>
      <c r="FI93" s="1500"/>
      <c r="FJ93" s="1500"/>
      <c r="FK93" s="1500"/>
      <c r="FL93" s="1500"/>
      <c r="FM93" s="1500"/>
      <c r="FN93" s="1500"/>
      <c r="FO93" s="1500"/>
      <c r="FP93" s="1500"/>
      <c r="FQ93" s="1500"/>
      <c r="FR93" s="1500"/>
      <c r="FS93" s="1500"/>
      <c r="FT93" s="1500"/>
      <c r="FU93" s="1500"/>
      <c r="FV93" s="1500"/>
      <c r="FW93" s="1500"/>
      <c r="FX93" s="1500"/>
      <c r="FY93" s="1500"/>
      <c r="FZ93" s="1500"/>
      <c r="GA93" s="1500"/>
      <c r="GB93" s="1500"/>
      <c r="GC93" s="1500"/>
      <c r="GD93" s="1500"/>
      <c r="GE93" s="1500"/>
      <c r="GF93" s="1500"/>
      <c r="GG93" s="1500"/>
      <c r="GH93" s="1500"/>
      <c r="GI93" s="1500"/>
      <c r="GJ93" s="1452"/>
      <c r="GK93" s="1500"/>
      <c r="GL93" s="1500"/>
      <c r="GM93" s="1500"/>
      <c r="GN93" s="1500"/>
      <c r="GO93" s="1500"/>
      <c r="GP93" s="1500"/>
      <c r="GQ93" s="1500"/>
      <c r="GR93" s="1500"/>
      <c r="GS93" s="1500"/>
      <c r="GT93" s="1500"/>
      <c r="GU93" s="1500"/>
      <c r="GV93" s="1500"/>
      <c r="GW93" s="1500"/>
      <c r="GX93" s="1452"/>
      <c r="GY93" s="1500"/>
      <c r="GZ93" s="1500"/>
      <c r="HA93" s="1500"/>
      <c r="HB93" s="1452"/>
      <c r="HC93" s="1452"/>
      <c r="HD93" s="1500"/>
      <c r="HE93" s="1500"/>
      <c r="HF93" s="1500"/>
      <c r="HG93" s="1500"/>
      <c r="HH93" s="1500"/>
      <c r="HI93" s="1500"/>
      <c r="HJ93" s="1500"/>
      <c r="HK93" s="1500"/>
      <c r="HL93" s="1500"/>
      <c r="HM93" s="1500"/>
      <c r="HN93" s="1500"/>
      <c r="HO93" s="1452"/>
      <c r="HP93" s="1500"/>
      <c r="HQ93" s="1500"/>
      <c r="HR93" s="1500"/>
      <c r="HS93" s="1500"/>
      <c r="HT93" s="1500"/>
      <c r="HU93" s="1500"/>
      <c r="HV93" s="1500"/>
      <c r="HW93" s="1500"/>
      <c r="HX93" s="1500"/>
      <c r="HY93" s="1500"/>
      <c r="HZ93" s="1500"/>
      <c r="IA93" s="1500"/>
      <c r="IB93" s="1500"/>
      <c r="IC93" s="1500"/>
      <c r="ID93" s="1500"/>
      <c r="IE93" s="1500"/>
      <c r="IF93" s="1500"/>
      <c r="IG93" s="1500"/>
      <c r="IH93" s="1500"/>
      <c r="II93" s="1500"/>
      <c r="IJ93" s="1500"/>
      <c r="IK93" s="1500"/>
      <c r="IL93" s="1500"/>
      <c r="IM93" s="1500"/>
      <c r="IN93" s="1500"/>
      <c r="IO93" s="1500"/>
      <c r="IP93" s="1500"/>
      <c r="IQ93" s="1500"/>
      <c r="IR93" s="1500"/>
      <c r="IS93" s="1500"/>
      <c r="IT93" s="1500"/>
      <c r="IU93" s="1500"/>
      <c r="IV93" s="1500"/>
      <c r="IW93" s="1500"/>
      <c r="IX93" s="1500"/>
      <c r="IY93" s="1452"/>
      <c r="IZ93" s="1500"/>
      <c r="JA93" s="1452"/>
      <c r="JB93" s="1500"/>
      <c r="JC93" s="1500"/>
      <c r="JD93" s="1500"/>
      <c r="JE93" s="1500"/>
      <c r="JF93" s="1500"/>
      <c r="JG93" s="1500"/>
      <c r="JH93" s="1500"/>
      <c r="JI93" s="1500"/>
      <c r="JJ93" s="1500"/>
      <c r="JK93" s="1500"/>
      <c r="JL93" s="1500"/>
      <c r="JM93" s="1500"/>
      <c r="JN93" s="1500"/>
      <c r="JO93" s="1500"/>
      <c r="JP93" s="1500"/>
      <c r="JQ93" s="1477"/>
      <c r="JR93" s="351"/>
      <c r="JS93" s="1400" t="s">
        <v>3139</v>
      </c>
      <c r="JT93" s="1400" t="s">
        <v>2882</v>
      </c>
    </row>
    <row r="94" spans="1:280" x14ac:dyDescent="0.25">
      <c r="A94" s="1367">
        <v>47</v>
      </c>
      <c r="B94" s="1411" t="str">
        <f t="shared" si="19"/>
        <v/>
      </c>
      <c r="C94" s="1435" t="s">
        <v>3182</v>
      </c>
      <c r="D94" s="1436" t="s">
        <v>3183</v>
      </c>
      <c r="E94" s="1452"/>
      <c r="F94" s="1452"/>
      <c r="G94" s="1452"/>
      <c r="H94" s="1452"/>
      <c r="I94" s="1452"/>
      <c r="J94" s="1452"/>
      <c r="K94" s="1452"/>
      <c r="L94" s="1452"/>
      <c r="M94" s="1452"/>
      <c r="N94" s="1452"/>
      <c r="O94" s="1452"/>
      <c r="P94" s="1452"/>
      <c r="Q94" s="1452"/>
      <c r="R94" s="1528"/>
      <c r="S94" s="1452"/>
      <c r="T94" s="1455"/>
      <c r="U94" s="1455"/>
      <c r="V94" s="1455"/>
      <c r="W94" s="1455"/>
      <c r="X94" s="1455"/>
      <c r="Y94" s="1455"/>
      <c r="Z94" s="1455"/>
      <c r="AA94" s="1500"/>
      <c r="AB94" s="1455"/>
      <c r="AC94" s="1452"/>
      <c r="AD94" s="1452"/>
      <c r="AE94" s="1452"/>
      <c r="AF94" s="1452"/>
      <c r="AG94" s="1452"/>
      <c r="AH94" s="1452"/>
      <c r="AI94" s="1500"/>
      <c r="AJ94" s="1452"/>
      <c r="AK94" s="1500"/>
      <c r="AL94" s="1452"/>
      <c r="AM94" s="1500"/>
      <c r="AN94" s="1500"/>
      <c r="AO94" s="1500"/>
      <c r="AP94" s="1500"/>
      <c r="AQ94" s="1500"/>
      <c r="AR94" s="1500"/>
      <c r="AS94" s="1500"/>
      <c r="AT94" s="1500"/>
      <c r="AU94" s="1500"/>
      <c r="AV94" s="1452"/>
      <c r="AW94" s="1500"/>
      <c r="AX94" s="1500"/>
      <c r="AY94" s="1500"/>
      <c r="AZ94" s="1500"/>
      <c r="BA94" s="1500"/>
      <c r="BB94" s="1500"/>
      <c r="BC94" s="1500"/>
      <c r="BD94" s="1500"/>
      <c r="BE94" s="1500"/>
      <c r="BF94" s="1500"/>
      <c r="BG94" s="1500"/>
      <c r="BH94" s="1500"/>
      <c r="BI94" s="1500"/>
      <c r="BJ94" s="1452"/>
      <c r="BK94" s="1500"/>
      <c r="BL94" s="1500"/>
      <c r="BM94" s="1500"/>
      <c r="BN94" s="1500"/>
      <c r="BO94" s="1500"/>
      <c r="BP94" s="1452"/>
      <c r="BQ94" s="1500"/>
      <c r="BR94" s="1500"/>
      <c r="BS94" s="1500"/>
      <c r="BT94" s="1500"/>
      <c r="BU94" s="1500"/>
      <c r="BV94" s="1500"/>
      <c r="BW94" s="1500"/>
      <c r="BX94" s="1500"/>
      <c r="BY94" s="1500"/>
      <c r="BZ94" s="1500"/>
      <c r="CA94" s="1500"/>
      <c r="CB94" s="1500"/>
      <c r="CC94" s="1500"/>
      <c r="CD94" s="1500"/>
      <c r="CE94" s="1500"/>
      <c r="CF94" s="1452"/>
      <c r="CG94" s="1500"/>
      <c r="CH94" s="1452"/>
      <c r="CI94" s="1500"/>
      <c r="CJ94" s="1500"/>
      <c r="CK94" s="1500"/>
      <c r="CL94" s="1452"/>
      <c r="CM94" s="1500"/>
      <c r="CN94" s="1500"/>
      <c r="CO94" s="1500"/>
      <c r="CP94" s="1500"/>
      <c r="CQ94" s="1500"/>
      <c r="CR94" s="1452"/>
      <c r="CS94" s="1452"/>
      <c r="CT94" s="1500"/>
      <c r="CU94" s="1452"/>
      <c r="CV94" s="1452"/>
      <c r="CW94" s="1500"/>
      <c r="CX94" s="1500"/>
      <c r="CY94" s="1500"/>
      <c r="CZ94" s="1500"/>
      <c r="DA94" s="1500"/>
      <c r="DB94" s="1500"/>
      <c r="DC94" s="1500"/>
      <c r="DD94" s="1500"/>
      <c r="DE94" s="1500"/>
      <c r="DF94" s="1500"/>
      <c r="DG94" s="1500"/>
      <c r="DH94" s="1500"/>
      <c r="DI94" s="1500"/>
      <c r="DJ94" s="1452"/>
      <c r="DK94" s="1500"/>
      <c r="DL94" s="1500"/>
      <c r="DM94" s="1500"/>
      <c r="DN94" s="1500"/>
      <c r="DO94" s="1452"/>
      <c r="DP94" s="1500"/>
      <c r="DQ94" s="1500"/>
      <c r="DR94" s="1472">
        <v>705</v>
      </c>
      <c r="DS94" s="1500"/>
      <c r="DT94" s="1500"/>
      <c r="DU94" s="1500"/>
      <c r="DV94" s="1500"/>
      <c r="DW94" s="1500"/>
      <c r="DX94" s="1500"/>
      <c r="DY94" s="1500"/>
      <c r="DZ94" s="1500"/>
      <c r="EA94" s="1500"/>
      <c r="EB94" s="1500"/>
      <c r="EC94" s="1500"/>
      <c r="ED94" s="1500"/>
      <c r="EE94" s="1500"/>
      <c r="EF94" s="1452"/>
      <c r="EG94" s="1452"/>
      <c r="EH94" s="1500"/>
      <c r="EI94" s="1452"/>
      <c r="EJ94" s="1500"/>
      <c r="EK94" s="1500"/>
      <c r="EL94" s="1500"/>
      <c r="EM94" s="1452"/>
      <c r="EN94" s="1500"/>
      <c r="EO94" s="1500"/>
      <c r="EP94" s="1500"/>
      <c r="EQ94" s="1500"/>
      <c r="ER94" s="1500"/>
      <c r="ES94" s="1500"/>
      <c r="ET94" s="1500"/>
      <c r="EU94" s="1500"/>
      <c r="EV94" s="1500"/>
      <c r="EW94" s="1500"/>
      <c r="EX94" s="1500"/>
      <c r="EY94" s="1452"/>
      <c r="EZ94" s="1500"/>
      <c r="FA94" s="1500"/>
      <c r="FB94" s="1500"/>
      <c r="FC94" s="1500"/>
      <c r="FD94" s="1500"/>
      <c r="FE94" s="1500"/>
      <c r="FF94" s="1452"/>
      <c r="FG94" s="1500"/>
      <c r="FH94" s="1452"/>
      <c r="FI94" s="1500"/>
      <c r="FJ94" s="1500"/>
      <c r="FK94" s="1500"/>
      <c r="FL94" s="1500"/>
      <c r="FM94" s="1500"/>
      <c r="FN94" s="1500"/>
      <c r="FO94" s="1500"/>
      <c r="FP94" s="1500"/>
      <c r="FQ94" s="1500"/>
      <c r="FR94" s="1500"/>
      <c r="FS94" s="1500"/>
      <c r="FT94" s="1500"/>
      <c r="FU94" s="1500"/>
      <c r="FV94" s="1500"/>
      <c r="FW94" s="1500"/>
      <c r="FX94" s="1500"/>
      <c r="FY94" s="1500"/>
      <c r="FZ94" s="1500"/>
      <c r="GA94" s="1500"/>
      <c r="GB94" s="1500"/>
      <c r="GC94" s="1500"/>
      <c r="GD94" s="1500"/>
      <c r="GE94" s="1500"/>
      <c r="GF94" s="1500"/>
      <c r="GG94" s="1500"/>
      <c r="GH94" s="1500"/>
      <c r="GI94" s="1500"/>
      <c r="GJ94" s="1452"/>
      <c r="GK94" s="1500"/>
      <c r="GL94" s="1500"/>
      <c r="GM94" s="1500"/>
      <c r="GN94" s="1500"/>
      <c r="GO94" s="1500"/>
      <c r="GP94" s="1500"/>
      <c r="GQ94" s="1500"/>
      <c r="GR94" s="1500"/>
      <c r="GS94" s="1500"/>
      <c r="GT94" s="1500"/>
      <c r="GU94" s="1500"/>
      <c r="GV94" s="1500"/>
      <c r="GW94" s="1500"/>
      <c r="GX94" s="1452"/>
      <c r="GY94" s="1500"/>
      <c r="GZ94" s="1500"/>
      <c r="HA94" s="1500"/>
      <c r="HB94" s="1452"/>
      <c r="HC94" s="1452"/>
      <c r="HD94" s="1500"/>
      <c r="HE94" s="1500"/>
      <c r="HF94" s="1500"/>
      <c r="HG94" s="1500"/>
      <c r="HH94" s="1500"/>
      <c r="HI94" s="1500"/>
      <c r="HJ94" s="1500"/>
      <c r="HK94" s="1500"/>
      <c r="HL94" s="1500"/>
      <c r="HM94" s="1500"/>
      <c r="HN94" s="1500"/>
      <c r="HO94" s="1452"/>
      <c r="HP94" s="1500"/>
      <c r="HQ94" s="1500"/>
      <c r="HR94" s="1500"/>
      <c r="HS94" s="1500"/>
      <c r="HT94" s="1500"/>
      <c r="HU94" s="1500"/>
      <c r="HV94" s="1500"/>
      <c r="HW94" s="1500"/>
      <c r="HX94" s="1500"/>
      <c r="HY94" s="1500"/>
      <c r="HZ94" s="1500"/>
      <c r="IA94" s="1500"/>
      <c r="IB94" s="1500"/>
      <c r="IC94" s="1500"/>
      <c r="ID94" s="1500"/>
      <c r="IE94" s="1500"/>
      <c r="IF94" s="1500"/>
      <c r="IG94" s="1500"/>
      <c r="IH94" s="1500"/>
      <c r="II94" s="1500"/>
      <c r="IJ94" s="1500"/>
      <c r="IK94" s="1500"/>
      <c r="IL94" s="1500"/>
      <c r="IM94" s="1500"/>
      <c r="IN94" s="1500"/>
      <c r="IO94" s="1500"/>
      <c r="IP94" s="1500"/>
      <c r="IQ94" s="1500"/>
      <c r="IR94" s="1500"/>
      <c r="IS94" s="1500"/>
      <c r="IT94" s="1500"/>
      <c r="IU94" s="1500"/>
      <c r="IV94" s="1500"/>
      <c r="IW94" s="1500"/>
      <c r="IX94" s="1500"/>
      <c r="IY94" s="1452"/>
      <c r="IZ94" s="1500"/>
      <c r="JA94" s="1452"/>
      <c r="JB94" s="1500"/>
      <c r="JC94" s="1500"/>
      <c r="JD94" s="1500"/>
      <c r="JE94" s="1500"/>
      <c r="JF94" s="1500"/>
      <c r="JG94" s="1500"/>
      <c r="JH94" s="1500"/>
      <c r="JI94" s="1500"/>
      <c r="JJ94" s="1500"/>
      <c r="JK94" s="1500"/>
      <c r="JL94" s="1500"/>
      <c r="JM94" s="1500"/>
      <c r="JN94" s="1500"/>
      <c r="JO94" s="1500"/>
      <c r="JP94" s="1500"/>
      <c r="JQ94" s="1477"/>
      <c r="JR94" s="351"/>
      <c r="JS94" s="1400" t="s">
        <v>3139</v>
      </c>
      <c r="JT94" s="1400" t="s">
        <v>2242</v>
      </c>
    </row>
    <row r="95" spans="1:280" x14ac:dyDescent="0.25">
      <c r="A95" s="1367">
        <v>48</v>
      </c>
      <c r="B95" s="1411" t="str">
        <f t="shared" si="19"/>
        <v/>
      </c>
      <c r="C95" s="1435" t="s">
        <v>3184</v>
      </c>
      <c r="D95" s="1436" t="s">
        <v>3185</v>
      </c>
      <c r="E95" s="1452"/>
      <c r="F95" s="1452"/>
      <c r="G95" s="1452"/>
      <c r="H95" s="1452"/>
      <c r="I95" s="1452"/>
      <c r="J95" s="1452"/>
      <c r="K95" s="1452"/>
      <c r="L95" s="1452"/>
      <c r="M95" s="1452"/>
      <c r="N95" s="1452"/>
      <c r="O95" s="1452"/>
      <c r="P95" s="1452"/>
      <c r="Q95" s="1452"/>
      <c r="R95" s="1528"/>
      <c r="S95" s="1452"/>
      <c r="T95" s="1455"/>
      <c r="U95" s="1455"/>
      <c r="V95" s="1455"/>
      <c r="W95" s="1455"/>
      <c r="X95" s="1455"/>
      <c r="Y95" s="1455"/>
      <c r="Z95" s="1455"/>
      <c r="AA95" s="1500"/>
      <c r="AB95" s="1455"/>
      <c r="AC95" s="1452"/>
      <c r="AD95" s="1452"/>
      <c r="AE95" s="1452"/>
      <c r="AF95" s="1452"/>
      <c r="AG95" s="1452"/>
      <c r="AH95" s="1452"/>
      <c r="AI95" s="1500"/>
      <c r="AJ95" s="1452"/>
      <c r="AK95" s="1500"/>
      <c r="AL95" s="1452"/>
      <c r="AM95" s="1500"/>
      <c r="AN95" s="1500"/>
      <c r="AO95" s="1500"/>
      <c r="AP95" s="1500"/>
      <c r="AQ95" s="1500"/>
      <c r="AR95" s="1500"/>
      <c r="AS95" s="1500"/>
      <c r="AT95" s="1500"/>
      <c r="AU95" s="1500"/>
      <c r="AV95" s="1452"/>
      <c r="AW95" s="1500"/>
      <c r="AX95" s="1500"/>
      <c r="AY95" s="1500"/>
      <c r="AZ95" s="1500"/>
      <c r="BA95" s="1500"/>
      <c r="BB95" s="1500"/>
      <c r="BC95" s="1500"/>
      <c r="BD95" s="1500"/>
      <c r="BE95" s="1500"/>
      <c r="BF95" s="1500"/>
      <c r="BG95" s="1500"/>
      <c r="BH95" s="1500"/>
      <c r="BI95" s="1500"/>
      <c r="BJ95" s="1454"/>
      <c r="BK95" s="1500"/>
      <c r="BL95" s="1500"/>
      <c r="BM95" s="1500"/>
      <c r="BN95" s="1500"/>
      <c r="BO95" s="1500"/>
      <c r="BP95" s="1452"/>
      <c r="BQ95" s="1500"/>
      <c r="BR95" s="1500"/>
      <c r="BS95" s="1500"/>
      <c r="BT95" s="1500"/>
      <c r="BU95" s="1500"/>
      <c r="BV95" s="1500"/>
      <c r="BW95" s="1500"/>
      <c r="BX95" s="1500"/>
      <c r="BY95" s="1500"/>
      <c r="BZ95" s="1500"/>
      <c r="CA95" s="1500"/>
      <c r="CB95" s="1500"/>
      <c r="CC95" s="1500"/>
      <c r="CD95" s="1500"/>
      <c r="CE95" s="1500"/>
      <c r="CF95" s="1452"/>
      <c r="CG95" s="1500"/>
      <c r="CH95" s="1452"/>
      <c r="CI95" s="1500"/>
      <c r="CJ95" s="1500"/>
      <c r="CK95" s="1500"/>
      <c r="CL95" s="1452">
        <v>8592</v>
      </c>
      <c r="CM95" s="1500"/>
      <c r="CN95" s="1455">
        <v>6487</v>
      </c>
      <c r="CO95" s="1500"/>
      <c r="CP95" s="1500"/>
      <c r="CQ95" s="1500"/>
      <c r="CR95" s="1452">
        <v>8592</v>
      </c>
      <c r="CS95" s="1452">
        <v>8592</v>
      </c>
      <c r="CT95" s="1500"/>
      <c r="CU95" s="1452"/>
      <c r="CV95" s="1452"/>
      <c r="CW95" s="1500"/>
      <c r="CX95" s="1500"/>
      <c r="CY95" s="1500"/>
      <c r="CZ95" s="1500"/>
      <c r="DA95" s="1500"/>
      <c r="DB95" s="1500"/>
      <c r="DC95" s="1500"/>
      <c r="DD95" s="1500"/>
      <c r="DE95" s="1500"/>
      <c r="DF95" s="1500"/>
      <c r="DG95" s="1500"/>
      <c r="DH95" s="1500"/>
      <c r="DI95" s="1500"/>
      <c r="DJ95" s="1452"/>
      <c r="DK95" s="1500"/>
      <c r="DL95" s="1500"/>
      <c r="DM95" s="1500"/>
      <c r="DN95" s="1500"/>
      <c r="DO95" s="1452"/>
      <c r="DP95" s="1500"/>
      <c r="DQ95" s="1500"/>
      <c r="DR95" s="1472">
        <v>26309</v>
      </c>
      <c r="DS95" s="1500"/>
      <c r="DT95" s="1500"/>
      <c r="DU95" s="1500"/>
      <c r="DV95" s="1500"/>
      <c r="DW95" s="1500"/>
      <c r="DX95" s="1500"/>
      <c r="DY95" s="1500"/>
      <c r="DZ95" s="1500"/>
      <c r="EA95" s="1455">
        <v>6487</v>
      </c>
      <c r="EB95" s="1500"/>
      <c r="EC95" s="1500"/>
      <c r="ED95" s="1500"/>
      <c r="EE95" s="1500"/>
      <c r="EF95" s="1452"/>
      <c r="EG95" s="1452"/>
      <c r="EH95" s="1500"/>
      <c r="EI95" s="1452"/>
      <c r="EJ95" s="1500"/>
      <c r="EK95" s="1500"/>
      <c r="EL95" s="1500"/>
      <c r="EM95" s="1452">
        <v>8592</v>
      </c>
      <c r="EN95" s="1500"/>
      <c r="EO95" s="1500"/>
      <c r="EP95" s="1500"/>
      <c r="EQ95" s="1500"/>
      <c r="ER95" s="1500"/>
      <c r="ES95" s="1500"/>
      <c r="ET95" s="1472">
        <v>1116</v>
      </c>
      <c r="EU95" s="1500"/>
      <c r="EV95" s="1500"/>
      <c r="EW95" s="1500"/>
      <c r="EX95" s="1500"/>
      <c r="EY95" s="1452">
        <v>8592</v>
      </c>
      <c r="EZ95" s="1500"/>
      <c r="FA95" s="1500"/>
      <c r="FB95" s="1500"/>
      <c r="FC95" s="1500"/>
      <c r="FD95" s="1500"/>
      <c r="FE95" s="1500"/>
      <c r="FF95" s="1452"/>
      <c r="FG95" s="1500"/>
      <c r="FH95" s="1452"/>
      <c r="FI95" s="1500"/>
      <c r="FJ95" s="1500"/>
      <c r="FK95" s="1500"/>
      <c r="FL95" s="1500"/>
      <c r="FM95" s="1500"/>
      <c r="FN95" s="1500"/>
      <c r="FO95" s="1500"/>
      <c r="FP95" s="1500"/>
      <c r="FQ95" s="1500"/>
      <c r="FR95" s="1500"/>
      <c r="FS95" s="1500"/>
      <c r="FT95" s="1500"/>
      <c r="FU95" s="1500"/>
      <c r="FV95" s="1500"/>
      <c r="FW95" s="1500"/>
      <c r="FX95" s="1500"/>
      <c r="FY95" s="1500"/>
      <c r="FZ95" s="1500"/>
      <c r="GA95" s="1500"/>
      <c r="GB95" s="1500"/>
      <c r="GC95" s="1500"/>
      <c r="GD95" s="1500"/>
      <c r="GE95" s="1500"/>
      <c r="GF95" s="1500"/>
      <c r="GG95" s="1500"/>
      <c r="GH95" s="1500"/>
      <c r="GI95" s="1500"/>
      <c r="GJ95" s="1452"/>
      <c r="GK95" s="1500"/>
      <c r="GL95" s="1500"/>
      <c r="GM95" s="1500"/>
      <c r="GN95" s="1500"/>
      <c r="GO95" s="1500"/>
      <c r="GP95" s="1500"/>
      <c r="GQ95" s="1500"/>
      <c r="GR95" s="1500"/>
      <c r="GS95" s="1500"/>
      <c r="GT95" s="1500"/>
      <c r="GU95" s="1500"/>
      <c r="GV95" s="1500"/>
      <c r="GW95" s="1500"/>
      <c r="GX95" s="1452"/>
      <c r="GY95" s="1500"/>
      <c r="GZ95" s="1500"/>
      <c r="HA95" s="1500"/>
      <c r="HB95" s="1452"/>
      <c r="HC95" s="1452"/>
      <c r="HD95" s="1500"/>
      <c r="HE95" s="1500"/>
      <c r="HF95" s="1500"/>
      <c r="HG95" s="1500"/>
      <c r="HH95" s="1500"/>
      <c r="HI95" s="1500"/>
      <c r="HJ95" s="1500"/>
      <c r="HK95" s="1500"/>
      <c r="HL95" s="1500"/>
      <c r="HM95" s="1500"/>
      <c r="HN95" s="1500"/>
      <c r="HO95" s="1452"/>
      <c r="HP95" s="1500"/>
      <c r="HQ95" s="1500"/>
      <c r="HR95" s="1500"/>
      <c r="HS95" s="1500"/>
      <c r="HT95" s="1500"/>
      <c r="HU95" s="1500"/>
      <c r="HV95" s="1500"/>
      <c r="HW95" s="1500"/>
      <c r="HX95" s="1500"/>
      <c r="HY95" s="1500"/>
      <c r="HZ95" s="1500"/>
      <c r="IA95" s="1500"/>
      <c r="IB95" s="1500"/>
      <c r="IC95" s="1500"/>
      <c r="ID95" s="1500"/>
      <c r="IE95" s="1500"/>
      <c r="IF95" s="1500"/>
      <c r="IG95" s="1500"/>
      <c r="IH95" s="1500"/>
      <c r="II95" s="1500"/>
      <c r="IJ95" s="1500"/>
      <c r="IK95" s="1500"/>
      <c r="IL95" s="1500"/>
      <c r="IM95" s="1500"/>
      <c r="IN95" s="1500"/>
      <c r="IO95" s="1500"/>
      <c r="IP95" s="1500"/>
      <c r="IQ95" s="1500"/>
      <c r="IR95" s="1500"/>
      <c r="IS95" s="1500"/>
      <c r="IT95" s="1500"/>
      <c r="IU95" s="1500"/>
      <c r="IV95" s="1500"/>
      <c r="IW95" s="1500"/>
      <c r="IX95" s="1472">
        <v>3580</v>
      </c>
      <c r="IY95" s="1452"/>
      <c r="IZ95" s="1500"/>
      <c r="JA95" s="1452">
        <v>8592</v>
      </c>
      <c r="JB95" s="1500"/>
      <c r="JC95" s="1500"/>
      <c r="JD95" s="1500"/>
      <c r="JE95" s="1500"/>
      <c r="JF95" s="1500"/>
      <c r="JG95" s="1500"/>
      <c r="JH95" s="1500"/>
      <c r="JI95" s="1500"/>
      <c r="JJ95" s="1500"/>
      <c r="JK95" s="1500"/>
      <c r="JL95" s="1500"/>
      <c r="JM95" s="1500"/>
      <c r="JN95" s="1500"/>
      <c r="JO95" s="1500"/>
      <c r="JP95" s="1500"/>
      <c r="JQ95" s="1477"/>
      <c r="JR95" s="351"/>
      <c r="JS95" s="1400" t="s">
        <v>3139</v>
      </c>
      <c r="JT95" s="1400" t="s">
        <v>2882</v>
      </c>
    </row>
    <row r="96" spans="1:280" x14ac:dyDescent="0.25">
      <c r="A96" s="1367">
        <v>49</v>
      </c>
      <c r="B96" s="1411" t="str">
        <f t="shared" si="19"/>
        <v/>
      </c>
      <c r="C96" s="1435" t="s">
        <v>3186</v>
      </c>
      <c r="D96" s="1436" t="s">
        <v>3187</v>
      </c>
      <c r="E96" s="1452"/>
      <c r="F96" s="1452"/>
      <c r="G96" s="1452"/>
      <c r="H96" s="1452"/>
      <c r="I96" s="1452"/>
      <c r="J96" s="1452"/>
      <c r="K96" s="1452"/>
      <c r="L96" s="1452"/>
      <c r="M96" s="1452"/>
      <c r="N96" s="1452"/>
      <c r="O96" s="1452"/>
      <c r="P96" s="1452"/>
      <c r="Q96" s="1452"/>
      <c r="R96" s="1528"/>
      <c r="S96" s="1452"/>
      <c r="T96" s="1455"/>
      <c r="U96" s="1455"/>
      <c r="V96" s="1455"/>
      <c r="W96" s="1455"/>
      <c r="X96" s="1455"/>
      <c r="Y96" s="1455"/>
      <c r="Z96" s="1455"/>
      <c r="AA96" s="1500"/>
      <c r="AB96" s="1455"/>
      <c r="AC96" s="1452"/>
      <c r="AD96" s="1452"/>
      <c r="AE96" s="1452"/>
      <c r="AF96" s="1452"/>
      <c r="AG96" s="1452"/>
      <c r="AH96" s="1452"/>
      <c r="AI96" s="1500"/>
      <c r="AJ96" s="1452"/>
      <c r="AK96" s="1500"/>
      <c r="AL96" s="1452"/>
      <c r="AM96" s="1500"/>
      <c r="AN96" s="1500"/>
      <c r="AO96" s="1500"/>
      <c r="AP96" s="1500"/>
      <c r="AQ96" s="1500"/>
      <c r="AR96" s="1500"/>
      <c r="AS96" s="1500"/>
      <c r="AT96" s="1500"/>
      <c r="AU96" s="1500"/>
      <c r="AV96" s="1452"/>
      <c r="AW96" s="1500"/>
      <c r="AX96" s="1500"/>
      <c r="AY96" s="1500"/>
      <c r="AZ96" s="1500"/>
      <c r="BA96" s="1500"/>
      <c r="BB96" s="1500"/>
      <c r="BC96" s="1500"/>
      <c r="BD96" s="1500"/>
      <c r="BE96" s="1500"/>
      <c r="BF96" s="1500"/>
      <c r="BG96" s="1500"/>
      <c r="BH96" s="1500"/>
      <c r="BI96" s="1500"/>
      <c r="BJ96" s="1452"/>
      <c r="BK96" s="1500"/>
      <c r="BL96" s="1500"/>
      <c r="BM96" s="1500"/>
      <c r="BN96" s="1500"/>
      <c r="BO96" s="1500"/>
      <c r="BP96" s="1452"/>
      <c r="BQ96" s="1500"/>
      <c r="BR96" s="1500"/>
      <c r="BS96" s="1500"/>
      <c r="BT96" s="1500"/>
      <c r="BU96" s="1500"/>
      <c r="BV96" s="1500"/>
      <c r="BW96" s="1500"/>
      <c r="BX96" s="1500"/>
      <c r="BY96" s="1500"/>
      <c r="BZ96" s="1500"/>
      <c r="CA96" s="1500"/>
      <c r="CB96" s="1500"/>
      <c r="CC96" s="1500"/>
      <c r="CD96" s="1500"/>
      <c r="CE96" s="1500"/>
      <c r="CF96" s="1452"/>
      <c r="CG96" s="1500"/>
      <c r="CH96" s="1452"/>
      <c r="CI96" s="1500"/>
      <c r="CJ96" s="1500"/>
      <c r="CK96" s="1500"/>
      <c r="CL96" s="1452"/>
      <c r="CM96" s="1500"/>
      <c r="CN96" s="1500"/>
      <c r="CO96" s="1500"/>
      <c r="CP96" s="1500"/>
      <c r="CQ96" s="1500"/>
      <c r="CR96" s="1452"/>
      <c r="CS96" s="1452"/>
      <c r="CT96" s="1500"/>
      <c r="CU96" s="1452"/>
      <c r="CV96" s="1452"/>
      <c r="CW96" s="1500"/>
      <c r="CX96" s="1500"/>
      <c r="CY96" s="1500"/>
      <c r="CZ96" s="1500"/>
      <c r="DA96" s="1500"/>
      <c r="DB96" s="1500"/>
      <c r="DC96" s="1500"/>
      <c r="DD96" s="1500"/>
      <c r="DE96" s="1500"/>
      <c r="DF96" s="1500"/>
      <c r="DG96" s="1500"/>
      <c r="DH96" s="1500"/>
      <c r="DI96" s="1500"/>
      <c r="DJ96" s="1452"/>
      <c r="DK96" s="1500"/>
      <c r="DL96" s="1500"/>
      <c r="DM96" s="1500"/>
      <c r="DN96" s="1500"/>
      <c r="DO96" s="1452"/>
      <c r="DP96" s="1500"/>
      <c r="DQ96" s="1500"/>
      <c r="DR96" s="1500"/>
      <c r="DS96" s="1500"/>
      <c r="DT96" s="1500"/>
      <c r="DU96" s="1500"/>
      <c r="DV96" s="1500"/>
      <c r="DW96" s="1500"/>
      <c r="DX96" s="1500"/>
      <c r="DY96" s="1500"/>
      <c r="DZ96" s="1500"/>
      <c r="EA96" s="1455"/>
      <c r="EB96" s="1500"/>
      <c r="EC96" s="1500"/>
      <c r="ED96" s="1500"/>
      <c r="EE96" s="1500"/>
      <c r="EF96" s="1452"/>
      <c r="EG96" s="1452"/>
      <c r="EH96" s="1500"/>
      <c r="EI96" s="1452"/>
      <c r="EJ96" s="1500"/>
      <c r="EK96" s="1500"/>
      <c r="EL96" s="1500"/>
      <c r="EM96" s="1452"/>
      <c r="EN96" s="1500"/>
      <c r="EO96" s="1500"/>
      <c r="EP96" s="1500"/>
      <c r="EQ96" s="1500"/>
      <c r="ER96" s="1500"/>
      <c r="ES96" s="1500"/>
      <c r="ET96" s="1500"/>
      <c r="EU96" s="1500"/>
      <c r="EV96" s="1500"/>
      <c r="EW96" s="1500"/>
      <c r="EX96" s="1500"/>
      <c r="EY96" s="1452"/>
      <c r="EZ96" s="1500"/>
      <c r="FA96" s="1500"/>
      <c r="FB96" s="1500"/>
      <c r="FC96" s="1500"/>
      <c r="FD96" s="1500"/>
      <c r="FE96" s="1500"/>
      <c r="FF96" s="1452"/>
      <c r="FG96" s="1500"/>
      <c r="FH96" s="1452"/>
      <c r="FI96" s="1500"/>
      <c r="FJ96" s="1500"/>
      <c r="FK96" s="1500"/>
      <c r="FL96" s="1500"/>
      <c r="FM96" s="1500"/>
      <c r="FN96" s="1500"/>
      <c r="FO96" s="1500"/>
      <c r="FP96" s="1500"/>
      <c r="FQ96" s="1500"/>
      <c r="FR96" s="1500"/>
      <c r="FS96" s="1500"/>
      <c r="FT96" s="1500"/>
      <c r="FU96" s="1500"/>
      <c r="FV96" s="1500"/>
      <c r="FW96" s="1500"/>
      <c r="FX96" s="1500"/>
      <c r="FY96" s="1500"/>
      <c r="FZ96" s="1500"/>
      <c r="GA96" s="1500"/>
      <c r="GB96" s="1500"/>
      <c r="GC96" s="1500"/>
      <c r="GD96" s="1500"/>
      <c r="GE96" s="1500"/>
      <c r="GF96" s="1500"/>
      <c r="GG96" s="1500"/>
      <c r="GH96" s="1500"/>
      <c r="GI96" s="1500"/>
      <c r="GJ96" s="1452"/>
      <c r="GK96" s="1500"/>
      <c r="GL96" s="1500"/>
      <c r="GM96" s="1500"/>
      <c r="GN96" s="1500"/>
      <c r="GO96" s="1500"/>
      <c r="GP96" s="1500"/>
      <c r="GQ96" s="1500"/>
      <c r="GR96" s="1500"/>
      <c r="GS96" s="1500"/>
      <c r="GT96" s="1500"/>
      <c r="GU96" s="1500"/>
      <c r="GV96" s="1500"/>
      <c r="GW96" s="1500"/>
      <c r="GX96" s="1452"/>
      <c r="GY96" s="1500"/>
      <c r="GZ96" s="1500"/>
      <c r="HA96" s="1500"/>
      <c r="HB96" s="1452"/>
      <c r="HC96" s="1452"/>
      <c r="HD96" s="1500"/>
      <c r="HE96" s="1500"/>
      <c r="HF96" s="1500"/>
      <c r="HG96" s="1500"/>
      <c r="HH96" s="1500"/>
      <c r="HI96" s="1500"/>
      <c r="HJ96" s="1500"/>
      <c r="HK96" s="1500"/>
      <c r="HL96" s="1500"/>
      <c r="HM96" s="1500"/>
      <c r="HN96" s="1500"/>
      <c r="HO96" s="1452"/>
      <c r="HP96" s="1500"/>
      <c r="HQ96" s="1500"/>
      <c r="HR96" s="1500"/>
      <c r="HS96" s="1500"/>
      <c r="HT96" s="1500"/>
      <c r="HU96" s="1500"/>
      <c r="HV96" s="1500"/>
      <c r="HW96" s="1500"/>
      <c r="HX96" s="1500"/>
      <c r="HY96" s="1500"/>
      <c r="HZ96" s="1500"/>
      <c r="IA96" s="1500"/>
      <c r="IB96" s="1500"/>
      <c r="IC96" s="1500"/>
      <c r="ID96" s="1500"/>
      <c r="IE96" s="1500"/>
      <c r="IF96" s="1500"/>
      <c r="IG96" s="1500"/>
      <c r="IH96" s="1500"/>
      <c r="II96" s="1500"/>
      <c r="IJ96" s="1500"/>
      <c r="IK96" s="1500"/>
      <c r="IL96" s="1500"/>
      <c r="IM96" s="1500"/>
      <c r="IN96" s="1500"/>
      <c r="IO96" s="1500"/>
      <c r="IP96" s="1500"/>
      <c r="IQ96" s="1500"/>
      <c r="IR96" s="1500"/>
      <c r="IS96" s="1500"/>
      <c r="IT96" s="1500"/>
      <c r="IU96" s="1500"/>
      <c r="IV96" s="1500"/>
      <c r="IW96" s="1500"/>
      <c r="IX96" s="1500"/>
      <c r="IY96" s="1452"/>
      <c r="IZ96" s="1500"/>
      <c r="JA96" s="1452"/>
      <c r="JB96" s="1500"/>
      <c r="JC96" s="1500"/>
      <c r="JD96" s="1500"/>
      <c r="JE96" s="1500"/>
      <c r="JF96" s="1500"/>
      <c r="JG96" s="1500"/>
      <c r="JH96" s="1500"/>
      <c r="JI96" s="1500"/>
      <c r="JJ96" s="1500"/>
      <c r="JK96" s="1500"/>
      <c r="JL96" s="1500"/>
      <c r="JM96" s="1500"/>
      <c r="JN96" s="1500"/>
      <c r="JO96" s="1500"/>
      <c r="JP96" s="1500"/>
      <c r="JQ96" s="1477"/>
      <c r="JR96" s="351"/>
      <c r="JS96" s="1400" t="s">
        <v>3139</v>
      </c>
      <c r="JT96" s="1400" t="s">
        <v>2882</v>
      </c>
    </row>
    <row r="97" spans="1:280" ht="50" x14ac:dyDescent="0.25">
      <c r="A97" s="1367">
        <v>50</v>
      </c>
      <c r="B97" s="1411" t="str">
        <f t="shared" si="19"/>
        <v/>
      </c>
      <c r="C97" s="1435" t="s">
        <v>3188</v>
      </c>
      <c r="D97" s="1436" t="s">
        <v>3189</v>
      </c>
      <c r="E97" s="1479"/>
      <c r="F97" s="1479"/>
      <c r="G97" s="1479"/>
      <c r="H97" s="1479"/>
      <c r="I97" s="1479"/>
      <c r="J97" s="1479"/>
      <c r="K97" s="1479"/>
      <c r="L97" s="1479"/>
      <c r="M97" s="1479"/>
      <c r="N97" s="1479"/>
      <c r="O97" s="1479"/>
      <c r="P97" s="1479"/>
      <c r="Q97" s="1479"/>
      <c r="R97" s="1479"/>
      <c r="S97" s="1479"/>
      <c r="T97" s="1479"/>
      <c r="U97" s="1479"/>
      <c r="V97" s="1479"/>
      <c r="W97" s="1479"/>
      <c r="X97" s="1479"/>
      <c r="Y97" s="1479"/>
      <c r="Z97" s="1479"/>
      <c r="AA97" s="1479"/>
      <c r="AB97" s="1479"/>
      <c r="AC97" s="1479"/>
      <c r="AD97" s="1479"/>
      <c r="AE97" s="1479"/>
      <c r="AF97" s="1479"/>
      <c r="AG97" s="1479"/>
      <c r="AH97" s="1479"/>
      <c r="AI97" s="1529"/>
      <c r="AJ97" s="1479"/>
      <c r="AK97" s="1479"/>
      <c r="AL97" s="1479"/>
      <c r="AM97" s="1479"/>
      <c r="AN97" s="1479"/>
      <c r="AO97" s="1479"/>
      <c r="AP97" s="1479"/>
      <c r="AQ97" s="1529"/>
      <c r="AR97" s="1529"/>
      <c r="AS97" s="1529"/>
      <c r="AT97" s="1529"/>
      <c r="AU97" s="1529"/>
      <c r="AV97" s="1479"/>
      <c r="AW97" s="1529"/>
      <c r="AX97" s="1529"/>
      <c r="AY97" s="1529"/>
      <c r="AZ97" s="1529"/>
      <c r="BA97" s="1529"/>
      <c r="BB97" s="1529"/>
      <c r="BC97" s="1529"/>
      <c r="BD97" s="1529"/>
      <c r="BE97" s="1529"/>
      <c r="BF97" s="1529"/>
      <c r="BG97" s="1529"/>
      <c r="BH97" s="1529"/>
      <c r="BI97" s="1529"/>
      <c r="BJ97" s="1503">
        <f>BJ83+BJ84+BJ85+BJ86+BJ87+BJ88+BJ89+BJ90+BJ91+BJ92+BJ93+BJ94+BJ95+BJ96</f>
        <v>0</v>
      </c>
      <c r="BK97" s="1529"/>
      <c r="BL97" s="1529"/>
      <c r="BM97" s="1529"/>
      <c r="BN97" s="1529"/>
      <c r="BO97" s="1529"/>
      <c r="BP97" s="1529"/>
      <c r="BQ97" s="1529"/>
      <c r="BR97" s="1529"/>
      <c r="BS97" s="1529"/>
      <c r="BT97" s="1529"/>
      <c r="BU97" s="1529"/>
      <c r="BV97" s="1529"/>
      <c r="BW97" s="1529"/>
      <c r="BX97" s="1529"/>
      <c r="BY97" s="1529"/>
      <c r="BZ97" s="1529"/>
      <c r="CA97" s="1529"/>
      <c r="CB97" s="1529"/>
      <c r="CC97" s="1529"/>
      <c r="CD97" s="1529"/>
      <c r="CE97" s="1529"/>
      <c r="CF97" s="1529"/>
      <c r="CG97" s="1529"/>
      <c r="CH97" s="1529"/>
      <c r="CI97" s="1529"/>
      <c r="CJ97" s="1529"/>
      <c r="CK97" s="1529"/>
      <c r="CL97" s="1529">
        <f>CL83+CL84+CL85+CL86+CL87+CL88+CL89+CL90+CL91+CL92+CL93+CL94+CL95+CL96</f>
        <v>8791</v>
      </c>
      <c r="CM97" s="1529"/>
      <c r="CN97" s="1529">
        <v>6487</v>
      </c>
      <c r="CO97" s="1529"/>
      <c r="CP97" s="1529"/>
      <c r="CQ97" s="1529"/>
      <c r="CR97" s="1529">
        <f>CR83+CR84+CR85+CR86+CR87+CR88+CR89+CR90+CR91+CR92+CR93+CR94+CR95+CR96</f>
        <v>8791</v>
      </c>
      <c r="CS97" s="1529">
        <f>CS83+CS84+CS85+CS86+CS87+CS88+CS89+CS90+CS91+CS92+CS93+CS94+CS95+CS96</f>
        <v>8791</v>
      </c>
      <c r="CT97" s="1529"/>
      <c r="CU97" s="1529">
        <f>CU83+CU84+CU85+CU86+CU87+CU88+CU89+CU90+CU91+CU92+CU93+CU94+CU95+CU96</f>
        <v>2696</v>
      </c>
      <c r="CV97" s="1529">
        <f>CV83+CV84+CV85+CV86+CV87+CV88+CV89+CV90+CV91+CV92+CV93+CV94+CV95+CV96</f>
        <v>2696</v>
      </c>
      <c r="CW97" s="1529"/>
      <c r="CX97" s="1529"/>
      <c r="CY97" s="1529"/>
      <c r="CZ97" s="1529"/>
      <c r="DA97" s="1529"/>
      <c r="DB97" s="1529"/>
      <c r="DC97" s="1529">
        <f>DC83+DC84+DC85+DC86+DC87+DC88+DC89+DC90+DC91+DC92+DC93+DC94+DC95+DC96</f>
        <v>2696</v>
      </c>
      <c r="DD97" s="1529"/>
      <c r="DE97" s="1529"/>
      <c r="DF97" s="1529"/>
      <c r="DG97" s="1529"/>
      <c r="DH97" s="1529"/>
      <c r="DI97" s="1529"/>
      <c r="DJ97" s="1529">
        <f>DJ83+DJ84+DJ85+DJ86+DJ87+DJ88+DJ89+DJ90+DJ91+DJ92+DJ93+DJ94+DJ95+DJ96</f>
        <v>2696</v>
      </c>
      <c r="DK97" s="1529"/>
      <c r="DL97" s="1529"/>
      <c r="DM97" s="1529"/>
      <c r="DN97" s="1529"/>
      <c r="DO97" s="1529"/>
      <c r="DP97" s="1529"/>
      <c r="DQ97" s="1529"/>
      <c r="DR97" s="1529">
        <f>DR83+DR84+DR85+DR86+DR87+DR88+DR89+DR90+DR91+DR92+DR93+DR94+DR95+DR96</f>
        <v>52556</v>
      </c>
      <c r="DS97" s="1529"/>
      <c r="DT97" s="1529"/>
      <c r="DU97" s="1529"/>
      <c r="DV97" s="1529"/>
      <c r="DW97" s="1529"/>
      <c r="DX97" s="1529"/>
      <c r="DY97" s="1529"/>
      <c r="DZ97" s="1529"/>
      <c r="EA97" s="1529">
        <v>6487</v>
      </c>
      <c r="EB97" s="1529"/>
      <c r="EC97" s="1529"/>
      <c r="ED97" s="1529"/>
      <c r="EE97" s="1529"/>
      <c r="EF97" s="1529"/>
      <c r="EG97" s="1529"/>
      <c r="EH97" s="1529"/>
      <c r="EI97" s="1529">
        <f>EI83+EI84+EI85+EI86+EI87+EI88+EI89+EI90+EI91+EI92+EI93+EI94+EI95+EI96</f>
        <v>687</v>
      </c>
      <c r="EJ97" s="1529"/>
      <c r="EK97" s="1529"/>
      <c r="EL97" s="1529"/>
      <c r="EM97" s="1529">
        <f>EM83+EM84+EM85+EM86+EM87+EM88+EM89+EM90+EM91+EM92+EM93+EM94+EM95+EM96</f>
        <v>8791</v>
      </c>
      <c r="EN97" s="1529"/>
      <c r="EO97" s="1529"/>
      <c r="EP97" s="1529"/>
      <c r="EQ97" s="1529"/>
      <c r="ER97" s="1529"/>
      <c r="ES97" s="1529"/>
      <c r="ET97" s="1504">
        <f t="shared" ref="ET97" si="32">ET83+ET84+ET85+ET86+ET87+ET88+ET89+ET90+ET91+ET92+ET93+ET94+ET95+ET96</f>
        <v>1116</v>
      </c>
      <c r="EU97" s="1529"/>
      <c r="EV97" s="1529"/>
      <c r="EW97" s="1529"/>
      <c r="EX97" s="1529"/>
      <c r="EY97" s="1529">
        <f>EY83+EY84+EY85+EY86+EY87+EY88+EY89+EY90+EY91+EY92+EY93+EY94+EY95+EY96</f>
        <v>8791</v>
      </c>
      <c r="EZ97" s="1529"/>
      <c r="FA97" s="1529"/>
      <c r="FB97" s="1529"/>
      <c r="FC97" s="1529"/>
      <c r="FD97" s="1529"/>
      <c r="FE97" s="1529"/>
      <c r="FF97" s="1529"/>
      <c r="FG97" s="1529"/>
      <c r="FH97" s="1529">
        <f>FH83+FH84+FH85+FH86+FH87+FH88+FH89+FH90+FH91+FH92+FH93+FH94+FH95+FH96</f>
        <v>2696</v>
      </c>
      <c r="FI97" s="1529"/>
      <c r="FJ97" s="1529"/>
      <c r="FK97" s="1529"/>
      <c r="FL97" s="1529"/>
      <c r="FM97" s="1529"/>
      <c r="FN97" s="1529"/>
      <c r="FO97" s="1529"/>
      <c r="FP97" s="1529"/>
      <c r="FQ97" s="1529"/>
      <c r="FR97" s="1529"/>
      <c r="FS97" s="1529"/>
      <c r="FT97" s="1529"/>
      <c r="FU97" s="1529"/>
      <c r="FV97" s="1529"/>
      <c r="FW97" s="1529"/>
      <c r="FX97" s="1529"/>
      <c r="FY97" s="1529"/>
      <c r="FZ97" s="1529"/>
      <c r="GA97" s="1529"/>
      <c r="GB97" s="1529"/>
      <c r="GC97" s="1529"/>
      <c r="GD97" s="1529"/>
      <c r="GE97" s="1529"/>
      <c r="GF97" s="1529"/>
      <c r="GG97" s="1529"/>
      <c r="GH97" s="1529"/>
      <c r="GI97" s="1529"/>
      <c r="GJ97" s="1529">
        <f>GJ83+GJ84+GJ85+GJ86+GJ87+GJ88+GJ89+GJ90+GJ91+GJ92+GJ93+GJ94+GJ95+GJ96</f>
        <v>0</v>
      </c>
      <c r="GK97" s="1529"/>
      <c r="GL97" s="1529"/>
      <c r="GM97" s="1529"/>
      <c r="GN97" s="1529"/>
      <c r="GO97" s="1529"/>
      <c r="GP97" s="1529"/>
      <c r="GQ97" s="1529"/>
      <c r="GR97" s="1529"/>
      <c r="GS97" s="1529"/>
      <c r="GT97" s="1529"/>
      <c r="GU97" s="1529"/>
      <c r="GV97" s="1529"/>
      <c r="GW97" s="1529"/>
      <c r="GX97" s="1529"/>
      <c r="GY97" s="1529"/>
      <c r="GZ97" s="1529"/>
      <c r="HA97" s="1529"/>
      <c r="HB97" s="1529"/>
      <c r="HC97" s="1529">
        <f>HC83+HC84+HC85+HC86+HC87+HC88+HC89+HC90+HC91+HC92+HC93+HC94+HC95+HC96</f>
        <v>2696</v>
      </c>
      <c r="HD97" s="1529"/>
      <c r="HE97" s="1529"/>
      <c r="HF97" s="1529"/>
      <c r="HG97" s="1529"/>
      <c r="HH97" s="1529"/>
      <c r="HI97" s="1529"/>
      <c r="HJ97" s="1529"/>
      <c r="HK97" s="1529"/>
      <c r="HL97" s="1529"/>
      <c r="HM97" s="1529"/>
      <c r="HN97" s="1529"/>
      <c r="HO97" s="1529"/>
      <c r="HP97" s="1529"/>
      <c r="HQ97" s="1529"/>
      <c r="HR97" s="1529"/>
      <c r="HS97" s="1529"/>
      <c r="HT97" s="1529"/>
      <c r="HU97" s="1504"/>
      <c r="HV97" s="1529"/>
      <c r="HW97" s="1529"/>
      <c r="HX97" s="1529"/>
      <c r="HY97" s="1529"/>
      <c r="HZ97" s="1529"/>
      <c r="IA97" s="1529"/>
      <c r="IB97" s="1529"/>
      <c r="IC97" s="1529"/>
      <c r="ID97" s="1529"/>
      <c r="IE97" s="1529"/>
      <c r="IF97" s="1529"/>
      <c r="IG97" s="1529"/>
      <c r="IH97" s="1529"/>
      <c r="II97" s="1529"/>
      <c r="IJ97" s="1529"/>
      <c r="IK97" s="1529"/>
      <c r="IL97" s="1529"/>
      <c r="IM97" s="1529"/>
      <c r="IN97" s="1529"/>
      <c r="IO97" s="1529"/>
      <c r="IP97" s="1529"/>
      <c r="IQ97" s="1529"/>
      <c r="IR97" s="1529"/>
      <c r="IS97" s="1529"/>
      <c r="IT97" s="1529"/>
      <c r="IU97" s="1529"/>
      <c r="IV97" s="1529"/>
      <c r="IW97" s="1529"/>
      <c r="IX97" s="1503">
        <f>IX83+IX84+IX85+IX86+IX87+IX88+IX89+IX90+IX91+IX92+IX93+IX94+IX95+IX96</f>
        <v>3580</v>
      </c>
      <c r="IY97" s="1529"/>
      <c r="IZ97" s="1529"/>
      <c r="JA97" s="1529">
        <f>JA83+JA84+JA85+JA86+JA87+JA88+JA89+JA90+JA91+JA92+JA93+JA94+JA95+JA96</f>
        <v>8791</v>
      </c>
      <c r="JB97" s="1529"/>
      <c r="JC97" s="1529"/>
      <c r="JD97" s="1529"/>
      <c r="JE97" s="1529"/>
      <c r="JF97" s="1529"/>
      <c r="JG97" s="1529"/>
      <c r="JH97" s="1529"/>
      <c r="JI97" s="1529"/>
      <c r="JJ97" s="1529"/>
      <c r="JK97" s="1529"/>
      <c r="JL97" s="1529"/>
      <c r="JM97" s="1529"/>
      <c r="JN97" s="1529"/>
      <c r="JO97" s="1529"/>
      <c r="JP97" s="1529"/>
      <c r="JQ97" s="1529"/>
      <c r="JR97" s="351"/>
      <c r="JS97" s="1400" t="s">
        <v>9715</v>
      </c>
      <c r="JT97" s="1400" t="s">
        <v>2253</v>
      </c>
    </row>
    <row r="98" spans="1:280" ht="30" x14ac:dyDescent="0.25">
      <c r="A98" s="1367">
        <v>51</v>
      </c>
      <c r="B98" s="1411" t="str">
        <f t="shared" si="19"/>
        <v/>
      </c>
      <c r="C98" s="1435" t="s">
        <v>3190</v>
      </c>
      <c r="D98" s="1436" t="s">
        <v>2964</v>
      </c>
      <c r="E98" s="1479"/>
      <c r="F98" s="1479"/>
      <c r="G98" s="1479">
        <f>MAX(0,G65+G66-G82)</f>
        <v>15200</v>
      </c>
      <c r="H98" s="1479"/>
      <c r="I98" s="1479">
        <f>MAX(0,I65+I66-I82)</f>
        <v>16285</v>
      </c>
      <c r="J98" s="1479"/>
      <c r="K98" s="1479"/>
      <c r="L98" s="1479">
        <f>MAX(0,L65+L66-L82)</f>
        <v>14900</v>
      </c>
      <c r="M98" s="1479"/>
      <c r="N98" s="1479"/>
      <c r="O98" s="1479"/>
      <c r="P98" s="1479"/>
      <c r="Q98" s="1479">
        <f>MAX(0,Q65+Q66-Q82)</f>
        <v>14900</v>
      </c>
      <c r="R98" s="1479"/>
      <c r="S98" s="1479">
        <f>MAX(0,S65+S66-S82)</f>
        <v>17560</v>
      </c>
      <c r="T98" s="1479"/>
      <c r="U98" s="1479"/>
      <c r="V98" s="1479"/>
      <c r="W98" s="1479"/>
      <c r="X98" s="1479"/>
      <c r="Y98" s="1479"/>
      <c r="Z98" s="1479"/>
      <c r="AA98" s="1479">
        <f t="shared" ref="AA98" si="33">MAX(0,AA65+AA66-AA82)</f>
        <v>8864</v>
      </c>
      <c r="AB98" s="1479"/>
      <c r="AC98" s="1479">
        <f>MAX(0,AC65+AC66-AC82)</f>
        <v>14900</v>
      </c>
      <c r="AD98" s="1479"/>
      <c r="AE98" s="1479">
        <f>MAX(0,AE65+AE66-AE82)</f>
        <v>21875</v>
      </c>
      <c r="AF98" s="1479"/>
      <c r="AG98" s="1479"/>
      <c r="AH98" s="1479">
        <f>MAX(0,AH65+AH66-AH82)</f>
        <v>48330</v>
      </c>
      <c r="AI98" s="1529"/>
      <c r="AJ98" s="1479">
        <f>MAX(0,AJ65+AJ66-AJ82)</f>
        <v>3400</v>
      </c>
      <c r="AK98" s="1479">
        <f>MAX(0,AK65+AK66-AK82)</f>
        <v>897</v>
      </c>
      <c r="AL98" s="1479"/>
      <c r="AM98" s="1479">
        <f>MAX(0,AM65+AM66-AM82)</f>
        <v>7624</v>
      </c>
      <c r="AN98" s="1479">
        <f>MAX(0,AN65+AN66-AN82)</f>
        <v>12571</v>
      </c>
      <c r="AO98" s="1479"/>
      <c r="AP98" s="1479">
        <f t="shared" ref="AP98" si="34">MAX(0,AP65+AP66-AP82)</f>
        <v>8630</v>
      </c>
      <c r="AQ98" s="1529"/>
      <c r="AR98" s="1529"/>
      <c r="AS98" s="1529"/>
      <c r="AT98" s="1529"/>
      <c r="AU98" s="1529"/>
      <c r="AV98" s="1479">
        <f>MAX(0,AV65+AV66-AV82)</f>
        <v>0</v>
      </c>
      <c r="AW98" s="1529"/>
      <c r="AX98" s="1529"/>
      <c r="AY98" s="1529"/>
      <c r="AZ98" s="1529"/>
      <c r="BA98" s="1529"/>
      <c r="BB98" s="1529"/>
      <c r="BC98" s="1529"/>
      <c r="BD98" s="1529"/>
      <c r="BE98" s="1529"/>
      <c r="BF98" s="1529"/>
      <c r="BG98" s="1529"/>
      <c r="BH98" s="1529"/>
      <c r="BI98" s="1529"/>
      <c r="BJ98" s="1479">
        <f>MAX(0,BJ65+BJ66-BJ82)</f>
        <v>0</v>
      </c>
      <c r="BK98" s="1529"/>
      <c r="BL98" s="1529"/>
      <c r="BM98" s="1529"/>
      <c r="BN98" s="1529"/>
      <c r="BO98" s="1529"/>
      <c r="BP98" s="1479"/>
      <c r="BQ98" s="1529"/>
      <c r="BR98" s="1529"/>
      <c r="BS98" s="1529"/>
      <c r="BT98" s="1529"/>
      <c r="BU98" s="1529"/>
      <c r="BV98" s="1529"/>
      <c r="BW98" s="1529"/>
      <c r="BX98" s="1529"/>
      <c r="BY98" s="1529">
        <f t="shared" ref="BY98" si="35">MAX(0,BY65+BY66-BY82)</f>
        <v>5000</v>
      </c>
      <c r="BZ98" s="1529"/>
      <c r="CA98" s="1529"/>
      <c r="CB98" s="1529">
        <f>MAX(0,CB65+CB66-CB82)</f>
        <v>1393695</v>
      </c>
      <c r="CC98" s="1529"/>
      <c r="CD98" s="1529">
        <f t="shared" ref="CD98" si="36">MAX(0,CD65+CD66-CD82)</f>
        <v>118969</v>
      </c>
      <c r="CE98" s="1529"/>
      <c r="CF98" s="1479">
        <f>MAX(0,CF65+CF66-CF82)</f>
        <v>54299</v>
      </c>
      <c r="CG98" s="1529"/>
      <c r="CH98" s="1479">
        <f>MAX(0,CH65+CH66-CH82)</f>
        <v>14900</v>
      </c>
      <c r="CI98" s="1529"/>
      <c r="CJ98" s="1529"/>
      <c r="CK98" s="1529">
        <f>MAX(0,CK65+CK66-CK82)</f>
        <v>11580</v>
      </c>
      <c r="CL98" s="1479">
        <f>MAX(0,CL65+CL66-CL82)</f>
        <v>98672</v>
      </c>
      <c r="CM98" s="1479">
        <f t="shared" ref="CM98:CN98" si="37">MAX(0,CM65+CM66-CM82)</f>
        <v>0</v>
      </c>
      <c r="CN98" s="1479">
        <f t="shared" si="37"/>
        <v>76882</v>
      </c>
      <c r="CO98" s="1479">
        <f>MAX(0,CO65+CO66-CO82)</f>
        <v>0</v>
      </c>
      <c r="CP98" s="1479">
        <f>MAX(0,CP65+CP66-CP82)</f>
        <v>35000</v>
      </c>
      <c r="CQ98" s="1529"/>
      <c r="CR98" s="1479">
        <f>MAX(0,CR65+CR66-CR82)</f>
        <v>98672</v>
      </c>
      <c r="CS98" s="1479">
        <f>MAX(0,CS65+CS66-CS82)</f>
        <v>98672</v>
      </c>
      <c r="CT98" s="1529"/>
      <c r="CU98" s="1479">
        <f>MAX(0,CU65+CU66-CU82)</f>
        <v>139838</v>
      </c>
      <c r="CV98" s="1479">
        <f>MAX(0,CV65+CV66-CV82)</f>
        <v>139838</v>
      </c>
      <c r="CW98" s="1529"/>
      <c r="CX98" s="1529"/>
      <c r="CY98" s="1529"/>
      <c r="CZ98" s="1529"/>
      <c r="DA98" s="1529"/>
      <c r="DB98" s="1529"/>
      <c r="DC98" s="1529">
        <f>MAX(0,DC65+DC66-DC82)</f>
        <v>139838</v>
      </c>
      <c r="DD98" s="1529"/>
      <c r="DE98" s="1529"/>
      <c r="DF98" s="1529"/>
      <c r="DG98" s="1529"/>
      <c r="DH98" s="1529"/>
      <c r="DI98" s="1529"/>
      <c r="DJ98" s="1479">
        <f>MAX(0,DJ65+DJ66-DJ82)</f>
        <v>139838</v>
      </c>
      <c r="DK98" s="1529"/>
      <c r="DL98" s="1529"/>
      <c r="DM98" s="1529"/>
      <c r="DN98" s="1529"/>
      <c r="DO98" s="1479"/>
      <c r="DP98" s="1529"/>
      <c r="DQ98" s="1529"/>
      <c r="DR98" s="1529"/>
      <c r="DS98" s="1529"/>
      <c r="DT98" s="1529"/>
      <c r="DU98" s="1529"/>
      <c r="DV98" s="1529"/>
      <c r="DW98" s="1529"/>
      <c r="DX98" s="1529"/>
      <c r="DY98" s="1529"/>
      <c r="DZ98" s="1529"/>
      <c r="EA98" s="1529">
        <f>MAX(0,EA65+EA66-EA82)</f>
        <v>13483</v>
      </c>
      <c r="EB98" s="1529"/>
      <c r="EC98" s="1529"/>
      <c r="ED98" s="1529"/>
      <c r="EE98" s="1529"/>
      <c r="EF98" s="1479">
        <f>MAX(0,EF65+EF66-EF82)</f>
        <v>20023</v>
      </c>
      <c r="EG98" s="1479">
        <f>MAX(0,EG65+EG66-EG82)</f>
        <v>0</v>
      </c>
      <c r="EH98" s="1529"/>
      <c r="EI98" s="1479">
        <f>MAX(0,EI65+EI66-EI82)</f>
        <v>57188</v>
      </c>
      <c r="EJ98" s="1529"/>
      <c r="EK98" s="1529"/>
      <c r="EL98" s="1529"/>
      <c r="EM98" s="1479">
        <f>MAX(0,EM65+EM66-EM82)</f>
        <v>98672</v>
      </c>
      <c r="EN98" s="1479"/>
      <c r="EO98" s="1479"/>
      <c r="EP98" s="1479"/>
      <c r="EQ98" s="1479"/>
      <c r="ER98" s="1479"/>
      <c r="ES98" s="1479"/>
      <c r="ET98" s="1503">
        <f t="shared" ref="ET98" si="38">MAX(0,ET65+ET66-ET82)</f>
        <v>2671</v>
      </c>
      <c r="EU98" s="1529"/>
      <c r="EV98" s="1529"/>
      <c r="EW98" s="1529"/>
      <c r="EX98" s="1529"/>
      <c r="EY98" s="1479">
        <f>MAX(0,EY65+EY66-EY82)</f>
        <v>98672</v>
      </c>
      <c r="EZ98" s="1529"/>
      <c r="FA98" s="1529"/>
      <c r="FB98" s="1529"/>
      <c r="FC98" s="1529"/>
      <c r="FD98" s="1529"/>
      <c r="FE98" s="1529"/>
      <c r="FF98" s="1479">
        <f>MAX(0,FF65+FF66-FF82)</f>
        <v>54299</v>
      </c>
      <c r="FG98" s="1529"/>
      <c r="FH98" s="1479">
        <f>MAX(0,FH65+FH66-FH82)</f>
        <v>139838</v>
      </c>
      <c r="FI98" s="1503">
        <f t="shared" ref="FI98:FS98" si="39">MAX(0,FI65+FI66-FI82)</f>
        <v>2274</v>
      </c>
      <c r="FJ98" s="1503">
        <f t="shared" si="39"/>
        <v>169634</v>
      </c>
      <c r="FK98" s="1479">
        <f t="shared" si="39"/>
        <v>0</v>
      </c>
      <c r="FL98" s="1479">
        <f t="shared" si="39"/>
        <v>0</v>
      </c>
      <c r="FM98" s="1503">
        <f t="shared" si="39"/>
        <v>201584</v>
      </c>
      <c r="FN98" s="1479">
        <f t="shared" si="39"/>
        <v>0</v>
      </c>
      <c r="FO98" s="1503">
        <f t="shared" si="39"/>
        <v>3193</v>
      </c>
      <c r="FP98" s="1479">
        <f t="shared" si="39"/>
        <v>0</v>
      </c>
      <c r="FQ98" s="1479">
        <f t="shared" si="39"/>
        <v>0</v>
      </c>
      <c r="FR98" s="1479">
        <f t="shared" si="39"/>
        <v>0</v>
      </c>
      <c r="FS98" s="1479">
        <f t="shared" si="39"/>
        <v>0</v>
      </c>
      <c r="FT98" s="1529"/>
      <c r="FU98" s="1529"/>
      <c r="FV98" s="1529"/>
      <c r="FW98" s="1529"/>
      <c r="FX98" s="1529"/>
      <c r="FY98" s="1529"/>
      <c r="FZ98" s="1479"/>
      <c r="GA98" s="1479"/>
      <c r="GB98" s="1479"/>
      <c r="GC98" s="1479"/>
      <c r="GD98" s="1479">
        <f>MAX(0,GD65+GD66-GD82)</f>
        <v>8952</v>
      </c>
      <c r="GE98" s="1479"/>
      <c r="GF98" s="1479"/>
      <c r="GG98" s="1479"/>
      <c r="GH98" s="1479"/>
      <c r="GI98" s="1479"/>
      <c r="GJ98" s="1479">
        <f>MAX(0,GJ65+GJ66-GJ82)</f>
        <v>49810</v>
      </c>
      <c r="GK98" s="1529"/>
      <c r="GL98" s="1529"/>
      <c r="GM98" s="1529"/>
      <c r="GN98" s="1529">
        <f t="shared" ref="GN98" si="40">MAX(0,GN65+GN66-GN82)</f>
        <v>6875</v>
      </c>
      <c r="GO98" s="1529"/>
      <c r="GP98" s="1529"/>
      <c r="GQ98" s="1529"/>
      <c r="GR98" s="1529"/>
      <c r="GS98" s="1529"/>
      <c r="GT98" s="1529"/>
      <c r="GU98" s="1529">
        <f>MAX(0,GU65+GU66-GU82)</f>
        <v>9920</v>
      </c>
      <c r="GV98" s="1479"/>
      <c r="GW98" s="1479"/>
      <c r="GX98" s="1479">
        <f>MAX(0,GX65+GX66-GX82)</f>
        <v>0</v>
      </c>
      <c r="GY98" s="1529"/>
      <c r="GZ98" s="1529"/>
      <c r="HA98" s="1529"/>
      <c r="HB98" s="1479">
        <f>MAX(0,HB65+HB66-HB82)</f>
        <v>0</v>
      </c>
      <c r="HC98" s="1479">
        <f>MAX(0,HC65+HC66-HC82)</f>
        <v>139838</v>
      </c>
      <c r="HD98" s="1529"/>
      <c r="HE98" s="1529"/>
      <c r="HF98" s="1529"/>
      <c r="HG98" s="1529"/>
      <c r="HH98" s="1529"/>
      <c r="HI98" s="1503">
        <f t="shared" ref="HI98:HN98" si="41">MAX(0,HI65+HI66-HI82)</f>
        <v>24756</v>
      </c>
      <c r="HJ98" s="1503">
        <f t="shared" si="41"/>
        <v>126384</v>
      </c>
      <c r="HK98" s="1503">
        <f t="shared" si="41"/>
        <v>173250</v>
      </c>
      <c r="HL98" s="1503">
        <f t="shared" si="41"/>
        <v>201924</v>
      </c>
      <c r="HM98" s="1503">
        <f t="shared" si="41"/>
        <v>42500</v>
      </c>
      <c r="HN98" s="1479">
        <f t="shared" si="41"/>
        <v>0</v>
      </c>
      <c r="HO98" s="1479">
        <f>MAX(0,HO65+HO66-HO82)</f>
        <v>14900</v>
      </c>
      <c r="HP98" s="1479"/>
      <c r="HQ98" s="1479"/>
      <c r="HR98" s="1479"/>
      <c r="HS98" s="1479"/>
      <c r="HT98" s="1479"/>
      <c r="HU98" s="1479"/>
      <c r="HV98" s="1479"/>
      <c r="HW98" s="1479">
        <f t="shared" ref="HW98" si="42">MAX(0,HW65+HW66-HW82)</f>
        <v>26980</v>
      </c>
      <c r="HX98" s="1529"/>
      <c r="HY98" s="1529"/>
      <c r="HZ98" s="1529"/>
      <c r="IA98" s="1529"/>
      <c r="IB98" s="1529"/>
      <c r="IC98" s="1529"/>
      <c r="ID98" s="1529"/>
      <c r="IE98" s="1529"/>
      <c r="IF98" s="1529"/>
      <c r="IG98" s="1529"/>
      <c r="IH98" s="1529"/>
      <c r="II98" s="1529"/>
      <c r="IJ98" s="1529"/>
      <c r="IK98" s="1529"/>
      <c r="IL98" s="1503">
        <f t="shared" ref="IL98" si="43">MAX(0,IL65+IL66-IL82)</f>
        <v>4237</v>
      </c>
      <c r="IM98" s="1529"/>
      <c r="IN98" s="1529"/>
      <c r="IO98" s="1529"/>
      <c r="IP98" s="1529"/>
      <c r="IQ98" s="1529"/>
      <c r="IR98" s="1529"/>
      <c r="IS98" s="1529"/>
      <c r="IT98" s="1529"/>
      <c r="IU98" s="1503">
        <f>MAX(0,IU65+IU66-IU82)</f>
        <v>41045</v>
      </c>
      <c r="IV98" s="1529"/>
      <c r="IW98" s="1503">
        <f>MAX(0,IW65+IW66-IW82)</f>
        <v>21.569999999999709</v>
      </c>
      <c r="IX98" s="1503">
        <f>MAX(0,IX65+IX66-IX82)</f>
        <v>4111067</v>
      </c>
      <c r="IY98" s="1479">
        <f>MAX(0,IY65+IY66-IY82)</f>
        <v>54299</v>
      </c>
      <c r="IZ98" s="1529"/>
      <c r="JA98" s="1479">
        <f>MAX(0,JA65+JA66-JA82)</f>
        <v>98672</v>
      </c>
      <c r="JB98" s="1503">
        <f t="shared" ref="JB98:JK98" si="44">MAX(0,JB65+JB66-JB82)</f>
        <v>67942</v>
      </c>
      <c r="JC98" s="1479">
        <f t="shared" si="44"/>
        <v>0</v>
      </c>
      <c r="JD98" s="1479">
        <f t="shared" si="44"/>
        <v>0</v>
      </c>
      <c r="JE98" s="1479">
        <f t="shared" si="44"/>
        <v>0</v>
      </c>
      <c r="JF98" s="1479">
        <f t="shared" si="44"/>
        <v>0</v>
      </c>
      <c r="JG98" s="1479">
        <f t="shared" si="44"/>
        <v>0</v>
      </c>
      <c r="JH98" s="1503">
        <f>MAX(0,JH65+JH66-JH82)</f>
        <v>6908</v>
      </c>
      <c r="JI98" s="1479"/>
      <c r="JJ98" s="1479"/>
      <c r="JK98" s="1503">
        <f t="shared" si="44"/>
        <v>9210</v>
      </c>
      <c r="JL98" s="1479"/>
      <c r="JM98" s="1479"/>
      <c r="JN98" s="1479"/>
      <c r="JO98" s="1479"/>
      <c r="JP98" s="1529"/>
      <c r="JQ98" s="1530"/>
      <c r="JR98" s="351"/>
      <c r="JS98" s="1400" t="s">
        <v>3191</v>
      </c>
      <c r="JT98" s="1400" t="s">
        <v>2224</v>
      </c>
    </row>
    <row r="99" spans="1:280" ht="30" x14ac:dyDescent="0.25">
      <c r="A99" s="1367">
        <v>52</v>
      </c>
      <c r="B99" s="1411" t="str">
        <f t="shared" si="19"/>
        <v/>
      </c>
      <c r="C99" s="1435" t="s">
        <v>3192</v>
      </c>
      <c r="D99" s="1436" t="s">
        <v>2967</v>
      </c>
      <c r="E99" s="1479"/>
      <c r="F99" s="1479"/>
      <c r="G99" s="1479">
        <f>MAX(0,G82-(G65+G66))</f>
        <v>0</v>
      </c>
      <c r="H99" s="1479"/>
      <c r="I99" s="1479">
        <f>MAX(0,I82-(I65+I66))</f>
        <v>0</v>
      </c>
      <c r="J99" s="1479"/>
      <c r="K99" s="1479"/>
      <c r="L99" s="1479">
        <f>MAX(0,L82-(L65+L66))</f>
        <v>0</v>
      </c>
      <c r="M99" s="1479"/>
      <c r="N99" s="1479"/>
      <c r="O99" s="1479"/>
      <c r="P99" s="1479"/>
      <c r="Q99" s="1479">
        <f>MAX(0,Q82-(Q65+Q66))</f>
        <v>0</v>
      </c>
      <c r="R99" s="1479"/>
      <c r="S99" s="1479">
        <f>MAX(0,S82-(S65+S66))</f>
        <v>0</v>
      </c>
      <c r="T99" s="1479"/>
      <c r="U99" s="1479"/>
      <c r="V99" s="1479"/>
      <c r="W99" s="1479"/>
      <c r="X99" s="1479"/>
      <c r="Y99" s="1479"/>
      <c r="Z99" s="1479"/>
      <c r="AA99" s="1479"/>
      <c r="AB99" s="1479"/>
      <c r="AC99" s="1479">
        <f>MAX(0,AC82-(AC65+AC66))</f>
        <v>0</v>
      </c>
      <c r="AD99" s="1479"/>
      <c r="AE99" s="1479">
        <f>MAX(0,AE82-(AE65+AE66))</f>
        <v>0</v>
      </c>
      <c r="AF99" s="1479"/>
      <c r="AG99" s="1479"/>
      <c r="AH99" s="1479">
        <f>MAX(0,AH82-(AH65+AH66))</f>
        <v>0</v>
      </c>
      <c r="AI99" s="1529"/>
      <c r="AJ99" s="1479">
        <f>MAX(0,AJ82-(AJ65+AJ66))</f>
        <v>0</v>
      </c>
      <c r="AK99" s="1479">
        <f>MAX(0,AK82-(AK65+AK66))</f>
        <v>0</v>
      </c>
      <c r="AL99" s="1479"/>
      <c r="AM99" s="1479"/>
      <c r="AN99" s="1479"/>
      <c r="AO99" s="1479"/>
      <c r="AP99" s="1479">
        <f t="shared" ref="AP99" si="45">MAX(0,AP82-(AP65+AP66))</f>
        <v>0</v>
      </c>
      <c r="AQ99" s="1479"/>
      <c r="AR99" s="1529"/>
      <c r="AS99" s="1529"/>
      <c r="AT99" s="1529"/>
      <c r="AU99" s="1529"/>
      <c r="AV99" s="1479">
        <f>MAX(0,AV82-(AV65+AV66))</f>
        <v>5001</v>
      </c>
      <c r="AW99" s="1529"/>
      <c r="AX99" s="1529"/>
      <c r="AY99" s="1529"/>
      <c r="AZ99" s="1529"/>
      <c r="BA99" s="1529"/>
      <c r="BB99" s="1529"/>
      <c r="BC99" s="1529"/>
      <c r="BD99" s="1529"/>
      <c r="BE99" s="1529"/>
      <c r="BF99" s="1529"/>
      <c r="BG99" s="1529"/>
      <c r="BH99" s="1529"/>
      <c r="BI99" s="1529"/>
      <c r="BJ99" s="1479">
        <f>MAX(0,BJ82-(BJ65+BJ66))</f>
        <v>0</v>
      </c>
      <c r="BK99" s="1529"/>
      <c r="BL99" s="1529"/>
      <c r="BM99" s="1529"/>
      <c r="BN99" s="1529"/>
      <c r="BO99" s="1529"/>
      <c r="BP99" s="1479"/>
      <c r="BQ99" s="1529"/>
      <c r="BR99" s="1529"/>
      <c r="BS99" s="1529"/>
      <c r="BT99" s="1529"/>
      <c r="BU99" s="1529"/>
      <c r="BV99" s="1529"/>
      <c r="BW99" s="1529"/>
      <c r="BX99" s="1529"/>
      <c r="BY99" s="1529">
        <v>0</v>
      </c>
      <c r="BZ99" s="1529"/>
      <c r="CA99" s="1529"/>
      <c r="CB99" s="1529">
        <f>MAX(0,CB82-(CB65+CB66))</f>
        <v>0</v>
      </c>
      <c r="CC99" s="1529"/>
      <c r="CD99" s="1529">
        <f t="shared" ref="CD99" si="46">MAX(0,CD82-(CD65+CD66))</f>
        <v>0</v>
      </c>
      <c r="CE99" s="1529"/>
      <c r="CF99" s="1479">
        <f>MAX(0,CF82-(CF65+CF66))</f>
        <v>0</v>
      </c>
      <c r="CG99" s="1529"/>
      <c r="CH99" s="1479">
        <f>MAX(0,CH82-(CH65+CH66))</f>
        <v>0</v>
      </c>
      <c r="CI99" s="1529"/>
      <c r="CJ99" s="1529"/>
      <c r="CK99" s="1529"/>
      <c r="CL99" s="1479">
        <f>MAX(0,CL82-(CL65+CL66))</f>
        <v>0</v>
      </c>
      <c r="CM99" s="1479">
        <f>MAX(0,CM82-(CM65+CM66))</f>
        <v>10000</v>
      </c>
      <c r="CN99" s="1479">
        <v>0</v>
      </c>
      <c r="CO99" s="1479">
        <f>MAX(0,CO82-(CO65+CO66))</f>
        <v>10533</v>
      </c>
      <c r="CP99" s="1479">
        <f>MAX(0,CP82-(CP65+CP66))</f>
        <v>0</v>
      </c>
      <c r="CQ99" s="1529"/>
      <c r="CR99" s="1479">
        <f>MAX(0,CR82-(CR65+CR66))</f>
        <v>0</v>
      </c>
      <c r="CS99" s="1479">
        <f>MAX(0,CS82-(CS65+CS66))</f>
        <v>0</v>
      </c>
      <c r="CT99" s="1529"/>
      <c r="CU99" s="1479">
        <f>MAX(0,CU82-(CU65+CU66))</f>
        <v>0</v>
      </c>
      <c r="CV99" s="1479">
        <f>MAX(0,CV82-(CV65+CV66))</f>
        <v>0</v>
      </c>
      <c r="CW99" s="1529"/>
      <c r="CX99" s="1529"/>
      <c r="CY99" s="1529"/>
      <c r="CZ99" s="1529"/>
      <c r="DA99" s="1529"/>
      <c r="DB99" s="1529"/>
      <c r="DC99" s="1529">
        <f>MAX(0,DC82-(DC65+DC66))</f>
        <v>0</v>
      </c>
      <c r="DD99" s="1529"/>
      <c r="DE99" s="1529"/>
      <c r="DF99" s="1529"/>
      <c r="DG99" s="1529"/>
      <c r="DH99" s="1529"/>
      <c r="DI99" s="1529"/>
      <c r="DJ99" s="1479">
        <f>MAX(0,DJ82-(DJ65+DJ66))</f>
        <v>0</v>
      </c>
      <c r="DK99" s="1479"/>
      <c r="DL99" s="1479"/>
      <c r="DM99" s="1479"/>
      <c r="DN99" s="1479"/>
      <c r="DO99" s="1479"/>
      <c r="DP99" s="1479"/>
      <c r="DQ99" s="1479"/>
      <c r="DR99" s="1479">
        <f>MAX(0,DR82-(DR65+DR66))</f>
        <v>41461</v>
      </c>
      <c r="DS99" s="1529"/>
      <c r="DT99" s="1529"/>
      <c r="DU99" s="1529"/>
      <c r="DV99" s="1529"/>
      <c r="DW99" s="1529"/>
      <c r="DX99" s="1529"/>
      <c r="DY99" s="1529"/>
      <c r="DZ99" s="1529"/>
      <c r="EA99" s="1479">
        <v>0</v>
      </c>
      <c r="EB99" s="1529"/>
      <c r="EC99" s="1529"/>
      <c r="ED99" s="1529"/>
      <c r="EE99" s="1529"/>
      <c r="EF99" s="1479">
        <f>MAX(0,EF82-(EF65+EF66))</f>
        <v>0</v>
      </c>
      <c r="EG99" s="1479">
        <f>MAX(0,EG82-(EG65+EG66))</f>
        <v>5000</v>
      </c>
      <c r="EH99" s="1529"/>
      <c r="EI99" s="1479">
        <f>MAX(0,EI82-(EI65+EI66))</f>
        <v>0</v>
      </c>
      <c r="EJ99" s="1529"/>
      <c r="EK99" s="1529"/>
      <c r="EL99" s="1529"/>
      <c r="EM99" s="1479">
        <f>MAX(0,EM82-(EM65+EM66))</f>
        <v>0</v>
      </c>
      <c r="EN99" s="1529"/>
      <c r="EO99" s="1529"/>
      <c r="EP99" s="1529"/>
      <c r="EQ99" s="1529"/>
      <c r="ER99" s="1529"/>
      <c r="ES99" s="1504">
        <v>115</v>
      </c>
      <c r="ET99" s="1529"/>
      <c r="EU99" s="1529"/>
      <c r="EV99" s="1529"/>
      <c r="EW99" s="1529"/>
      <c r="EX99" s="1529"/>
      <c r="EY99" s="1479">
        <f>MAX(0,EY82-(EY65+EY66))</f>
        <v>0</v>
      </c>
      <c r="EZ99" s="1529"/>
      <c r="FA99" s="1529"/>
      <c r="FB99" s="1529"/>
      <c r="FC99" s="1529"/>
      <c r="FD99" s="1529"/>
      <c r="FE99" s="1529"/>
      <c r="FF99" s="1479">
        <f>MAX(0,FF82-(FF65+FF66))</f>
        <v>0</v>
      </c>
      <c r="FG99" s="1529"/>
      <c r="FH99" s="1479">
        <f>MAX(0,FH82-(FH65+FH66))</f>
        <v>0</v>
      </c>
      <c r="FI99" s="1479">
        <f t="shared" ref="FI99:FV99" si="47">MAX(0,FI82-(FI65+FI66))</f>
        <v>0</v>
      </c>
      <c r="FJ99" s="1479">
        <f t="shared" si="47"/>
        <v>0</v>
      </c>
      <c r="FK99" s="1479">
        <f t="shared" si="47"/>
        <v>0</v>
      </c>
      <c r="FL99" s="1479">
        <f t="shared" si="47"/>
        <v>0</v>
      </c>
      <c r="FM99" s="1479">
        <f t="shared" si="47"/>
        <v>0</v>
      </c>
      <c r="FN99" s="1479">
        <f t="shared" si="47"/>
        <v>0</v>
      </c>
      <c r="FO99" s="1479">
        <f t="shared" si="47"/>
        <v>0</v>
      </c>
      <c r="FP99" s="1479">
        <f t="shared" si="47"/>
        <v>0</v>
      </c>
      <c r="FQ99" s="1479">
        <f t="shared" si="47"/>
        <v>0</v>
      </c>
      <c r="FR99" s="1479">
        <f t="shared" si="47"/>
        <v>0</v>
      </c>
      <c r="FS99" s="1479">
        <f t="shared" si="47"/>
        <v>0</v>
      </c>
      <c r="FT99" s="1479">
        <f t="shared" si="47"/>
        <v>0</v>
      </c>
      <c r="FU99" s="1479">
        <f t="shared" si="47"/>
        <v>0</v>
      </c>
      <c r="FV99" s="1479">
        <f t="shared" si="47"/>
        <v>0</v>
      </c>
      <c r="FW99" s="1529"/>
      <c r="FX99" s="1529"/>
      <c r="FY99" s="1529"/>
      <c r="FZ99" s="1529"/>
      <c r="GA99" s="1529"/>
      <c r="GB99" s="1529"/>
      <c r="GC99" s="1529"/>
      <c r="GD99" s="1529"/>
      <c r="GE99" s="1529"/>
      <c r="GF99" s="1529"/>
      <c r="GG99" s="1529"/>
      <c r="GH99" s="1529"/>
      <c r="GI99" s="1529"/>
      <c r="GJ99" s="1479">
        <f>MAX(0,GJ82-(GJ65+GJ66))</f>
        <v>0</v>
      </c>
      <c r="GK99" s="1529"/>
      <c r="GL99" s="1529"/>
      <c r="GM99" s="1529"/>
      <c r="GN99" s="1529"/>
      <c r="GO99" s="1529"/>
      <c r="GP99" s="1529"/>
      <c r="GQ99" s="1529"/>
      <c r="GR99" s="1529"/>
      <c r="GS99" s="1529"/>
      <c r="GT99" s="1529"/>
      <c r="GU99" s="1529"/>
      <c r="GV99" s="1529"/>
      <c r="GW99" s="1529"/>
      <c r="GX99" s="1479">
        <f>MAX(0,GX82-(GX65+GX66))</f>
        <v>52763</v>
      </c>
      <c r="GY99" s="1529"/>
      <c r="GZ99" s="1529"/>
      <c r="HA99" s="1529"/>
      <c r="HB99" s="1479">
        <f>MAX(0,HB82-(HB65+HB66))</f>
        <v>5001</v>
      </c>
      <c r="HC99" s="1479">
        <f>MAX(0,HC82-(HC65+HC66))</f>
        <v>0</v>
      </c>
      <c r="HD99" s="1529"/>
      <c r="HE99" s="1529"/>
      <c r="HF99" s="1529"/>
      <c r="HG99" s="1529"/>
      <c r="HH99" s="1529"/>
      <c r="HI99" s="1529"/>
      <c r="HJ99" s="1529"/>
      <c r="HK99" s="1529"/>
      <c r="HL99" s="1529"/>
      <c r="HM99" s="1529"/>
      <c r="HN99" s="1529"/>
      <c r="HO99" s="1479">
        <f>MAX(0,HO82-(HO65+HO66))</f>
        <v>0</v>
      </c>
      <c r="HP99" s="1479"/>
      <c r="HQ99" s="1479"/>
      <c r="HR99" s="1479"/>
      <c r="HS99" s="1479"/>
      <c r="HT99" s="1479"/>
      <c r="HU99" s="1503"/>
      <c r="HV99" s="1479"/>
      <c r="HW99" s="1479">
        <f t="shared" ref="HW99" si="48">MAX(0,HW82-(HW65+HW66))</f>
        <v>0</v>
      </c>
      <c r="HX99" s="1529"/>
      <c r="HY99" s="1529"/>
      <c r="HZ99" s="1529"/>
      <c r="IA99" s="1529"/>
      <c r="IB99" s="1529"/>
      <c r="IC99" s="1529"/>
      <c r="ID99" s="1529"/>
      <c r="IE99" s="1529"/>
      <c r="IF99" s="1529"/>
      <c r="IG99" s="1529"/>
      <c r="IH99" s="1529"/>
      <c r="II99" s="1529"/>
      <c r="IJ99" s="1529"/>
      <c r="IK99" s="1529"/>
      <c r="IL99" s="1529"/>
      <c r="IM99" s="1529"/>
      <c r="IN99" s="1529"/>
      <c r="IO99" s="1529"/>
      <c r="IP99" s="1529"/>
      <c r="IQ99" s="1529"/>
      <c r="IR99" s="1529"/>
      <c r="IS99" s="1529"/>
      <c r="IT99" s="1529"/>
      <c r="IU99" s="1529"/>
      <c r="IV99" s="1529"/>
      <c r="IW99" s="1529"/>
      <c r="IX99" s="1529"/>
      <c r="IY99" s="1479">
        <f>MAX(0,IY82-(IY65+IY66))</f>
        <v>0</v>
      </c>
      <c r="IZ99" s="1529"/>
      <c r="JA99" s="1479">
        <f>MAX(0,JA82-(JA65+JA66))</f>
        <v>0</v>
      </c>
      <c r="JB99" s="1479">
        <f t="shared" ref="JB99:JP99" si="49">MAX(0,JB82-(JB65+JB66))</f>
        <v>0</v>
      </c>
      <c r="JC99" s="1479">
        <f t="shared" si="49"/>
        <v>0</v>
      </c>
      <c r="JD99" s="1479">
        <f t="shared" si="49"/>
        <v>0</v>
      </c>
      <c r="JE99" s="1479">
        <f t="shared" si="49"/>
        <v>0</v>
      </c>
      <c r="JF99" s="1479">
        <f t="shared" si="49"/>
        <v>0</v>
      </c>
      <c r="JG99" s="1479">
        <f t="shared" si="49"/>
        <v>0</v>
      </c>
      <c r="JH99" s="1479"/>
      <c r="JI99" s="1479"/>
      <c r="JJ99" s="1479"/>
      <c r="JK99" s="1479">
        <f t="shared" si="49"/>
        <v>0</v>
      </c>
      <c r="JL99" s="1479"/>
      <c r="JM99" s="1479"/>
      <c r="JN99" s="1479"/>
      <c r="JO99" s="1479"/>
      <c r="JP99" s="1479">
        <f t="shared" si="49"/>
        <v>0</v>
      </c>
      <c r="JQ99" s="1530"/>
      <c r="JR99" s="351"/>
      <c r="JS99" s="1400" t="s">
        <v>3193</v>
      </c>
      <c r="JT99" s="1400" t="s">
        <v>2224</v>
      </c>
    </row>
    <row r="100" spans="1:280" ht="30" x14ac:dyDescent="0.25">
      <c r="A100" s="1367">
        <v>53</v>
      </c>
      <c r="B100" s="1411" t="str">
        <f t="shared" si="19"/>
        <v/>
      </c>
      <c r="C100" s="1435" t="s">
        <v>3194</v>
      </c>
      <c r="D100" s="1436" t="s">
        <v>2970</v>
      </c>
      <c r="E100" s="1452"/>
      <c r="F100" s="1452"/>
      <c r="G100" s="1452"/>
      <c r="H100" s="1452"/>
      <c r="I100" s="1452"/>
      <c r="J100" s="1452"/>
      <c r="K100" s="1452"/>
      <c r="L100" s="1452"/>
      <c r="M100" s="1452"/>
      <c r="N100" s="1452"/>
      <c r="O100" s="1528"/>
      <c r="P100" s="1528"/>
      <c r="Q100" s="1452"/>
      <c r="R100" s="1528"/>
      <c r="S100" s="1452"/>
      <c r="T100" s="1500"/>
      <c r="U100" s="1500"/>
      <c r="V100" s="1500"/>
      <c r="W100" s="1500"/>
      <c r="X100" s="1500"/>
      <c r="Y100" s="1500"/>
      <c r="Z100" s="1500"/>
      <c r="AA100" s="1500"/>
      <c r="AB100" s="1500"/>
      <c r="AC100" s="1452"/>
      <c r="AD100" s="1452"/>
      <c r="AE100" s="1452"/>
      <c r="AF100" s="1452"/>
      <c r="AG100" s="1452"/>
      <c r="AH100" s="1452"/>
      <c r="AI100" s="1500"/>
      <c r="AJ100" s="1452"/>
      <c r="AK100" s="1500"/>
      <c r="AL100" s="1452"/>
      <c r="AM100" s="1500"/>
      <c r="AN100" s="1500"/>
      <c r="AO100" s="1500"/>
      <c r="AP100" s="1500"/>
      <c r="AQ100" s="1500"/>
      <c r="AR100" s="1500"/>
      <c r="AS100" s="1500"/>
      <c r="AT100" s="1500"/>
      <c r="AU100" s="1500"/>
      <c r="AV100" s="1452">
        <v>5000</v>
      </c>
      <c r="AW100" s="1500"/>
      <c r="AX100" s="1500"/>
      <c r="AY100" s="1500"/>
      <c r="AZ100" s="1500"/>
      <c r="BA100" s="1500"/>
      <c r="BB100" s="1500"/>
      <c r="BC100" s="1500"/>
      <c r="BD100" s="1500"/>
      <c r="BE100" s="1500"/>
      <c r="BF100" s="1500"/>
      <c r="BG100" s="1500"/>
      <c r="BH100" s="1500"/>
      <c r="BI100" s="1500"/>
      <c r="BJ100" s="1452"/>
      <c r="BK100" s="1500"/>
      <c r="BL100" s="1500"/>
      <c r="BM100" s="1500"/>
      <c r="BN100" s="1500"/>
      <c r="BO100" s="1500"/>
      <c r="BP100" s="1452"/>
      <c r="BQ100" s="1500"/>
      <c r="BR100" s="1500"/>
      <c r="BS100" s="1500"/>
      <c r="BT100" s="1500"/>
      <c r="BU100" s="1500"/>
      <c r="BV100" s="1500"/>
      <c r="BW100" s="1500"/>
      <c r="BX100" s="1500"/>
      <c r="BY100" s="1500"/>
      <c r="BZ100" s="1500"/>
      <c r="CA100" s="1500"/>
      <c r="CB100" s="1500">
        <v>1307946</v>
      </c>
      <c r="CC100" s="1500"/>
      <c r="CD100" s="1500"/>
      <c r="CE100" s="1500"/>
      <c r="CF100" s="1452">
        <v>6350</v>
      </c>
      <c r="CG100" s="1500"/>
      <c r="CH100" s="1452"/>
      <c r="CI100" s="1500"/>
      <c r="CJ100" s="1500"/>
      <c r="CK100" s="1500"/>
      <c r="CL100" s="1452"/>
      <c r="CM100" s="1500"/>
      <c r="CN100" s="1455">
        <v>4033</v>
      </c>
      <c r="CO100" s="1500"/>
      <c r="CP100" s="1500"/>
      <c r="CQ100" s="1500"/>
      <c r="CR100" s="1452"/>
      <c r="CS100" s="1452"/>
      <c r="CT100" s="1500"/>
      <c r="CU100" s="1452"/>
      <c r="CV100" s="1452"/>
      <c r="CW100" s="1500"/>
      <c r="CX100" s="1500"/>
      <c r="CY100" s="1500"/>
      <c r="CZ100" s="1500"/>
      <c r="DA100" s="1500"/>
      <c r="DB100" s="1500"/>
      <c r="DC100" s="1500"/>
      <c r="DD100" s="1500"/>
      <c r="DE100" s="1500"/>
      <c r="DF100" s="1500"/>
      <c r="DG100" s="1500"/>
      <c r="DH100" s="1500"/>
      <c r="DI100" s="1500"/>
      <c r="DJ100" s="1452"/>
      <c r="DK100" s="1500"/>
      <c r="DL100" s="1500"/>
      <c r="DM100" s="1500"/>
      <c r="DN100" s="1500"/>
      <c r="DO100" s="1452"/>
      <c r="DP100" s="1500"/>
      <c r="DQ100" s="1500"/>
      <c r="DR100" s="1472">
        <v>111925</v>
      </c>
      <c r="DS100" s="1500"/>
      <c r="DT100" s="1500"/>
      <c r="DU100" s="1500"/>
      <c r="DV100" s="1500"/>
      <c r="DW100" s="1500"/>
      <c r="DX100" s="1500"/>
      <c r="DY100" s="1500"/>
      <c r="DZ100" s="1500"/>
      <c r="EA100" s="1455">
        <v>4033</v>
      </c>
      <c r="EB100" s="1500"/>
      <c r="EC100" s="1500"/>
      <c r="ED100" s="1500"/>
      <c r="EE100" s="1500"/>
      <c r="EF100" s="1452">
        <v>1000</v>
      </c>
      <c r="EG100" s="1452"/>
      <c r="EH100" s="1500"/>
      <c r="EI100" s="1452"/>
      <c r="EJ100" s="1500"/>
      <c r="EK100" s="1500"/>
      <c r="EL100" s="1500"/>
      <c r="EM100" s="1452"/>
      <c r="EN100" s="1500"/>
      <c r="EO100" s="1500"/>
      <c r="EP100" s="1500"/>
      <c r="EQ100" s="1500"/>
      <c r="ER100" s="1500"/>
      <c r="ES100" s="1500"/>
      <c r="ET100" s="1500"/>
      <c r="EU100" s="1500"/>
      <c r="EV100" s="1500"/>
      <c r="EW100" s="1500"/>
      <c r="EX100" s="1500"/>
      <c r="EY100" s="1452"/>
      <c r="EZ100" s="1500"/>
      <c r="FA100" s="1500"/>
      <c r="FB100" s="1500"/>
      <c r="FC100" s="1500"/>
      <c r="FD100" s="1500"/>
      <c r="FE100" s="1500"/>
      <c r="FF100" s="1452">
        <v>6350</v>
      </c>
      <c r="FG100" s="1500"/>
      <c r="FH100" s="1452"/>
      <c r="FI100" s="1500"/>
      <c r="FJ100" s="1500"/>
      <c r="FK100" s="1500"/>
      <c r="FL100" s="1500"/>
      <c r="FM100" s="1500"/>
      <c r="FN100" s="1500"/>
      <c r="FO100" s="1500"/>
      <c r="FP100" s="1500"/>
      <c r="FQ100" s="1500"/>
      <c r="FR100" s="1500"/>
      <c r="FS100" s="1500"/>
      <c r="FT100" s="1500"/>
      <c r="FU100" s="1500"/>
      <c r="FV100" s="1500"/>
      <c r="FW100" s="1500"/>
      <c r="FX100" s="1500"/>
      <c r="FY100" s="1500"/>
      <c r="FZ100" s="1500"/>
      <c r="GA100" s="1500"/>
      <c r="GB100" s="1500"/>
      <c r="GC100" s="1500"/>
      <c r="GD100" s="1500"/>
      <c r="GE100" s="1500"/>
      <c r="GF100" s="1500"/>
      <c r="GG100" s="1500"/>
      <c r="GH100" s="1500"/>
      <c r="GI100" s="1500"/>
      <c r="GJ100" s="1452"/>
      <c r="GK100" s="1500"/>
      <c r="GL100" s="1500"/>
      <c r="GM100" s="1500"/>
      <c r="GN100" s="1500"/>
      <c r="GO100" s="1500"/>
      <c r="GP100" s="1500"/>
      <c r="GQ100" s="1500"/>
      <c r="GR100" s="1500"/>
      <c r="GS100" s="1500"/>
      <c r="GT100" s="1500"/>
      <c r="GU100" s="1500"/>
      <c r="GV100" s="1500"/>
      <c r="GW100" s="1500"/>
      <c r="GX100" s="1452"/>
      <c r="GY100" s="1500"/>
      <c r="GZ100" s="1500"/>
      <c r="HA100" s="1500"/>
      <c r="HB100" s="1452">
        <v>5000</v>
      </c>
      <c r="HC100" s="1452"/>
      <c r="HD100" s="1500"/>
      <c r="HE100" s="1500"/>
      <c r="HF100" s="1500"/>
      <c r="HG100" s="1500"/>
      <c r="HH100" s="1500"/>
      <c r="HI100" s="1500"/>
      <c r="HJ100" s="1500"/>
      <c r="HK100" s="1500"/>
      <c r="HL100" s="1500"/>
      <c r="HM100" s="1500"/>
      <c r="HN100" s="1500"/>
      <c r="HO100" s="1452"/>
      <c r="HP100" s="1500"/>
      <c r="HQ100" s="1500"/>
      <c r="HR100" s="1500"/>
      <c r="HS100" s="1500"/>
      <c r="HT100" s="1500"/>
      <c r="HU100" s="1500"/>
      <c r="HV100" s="1500"/>
      <c r="HW100" s="1500"/>
      <c r="HX100" s="1500"/>
      <c r="HY100" s="1500"/>
      <c r="HZ100" s="1500"/>
      <c r="IA100" s="1500"/>
      <c r="IB100" s="1500"/>
      <c r="IC100" s="1500"/>
      <c r="ID100" s="1500"/>
      <c r="IE100" s="1500"/>
      <c r="IF100" s="1500"/>
      <c r="IG100" s="1500"/>
      <c r="IH100" s="1500"/>
      <c r="II100" s="1500"/>
      <c r="IJ100" s="1500"/>
      <c r="IK100" s="1500"/>
      <c r="IL100" s="1500"/>
      <c r="IM100" s="1500"/>
      <c r="IN100" s="1500"/>
      <c r="IO100" s="1500"/>
      <c r="IP100" s="1500"/>
      <c r="IQ100" s="1500"/>
      <c r="IR100" s="1500"/>
      <c r="IS100" s="1500"/>
      <c r="IT100" s="1500"/>
      <c r="IU100" s="1500"/>
      <c r="IV100" s="1500"/>
      <c r="IW100" s="1500"/>
      <c r="IX100" s="1472">
        <v>18910</v>
      </c>
      <c r="IY100" s="1452">
        <v>6350</v>
      </c>
      <c r="IZ100" s="1500"/>
      <c r="JA100" s="1452"/>
      <c r="JB100" s="1500"/>
      <c r="JC100" s="1500"/>
      <c r="JD100" s="1500"/>
      <c r="JE100" s="1500"/>
      <c r="JF100" s="1500"/>
      <c r="JG100" s="1500"/>
      <c r="JH100" s="1500"/>
      <c r="JI100" s="1500"/>
      <c r="JJ100" s="1500"/>
      <c r="JK100" s="1500"/>
      <c r="JL100" s="1500"/>
      <c r="JM100" s="1500"/>
      <c r="JN100" s="1500"/>
      <c r="JO100" s="1500"/>
      <c r="JP100" s="1500"/>
      <c r="JQ100" s="1477"/>
      <c r="JR100" s="351"/>
      <c r="JS100" s="1400" t="s">
        <v>3195</v>
      </c>
      <c r="JT100" s="1400" t="s">
        <v>2242</v>
      </c>
    </row>
    <row r="101" spans="1:280" x14ac:dyDescent="0.25">
      <c r="A101" s="1367">
        <v>54</v>
      </c>
      <c r="B101" s="1411" t="str">
        <f t="shared" si="19"/>
        <v/>
      </c>
      <c r="C101" s="1435" t="s">
        <v>3196</v>
      </c>
      <c r="D101" s="1436" t="s">
        <v>3197</v>
      </c>
      <c r="E101" s="1452"/>
      <c r="F101" s="1452"/>
      <c r="G101" s="1452"/>
      <c r="H101" s="1452"/>
      <c r="I101" s="1452"/>
      <c r="J101" s="1452"/>
      <c r="K101" s="1452"/>
      <c r="L101" s="1452"/>
      <c r="M101" s="1452"/>
      <c r="N101" s="1452"/>
      <c r="O101" s="1528"/>
      <c r="P101" s="1528"/>
      <c r="Q101" s="1452"/>
      <c r="R101" s="1528"/>
      <c r="S101" s="1452"/>
      <c r="T101" s="1500"/>
      <c r="U101" s="1500"/>
      <c r="V101" s="1500"/>
      <c r="W101" s="1500"/>
      <c r="X101" s="1500"/>
      <c r="Y101" s="1500"/>
      <c r="Z101" s="1500"/>
      <c r="AA101" s="1500"/>
      <c r="AB101" s="1500"/>
      <c r="AC101" s="1452"/>
      <c r="AD101" s="1452"/>
      <c r="AE101" s="1452"/>
      <c r="AF101" s="1452"/>
      <c r="AG101" s="1452"/>
      <c r="AH101" s="1452"/>
      <c r="AI101" s="1500"/>
      <c r="AJ101" s="1452"/>
      <c r="AK101" s="1500"/>
      <c r="AL101" s="1452"/>
      <c r="AM101" s="1500"/>
      <c r="AN101" s="1500"/>
      <c r="AO101" s="1500"/>
      <c r="AP101" s="1500"/>
      <c r="AQ101" s="1500"/>
      <c r="AR101" s="1500"/>
      <c r="AS101" s="1500"/>
      <c r="AT101" s="1500"/>
      <c r="AU101" s="1500"/>
      <c r="AV101" s="1452">
        <v>2750</v>
      </c>
      <c r="AW101" s="1500"/>
      <c r="AX101" s="1500"/>
      <c r="AY101" s="1500"/>
      <c r="AZ101" s="1500"/>
      <c r="BA101" s="1500"/>
      <c r="BB101" s="1500"/>
      <c r="BC101" s="1500"/>
      <c r="BD101" s="1500"/>
      <c r="BE101" s="1500"/>
      <c r="BF101" s="1500"/>
      <c r="BG101" s="1500"/>
      <c r="BH101" s="1500"/>
      <c r="BI101" s="1500"/>
      <c r="BJ101" s="1452"/>
      <c r="BK101" s="1500"/>
      <c r="BL101" s="1500"/>
      <c r="BM101" s="1500"/>
      <c r="BN101" s="1500"/>
      <c r="BO101" s="1500"/>
      <c r="BP101" s="1452"/>
      <c r="BQ101" s="1500"/>
      <c r="BR101" s="1500"/>
      <c r="BS101" s="1500"/>
      <c r="BT101" s="1500"/>
      <c r="BU101" s="1500"/>
      <c r="BV101" s="1500"/>
      <c r="BW101" s="1500"/>
      <c r="BX101" s="1500"/>
      <c r="BY101" s="1500"/>
      <c r="BZ101" s="1500"/>
      <c r="CA101" s="1500"/>
      <c r="CB101" s="1500"/>
      <c r="CC101" s="1500"/>
      <c r="CD101" s="1500"/>
      <c r="CE101" s="1500"/>
      <c r="CF101" s="1452"/>
      <c r="CG101" s="1500"/>
      <c r="CH101" s="1452"/>
      <c r="CI101" s="1500"/>
      <c r="CJ101" s="1500"/>
      <c r="CK101" s="1500"/>
      <c r="CL101" s="1452"/>
      <c r="CM101" s="1500"/>
      <c r="CN101" s="1455">
        <v>180</v>
      </c>
      <c r="CO101" s="1500"/>
      <c r="CP101" s="1500"/>
      <c r="CQ101" s="1500"/>
      <c r="CR101" s="1452"/>
      <c r="CS101" s="1452"/>
      <c r="CT101" s="1500"/>
      <c r="CU101" s="1452"/>
      <c r="CV101" s="1452"/>
      <c r="CW101" s="1500"/>
      <c r="CX101" s="1500"/>
      <c r="CY101" s="1500"/>
      <c r="CZ101" s="1500"/>
      <c r="DA101" s="1500"/>
      <c r="DB101" s="1500"/>
      <c r="DC101" s="1500"/>
      <c r="DD101" s="1500"/>
      <c r="DE101" s="1500"/>
      <c r="DF101" s="1500"/>
      <c r="DG101" s="1500"/>
      <c r="DH101" s="1500"/>
      <c r="DI101" s="1500"/>
      <c r="DJ101" s="1452"/>
      <c r="DK101" s="1500"/>
      <c r="DL101" s="1500"/>
      <c r="DM101" s="1500"/>
      <c r="DN101" s="1500"/>
      <c r="DO101" s="1452"/>
      <c r="DP101" s="1500"/>
      <c r="DQ101" s="1500"/>
      <c r="DR101" s="1500"/>
      <c r="DS101" s="1500"/>
      <c r="DT101" s="1500"/>
      <c r="DU101" s="1500"/>
      <c r="DV101" s="1500"/>
      <c r="DW101" s="1500"/>
      <c r="DX101" s="1500"/>
      <c r="DY101" s="1500"/>
      <c r="DZ101" s="1500"/>
      <c r="EA101" s="1455">
        <v>180</v>
      </c>
      <c r="EB101" s="1500"/>
      <c r="EC101" s="1500"/>
      <c r="ED101" s="1500"/>
      <c r="EE101" s="1500"/>
      <c r="EF101" s="1452"/>
      <c r="EG101" s="1452"/>
      <c r="EH101" s="1500"/>
      <c r="EI101" s="1452">
        <v>1161</v>
      </c>
      <c r="EJ101" s="1500"/>
      <c r="EK101" s="1500"/>
      <c r="EL101" s="1500"/>
      <c r="EM101" s="1452"/>
      <c r="EN101" s="1500"/>
      <c r="EO101" s="1500"/>
      <c r="EP101" s="1500"/>
      <c r="EQ101" s="1500"/>
      <c r="ER101" s="1500"/>
      <c r="ES101" s="1500"/>
      <c r="ET101" s="1500"/>
      <c r="EU101" s="1500"/>
      <c r="EV101" s="1500"/>
      <c r="EW101" s="1500"/>
      <c r="EX101" s="1500"/>
      <c r="EY101" s="1452"/>
      <c r="EZ101" s="1500"/>
      <c r="FA101" s="1500"/>
      <c r="FB101" s="1500"/>
      <c r="FC101" s="1500"/>
      <c r="FD101" s="1500"/>
      <c r="FE101" s="1500"/>
      <c r="FF101" s="1452"/>
      <c r="FG101" s="1500"/>
      <c r="FH101" s="1452"/>
      <c r="FI101" s="1500"/>
      <c r="FJ101" s="1500"/>
      <c r="FK101" s="1500"/>
      <c r="FL101" s="1500"/>
      <c r="FM101" s="1500"/>
      <c r="FN101" s="1500"/>
      <c r="FO101" s="1500"/>
      <c r="FP101" s="1500"/>
      <c r="FQ101" s="1500"/>
      <c r="FR101" s="1500"/>
      <c r="FS101" s="1500"/>
      <c r="FT101" s="1500"/>
      <c r="FU101" s="1500"/>
      <c r="FV101" s="1500"/>
      <c r="FW101" s="1500"/>
      <c r="FX101" s="1500"/>
      <c r="FY101" s="1500"/>
      <c r="FZ101" s="1500"/>
      <c r="GA101" s="1500"/>
      <c r="GB101" s="1500"/>
      <c r="GC101" s="1500"/>
      <c r="GD101" s="1500"/>
      <c r="GE101" s="1500"/>
      <c r="GF101" s="1500"/>
      <c r="GG101" s="1500"/>
      <c r="GH101" s="1500"/>
      <c r="GI101" s="1500"/>
      <c r="GJ101" s="1452"/>
      <c r="GK101" s="1500"/>
      <c r="GL101" s="1500"/>
      <c r="GM101" s="1500"/>
      <c r="GN101" s="1500"/>
      <c r="GO101" s="1500"/>
      <c r="GP101" s="1500"/>
      <c r="GQ101" s="1500"/>
      <c r="GR101" s="1500"/>
      <c r="GS101" s="1500"/>
      <c r="GT101" s="1500"/>
      <c r="GU101" s="1500"/>
      <c r="GV101" s="1500"/>
      <c r="GW101" s="1500"/>
      <c r="GX101" s="1452"/>
      <c r="GY101" s="1500"/>
      <c r="GZ101" s="1500"/>
      <c r="HA101" s="1500"/>
      <c r="HB101" s="1452">
        <v>2750</v>
      </c>
      <c r="HC101" s="1452"/>
      <c r="HD101" s="1500"/>
      <c r="HE101" s="1500"/>
      <c r="HF101" s="1500"/>
      <c r="HG101" s="1500"/>
      <c r="HH101" s="1500"/>
      <c r="HI101" s="1500"/>
      <c r="HJ101" s="1500"/>
      <c r="HK101" s="1500"/>
      <c r="HL101" s="1500"/>
      <c r="HM101" s="1500"/>
      <c r="HN101" s="1500"/>
      <c r="HO101" s="1452"/>
      <c r="HP101" s="1500"/>
      <c r="HQ101" s="1500"/>
      <c r="HR101" s="1500"/>
      <c r="HS101" s="1500"/>
      <c r="HT101" s="1500"/>
      <c r="HU101" s="1472"/>
      <c r="HV101" s="1500"/>
      <c r="HW101" s="1500"/>
      <c r="HX101" s="1500"/>
      <c r="HY101" s="1500"/>
      <c r="HZ101" s="1500"/>
      <c r="IA101" s="1500"/>
      <c r="IB101" s="1500"/>
      <c r="IC101" s="1500"/>
      <c r="ID101" s="1500"/>
      <c r="IE101" s="1500"/>
      <c r="IF101" s="1500"/>
      <c r="IG101" s="1500"/>
      <c r="IH101" s="1500"/>
      <c r="II101" s="1500"/>
      <c r="IJ101" s="1500"/>
      <c r="IK101" s="1500"/>
      <c r="IL101" s="1500"/>
      <c r="IM101" s="1500"/>
      <c r="IN101" s="1500"/>
      <c r="IO101" s="1500"/>
      <c r="IP101" s="1500"/>
      <c r="IQ101" s="1500"/>
      <c r="IR101" s="1500"/>
      <c r="IS101" s="1500"/>
      <c r="IT101" s="1500"/>
      <c r="IU101" s="1472">
        <v>780</v>
      </c>
      <c r="IV101" s="1500"/>
      <c r="IW101" s="1500"/>
      <c r="IX101" s="1500"/>
      <c r="IY101" s="1452"/>
      <c r="IZ101" s="1500"/>
      <c r="JA101" s="1452"/>
      <c r="JB101" s="1500"/>
      <c r="JC101" s="1500"/>
      <c r="JD101" s="1500"/>
      <c r="JE101" s="1500"/>
      <c r="JF101" s="1500"/>
      <c r="JG101" s="1500"/>
      <c r="JH101" s="1500"/>
      <c r="JI101" s="1500"/>
      <c r="JJ101" s="1500"/>
      <c r="JK101" s="1500"/>
      <c r="JL101" s="1500"/>
      <c r="JM101" s="1500"/>
      <c r="JN101" s="1500"/>
      <c r="JO101" s="1500"/>
      <c r="JP101" s="1500"/>
      <c r="JQ101" s="1477"/>
      <c r="JR101" s="351"/>
      <c r="JS101" s="1400" t="s">
        <v>3139</v>
      </c>
      <c r="JT101" s="1400" t="s">
        <v>2242</v>
      </c>
    </row>
    <row r="102" spans="1:280" x14ac:dyDescent="0.25">
      <c r="A102" s="1367">
        <v>55</v>
      </c>
      <c r="B102" s="1411" t="str">
        <f t="shared" si="19"/>
        <v/>
      </c>
      <c r="C102" s="1435" t="s">
        <v>3198</v>
      </c>
      <c r="D102" s="1436" t="s">
        <v>3199</v>
      </c>
      <c r="E102" s="1452"/>
      <c r="F102" s="1452"/>
      <c r="G102" s="1452"/>
      <c r="H102" s="1452"/>
      <c r="I102" s="1452"/>
      <c r="J102" s="1452"/>
      <c r="K102" s="1452"/>
      <c r="L102" s="1452"/>
      <c r="M102" s="1452"/>
      <c r="N102" s="1452"/>
      <c r="O102" s="1528"/>
      <c r="P102" s="1528"/>
      <c r="Q102" s="1452"/>
      <c r="R102" s="1528"/>
      <c r="S102" s="1452"/>
      <c r="T102" s="1500"/>
      <c r="U102" s="1500"/>
      <c r="V102" s="1500"/>
      <c r="W102" s="1500"/>
      <c r="X102" s="1500"/>
      <c r="Y102" s="1500"/>
      <c r="Z102" s="1500"/>
      <c r="AA102" s="1500"/>
      <c r="AB102" s="1500"/>
      <c r="AC102" s="1452"/>
      <c r="AD102" s="1452"/>
      <c r="AE102" s="1452"/>
      <c r="AF102" s="1452"/>
      <c r="AG102" s="1452"/>
      <c r="AH102" s="1452"/>
      <c r="AI102" s="1500"/>
      <c r="AJ102" s="1452"/>
      <c r="AK102" s="1500"/>
      <c r="AL102" s="1452"/>
      <c r="AM102" s="1500"/>
      <c r="AN102" s="1500"/>
      <c r="AO102" s="1500"/>
      <c r="AP102" s="1500"/>
      <c r="AQ102" s="1500"/>
      <c r="AR102" s="1500"/>
      <c r="AS102" s="1500"/>
      <c r="AT102" s="1500"/>
      <c r="AU102" s="1500"/>
      <c r="AV102" s="1452"/>
      <c r="AW102" s="1500"/>
      <c r="AX102" s="1500"/>
      <c r="AY102" s="1500"/>
      <c r="AZ102" s="1500"/>
      <c r="BA102" s="1500"/>
      <c r="BB102" s="1500"/>
      <c r="BC102" s="1500"/>
      <c r="BD102" s="1500"/>
      <c r="BE102" s="1500"/>
      <c r="BF102" s="1500"/>
      <c r="BG102" s="1500"/>
      <c r="BH102" s="1500"/>
      <c r="BI102" s="1500"/>
      <c r="BJ102" s="1454"/>
      <c r="BK102" s="1500"/>
      <c r="BL102" s="1500"/>
      <c r="BM102" s="1500"/>
      <c r="BN102" s="1500"/>
      <c r="BO102" s="1500"/>
      <c r="BP102" s="1452"/>
      <c r="BQ102" s="1500"/>
      <c r="BR102" s="1500"/>
      <c r="BS102" s="1500"/>
      <c r="BT102" s="1500"/>
      <c r="BU102" s="1500"/>
      <c r="BV102" s="1500"/>
      <c r="BW102" s="1500"/>
      <c r="BX102" s="1500"/>
      <c r="BY102" s="1500"/>
      <c r="BZ102" s="1500"/>
      <c r="CA102" s="1500"/>
      <c r="CB102" s="1500"/>
      <c r="CC102" s="1500"/>
      <c r="CD102" s="1500"/>
      <c r="CE102" s="1500"/>
      <c r="CF102" s="1452"/>
      <c r="CG102" s="1500"/>
      <c r="CH102" s="1452"/>
      <c r="CI102" s="1500"/>
      <c r="CJ102" s="1500"/>
      <c r="CK102" s="1500"/>
      <c r="CL102" s="1452">
        <v>1800</v>
      </c>
      <c r="CM102" s="1500"/>
      <c r="CN102" s="1455">
        <v>1792</v>
      </c>
      <c r="CO102" s="1500"/>
      <c r="CP102" s="1500"/>
      <c r="CQ102" s="1500"/>
      <c r="CR102" s="1452">
        <v>1800</v>
      </c>
      <c r="CS102" s="1452">
        <v>1800</v>
      </c>
      <c r="CT102" s="1500"/>
      <c r="CU102" s="1452"/>
      <c r="CV102" s="1452"/>
      <c r="CW102" s="1500"/>
      <c r="CX102" s="1500"/>
      <c r="CY102" s="1500"/>
      <c r="CZ102" s="1500"/>
      <c r="DA102" s="1500"/>
      <c r="DB102" s="1500"/>
      <c r="DC102" s="1500"/>
      <c r="DD102" s="1500"/>
      <c r="DE102" s="1500"/>
      <c r="DF102" s="1500"/>
      <c r="DG102" s="1500"/>
      <c r="DH102" s="1500"/>
      <c r="DI102" s="1500"/>
      <c r="DJ102" s="1452"/>
      <c r="DK102" s="1500"/>
      <c r="DL102" s="1500"/>
      <c r="DM102" s="1500"/>
      <c r="DN102" s="1500"/>
      <c r="DO102" s="1452"/>
      <c r="DP102" s="1500"/>
      <c r="DQ102" s="1500"/>
      <c r="DR102" s="1500"/>
      <c r="DS102" s="1500"/>
      <c r="DT102" s="1500"/>
      <c r="DU102" s="1500"/>
      <c r="DV102" s="1500"/>
      <c r="DW102" s="1500"/>
      <c r="DX102" s="1500"/>
      <c r="DY102" s="1500"/>
      <c r="DZ102" s="1500"/>
      <c r="EA102" s="1455">
        <v>1792</v>
      </c>
      <c r="EB102" s="1500"/>
      <c r="EC102" s="1500"/>
      <c r="ED102" s="1500"/>
      <c r="EE102" s="1500"/>
      <c r="EF102" s="1452">
        <v>2000</v>
      </c>
      <c r="EG102" s="1452"/>
      <c r="EH102" s="1500"/>
      <c r="EI102" s="1452"/>
      <c r="EJ102" s="1500"/>
      <c r="EK102" s="1500"/>
      <c r="EL102" s="1500"/>
      <c r="EM102" s="1452">
        <v>1800</v>
      </c>
      <c r="EN102" s="1500"/>
      <c r="EO102" s="1500"/>
      <c r="EP102" s="1500"/>
      <c r="EQ102" s="1500"/>
      <c r="ER102" s="1500"/>
      <c r="ES102" s="1500"/>
      <c r="ET102" s="1500"/>
      <c r="EU102" s="1500"/>
      <c r="EV102" s="1500"/>
      <c r="EW102" s="1500"/>
      <c r="EX102" s="1500"/>
      <c r="EY102" s="1452">
        <v>1800</v>
      </c>
      <c r="EZ102" s="1500"/>
      <c r="FA102" s="1500"/>
      <c r="FB102" s="1500"/>
      <c r="FC102" s="1500"/>
      <c r="FD102" s="1500"/>
      <c r="FE102" s="1500"/>
      <c r="FF102" s="1452"/>
      <c r="FG102" s="1500"/>
      <c r="FH102" s="1452"/>
      <c r="FI102" s="1500"/>
      <c r="FJ102" s="1500"/>
      <c r="FK102" s="1500"/>
      <c r="FL102" s="1500"/>
      <c r="FM102" s="1500"/>
      <c r="FN102" s="1500"/>
      <c r="FO102" s="1500"/>
      <c r="FP102" s="1500"/>
      <c r="FQ102" s="1500"/>
      <c r="FR102" s="1500"/>
      <c r="FS102" s="1500"/>
      <c r="FT102" s="1500"/>
      <c r="FU102" s="1500"/>
      <c r="FV102" s="1500"/>
      <c r="FW102" s="1500"/>
      <c r="FX102" s="1500"/>
      <c r="FY102" s="1500"/>
      <c r="FZ102" s="1500"/>
      <c r="GA102" s="1500"/>
      <c r="GB102" s="1500"/>
      <c r="GC102" s="1500"/>
      <c r="GD102" s="1500"/>
      <c r="GE102" s="1500"/>
      <c r="GF102" s="1500"/>
      <c r="GG102" s="1500"/>
      <c r="GH102" s="1500"/>
      <c r="GI102" s="1500"/>
      <c r="GJ102" s="1452"/>
      <c r="GK102" s="1500"/>
      <c r="GL102" s="1500"/>
      <c r="GM102" s="1500"/>
      <c r="GN102" s="1500"/>
      <c r="GO102" s="1500"/>
      <c r="GP102" s="1500"/>
      <c r="GQ102" s="1500"/>
      <c r="GR102" s="1500"/>
      <c r="GS102" s="1500"/>
      <c r="GT102" s="1500"/>
      <c r="GU102" s="1500"/>
      <c r="GV102" s="1500"/>
      <c r="GW102" s="1500"/>
      <c r="GX102" s="1452">
        <v>5000</v>
      </c>
      <c r="GY102" s="1500"/>
      <c r="GZ102" s="1500"/>
      <c r="HA102" s="1500"/>
      <c r="HB102" s="1452"/>
      <c r="HC102" s="1452"/>
      <c r="HD102" s="1500"/>
      <c r="HE102" s="1500"/>
      <c r="HF102" s="1500"/>
      <c r="HG102" s="1500"/>
      <c r="HH102" s="1500"/>
      <c r="HI102" s="1500"/>
      <c r="HJ102" s="1500"/>
      <c r="HK102" s="1500"/>
      <c r="HL102" s="1500"/>
      <c r="HM102" s="1500"/>
      <c r="HN102" s="1500"/>
      <c r="HO102" s="1452"/>
      <c r="HP102" s="1500"/>
      <c r="HQ102" s="1500"/>
      <c r="HR102" s="1500"/>
      <c r="HS102" s="1500"/>
      <c r="HT102" s="1500"/>
      <c r="HU102" s="1500"/>
      <c r="HV102" s="1500"/>
      <c r="HW102" s="1500"/>
      <c r="HX102" s="1500"/>
      <c r="HY102" s="1500"/>
      <c r="HZ102" s="1500"/>
      <c r="IA102" s="1500"/>
      <c r="IB102" s="1500"/>
      <c r="IC102" s="1500"/>
      <c r="ID102" s="1500"/>
      <c r="IE102" s="1500"/>
      <c r="IF102" s="1500"/>
      <c r="IG102" s="1500"/>
      <c r="IH102" s="1500"/>
      <c r="II102" s="1500"/>
      <c r="IJ102" s="1500"/>
      <c r="IK102" s="1500"/>
      <c r="IL102" s="1500"/>
      <c r="IM102" s="1500"/>
      <c r="IN102" s="1500"/>
      <c r="IO102" s="1500"/>
      <c r="IP102" s="1500"/>
      <c r="IQ102" s="1500"/>
      <c r="IR102" s="1500"/>
      <c r="IS102" s="1500"/>
      <c r="IT102" s="1500"/>
      <c r="IU102" s="1500"/>
      <c r="IV102" s="1500"/>
      <c r="IW102" s="1500"/>
      <c r="IX102" s="1500"/>
      <c r="IY102" s="1452"/>
      <c r="IZ102" s="1500"/>
      <c r="JA102" s="1452">
        <v>1800</v>
      </c>
      <c r="JB102" s="1500"/>
      <c r="JC102" s="1500"/>
      <c r="JD102" s="1500"/>
      <c r="JE102" s="1500"/>
      <c r="JF102" s="1500"/>
      <c r="JG102" s="1500"/>
      <c r="JH102" s="1500"/>
      <c r="JI102" s="1500"/>
      <c r="JJ102" s="1500"/>
      <c r="JK102" s="1500"/>
      <c r="JL102" s="1500"/>
      <c r="JM102" s="1500"/>
      <c r="JN102" s="1500"/>
      <c r="JO102" s="1500"/>
      <c r="JP102" s="1500"/>
      <c r="JQ102" s="1477"/>
      <c r="JR102" s="351"/>
      <c r="JS102" s="1400" t="s">
        <v>3139</v>
      </c>
      <c r="JT102" s="1400" t="s">
        <v>2242</v>
      </c>
    </row>
    <row r="103" spans="1:280" x14ac:dyDescent="0.25">
      <c r="A103" s="1367">
        <v>56</v>
      </c>
      <c r="B103" s="1411" t="str">
        <f t="shared" si="19"/>
        <v/>
      </c>
      <c r="C103" s="1435" t="s">
        <v>3200</v>
      </c>
      <c r="D103" s="1436" t="s">
        <v>3201</v>
      </c>
      <c r="E103" s="1452"/>
      <c r="F103" s="1452"/>
      <c r="G103" s="1452"/>
      <c r="H103" s="1452"/>
      <c r="I103" s="1452"/>
      <c r="J103" s="1452"/>
      <c r="K103" s="1452"/>
      <c r="L103" s="1452"/>
      <c r="M103" s="1452"/>
      <c r="N103" s="1452"/>
      <c r="O103" s="1528"/>
      <c r="P103" s="1528"/>
      <c r="Q103" s="1452"/>
      <c r="R103" s="1528"/>
      <c r="S103" s="1452"/>
      <c r="T103" s="1500"/>
      <c r="U103" s="1500"/>
      <c r="V103" s="1500"/>
      <c r="W103" s="1500"/>
      <c r="X103" s="1500"/>
      <c r="Y103" s="1500"/>
      <c r="Z103" s="1500"/>
      <c r="AA103" s="1500"/>
      <c r="AB103" s="1500"/>
      <c r="AC103" s="1452"/>
      <c r="AD103" s="1452"/>
      <c r="AE103" s="1452"/>
      <c r="AF103" s="1452"/>
      <c r="AG103" s="1452"/>
      <c r="AH103" s="1452"/>
      <c r="AI103" s="1500"/>
      <c r="AJ103" s="1452"/>
      <c r="AK103" s="1500"/>
      <c r="AL103" s="1452"/>
      <c r="AM103" s="1500"/>
      <c r="AN103" s="1500"/>
      <c r="AO103" s="1500"/>
      <c r="AP103" s="1500"/>
      <c r="AQ103" s="1500"/>
      <c r="AR103" s="1500"/>
      <c r="AS103" s="1500"/>
      <c r="AT103" s="1500"/>
      <c r="AU103" s="1500"/>
      <c r="AV103" s="1452"/>
      <c r="AW103" s="1500"/>
      <c r="AX103" s="1500"/>
      <c r="AY103" s="1500"/>
      <c r="AZ103" s="1500"/>
      <c r="BA103" s="1500"/>
      <c r="BB103" s="1500"/>
      <c r="BC103" s="1500"/>
      <c r="BD103" s="1500"/>
      <c r="BE103" s="1500"/>
      <c r="BF103" s="1500"/>
      <c r="BG103" s="1500"/>
      <c r="BH103" s="1500"/>
      <c r="BI103" s="1500"/>
      <c r="BJ103" s="1452"/>
      <c r="BK103" s="1500"/>
      <c r="BL103" s="1500"/>
      <c r="BM103" s="1500"/>
      <c r="BN103" s="1500"/>
      <c r="BO103" s="1500"/>
      <c r="BP103" s="1452"/>
      <c r="BQ103" s="1500"/>
      <c r="BR103" s="1500"/>
      <c r="BS103" s="1500"/>
      <c r="BT103" s="1500"/>
      <c r="BU103" s="1500"/>
      <c r="BV103" s="1500"/>
      <c r="BW103" s="1500"/>
      <c r="BX103" s="1500"/>
      <c r="BY103" s="1500"/>
      <c r="BZ103" s="1500"/>
      <c r="CA103" s="1500"/>
      <c r="CB103" s="1500"/>
      <c r="CC103" s="1500"/>
      <c r="CD103" s="1500"/>
      <c r="CE103" s="1500"/>
      <c r="CF103" s="1452"/>
      <c r="CG103" s="1500"/>
      <c r="CH103" s="1452"/>
      <c r="CI103" s="1500"/>
      <c r="CJ103" s="1500"/>
      <c r="CK103" s="1500"/>
      <c r="CL103" s="1452"/>
      <c r="CM103" s="1500"/>
      <c r="CN103" s="1500"/>
      <c r="CO103" s="1455">
        <v>11117</v>
      </c>
      <c r="CP103" s="1500"/>
      <c r="CQ103" s="1500"/>
      <c r="CR103" s="1452"/>
      <c r="CS103" s="1452"/>
      <c r="CT103" s="1500"/>
      <c r="CU103" s="1452">
        <v>4500</v>
      </c>
      <c r="CV103" s="1452">
        <v>4500</v>
      </c>
      <c r="CW103" s="1500"/>
      <c r="CX103" s="1500"/>
      <c r="CY103" s="1500"/>
      <c r="CZ103" s="1500"/>
      <c r="DA103" s="1500"/>
      <c r="DB103" s="1500"/>
      <c r="DC103" s="1500">
        <v>4500</v>
      </c>
      <c r="DD103" s="1500"/>
      <c r="DE103" s="1500"/>
      <c r="DF103" s="1500"/>
      <c r="DG103" s="1500"/>
      <c r="DH103" s="1500"/>
      <c r="DI103" s="1500"/>
      <c r="DJ103" s="1452">
        <v>4500</v>
      </c>
      <c r="DK103" s="1500"/>
      <c r="DL103" s="1500"/>
      <c r="DM103" s="1500"/>
      <c r="DN103" s="1500"/>
      <c r="DO103" s="1452"/>
      <c r="DP103" s="1500"/>
      <c r="DQ103" s="1500"/>
      <c r="DR103" s="1500"/>
      <c r="DS103" s="1500"/>
      <c r="DT103" s="1500"/>
      <c r="DU103" s="1500"/>
      <c r="DV103" s="1500"/>
      <c r="DW103" s="1500"/>
      <c r="DX103" s="1500"/>
      <c r="DY103" s="1500"/>
      <c r="DZ103" s="1500"/>
      <c r="EA103" s="1455"/>
      <c r="EB103" s="1500"/>
      <c r="EC103" s="1500"/>
      <c r="ED103" s="1500"/>
      <c r="EE103" s="1500"/>
      <c r="EF103" s="1452">
        <v>3000</v>
      </c>
      <c r="EG103" s="1452"/>
      <c r="EH103" s="1500"/>
      <c r="EI103" s="1452"/>
      <c r="EJ103" s="1500"/>
      <c r="EK103" s="1500"/>
      <c r="EL103" s="1500"/>
      <c r="EM103" s="1452"/>
      <c r="EN103" s="1500"/>
      <c r="EO103" s="1500"/>
      <c r="EP103" s="1500"/>
      <c r="EQ103" s="1500"/>
      <c r="ER103" s="1500"/>
      <c r="ES103" s="1500"/>
      <c r="ET103" s="1500"/>
      <c r="EU103" s="1500"/>
      <c r="EV103" s="1500"/>
      <c r="EW103" s="1500"/>
      <c r="EX103" s="1500"/>
      <c r="EY103" s="1452"/>
      <c r="EZ103" s="1500"/>
      <c r="FA103" s="1500"/>
      <c r="FB103" s="1500"/>
      <c r="FC103" s="1500"/>
      <c r="FD103" s="1500"/>
      <c r="FE103" s="1500"/>
      <c r="FF103" s="1452"/>
      <c r="FG103" s="1500"/>
      <c r="FH103" s="1452">
        <v>4500</v>
      </c>
      <c r="FI103" s="1500"/>
      <c r="FJ103" s="1500"/>
      <c r="FK103" s="1500"/>
      <c r="FL103" s="1500"/>
      <c r="FM103" s="1500"/>
      <c r="FN103" s="1500"/>
      <c r="FO103" s="1500"/>
      <c r="FP103" s="1500"/>
      <c r="FQ103" s="1500"/>
      <c r="FR103" s="1500"/>
      <c r="FS103" s="1500"/>
      <c r="FT103" s="1500"/>
      <c r="FU103" s="1500"/>
      <c r="FV103" s="1500"/>
      <c r="FW103" s="1500"/>
      <c r="FX103" s="1500"/>
      <c r="FY103" s="1500"/>
      <c r="FZ103" s="1500"/>
      <c r="GA103" s="1500"/>
      <c r="GB103" s="1500"/>
      <c r="GC103" s="1500"/>
      <c r="GD103" s="1500"/>
      <c r="GE103" s="1500"/>
      <c r="GF103" s="1500"/>
      <c r="GG103" s="1500"/>
      <c r="GH103" s="1500"/>
      <c r="GI103" s="1500"/>
      <c r="GJ103" s="1452"/>
      <c r="GK103" s="1500"/>
      <c r="GL103" s="1500"/>
      <c r="GM103" s="1500"/>
      <c r="GN103" s="1500"/>
      <c r="GO103" s="1500"/>
      <c r="GP103" s="1500"/>
      <c r="GQ103" s="1500"/>
      <c r="GR103" s="1500"/>
      <c r="GS103" s="1500"/>
      <c r="GT103" s="1500"/>
      <c r="GU103" s="1500"/>
      <c r="GV103" s="1500"/>
      <c r="GW103" s="1500"/>
      <c r="GX103" s="1452"/>
      <c r="GY103" s="1500"/>
      <c r="GZ103" s="1500"/>
      <c r="HA103" s="1500"/>
      <c r="HB103" s="1452"/>
      <c r="HC103" s="1452">
        <v>4500</v>
      </c>
      <c r="HD103" s="1500"/>
      <c r="HE103" s="1500"/>
      <c r="HF103" s="1500"/>
      <c r="HG103" s="1500"/>
      <c r="HH103" s="1500"/>
      <c r="HI103" s="1500"/>
      <c r="HJ103" s="1500"/>
      <c r="HK103" s="1500"/>
      <c r="HL103" s="1500"/>
      <c r="HM103" s="1500"/>
      <c r="HN103" s="1500"/>
      <c r="HO103" s="1452"/>
      <c r="HP103" s="1500"/>
      <c r="HQ103" s="1500"/>
      <c r="HR103" s="1500"/>
      <c r="HS103" s="1500"/>
      <c r="HT103" s="1500"/>
      <c r="HU103" s="1500"/>
      <c r="HV103" s="1500"/>
      <c r="HW103" s="1500"/>
      <c r="HX103" s="1500"/>
      <c r="HY103" s="1500"/>
      <c r="HZ103" s="1500"/>
      <c r="IA103" s="1500"/>
      <c r="IB103" s="1500"/>
      <c r="IC103" s="1500"/>
      <c r="ID103" s="1500"/>
      <c r="IE103" s="1500"/>
      <c r="IF103" s="1500"/>
      <c r="IG103" s="1500"/>
      <c r="IH103" s="1500"/>
      <c r="II103" s="1500"/>
      <c r="IJ103" s="1500"/>
      <c r="IK103" s="1500"/>
      <c r="IL103" s="1500"/>
      <c r="IM103" s="1500"/>
      <c r="IN103" s="1500"/>
      <c r="IO103" s="1500"/>
      <c r="IP103" s="1500"/>
      <c r="IQ103" s="1500"/>
      <c r="IR103" s="1500"/>
      <c r="IS103" s="1500"/>
      <c r="IT103" s="1500"/>
      <c r="IU103" s="1500"/>
      <c r="IV103" s="1500"/>
      <c r="IW103" s="1500"/>
      <c r="IX103" s="1500"/>
      <c r="IY103" s="1452"/>
      <c r="IZ103" s="1500"/>
      <c r="JA103" s="1452"/>
      <c r="JB103" s="1500"/>
      <c r="JC103" s="1500"/>
      <c r="JD103" s="1500"/>
      <c r="JE103" s="1500"/>
      <c r="JF103" s="1500"/>
      <c r="JG103" s="1500"/>
      <c r="JH103" s="1500"/>
      <c r="JI103" s="1500"/>
      <c r="JJ103" s="1500"/>
      <c r="JK103" s="1500"/>
      <c r="JL103" s="1500"/>
      <c r="JM103" s="1500"/>
      <c r="JN103" s="1500"/>
      <c r="JO103" s="1500"/>
      <c r="JP103" s="1500"/>
      <c r="JQ103" s="1477"/>
      <c r="JR103" s="351"/>
      <c r="JS103" s="1400" t="s">
        <v>3139</v>
      </c>
      <c r="JT103" s="1400" t="s">
        <v>2242</v>
      </c>
    </row>
    <row r="104" spans="1:280" x14ac:dyDescent="0.25">
      <c r="A104" s="1367">
        <v>57</v>
      </c>
      <c r="B104" s="1411" t="str">
        <f t="shared" si="19"/>
        <v/>
      </c>
      <c r="C104" s="1435" t="s">
        <v>3202</v>
      </c>
      <c r="D104" s="1436" t="s">
        <v>3203</v>
      </c>
      <c r="E104" s="1452"/>
      <c r="F104" s="1452"/>
      <c r="G104" s="1452"/>
      <c r="H104" s="1452"/>
      <c r="I104" s="1452"/>
      <c r="J104" s="1452"/>
      <c r="K104" s="1452"/>
      <c r="L104" s="1452"/>
      <c r="M104" s="1452"/>
      <c r="N104" s="1452"/>
      <c r="O104" s="1528"/>
      <c r="P104" s="1528"/>
      <c r="Q104" s="1452"/>
      <c r="R104" s="1528"/>
      <c r="S104" s="1452"/>
      <c r="T104" s="1500"/>
      <c r="U104" s="1500"/>
      <c r="V104" s="1500"/>
      <c r="W104" s="1500"/>
      <c r="X104" s="1500"/>
      <c r="Y104" s="1500"/>
      <c r="Z104" s="1500"/>
      <c r="AA104" s="1500"/>
      <c r="AB104" s="1500"/>
      <c r="AC104" s="1452"/>
      <c r="AD104" s="1452"/>
      <c r="AE104" s="1452"/>
      <c r="AF104" s="1452"/>
      <c r="AG104" s="1452"/>
      <c r="AH104" s="1452"/>
      <c r="AI104" s="1500"/>
      <c r="AJ104" s="1452"/>
      <c r="AK104" s="1500"/>
      <c r="AL104" s="1452"/>
      <c r="AM104" s="1500"/>
      <c r="AN104" s="1500"/>
      <c r="AO104" s="1500"/>
      <c r="AP104" s="1500"/>
      <c r="AQ104" s="1500"/>
      <c r="AR104" s="1500"/>
      <c r="AS104" s="1500"/>
      <c r="AT104" s="1500"/>
      <c r="AU104" s="1500"/>
      <c r="AV104" s="1452"/>
      <c r="AW104" s="1500"/>
      <c r="AX104" s="1500"/>
      <c r="AY104" s="1500"/>
      <c r="AZ104" s="1500"/>
      <c r="BA104" s="1500"/>
      <c r="BB104" s="1500"/>
      <c r="BC104" s="1500"/>
      <c r="BD104" s="1500"/>
      <c r="BE104" s="1500"/>
      <c r="BF104" s="1500"/>
      <c r="BG104" s="1500"/>
      <c r="BH104" s="1500"/>
      <c r="BI104" s="1500"/>
      <c r="BJ104" s="1454"/>
      <c r="BK104" s="1500"/>
      <c r="BL104" s="1500"/>
      <c r="BM104" s="1500"/>
      <c r="BN104" s="1500"/>
      <c r="BO104" s="1500"/>
      <c r="BP104" s="1452"/>
      <c r="BQ104" s="1500"/>
      <c r="BR104" s="1500"/>
      <c r="BS104" s="1500"/>
      <c r="BT104" s="1500"/>
      <c r="BU104" s="1500"/>
      <c r="BV104" s="1500"/>
      <c r="BW104" s="1500"/>
      <c r="BX104" s="1500"/>
      <c r="BY104" s="1500"/>
      <c r="BZ104" s="1500"/>
      <c r="CA104" s="1500"/>
      <c r="CB104" s="1500"/>
      <c r="CC104" s="1500"/>
      <c r="CD104" s="1455">
        <v>28763</v>
      </c>
      <c r="CE104" s="1500"/>
      <c r="CF104" s="1452"/>
      <c r="CG104" s="1500"/>
      <c r="CH104" s="1452"/>
      <c r="CI104" s="1500"/>
      <c r="CJ104" s="1500"/>
      <c r="CK104" s="1500"/>
      <c r="CL104" s="1452"/>
      <c r="CM104" s="1500"/>
      <c r="CN104" s="1500"/>
      <c r="CO104" s="1455"/>
      <c r="CP104" s="1500"/>
      <c r="CQ104" s="1500"/>
      <c r="CR104" s="1452"/>
      <c r="CS104" s="1452"/>
      <c r="CT104" s="1500"/>
      <c r="CU104" s="1452"/>
      <c r="CV104" s="1452"/>
      <c r="CW104" s="1500"/>
      <c r="CX104" s="1500"/>
      <c r="CY104" s="1500"/>
      <c r="CZ104" s="1500"/>
      <c r="DA104" s="1500"/>
      <c r="DB104" s="1500"/>
      <c r="DC104" s="1500"/>
      <c r="DD104" s="1500"/>
      <c r="DE104" s="1500"/>
      <c r="DF104" s="1500"/>
      <c r="DG104" s="1500"/>
      <c r="DH104" s="1500"/>
      <c r="DI104" s="1500"/>
      <c r="DJ104" s="1452"/>
      <c r="DK104" s="1500"/>
      <c r="DL104" s="1500"/>
      <c r="DM104" s="1500"/>
      <c r="DN104" s="1500"/>
      <c r="DO104" s="1452"/>
      <c r="DP104" s="1500"/>
      <c r="DQ104" s="1500"/>
      <c r="DR104" s="1500"/>
      <c r="DS104" s="1500"/>
      <c r="DT104" s="1500"/>
      <c r="DU104" s="1500"/>
      <c r="DV104" s="1500"/>
      <c r="DW104" s="1500"/>
      <c r="DX104" s="1500"/>
      <c r="DY104" s="1500"/>
      <c r="DZ104" s="1500"/>
      <c r="EA104" s="1455"/>
      <c r="EB104" s="1500"/>
      <c r="EC104" s="1500"/>
      <c r="ED104" s="1500"/>
      <c r="EE104" s="1500"/>
      <c r="EF104" s="1452"/>
      <c r="EG104" s="1452"/>
      <c r="EH104" s="1500"/>
      <c r="EI104" s="1452"/>
      <c r="EJ104" s="1500"/>
      <c r="EK104" s="1500"/>
      <c r="EL104" s="1500"/>
      <c r="EM104" s="1452"/>
      <c r="EN104" s="1500"/>
      <c r="EO104" s="1500"/>
      <c r="EP104" s="1500"/>
      <c r="EQ104" s="1500"/>
      <c r="ER104" s="1500"/>
      <c r="ES104" s="1500"/>
      <c r="ET104" s="1500"/>
      <c r="EU104" s="1500"/>
      <c r="EV104" s="1500"/>
      <c r="EW104" s="1500"/>
      <c r="EX104" s="1500"/>
      <c r="EY104" s="1452"/>
      <c r="EZ104" s="1500"/>
      <c r="FA104" s="1500"/>
      <c r="FB104" s="1500"/>
      <c r="FC104" s="1500"/>
      <c r="FD104" s="1500"/>
      <c r="FE104" s="1500"/>
      <c r="FF104" s="1452"/>
      <c r="FG104" s="1500"/>
      <c r="FH104" s="1452"/>
      <c r="FI104" s="1500"/>
      <c r="FJ104" s="1500"/>
      <c r="FK104" s="1500"/>
      <c r="FL104" s="1500"/>
      <c r="FM104" s="1500"/>
      <c r="FN104" s="1500"/>
      <c r="FO104" s="1500"/>
      <c r="FP104" s="1500"/>
      <c r="FQ104" s="1500"/>
      <c r="FR104" s="1500"/>
      <c r="FS104" s="1500"/>
      <c r="FT104" s="1500"/>
      <c r="FU104" s="1500"/>
      <c r="FV104" s="1500"/>
      <c r="FW104" s="1500"/>
      <c r="FX104" s="1500"/>
      <c r="FY104" s="1500"/>
      <c r="FZ104" s="1500"/>
      <c r="GA104" s="1500"/>
      <c r="GB104" s="1500"/>
      <c r="GC104" s="1500"/>
      <c r="GD104" s="1500"/>
      <c r="GE104" s="1500"/>
      <c r="GF104" s="1500"/>
      <c r="GG104" s="1500"/>
      <c r="GH104" s="1500"/>
      <c r="GI104" s="1500"/>
      <c r="GJ104" s="1452"/>
      <c r="GK104" s="1500"/>
      <c r="GL104" s="1500"/>
      <c r="GM104" s="1500"/>
      <c r="GN104" s="1500"/>
      <c r="GO104" s="1500"/>
      <c r="GP104" s="1500"/>
      <c r="GQ104" s="1500"/>
      <c r="GR104" s="1500"/>
      <c r="GS104" s="1500"/>
      <c r="GT104" s="1500"/>
      <c r="GU104" s="1500"/>
      <c r="GV104" s="1500"/>
      <c r="GW104" s="1500"/>
      <c r="GX104" s="1452"/>
      <c r="GY104" s="1500"/>
      <c r="GZ104" s="1500"/>
      <c r="HA104" s="1500"/>
      <c r="HB104" s="1452"/>
      <c r="HC104" s="1452"/>
      <c r="HD104" s="1500"/>
      <c r="HE104" s="1500"/>
      <c r="HF104" s="1500"/>
      <c r="HG104" s="1500"/>
      <c r="HH104" s="1500"/>
      <c r="HI104" s="1500"/>
      <c r="HJ104" s="1500"/>
      <c r="HK104" s="1500"/>
      <c r="HL104" s="1500"/>
      <c r="HM104" s="1500"/>
      <c r="HN104" s="1500"/>
      <c r="HO104" s="1452"/>
      <c r="HP104" s="1500"/>
      <c r="HQ104" s="1500"/>
      <c r="HR104" s="1500"/>
      <c r="HS104" s="1500"/>
      <c r="HT104" s="1500"/>
      <c r="HU104" s="1500"/>
      <c r="HV104" s="1500"/>
      <c r="HW104" s="1500"/>
      <c r="HX104" s="1500"/>
      <c r="HY104" s="1500"/>
      <c r="HZ104" s="1500"/>
      <c r="IA104" s="1500"/>
      <c r="IB104" s="1500"/>
      <c r="IC104" s="1500"/>
      <c r="ID104" s="1500"/>
      <c r="IE104" s="1500"/>
      <c r="IF104" s="1500"/>
      <c r="IG104" s="1500"/>
      <c r="IH104" s="1500"/>
      <c r="II104" s="1500"/>
      <c r="IJ104" s="1500"/>
      <c r="IK104" s="1500"/>
      <c r="IL104" s="1500"/>
      <c r="IM104" s="1500"/>
      <c r="IN104" s="1500"/>
      <c r="IO104" s="1500"/>
      <c r="IP104" s="1500"/>
      <c r="IQ104" s="1500"/>
      <c r="IR104" s="1500"/>
      <c r="IS104" s="1500"/>
      <c r="IT104" s="1500"/>
      <c r="IU104" s="1500"/>
      <c r="IV104" s="1500"/>
      <c r="IW104" s="1500"/>
      <c r="IX104" s="1500"/>
      <c r="IY104" s="1452"/>
      <c r="IZ104" s="1500"/>
      <c r="JA104" s="1452"/>
      <c r="JB104" s="1500"/>
      <c r="JC104" s="1500"/>
      <c r="JD104" s="1500"/>
      <c r="JE104" s="1500"/>
      <c r="JF104" s="1500"/>
      <c r="JG104" s="1500"/>
      <c r="JH104" s="1500"/>
      <c r="JI104" s="1500"/>
      <c r="JJ104" s="1500"/>
      <c r="JK104" s="1500"/>
      <c r="JL104" s="1500"/>
      <c r="JM104" s="1500"/>
      <c r="JN104" s="1500"/>
      <c r="JO104" s="1500"/>
      <c r="JP104" s="1500"/>
      <c r="JQ104" s="1477"/>
      <c r="JR104" s="351"/>
      <c r="JS104" s="1400"/>
      <c r="JT104" s="1400"/>
    </row>
    <row r="105" spans="1:280" x14ac:dyDescent="0.25">
      <c r="A105" s="1367">
        <v>58</v>
      </c>
      <c r="B105" s="1411" t="str">
        <f t="shared" si="19"/>
        <v/>
      </c>
      <c r="C105" s="1435" t="s">
        <v>3204</v>
      </c>
      <c r="D105" s="1436" t="s">
        <v>2979</v>
      </c>
      <c r="E105" s="1452"/>
      <c r="F105" s="1452"/>
      <c r="G105" s="1452"/>
      <c r="H105" s="1452"/>
      <c r="I105" s="1452"/>
      <c r="J105" s="1452"/>
      <c r="K105" s="1452"/>
      <c r="L105" s="1452"/>
      <c r="M105" s="1452"/>
      <c r="N105" s="1452"/>
      <c r="O105" s="1528"/>
      <c r="P105" s="1528"/>
      <c r="Q105" s="1452"/>
      <c r="R105" s="1528"/>
      <c r="S105" s="1452"/>
      <c r="T105" s="1500"/>
      <c r="U105" s="1500"/>
      <c r="V105" s="1500"/>
      <c r="W105" s="1500"/>
      <c r="X105" s="1500"/>
      <c r="Y105" s="1500"/>
      <c r="Z105" s="1500"/>
      <c r="AA105" s="1500"/>
      <c r="AB105" s="1500"/>
      <c r="AC105" s="1452"/>
      <c r="AD105" s="1452"/>
      <c r="AE105" s="1452"/>
      <c r="AF105" s="1452"/>
      <c r="AG105" s="1452"/>
      <c r="AH105" s="1452"/>
      <c r="AI105" s="1500"/>
      <c r="AJ105" s="1452"/>
      <c r="AK105" s="1500"/>
      <c r="AL105" s="1452"/>
      <c r="AM105" s="1500"/>
      <c r="AN105" s="1500"/>
      <c r="AO105" s="1500"/>
      <c r="AP105" s="1500"/>
      <c r="AQ105" s="1500"/>
      <c r="AR105" s="1500"/>
      <c r="AS105" s="1500"/>
      <c r="AT105" s="1500"/>
      <c r="AU105" s="1500"/>
      <c r="AV105" s="1452"/>
      <c r="AW105" s="1500"/>
      <c r="AX105" s="1500"/>
      <c r="AY105" s="1500"/>
      <c r="AZ105" s="1500"/>
      <c r="BA105" s="1500"/>
      <c r="BB105" s="1500"/>
      <c r="BC105" s="1500"/>
      <c r="BD105" s="1500"/>
      <c r="BE105" s="1500"/>
      <c r="BF105" s="1500"/>
      <c r="BG105" s="1500"/>
      <c r="BH105" s="1500"/>
      <c r="BI105" s="1500"/>
      <c r="BJ105" s="1452"/>
      <c r="BK105" s="1500"/>
      <c r="BL105" s="1500"/>
      <c r="BM105" s="1500"/>
      <c r="BN105" s="1500"/>
      <c r="BO105" s="1500"/>
      <c r="BP105" s="1452"/>
      <c r="BQ105" s="1500"/>
      <c r="BR105" s="1500"/>
      <c r="BS105" s="1500"/>
      <c r="BT105" s="1500"/>
      <c r="BU105" s="1500"/>
      <c r="BV105" s="1500"/>
      <c r="BW105" s="1500"/>
      <c r="BX105" s="1500"/>
      <c r="BY105" s="1500"/>
      <c r="BZ105" s="1500"/>
      <c r="CA105" s="1500"/>
      <c r="CB105" s="1500">
        <v>23000</v>
      </c>
      <c r="CC105" s="1500"/>
      <c r="CD105" s="1455"/>
      <c r="CE105" s="1500"/>
      <c r="CF105" s="1452"/>
      <c r="CG105" s="1500"/>
      <c r="CH105" s="1452"/>
      <c r="CI105" s="1500"/>
      <c r="CJ105" s="1500"/>
      <c r="CK105" s="1500"/>
      <c r="CL105" s="1452"/>
      <c r="CM105" s="1500"/>
      <c r="CN105" s="1500"/>
      <c r="CO105" s="1455"/>
      <c r="CP105" s="1500"/>
      <c r="CQ105" s="1500"/>
      <c r="CR105" s="1452"/>
      <c r="CS105" s="1452"/>
      <c r="CT105" s="1500"/>
      <c r="CU105" s="1452"/>
      <c r="CV105" s="1452"/>
      <c r="CW105" s="1500"/>
      <c r="CX105" s="1500"/>
      <c r="CY105" s="1500"/>
      <c r="CZ105" s="1500"/>
      <c r="DA105" s="1500"/>
      <c r="DB105" s="1500"/>
      <c r="DC105" s="1500"/>
      <c r="DD105" s="1500"/>
      <c r="DE105" s="1500"/>
      <c r="DF105" s="1500"/>
      <c r="DG105" s="1500"/>
      <c r="DH105" s="1500"/>
      <c r="DI105" s="1500"/>
      <c r="DJ105" s="1452"/>
      <c r="DK105" s="1500"/>
      <c r="DL105" s="1500"/>
      <c r="DM105" s="1500"/>
      <c r="DN105" s="1500"/>
      <c r="DO105" s="1452"/>
      <c r="DP105" s="1500"/>
      <c r="DQ105" s="1500"/>
      <c r="DR105" s="1500"/>
      <c r="DS105" s="1500"/>
      <c r="DT105" s="1500"/>
      <c r="DU105" s="1500"/>
      <c r="DV105" s="1500"/>
      <c r="DW105" s="1500"/>
      <c r="DX105" s="1500"/>
      <c r="DY105" s="1500"/>
      <c r="DZ105" s="1500"/>
      <c r="EA105" s="1500"/>
      <c r="EB105" s="1500"/>
      <c r="EC105" s="1500"/>
      <c r="ED105" s="1500"/>
      <c r="EE105" s="1500"/>
      <c r="EF105" s="1452"/>
      <c r="EG105" s="1452"/>
      <c r="EH105" s="1500"/>
      <c r="EI105" s="1452"/>
      <c r="EJ105" s="1500"/>
      <c r="EK105" s="1500"/>
      <c r="EL105" s="1500"/>
      <c r="EM105" s="1452"/>
      <c r="EN105" s="1500"/>
      <c r="EO105" s="1500"/>
      <c r="EP105" s="1500"/>
      <c r="EQ105" s="1500"/>
      <c r="ER105" s="1500"/>
      <c r="ES105" s="1500"/>
      <c r="ET105" s="1500"/>
      <c r="EU105" s="1500"/>
      <c r="EV105" s="1500"/>
      <c r="EW105" s="1500"/>
      <c r="EX105" s="1500"/>
      <c r="EY105" s="1452"/>
      <c r="EZ105" s="1500"/>
      <c r="FA105" s="1500"/>
      <c r="FB105" s="1500"/>
      <c r="FC105" s="1500"/>
      <c r="FD105" s="1500"/>
      <c r="FE105" s="1500"/>
      <c r="FF105" s="1452"/>
      <c r="FG105" s="1500"/>
      <c r="FH105" s="1452"/>
      <c r="FI105" s="1500"/>
      <c r="FJ105" s="1500"/>
      <c r="FK105" s="1500"/>
      <c r="FL105" s="1500"/>
      <c r="FM105" s="1500"/>
      <c r="FN105" s="1500"/>
      <c r="FO105" s="1500"/>
      <c r="FP105" s="1500"/>
      <c r="FQ105" s="1500"/>
      <c r="FR105" s="1500"/>
      <c r="FS105" s="1500"/>
      <c r="FT105" s="1500"/>
      <c r="FU105" s="1500"/>
      <c r="FV105" s="1500"/>
      <c r="FW105" s="1500"/>
      <c r="FX105" s="1500"/>
      <c r="FY105" s="1500"/>
      <c r="FZ105" s="1500"/>
      <c r="GA105" s="1500"/>
      <c r="GB105" s="1500"/>
      <c r="GC105" s="1500"/>
      <c r="GD105" s="1500"/>
      <c r="GE105" s="1500"/>
      <c r="GF105" s="1500"/>
      <c r="GG105" s="1500"/>
      <c r="GH105" s="1500"/>
      <c r="GI105" s="1500"/>
      <c r="GJ105" s="1452"/>
      <c r="GK105" s="1500"/>
      <c r="GL105" s="1500"/>
      <c r="GM105" s="1500"/>
      <c r="GN105" s="1500"/>
      <c r="GO105" s="1500"/>
      <c r="GP105" s="1500"/>
      <c r="GQ105" s="1500"/>
      <c r="GR105" s="1500"/>
      <c r="GS105" s="1500"/>
      <c r="GT105" s="1500"/>
      <c r="GU105" s="1500"/>
      <c r="GV105" s="1500"/>
      <c r="GW105" s="1500"/>
      <c r="GX105" s="1452"/>
      <c r="GY105" s="1500"/>
      <c r="GZ105" s="1500"/>
      <c r="HA105" s="1500"/>
      <c r="HB105" s="1452"/>
      <c r="HC105" s="1452"/>
      <c r="HD105" s="1500"/>
      <c r="HE105" s="1500"/>
      <c r="HF105" s="1500"/>
      <c r="HG105" s="1500"/>
      <c r="HH105" s="1500"/>
      <c r="HI105" s="1500"/>
      <c r="HJ105" s="1500"/>
      <c r="HK105" s="1500"/>
      <c r="HL105" s="1500"/>
      <c r="HM105" s="1500"/>
      <c r="HN105" s="1500"/>
      <c r="HO105" s="1452"/>
      <c r="HP105" s="1500"/>
      <c r="HQ105" s="1500"/>
      <c r="HR105" s="1500"/>
      <c r="HS105" s="1500"/>
      <c r="HT105" s="1500"/>
      <c r="HU105" s="1500"/>
      <c r="HV105" s="1500"/>
      <c r="HW105" s="1500"/>
      <c r="HX105" s="1500"/>
      <c r="HY105" s="1500"/>
      <c r="HZ105" s="1500"/>
      <c r="IA105" s="1500"/>
      <c r="IB105" s="1500"/>
      <c r="IC105" s="1500"/>
      <c r="ID105" s="1500"/>
      <c r="IE105" s="1500"/>
      <c r="IF105" s="1500"/>
      <c r="IG105" s="1500"/>
      <c r="IH105" s="1500"/>
      <c r="II105" s="1500"/>
      <c r="IJ105" s="1500"/>
      <c r="IK105" s="1500"/>
      <c r="IL105" s="1500"/>
      <c r="IM105" s="1500"/>
      <c r="IN105" s="1500"/>
      <c r="IO105" s="1500"/>
      <c r="IP105" s="1500"/>
      <c r="IQ105" s="1500"/>
      <c r="IR105" s="1500"/>
      <c r="IS105" s="1500"/>
      <c r="IT105" s="1500"/>
      <c r="IU105" s="1500"/>
      <c r="IV105" s="1500"/>
      <c r="IW105" s="1500"/>
      <c r="IX105" s="1500"/>
      <c r="IY105" s="1452"/>
      <c r="IZ105" s="1500"/>
      <c r="JA105" s="1452"/>
      <c r="JB105" s="1500"/>
      <c r="JC105" s="1500"/>
      <c r="JD105" s="1500"/>
      <c r="JE105" s="1500"/>
      <c r="JF105" s="1500"/>
      <c r="JG105" s="1500"/>
      <c r="JH105" s="1500"/>
      <c r="JI105" s="1500"/>
      <c r="JJ105" s="1500"/>
      <c r="JK105" s="1500"/>
      <c r="JL105" s="1500"/>
      <c r="JM105" s="1500"/>
      <c r="JN105" s="1500"/>
      <c r="JO105" s="1500"/>
      <c r="JP105" s="1500"/>
      <c r="JQ105" s="1477"/>
      <c r="JR105" s="351"/>
      <c r="JS105" s="1400" t="s">
        <v>3139</v>
      </c>
      <c r="JT105" s="1400" t="s">
        <v>2242</v>
      </c>
    </row>
    <row r="106" spans="1:280" x14ac:dyDescent="0.25">
      <c r="A106" s="1367">
        <v>59</v>
      </c>
      <c r="B106" s="1411" t="str">
        <f t="shared" si="19"/>
        <v/>
      </c>
      <c r="C106" s="1435" t="s">
        <v>3205</v>
      </c>
      <c r="D106" s="1436" t="s">
        <v>2981</v>
      </c>
      <c r="E106" s="1452"/>
      <c r="F106" s="1452"/>
      <c r="G106" s="1452"/>
      <c r="H106" s="1452"/>
      <c r="I106" s="1452"/>
      <c r="J106" s="1452"/>
      <c r="K106" s="1452"/>
      <c r="L106" s="1452"/>
      <c r="M106" s="1452"/>
      <c r="N106" s="1452"/>
      <c r="O106" s="1528"/>
      <c r="P106" s="1528"/>
      <c r="Q106" s="1452"/>
      <c r="R106" s="1528"/>
      <c r="S106" s="1452"/>
      <c r="T106" s="1500"/>
      <c r="U106" s="1500"/>
      <c r="V106" s="1500"/>
      <c r="W106" s="1500"/>
      <c r="X106" s="1500"/>
      <c r="Y106" s="1500"/>
      <c r="Z106" s="1500"/>
      <c r="AA106" s="1500"/>
      <c r="AB106" s="1500"/>
      <c r="AC106" s="1452"/>
      <c r="AD106" s="1452"/>
      <c r="AE106" s="1452"/>
      <c r="AF106" s="1452"/>
      <c r="AG106" s="1452"/>
      <c r="AH106" s="1452"/>
      <c r="AI106" s="1500"/>
      <c r="AJ106" s="1452"/>
      <c r="AK106" s="1500"/>
      <c r="AL106" s="1452"/>
      <c r="AM106" s="1500"/>
      <c r="AN106" s="1500"/>
      <c r="AO106" s="1500"/>
      <c r="AP106" s="1500"/>
      <c r="AQ106" s="1500"/>
      <c r="AR106" s="1500"/>
      <c r="AS106" s="1500"/>
      <c r="AT106" s="1500"/>
      <c r="AU106" s="1500"/>
      <c r="AV106" s="1452"/>
      <c r="AW106" s="1500"/>
      <c r="AX106" s="1500"/>
      <c r="AY106" s="1500"/>
      <c r="AZ106" s="1500"/>
      <c r="BA106" s="1500"/>
      <c r="BB106" s="1500"/>
      <c r="BC106" s="1500"/>
      <c r="BD106" s="1500"/>
      <c r="BE106" s="1500"/>
      <c r="BF106" s="1500"/>
      <c r="BG106" s="1500"/>
      <c r="BH106" s="1500"/>
      <c r="BI106" s="1500"/>
      <c r="BJ106" s="1454"/>
      <c r="BK106" s="1500"/>
      <c r="BL106" s="1500"/>
      <c r="BM106" s="1500"/>
      <c r="BN106" s="1500"/>
      <c r="BO106" s="1500"/>
      <c r="BP106" s="1452"/>
      <c r="BQ106" s="1500"/>
      <c r="BR106" s="1500"/>
      <c r="BS106" s="1500"/>
      <c r="BT106" s="1500"/>
      <c r="BU106" s="1500"/>
      <c r="BV106" s="1500"/>
      <c r="BW106" s="1500"/>
      <c r="BX106" s="1500"/>
      <c r="BY106" s="1500"/>
      <c r="BZ106" s="1500"/>
      <c r="CA106" s="1500"/>
      <c r="CB106" s="1500"/>
      <c r="CC106" s="1500"/>
      <c r="CD106" s="1455"/>
      <c r="CE106" s="1500"/>
      <c r="CF106" s="1452"/>
      <c r="CG106" s="1500"/>
      <c r="CH106" s="1452"/>
      <c r="CI106" s="1500"/>
      <c r="CJ106" s="1500"/>
      <c r="CK106" s="1500"/>
      <c r="CL106" s="1452"/>
      <c r="CM106" s="1500"/>
      <c r="CN106" s="1500"/>
      <c r="CO106" s="1455"/>
      <c r="CP106" s="1500"/>
      <c r="CQ106" s="1500"/>
      <c r="CR106" s="1452"/>
      <c r="CS106" s="1452"/>
      <c r="CT106" s="1500"/>
      <c r="CU106" s="1452"/>
      <c r="CV106" s="1452"/>
      <c r="CW106" s="1500"/>
      <c r="CX106" s="1500"/>
      <c r="CY106" s="1500"/>
      <c r="CZ106" s="1500"/>
      <c r="DA106" s="1500"/>
      <c r="DB106" s="1500"/>
      <c r="DC106" s="1500"/>
      <c r="DD106" s="1500"/>
      <c r="DE106" s="1500"/>
      <c r="DF106" s="1500"/>
      <c r="DG106" s="1500"/>
      <c r="DH106" s="1500"/>
      <c r="DI106" s="1500"/>
      <c r="DJ106" s="1452"/>
      <c r="DK106" s="1500"/>
      <c r="DL106" s="1500"/>
      <c r="DM106" s="1500"/>
      <c r="DN106" s="1500"/>
      <c r="DO106" s="1452"/>
      <c r="DP106" s="1500"/>
      <c r="DQ106" s="1500"/>
      <c r="DR106" s="1500"/>
      <c r="DS106" s="1500"/>
      <c r="DT106" s="1500"/>
      <c r="DU106" s="1500"/>
      <c r="DV106" s="1500"/>
      <c r="DW106" s="1500"/>
      <c r="DX106" s="1500"/>
      <c r="DY106" s="1500"/>
      <c r="DZ106" s="1500"/>
      <c r="EA106" s="1500"/>
      <c r="EB106" s="1500"/>
      <c r="EC106" s="1500"/>
      <c r="ED106" s="1500"/>
      <c r="EE106" s="1500"/>
      <c r="EF106" s="1452"/>
      <c r="EG106" s="1452"/>
      <c r="EH106" s="1500"/>
      <c r="EI106" s="1452"/>
      <c r="EJ106" s="1500"/>
      <c r="EK106" s="1500"/>
      <c r="EL106" s="1500"/>
      <c r="EM106" s="1452"/>
      <c r="EN106" s="1500"/>
      <c r="EO106" s="1500"/>
      <c r="EP106" s="1500"/>
      <c r="EQ106" s="1500"/>
      <c r="ER106" s="1500"/>
      <c r="ES106" s="1500"/>
      <c r="ET106" s="1500"/>
      <c r="EU106" s="1500"/>
      <c r="EV106" s="1500"/>
      <c r="EW106" s="1500"/>
      <c r="EX106" s="1500"/>
      <c r="EY106" s="1452"/>
      <c r="EZ106" s="1500"/>
      <c r="FA106" s="1500"/>
      <c r="FB106" s="1500"/>
      <c r="FC106" s="1500"/>
      <c r="FD106" s="1500"/>
      <c r="FE106" s="1500"/>
      <c r="FF106" s="1452"/>
      <c r="FG106" s="1500"/>
      <c r="FH106" s="1452"/>
      <c r="FI106" s="1500"/>
      <c r="FJ106" s="1500"/>
      <c r="FK106" s="1500"/>
      <c r="FL106" s="1500"/>
      <c r="FM106" s="1500"/>
      <c r="FN106" s="1500"/>
      <c r="FO106" s="1500"/>
      <c r="FP106" s="1500"/>
      <c r="FQ106" s="1500"/>
      <c r="FR106" s="1500"/>
      <c r="FS106" s="1500"/>
      <c r="FT106" s="1500"/>
      <c r="FU106" s="1500"/>
      <c r="FV106" s="1500"/>
      <c r="FW106" s="1500"/>
      <c r="FX106" s="1500"/>
      <c r="FY106" s="1500"/>
      <c r="FZ106" s="1500"/>
      <c r="GA106" s="1500"/>
      <c r="GB106" s="1500"/>
      <c r="GC106" s="1500"/>
      <c r="GD106" s="1500"/>
      <c r="GE106" s="1500"/>
      <c r="GF106" s="1500"/>
      <c r="GG106" s="1500"/>
      <c r="GH106" s="1500"/>
      <c r="GI106" s="1500"/>
      <c r="GJ106" s="1452"/>
      <c r="GK106" s="1500"/>
      <c r="GL106" s="1500"/>
      <c r="GM106" s="1500"/>
      <c r="GN106" s="1500"/>
      <c r="GO106" s="1500"/>
      <c r="GP106" s="1500"/>
      <c r="GQ106" s="1500"/>
      <c r="GR106" s="1500"/>
      <c r="GS106" s="1500"/>
      <c r="GT106" s="1500"/>
      <c r="GU106" s="1500"/>
      <c r="GV106" s="1500"/>
      <c r="GW106" s="1500"/>
      <c r="GX106" s="1452"/>
      <c r="GY106" s="1500"/>
      <c r="GZ106" s="1500"/>
      <c r="HA106" s="1500"/>
      <c r="HB106" s="1452"/>
      <c r="HC106" s="1452"/>
      <c r="HD106" s="1500"/>
      <c r="HE106" s="1500"/>
      <c r="HF106" s="1500"/>
      <c r="HG106" s="1500"/>
      <c r="HH106" s="1500"/>
      <c r="HI106" s="1500"/>
      <c r="HJ106" s="1500"/>
      <c r="HK106" s="1500"/>
      <c r="HL106" s="1500"/>
      <c r="HM106" s="1500"/>
      <c r="HN106" s="1500"/>
      <c r="HO106" s="1452"/>
      <c r="HP106" s="1500"/>
      <c r="HQ106" s="1500"/>
      <c r="HR106" s="1500"/>
      <c r="HS106" s="1500"/>
      <c r="HT106" s="1500"/>
      <c r="HU106" s="1500"/>
      <c r="HV106" s="1500"/>
      <c r="HW106" s="1500"/>
      <c r="HX106" s="1500"/>
      <c r="HY106" s="1500"/>
      <c r="HZ106" s="1500"/>
      <c r="IA106" s="1500"/>
      <c r="IB106" s="1500"/>
      <c r="IC106" s="1500"/>
      <c r="ID106" s="1500"/>
      <c r="IE106" s="1500"/>
      <c r="IF106" s="1500"/>
      <c r="IG106" s="1500"/>
      <c r="IH106" s="1500"/>
      <c r="II106" s="1500"/>
      <c r="IJ106" s="1500"/>
      <c r="IK106" s="1500"/>
      <c r="IL106" s="1500"/>
      <c r="IM106" s="1500"/>
      <c r="IN106" s="1500"/>
      <c r="IO106" s="1500"/>
      <c r="IP106" s="1500"/>
      <c r="IQ106" s="1500"/>
      <c r="IR106" s="1500"/>
      <c r="IS106" s="1500"/>
      <c r="IT106" s="1500"/>
      <c r="IU106" s="1500"/>
      <c r="IV106" s="1500"/>
      <c r="IW106" s="1500"/>
      <c r="IX106" s="1500"/>
      <c r="IY106" s="1452"/>
      <c r="IZ106" s="1500"/>
      <c r="JA106" s="1452"/>
      <c r="JB106" s="1500"/>
      <c r="JC106" s="1500"/>
      <c r="JD106" s="1500"/>
      <c r="JE106" s="1500"/>
      <c r="JF106" s="1500"/>
      <c r="JG106" s="1500"/>
      <c r="JH106" s="1500"/>
      <c r="JI106" s="1500"/>
      <c r="JJ106" s="1500"/>
      <c r="JK106" s="1500"/>
      <c r="JL106" s="1500"/>
      <c r="JM106" s="1500"/>
      <c r="JN106" s="1500"/>
      <c r="JO106" s="1500"/>
      <c r="JP106" s="1500"/>
      <c r="JQ106" s="1477"/>
      <c r="JR106" s="351"/>
      <c r="JS106" s="1400"/>
      <c r="JT106" s="1400"/>
    </row>
    <row r="107" spans="1:280" x14ac:dyDescent="0.25">
      <c r="A107" s="1367">
        <v>60</v>
      </c>
      <c r="B107" s="1411" t="str">
        <f t="shared" si="19"/>
        <v/>
      </c>
      <c r="C107" s="1435" t="s">
        <v>3206</v>
      </c>
      <c r="D107" s="1531" t="s">
        <v>3207</v>
      </c>
      <c r="E107" s="1452"/>
      <c r="F107" s="1452"/>
      <c r="G107" s="1452"/>
      <c r="H107" s="1452"/>
      <c r="I107" s="1452"/>
      <c r="J107" s="1452"/>
      <c r="K107" s="1452"/>
      <c r="L107" s="1452"/>
      <c r="M107" s="1452"/>
      <c r="N107" s="1452"/>
      <c r="O107" s="1528"/>
      <c r="P107" s="1528"/>
      <c r="Q107" s="1452"/>
      <c r="R107" s="1528"/>
      <c r="S107" s="1452"/>
      <c r="T107" s="1500"/>
      <c r="U107" s="1500"/>
      <c r="V107" s="1500"/>
      <c r="W107" s="1500"/>
      <c r="X107" s="1500"/>
      <c r="Y107" s="1500"/>
      <c r="Z107" s="1500"/>
      <c r="AA107" s="1500"/>
      <c r="AB107" s="1500"/>
      <c r="AC107" s="1452"/>
      <c r="AD107" s="1452"/>
      <c r="AE107" s="1452"/>
      <c r="AF107" s="1452"/>
      <c r="AG107" s="1452"/>
      <c r="AH107" s="1452"/>
      <c r="AI107" s="1500"/>
      <c r="AJ107" s="1452"/>
      <c r="AK107" s="1500"/>
      <c r="AL107" s="1452"/>
      <c r="AM107" s="1500"/>
      <c r="AN107" s="1500"/>
      <c r="AO107" s="1500"/>
      <c r="AP107" s="1500"/>
      <c r="AQ107" s="1500"/>
      <c r="AR107" s="1500"/>
      <c r="AS107" s="1500"/>
      <c r="AT107" s="1500"/>
      <c r="AU107" s="1500"/>
      <c r="AV107" s="1452"/>
      <c r="AW107" s="1500"/>
      <c r="AX107" s="1500"/>
      <c r="AY107" s="1500"/>
      <c r="AZ107" s="1500"/>
      <c r="BA107" s="1500"/>
      <c r="BB107" s="1500"/>
      <c r="BC107" s="1500"/>
      <c r="BD107" s="1500"/>
      <c r="BE107" s="1500"/>
      <c r="BF107" s="1500"/>
      <c r="BG107" s="1500"/>
      <c r="BH107" s="1500"/>
      <c r="BI107" s="1500"/>
      <c r="BJ107" s="1452"/>
      <c r="BK107" s="1500"/>
      <c r="BL107" s="1500"/>
      <c r="BM107" s="1500"/>
      <c r="BN107" s="1500"/>
      <c r="BO107" s="1500"/>
      <c r="BP107" s="1452"/>
      <c r="BQ107" s="1500"/>
      <c r="BR107" s="1500"/>
      <c r="BS107" s="1500"/>
      <c r="BT107" s="1500"/>
      <c r="BU107" s="1500"/>
      <c r="BV107" s="1500"/>
      <c r="BW107" s="1500"/>
      <c r="BX107" s="1500"/>
      <c r="BY107" s="1500"/>
      <c r="BZ107" s="1500"/>
      <c r="CA107" s="1500"/>
      <c r="CB107" s="1500">
        <v>3000</v>
      </c>
      <c r="CC107" s="1500"/>
      <c r="CD107" s="1455"/>
      <c r="CE107" s="1500"/>
      <c r="CF107" s="1452"/>
      <c r="CG107" s="1500"/>
      <c r="CH107" s="1452"/>
      <c r="CI107" s="1500"/>
      <c r="CJ107" s="1500"/>
      <c r="CK107" s="1500"/>
      <c r="CL107" s="1452"/>
      <c r="CM107" s="1500"/>
      <c r="CN107" s="1500"/>
      <c r="CO107" s="1455">
        <v>28350</v>
      </c>
      <c r="CP107" s="1500"/>
      <c r="CQ107" s="1500"/>
      <c r="CR107" s="1452"/>
      <c r="CS107" s="1452"/>
      <c r="CT107" s="1500"/>
      <c r="CU107" s="1452"/>
      <c r="CV107" s="1452"/>
      <c r="CW107" s="1500"/>
      <c r="CX107" s="1500"/>
      <c r="CY107" s="1500"/>
      <c r="CZ107" s="1500"/>
      <c r="DA107" s="1500"/>
      <c r="DB107" s="1500"/>
      <c r="DC107" s="1500"/>
      <c r="DD107" s="1500"/>
      <c r="DE107" s="1500"/>
      <c r="DF107" s="1500"/>
      <c r="DG107" s="1500"/>
      <c r="DH107" s="1500"/>
      <c r="DI107" s="1500"/>
      <c r="DJ107" s="1452"/>
      <c r="DK107" s="1500"/>
      <c r="DL107" s="1500"/>
      <c r="DM107" s="1500"/>
      <c r="DN107" s="1500"/>
      <c r="DO107" s="1452"/>
      <c r="DP107" s="1500"/>
      <c r="DQ107" s="1500"/>
      <c r="DR107" s="1500"/>
      <c r="DS107" s="1500"/>
      <c r="DT107" s="1500"/>
      <c r="DU107" s="1500"/>
      <c r="DV107" s="1500"/>
      <c r="DW107" s="1500"/>
      <c r="DX107" s="1500"/>
      <c r="DY107" s="1500"/>
      <c r="DZ107" s="1500"/>
      <c r="EA107" s="1500"/>
      <c r="EB107" s="1500"/>
      <c r="EC107" s="1500"/>
      <c r="ED107" s="1500"/>
      <c r="EE107" s="1500"/>
      <c r="EF107" s="1452"/>
      <c r="EG107" s="1452"/>
      <c r="EH107" s="1500"/>
      <c r="EI107" s="1452"/>
      <c r="EJ107" s="1500"/>
      <c r="EK107" s="1500"/>
      <c r="EL107" s="1500"/>
      <c r="EM107" s="1452"/>
      <c r="EN107" s="1500"/>
      <c r="EO107" s="1500"/>
      <c r="EP107" s="1500"/>
      <c r="EQ107" s="1500"/>
      <c r="ER107" s="1500"/>
      <c r="ES107" s="1500"/>
      <c r="ET107" s="1500"/>
      <c r="EU107" s="1500"/>
      <c r="EV107" s="1500"/>
      <c r="EW107" s="1500"/>
      <c r="EX107" s="1500"/>
      <c r="EY107" s="1452"/>
      <c r="EZ107" s="1500"/>
      <c r="FA107" s="1500"/>
      <c r="FB107" s="1500"/>
      <c r="FC107" s="1500"/>
      <c r="FD107" s="1500"/>
      <c r="FE107" s="1500"/>
      <c r="FF107" s="1452"/>
      <c r="FG107" s="1500"/>
      <c r="FH107" s="1452"/>
      <c r="FI107" s="1500"/>
      <c r="FJ107" s="1500"/>
      <c r="FK107" s="1500"/>
      <c r="FL107" s="1500"/>
      <c r="FM107" s="1500"/>
      <c r="FN107" s="1500"/>
      <c r="FO107" s="1500"/>
      <c r="FP107" s="1500"/>
      <c r="FQ107" s="1500"/>
      <c r="FR107" s="1500"/>
      <c r="FS107" s="1500"/>
      <c r="FT107" s="1500"/>
      <c r="FU107" s="1500"/>
      <c r="FV107" s="1500"/>
      <c r="FW107" s="1500"/>
      <c r="FX107" s="1500"/>
      <c r="FY107" s="1500"/>
      <c r="FZ107" s="1500"/>
      <c r="GA107" s="1500"/>
      <c r="GB107" s="1500"/>
      <c r="GC107" s="1500"/>
      <c r="GD107" s="1500"/>
      <c r="GE107" s="1500"/>
      <c r="GF107" s="1500"/>
      <c r="GG107" s="1500"/>
      <c r="GH107" s="1500"/>
      <c r="GI107" s="1500"/>
      <c r="GJ107" s="1452"/>
      <c r="GK107" s="1500"/>
      <c r="GL107" s="1500"/>
      <c r="GM107" s="1500"/>
      <c r="GN107" s="1500"/>
      <c r="GO107" s="1500"/>
      <c r="GP107" s="1500"/>
      <c r="GQ107" s="1500"/>
      <c r="GR107" s="1500"/>
      <c r="GS107" s="1500"/>
      <c r="GT107" s="1500"/>
      <c r="GU107" s="1500"/>
      <c r="GV107" s="1500"/>
      <c r="GW107" s="1500"/>
      <c r="GX107" s="1452"/>
      <c r="GY107" s="1500"/>
      <c r="GZ107" s="1500"/>
      <c r="HA107" s="1500"/>
      <c r="HB107" s="1452"/>
      <c r="HC107" s="1452"/>
      <c r="HD107" s="1500"/>
      <c r="HE107" s="1500"/>
      <c r="HF107" s="1500"/>
      <c r="HG107" s="1500"/>
      <c r="HH107" s="1500"/>
      <c r="HI107" s="1500"/>
      <c r="HJ107" s="1500"/>
      <c r="HK107" s="1500"/>
      <c r="HL107" s="1500"/>
      <c r="HM107" s="1500"/>
      <c r="HN107" s="1500"/>
      <c r="HO107" s="1452"/>
      <c r="HP107" s="1500"/>
      <c r="HQ107" s="1500"/>
      <c r="HR107" s="1500"/>
      <c r="HS107" s="1500"/>
      <c r="HT107" s="1500"/>
      <c r="HU107" s="1500"/>
      <c r="HV107" s="1500"/>
      <c r="HW107" s="1500"/>
      <c r="HX107" s="1500"/>
      <c r="HY107" s="1500"/>
      <c r="HZ107" s="1500"/>
      <c r="IA107" s="1500"/>
      <c r="IB107" s="1500"/>
      <c r="IC107" s="1500"/>
      <c r="ID107" s="1500"/>
      <c r="IE107" s="1500"/>
      <c r="IF107" s="1500"/>
      <c r="IG107" s="1500"/>
      <c r="IH107" s="1500"/>
      <c r="II107" s="1500"/>
      <c r="IJ107" s="1500"/>
      <c r="IK107" s="1500"/>
      <c r="IL107" s="1500"/>
      <c r="IM107" s="1500"/>
      <c r="IN107" s="1500"/>
      <c r="IO107" s="1500"/>
      <c r="IP107" s="1500"/>
      <c r="IQ107" s="1500"/>
      <c r="IR107" s="1500"/>
      <c r="IS107" s="1500"/>
      <c r="IT107" s="1500"/>
      <c r="IU107" s="1500"/>
      <c r="IV107" s="1500"/>
      <c r="IW107" s="1500"/>
      <c r="IX107" s="1500"/>
      <c r="IY107" s="1452"/>
      <c r="IZ107" s="1500"/>
      <c r="JA107" s="1452"/>
      <c r="JB107" s="1500"/>
      <c r="JC107" s="1500"/>
      <c r="JD107" s="1500"/>
      <c r="JE107" s="1500"/>
      <c r="JF107" s="1500"/>
      <c r="JG107" s="1500"/>
      <c r="JH107" s="1500"/>
      <c r="JI107" s="1500"/>
      <c r="JJ107" s="1500"/>
      <c r="JK107" s="1500"/>
      <c r="JL107" s="1500"/>
      <c r="JM107" s="1500"/>
      <c r="JN107" s="1500"/>
      <c r="JO107" s="1500"/>
      <c r="JP107" s="1500"/>
      <c r="JQ107" s="1477"/>
      <c r="JR107" s="351"/>
      <c r="JS107" s="1400" t="s">
        <v>3139</v>
      </c>
      <c r="JT107" s="1400" t="s">
        <v>2242</v>
      </c>
    </row>
    <row r="108" spans="1:280" x14ac:dyDescent="0.25">
      <c r="A108" s="1367">
        <v>61</v>
      </c>
      <c r="B108" s="1411" t="str">
        <f t="shared" si="19"/>
        <v/>
      </c>
      <c r="C108" s="1435" t="s">
        <v>3208</v>
      </c>
      <c r="D108" s="1436" t="s">
        <v>3209</v>
      </c>
      <c r="E108" s="1452"/>
      <c r="F108" s="1452"/>
      <c r="G108" s="1452"/>
      <c r="H108" s="1452"/>
      <c r="I108" s="1452"/>
      <c r="J108" s="1452"/>
      <c r="K108" s="1452"/>
      <c r="L108" s="1452"/>
      <c r="M108" s="1452"/>
      <c r="N108" s="1452"/>
      <c r="O108" s="1528"/>
      <c r="P108" s="1528"/>
      <c r="Q108" s="1452"/>
      <c r="R108" s="1528"/>
      <c r="S108" s="1452"/>
      <c r="T108" s="1500"/>
      <c r="U108" s="1500"/>
      <c r="V108" s="1500"/>
      <c r="W108" s="1500"/>
      <c r="X108" s="1500"/>
      <c r="Y108" s="1500"/>
      <c r="Z108" s="1500"/>
      <c r="AA108" s="1500"/>
      <c r="AB108" s="1500"/>
      <c r="AC108" s="1452"/>
      <c r="AD108" s="1452"/>
      <c r="AE108" s="1452"/>
      <c r="AF108" s="1452"/>
      <c r="AG108" s="1452"/>
      <c r="AH108" s="1452">
        <v>900</v>
      </c>
      <c r="AI108" s="1500"/>
      <c r="AJ108" s="1452"/>
      <c r="AK108" s="1500"/>
      <c r="AL108" s="1452"/>
      <c r="AM108" s="1455">
        <v>900</v>
      </c>
      <c r="AN108" s="1500"/>
      <c r="AO108" s="1500"/>
      <c r="AP108" s="1500"/>
      <c r="AQ108" s="1500"/>
      <c r="AR108" s="1500"/>
      <c r="AS108" s="1500"/>
      <c r="AT108" s="1500"/>
      <c r="AU108" s="1500"/>
      <c r="AV108" s="1452"/>
      <c r="AW108" s="1500"/>
      <c r="AX108" s="1500"/>
      <c r="AY108" s="1500"/>
      <c r="AZ108" s="1500"/>
      <c r="BA108" s="1500"/>
      <c r="BB108" s="1500"/>
      <c r="BC108" s="1500"/>
      <c r="BD108" s="1500"/>
      <c r="BE108" s="1500"/>
      <c r="BF108" s="1500"/>
      <c r="BG108" s="1500"/>
      <c r="BH108" s="1500"/>
      <c r="BI108" s="1500"/>
      <c r="BJ108" s="1454"/>
      <c r="BK108" s="1500"/>
      <c r="BL108" s="1500"/>
      <c r="BM108" s="1500"/>
      <c r="BN108" s="1500"/>
      <c r="BO108" s="1500"/>
      <c r="BP108" s="1452"/>
      <c r="BQ108" s="1500"/>
      <c r="BR108" s="1500"/>
      <c r="BS108" s="1500"/>
      <c r="BT108" s="1500"/>
      <c r="BU108" s="1500"/>
      <c r="BV108" s="1500"/>
      <c r="BW108" s="1500"/>
      <c r="BX108" s="1500"/>
      <c r="BY108" s="1500"/>
      <c r="BZ108" s="1500"/>
      <c r="CA108" s="1500"/>
      <c r="CB108" s="1500"/>
      <c r="CC108" s="1500"/>
      <c r="CD108" s="1455">
        <v>2479</v>
      </c>
      <c r="CE108" s="1500"/>
      <c r="CF108" s="1452"/>
      <c r="CG108" s="1500"/>
      <c r="CH108" s="1452"/>
      <c r="CI108" s="1500"/>
      <c r="CJ108" s="1500"/>
      <c r="CK108" s="1500"/>
      <c r="CL108" s="1452">
        <v>1200</v>
      </c>
      <c r="CM108" s="1500"/>
      <c r="CN108" s="1500"/>
      <c r="CO108" s="1500"/>
      <c r="CP108" s="1500"/>
      <c r="CQ108" s="1500"/>
      <c r="CR108" s="1452">
        <v>1200</v>
      </c>
      <c r="CS108" s="1452">
        <v>1200</v>
      </c>
      <c r="CT108" s="1500"/>
      <c r="CU108" s="1452"/>
      <c r="CV108" s="1452"/>
      <c r="CW108" s="1500"/>
      <c r="CX108" s="1500"/>
      <c r="CY108" s="1500"/>
      <c r="CZ108" s="1500"/>
      <c r="DA108" s="1500"/>
      <c r="DB108" s="1500"/>
      <c r="DC108" s="1500"/>
      <c r="DD108" s="1500"/>
      <c r="DE108" s="1500"/>
      <c r="DF108" s="1500"/>
      <c r="DG108" s="1500"/>
      <c r="DH108" s="1500"/>
      <c r="DI108" s="1500"/>
      <c r="DJ108" s="1452"/>
      <c r="DK108" s="1500"/>
      <c r="DL108" s="1500"/>
      <c r="DM108" s="1500"/>
      <c r="DN108" s="1500"/>
      <c r="DO108" s="1452"/>
      <c r="DP108" s="1500"/>
      <c r="DQ108" s="1500"/>
      <c r="DR108" s="1500"/>
      <c r="DS108" s="1500"/>
      <c r="DT108" s="1500"/>
      <c r="DU108" s="1500"/>
      <c r="DV108" s="1500"/>
      <c r="DW108" s="1500"/>
      <c r="DX108" s="1500"/>
      <c r="DY108" s="1500"/>
      <c r="DZ108" s="1500"/>
      <c r="EA108" s="1500"/>
      <c r="EB108" s="1500"/>
      <c r="EC108" s="1500"/>
      <c r="ED108" s="1500"/>
      <c r="EE108" s="1500"/>
      <c r="EF108" s="1452"/>
      <c r="EG108" s="1452"/>
      <c r="EH108" s="1500"/>
      <c r="EI108" s="1452"/>
      <c r="EJ108" s="1500"/>
      <c r="EK108" s="1500"/>
      <c r="EL108" s="1500"/>
      <c r="EM108" s="1452">
        <v>1200</v>
      </c>
      <c r="EN108" s="1500"/>
      <c r="EO108" s="1500"/>
      <c r="EP108" s="1500"/>
      <c r="EQ108" s="1500"/>
      <c r="ER108" s="1500"/>
      <c r="ES108" s="1500"/>
      <c r="ET108" s="1500"/>
      <c r="EU108" s="1500"/>
      <c r="EV108" s="1500"/>
      <c r="EW108" s="1500"/>
      <c r="EX108" s="1500"/>
      <c r="EY108" s="1452">
        <v>1200</v>
      </c>
      <c r="EZ108" s="1500"/>
      <c r="FA108" s="1500"/>
      <c r="FB108" s="1500"/>
      <c r="FC108" s="1500"/>
      <c r="FD108" s="1500"/>
      <c r="FE108" s="1500"/>
      <c r="FF108" s="1452"/>
      <c r="FG108" s="1500"/>
      <c r="FH108" s="1452"/>
      <c r="FI108" s="1500"/>
      <c r="FJ108" s="1500"/>
      <c r="FK108" s="1500"/>
      <c r="FL108" s="1500"/>
      <c r="FM108" s="1500"/>
      <c r="FN108" s="1500"/>
      <c r="FO108" s="1500"/>
      <c r="FP108" s="1500"/>
      <c r="FQ108" s="1500"/>
      <c r="FR108" s="1500"/>
      <c r="FS108" s="1500"/>
      <c r="FT108" s="1500"/>
      <c r="FU108" s="1500"/>
      <c r="FV108" s="1500"/>
      <c r="FW108" s="1500"/>
      <c r="FX108" s="1500"/>
      <c r="FY108" s="1500"/>
      <c r="FZ108" s="1500"/>
      <c r="GA108" s="1500"/>
      <c r="GB108" s="1500"/>
      <c r="GC108" s="1500"/>
      <c r="GD108" s="1500"/>
      <c r="GE108" s="1500"/>
      <c r="GF108" s="1500"/>
      <c r="GG108" s="1500"/>
      <c r="GH108" s="1500"/>
      <c r="GI108" s="1500"/>
      <c r="GJ108" s="1452"/>
      <c r="GK108" s="1500"/>
      <c r="GL108" s="1500"/>
      <c r="GM108" s="1500"/>
      <c r="GN108" s="1500"/>
      <c r="GO108" s="1500"/>
      <c r="GP108" s="1500"/>
      <c r="GQ108" s="1500"/>
      <c r="GR108" s="1500"/>
      <c r="GS108" s="1500"/>
      <c r="GT108" s="1500"/>
      <c r="GU108" s="1500"/>
      <c r="GV108" s="1500"/>
      <c r="GW108" s="1500"/>
      <c r="GX108" s="1452"/>
      <c r="GY108" s="1500"/>
      <c r="GZ108" s="1500"/>
      <c r="HA108" s="1500"/>
      <c r="HB108" s="1452"/>
      <c r="HC108" s="1452"/>
      <c r="HD108" s="1500"/>
      <c r="HE108" s="1500"/>
      <c r="HF108" s="1500"/>
      <c r="HG108" s="1500"/>
      <c r="HH108" s="1500"/>
      <c r="HI108" s="1500"/>
      <c r="HJ108" s="1500"/>
      <c r="HK108" s="1500"/>
      <c r="HL108" s="1500"/>
      <c r="HM108" s="1500"/>
      <c r="HN108" s="1500"/>
      <c r="HO108" s="1452"/>
      <c r="HP108" s="1500"/>
      <c r="HQ108" s="1500"/>
      <c r="HR108" s="1500"/>
      <c r="HS108" s="1500"/>
      <c r="HT108" s="1500"/>
      <c r="HU108" s="1500"/>
      <c r="HV108" s="1500"/>
      <c r="HW108" s="1500"/>
      <c r="HX108" s="1500"/>
      <c r="HY108" s="1500"/>
      <c r="HZ108" s="1500"/>
      <c r="IA108" s="1500"/>
      <c r="IB108" s="1500"/>
      <c r="IC108" s="1500"/>
      <c r="ID108" s="1500"/>
      <c r="IE108" s="1500"/>
      <c r="IF108" s="1500"/>
      <c r="IG108" s="1500"/>
      <c r="IH108" s="1500"/>
      <c r="II108" s="1500"/>
      <c r="IJ108" s="1500"/>
      <c r="IK108" s="1500"/>
      <c r="IL108" s="1500"/>
      <c r="IM108" s="1500"/>
      <c r="IN108" s="1500"/>
      <c r="IO108" s="1500"/>
      <c r="IP108" s="1500"/>
      <c r="IQ108" s="1500"/>
      <c r="IR108" s="1500"/>
      <c r="IS108" s="1500"/>
      <c r="IT108" s="1500"/>
      <c r="IU108" s="1500"/>
      <c r="IV108" s="1500"/>
      <c r="IW108" s="1500"/>
      <c r="IX108" s="1500"/>
      <c r="IY108" s="1452"/>
      <c r="IZ108" s="1500"/>
      <c r="JA108" s="1452">
        <v>1200</v>
      </c>
      <c r="JB108" s="1500"/>
      <c r="JC108" s="1500"/>
      <c r="JD108" s="1500"/>
      <c r="JE108" s="1500"/>
      <c r="JF108" s="1500"/>
      <c r="JG108" s="1500"/>
      <c r="JH108" s="1500"/>
      <c r="JI108" s="1500"/>
      <c r="JJ108" s="1500"/>
      <c r="JK108" s="1500"/>
      <c r="JL108" s="1500"/>
      <c r="JM108" s="1500"/>
      <c r="JN108" s="1500"/>
      <c r="JO108" s="1500"/>
      <c r="JP108" s="1500"/>
      <c r="JQ108" s="1477"/>
      <c r="JR108" s="351"/>
      <c r="JS108" s="1400" t="s">
        <v>3139</v>
      </c>
      <c r="JT108" s="1400" t="s">
        <v>2242</v>
      </c>
    </row>
    <row r="109" spans="1:280" x14ac:dyDescent="0.25">
      <c r="A109" s="1367">
        <v>62</v>
      </c>
      <c r="B109" s="1411" t="str">
        <f t="shared" si="19"/>
        <v/>
      </c>
      <c r="C109" s="1435" t="s">
        <v>3210</v>
      </c>
      <c r="D109" s="1436" t="s">
        <v>3211</v>
      </c>
      <c r="E109" s="1452"/>
      <c r="F109" s="1452"/>
      <c r="G109" s="1452"/>
      <c r="H109" s="1452"/>
      <c r="I109" s="1452"/>
      <c r="J109" s="1452"/>
      <c r="K109" s="1452"/>
      <c r="L109" s="1452"/>
      <c r="M109" s="1452"/>
      <c r="N109" s="1452"/>
      <c r="O109" s="1528"/>
      <c r="P109" s="1528"/>
      <c r="Q109" s="1452"/>
      <c r="R109" s="1528"/>
      <c r="S109" s="1452"/>
      <c r="T109" s="1500"/>
      <c r="U109" s="1500"/>
      <c r="V109" s="1500"/>
      <c r="W109" s="1500"/>
      <c r="X109" s="1500"/>
      <c r="Y109" s="1500"/>
      <c r="Z109" s="1500"/>
      <c r="AA109" s="1500"/>
      <c r="AB109" s="1500"/>
      <c r="AC109" s="1452"/>
      <c r="AD109" s="1452"/>
      <c r="AE109" s="1452"/>
      <c r="AF109" s="1452"/>
      <c r="AG109" s="1452"/>
      <c r="AH109" s="1452"/>
      <c r="AI109" s="1500"/>
      <c r="AJ109" s="1452"/>
      <c r="AK109" s="1500"/>
      <c r="AL109" s="1452"/>
      <c r="AM109" s="1500"/>
      <c r="AN109" s="1500"/>
      <c r="AO109" s="1500"/>
      <c r="AP109" s="1500"/>
      <c r="AQ109" s="1500"/>
      <c r="AR109" s="1500"/>
      <c r="AS109" s="1500"/>
      <c r="AT109" s="1500"/>
      <c r="AU109" s="1500"/>
      <c r="AV109" s="1452"/>
      <c r="AW109" s="1500"/>
      <c r="AX109" s="1500"/>
      <c r="AY109" s="1500"/>
      <c r="AZ109" s="1500"/>
      <c r="BA109" s="1500"/>
      <c r="BB109" s="1500"/>
      <c r="BC109" s="1500"/>
      <c r="BD109" s="1500"/>
      <c r="BE109" s="1500"/>
      <c r="BF109" s="1500"/>
      <c r="BG109" s="1500"/>
      <c r="BH109" s="1500"/>
      <c r="BI109" s="1500"/>
      <c r="BJ109" s="1454"/>
      <c r="BK109" s="1500"/>
      <c r="BL109" s="1500"/>
      <c r="BM109" s="1500"/>
      <c r="BN109" s="1500"/>
      <c r="BO109" s="1500"/>
      <c r="BP109" s="1452"/>
      <c r="BQ109" s="1500"/>
      <c r="BR109" s="1500"/>
      <c r="BS109" s="1500"/>
      <c r="BT109" s="1500"/>
      <c r="BU109" s="1500"/>
      <c r="BV109" s="1500"/>
      <c r="BW109" s="1500"/>
      <c r="BX109" s="1500"/>
      <c r="BY109" s="1500"/>
      <c r="BZ109" s="1500"/>
      <c r="CA109" s="1500"/>
      <c r="CB109" s="1500"/>
      <c r="CC109" s="1500"/>
      <c r="CD109" s="1500"/>
      <c r="CE109" s="1500"/>
      <c r="CF109" s="1452"/>
      <c r="CG109" s="1500"/>
      <c r="CH109" s="1452"/>
      <c r="CI109" s="1500"/>
      <c r="CJ109" s="1500"/>
      <c r="CK109" s="1500"/>
      <c r="CL109" s="1452">
        <v>165</v>
      </c>
      <c r="CM109" s="1500"/>
      <c r="CN109" s="1500"/>
      <c r="CO109" s="1500"/>
      <c r="CP109" s="1500"/>
      <c r="CQ109" s="1500"/>
      <c r="CR109" s="1452">
        <v>165</v>
      </c>
      <c r="CS109" s="1452">
        <v>165</v>
      </c>
      <c r="CT109" s="1500"/>
      <c r="CU109" s="1452"/>
      <c r="CV109" s="1452"/>
      <c r="CW109" s="1500"/>
      <c r="CX109" s="1500"/>
      <c r="CY109" s="1500"/>
      <c r="CZ109" s="1500"/>
      <c r="DA109" s="1500"/>
      <c r="DB109" s="1500"/>
      <c r="DC109" s="1500"/>
      <c r="DD109" s="1500"/>
      <c r="DE109" s="1500"/>
      <c r="DF109" s="1500"/>
      <c r="DG109" s="1500"/>
      <c r="DH109" s="1500"/>
      <c r="DI109" s="1500"/>
      <c r="DJ109" s="1452"/>
      <c r="DK109" s="1500"/>
      <c r="DL109" s="1500"/>
      <c r="DM109" s="1500"/>
      <c r="DN109" s="1500"/>
      <c r="DO109" s="1452"/>
      <c r="DP109" s="1500"/>
      <c r="DQ109" s="1500"/>
      <c r="DR109" s="1500"/>
      <c r="DS109" s="1500"/>
      <c r="DT109" s="1500"/>
      <c r="DU109" s="1500"/>
      <c r="DV109" s="1500"/>
      <c r="DW109" s="1500"/>
      <c r="DX109" s="1500"/>
      <c r="DY109" s="1500"/>
      <c r="DZ109" s="1500"/>
      <c r="EA109" s="1500"/>
      <c r="EB109" s="1500"/>
      <c r="EC109" s="1500"/>
      <c r="ED109" s="1500"/>
      <c r="EE109" s="1500"/>
      <c r="EF109" s="1452"/>
      <c r="EG109" s="1452"/>
      <c r="EH109" s="1500"/>
      <c r="EI109" s="1452"/>
      <c r="EJ109" s="1500"/>
      <c r="EK109" s="1500"/>
      <c r="EL109" s="1500"/>
      <c r="EM109" s="1452">
        <v>165</v>
      </c>
      <c r="EN109" s="1500"/>
      <c r="EO109" s="1500"/>
      <c r="EP109" s="1500"/>
      <c r="EQ109" s="1500"/>
      <c r="ER109" s="1500"/>
      <c r="ES109" s="1500"/>
      <c r="ET109" s="1500"/>
      <c r="EU109" s="1500"/>
      <c r="EV109" s="1500"/>
      <c r="EW109" s="1500"/>
      <c r="EX109" s="1500"/>
      <c r="EY109" s="1452">
        <v>165</v>
      </c>
      <c r="EZ109" s="1500"/>
      <c r="FA109" s="1500"/>
      <c r="FB109" s="1500"/>
      <c r="FC109" s="1500"/>
      <c r="FD109" s="1500"/>
      <c r="FE109" s="1500"/>
      <c r="FF109" s="1452"/>
      <c r="FG109" s="1500"/>
      <c r="FH109" s="1452"/>
      <c r="FI109" s="1500"/>
      <c r="FJ109" s="1500"/>
      <c r="FK109" s="1500"/>
      <c r="FL109" s="1500"/>
      <c r="FM109" s="1500"/>
      <c r="FN109" s="1500"/>
      <c r="FO109" s="1500"/>
      <c r="FP109" s="1500"/>
      <c r="FQ109" s="1500"/>
      <c r="FR109" s="1500"/>
      <c r="FS109" s="1500"/>
      <c r="FT109" s="1500"/>
      <c r="FU109" s="1500"/>
      <c r="FV109" s="1500"/>
      <c r="FW109" s="1500"/>
      <c r="FX109" s="1500"/>
      <c r="FY109" s="1500"/>
      <c r="FZ109" s="1500"/>
      <c r="GA109" s="1500"/>
      <c r="GB109" s="1500"/>
      <c r="GC109" s="1500"/>
      <c r="GD109" s="1500"/>
      <c r="GE109" s="1500"/>
      <c r="GF109" s="1500"/>
      <c r="GG109" s="1500"/>
      <c r="GH109" s="1500"/>
      <c r="GI109" s="1500"/>
      <c r="GJ109" s="1452"/>
      <c r="GK109" s="1500"/>
      <c r="GL109" s="1500"/>
      <c r="GM109" s="1500"/>
      <c r="GN109" s="1500"/>
      <c r="GO109" s="1500"/>
      <c r="GP109" s="1500"/>
      <c r="GQ109" s="1500"/>
      <c r="GR109" s="1500"/>
      <c r="GS109" s="1500"/>
      <c r="GT109" s="1500"/>
      <c r="GU109" s="1500"/>
      <c r="GV109" s="1500"/>
      <c r="GW109" s="1500"/>
      <c r="GX109" s="1452"/>
      <c r="GY109" s="1500"/>
      <c r="GZ109" s="1500"/>
      <c r="HA109" s="1500"/>
      <c r="HB109" s="1452"/>
      <c r="HC109" s="1452"/>
      <c r="HD109" s="1500"/>
      <c r="HE109" s="1500"/>
      <c r="HF109" s="1500"/>
      <c r="HG109" s="1500"/>
      <c r="HH109" s="1500"/>
      <c r="HI109" s="1500"/>
      <c r="HJ109" s="1500"/>
      <c r="HK109" s="1500"/>
      <c r="HL109" s="1500"/>
      <c r="HM109" s="1500"/>
      <c r="HN109" s="1500"/>
      <c r="HO109" s="1452"/>
      <c r="HP109" s="1500"/>
      <c r="HQ109" s="1500"/>
      <c r="HR109" s="1500"/>
      <c r="HS109" s="1500"/>
      <c r="HT109" s="1500"/>
      <c r="HU109" s="1500"/>
      <c r="HV109" s="1500"/>
      <c r="HW109" s="1500"/>
      <c r="HX109" s="1500"/>
      <c r="HY109" s="1500"/>
      <c r="HZ109" s="1500"/>
      <c r="IA109" s="1500"/>
      <c r="IB109" s="1500"/>
      <c r="IC109" s="1500"/>
      <c r="ID109" s="1500"/>
      <c r="IE109" s="1500"/>
      <c r="IF109" s="1500"/>
      <c r="IG109" s="1500"/>
      <c r="IH109" s="1500"/>
      <c r="II109" s="1500"/>
      <c r="IJ109" s="1500"/>
      <c r="IK109" s="1500"/>
      <c r="IL109" s="1500"/>
      <c r="IM109" s="1500"/>
      <c r="IN109" s="1500"/>
      <c r="IO109" s="1500"/>
      <c r="IP109" s="1500"/>
      <c r="IQ109" s="1500"/>
      <c r="IR109" s="1500"/>
      <c r="IS109" s="1500"/>
      <c r="IT109" s="1500"/>
      <c r="IU109" s="1500"/>
      <c r="IV109" s="1500"/>
      <c r="IW109" s="1500"/>
      <c r="IX109" s="1500"/>
      <c r="IY109" s="1452"/>
      <c r="IZ109" s="1500"/>
      <c r="JA109" s="1452">
        <v>165</v>
      </c>
      <c r="JB109" s="1500"/>
      <c r="JC109" s="1500"/>
      <c r="JD109" s="1500"/>
      <c r="JE109" s="1500"/>
      <c r="JF109" s="1500"/>
      <c r="JG109" s="1500"/>
      <c r="JH109" s="1500"/>
      <c r="JI109" s="1500"/>
      <c r="JJ109" s="1500"/>
      <c r="JK109" s="1500"/>
      <c r="JL109" s="1500"/>
      <c r="JM109" s="1500"/>
      <c r="JN109" s="1500"/>
      <c r="JO109" s="1500"/>
      <c r="JP109" s="1500"/>
      <c r="JQ109" s="1477"/>
      <c r="JR109" s="351"/>
      <c r="JS109" s="1400" t="s">
        <v>3139</v>
      </c>
      <c r="JT109" s="1400" t="s">
        <v>2242</v>
      </c>
    </row>
    <row r="110" spans="1:280" ht="30" x14ac:dyDescent="0.25">
      <c r="A110" s="1367">
        <v>63</v>
      </c>
      <c r="B110" s="1411" t="str">
        <f t="shared" si="19"/>
        <v/>
      </c>
      <c r="C110" s="1435" t="s">
        <v>3212</v>
      </c>
      <c r="D110" s="1436" t="s">
        <v>3213</v>
      </c>
      <c r="E110" s="1479"/>
      <c r="F110" s="1479"/>
      <c r="G110" s="1479" t="str">
        <f>IF(G100+G101+G102+G103+G107+G108+G109&gt;0,G100+G101+G102+G103+G107+G108+G109,"")</f>
        <v/>
      </c>
      <c r="H110" s="1479"/>
      <c r="I110" s="1479" t="str">
        <f>IF(I100+I101+I102+I103+I107+I108+I109&gt;0,I100+I101+I102+I103+I107+I108+I109,"")</f>
        <v/>
      </c>
      <c r="J110" s="1479"/>
      <c r="K110" s="1479"/>
      <c r="L110" s="1479" t="str">
        <f>IF(L100+L101+L102+L103+L107+L108+L109&gt;0,L100+L101+L102+L103+L107+L108+L109,"")</f>
        <v/>
      </c>
      <c r="M110" s="1479"/>
      <c r="N110" s="1479"/>
      <c r="O110" s="1479"/>
      <c r="P110" s="1479"/>
      <c r="Q110" s="1479" t="str">
        <f>IF(Q100+Q101+Q102+Q103+Q107+Q108+Q109&gt;0,Q100+Q101+Q102+Q103+Q107+Q108+Q109,"")</f>
        <v/>
      </c>
      <c r="R110" s="1479"/>
      <c r="S110" s="1479" t="str">
        <f>IF(S100+S101+S102+S103+S107+S108+S109&gt;0,S100+S101+S102+S103+S107+S108+S109,"")</f>
        <v/>
      </c>
      <c r="T110" s="1529"/>
      <c r="U110" s="1529"/>
      <c r="V110" s="1529"/>
      <c r="W110" s="1529"/>
      <c r="X110" s="1529"/>
      <c r="Y110" s="1529"/>
      <c r="Z110" s="1529"/>
      <c r="AA110" s="1529"/>
      <c r="AB110" s="1529"/>
      <c r="AC110" s="1479" t="str">
        <f>IF(AC100+AC101+AC102+AC103+AC107+AC108+AC109&gt;0,AC100+AC101+AC102+AC103+AC107+AC108+AC109,"")</f>
        <v/>
      </c>
      <c r="AD110" s="1479"/>
      <c r="AE110" s="1479"/>
      <c r="AF110" s="1479"/>
      <c r="AG110" s="1479"/>
      <c r="AH110" s="1479">
        <f>IF(AH100+AH101+AH102+AH103+AH108+AH109&gt;0,AH100+AH101+AH102+AH103+AH108+AH109,"")</f>
        <v>900</v>
      </c>
      <c r="AI110" s="1479"/>
      <c r="AJ110" s="1479"/>
      <c r="AK110" s="1479"/>
      <c r="AL110" s="1479"/>
      <c r="AM110" s="1479">
        <f>IF(AM100+AM101+AM102+AM103+AM108+AM109&gt;0,AM100+AM101+AM102+AM103+AM108+AM109,"")</f>
        <v>900</v>
      </c>
      <c r="AN110" s="1529"/>
      <c r="AO110" s="1529"/>
      <c r="AP110" s="1529"/>
      <c r="AQ110" s="1529"/>
      <c r="AR110" s="1529"/>
      <c r="AS110" s="1529"/>
      <c r="AT110" s="1529"/>
      <c r="AU110" s="1529"/>
      <c r="AV110" s="1479">
        <f>IF(AV100+AV101+AV102+AV103+AV108+AV109&gt;0,AV100+AV101+AV102+AV103+AV108+AV109,"")</f>
        <v>7750</v>
      </c>
      <c r="AW110" s="1529"/>
      <c r="AX110" s="1529"/>
      <c r="AY110" s="1529"/>
      <c r="AZ110" s="1529"/>
      <c r="BA110" s="1529"/>
      <c r="BB110" s="1529"/>
      <c r="BC110" s="1529"/>
      <c r="BD110" s="1529"/>
      <c r="BE110" s="1529"/>
      <c r="BF110" s="1529"/>
      <c r="BG110" s="1529"/>
      <c r="BH110" s="1529"/>
      <c r="BI110" s="1529"/>
      <c r="BJ110" s="1503"/>
      <c r="BK110" s="1529"/>
      <c r="BL110" s="1529"/>
      <c r="BM110" s="1529"/>
      <c r="BN110" s="1529"/>
      <c r="BO110" s="1529"/>
      <c r="BP110" s="1479"/>
      <c r="BQ110" s="1529"/>
      <c r="BR110" s="1529"/>
      <c r="BS110" s="1529"/>
      <c r="BT110" s="1529"/>
      <c r="BU110" s="1529"/>
      <c r="BV110" s="1529"/>
      <c r="BW110" s="1529"/>
      <c r="BX110" s="1529"/>
      <c r="BY110" s="1529"/>
      <c r="BZ110" s="1529"/>
      <c r="CA110" s="1529"/>
      <c r="CB110" s="1529">
        <f>IF(CB100+CB101+CB102+CB103+CB108+CB109&gt;0,CB100+CB101+CB102+CB103+CB105+CB107+CB108+CB109,"")</f>
        <v>1333946</v>
      </c>
      <c r="CC110" s="1529"/>
      <c r="CD110" s="1529">
        <f>IF(CD100+CD101+CD102+CD103+CD108+CD109&gt;0,CD100+CD101+CD102+CD103+CD104+CD105+CD106+CD107+CD108+CD109,"")</f>
        <v>31242</v>
      </c>
      <c r="CE110" s="1529"/>
      <c r="CF110" s="1479">
        <f>IF(CF100+CF101+CF102+CF103+CF108+CF109&gt;0,CF100+CF101+CF102+CF103+CF108+CF109,"")</f>
        <v>6350</v>
      </c>
      <c r="CG110" s="1529"/>
      <c r="CH110" s="1479" t="str">
        <f>IF(CH100+CH101+CH102+CH103+CH107+CH108+CH109&gt;0,CH100+CH101+CH102+CH103+CH107+CH108+CH109,"")</f>
        <v/>
      </c>
      <c r="CI110" s="1529"/>
      <c r="CJ110" s="1529"/>
      <c r="CK110" s="1529"/>
      <c r="CL110" s="1479">
        <f>IF(CL100+CL101+CL102+CL103+CL108+CL109&gt;0,CL100+CL101+CL102+CL103+CL108+CL109,"")</f>
        <v>3165</v>
      </c>
      <c r="CM110" s="1479" t="str">
        <f t="shared" ref="CM110" si="50">IF(CM100+CM101+CM102+CM103+CM108+CM109&gt;0,CM100+CM101+CM102+CM103+CM108+CM109,"")</f>
        <v/>
      </c>
      <c r="CN110" s="1479">
        <f>IF(CN100+CN101+CN102+CN103+CN108+CN109&gt;0,CN100+CN101+CN102+CN103+CN108+CN109,"")</f>
        <v>6005</v>
      </c>
      <c r="CO110" s="1479">
        <f>IF(CO100+CO101+CO102+CO103+CO108+CO109&gt;0,CO100+CO101+CO102+CO103+CO107+CO108+CO109,"")</f>
        <v>39467</v>
      </c>
      <c r="CP110" s="1529"/>
      <c r="CQ110" s="1529"/>
      <c r="CR110" s="1479">
        <f>IF(CR100+CR101+CR102+CR103+CR108+CR109&gt;0,CR100+CR101+CR102+CR103+CR108+CR109,"")</f>
        <v>3165</v>
      </c>
      <c r="CS110" s="1479">
        <f>IF(CS100+CS101+CS102+CS103+CS108+CS109&gt;0,CS100+CS101+CS102+CS103+CS108+CS109,"")</f>
        <v>3165</v>
      </c>
      <c r="CT110" s="1529"/>
      <c r="CU110" s="1479">
        <f>IF(CU100+CU101+CU102+CU103+CU108+CU109&gt;0,CU100+CU101+CU102+CU103+CU108+CU109,"")</f>
        <v>4500</v>
      </c>
      <c r="CV110" s="1479">
        <f>IF(CV100+CV101+CV102+CV103+CV108+CV109&gt;0,CV100+CV101+CV102+CV103+CV108+CV109,"")</f>
        <v>4500</v>
      </c>
      <c r="CW110" s="1529"/>
      <c r="CX110" s="1529"/>
      <c r="CY110" s="1529"/>
      <c r="CZ110" s="1529"/>
      <c r="DA110" s="1529"/>
      <c r="DB110" s="1529"/>
      <c r="DC110" s="1529">
        <f>IF(DC100+DC101+DC102+DC103+DC108+DC109&gt;0,DC100+DC101+DC102+DC103+DC108+DC109,"")</f>
        <v>4500</v>
      </c>
      <c r="DD110" s="1529"/>
      <c r="DE110" s="1529"/>
      <c r="DF110" s="1529"/>
      <c r="DG110" s="1529"/>
      <c r="DH110" s="1529"/>
      <c r="DI110" s="1529"/>
      <c r="DJ110" s="1479">
        <f>IF(DJ100+DJ101+DJ102+DJ103+DJ108+DJ109&gt;0,DJ100+DJ101+DJ102+DJ103+DJ108+DJ109,"")</f>
        <v>4500</v>
      </c>
      <c r="DK110" s="1529"/>
      <c r="DL110" s="1529"/>
      <c r="DM110" s="1529"/>
      <c r="DN110" s="1529"/>
      <c r="DO110" s="1479"/>
      <c r="DP110" s="1529"/>
      <c r="DQ110" s="1529"/>
      <c r="DR110" s="1504">
        <v>111925</v>
      </c>
      <c r="DS110" s="1529"/>
      <c r="DT110" s="1529"/>
      <c r="DU110" s="1529"/>
      <c r="DV110" s="1529"/>
      <c r="DW110" s="1529"/>
      <c r="DX110" s="1529"/>
      <c r="DY110" s="1529"/>
      <c r="DZ110" s="1529"/>
      <c r="EA110" s="1529">
        <f>IF(EA100+EA101+EA102+EA103+EA108+EA109&gt;0,EA100+EA101+EA102+EA103+EA108+EA109,"")</f>
        <v>6005</v>
      </c>
      <c r="EB110" s="1529"/>
      <c r="EC110" s="1529"/>
      <c r="ED110" s="1529"/>
      <c r="EE110" s="1529"/>
      <c r="EF110" s="1479">
        <f>IF(EF100+EF101+EF102+EF103+EF108+EF109&gt;0,EF100+EF101+EF102+EF103+EF108+EF109,"")</f>
        <v>6000</v>
      </c>
      <c r="EG110" s="1479" t="str">
        <f>IF(EG100+EG101+EG102+EG103+EG107+EG108+EG109&gt;0,EG100+EG101+EG102+EG103+EG107+EG108+EG109,"")</f>
        <v/>
      </c>
      <c r="EH110" s="1529"/>
      <c r="EI110" s="1479">
        <f>IF(EI100+EI101+EI102+EI103+EI108+EI109&gt;0,EI100+EI101+EI102+EI103+EI108+EI109,"")</f>
        <v>1161</v>
      </c>
      <c r="EJ110" s="1529"/>
      <c r="EK110" s="1529"/>
      <c r="EL110" s="1529"/>
      <c r="EM110" s="1479">
        <f>IF(EM100+EM101+EM102+EM103+EM108+EM109&gt;0,EM100+EM101+EM102+EM103+EM108+EM109,"")</f>
        <v>3165</v>
      </c>
      <c r="EN110" s="1529"/>
      <c r="EO110" s="1529"/>
      <c r="EP110" s="1529"/>
      <c r="EQ110" s="1529"/>
      <c r="ER110" s="1529"/>
      <c r="ES110" s="1529"/>
      <c r="ET110" s="1529"/>
      <c r="EU110" s="1529"/>
      <c r="EV110" s="1529"/>
      <c r="EW110" s="1529"/>
      <c r="EX110" s="1529"/>
      <c r="EY110" s="1479">
        <f>IF(EY100+EY101+EY102+EY103+EY108+EY109&gt;0,EY100+EY101+EY102+EY103+EY108+EY109,"")</f>
        <v>3165</v>
      </c>
      <c r="EZ110" s="1529"/>
      <c r="FA110" s="1529"/>
      <c r="FB110" s="1529"/>
      <c r="FC110" s="1529"/>
      <c r="FD110" s="1529"/>
      <c r="FE110" s="1529"/>
      <c r="FF110" s="1479">
        <f>IF(FF100+FF101+FF102+FF103+FF108+FF109&gt;0,FF100+FF101+FF102+FF103+FF108+FF109,"")</f>
        <v>6350</v>
      </c>
      <c r="FG110" s="1529"/>
      <c r="FH110" s="1479">
        <f>IF(FH100+FH101+FH102+FH103+FH108+FH109&gt;0,FH100+FH101+FH102+FH103+FH108+FH109,"")</f>
        <v>4500</v>
      </c>
      <c r="FI110" s="1529"/>
      <c r="FJ110" s="1529"/>
      <c r="FK110" s="1529"/>
      <c r="FL110" s="1529"/>
      <c r="FM110" s="1529"/>
      <c r="FN110" s="1529"/>
      <c r="FO110" s="1529"/>
      <c r="FP110" s="1529"/>
      <c r="FQ110" s="1529"/>
      <c r="FR110" s="1529"/>
      <c r="FS110" s="1529"/>
      <c r="FT110" s="1529"/>
      <c r="FU110" s="1529"/>
      <c r="FV110" s="1529"/>
      <c r="FW110" s="1529"/>
      <c r="FX110" s="1529"/>
      <c r="FY110" s="1529"/>
      <c r="FZ110" s="1529"/>
      <c r="GA110" s="1529"/>
      <c r="GB110" s="1529"/>
      <c r="GC110" s="1529"/>
      <c r="GD110" s="1529"/>
      <c r="GE110" s="1529"/>
      <c r="GF110" s="1529"/>
      <c r="GG110" s="1529"/>
      <c r="GH110" s="1529"/>
      <c r="GI110" s="1529"/>
      <c r="GJ110" s="1479" t="str">
        <f>IF(GJ100+GJ101+GJ102+GJ103+GJ108+GJ109&gt;0,GJ100+GJ101+GJ102+GJ103+GJ108+GJ109,"")</f>
        <v/>
      </c>
      <c r="GK110" s="1529"/>
      <c r="GL110" s="1529"/>
      <c r="GM110" s="1529"/>
      <c r="GN110" s="1529"/>
      <c r="GO110" s="1529"/>
      <c r="GP110" s="1529"/>
      <c r="GQ110" s="1529"/>
      <c r="GR110" s="1529"/>
      <c r="GS110" s="1529"/>
      <c r="GT110" s="1529"/>
      <c r="GU110" s="1529"/>
      <c r="GV110" s="1529"/>
      <c r="GW110" s="1529"/>
      <c r="GX110" s="1479">
        <f>IF(GX100+GX101+GX102+GX103+GX108+GX109&gt;0,GX100+GX101+GX102+GX103+GX108+GX109,"")</f>
        <v>5000</v>
      </c>
      <c r="GY110" s="1529"/>
      <c r="GZ110" s="1529"/>
      <c r="HA110" s="1529"/>
      <c r="HB110" s="1479">
        <f>IF(HB100+HB101+HB102+HB103+HB108+HB109&gt;0,HB100+HB101+HB102+HB103+HB108+HB109,"")</f>
        <v>7750</v>
      </c>
      <c r="HC110" s="1479">
        <f>IF(HC100+HC101+HC102+HC103+HC108+HC109&gt;0,HC100+HC101+HC102+HC103+HC108+HC109,"")</f>
        <v>4500</v>
      </c>
      <c r="HD110" s="1529"/>
      <c r="HE110" s="1529"/>
      <c r="HF110" s="1529"/>
      <c r="HG110" s="1529"/>
      <c r="HH110" s="1529"/>
      <c r="HI110" s="1529"/>
      <c r="HJ110" s="1529"/>
      <c r="HK110" s="1529"/>
      <c r="HL110" s="1529"/>
      <c r="HM110" s="1529"/>
      <c r="HN110" s="1529"/>
      <c r="HO110" s="1479" t="str">
        <f>IF(HO100+HO101+HO102+HO103+HO107+HO108+HO109&gt;0,HO100+HO101+HO102+HO103+HO107+HO108+HO109,"")</f>
        <v/>
      </c>
      <c r="HP110" s="1529"/>
      <c r="HQ110" s="1529"/>
      <c r="HR110" s="1529"/>
      <c r="HS110" s="1529"/>
      <c r="HT110" s="1529"/>
      <c r="HU110" s="1504"/>
      <c r="HV110" s="1529"/>
      <c r="HW110" s="1529"/>
      <c r="HX110" s="1529"/>
      <c r="HY110" s="1529"/>
      <c r="HZ110" s="1529"/>
      <c r="IA110" s="1529"/>
      <c r="IB110" s="1529"/>
      <c r="IC110" s="1529"/>
      <c r="ID110" s="1529"/>
      <c r="IE110" s="1529"/>
      <c r="IF110" s="1529"/>
      <c r="IG110" s="1529"/>
      <c r="IH110" s="1529"/>
      <c r="II110" s="1529"/>
      <c r="IJ110" s="1529"/>
      <c r="IK110" s="1529"/>
      <c r="IL110" s="1529"/>
      <c r="IM110" s="1529"/>
      <c r="IN110" s="1529"/>
      <c r="IO110" s="1529"/>
      <c r="IP110" s="1529"/>
      <c r="IQ110" s="1529"/>
      <c r="IR110" s="1529"/>
      <c r="IS110" s="1529"/>
      <c r="IT110" s="1529"/>
      <c r="IU110" s="1503">
        <f>IF(IU100+IU101+IU102+IU103+IU108+IU109&gt;0,IU100+IU101+IU102+IU103+IU108+IU109,"")</f>
        <v>780</v>
      </c>
      <c r="IV110" s="1529"/>
      <c r="IW110" s="1529"/>
      <c r="IX110" s="1503">
        <f>IF(IX100+IX101+IX102+IX103+IX108+IX109&gt;0,IX100+IX101+IX102+IX103+IX108+IX109,"")</f>
        <v>18910</v>
      </c>
      <c r="IY110" s="1479">
        <f>IF(IY100+IY101+IY102+IY103+IY108+IY109&gt;0,IY100+IY101+IY102+IY103+IY108+IY109,"")</f>
        <v>6350</v>
      </c>
      <c r="IZ110" s="1529"/>
      <c r="JA110" s="1479">
        <f>IF(JA100+JA101+JA102+JA103+JA108+JA109&gt;0,JA100+JA101+JA102+JA103+JA108+JA109,"")</f>
        <v>3165</v>
      </c>
      <c r="JB110" s="1479" t="str">
        <f t="shared" ref="JB110:JP110" si="51">IF(JB100+JB101+JB102+JB103+JB108+JB109&gt;0,JB100+JB101+JB102+JB103+JB108+JB109,"")</f>
        <v/>
      </c>
      <c r="JC110" s="1479" t="str">
        <f t="shared" si="51"/>
        <v/>
      </c>
      <c r="JD110" s="1479" t="str">
        <f t="shared" si="51"/>
        <v/>
      </c>
      <c r="JE110" s="1479" t="str">
        <f t="shared" si="51"/>
        <v/>
      </c>
      <c r="JF110" s="1479" t="str">
        <f t="shared" si="51"/>
        <v/>
      </c>
      <c r="JG110" s="1479" t="str">
        <f t="shared" si="51"/>
        <v/>
      </c>
      <c r="JH110" s="1479" t="str">
        <f>IF(JH100+JH101+JH102+JH103+JH108+JH109&gt;0,JH100+JH101+JH102+JH103+JH108+JH109,"")</f>
        <v/>
      </c>
      <c r="JI110" s="1479"/>
      <c r="JJ110" s="1479" t="str">
        <f t="shared" si="51"/>
        <v/>
      </c>
      <c r="JK110" s="1479" t="str">
        <f t="shared" si="51"/>
        <v/>
      </c>
      <c r="JL110" s="1479" t="str">
        <f t="shared" si="51"/>
        <v/>
      </c>
      <c r="JM110" s="1479" t="str">
        <f t="shared" si="51"/>
        <v/>
      </c>
      <c r="JN110" s="1479" t="str">
        <f t="shared" si="51"/>
        <v/>
      </c>
      <c r="JO110" s="1479" t="str">
        <f t="shared" si="51"/>
        <v/>
      </c>
      <c r="JP110" s="1479" t="str">
        <f t="shared" si="51"/>
        <v/>
      </c>
      <c r="JQ110" s="1530"/>
      <c r="JR110" s="351"/>
      <c r="JS110" s="1400" t="s">
        <v>3214</v>
      </c>
      <c r="JT110" s="1400" t="s">
        <v>2242</v>
      </c>
    </row>
    <row r="111" spans="1:280" x14ac:dyDescent="0.25">
      <c r="A111" s="1367">
        <v>64</v>
      </c>
      <c r="B111" s="1411" t="str">
        <f t="shared" si="19"/>
        <v/>
      </c>
      <c r="C111" s="1435" t="s">
        <v>3215</v>
      </c>
      <c r="D111" s="1436" t="s">
        <v>3216</v>
      </c>
      <c r="E111" s="1452"/>
      <c r="F111" s="1452"/>
      <c r="G111" s="1452"/>
      <c r="H111" s="1452"/>
      <c r="I111" s="1452"/>
      <c r="J111" s="1452"/>
      <c r="K111" s="1452"/>
      <c r="L111" s="1452"/>
      <c r="M111" s="1452"/>
      <c r="N111" s="1452"/>
      <c r="O111" s="1528"/>
      <c r="P111" s="1528"/>
      <c r="Q111" s="1452"/>
      <c r="R111" s="1528"/>
      <c r="S111" s="1452"/>
      <c r="T111" s="1500"/>
      <c r="U111" s="1500"/>
      <c r="V111" s="1500"/>
      <c r="W111" s="1500"/>
      <c r="X111" s="1500"/>
      <c r="Y111" s="1500"/>
      <c r="Z111" s="1500"/>
      <c r="AA111" s="1500"/>
      <c r="AB111" s="1500"/>
      <c r="AC111" s="1452"/>
      <c r="AD111" s="1452"/>
      <c r="AE111" s="1452"/>
      <c r="AF111" s="1452"/>
      <c r="AG111" s="1452"/>
      <c r="AH111" s="1452"/>
      <c r="AI111" s="1500"/>
      <c r="AJ111" s="1452"/>
      <c r="AK111" s="1500"/>
      <c r="AL111" s="1452"/>
      <c r="AM111" s="1500"/>
      <c r="AN111" s="1500"/>
      <c r="AO111" s="1500"/>
      <c r="AP111" s="1500"/>
      <c r="AQ111" s="1500"/>
      <c r="AR111" s="1500"/>
      <c r="AS111" s="1500"/>
      <c r="AT111" s="1500"/>
      <c r="AU111" s="1500"/>
      <c r="AV111" s="1452"/>
      <c r="AW111" s="1500"/>
      <c r="AX111" s="1500"/>
      <c r="AY111" s="1500"/>
      <c r="AZ111" s="1500"/>
      <c r="BA111" s="1500"/>
      <c r="BB111" s="1500"/>
      <c r="BC111" s="1500"/>
      <c r="BD111" s="1500"/>
      <c r="BE111" s="1500"/>
      <c r="BF111" s="1500"/>
      <c r="BG111" s="1500"/>
      <c r="BH111" s="1500"/>
      <c r="BI111" s="1500"/>
      <c r="BJ111" s="1452"/>
      <c r="BK111" s="1500"/>
      <c r="BL111" s="1500"/>
      <c r="BM111" s="1500"/>
      <c r="BN111" s="1500"/>
      <c r="BO111" s="1500"/>
      <c r="BP111" s="1452"/>
      <c r="BQ111" s="1500"/>
      <c r="BR111" s="1500"/>
      <c r="BS111" s="1500"/>
      <c r="BT111" s="1500"/>
      <c r="BU111" s="1500"/>
      <c r="BV111" s="1500"/>
      <c r="BW111" s="1500"/>
      <c r="BX111" s="1500"/>
      <c r="BY111" s="1500"/>
      <c r="BZ111" s="1500"/>
      <c r="CA111" s="1500"/>
      <c r="CB111" s="1500"/>
      <c r="CC111" s="1500"/>
      <c r="CD111" s="1500"/>
      <c r="CE111" s="1500"/>
      <c r="CF111" s="1452"/>
      <c r="CG111" s="1500"/>
      <c r="CH111" s="1452"/>
      <c r="CI111" s="1500"/>
      <c r="CJ111" s="1500"/>
      <c r="CK111" s="1500"/>
      <c r="CL111" s="1452"/>
      <c r="CM111" s="1500"/>
      <c r="CN111" s="1500"/>
      <c r="CO111" s="1500"/>
      <c r="CP111" s="1500"/>
      <c r="CQ111" s="1500"/>
      <c r="CR111" s="1452"/>
      <c r="CS111" s="1452"/>
      <c r="CT111" s="1500"/>
      <c r="CU111" s="1452">
        <v>620</v>
      </c>
      <c r="CV111" s="1452">
        <v>620</v>
      </c>
      <c r="CW111" s="1500"/>
      <c r="CX111" s="1500"/>
      <c r="CY111" s="1500"/>
      <c r="CZ111" s="1500"/>
      <c r="DA111" s="1500"/>
      <c r="DB111" s="1500"/>
      <c r="DC111" s="1500">
        <v>620</v>
      </c>
      <c r="DD111" s="1500"/>
      <c r="DE111" s="1500"/>
      <c r="DF111" s="1500"/>
      <c r="DG111" s="1500"/>
      <c r="DH111" s="1500"/>
      <c r="DI111" s="1500"/>
      <c r="DJ111" s="1452">
        <v>620</v>
      </c>
      <c r="DK111" s="1500"/>
      <c r="DL111" s="1500"/>
      <c r="DM111" s="1500"/>
      <c r="DN111" s="1500"/>
      <c r="DO111" s="1452"/>
      <c r="DP111" s="1500"/>
      <c r="DQ111" s="1500"/>
      <c r="DR111" s="1472">
        <v>50975</v>
      </c>
      <c r="DS111" s="1500"/>
      <c r="DT111" s="1500"/>
      <c r="DU111" s="1500"/>
      <c r="DV111" s="1500"/>
      <c r="DW111" s="1500"/>
      <c r="DX111" s="1500"/>
      <c r="DY111" s="1500"/>
      <c r="DZ111" s="1500"/>
      <c r="EA111" s="1455"/>
      <c r="EB111" s="1500"/>
      <c r="EC111" s="1500"/>
      <c r="ED111" s="1500"/>
      <c r="EE111" s="1500"/>
      <c r="EF111" s="1452"/>
      <c r="EG111" s="1452"/>
      <c r="EH111" s="1500"/>
      <c r="EI111" s="1452"/>
      <c r="EJ111" s="1500"/>
      <c r="EK111" s="1500"/>
      <c r="EL111" s="1500"/>
      <c r="EM111" s="1452"/>
      <c r="EN111" s="1500"/>
      <c r="EO111" s="1500"/>
      <c r="EP111" s="1500"/>
      <c r="EQ111" s="1500"/>
      <c r="ER111" s="1500"/>
      <c r="ES111" s="1500"/>
      <c r="ET111" s="1500"/>
      <c r="EU111" s="1500"/>
      <c r="EV111" s="1500"/>
      <c r="EW111" s="1500"/>
      <c r="EX111" s="1500"/>
      <c r="EY111" s="1452"/>
      <c r="EZ111" s="1500"/>
      <c r="FA111" s="1500"/>
      <c r="FB111" s="1500"/>
      <c r="FC111" s="1500"/>
      <c r="FD111" s="1500"/>
      <c r="FE111" s="1500"/>
      <c r="FF111" s="1452"/>
      <c r="FG111" s="1500"/>
      <c r="FH111" s="1452">
        <v>620</v>
      </c>
      <c r="FI111" s="1500"/>
      <c r="FJ111" s="1500"/>
      <c r="FK111" s="1500"/>
      <c r="FL111" s="1500"/>
      <c r="FM111" s="1500"/>
      <c r="FN111" s="1500"/>
      <c r="FO111" s="1500"/>
      <c r="FP111" s="1500"/>
      <c r="FQ111" s="1500"/>
      <c r="FR111" s="1500"/>
      <c r="FS111" s="1500"/>
      <c r="FT111" s="1500"/>
      <c r="FU111" s="1500"/>
      <c r="FV111" s="1500"/>
      <c r="FW111" s="1500"/>
      <c r="FX111" s="1500"/>
      <c r="FY111" s="1500"/>
      <c r="FZ111" s="1500"/>
      <c r="GA111" s="1500"/>
      <c r="GB111" s="1500"/>
      <c r="GC111" s="1500"/>
      <c r="GD111" s="1500"/>
      <c r="GE111" s="1500"/>
      <c r="GF111" s="1500"/>
      <c r="GG111" s="1500"/>
      <c r="GH111" s="1500"/>
      <c r="GI111" s="1500"/>
      <c r="GJ111" s="1452"/>
      <c r="GK111" s="1500"/>
      <c r="GL111" s="1500"/>
      <c r="GM111" s="1500"/>
      <c r="GN111" s="1500"/>
      <c r="GO111" s="1500"/>
      <c r="GP111" s="1500"/>
      <c r="GQ111" s="1500"/>
      <c r="GR111" s="1500"/>
      <c r="GS111" s="1500"/>
      <c r="GT111" s="1500"/>
      <c r="GU111" s="1500"/>
      <c r="GV111" s="1500"/>
      <c r="GW111" s="1500"/>
      <c r="GX111" s="1452"/>
      <c r="GY111" s="1500"/>
      <c r="GZ111" s="1500"/>
      <c r="HA111" s="1500"/>
      <c r="HB111" s="1452"/>
      <c r="HC111" s="1452">
        <v>620</v>
      </c>
      <c r="HD111" s="1500"/>
      <c r="HE111" s="1500"/>
      <c r="HF111" s="1500"/>
      <c r="HG111" s="1500"/>
      <c r="HH111" s="1500"/>
      <c r="HI111" s="1500"/>
      <c r="HJ111" s="1500"/>
      <c r="HK111" s="1500"/>
      <c r="HL111" s="1500"/>
      <c r="HM111" s="1500"/>
      <c r="HN111" s="1500"/>
      <c r="HO111" s="1452"/>
      <c r="HP111" s="1500"/>
      <c r="HQ111" s="1500"/>
      <c r="HR111" s="1500"/>
      <c r="HS111" s="1500"/>
      <c r="HT111" s="1500"/>
      <c r="HU111" s="1500"/>
      <c r="HV111" s="1500"/>
      <c r="HW111" s="1452"/>
      <c r="HX111" s="1500"/>
      <c r="HY111" s="1500"/>
      <c r="HZ111" s="1500"/>
      <c r="IA111" s="1500"/>
      <c r="IB111" s="1500"/>
      <c r="IC111" s="1500"/>
      <c r="ID111" s="1500"/>
      <c r="IE111" s="1500"/>
      <c r="IF111" s="1500"/>
      <c r="IG111" s="1500"/>
      <c r="IH111" s="1500"/>
      <c r="II111" s="1500"/>
      <c r="IJ111" s="1500"/>
      <c r="IK111" s="1500"/>
      <c r="IL111" s="1500"/>
      <c r="IM111" s="1500"/>
      <c r="IN111" s="1500"/>
      <c r="IO111" s="1500"/>
      <c r="IP111" s="1500"/>
      <c r="IQ111" s="1500"/>
      <c r="IR111" s="1500"/>
      <c r="IS111" s="1500"/>
      <c r="IT111" s="1500"/>
      <c r="IU111" s="1500"/>
      <c r="IV111" s="1500"/>
      <c r="IW111" s="1500"/>
      <c r="IX111" s="1472">
        <v>16350</v>
      </c>
      <c r="IY111" s="1452"/>
      <c r="IZ111" s="1500"/>
      <c r="JA111" s="1452"/>
      <c r="JB111" s="1500"/>
      <c r="JC111" s="1500"/>
      <c r="JD111" s="1500"/>
      <c r="JE111" s="1500"/>
      <c r="JF111" s="1500"/>
      <c r="JG111" s="1500"/>
      <c r="JH111" s="1500"/>
      <c r="JI111" s="1500"/>
      <c r="JJ111" s="1500"/>
      <c r="JK111" s="1500"/>
      <c r="JL111" s="1500"/>
      <c r="JM111" s="1500"/>
      <c r="JN111" s="1500"/>
      <c r="JO111" s="1500"/>
      <c r="JP111" s="1500"/>
      <c r="JQ111" s="1477"/>
      <c r="JR111" s="351"/>
      <c r="JS111" s="1400"/>
      <c r="JT111" s="1400" t="s">
        <v>2242</v>
      </c>
    </row>
    <row r="112" spans="1:280" x14ac:dyDescent="0.25">
      <c r="A112" s="1367">
        <v>65</v>
      </c>
      <c r="B112" s="1411" t="str">
        <f t="shared" si="19"/>
        <v/>
      </c>
      <c r="C112" s="1435" t="s">
        <v>3217</v>
      </c>
      <c r="D112" s="1436" t="s">
        <v>2985</v>
      </c>
      <c r="E112" s="1452"/>
      <c r="F112" s="1452"/>
      <c r="G112" s="1452"/>
      <c r="H112" s="1452"/>
      <c r="I112" s="1452"/>
      <c r="J112" s="1452"/>
      <c r="K112" s="1452"/>
      <c r="L112" s="1452"/>
      <c r="M112" s="1452"/>
      <c r="N112" s="1452"/>
      <c r="O112" s="1528"/>
      <c r="P112" s="1528"/>
      <c r="Q112" s="1452"/>
      <c r="R112" s="1528"/>
      <c r="S112" s="1452"/>
      <c r="T112" s="1500"/>
      <c r="U112" s="1500"/>
      <c r="V112" s="1500"/>
      <c r="W112" s="1500"/>
      <c r="X112" s="1500"/>
      <c r="Y112" s="1500"/>
      <c r="Z112" s="1500"/>
      <c r="AA112" s="1500"/>
      <c r="AB112" s="1500"/>
      <c r="AC112" s="1452"/>
      <c r="AD112" s="1452"/>
      <c r="AE112" s="1452"/>
      <c r="AF112" s="1452"/>
      <c r="AG112" s="1452"/>
      <c r="AH112" s="1452"/>
      <c r="AI112" s="1500"/>
      <c r="AJ112" s="1452"/>
      <c r="AK112" s="1500"/>
      <c r="AL112" s="1452"/>
      <c r="AM112" s="1500"/>
      <c r="AN112" s="1500"/>
      <c r="AO112" s="1500"/>
      <c r="AP112" s="1500"/>
      <c r="AQ112" s="1500"/>
      <c r="AR112" s="1500"/>
      <c r="AS112" s="1500"/>
      <c r="AT112" s="1500"/>
      <c r="AU112" s="1500"/>
      <c r="AV112" s="1452">
        <v>361</v>
      </c>
      <c r="AW112" s="1500"/>
      <c r="AX112" s="1500"/>
      <c r="AY112" s="1500"/>
      <c r="AZ112" s="1500"/>
      <c r="BA112" s="1500"/>
      <c r="BB112" s="1500"/>
      <c r="BC112" s="1500"/>
      <c r="BD112" s="1500"/>
      <c r="BE112" s="1500"/>
      <c r="BF112" s="1500"/>
      <c r="BG112" s="1500"/>
      <c r="BH112" s="1500"/>
      <c r="BI112" s="1500"/>
      <c r="BJ112" s="1454"/>
      <c r="BK112" s="1500"/>
      <c r="BL112" s="1500"/>
      <c r="BM112" s="1500"/>
      <c r="BN112" s="1500"/>
      <c r="BO112" s="1500"/>
      <c r="BP112" s="1452"/>
      <c r="BQ112" s="1500"/>
      <c r="BR112" s="1500"/>
      <c r="BS112" s="1500"/>
      <c r="BT112" s="1500"/>
      <c r="BU112" s="1500"/>
      <c r="BV112" s="1500"/>
      <c r="BW112" s="1500"/>
      <c r="BX112" s="1500"/>
      <c r="BY112" s="1500"/>
      <c r="BZ112" s="1500"/>
      <c r="CA112" s="1500"/>
      <c r="CB112" s="1500"/>
      <c r="CC112" s="1500"/>
      <c r="CD112" s="1500"/>
      <c r="CE112" s="1500"/>
      <c r="CF112" s="1452"/>
      <c r="CG112" s="1500"/>
      <c r="CH112" s="1452"/>
      <c r="CI112" s="1500"/>
      <c r="CJ112" s="1500"/>
      <c r="CK112" s="1500"/>
      <c r="CL112" s="1452">
        <v>921</v>
      </c>
      <c r="CM112" s="1500"/>
      <c r="CN112" s="1500"/>
      <c r="CO112" s="1500"/>
      <c r="CP112" s="1500"/>
      <c r="CQ112" s="1500"/>
      <c r="CR112" s="1452">
        <v>921</v>
      </c>
      <c r="CS112" s="1452">
        <v>921</v>
      </c>
      <c r="CT112" s="1500"/>
      <c r="CU112" s="1452"/>
      <c r="CV112" s="1452"/>
      <c r="CW112" s="1500"/>
      <c r="CX112" s="1500"/>
      <c r="CY112" s="1500"/>
      <c r="CZ112" s="1500"/>
      <c r="DA112" s="1500"/>
      <c r="DB112" s="1500"/>
      <c r="DC112" s="1500"/>
      <c r="DD112" s="1500"/>
      <c r="DE112" s="1500"/>
      <c r="DF112" s="1500"/>
      <c r="DG112" s="1500"/>
      <c r="DH112" s="1500"/>
      <c r="DI112" s="1500"/>
      <c r="DJ112" s="1452"/>
      <c r="DK112" s="1500"/>
      <c r="DL112" s="1500"/>
      <c r="DM112" s="1500"/>
      <c r="DN112" s="1500"/>
      <c r="DO112" s="1452"/>
      <c r="DP112" s="1500"/>
      <c r="DQ112" s="1500"/>
      <c r="DR112" s="1500"/>
      <c r="DS112" s="1500"/>
      <c r="DT112" s="1500"/>
      <c r="DU112" s="1500"/>
      <c r="DV112" s="1500"/>
      <c r="DW112" s="1500"/>
      <c r="DX112" s="1500"/>
      <c r="DY112" s="1500"/>
      <c r="DZ112" s="1500"/>
      <c r="EA112" s="1455"/>
      <c r="EB112" s="1500"/>
      <c r="EC112" s="1500"/>
      <c r="ED112" s="1500"/>
      <c r="EE112" s="1500"/>
      <c r="EF112" s="1452"/>
      <c r="EG112" s="1452"/>
      <c r="EH112" s="1500"/>
      <c r="EI112" s="1452"/>
      <c r="EJ112" s="1500"/>
      <c r="EK112" s="1500"/>
      <c r="EL112" s="1500"/>
      <c r="EM112" s="1452">
        <v>921</v>
      </c>
      <c r="EN112" s="1500"/>
      <c r="EO112" s="1500"/>
      <c r="EP112" s="1500"/>
      <c r="EQ112" s="1500"/>
      <c r="ER112" s="1500"/>
      <c r="ES112" s="1500"/>
      <c r="ET112" s="1500"/>
      <c r="EU112" s="1500"/>
      <c r="EV112" s="1500"/>
      <c r="EW112" s="1500"/>
      <c r="EX112" s="1500"/>
      <c r="EY112" s="1452">
        <v>921</v>
      </c>
      <c r="EZ112" s="1500"/>
      <c r="FA112" s="1500"/>
      <c r="FB112" s="1500"/>
      <c r="FC112" s="1500"/>
      <c r="FD112" s="1500"/>
      <c r="FE112" s="1500"/>
      <c r="FF112" s="1452"/>
      <c r="FG112" s="1500"/>
      <c r="FH112" s="1452"/>
      <c r="FI112" s="1500"/>
      <c r="FJ112" s="1500"/>
      <c r="FK112" s="1500"/>
      <c r="FL112" s="1500"/>
      <c r="FM112" s="1500"/>
      <c r="FN112" s="1500"/>
      <c r="FO112" s="1500"/>
      <c r="FP112" s="1500"/>
      <c r="FQ112" s="1500"/>
      <c r="FR112" s="1500"/>
      <c r="FS112" s="1500"/>
      <c r="FT112" s="1500"/>
      <c r="FU112" s="1500"/>
      <c r="FV112" s="1500"/>
      <c r="FW112" s="1500"/>
      <c r="FX112" s="1500"/>
      <c r="FY112" s="1500"/>
      <c r="FZ112" s="1500"/>
      <c r="GA112" s="1500"/>
      <c r="GB112" s="1500"/>
      <c r="GC112" s="1500"/>
      <c r="GD112" s="1500"/>
      <c r="GE112" s="1500"/>
      <c r="GF112" s="1500"/>
      <c r="GG112" s="1500"/>
      <c r="GH112" s="1500"/>
      <c r="GI112" s="1500"/>
      <c r="GJ112" s="1452"/>
      <c r="GK112" s="1500"/>
      <c r="GL112" s="1500"/>
      <c r="GM112" s="1500"/>
      <c r="GN112" s="1500"/>
      <c r="GO112" s="1500"/>
      <c r="GP112" s="1500"/>
      <c r="GQ112" s="1500"/>
      <c r="GR112" s="1500"/>
      <c r="GS112" s="1500"/>
      <c r="GT112" s="1500"/>
      <c r="GU112" s="1500"/>
      <c r="GV112" s="1500"/>
      <c r="GW112" s="1500"/>
      <c r="GX112" s="1452"/>
      <c r="GY112" s="1500"/>
      <c r="GZ112" s="1500"/>
      <c r="HA112" s="1500"/>
      <c r="HB112" s="1452">
        <v>361</v>
      </c>
      <c r="HC112" s="1452"/>
      <c r="HD112" s="1500"/>
      <c r="HE112" s="1500"/>
      <c r="HF112" s="1500"/>
      <c r="HG112" s="1500"/>
      <c r="HH112" s="1500"/>
      <c r="HI112" s="1500"/>
      <c r="HJ112" s="1500"/>
      <c r="HK112" s="1500"/>
      <c r="HL112" s="1500"/>
      <c r="HM112" s="1500"/>
      <c r="HN112" s="1500"/>
      <c r="HO112" s="1452"/>
      <c r="HP112" s="1500"/>
      <c r="HQ112" s="1500"/>
      <c r="HR112" s="1500"/>
      <c r="HS112" s="1500"/>
      <c r="HT112" s="1500"/>
      <c r="HU112" s="1500"/>
      <c r="HV112" s="1500"/>
      <c r="HW112" s="1452"/>
      <c r="HX112" s="1500"/>
      <c r="HY112" s="1500"/>
      <c r="HZ112" s="1500"/>
      <c r="IA112" s="1500"/>
      <c r="IB112" s="1500"/>
      <c r="IC112" s="1500"/>
      <c r="ID112" s="1500"/>
      <c r="IE112" s="1500"/>
      <c r="IF112" s="1500"/>
      <c r="IG112" s="1500"/>
      <c r="IH112" s="1500"/>
      <c r="II112" s="1500"/>
      <c r="IJ112" s="1500"/>
      <c r="IK112" s="1500"/>
      <c r="IL112" s="1500"/>
      <c r="IM112" s="1500"/>
      <c r="IN112" s="1500"/>
      <c r="IO112" s="1500"/>
      <c r="IP112" s="1500"/>
      <c r="IQ112" s="1500"/>
      <c r="IR112" s="1500"/>
      <c r="IS112" s="1500"/>
      <c r="IT112" s="1500"/>
      <c r="IU112" s="1500"/>
      <c r="IV112" s="1500"/>
      <c r="IW112" s="1500"/>
      <c r="IX112" s="1500"/>
      <c r="IY112" s="1452"/>
      <c r="IZ112" s="1500"/>
      <c r="JA112" s="1452">
        <v>921</v>
      </c>
      <c r="JB112" s="1500"/>
      <c r="JC112" s="1500"/>
      <c r="JD112" s="1500"/>
      <c r="JE112" s="1500"/>
      <c r="JF112" s="1500"/>
      <c r="JG112" s="1500"/>
      <c r="JH112" s="1500"/>
      <c r="JI112" s="1500"/>
      <c r="JJ112" s="1500"/>
      <c r="JK112" s="1500"/>
      <c r="JL112" s="1500"/>
      <c r="JM112" s="1500"/>
      <c r="JN112" s="1500"/>
      <c r="JO112" s="1500"/>
      <c r="JP112" s="1500"/>
      <c r="JQ112" s="1477"/>
      <c r="JR112" s="351"/>
      <c r="JS112" s="1400"/>
      <c r="JT112" s="1400" t="s">
        <v>2242</v>
      </c>
    </row>
    <row r="113" spans="1:280" x14ac:dyDescent="0.25">
      <c r="A113" s="1367">
        <v>66</v>
      </c>
      <c r="B113" s="1411" t="str">
        <f t="shared" si="19"/>
        <v/>
      </c>
      <c r="C113" s="1435" t="s">
        <v>3218</v>
      </c>
      <c r="D113" s="1436" t="s">
        <v>3219</v>
      </c>
      <c r="E113" s="1479"/>
      <c r="F113" s="1479"/>
      <c r="G113" s="1479"/>
      <c r="H113" s="1479"/>
      <c r="I113" s="1479"/>
      <c r="J113" s="1479"/>
      <c r="K113" s="1479"/>
      <c r="L113" s="1479"/>
      <c r="M113" s="1479"/>
      <c r="N113" s="1479"/>
      <c r="O113" s="1479"/>
      <c r="P113" s="1479"/>
      <c r="Q113" s="1479"/>
      <c r="R113" s="1479"/>
      <c r="S113" s="1479"/>
      <c r="T113" s="1479"/>
      <c r="U113" s="1479"/>
      <c r="V113" s="1479"/>
      <c r="W113" s="1479"/>
      <c r="X113" s="1479"/>
      <c r="Y113" s="1479"/>
      <c r="Z113" s="1479"/>
      <c r="AA113" s="1479"/>
      <c r="AB113" s="1479"/>
      <c r="AC113" s="1479"/>
      <c r="AD113" s="1479"/>
      <c r="AE113" s="1479">
        <f>AE97+AE111+AE112</f>
        <v>0</v>
      </c>
      <c r="AF113" s="1479"/>
      <c r="AG113" s="1479"/>
      <c r="AH113" s="1479">
        <f>AH97+AH111+AH112</f>
        <v>0</v>
      </c>
      <c r="AI113" s="1479"/>
      <c r="AJ113" s="1479">
        <f>AJ97+AJ111+AJ112</f>
        <v>0</v>
      </c>
      <c r="AK113" s="1479"/>
      <c r="AL113" s="1479"/>
      <c r="AM113" s="1479"/>
      <c r="AN113" s="1479"/>
      <c r="AO113" s="1479"/>
      <c r="AP113" s="1479"/>
      <c r="AQ113" s="1479"/>
      <c r="AR113" s="1479"/>
      <c r="AS113" s="1479"/>
      <c r="AT113" s="1479"/>
      <c r="AU113" s="1479"/>
      <c r="AV113" s="1479">
        <f>AV97+AV111+AV112</f>
        <v>361</v>
      </c>
      <c r="AW113" s="1479"/>
      <c r="AX113" s="1479"/>
      <c r="AY113" s="1479"/>
      <c r="AZ113" s="1479"/>
      <c r="BA113" s="1479"/>
      <c r="BB113" s="1479"/>
      <c r="BC113" s="1479"/>
      <c r="BD113" s="1479"/>
      <c r="BE113" s="1479"/>
      <c r="BF113" s="1479"/>
      <c r="BG113" s="1479"/>
      <c r="BH113" s="1479"/>
      <c r="BI113" s="1479"/>
      <c r="BJ113" s="1503"/>
      <c r="BK113" s="1479"/>
      <c r="BL113" s="1479"/>
      <c r="BM113" s="1479"/>
      <c r="BN113" s="1479"/>
      <c r="BO113" s="1479"/>
      <c r="BP113" s="1479"/>
      <c r="BQ113" s="1479"/>
      <c r="BR113" s="1479"/>
      <c r="BS113" s="1479"/>
      <c r="BT113" s="1479"/>
      <c r="BU113" s="1479"/>
      <c r="BV113" s="1479"/>
      <c r="BW113" s="1479"/>
      <c r="BX113" s="1479"/>
      <c r="BY113" s="1479"/>
      <c r="BZ113" s="1479"/>
      <c r="CA113" s="1479"/>
      <c r="CB113" s="1479">
        <f>CB97+CB111+CB112</f>
        <v>0</v>
      </c>
      <c r="CC113" s="1479"/>
      <c r="CD113" s="1479"/>
      <c r="CE113" s="1479"/>
      <c r="CF113" s="1479">
        <f>CF97+CF111+CF112</f>
        <v>0</v>
      </c>
      <c r="CG113" s="1479"/>
      <c r="CH113" s="1479"/>
      <c r="CI113" s="1479"/>
      <c r="CJ113" s="1479"/>
      <c r="CK113" s="1479"/>
      <c r="CL113" s="1479">
        <f>CL97+CL111+CL112</f>
        <v>9712</v>
      </c>
      <c r="CM113" s="1479"/>
      <c r="CN113" s="1479">
        <v>6487</v>
      </c>
      <c r="CO113" s="1479"/>
      <c r="CP113" s="1479"/>
      <c r="CQ113" s="1479"/>
      <c r="CR113" s="1479">
        <f>CR97+CR111+CR112</f>
        <v>9712</v>
      </c>
      <c r="CS113" s="1479">
        <f>CS97+CS111+CS112</f>
        <v>9712</v>
      </c>
      <c r="CT113" s="1479"/>
      <c r="CU113" s="1479">
        <f>CU97+CU111+CU112</f>
        <v>3316</v>
      </c>
      <c r="CV113" s="1479">
        <f>CV97+CV111+CV112</f>
        <v>3316</v>
      </c>
      <c r="CW113" s="1479"/>
      <c r="CX113" s="1479"/>
      <c r="CY113" s="1479"/>
      <c r="CZ113" s="1479"/>
      <c r="DA113" s="1479"/>
      <c r="DB113" s="1479"/>
      <c r="DC113" s="1479">
        <f>DC97+DC111+DC112</f>
        <v>3316</v>
      </c>
      <c r="DD113" s="1479"/>
      <c r="DE113" s="1479"/>
      <c r="DF113" s="1479"/>
      <c r="DG113" s="1479"/>
      <c r="DH113" s="1479"/>
      <c r="DI113" s="1479"/>
      <c r="DJ113" s="1479">
        <f>DJ97+DJ111+DJ112</f>
        <v>3316</v>
      </c>
      <c r="DK113" s="1479"/>
      <c r="DL113" s="1479"/>
      <c r="DM113" s="1479"/>
      <c r="DN113" s="1479"/>
      <c r="DO113" s="1479"/>
      <c r="DP113" s="1479"/>
      <c r="DQ113" s="1479"/>
      <c r="DR113" s="1504">
        <v>150779</v>
      </c>
      <c r="DS113" s="1479"/>
      <c r="DT113" s="1479"/>
      <c r="DU113" s="1479"/>
      <c r="DV113" s="1479"/>
      <c r="DW113" s="1479"/>
      <c r="DX113" s="1479"/>
      <c r="DY113" s="1479"/>
      <c r="DZ113" s="1479"/>
      <c r="EA113" s="1479">
        <v>6487</v>
      </c>
      <c r="EB113" s="1479"/>
      <c r="EC113" s="1479"/>
      <c r="ED113" s="1479"/>
      <c r="EE113" s="1479"/>
      <c r="EF113" s="1479">
        <f>EF97+EF111+EF112</f>
        <v>0</v>
      </c>
      <c r="EG113" s="1479"/>
      <c r="EH113" s="1479"/>
      <c r="EI113" s="1479">
        <f>EI97+EI111+EI112</f>
        <v>687</v>
      </c>
      <c r="EJ113" s="1479"/>
      <c r="EK113" s="1479"/>
      <c r="EL113" s="1479"/>
      <c r="EM113" s="1479">
        <f>EM97+EM111+EM112</f>
        <v>9712</v>
      </c>
      <c r="EN113" s="1479"/>
      <c r="EO113" s="1479"/>
      <c r="EP113" s="1479"/>
      <c r="EQ113" s="1479"/>
      <c r="ER113" s="1479"/>
      <c r="ES113" s="1479"/>
      <c r="ET113" s="1479">
        <f t="shared" ref="ET113" si="52">ET97+ET111+ET112</f>
        <v>1116</v>
      </c>
      <c r="EU113" s="1479"/>
      <c r="EV113" s="1479"/>
      <c r="EW113" s="1479"/>
      <c r="EX113" s="1479"/>
      <c r="EY113" s="1479">
        <f>EY97+EY111+EY112</f>
        <v>9712</v>
      </c>
      <c r="EZ113" s="1479"/>
      <c r="FA113" s="1479"/>
      <c r="FB113" s="1479"/>
      <c r="FC113" s="1479"/>
      <c r="FD113" s="1479"/>
      <c r="FE113" s="1479"/>
      <c r="FF113" s="1479">
        <f>FF97+FF111+FF112</f>
        <v>0</v>
      </c>
      <c r="FG113" s="1479"/>
      <c r="FH113" s="1479">
        <f>FH97+FH111+FH112</f>
        <v>3316</v>
      </c>
      <c r="FI113" s="1479"/>
      <c r="FJ113" s="1479"/>
      <c r="FK113" s="1479"/>
      <c r="FL113" s="1479"/>
      <c r="FM113" s="1479"/>
      <c r="FN113" s="1479"/>
      <c r="FO113" s="1479"/>
      <c r="FP113" s="1479"/>
      <c r="FQ113" s="1479"/>
      <c r="FR113" s="1479"/>
      <c r="FS113" s="1479"/>
      <c r="FT113" s="1479"/>
      <c r="FU113" s="1479"/>
      <c r="FV113" s="1479"/>
      <c r="FW113" s="1479"/>
      <c r="FX113" s="1479"/>
      <c r="FY113" s="1479"/>
      <c r="FZ113" s="1479"/>
      <c r="GA113" s="1479"/>
      <c r="GB113" s="1479"/>
      <c r="GC113" s="1479"/>
      <c r="GD113" s="1479"/>
      <c r="GE113" s="1479"/>
      <c r="GF113" s="1479"/>
      <c r="GG113" s="1479"/>
      <c r="GH113" s="1479"/>
      <c r="GI113" s="1479"/>
      <c r="GJ113" s="1479"/>
      <c r="GK113" s="1479"/>
      <c r="GL113" s="1479"/>
      <c r="GM113" s="1479"/>
      <c r="GN113" s="1479"/>
      <c r="GO113" s="1479"/>
      <c r="GP113" s="1479"/>
      <c r="GQ113" s="1479"/>
      <c r="GR113" s="1479"/>
      <c r="GS113" s="1479"/>
      <c r="GT113" s="1479"/>
      <c r="GU113" s="1479"/>
      <c r="GV113" s="1479"/>
      <c r="GW113" s="1479"/>
      <c r="GX113" s="1479"/>
      <c r="GY113" s="1479"/>
      <c r="GZ113" s="1479"/>
      <c r="HA113" s="1479"/>
      <c r="HB113" s="1479">
        <f>HB97+HB111+HB112</f>
        <v>361</v>
      </c>
      <c r="HC113" s="1479">
        <f>HC97+HC111+HC112</f>
        <v>3316</v>
      </c>
      <c r="HD113" s="1479"/>
      <c r="HE113" s="1479"/>
      <c r="HF113" s="1479"/>
      <c r="HG113" s="1479"/>
      <c r="HH113" s="1479"/>
      <c r="HI113" s="1479"/>
      <c r="HJ113" s="1479"/>
      <c r="HK113" s="1479"/>
      <c r="HL113" s="1479"/>
      <c r="HM113" s="1479"/>
      <c r="HN113" s="1479"/>
      <c r="HO113" s="1479"/>
      <c r="HP113" s="1479"/>
      <c r="HQ113" s="1479"/>
      <c r="HR113" s="1479"/>
      <c r="HS113" s="1479"/>
      <c r="HT113" s="1479"/>
      <c r="HU113" s="1503"/>
      <c r="HV113" s="1479"/>
      <c r="HW113" s="1479"/>
      <c r="HX113" s="1479"/>
      <c r="HY113" s="1479"/>
      <c r="HZ113" s="1479"/>
      <c r="IA113" s="1479"/>
      <c r="IB113" s="1479"/>
      <c r="IC113" s="1479"/>
      <c r="ID113" s="1479"/>
      <c r="IE113" s="1479"/>
      <c r="IF113" s="1479"/>
      <c r="IG113" s="1479"/>
      <c r="IH113" s="1479"/>
      <c r="II113" s="1479"/>
      <c r="IJ113" s="1479"/>
      <c r="IK113" s="1479"/>
      <c r="IL113" s="1479"/>
      <c r="IM113" s="1479"/>
      <c r="IN113" s="1479"/>
      <c r="IO113" s="1479"/>
      <c r="IP113" s="1479"/>
      <c r="IQ113" s="1479"/>
      <c r="IR113" s="1479"/>
      <c r="IS113" s="1479"/>
      <c r="IT113" s="1479"/>
      <c r="IU113" s="1479"/>
      <c r="IV113" s="1479"/>
      <c r="IW113" s="1479"/>
      <c r="IX113" s="1503">
        <f>IX97+IX111+IX112</f>
        <v>19930</v>
      </c>
      <c r="IY113" s="1479">
        <f>IY97+IY111+IY112</f>
        <v>0</v>
      </c>
      <c r="IZ113" s="1479"/>
      <c r="JA113" s="1479">
        <f>JA97+JA111+JA112</f>
        <v>9712</v>
      </c>
      <c r="JB113" s="1479"/>
      <c r="JC113" s="1479"/>
      <c r="JD113" s="1479"/>
      <c r="JE113" s="1479"/>
      <c r="JF113" s="1479"/>
      <c r="JG113" s="1479"/>
      <c r="JH113" s="1479"/>
      <c r="JI113" s="1479"/>
      <c r="JJ113" s="1479"/>
      <c r="JK113" s="1479"/>
      <c r="JL113" s="1479"/>
      <c r="JM113" s="1479"/>
      <c r="JN113" s="1479"/>
      <c r="JO113" s="1479"/>
      <c r="JP113" s="1479"/>
      <c r="JQ113" s="1479"/>
      <c r="JR113" s="351"/>
      <c r="JS113" s="1400" t="s">
        <v>3220</v>
      </c>
      <c r="JT113" s="1400" t="s">
        <v>2962</v>
      </c>
    </row>
    <row r="114" spans="1:280" x14ac:dyDescent="0.25">
      <c r="A114" s="1367">
        <v>67</v>
      </c>
      <c r="B114" s="1411" t="str">
        <f t="shared" si="19"/>
        <v/>
      </c>
      <c r="C114" s="1435" t="s">
        <v>3221</v>
      </c>
      <c r="D114" s="1436" t="s">
        <v>3222</v>
      </c>
      <c r="E114" s="1452"/>
      <c r="F114" s="1452"/>
      <c r="G114" s="1452"/>
      <c r="H114" s="1452"/>
      <c r="I114" s="1452"/>
      <c r="J114" s="1452"/>
      <c r="K114" s="1452"/>
      <c r="L114" s="1452"/>
      <c r="M114" s="1452"/>
      <c r="N114" s="1452"/>
      <c r="O114" s="1528"/>
      <c r="P114" s="1528"/>
      <c r="Q114" s="1452"/>
      <c r="R114" s="1528"/>
      <c r="S114" s="1452"/>
      <c r="T114" s="1500"/>
      <c r="U114" s="1500"/>
      <c r="V114" s="1500"/>
      <c r="W114" s="1500"/>
      <c r="X114" s="1500"/>
      <c r="Y114" s="1500"/>
      <c r="Z114" s="1500"/>
      <c r="AA114" s="1500"/>
      <c r="AB114" s="1500"/>
      <c r="AC114" s="1452"/>
      <c r="AD114" s="1452"/>
      <c r="AE114" s="1452"/>
      <c r="AF114" s="1452"/>
      <c r="AG114" s="1452"/>
      <c r="AH114" s="1452"/>
      <c r="AI114" s="1500"/>
      <c r="AJ114" s="1452"/>
      <c r="AK114" s="1500"/>
      <c r="AL114" s="1452"/>
      <c r="AM114" s="1500"/>
      <c r="AN114" s="1500"/>
      <c r="AO114" s="1500"/>
      <c r="AP114" s="1500"/>
      <c r="AQ114" s="1500"/>
      <c r="AR114" s="1500"/>
      <c r="AS114" s="1500"/>
      <c r="AT114" s="1500"/>
      <c r="AU114" s="1500"/>
      <c r="AV114" s="1452"/>
      <c r="AW114" s="1500"/>
      <c r="AX114" s="1500"/>
      <c r="AY114" s="1500"/>
      <c r="AZ114" s="1500"/>
      <c r="BA114" s="1500"/>
      <c r="BB114" s="1500"/>
      <c r="BC114" s="1500"/>
      <c r="BD114" s="1500"/>
      <c r="BE114" s="1500"/>
      <c r="BF114" s="1500"/>
      <c r="BG114" s="1500"/>
      <c r="BH114" s="1500"/>
      <c r="BI114" s="1500"/>
      <c r="BJ114" s="1454"/>
      <c r="BK114" s="1500"/>
      <c r="BL114" s="1500"/>
      <c r="BM114" s="1500"/>
      <c r="BN114" s="1500"/>
      <c r="BO114" s="1500"/>
      <c r="BP114" s="1452"/>
      <c r="BQ114" s="1500"/>
      <c r="BR114" s="1500"/>
      <c r="BS114" s="1500"/>
      <c r="BT114" s="1500"/>
      <c r="BU114" s="1500"/>
      <c r="BV114" s="1500"/>
      <c r="BW114" s="1500"/>
      <c r="BX114" s="1500"/>
      <c r="BY114" s="1500"/>
      <c r="BZ114" s="1500"/>
      <c r="CA114" s="1500"/>
      <c r="CB114" s="1500"/>
      <c r="CC114" s="1500"/>
      <c r="CD114" s="1500"/>
      <c r="CE114" s="1500"/>
      <c r="CF114" s="1452"/>
      <c r="CG114" s="1500"/>
      <c r="CH114" s="1452"/>
      <c r="CI114" s="1500"/>
      <c r="CJ114" s="1500"/>
      <c r="CK114" s="1500"/>
      <c r="CL114" s="1452">
        <v>921</v>
      </c>
      <c r="CM114" s="1500"/>
      <c r="CN114" s="1500"/>
      <c r="CO114" s="1500"/>
      <c r="CP114" s="1500"/>
      <c r="CQ114" s="1500"/>
      <c r="CR114" s="1452">
        <v>921</v>
      </c>
      <c r="CS114" s="1452">
        <v>921</v>
      </c>
      <c r="CT114" s="1500"/>
      <c r="CU114" s="1452"/>
      <c r="CV114" s="1452"/>
      <c r="CW114" s="1500"/>
      <c r="CX114" s="1500"/>
      <c r="CY114" s="1500"/>
      <c r="CZ114" s="1500"/>
      <c r="DA114" s="1500"/>
      <c r="DB114" s="1500"/>
      <c r="DC114" s="1500"/>
      <c r="DD114" s="1500"/>
      <c r="DE114" s="1500"/>
      <c r="DF114" s="1500"/>
      <c r="DG114" s="1500"/>
      <c r="DH114" s="1500"/>
      <c r="DI114" s="1500"/>
      <c r="DJ114" s="1452"/>
      <c r="DK114" s="1500"/>
      <c r="DL114" s="1500"/>
      <c r="DM114" s="1500"/>
      <c r="DN114" s="1500"/>
      <c r="DO114" s="1452"/>
      <c r="DP114" s="1500"/>
      <c r="DQ114" s="1500"/>
      <c r="DR114" s="1500"/>
      <c r="DS114" s="1500"/>
      <c r="DT114" s="1500"/>
      <c r="DU114" s="1500"/>
      <c r="DV114" s="1500"/>
      <c r="DW114" s="1500"/>
      <c r="DX114" s="1500"/>
      <c r="DY114" s="1500"/>
      <c r="DZ114" s="1500"/>
      <c r="EA114" s="1455"/>
      <c r="EB114" s="1500"/>
      <c r="EC114" s="1500"/>
      <c r="ED114" s="1500"/>
      <c r="EE114" s="1500"/>
      <c r="EF114" s="1452"/>
      <c r="EG114" s="1452"/>
      <c r="EH114" s="1500"/>
      <c r="EI114" s="1452"/>
      <c r="EJ114" s="1500"/>
      <c r="EK114" s="1500"/>
      <c r="EL114" s="1500"/>
      <c r="EM114" s="1452">
        <v>921</v>
      </c>
      <c r="EN114" s="1500"/>
      <c r="EO114" s="1500"/>
      <c r="EP114" s="1500"/>
      <c r="EQ114" s="1500"/>
      <c r="ER114" s="1500"/>
      <c r="ES114" s="1500"/>
      <c r="ET114" s="1500"/>
      <c r="EU114" s="1500"/>
      <c r="EV114" s="1500"/>
      <c r="EW114" s="1500"/>
      <c r="EX114" s="1500"/>
      <c r="EY114" s="1452">
        <v>921</v>
      </c>
      <c r="EZ114" s="1500"/>
      <c r="FA114" s="1500"/>
      <c r="FB114" s="1500"/>
      <c r="FC114" s="1500"/>
      <c r="FD114" s="1500"/>
      <c r="FE114" s="1500"/>
      <c r="FF114" s="1452"/>
      <c r="FG114" s="1500"/>
      <c r="FH114" s="1452"/>
      <c r="FI114" s="1500"/>
      <c r="FJ114" s="1500"/>
      <c r="FK114" s="1500"/>
      <c r="FL114" s="1500"/>
      <c r="FM114" s="1500"/>
      <c r="FN114" s="1500"/>
      <c r="FO114" s="1500"/>
      <c r="FP114" s="1500"/>
      <c r="FQ114" s="1500"/>
      <c r="FR114" s="1500"/>
      <c r="FS114" s="1500"/>
      <c r="FT114" s="1500"/>
      <c r="FU114" s="1500"/>
      <c r="FV114" s="1500"/>
      <c r="FW114" s="1500"/>
      <c r="FX114" s="1500"/>
      <c r="FY114" s="1500"/>
      <c r="FZ114" s="1500"/>
      <c r="GA114" s="1500"/>
      <c r="GB114" s="1500"/>
      <c r="GC114" s="1500"/>
      <c r="GD114" s="1500"/>
      <c r="GE114" s="1500"/>
      <c r="GF114" s="1500"/>
      <c r="GG114" s="1500"/>
      <c r="GH114" s="1500"/>
      <c r="GI114" s="1500"/>
      <c r="GJ114" s="1452"/>
      <c r="GK114" s="1500"/>
      <c r="GL114" s="1500"/>
      <c r="GM114" s="1500"/>
      <c r="GN114" s="1500"/>
      <c r="GO114" s="1500"/>
      <c r="GP114" s="1500"/>
      <c r="GQ114" s="1500"/>
      <c r="GR114" s="1500"/>
      <c r="GS114" s="1500"/>
      <c r="GT114" s="1500"/>
      <c r="GU114" s="1500"/>
      <c r="GV114" s="1500"/>
      <c r="GW114" s="1500"/>
      <c r="GX114" s="1452"/>
      <c r="GY114" s="1500"/>
      <c r="GZ114" s="1500"/>
      <c r="HA114" s="1500"/>
      <c r="HB114" s="1452"/>
      <c r="HC114" s="1452"/>
      <c r="HD114" s="1500"/>
      <c r="HE114" s="1500"/>
      <c r="HF114" s="1500"/>
      <c r="HG114" s="1500"/>
      <c r="HH114" s="1500"/>
      <c r="HI114" s="1500"/>
      <c r="HJ114" s="1500"/>
      <c r="HK114" s="1500"/>
      <c r="HL114" s="1500"/>
      <c r="HM114" s="1500"/>
      <c r="HN114" s="1500"/>
      <c r="HO114" s="1452"/>
      <c r="HP114" s="1500"/>
      <c r="HQ114" s="1500"/>
      <c r="HR114" s="1500"/>
      <c r="HS114" s="1500"/>
      <c r="HT114" s="1500"/>
      <c r="HU114" s="1472"/>
      <c r="HV114" s="1500"/>
      <c r="HW114" s="1452"/>
      <c r="HX114" s="1500"/>
      <c r="HY114" s="1500"/>
      <c r="HZ114" s="1500"/>
      <c r="IA114" s="1500"/>
      <c r="IB114" s="1500"/>
      <c r="IC114" s="1500"/>
      <c r="ID114" s="1500"/>
      <c r="IE114" s="1500"/>
      <c r="IF114" s="1500"/>
      <c r="IG114" s="1500"/>
      <c r="IH114" s="1500"/>
      <c r="II114" s="1500"/>
      <c r="IJ114" s="1500"/>
      <c r="IK114" s="1500"/>
      <c r="IL114" s="1500"/>
      <c r="IM114" s="1500"/>
      <c r="IN114" s="1500"/>
      <c r="IO114" s="1500"/>
      <c r="IP114" s="1500"/>
      <c r="IQ114" s="1500"/>
      <c r="IR114" s="1500"/>
      <c r="IS114" s="1500"/>
      <c r="IT114" s="1500"/>
      <c r="IU114" s="1500"/>
      <c r="IV114" s="1500"/>
      <c r="IW114" s="1500"/>
      <c r="IX114" s="1500"/>
      <c r="IY114" s="1452"/>
      <c r="IZ114" s="1500"/>
      <c r="JA114" s="1452">
        <v>921</v>
      </c>
      <c r="JB114" s="1500"/>
      <c r="JC114" s="1500"/>
      <c r="JD114" s="1500"/>
      <c r="JE114" s="1500"/>
      <c r="JF114" s="1500"/>
      <c r="JG114" s="1500"/>
      <c r="JH114" s="1500"/>
      <c r="JI114" s="1500"/>
      <c r="JJ114" s="1500"/>
      <c r="JK114" s="1500"/>
      <c r="JL114" s="1500"/>
      <c r="JM114" s="1500"/>
      <c r="JN114" s="1500"/>
      <c r="JO114" s="1500"/>
      <c r="JP114" s="1500"/>
      <c r="JQ114" s="1477"/>
      <c r="JR114" s="351"/>
      <c r="JS114" s="1400"/>
      <c r="JT114" s="1400" t="s">
        <v>2242</v>
      </c>
    </row>
    <row r="115" spans="1:280" x14ac:dyDescent="0.25">
      <c r="A115" s="1367">
        <v>68</v>
      </c>
      <c r="B115" s="1411" t="str">
        <f t="shared" si="19"/>
        <v/>
      </c>
      <c r="C115" s="1435" t="s">
        <v>3223</v>
      </c>
      <c r="D115" s="1436" t="s">
        <v>3224</v>
      </c>
      <c r="E115" s="1479"/>
      <c r="F115" s="1479"/>
      <c r="G115" s="1479"/>
      <c r="H115" s="1479"/>
      <c r="I115" s="1479"/>
      <c r="J115" s="1479"/>
      <c r="K115" s="1479"/>
      <c r="L115" s="1479"/>
      <c r="M115" s="1479"/>
      <c r="N115" s="1479"/>
      <c r="O115" s="1479"/>
      <c r="P115" s="1479"/>
      <c r="Q115" s="1479"/>
      <c r="R115" s="1479"/>
      <c r="S115" s="1479"/>
      <c r="T115" s="1479"/>
      <c r="U115" s="1479"/>
      <c r="V115" s="1479"/>
      <c r="W115" s="1479"/>
      <c r="X115" s="1479"/>
      <c r="Y115" s="1479"/>
      <c r="Z115" s="1479"/>
      <c r="AA115" s="1479"/>
      <c r="AB115" s="1479"/>
      <c r="AC115" s="1479"/>
      <c r="AD115" s="1479"/>
      <c r="AE115" s="1479">
        <f>AE110+AE114</f>
        <v>0</v>
      </c>
      <c r="AF115" s="1479"/>
      <c r="AG115" s="1479"/>
      <c r="AH115" s="1479">
        <f>AH110+AH114</f>
        <v>900</v>
      </c>
      <c r="AI115" s="1479"/>
      <c r="AJ115" s="1479">
        <v>0</v>
      </c>
      <c r="AK115" s="1479"/>
      <c r="AL115" s="1479"/>
      <c r="AM115" s="1479">
        <v>900</v>
      </c>
      <c r="AN115" s="1479"/>
      <c r="AO115" s="1479"/>
      <c r="AP115" s="1479"/>
      <c r="AQ115" s="1479"/>
      <c r="AR115" s="1479"/>
      <c r="AS115" s="1479"/>
      <c r="AT115" s="1479"/>
      <c r="AU115" s="1479"/>
      <c r="AV115" s="1479">
        <f>AV110+AV114</f>
        <v>7750</v>
      </c>
      <c r="AW115" s="1479"/>
      <c r="AX115" s="1479"/>
      <c r="AY115" s="1479"/>
      <c r="AZ115" s="1479"/>
      <c r="BA115" s="1479"/>
      <c r="BB115" s="1479"/>
      <c r="BC115" s="1479"/>
      <c r="BD115" s="1479"/>
      <c r="BE115" s="1479"/>
      <c r="BF115" s="1479"/>
      <c r="BG115" s="1479"/>
      <c r="BH115" s="1479"/>
      <c r="BI115" s="1479"/>
      <c r="BJ115" s="1503"/>
      <c r="BK115" s="1479"/>
      <c r="BL115" s="1479"/>
      <c r="BM115" s="1479"/>
      <c r="BN115" s="1479"/>
      <c r="BO115" s="1479"/>
      <c r="BP115" s="1479"/>
      <c r="BQ115" s="1479"/>
      <c r="BR115" s="1479"/>
      <c r="BS115" s="1479"/>
      <c r="BT115" s="1479"/>
      <c r="BU115" s="1479"/>
      <c r="BV115" s="1479"/>
      <c r="BW115" s="1479"/>
      <c r="BX115" s="1479"/>
      <c r="BY115" s="1479"/>
      <c r="BZ115" s="1479"/>
      <c r="CA115" s="1479"/>
      <c r="CB115" s="1479">
        <f>CB110+CB114</f>
        <v>1333946</v>
      </c>
      <c r="CC115" s="1479"/>
      <c r="CD115" s="1479">
        <v>31242</v>
      </c>
      <c r="CE115" s="1479"/>
      <c r="CF115" s="1479">
        <f>CF110+CF114</f>
        <v>6350</v>
      </c>
      <c r="CG115" s="1479"/>
      <c r="CH115" s="1479"/>
      <c r="CI115" s="1479"/>
      <c r="CJ115" s="1479"/>
      <c r="CK115" s="1479"/>
      <c r="CL115" s="1479">
        <f>CL110+CL114</f>
        <v>4086</v>
      </c>
      <c r="CM115" s="1479"/>
      <c r="CN115" s="1479">
        <f>CN110+CN114</f>
        <v>6005</v>
      </c>
      <c r="CO115" s="1479">
        <f>CO110+CO114</f>
        <v>39467</v>
      </c>
      <c r="CP115" s="1479"/>
      <c r="CQ115" s="1479"/>
      <c r="CR115" s="1479">
        <f>CR110+CR114</f>
        <v>4086</v>
      </c>
      <c r="CS115" s="1479">
        <f>CS110+CS114</f>
        <v>4086</v>
      </c>
      <c r="CT115" s="1479"/>
      <c r="CU115" s="1479">
        <f>CU110+CU114</f>
        <v>4500</v>
      </c>
      <c r="CV115" s="1479">
        <f>CV110+CV114</f>
        <v>4500</v>
      </c>
      <c r="CW115" s="1479"/>
      <c r="CX115" s="1479"/>
      <c r="CY115" s="1479"/>
      <c r="CZ115" s="1479"/>
      <c r="DA115" s="1479"/>
      <c r="DB115" s="1479"/>
      <c r="DC115" s="1479">
        <f>DC110+DC114</f>
        <v>4500</v>
      </c>
      <c r="DD115" s="1479"/>
      <c r="DE115" s="1479"/>
      <c r="DF115" s="1479"/>
      <c r="DG115" s="1479"/>
      <c r="DH115" s="1479"/>
      <c r="DI115" s="1479"/>
      <c r="DJ115" s="1479">
        <f>DJ110+DJ114</f>
        <v>4500</v>
      </c>
      <c r="DK115" s="1479"/>
      <c r="DL115" s="1479"/>
      <c r="DM115" s="1479"/>
      <c r="DN115" s="1479"/>
      <c r="DO115" s="1479"/>
      <c r="DP115" s="1479"/>
      <c r="DQ115" s="1479"/>
      <c r="DR115" s="1504">
        <v>239776</v>
      </c>
      <c r="DS115" s="1479"/>
      <c r="DT115" s="1479"/>
      <c r="DU115" s="1479"/>
      <c r="DV115" s="1479"/>
      <c r="DW115" s="1479"/>
      <c r="DX115" s="1479"/>
      <c r="DY115" s="1479"/>
      <c r="DZ115" s="1479"/>
      <c r="EA115" s="1479">
        <f>EA110+EA114</f>
        <v>6005</v>
      </c>
      <c r="EB115" s="1479"/>
      <c r="EC115" s="1479"/>
      <c r="ED115" s="1479"/>
      <c r="EE115" s="1479"/>
      <c r="EF115" s="1479">
        <f>EF110+EF114</f>
        <v>6000</v>
      </c>
      <c r="EG115" s="1479"/>
      <c r="EH115" s="1479"/>
      <c r="EI115" s="1479">
        <f>EI110+EI114</f>
        <v>1161</v>
      </c>
      <c r="EJ115" s="1479"/>
      <c r="EK115" s="1479"/>
      <c r="EL115" s="1479"/>
      <c r="EM115" s="1479">
        <f>EM110+EM114</f>
        <v>4086</v>
      </c>
      <c r="EN115" s="1479"/>
      <c r="EO115" s="1479"/>
      <c r="EP115" s="1479"/>
      <c r="EQ115" s="1479"/>
      <c r="ER115" s="1479"/>
      <c r="ES115" s="1479"/>
      <c r="ET115" s="1479"/>
      <c r="EU115" s="1479"/>
      <c r="EV115" s="1479"/>
      <c r="EW115" s="1479"/>
      <c r="EX115" s="1479"/>
      <c r="EY115" s="1479">
        <f>EY110+EY114</f>
        <v>4086</v>
      </c>
      <c r="EZ115" s="1479"/>
      <c r="FA115" s="1479"/>
      <c r="FB115" s="1479"/>
      <c r="FC115" s="1479"/>
      <c r="FD115" s="1479"/>
      <c r="FE115" s="1479"/>
      <c r="FF115" s="1479">
        <f>FF110+FF114</f>
        <v>6350</v>
      </c>
      <c r="FG115" s="1479"/>
      <c r="FH115" s="1479">
        <f>FH110+FH114</f>
        <v>4500</v>
      </c>
      <c r="FI115" s="1479"/>
      <c r="FJ115" s="1479"/>
      <c r="FK115" s="1479"/>
      <c r="FL115" s="1479"/>
      <c r="FM115" s="1479"/>
      <c r="FN115" s="1479"/>
      <c r="FO115" s="1479"/>
      <c r="FP115" s="1479"/>
      <c r="FQ115" s="1479"/>
      <c r="FR115" s="1479"/>
      <c r="FS115" s="1479"/>
      <c r="FT115" s="1479"/>
      <c r="FU115" s="1479"/>
      <c r="FV115" s="1479"/>
      <c r="FW115" s="1479"/>
      <c r="FX115" s="1479"/>
      <c r="FY115" s="1479"/>
      <c r="FZ115" s="1479"/>
      <c r="GA115" s="1479"/>
      <c r="GB115" s="1479"/>
      <c r="GC115" s="1479"/>
      <c r="GD115" s="1479"/>
      <c r="GE115" s="1479"/>
      <c r="GF115" s="1479"/>
      <c r="GG115" s="1479"/>
      <c r="GH115" s="1479"/>
      <c r="GI115" s="1479"/>
      <c r="GJ115" s="1479"/>
      <c r="GK115" s="1479"/>
      <c r="GL115" s="1479"/>
      <c r="GM115" s="1479"/>
      <c r="GN115" s="1479"/>
      <c r="GO115" s="1479"/>
      <c r="GP115" s="1479"/>
      <c r="GQ115" s="1479"/>
      <c r="GR115" s="1479"/>
      <c r="GS115" s="1479"/>
      <c r="GT115" s="1479"/>
      <c r="GU115" s="1479"/>
      <c r="GV115" s="1479"/>
      <c r="GW115" s="1479"/>
      <c r="GX115" s="1479">
        <f>GX110+GX114</f>
        <v>5000</v>
      </c>
      <c r="GY115" s="1479"/>
      <c r="GZ115" s="1479"/>
      <c r="HA115" s="1479"/>
      <c r="HB115" s="1479">
        <f>HB110+HB114</f>
        <v>7750</v>
      </c>
      <c r="HC115" s="1479">
        <f>HC110+HC114</f>
        <v>4500</v>
      </c>
      <c r="HD115" s="1479"/>
      <c r="HE115" s="1479"/>
      <c r="HF115" s="1479"/>
      <c r="HG115" s="1479"/>
      <c r="HH115" s="1479"/>
      <c r="HI115" s="1479"/>
      <c r="HJ115" s="1479"/>
      <c r="HK115" s="1479"/>
      <c r="HL115" s="1479"/>
      <c r="HM115" s="1479"/>
      <c r="HN115" s="1479"/>
      <c r="HO115" s="1479"/>
      <c r="HP115" s="1479"/>
      <c r="HQ115" s="1479"/>
      <c r="HR115" s="1479"/>
      <c r="HS115" s="1479"/>
      <c r="HT115" s="1479"/>
      <c r="HU115" s="1503"/>
      <c r="HV115" s="1479"/>
      <c r="HW115" s="1479"/>
      <c r="HX115" s="1479"/>
      <c r="HY115" s="1479"/>
      <c r="HZ115" s="1479"/>
      <c r="IA115" s="1479"/>
      <c r="IB115" s="1479"/>
      <c r="IC115" s="1479"/>
      <c r="ID115" s="1479"/>
      <c r="IE115" s="1479"/>
      <c r="IF115" s="1479"/>
      <c r="IG115" s="1479"/>
      <c r="IH115" s="1479"/>
      <c r="II115" s="1479"/>
      <c r="IJ115" s="1479"/>
      <c r="IK115" s="1479"/>
      <c r="IL115" s="1479"/>
      <c r="IM115" s="1479"/>
      <c r="IN115" s="1479"/>
      <c r="IO115" s="1479"/>
      <c r="IP115" s="1479"/>
      <c r="IQ115" s="1479"/>
      <c r="IR115" s="1479"/>
      <c r="IS115" s="1479"/>
      <c r="IT115" s="1479"/>
      <c r="IU115" s="1504">
        <v>780</v>
      </c>
      <c r="IV115" s="1479"/>
      <c r="IW115" s="1479"/>
      <c r="IX115" s="1503">
        <f>IX110+IX114</f>
        <v>18910</v>
      </c>
      <c r="IY115" s="1479">
        <f>IY110+IY114</f>
        <v>6350</v>
      </c>
      <c r="IZ115" s="1479"/>
      <c r="JA115" s="1479">
        <f>JA110+JA114</f>
        <v>4086</v>
      </c>
      <c r="JB115" s="1479"/>
      <c r="JC115" s="1479"/>
      <c r="JD115" s="1479"/>
      <c r="JE115" s="1479"/>
      <c r="JF115" s="1479"/>
      <c r="JG115" s="1479"/>
      <c r="JH115" s="1479"/>
      <c r="JI115" s="1479"/>
      <c r="JJ115" s="1479"/>
      <c r="JK115" s="1479"/>
      <c r="JL115" s="1479"/>
      <c r="JM115" s="1479"/>
      <c r="JN115" s="1479"/>
      <c r="JO115" s="1479"/>
      <c r="JP115" s="1479"/>
      <c r="JQ115" s="1479"/>
      <c r="JR115" s="351"/>
      <c r="JS115" s="1400" t="s">
        <v>3225</v>
      </c>
      <c r="JT115" s="1400" t="s">
        <v>2242</v>
      </c>
    </row>
    <row r="116" spans="1:280" ht="40" x14ac:dyDescent="0.25">
      <c r="A116" s="1367">
        <v>69</v>
      </c>
      <c r="B116" s="1411" t="str">
        <f t="shared" si="19"/>
        <v/>
      </c>
      <c r="C116" s="1435" t="s">
        <v>3226</v>
      </c>
      <c r="D116" s="1436" t="s">
        <v>3227</v>
      </c>
      <c r="E116" s="1479"/>
      <c r="F116" s="1479"/>
      <c r="G116" s="1479">
        <f>MAX(0,(G98+G113)-(G99+G115))</f>
        <v>15200</v>
      </c>
      <c r="H116" s="1479"/>
      <c r="I116" s="1479">
        <f>MAX(0,(I98+I113)-(I99+I115))</f>
        <v>16285</v>
      </c>
      <c r="J116" s="1479"/>
      <c r="K116" s="1479"/>
      <c r="L116" s="1479">
        <f>MAX(0,(L98+L113)-(L99+L115))</f>
        <v>14900</v>
      </c>
      <c r="M116" s="1479"/>
      <c r="N116" s="1479"/>
      <c r="O116" s="1479"/>
      <c r="P116" s="1479"/>
      <c r="Q116" s="1479">
        <f>MAX(0,(Q98+Q113)-(Q99+Q115))</f>
        <v>14900</v>
      </c>
      <c r="R116" s="1479"/>
      <c r="S116" s="1479">
        <f>MAX(0,(S98+S113)-(S99+S115))</f>
        <v>17560</v>
      </c>
      <c r="T116" s="1479"/>
      <c r="U116" s="1479"/>
      <c r="V116" s="1479"/>
      <c r="W116" s="1479"/>
      <c r="X116" s="1479"/>
      <c r="Y116" s="1479"/>
      <c r="Z116" s="1479"/>
      <c r="AA116" s="1479">
        <f>MAX(0,(AA98+AA113)-(AA99+AA115))</f>
        <v>8864</v>
      </c>
      <c r="AB116" s="1479"/>
      <c r="AC116" s="1479">
        <f>MAX(0,(AC98+AC113)-(AC99+AC115))</f>
        <v>14900</v>
      </c>
      <c r="AD116" s="1479"/>
      <c r="AE116" s="1479">
        <f>MAX(0,(AE98+AE113)-(AE99+AE115))</f>
        <v>21875</v>
      </c>
      <c r="AF116" s="1479"/>
      <c r="AG116" s="1479"/>
      <c r="AH116" s="1479">
        <f>MAX(0,(AH98+AH113)-(AH99+AH115))</f>
        <v>47430</v>
      </c>
      <c r="AI116" s="1479"/>
      <c r="AJ116" s="1479">
        <f>MAX(0,(AJ98+AJ113)-(AJ99+AJ115))</f>
        <v>3400</v>
      </c>
      <c r="AK116" s="1479">
        <f>MAX(0,(AK98+AK113)-(AK99+AK115))</f>
        <v>897</v>
      </c>
      <c r="AL116" s="1479"/>
      <c r="AM116" s="1479">
        <f>MAX(0,(AM98+AM113)-(AM99+AM115))</f>
        <v>6724</v>
      </c>
      <c r="AN116" s="1479">
        <f>MAX(0,(AN98+AN113)-(AN99+AN115))</f>
        <v>12571</v>
      </c>
      <c r="AO116" s="1479"/>
      <c r="AP116" s="1479">
        <f>MAX(0,(AP98+AP113)-(AP99+AP115))</f>
        <v>8630</v>
      </c>
      <c r="AQ116" s="1479"/>
      <c r="AR116" s="1479"/>
      <c r="AS116" s="1479"/>
      <c r="AT116" s="1479"/>
      <c r="AU116" s="1479"/>
      <c r="AV116" s="1479"/>
      <c r="AW116" s="1479"/>
      <c r="AX116" s="1479"/>
      <c r="AY116" s="1479"/>
      <c r="AZ116" s="1479"/>
      <c r="BA116" s="1479"/>
      <c r="BB116" s="1479"/>
      <c r="BC116" s="1479"/>
      <c r="BD116" s="1479"/>
      <c r="BE116" s="1479"/>
      <c r="BF116" s="1479"/>
      <c r="BG116" s="1479"/>
      <c r="BH116" s="1479"/>
      <c r="BI116" s="1479"/>
      <c r="BJ116" s="1479">
        <f>MAX(0,(BJ98+BJ113)-(BJ99+BJ115))</f>
        <v>0</v>
      </c>
      <c r="BK116" s="1479"/>
      <c r="BL116" s="1479"/>
      <c r="BM116" s="1479"/>
      <c r="BN116" s="1479"/>
      <c r="BO116" s="1479"/>
      <c r="BP116" s="1479"/>
      <c r="BQ116" s="1479"/>
      <c r="BR116" s="1479"/>
      <c r="BS116" s="1479"/>
      <c r="BT116" s="1479"/>
      <c r="BU116" s="1479"/>
      <c r="BV116" s="1479"/>
      <c r="BW116" s="1479"/>
      <c r="BX116" s="1479"/>
      <c r="BY116" s="1479">
        <f>MAX(0,(BY98+BY113)-(BY99+BY115))</f>
        <v>5000</v>
      </c>
      <c r="BZ116" s="1479"/>
      <c r="CA116" s="1479"/>
      <c r="CB116" s="1479">
        <f>MAX(0,(CB98+CB113)-(CB99+CB115))</f>
        <v>59749</v>
      </c>
      <c r="CC116" s="1479"/>
      <c r="CD116" s="1479">
        <f>MAX(0,(CD98+CD113)-(CD99+CD115))</f>
        <v>87727</v>
      </c>
      <c r="CE116" s="1479"/>
      <c r="CF116" s="1479">
        <f>MAX(0,(CF98+CF113)-(CF99+CF115))</f>
        <v>47949</v>
      </c>
      <c r="CG116" s="1479"/>
      <c r="CH116" s="1479">
        <f>MAX(0,(CH98+CH113)-(CH99+CH115))</f>
        <v>14900</v>
      </c>
      <c r="CI116" s="1479"/>
      <c r="CJ116" s="1479"/>
      <c r="CK116" s="1479">
        <f>MAX(0,(CK98+CK113)-(CK99+CK115))</f>
        <v>11580</v>
      </c>
      <c r="CL116" s="1479">
        <f>MAX(0,(CL98+CL113)-(CL99+CL115))</f>
        <v>104298</v>
      </c>
      <c r="CM116" s="1479"/>
      <c r="CN116" s="1479">
        <f>MAX(0,(CN98+CN113)-(CN99+CN115))</f>
        <v>77364</v>
      </c>
      <c r="CO116" s="1479"/>
      <c r="CP116" s="1479">
        <f>MAX(0,(CP98+CP113)-(CP99+CP115))</f>
        <v>35000</v>
      </c>
      <c r="CQ116" s="1479"/>
      <c r="CR116" s="1479">
        <f>MAX(0,(CR98+CR113)-(CR99+CR115))</f>
        <v>104298</v>
      </c>
      <c r="CS116" s="1479">
        <f>MAX(0,(CS98+CS113)-(CS99+CS115))</f>
        <v>104298</v>
      </c>
      <c r="CT116" s="1479"/>
      <c r="CU116" s="1479">
        <f>MAX(0,(CU98+CU113)-(CU99+CU115))</f>
        <v>138654</v>
      </c>
      <c r="CV116" s="1479">
        <f>MAX(0,(CV98+CV113)-(CV99+CV115))</f>
        <v>138654</v>
      </c>
      <c r="CW116" s="1479"/>
      <c r="CX116" s="1479"/>
      <c r="CY116" s="1479"/>
      <c r="CZ116" s="1479"/>
      <c r="DA116" s="1479"/>
      <c r="DB116" s="1479"/>
      <c r="DC116" s="1479">
        <f>MAX(0,(DC98+DC113)-(DC99+DC115))</f>
        <v>138654</v>
      </c>
      <c r="DD116" s="1479"/>
      <c r="DE116" s="1479"/>
      <c r="DF116" s="1479"/>
      <c r="DG116" s="1479"/>
      <c r="DH116" s="1479"/>
      <c r="DI116" s="1479"/>
      <c r="DJ116" s="1479">
        <f>MAX(0,(DJ98+DJ113)-(DJ99+DJ115))</f>
        <v>138654</v>
      </c>
      <c r="DK116" s="1479"/>
      <c r="DL116" s="1479"/>
      <c r="DM116" s="1479"/>
      <c r="DN116" s="1479"/>
      <c r="DO116" s="1479"/>
      <c r="DP116" s="1479"/>
      <c r="DQ116" s="1479"/>
      <c r="DR116" s="1504">
        <v>127851</v>
      </c>
      <c r="DS116" s="1479"/>
      <c r="DT116" s="1479"/>
      <c r="DU116" s="1479"/>
      <c r="DV116" s="1479"/>
      <c r="DW116" s="1479"/>
      <c r="DX116" s="1479"/>
      <c r="DY116" s="1479"/>
      <c r="DZ116" s="1479"/>
      <c r="EA116" s="1479">
        <f>MAX(0,(EA98+EA113)-(EA99+EA115))</f>
        <v>13965</v>
      </c>
      <c r="EB116" s="1479"/>
      <c r="EC116" s="1479"/>
      <c r="ED116" s="1479"/>
      <c r="EE116" s="1479"/>
      <c r="EF116" s="1479">
        <f>MAX(0,(EF98+EF113)-(EF99+EF115))</f>
        <v>14023</v>
      </c>
      <c r="EG116" s="1479"/>
      <c r="EH116" s="1479"/>
      <c r="EI116" s="1479">
        <f>MAX(0,(EI98+EI113)-(EI99+EI115))</f>
        <v>56714</v>
      </c>
      <c r="EJ116" s="1479"/>
      <c r="EK116" s="1479"/>
      <c r="EL116" s="1479"/>
      <c r="EM116" s="1479">
        <f>MAX(0,(EM98+EM113)-(EM99+EM115))</f>
        <v>104298</v>
      </c>
      <c r="EN116" s="1479">
        <f t="shared" ref="EN116:ES116" si="53">MAX(0,(EN98+EN113)-(EN99+EN115))</f>
        <v>0</v>
      </c>
      <c r="EO116" s="1479">
        <f t="shared" si="53"/>
        <v>0</v>
      </c>
      <c r="EP116" s="1479">
        <f t="shared" si="53"/>
        <v>0</v>
      </c>
      <c r="EQ116" s="1479">
        <f t="shared" si="53"/>
        <v>0</v>
      </c>
      <c r="ER116" s="1479">
        <f t="shared" si="53"/>
        <v>0</v>
      </c>
      <c r="ES116" s="1479">
        <f t="shared" si="53"/>
        <v>0</v>
      </c>
      <c r="ET116" s="1503">
        <f>MAX(0,(ET98+ET113)-(ET99+ET115))</f>
        <v>3787</v>
      </c>
      <c r="EU116" s="1479"/>
      <c r="EV116" s="1479"/>
      <c r="EW116" s="1479"/>
      <c r="EX116" s="1479"/>
      <c r="EY116" s="1479">
        <f>MAX(0,(EY98+EY113)-(EY99+EY115))</f>
        <v>104298</v>
      </c>
      <c r="EZ116" s="1479"/>
      <c r="FA116" s="1479"/>
      <c r="FB116" s="1479"/>
      <c r="FC116" s="1479"/>
      <c r="FD116" s="1479"/>
      <c r="FE116" s="1479"/>
      <c r="FF116" s="1479">
        <f>MAX(0,(FF98+FF113)-(FF99+FF115))</f>
        <v>47949</v>
      </c>
      <c r="FG116" s="1479"/>
      <c r="FH116" s="1479">
        <f>MAX(0,(FH98+FH113)-(FH99+FH115))</f>
        <v>138654</v>
      </c>
      <c r="FI116" s="1504">
        <v>2274</v>
      </c>
      <c r="FJ116" s="1504">
        <v>169634</v>
      </c>
      <c r="FK116" s="1479"/>
      <c r="FL116" s="1479"/>
      <c r="FM116" s="1504">
        <v>201584</v>
      </c>
      <c r="FN116" s="1479"/>
      <c r="FO116" s="1504">
        <v>3193</v>
      </c>
      <c r="FP116" s="1479"/>
      <c r="FQ116" s="1479"/>
      <c r="FR116" s="1479"/>
      <c r="FS116" s="1479"/>
      <c r="FT116" s="1479"/>
      <c r="FU116" s="1479"/>
      <c r="FV116" s="1479"/>
      <c r="FW116" s="1479"/>
      <c r="FX116" s="1479"/>
      <c r="FY116" s="1479"/>
      <c r="FZ116" s="1479"/>
      <c r="GA116" s="1479"/>
      <c r="GB116" s="1479"/>
      <c r="GC116" s="1479"/>
      <c r="GD116" s="1479">
        <f>MAX(0,(GD98+GD113)-(GD99+GD115))</f>
        <v>8952</v>
      </c>
      <c r="GE116" s="1479"/>
      <c r="GF116" s="1479"/>
      <c r="GG116" s="1479"/>
      <c r="GH116" s="1479"/>
      <c r="GI116" s="1479"/>
      <c r="GJ116" s="1479">
        <f t="shared" ref="GJ116" si="54">MAX(0,(GJ98+GJ113)-(GJ99+GJ115))</f>
        <v>49810</v>
      </c>
      <c r="GK116" s="1479"/>
      <c r="GL116" s="1479"/>
      <c r="GM116" s="1479"/>
      <c r="GN116" s="1479">
        <f>MAX(0,(GN98+GN113)-(GN99+GN115))</f>
        <v>6875</v>
      </c>
      <c r="GO116" s="1479"/>
      <c r="GP116" s="1479"/>
      <c r="GQ116" s="1479"/>
      <c r="GR116" s="1479"/>
      <c r="GS116" s="1479"/>
      <c r="GT116" s="1479"/>
      <c r="GU116" s="1479">
        <f>MAX(0,(GU98+GU113)-(GU99+GU115))</f>
        <v>9920</v>
      </c>
      <c r="GV116" s="1479"/>
      <c r="GW116" s="1479"/>
      <c r="GX116" s="1479"/>
      <c r="GY116" s="1479"/>
      <c r="GZ116" s="1479"/>
      <c r="HA116" s="1479"/>
      <c r="HB116" s="1479"/>
      <c r="HC116" s="1479">
        <f>MAX(0,(HC98+HC113)-(HC99+HC115))</f>
        <v>138654</v>
      </c>
      <c r="HD116" s="1479"/>
      <c r="HE116" s="1479"/>
      <c r="HF116" s="1479"/>
      <c r="HG116" s="1479"/>
      <c r="HH116" s="1479"/>
      <c r="HI116" s="1503">
        <f>MAX(0,(HI98+HI113)-(HI99+HI115))</f>
        <v>24756</v>
      </c>
      <c r="HJ116" s="1503">
        <f>MAX(0,(HJ98+HJ113)-(HJ99+HJ115))</f>
        <v>126384</v>
      </c>
      <c r="HK116" s="1503">
        <f>MAX(0,(HK98+HK113)-(HK99+HK115))</f>
        <v>173250</v>
      </c>
      <c r="HL116" s="1503">
        <f>MAX(0,(HL98+HL113)-(HL99+HL115))</f>
        <v>201924</v>
      </c>
      <c r="HM116" s="1503">
        <f>MAX(0,(HM98+HM113)-(HM99+HM115))</f>
        <v>42500</v>
      </c>
      <c r="HN116" s="1479"/>
      <c r="HO116" s="1479">
        <f>MAX(0,(HO98+HO113)-(HO99+HO115))</f>
        <v>14900</v>
      </c>
      <c r="HP116" s="1479"/>
      <c r="HQ116" s="1479"/>
      <c r="HR116" s="1479"/>
      <c r="HS116" s="1479"/>
      <c r="HT116" s="1479"/>
      <c r="HU116" s="1479"/>
      <c r="HV116" s="1479"/>
      <c r="HW116" s="1479">
        <f>MAX(0,(HW98+HW113)-(HW99+HW115))</f>
        <v>26980</v>
      </c>
      <c r="HX116" s="1479"/>
      <c r="HY116" s="1479"/>
      <c r="HZ116" s="1479"/>
      <c r="IA116" s="1479"/>
      <c r="IB116" s="1479"/>
      <c r="IC116" s="1479"/>
      <c r="ID116" s="1479"/>
      <c r="IE116" s="1479"/>
      <c r="IF116" s="1479"/>
      <c r="IG116" s="1479"/>
      <c r="IH116" s="1479"/>
      <c r="II116" s="1479"/>
      <c r="IJ116" s="1479"/>
      <c r="IK116" s="1479"/>
      <c r="IL116" s="1503">
        <f t="shared" ref="IL116" si="55">MAX(0,(IL98+IL113)-(IL99+IL115))</f>
        <v>4237</v>
      </c>
      <c r="IM116" s="1479"/>
      <c r="IN116" s="1479"/>
      <c r="IO116" s="1479"/>
      <c r="IP116" s="1479"/>
      <c r="IQ116" s="1479"/>
      <c r="IR116" s="1479"/>
      <c r="IS116" s="1479"/>
      <c r="IT116" s="1479"/>
      <c r="IU116" s="1503">
        <f>MAX(0,(IU98+IU113)-(IU99+IU115))</f>
        <v>40265</v>
      </c>
      <c r="IV116" s="1479"/>
      <c r="IW116" s="1503">
        <f>MAX(0,(IW98+IW113)-(IW99+IW115))</f>
        <v>21.569999999999709</v>
      </c>
      <c r="IX116" s="1503">
        <f>MAX(0,(IX98+IX113)-(IX99+IX115))</f>
        <v>4112087</v>
      </c>
      <c r="IY116" s="1479">
        <f>MAX(0,(IY98+IY113)-(IY99+IY115))</f>
        <v>47949</v>
      </c>
      <c r="IZ116" s="1479"/>
      <c r="JA116" s="1479">
        <f>MAX(0,(JA98+JA113)-(JA99+JA115))</f>
        <v>104298</v>
      </c>
      <c r="JB116" s="1503">
        <f>MAX(0,(JB98+JB113)-(JB99+JB115))</f>
        <v>67942</v>
      </c>
      <c r="JC116" s="1479"/>
      <c r="JD116" s="1479"/>
      <c r="JE116" s="1479"/>
      <c r="JF116" s="1479"/>
      <c r="JG116" s="1479"/>
      <c r="JH116" s="1503">
        <f>MAX(0,(JH98+JH113)-(JH99+JH115))</f>
        <v>6908</v>
      </c>
      <c r="JI116" s="1479"/>
      <c r="JJ116" s="1479"/>
      <c r="JK116" s="1503">
        <f>MAX(0,(JK98+JK113)-(JK99+JK115))</f>
        <v>9210</v>
      </c>
      <c r="JL116" s="1479"/>
      <c r="JM116" s="1479"/>
      <c r="JN116" s="1479"/>
      <c r="JO116" s="1479"/>
      <c r="JP116" s="1479"/>
      <c r="JQ116" s="1479"/>
      <c r="JR116" s="351"/>
      <c r="JS116" s="1400" t="s">
        <v>3228</v>
      </c>
      <c r="JT116" s="1400" t="s">
        <v>2224</v>
      </c>
    </row>
    <row r="117" spans="1:280" ht="50" x14ac:dyDescent="0.25">
      <c r="A117" s="1367">
        <v>70</v>
      </c>
      <c r="B117" s="1411" t="str">
        <f t="shared" si="19"/>
        <v/>
      </c>
      <c r="C117" s="1435" t="s">
        <v>3229</v>
      </c>
      <c r="D117" s="1436" t="s">
        <v>3230</v>
      </c>
      <c r="E117" s="1479"/>
      <c r="F117" s="1479"/>
      <c r="G117" s="1479"/>
      <c r="H117" s="1479"/>
      <c r="I117" s="1479"/>
      <c r="J117" s="1479"/>
      <c r="K117" s="1479"/>
      <c r="L117" s="1479"/>
      <c r="M117" s="1479"/>
      <c r="N117" s="1479"/>
      <c r="O117" s="1479"/>
      <c r="P117" s="1479"/>
      <c r="Q117" s="1479"/>
      <c r="R117" s="1479"/>
      <c r="S117" s="1479"/>
      <c r="T117" s="1479"/>
      <c r="U117" s="1479"/>
      <c r="V117" s="1479"/>
      <c r="W117" s="1479"/>
      <c r="X117" s="1479"/>
      <c r="Y117" s="1479"/>
      <c r="Z117" s="1479"/>
      <c r="AA117" s="1479"/>
      <c r="AB117" s="1479"/>
      <c r="AC117" s="1479"/>
      <c r="AD117" s="1479"/>
      <c r="AE117" s="1479"/>
      <c r="AF117" s="1479"/>
      <c r="AG117" s="1479"/>
      <c r="AH117" s="1479"/>
      <c r="AI117" s="1479"/>
      <c r="AJ117" s="1479">
        <f>MAX(0,(AJ99+AJ115)-(AJ98+AJ113))</f>
        <v>0</v>
      </c>
      <c r="AK117" s="1479"/>
      <c r="AL117" s="1479"/>
      <c r="AM117" s="1479"/>
      <c r="AN117" s="1479"/>
      <c r="AO117" s="1479"/>
      <c r="AP117" s="1479">
        <f>MAX(0,(AP99+AP115)-(AP98+AP113))</f>
        <v>0</v>
      </c>
      <c r="AQ117" s="1479"/>
      <c r="AR117" s="1479"/>
      <c r="AS117" s="1479"/>
      <c r="AT117" s="1479"/>
      <c r="AU117" s="1479"/>
      <c r="AV117" s="1479">
        <f>MAX(0,(AV99+AV115)-(AV98+AV113))</f>
        <v>12390</v>
      </c>
      <c r="AW117" s="1479"/>
      <c r="AX117" s="1479"/>
      <c r="AY117" s="1479"/>
      <c r="AZ117" s="1479"/>
      <c r="BA117" s="1479"/>
      <c r="BB117" s="1479"/>
      <c r="BC117" s="1479"/>
      <c r="BD117" s="1479"/>
      <c r="BE117" s="1479"/>
      <c r="BF117" s="1479"/>
      <c r="BG117" s="1479"/>
      <c r="BH117" s="1479"/>
      <c r="BI117" s="1479"/>
      <c r="BJ117" s="1479"/>
      <c r="BK117" s="1479"/>
      <c r="BL117" s="1479"/>
      <c r="BM117" s="1479"/>
      <c r="BN117" s="1479"/>
      <c r="BO117" s="1479"/>
      <c r="BP117" s="1479"/>
      <c r="BQ117" s="1479"/>
      <c r="BR117" s="1479"/>
      <c r="BS117" s="1479"/>
      <c r="BT117" s="1479"/>
      <c r="BU117" s="1479"/>
      <c r="BV117" s="1479"/>
      <c r="BW117" s="1479"/>
      <c r="BX117" s="1479"/>
      <c r="BY117" s="1479"/>
      <c r="BZ117" s="1479"/>
      <c r="CA117" s="1479"/>
      <c r="CB117" s="1479"/>
      <c r="CC117" s="1479"/>
      <c r="CD117" s="1479"/>
      <c r="CE117" s="1479"/>
      <c r="CF117" s="1479"/>
      <c r="CG117" s="1479"/>
      <c r="CH117" s="1479"/>
      <c r="CI117" s="1479"/>
      <c r="CJ117" s="1479"/>
      <c r="CK117" s="1479"/>
      <c r="CL117" s="1479"/>
      <c r="CM117" s="1479">
        <v>10000</v>
      </c>
      <c r="CN117" s="1479"/>
      <c r="CO117" s="1479">
        <f>MAX(0,(CO99+CO115)-(CO98+CO113))</f>
        <v>50000</v>
      </c>
      <c r="CP117" s="1479"/>
      <c r="CQ117" s="1479"/>
      <c r="CR117" s="1479"/>
      <c r="CS117" s="1479"/>
      <c r="CT117" s="1479"/>
      <c r="CU117" s="1479"/>
      <c r="CV117" s="1479"/>
      <c r="CW117" s="1479"/>
      <c r="CX117" s="1479"/>
      <c r="CY117" s="1479"/>
      <c r="CZ117" s="1479"/>
      <c r="DA117" s="1479"/>
      <c r="DB117" s="1479"/>
      <c r="DC117" s="1479"/>
      <c r="DD117" s="1479"/>
      <c r="DE117" s="1479"/>
      <c r="DF117" s="1479"/>
      <c r="DG117" s="1479"/>
      <c r="DH117" s="1479"/>
      <c r="DI117" s="1479"/>
      <c r="DJ117" s="1479"/>
      <c r="DK117" s="1479"/>
      <c r="DL117" s="1479"/>
      <c r="DM117" s="1479"/>
      <c r="DN117" s="1479"/>
      <c r="DO117" s="1479"/>
      <c r="DP117" s="1479"/>
      <c r="DQ117" s="1479"/>
      <c r="DR117" s="1504">
        <v>130458</v>
      </c>
      <c r="DS117" s="1479"/>
      <c r="DT117" s="1479"/>
      <c r="DU117" s="1479"/>
      <c r="DV117" s="1479"/>
      <c r="DW117" s="1479"/>
      <c r="DX117" s="1479"/>
      <c r="DY117" s="1479"/>
      <c r="DZ117" s="1479"/>
      <c r="EA117" s="1479"/>
      <c r="EB117" s="1479"/>
      <c r="EC117" s="1479"/>
      <c r="ED117" s="1479"/>
      <c r="EE117" s="1479"/>
      <c r="EF117" s="1479"/>
      <c r="EG117" s="1479">
        <f>MAX(0,(EG99+EG115)-(EG98+EG113))</f>
        <v>5000</v>
      </c>
      <c r="EH117" s="1479"/>
      <c r="EI117" s="1479"/>
      <c r="EJ117" s="1479"/>
      <c r="EK117" s="1479"/>
      <c r="EL117" s="1479"/>
      <c r="EM117" s="1479"/>
      <c r="EN117" s="1479"/>
      <c r="EO117" s="1479"/>
      <c r="EP117" s="1479"/>
      <c r="EQ117" s="1479"/>
      <c r="ER117" s="1479"/>
      <c r="ES117" s="1504">
        <v>115</v>
      </c>
      <c r="ET117" s="1479"/>
      <c r="EU117" s="1479"/>
      <c r="EV117" s="1479"/>
      <c r="EW117" s="1479"/>
      <c r="EX117" s="1479"/>
      <c r="EY117" s="1479"/>
      <c r="EZ117" s="1479"/>
      <c r="FA117" s="1479"/>
      <c r="FB117" s="1479"/>
      <c r="FC117" s="1479"/>
      <c r="FD117" s="1479"/>
      <c r="FE117" s="1479"/>
      <c r="FF117" s="1479"/>
      <c r="FG117" s="1479"/>
      <c r="FH117" s="1479"/>
      <c r="FI117" s="1479"/>
      <c r="FJ117" s="1479"/>
      <c r="FK117" s="1479"/>
      <c r="FL117" s="1479"/>
      <c r="FM117" s="1479"/>
      <c r="FN117" s="1479"/>
      <c r="FO117" s="1479"/>
      <c r="FP117" s="1479"/>
      <c r="FQ117" s="1479"/>
      <c r="FR117" s="1479"/>
      <c r="FS117" s="1479"/>
      <c r="FT117" s="1479"/>
      <c r="FU117" s="1479"/>
      <c r="FV117" s="1479"/>
      <c r="FW117" s="1479"/>
      <c r="FX117" s="1479"/>
      <c r="FY117" s="1479"/>
      <c r="FZ117" s="1479"/>
      <c r="GA117" s="1479"/>
      <c r="GB117" s="1479"/>
      <c r="GC117" s="1479"/>
      <c r="GD117" s="1479"/>
      <c r="GE117" s="1479"/>
      <c r="GF117" s="1479"/>
      <c r="GG117" s="1479"/>
      <c r="GH117" s="1479"/>
      <c r="GI117" s="1479"/>
      <c r="GJ117" s="1479"/>
      <c r="GK117" s="1479"/>
      <c r="GL117" s="1479"/>
      <c r="GM117" s="1479"/>
      <c r="GN117" s="1479"/>
      <c r="GO117" s="1479"/>
      <c r="GP117" s="1479"/>
      <c r="GQ117" s="1479"/>
      <c r="GR117" s="1479"/>
      <c r="GS117" s="1479"/>
      <c r="GT117" s="1479"/>
      <c r="GU117" s="1479"/>
      <c r="GV117" s="1479"/>
      <c r="GW117" s="1479"/>
      <c r="GX117" s="1479">
        <f>MAX(0,(GX99+GX115)-(GX98+GX113))</f>
        <v>57763</v>
      </c>
      <c r="GY117" s="1479"/>
      <c r="GZ117" s="1479"/>
      <c r="HA117" s="1479"/>
      <c r="HB117" s="1503">
        <v>9010</v>
      </c>
      <c r="HC117" s="1479"/>
      <c r="HD117" s="1479"/>
      <c r="HE117" s="1479"/>
      <c r="HF117" s="1479"/>
      <c r="HG117" s="1479"/>
      <c r="HH117" s="1479"/>
      <c r="HI117" s="1479"/>
      <c r="HJ117" s="1479"/>
      <c r="HK117" s="1479"/>
      <c r="HL117" s="1479"/>
      <c r="HM117" s="1479"/>
      <c r="HN117" s="1479"/>
      <c r="HO117" s="1479"/>
      <c r="HP117" s="1479"/>
      <c r="HQ117" s="1479"/>
      <c r="HR117" s="1479"/>
      <c r="HS117" s="1479"/>
      <c r="HT117" s="1479"/>
      <c r="HU117" s="1503"/>
      <c r="HV117" s="1479"/>
      <c r="HW117" s="1479"/>
      <c r="HX117" s="1479"/>
      <c r="HY117" s="1479"/>
      <c r="HZ117" s="1479"/>
      <c r="IA117" s="1479"/>
      <c r="IB117" s="1479"/>
      <c r="IC117" s="1479"/>
      <c r="ID117" s="1479"/>
      <c r="IE117" s="1479"/>
      <c r="IF117" s="1479"/>
      <c r="IG117" s="1479"/>
      <c r="IH117" s="1479"/>
      <c r="II117" s="1479"/>
      <c r="IJ117" s="1479"/>
      <c r="IK117" s="1479"/>
      <c r="IL117" s="1479"/>
      <c r="IM117" s="1479"/>
      <c r="IN117" s="1479"/>
      <c r="IO117" s="1479"/>
      <c r="IP117" s="1479"/>
      <c r="IQ117" s="1479"/>
      <c r="IR117" s="1479"/>
      <c r="IS117" s="1479"/>
      <c r="IT117" s="1479"/>
      <c r="IU117" s="1479"/>
      <c r="IV117" s="1479"/>
      <c r="IW117" s="1479"/>
      <c r="IX117" s="1479"/>
      <c r="IY117" s="1479"/>
      <c r="IZ117" s="1479"/>
      <c r="JA117" s="1479"/>
      <c r="JB117" s="1479"/>
      <c r="JC117" s="1479"/>
      <c r="JD117" s="1479"/>
      <c r="JE117" s="1479"/>
      <c r="JF117" s="1479"/>
      <c r="JG117" s="1479"/>
      <c r="JH117" s="1479"/>
      <c r="JI117" s="1479"/>
      <c r="JJ117" s="1479"/>
      <c r="JK117" s="1479"/>
      <c r="JL117" s="1479"/>
      <c r="JM117" s="1479"/>
      <c r="JN117" s="1479"/>
      <c r="JO117" s="1479"/>
      <c r="JP117" s="1479"/>
      <c r="JQ117" s="1479"/>
      <c r="JR117" s="351"/>
      <c r="JS117" s="1400" t="s">
        <v>3231</v>
      </c>
      <c r="JT117" s="1400" t="s">
        <v>2224</v>
      </c>
    </row>
    <row r="118" spans="1:280" x14ac:dyDescent="0.25">
      <c r="A118" s="1367">
        <v>71</v>
      </c>
      <c r="B118" s="1411" t="str">
        <f t="shared" si="19"/>
        <v/>
      </c>
      <c r="C118" s="1435" t="s">
        <v>3232</v>
      </c>
      <c r="D118" s="1436" t="s">
        <v>3233</v>
      </c>
      <c r="E118" s="1532"/>
      <c r="F118" s="1532"/>
      <c r="G118" s="1532"/>
      <c r="H118" s="1532"/>
      <c r="I118" s="1532"/>
      <c r="J118" s="1532"/>
      <c r="K118" s="1532"/>
      <c r="L118" s="1532"/>
      <c r="M118" s="1532"/>
      <c r="N118" s="1532"/>
      <c r="O118" s="1533"/>
      <c r="P118" s="1533"/>
      <c r="Q118" s="1532"/>
      <c r="R118" s="1533"/>
      <c r="S118" s="1532"/>
      <c r="T118" s="1534"/>
      <c r="U118" s="1534"/>
      <c r="V118" s="1534"/>
      <c r="W118" s="1534"/>
      <c r="X118" s="1534"/>
      <c r="Y118" s="1534"/>
      <c r="Z118" s="1534"/>
      <c r="AA118" s="1534"/>
      <c r="AB118" s="1534"/>
      <c r="AC118" s="1532"/>
      <c r="AD118" s="1532"/>
      <c r="AE118" s="1532"/>
      <c r="AF118" s="1532"/>
      <c r="AG118" s="1532"/>
      <c r="AH118" s="1532"/>
      <c r="AI118" s="1534"/>
      <c r="AJ118" s="1532"/>
      <c r="AK118" s="1534"/>
      <c r="AL118" s="1532"/>
      <c r="AM118" s="1534"/>
      <c r="AN118" s="1534"/>
      <c r="AO118" s="1534"/>
      <c r="AP118" s="1534"/>
      <c r="AQ118" s="1534"/>
      <c r="AR118" s="1534"/>
      <c r="AS118" s="1534"/>
      <c r="AT118" s="1534"/>
      <c r="AU118" s="1534"/>
      <c r="AV118" s="1532"/>
      <c r="AW118" s="1534"/>
      <c r="AX118" s="1534"/>
      <c r="AY118" s="1534"/>
      <c r="AZ118" s="1534"/>
      <c r="BA118" s="1534"/>
      <c r="BB118" s="1534"/>
      <c r="BC118" s="1534"/>
      <c r="BD118" s="1534"/>
      <c r="BE118" s="1534"/>
      <c r="BF118" s="1534"/>
      <c r="BG118" s="1534"/>
      <c r="BH118" s="1534"/>
      <c r="BI118" s="1534"/>
      <c r="BJ118" s="1532"/>
      <c r="BK118" s="1534"/>
      <c r="BL118" s="1534"/>
      <c r="BM118" s="1534"/>
      <c r="BN118" s="1534"/>
      <c r="BO118" s="1534"/>
      <c r="BP118" s="1532"/>
      <c r="BQ118" s="1534"/>
      <c r="BR118" s="1534"/>
      <c r="BS118" s="1534"/>
      <c r="BT118" s="1534"/>
      <c r="BU118" s="1534"/>
      <c r="BV118" s="1534"/>
      <c r="BW118" s="1534"/>
      <c r="BX118" s="1534"/>
      <c r="BY118" s="1534"/>
      <c r="BZ118" s="1534"/>
      <c r="CA118" s="1534"/>
      <c r="CB118" s="1534"/>
      <c r="CC118" s="1534"/>
      <c r="CD118" s="1534"/>
      <c r="CE118" s="1534"/>
      <c r="CF118" s="1532"/>
      <c r="CG118" s="1534"/>
      <c r="CH118" s="1532">
        <v>-1010</v>
      </c>
      <c r="CI118" s="1534"/>
      <c r="CJ118" s="1534"/>
      <c r="CK118" s="1534"/>
      <c r="CL118" s="1532"/>
      <c r="CM118" s="1534"/>
      <c r="CN118" s="1534"/>
      <c r="CO118" s="1534"/>
      <c r="CP118" s="1534"/>
      <c r="CQ118" s="1534"/>
      <c r="CR118" s="1532"/>
      <c r="CS118" s="1532"/>
      <c r="CT118" s="1534"/>
      <c r="CU118" s="1532"/>
      <c r="CV118" s="1532"/>
      <c r="CW118" s="1534"/>
      <c r="CX118" s="1534"/>
      <c r="CY118" s="1534"/>
      <c r="CZ118" s="1534"/>
      <c r="DA118" s="1534"/>
      <c r="DB118" s="1534"/>
      <c r="DC118" s="1534"/>
      <c r="DD118" s="1534"/>
      <c r="DE118" s="1534"/>
      <c r="DF118" s="1534"/>
      <c r="DG118" s="1534"/>
      <c r="DH118" s="1534"/>
      <c r="DI118" s="1534"/>
      <c r="DJ118" s="1532"/>
      <c r="DK118" s="1534"/>
      <c r="DL118" s="1534"/>
      <c r="DM118" s="1534"/>
      <c r="DN118" s="1534"/>
      <c r="DO118" s="1532"/>
      <c r="DP118" s="1534"/>
      <c r="DQ118" s="1534"/>
      <c r="DR118" s="1534"/>
      <c r="DS118" s="1534"/>
      <c r="DT118" s="1534"/>
      <c r="DU118" s="1534"/>
      <c r="DV118" s="1534"/>
      <c r="DW118" s="1534"/>
      <c r="DX118" s="1534"/>
      <c r="DY118" s="1534"/>
      <c r="DZ118" s="1534"/>
      <c r="EA118" s="1534"/>
      <c r="EB118" s="1534"/>
      <c r="EC118" s="1534"/>
      <c r="ED118" s="1534"/>
      <c r="EE118" s="1534"/>
      <c r="EF118" s="1532"/>
      <c r="EG118" s="1532"/>
      <c r="EH118" s="1534"/>
      <c r="EI118" s="1532"/>
      <c r="EJ118" s="1534"/>
      <c r="EK118" s="1534"/>
      <c r="EL118" s="1534"/>
      <c r="EM118" s="1532"/>
      <c r="EN118" s="1534"/>
      <c r="EO118" s="1534"/>
      <c r="EP118" s="1534"/>
      <c r="EQ118" s="1534"/>
      <c r="ER118" s="1534"/>
      <c r="ES118" s="1534"/>
      <c r="ET118" s="1534"/>
      <c r="EU118" s="1534"/>
      <c r="EV118" s="1534"/>
      <c r="EW118" s="1534"/>
      <c r="EX118" s="1534"/>
      <c r="EY118" s="1532"/>
      <c r="EZ118" s="1534"/>
      <c r="FA118" s="1534"/>
      <c r="FB118" s="1534"/>
      <c r="FC118" s="1534"/>
      <c r="FD118" s="1534"/>
      <c r="FE118" s="1534"/>
      <c r="FF118" s="1532"/>
      <c r="FG118" s="1534"/>
      <c r="FH118" s="1532"/>
      <c r="FI118" s="1534"/>
      <c r="FJ118" s="1534"/>
      <c r="FK118" s="1534"/>
      <c r="FL118" s="1534"/>
      <c r="FM118" s="1534"/>
      <c r="FN118" s="1534"/>
      <c r="FO118" s="1534"/>
      <c r="FP118" s="1534"/>
      <c r="FQ118" s="1534"/>
      <c r="FR118" s="1534"/>
      <c r="FS118" s="1534"/>
      <c r="FT118" s="1534"/>
      <c r="FU118" s="1534"/>
      <c r="FV118" s="1534"/>
      <c r="FW118" s="1534"/>
      <c r="FX118" s="1534"/>
      <c r="FY118" s="1534"/>
      <c r="FZ118" s="1534"/>
      <c r="GA118" s="1534"/>
      <c r="GB118" s="1534"/>
      <c r="GC118" s="1534"/>
      <c r="GD118" s="1534"/>
      <c r="GE118" s="1534"/>
      <c r="GF118" s="1534"/>
      <c r="GG118" s="1534"/>
      <c r="GH118" s="1534"/>
      <c r="GI118" s="1534"/>
      <c r="GJ118" s="1532"/>
      <c r="GK118" s="1534"/>
      <c r="GL118" s="1534"/>
      <c r="GM118" s="1534"/>
      <c r="GN118" s="1535">
        <v>-7316</v>
      </c>
      <c r="GO118" s="1534"/>
      <c r="GP118" s="1534"/>
      <c r="GQ118" s="1534"/>
      <c r="GR118" s="1534"/>
      <c r="GS118" s="1534"/>
      <c r="GT118" s="1534"/>
      <c r="GU118" s="1534"/>
      <c r="GV118" s="1534"/>
      <c r="GW118" s="1534"/>
      <c r="GX118" s="1532"/>
      <c r="GY118" s="1534"/>
      <c r="GZ118" s="1534"/>
      <c r="HA118" s="1534"/>
      <c r="HB118" s="1532"/>
      <c r="HC118" s="1532"/>
      <c r="HD118" s="1534"/>
      <c r="HE118" s="1534"/>
      <c r="HF118" s="1534"/>
      <c r="HG118" s="1534"/>
      <c r="HH118" s="1534"/>
      <c r="HI118" s="1534"/>
      <c r="HJ118" s="1534"/>
      <c r="HK118" s="1534"/>
      <c r="HL118" s="1534"/>
      <c r="HM118" s="1534"/>
      <c r="HN118" s="1534"/>
      <c r="HO118" s="1532">
        <v>-1010</v>
      </c>
      <c r="HP118" s="1534"/>
      <c r="HQ118" s="1534"/>
      <c r="HR118" s="1534"/>
      <c r="HS118" s="1534"/>
      <c r="HT118" s="1534"/>
      <c r="HU118" s="1534"/>
      <c r="HV118" s="1534"/>
      <c r="HW118" s="1532"/>
      <c r="HX118" s="1534"/>
      <c r="HY118" s="1534"/>
      <c r="HZ118" s="1534"/>
      <c r="IA118" s="1534"/>
      <c r="IB118" s="1534"/>
      <c r="IC118" s="1534"/>
      <c r="ID118" s="1534"/>
      <c r="IE118" s="1534"/>
      <c r="IF118" s="1534"/>
      <c r="IG118" s="1534"/>
      <c r="IH118" s="1534"/>
      <c r="II118" s="1534"/>
      <c r="IJ118" s="1534"/>
      <c r="IK118" s="1534"/>
      <c r="IL118" s="1534"/>
      <c r="IM118" s="1534"/>
      <c r="IN118" s="1534"/>
      <c r="IO118" s="1534"/>
      <c r="IP118" s="1534"/>
      <c r="IQ118" s="1534"/>
      <c r="IR118" s="1534"/>
      <c r="IS118" s="1534"/>
      <c r="IT118" s="1534"/>
      <c r="IU118" s="1534"/>
      <c r="IV118" s="1534"/>
      <c r="IW118" s="1534"/>
      <c r="IX118" s="1534"/>
      <c r="IY118" s="1532"/>
      <c r="IZ118" s="1534"/>
      <c r="JA118" s="1532"/>
      <c r="JB118" s="1534"/>
      <c r="JC118" s="1534"/>
      <c r="JD118" s="1534"/>
      <c r="JE118" s="1534"/>
      <c r="JF118" s="1534"/>
      <c r="JG118" s="1534"/>
      <c r="JH118" s="1534"/>
      <c r="JI118" s="1534"/>
      <c r="JJ118" s="1534"/>
      <c r="JK118" s="1534"/>
      <c r="JL118" s="1534"/>
      <c r="JM118" s="1534"/>
      <c r="JN118" s="1534"/>
      <c r="JO118" s="1534"/>
      <c r="JP118" s="1534"/>
      <c r="JQ118" s="1536"/>
      <c r="JR118" s="351"/>
      <c r="JS118" s="1400"/>
      <c r="JT118" s="1400" t="s">
        <v>2882</v>
      </c>
    </row>
    <row r="119" spans="1:280" x14ac:dyDescent="0.25">
      <c r="A119" s="1367">
        <v>72</v>
      </c>
      <c r="B119" s="1411" t="str">
        <f t="shared" si="19"/>
        <v/>
      </c>
      <c r="C119" s="1435" t="s">
        <v>3234</v>
      </c>
      <c r="D119" s="1436" t="s">
        <v>3235</v>
      </c>
      <c r="E119" s="1532"/>
      <c r="F119" s="1532"/>
      <c r="G119" s="1532"/>
      <c r="H119" s="1532"/>
      <c r="I119" s="1532"/>
      <c r="J119" s="1532"/>
      <c r="K119" s="1532"/>
      <c r="L119" s="1532"/>
      <c r="M119" s="1532"/>
      <c r="N119" s="1532"/>
      <c r="O119" s="1533"/>
      <c r="P119" s="1533"/>
      <c r="Q119" s="1532"/>
      <c r="R119" s="1533"/>
      <c r="S119" s="1532"/>
      <c r="T119" s="1534"/>
      <c r="U119" s="1534"/>
      <c r="V119" s="1534"/>
      <c r="W119" s="1534"/>
      <c r="X119" s="1534"/>
      <c r="Y119" s="1534"/>
      <c r="Z119" s="1534"/>
      <c r="AA119" s="1534"/>
      <c r="AB119" s="1534"/>
      <c r="AC119" s="1532"/>
      <c r="AD119" s="1532"/>
      <c r="AE119" s="1532"/>
      <c r="AF119" s="1532"/>
      <c r="AG119" s="1532"/>
      <c r="AH119" s="1532"/>
      <c r="AI119" s="1534"/>
      <c r="AJ119" s="1532"/>
      <c r="AK119" s="1534"/>
      <c r="AL119" s="1532"/>
      <c r="AM119" s="1534"/>
      <c r="AN119" s="1534"/>
      <c r="AO119" s="1534"/>
      <c r="AP119" s="1534"/>
      <c r="AQ119" s="1534"/>
      <c r="AR119" s="1534"/>
      <c r="AS119" s="1534"/>
      <c r="AT119" s="1534"/>
      <c r="AU119" s="1534"/>
      <c r="AV119" s="1532"/>
      <c r="AW119" s="1534"/>
      <c r="AX119" s="1534"/>
      <c r="AY119" s="1534"/>
      <c r="AZ119" s="1534"/>
      <c r="BA119" s="1534"/>
      <c r="BB119" s="1534"/>
      <c r="BC119" s="1534"/>
      <c r="BD119" s="1534"/>
      <c r="BE119" s="1534"/>
      <c r="BF119" s="1534"/>
      <c r="BG119" s="1534"/>
      <c r="BH119" s="1534"/>
      <c r="BI119" s="1534"/>
      <c r="BJ119" s="1532"/>
      <c r="BK119" s="1534"/>
      <c r="BL119" s="1534"/>
      <c r="BM119" s="1534"/>
      <c r="BN119" s="1534"/>
      <c r="BO119" s="1534"/>
      <c r="BP119" s="1532"/>
      <c r="BQ119" s="1534"/>
      <c r="BR119" s="1534"/>
      <c r="BS119" s="1534"/>
      <c r="BT119" s="1534"/>
      <c r="BU119" s="1534"/>
      <c r="BV119" s="1534"/>
      <c r="BW119" s="1534"/>
      <c r="BX119" s="1534"/>
      <c r="BY119" s="1534"/>
      <c r="BZ119" s="1534"/>
      <c r="CA119" s="1534"/>
      <c r="CB119" s="1534"/>
      <c r="CC119" s="1534"/>
      <c r="CD119" s="1534"/>
      <c r="CE119" s="1534"/>
      <c r="CF119" s="1532"/>
      <c r="CG119" s="1534"/>
      <c r="CH119" s="1532"/>
      <c r="CI119" s="1534"/>
      <c r="CJ119" s="1534"/>
      <c r="CK119" s="1534"/>
      <c r="CL119" s="1532"/>
      <c r="CM119" s="1534"/>
      <c r="CN119" s="1534"/>
      <c r="CO119" s="1534"/>
      <c r="CP119" s="1534"/>
      <c r="CQ119" s="1534"/>
      <c r="CR119" s="1532"/>
      <c r="CS119" s="1532"/>
      <c r="CT119" s="1534"/>
      <c r="CU119" s="1532">
        <v>15200</v>
      </c>
      <c r="CV119" s="1532">
        <v>15200</v>
      </c>
      <c r="CW119" s="1534"/>
      <c r="CX119" s="1534"/>
      <c r="CY119" s="1534"/>
      <c r="CZ119" s="1534"/>
      <c r="DA119" s="1534"/>
      <c r="DB119" s="1534"/>
      <c r="DC119" s="1534">
        <v>15200</v>
      </c>
      <c r="DD119" s="1534"/>
      <c r="DE119" s="1534"/>
      <c r="DF119" s="1534"/>
      <c r="DG119" s="1534"/>
      <c r="DH119" s="1534"/>
      <c r="DI119" s="1534"/>
      <c r="DJ119" s="1532">
        <v>15200</v>
      </c>
      <c r="DK119" s="1534"/>
      <c r="DL119" s="1534"/>
      <c r="DM119" s="1534"/>
      <c r="DN119" s="1534"/>
      <c r="DO119" s="1532"/>
      <c r="DP119" s="1534"/>
      <c r="DQ119" s="1534"/>
      <c r="DR119" s="1534"/>
      <c r="DS119" s="1534"/>
      <c r="DT119" s="1534"/>
      <c r="DU119" s="1534"/>
      <c r="DV119" s="1534"/>
      <c r="DW119" s="1534"/>
      <c r="DX119" s="1534"/>
      <c r="DY119" s="1534"/>
      <c r="DZ119" s="1534"/>
      <c r="EA119" s="1534"/>
      <c r="EB119" s="1534"/>
      <c r="EC119" s="1534"/>
      <c r="ED119" s="1534"/>
      <c r="EE119" s="1534"/>
      <c r="EF119" s="1532"/>
      <c r="EG119" s="1532"/>
      <c r="EH119" s="1534"/>
      <c r="EI119" s="1532"/>
      <c r="EJ119" s="1534"/>
      <c r="EK119" s="1534"/>
      <c r="EL119" s="1534"/>
      <c r="EM119" s="1532"/>
      <c r="EN119" s="1534"/>
      <c r="EO119" s="1534"/>
      <c r="EP119" s="1534"/>
      <c r="EQ119" s="1534"/>
      <c r="ER119" s="1534"/>
      <c r="ES119" s="1534"/>
      <c r="ET119" s="1534"/>
      <c r="EU119" s="1534"/>
      <c r="EV119" s="1534"/>
      <c r="EW119" s="1534"/>
      <c r="EX119" s="1534"/>
      <c r="EY119" s="1532"/>
      <c r="EZ119" s="1534"/>
      <c r="FA119" s="1534"/>
      <c r="FB119" s="1534"/>
      <c r="FC119" s="1534"/>
      <c r="FD119" s="1534"/>
      <c r="FE119" s="1534"/>
      <c r="FF119" s="1532"/>
      <c r="FG119" s="1534"/>
      <c r="FH119" s="1532">
        <v>15200</v>
      </c>
      <c r="FI119" s="1537">
        <v>591</v>
      </c>
      <c r="FJ119" s="1534"/>
      <c r="FK119" s="1534"/>
      <c r="FL119" s="1534"/>
      <c r="FM119" s="1534"/>
      <c r="FN119" s="1534"/>
      <c r="FO119" s="1534"/>
      <c r="FP119" s="1534"/>
      <c r="FQ119" s="1534"/>
      <c r="FR119" s="1534"/>
      <c r="FS119" s="1534"/>
      <c r="FT119" s="1534"/>
      <c r="FU119" s="1534"/>
      <c r="FV119" s="1534"/>
      <c r="FW119" s="1534"/>
      <c r="FX119" s="1534"/>
      <c r="FY119" s="1534"/>
      <c r="FZ119" s="1534"/>
      <c r="GA119" s="1534"/>
      <c r="GB119" s="1534"/>
      <c r="GC119" s="1534"/>
      <c r="GD119" s="1534"/>
      <c r="GE119" s="1534"/>
      <c r="GF119" s="1534"/>
      <c r="GG119" s="1534"/>
      <c r="GH119" s="1534"/>
      <c r="GI119" s="1534"/>
      <c r="GJ119" s="1532"/>
      <c r="GK119" s="1534"/>
      <c r="GL119" s="1534"/>
      <c r="GM119" s="1534"/>
      <c r="GN119" s="1534"/>
      <c r="GO119" s="1534"/>
      <c r="GP119" s="1534"/>
      <c r="GQ119" s="1534"/>
      <c r="GR119" s="1534"/>
      <c r="GS119" s="1534"/>
      <c r="GT119" s="1534"/>
      <c r="GU119" s="1534"/>
      <c r="GV119" s="1534"/>
      <c r="GW119" s="1534"/>
      <c r="GX119" s="1532"/>
      <c r="GY119" s="1534"/>
      <c r="GZ119" s="1534"/>
      <c r="HA119" s="1534"/>
      <c r="HB119" s="1532"/>
      <c r="HC119" s="1532">
        <v>15200</v>
      </c>
      <c r="HD119" s="1534"/>
      <c r="HE119" s="1534"/>
      <c r="HF119" s="1534"/>
      <c r="HG119" s="1534"/>
      <c r="HH119" s="1534"/>
      <c r="HI119" s="1534"/>
      <c r="HJ119" s="1534"/>
      <c r="HK119" s="1534"/>
      <c r="HL119" s="1534"/>
      <c r="HM119" s="1534"/>
      <c r="HN119" s="1534"/>
      <c r="HO119" s="1532"/>
      <c r="HP119" s="1534"/>
      <c r="HQ119" s="1534"/>
      <c r="HR119" s="1534"/>
      <c r="HS119" s="1534"/>
      <c r="HT119" s="1534"/>
      <c r="HU119" s="1534"/>
      <c r="HV119" s="1534"/>
      <c r="HW119" s="1532"/>
      <c r="HX119" s="1534"/>
      <c r="HY119" s="1534"/>
      <c r="HZ119" s="1534"/>
      <c r="IA119" s="1534"/>
      <c r="IB119" s="1534"/>
      <c r="IC119" s="1534"/>
      <c r="ID119" s="1534"/>
      <c r="IE119" s="1534"/>
      <c r="IF119" s="1534"/>
      <c r="IG119" s="1534"/>
      <c r="IH119" s="1534"/>
      <c r="II119" s="1534"/>
      <c r="IJ119" s="1534"/>
      <c r="IK119" s="1534"/>
      <c r="IL119" s="1534"/>
      <c r="IM119" s="1534"/>
      <c r="IN119" s="1534"/>
      <c r="IO119" s="1534"/>
      <c r="IP119" s="1534"/>
      <c r="IQ119" s="1534"/>
      <c r="IR119" s="1534"/>
      <c r="IS119" s="1534"/>
      <c r="IT119" s="1534"/>
      <c r="IU119" s="1534"/>
      <c r="IV119" s="1534"/>
      <c r="IW119" s="1534"/>
      <c r="IX119" s="1534"/>
      <c r="IY119" s="1532"/>
      <c r="IZ119" s="1534"/>
      <c r="JA119" s="1532"/>
      <c r="JB119" s="1534"/>
      <c r="JC119" s="1534"/>
      <c r="JD119" s="1534"/>
      <c r="JE119" s="1534"/>
      <c r="JF119" s="1534"/>
      <c r="JG119" s="1534"/>
      <c r="JH119" s="1534"/>
      <c r="JI119" s="1534"/>
      <c r="JJ119" s="1534"/>
      <c r="JK119" s="1534"/>
      <c r="JL119" s="1534"/>
      <c r="JM119" s="1534"/>
      <c r="JN119" s="1534"/>
      <c r="JO119" s="1534"/>
      <c r="JP119" s="1534"/>
      <c r="JQ119" s="1536"/>
      <c r="JR119" s="351"/>
      <c r="JS119" s="1400"/>
      <c r="JT119" s="1400" t="s">
        <v>2242</v>
      </c>
    </row>
    <row r="120" spans="1:280" x14ac:dyDescent="0.25">
      <c r="A120" s="1367">
        <v>73</v>
      </c>
      <c r="B120" s="1411" t="str">
        <f t="shared" si="19"/>
        <v/>
      </c>
      <c r="C120" s="1435" t="s">
        <v>3236</v>
      </c>
      <c r="D120" s="1436" t="s">
        <v>3237</v>
      </c>
      <c r="E120" s="1532"/>
      <c r="F120" s="1532"/>
      <c r="G120" s="1532"/>
      <c r="H120" s="1532"/>
      <c r="I120" s="1532"/>
      <c r="J120" s="1532"/>
      <c r="K120" s="1532"/>
      <c r="L120" s="1532"/>
      <c r="M120" s="1532"/>
      <c r="N120" s="1532"/>
      <c r="O120" s="1533"/>
      <c r="P120" s="1533"/>
      <c r="Q120" s="1532"/>
      <c r="R120" s="1533"/>
      <c r="S120" s="1532"/>
      <c r="T120" s="1534"/>
      <c r="U120" s="1534"/>
      <c r="V120" s="1534"/>
      <c r="W120" s="1534"/>
      <c r="X120" s="1534"/>
      <c r="Y120" s="1534"/>
      <c r="Z120" s="1534"/>
      <c r="AA120" s="1534"/>
      <c r="AB120" s="1534"/>
      <c r="AC120" s="1532"/>
      <c r="AD120" s="1532"/>
      <c r="AE120" s="1532"/>
      <c r="AF120" s="1532"/>
      <c r="AG120" s="1532"/>
      <c r="AH120" s="1532"/>
      <c r="AI120" s="1534"/>
      <c r="AJ120" s="1532"/>
      <c r="AK120" s="1534"/>
      <c r="AL120" s="1532"/>
      <c r="AM120" s="1534"/>
      <c r="AN120" s="1534"/>
      <c r="AO120" s="1534"/>
      <c r="AP120" s="1534"/>
      <c r="AQ120" s="1534"/>
      <c r="AR120" s="1534"/>
      <c r="AS120" s="1534"/>
      <c r="AT120" s="1534"/>
      <c r="AU120" s="1534"/>
      <c r="AV120" s="1532"/>
      <c r="AW120" s="1534"/>
      <c r="AX120" s="1534"/>
      <c r="AY120" s="1534"/>
      <c r="AZ120" s="1534"/>
      <c r="BA120" s="1534"/>
      <c r="BB120" s="1534"/>
      <c r="BC120" s="1534"/>
      <c r="BD120" s="1534"/>
      <c r="BE120" s="1534"/>
      <c r="BF120" s="1534"/>
      <c r="BG120" s="1534"/>
      <c r="BH120" s="1534"/>
      <c r="BI120" s="1534"/>
      <c r="BJ120" s="1532"/>
      <c r="BK120" s="1534"/>
      <c r="BL120" s="1534"/>
      <c r="BM120" s="1534"/>
      <c r="BN120" s="1534"/>
      <c r="BO120" s="1534"/>
      <c r="BP120" s="1532"/>
      <c r="BQ120" s="1534"/>
      <c r="BR120" s="1534"/>
      <c r="BS120" s="1534"/>
      <c r="BT120" s="1534"/>
      <c r="BU120" s="1534"/>
      <c r="BV120" s="1534"/>
      <c r="BW120" s="1534"/>
      <c r="BX120" s="1534"/>
      <c r="BY120" s="1534"/>
      <c r="BZ120" s="1534"/>
      <c r="CA120" s="1534"/>
      <c r="CB120" s="1534">
        <v>3000</v>
      </c>
      <c r="CC120" s="1534"/>
      <c r="CD120" s="1534"/>
      <c r="CE120" s="1534"/>
      <c r="CF120" s="1532">
        <v>3000</v>
      </c>
      <c r="CG120" s="1534"/>
      <c r="CH120" s="1532"/>
      <c r="CI120" s="1534"/>
      <c r="CJ120" s="1534"/>
      <c r="CK120" s="1534"/>
      <c r="CL120" s="1532"/>
      <c r="CM120" s="1534"/>
      <c r="CN120" s="1534"/>
      <c r="CO120" s="1534"/>
      <c r="CP120" s="1534"/>
      <c r="CQ120" s="1534"/>
      <c r="CR120" s="1532"/>
      <c r="CS120" s="1532"/>
      <c r="CT120" s="1534"/>
      <c r="CU120" s="1532"/>
      <c r="CV120" s="1532"/>
      <c r="CW120" s="1534"/>
      <c r="CX120" s="1534"/>
      <c r="CY120" s="1534"/>
      <c r="CZ120" s="1534"/>
      <c r="DA120" s="1534"/>
      <c r="DB120" s="1534"/>
      <c r="DC120" s="1534"/>
      <c r="DD120" s="1534"/>
      <c r="DE120" s="1534"/>
      <c r="DF120" s="1534"/>
      <c r="DG120" s="1534"/>
      <c r="DH120" s="1534"/>
      <c r="DI120" s="1534"/>
      <c r="DJ120" s="1532"/>
      <c r="DK120" s="1534"/>
      <c r="DL120" s="1534"/>
      <c r="DM120" s="1534"/>
      <c r="DN120" s="1534"/>
      <c r="DO120" s="1532"/>
      <c r="DP120" s="1534"/>
      <c r="DQ120" s="1534"/>
      <c r="DR120" s="1534"/>
      <c r="DS120" s="1534"/>
      <c r="DT120" s="1534"/>
      <c r="DU120" s="1534"/>
      <c r="DV120" s="1534"/>
      <c r="DW120" s="1534"/>
      <c r="DX120" s="1534"/>
      <c r="DY120" s="1534"/>
      <c r="DZ120" s="1534"/>
      <c r="EA120" s="1534"/>
      <c r="EB120" s="1534"/>
      <c r="EC120" s="1534"/>
      <c r="ED120" s="1534"/>
      <c r="EE120" s="1534"/>
      <c r="EF120" s="1532"/>
      <c r="EG120" s="1532"/>
      <c r="EH120" s="1534"/>
      <c r="EI120" s="1532"/>
      <c r="EJ120" s="1534"/>
      <c r="EK120" s="1534"/>
      <c r="EL120" s="1534"/>
      <c r="EM120" s="1532"/>
      <c r="EN120" s="1534"/>
      <c r="EO120" s="1534"/>
      <c r="EP120" s="1534"/>
      <c r="EQ120" s="1534"/>
      <c r="ER120" s="1534"/>
      <c r="ES120" s="1534"/>
      <c r="ET120" s="1537">
        <v>-1578</v>
      </c>
      <c r="EU120" s="1534"/>
      <c r="EV120" s="1534"/>
      <c r="EW120" s="1534"/>
      <c r="EX120" s="1534"/>
      <c r="EY120" s="1532"/>
      <c r="EZ120" s="1534"/>
      <c r="FA120" s="1534"/>
      <c r="FB120" s="1534"/>
      <c r="FC120" s="1534"/>
      <c r="FD120" s="1534"/>
      <c r="FE120" s="1534"/>
      <c r="FF120" s="1532">
        <v>3000</v>
      </c>
      <c r="FG120" s="1534"/>
      <c r="FH120" s="1532"/>
      <c r="FI120" s="1534"/>
      <c r="FJ120" s="1534"/>
      <c r="FK120" s="1534"/>
      <c r="FL120" s="1534"/>
      <c r="FM120" s="1534"/>
      <c r="FN120" s="1534"/>
      <c r="FO120" s="1534"/>
      <c r="FP120" s="1534"/>
      <c r="FQ120" s="1534"/>
      <c r="FR120" s="1534"/>
      <c r="FS120" s="1534"/>
      <c r="FT120" s="1534"/>
      <c r="FU120" s="1534"/>
      <c r="FV120" s="1534"/>
      <c r="FW120" s="1534"/>
      <c r="FX120" s="1534"/>
      <c r="FY120" s="1534"/>
      <c r="FZ120" s="1534"/>
      <c r="GA120" s="1534"/>
      <c r="GB120" s="1534"/>
      <c r="GC120" s="1534"/>
      <c r="GD120" s="1534"/>
      <c r="GE120" s="1534"/>
      <c r="GF120" s="1534"/>
      <c r="GG120" s="1534"/>
      <c r="GH120" s="1534"/>
      <c r="GI120" s="1534"/>
      <c r="GJ120" s="1532"/>
      <c r="GK120" s="1534"/>
      <c r="GL120" s="1534"/>
      <c r="GM120" s="1534"/>
      <c r="GN120" s="1534"/>
      <c r="GO120" s="1534"/>
      <c r="GP120" s="1534"/>
      <c r="GQ120" s="1534"/>
      <c r="GR120" s="1534"/>
      <c r="GS120" s="1534"/>
      <c r="GT120" s="1534"/>
      <c r="GU120" s="1534"/>
      <c r="GV120" s="1534"/>
      <c r="GW120" s="1534"/>
      <c r="GX120" s="1532"/>
      <c r="GY120" s="1534"/>
      <c r="GZ120" s="1534"/>
      <c r="HA120" s="1534"/>
      <c r="HB120" s="1532"/>
      <c r="HC120" s="1532"/>
      <c r="HD120" s="1534"/>
      <c r="HE120" s="1534"/>
      <c r="HF120" s="1534"/>
      <c r="HG120" s="1534"/>
      <c r="HH120" s="1534"/>
      <c r="HI120" s="1534"/>
      <c r="HJ120" s="1534"/>
      <c r="HK120" s="1534"/>
      <c r="HL120" s="1534"/>
      <c r="HM120" s="1534"/>
      <c r="HN120" s="1534"/>
      <c r="HO120" s="1532"/>
      <c r="HP120" s="1534"/>
      <c r="HQ120" s="1534"/>
      <c r="HR120" s="1534"/>
      <c r="HS120" s="1534"/>
      <c r="HT120" s="1534"/>
      <c r="HU120" s="1534"/>
      <c r="HV120" s="1534"/>
      <c r="HW120" s="1532"/>
      <c r="HX120" s="1534"/>
      <c r="HY120" s="1534"/>
      <c r="HZ120" s="1534"/>
      <c r="IA120" s="1534"/>
      <c r="IB120" s="1534"/>
      <c r="IC120" s="1534"/>
      <c r="ID120" s="1534"/>
      <c r="IE120" s="1534"/>
      <c r="IF120" s="1534"/>
      <c r="IG120" s="1534"/>
      <c r="IH120" s="1534"/>
      <c r="II120" s="1534"/>
      <c r="IJ120" s="1534"/>
      <c r="IK120" s="1534"/>
      <c r="IL120" s="1534"/>
      <c r="IM120" s="1534"/>
      <c r="IN120" s="1534"/>
      <c r="IO120" s="1534"/>
      <c r="IP120" s="1534"/>
      <c r="IQ120" s="1534"/>
      <c r="IR120" s="1534"/>
      <c r="IS120" s="1534"/>
      <c r="IT120" s="1534"/>
      <c r="IU120" s="1534"/>
      <c r="IV120" s="1534"/>
      <c r="IW120" s="1534"/>
      <c r="IX120" s="1534"/>
      <c r="IY120" s="1532">
        <v>3000</v>
      </c>
      <c r="IZ120" s="1534"/>
      <c r="JA120" s="1532"/>
      <c r="JB120" s="1534"/>
      <c r="JC120" s="1534"/>
      <c r="JD120" s="1534"/>
      <c r="JE120" s="1534"/>
      <c r="JF120" s="1534"/>
      <c r="JG120" s="1534"/>
      <c r="JH120" s="1534"/>
      <c r="JI120" s="1534"/>
      <c r="JJ120" s="1534"/>
      <c r="JK120" s="1534"/>
      <c r="JL120" s="1534"/>
      <c r="JM120" s="1534"/>
      <c r="JN120" s="1534"/>
      <c r="JO120" s="1534"/>
      <c r="JP120" s="1534"/>
      <c r="JQ120" s="1536"/>
      <c r="JR120" s="351"/>
      <c r="JS120" s="1400"/>
      <c r="JT120" s="1400" t="s">
        <v>2882</v>
      </c>
    </row>
    <row r="121" spans="1:280" ht="100" x14ac:dyDescent="0.25">
      <c r="A121" s="1367">
        <v>74</v>
      </c>
      <c r="B121" s="1411" t="str">
        <f t="shared" si="19"/>
        <v/>
      </c>
      <c r="C121" s="1435" t="s">
        <v>3238</v>
      </c>
      <c r="D121" s="1436" t="s">
        <v>3239</v>
      </c>
      <c r="E121" s="1480"/>
      <c r="F121" s="1480"/>
      <c r="G121" s="1480">
        <f>IF(G116+G118+G119-G117&gt;0,G116+G118+G119+G120-G117,G120)</f>
        <v>15200</v>
      </c>
      <c r="H121" s="1480"/>
      <c r="I121" s="1480">
        <f>IF(I116+I118+I119-I117&gt;0,I116+I118+I119+I120-I117,I120)</f>
        <v>16285</v>
      </c>
      <c r="J121" s="1480"/>
      <c r="K121" s="1480"/>
      <c r="L121" s="1480">
        <f>IF(L116+L118+L119-L117&gt;0,L116+L118+L119+L120-L117,L120)</f>
        <v>14900</v>
      </c>
      <c r="M121" s="1480"/>
      <c r="N121" s="1480"/>
      <c r="O121" s="1480"/>
      <c r="P121" s="1480"/>
      <c r="Q121" s="1480">
        <f>IF(Q116+Q118+Q119-Q117&gt;0,Q116+Q118+Q119+Q120-Q117,Q120)</f>
        <v>14900</v>
      </c>
      <c r="R121" s="1480"/>
      <c r="S121" s="1480">
        <f>IF(S116+S118+S119-S117&gt;0,S116+S118+S119+S120-S117,S120)</f>
        <v>17560</v>
      </c>
      <c r="T121" s="1480"/>
      <c r="U121" s="1480"/>
      <c r="V121" s="1480"/>
      <c r="W121" s="1480"/>
      <c r="X121" s="1480"/>
      <c r="Y121" s="1480"/>
      <c r="Z121" s="1480"/>
      <c r="AA121" s="1480">
        <f>IF(AA116+AA118+AA119-AA117&gt;0,AA116+AA118+AA119+AA120-AA117,AA120)</f>
        <v>8864</v>
      </c>
      <c r="AB121" s="1480"/>
      <c r="AC121" s="1480">
        <f>IF(AC116+AC118+AC119-AC117&gt;0,AC116+AC118+AC119+AC120-AC117,AC120)</f>
        <v>14900</v>
      </c>
      <c r="AD121" s="1480"/>
      <c r="AE121" s="1480">
        <f>IF(AE116+AE118+AE119-AE117&gt;0,AE116+AE118+AE119+AE120-AE117,AE120)</f>
        <v>21875</v>
      </c>
      <c r="AF121" s="1480"/>
      <c r="AG121" s="1480"/>
      <c r="AH121" s="1480">
        <f>IF(AH116+AH118+AH119-AH117&gt;0,AH116+AH118+AH119+AH120-AH117,AH120)</f>
        <v>47430</v>
      </c>
      <c r="AI121" s="1480">
        <f>IF(AI116+AI118+AI119-AI117&gt;0,AI116+AI118+AI119+AI120-AI117,AI120)</f>
        <v>0</v>
      </c>
      <c r="AJ121" s="1480">
        <f>IF(AJ116+AJ118+AJ119-AJ117&gt;0,AJ116+AJ118+AJ119+AJ120-AJ117,AJ120)</f>
        <v>3400</v>
      </c>
      <c r="AK121" s="1480">
        <v>0</v>
      </c>
      <c r="AL121" s="1480"/>
      <c r="AM121" s="1480">
        <f>IF(AM116+AM118+AM119-AM117&gt;0,AM116+AM118+AM119+AM120-AM117,AM120)</f>
        <v>6724</v>
      </c>
      <c r="AN121" s="1480">
        <f>IF(AN116+AN118+AN119-AN117&gt;0,AN116+AN118+AN119+AN120-AN117,AN120)</f>
        <v>12571</v>
      </c>
      <c r="AO121" s="1480"/>
      <c r="AP121" s="1480">
        <f>IF(AP116+AP118+AP119-AP117&gt;0,AP116+AP118+AP119+AP120-AP117,AP120)</f>
        <v>8630</v>
      </c>
      <c r="AQ121" s="1480"/>
      <c r="AR121" s="1480"/>
      <c r="AS121" s="1480"/>
      <c r="AT121" s="1480"/>
      <c r="AU121" s="1480"/>
      <c r="AV121" s="1480">
        <f>IF(AV116+AV118+AV119-AV117&gt;0,AV116+AV118+AV119+AV120-AV117,AV120)</f>
        <v>0</v>
      </c>
      <c r="AW121" s="1480"/>
      <c r="AX121" s="1480"/>
      <c r="AY121" s="1480"/>
      <c r="AZ121" s="1480"/>
      <c r="BA121" s="1480"/>
      <c r="BB121" s="1480"/>
      <c r="BC121" s="1480"/>
      <c r="BD121" s="1480"/>
      <c r="BE121" s="1480"/>
      <c r="BF121" s="1480"/>
      <c r="BG121" s="1480"/>
      <c r="BH121" s="1480"/>
      <c r="BI121" s="1480"/>
      <c r="BJ121" s="1480">
        <f>IF(BJ116+BJ118+BJ119-BJ117&gt;0,BJ116+BJ118+BJ119+BJ120-BJ117,BJ120)</f>
        <v>0</v>
      </c>
      <c r="BK121" s="1480"/>
      <c r="BL121" s="1480"/>
      <c r="BM121" s="1480"/>
      <c r="BN121" s="1480"/>
      <c r="BO121" s="1480"/>
      <c r="BP121" s="1480"/>
      <c r="BQ121" s="1480"/>
      <c r="BR121" s="1480"/>
      <c r="BS121" s="1480"/>
      <c r="BT121" s="1480"/>
      <c r="BU121" s="1480"/>
      <c r="BV121" s="1480"/>
      <c r="BW121" s="1480"/>
      <c r="BX121" s="1480"/>
      <c r="BY121" s="1480">
        <f t="shared" ref="BY121" si="56">IF(BY116+BY118+BY119-BY117&gt;0,BY116+BY118+BY119+BY120-BY117,BY120)</f>
        <v>5000</v>
      </c>
      <c r="BZ121" s="1480"/>
      <c r="CA121" s="1480"/>
      <c r="CB121" s="1480">
        <f>IF(CB116+CB118+CB119-CB117&gt;0,CB116+CB118+CB119+CB120-CB117,CB120)</f>
        <v>62749</v>
      </c>
      <c r="CC121" s="1480"/>
      <c r="CD121" s="1480">
        <f>IF(CD116+CD118+CD119-CD117&gt;0,CD116+CD118+CD119+CD120-CD117,CD120)</f>
        <v>87727</v>
      </c>
      <c r="CE121" s="1480"/>
      <c r="CF121" s="1480">
        <f>IF(CF116+CF118+CF119-CF117&gt;0,CF116+CF118+CF119+CF120-CF117,CF120)</f>
        <v>50949</v>
      </c>
      <c r="CG121" s="1480"/>
      <c r="CH121" s="1480">
        <f>IF(CH116+CH118+CH119-CH117&gt;0,CH116+CH118+CH119+CH120-CH117,CH120)</f>
        <v>13890</v>
      </c>
      <c r="CI121" s="1480"/>
      <c r="CJ121" s="1480"/>
      <c r="CK121" s="1480">
        <f>IF(CK116+CK118+CK119-CK117&gt;0,CK116+CK118+CK119+CK120-CK117,CK120)</f>
        <v>11580</v>
      </c>
      <c r="CL121" s="1480">
        <f>IF(CL116+CL118+CL119-CL117&gt;0,CL116+CL118+CL119+CL120-CL117,CL120)</f>
        <v>104298</v>
      </c>
      <c r="CM121" s="1480"/>
      <c r="CN121" s="1480">
        <f>IF(CN116+CN118+CN119-CN117&gt;0,CN116+CN118+CN119+CN120-CN117,CN120)</f>
        <v>77364</v>
      </c>
      <c r="CO121" s="1480"/>
      <c r="CP121" s="1480">
        <f>IF(CP116+CP118+CP119-CP117&gt;0,CP116+CP118+CP119+CP120-CP117,CP120)</f>
        <v>35000</v>
      </c>
      <c r="CQ121" s="1480"/>
      <c r="CR121" s="1480">
        <f>IF(CR116+CR118+CR119-CR117&gt;0,CR116+CR118+CR119+CR120-CR117,CR120)</f>
        <v>104298</v>
      </c>
      <c r="CS121" s="1480">
        <f>IF(CS116+CS118+CS119-CS117&gt;0,CS116+CS118+CS119+CS120-CS117,CS120)</f>
        <v>104298</v>
      </c>
      <c r="CT121" s="1480"/>
      <c r="CU121" s="1480">
        <f>IF(CU116+CU118+CU119-CU117&gt;0,CU116+CU118+CU119+CU120-CU117,CU120)</f>
        <v>153854</v>
      </c>
      <c r="CV121" s="1480">
        <f>IF(CV116+CV118+CV119-CV117&gt;0,CV116+CV118+CV119+CV120-CV117,CV120)</f>
        <v>153854</v>
      </c>
      <c r="CW121" s="1480"/>
      <c r="CX121" s="1480"/>
      <c r="CY121" s="1480"/>
      <c r="CZ121" s="1480"/>
      <c r="DA121" s="1480"/>
      <c r="DB121" s="1480"/>
      <c r="DC121" s="1480">
        <f t="shared" ref="DC121:DI121" si="57">IF(DC116+DC118+DC119-DC117&gt;0,DC116+DC118+DC119+DC120-DC117,DC120)</f>
        <v>153854</v>
      </c>
      <c r="DD121" s="1480"/>
      <c r="DE121" s="1480"/>
      <c r="DF121" s="1480"/>
      <c r="DG121" s="1480"/>
      <c r="DH121" s="1480"/>
      <c r="DI121" s="1480">
        <f t="shared" si="57"/>
        <v>0</v>
      </c>
      <c r="DJ121" s="1480">
        <f>IF(DJ116+DJ118+DJ119-DJ117&gt;0,DJ116+DJ118+DJ119+DJ120-DJ117,DJ120)</f>
        <v>153854</v>
      </c>
      <c r="DK121" s="1480"/>
      <c r="DL121" s="1480"/>
      <c r="DM121" s="1480"/>
      <c r="DN121" s="1480"/>
      <c r="DO121" s="1480"/>
      <c r="DP121" s="1480"/>
      <c r="DQ121" s="1480"/>
      <c r="DR121" s="1480"/>
      <c r="DS121" s="1480"/>
      <c r="DT121" s="1480"/>
      <c r="DU121" s="1480"/>
      <c r="DV121" s="1480"/>
      <c r="DW121" s="1480"/>
      <c r="DX121" s="1480"/>
      <c r="DY121" s="1480"/>
      <c r="DZ121" s="1480"/>
      <c r="EA121" s="1480">
        <f>IF(EA116+EA118+EA119-EA117&gt;0,EA116+EA118+EA119+EA120-EA117,EA120)</f>
        <v>13965</v>
      </c>
      <c r="EB121" s="1480"/>
      <c r="EC121" s="1480"/>
      <c r="ED121" s="1480"/>
      <c r="EE121" s="1480"/>
      <c r="EF121" s="1480">
        <f>IF(EF116+EF118+EF119-EF117&gt;0,EF116+EF118+EF119+EF120-EF117,EF120)</f>
        <v>14023</v>
      </c>
      <c r="EG121" s="1480">
        <f>IF(EG116+EG118+EG119-EG117&gt;0,EG116+EG118+EG119+EG120-EG117,EG120)</f>
        <v>0</v>
      </c>
      <c r="EH121" s="1480"/>
      <c r="EI121" s="1480">
        <f>IF(EI116+EI118+EI119-EI117&gt;0,EI116+EI118+EI119+EI120-EI117,EI120)</f>
        <v>56714</v>
      </c>
      <c r="EJ121" s="1480"/>
      <c r="EK121" s="1480"/>
      <c r="EL121" s="1480"/>
      <c r="EM121" s="1480">
        <f>IF(EM116+EM118+EM119-EM117&gt;0,EM116+EM118+EM119+EM120-EM117,EM120)</f>
        <v>104298</v>
      </c>
      <c r="EN121" s="1480"/>
      <c r="EO121" s="1480"/>
      <c r="EP121" s="1480"/>
      <c r="EQ121" s="1480"/>
      <c r="ER121" s="1480"/>
      <c r="ES121" s="1480"/>
      <c r="ET121" s="1538">
        <f t="shared" ref="ET121" si="58">IF(ET116+ET118+ET119-ET117&gt;0,ET116+ET118+ET119+ET120-ET117,ET120)</f>
        <v>2209</v>
      </c>
      <c r="EU121" s="1480"/>
      <c r="EV121" s="1480"/>
      <c r="EW121" s="1480"/>
      <c r="EX121" s="1480"/>
      <c r="EY121" s="1480">
        <f>IF(EY116+EY118+EY119-EY117&gt;0,EY116+EY118+EY119+EY120-EY117,EY120)</f>
        <v>104298</v>
      </c>
      <c r="EZ121" s="1480"/>
      <c r="FA121" s="1480"/>
      <c r="FB121" s="1480"/>
      <c r="FC121" s="1480"/>
      <c r="FD121" s="1480"/>
      <c r="FE121" s="1480"/>
      <c r="FF121" s="1480">
        <f>IF(FF116+FF118+FF119-FF117&gt;0,FF116+FF118+FF119+FF120-FF117,FF120)</f>
        <v>50949</v>
      </c>
      <c r="FG121" s="1480"/>
      <c r="FH121" s="1480">
        <f>IF(FH116+FH118+FH119-FH117&gt;0,FH116+FH118+FH119+FH120-FH117,FH120)</f>
        <v>153854</v>
      </c>
      <c r="FI121" s="1538">
        <v>2274</v>
      </c>
      <c r="FJ121" s="1480">
        <f>IF(FJ116+FJ118+FJ119-FJ117&gt;0,FJ116+FJ118+FJ119+FJ120-FJ117,FJ120)</f>
        <v>169634</v>
      </c>
      <c r="FK121" s="1480"/>
      <c r="FL121" s="1480"/>
      <c r="FM121" s="1480">
        <f>IF(FM116+FM118+FM119-FM117&gt;0,FM116+FM118+FM119+FM120-FM117,FM120)</f>
        <v>201584</v>
      </c>
      <c r="FN121" s="1480"/>
      <c r="FO121" s="1480">
        <v>2193</v>
      </c>
      <c r="FP121" s="1480"/>
      <c r="FQ121" s="1480"/>
      <c r="FR121" s="1480"/>
      <c r="FS121" s="1480"/>
      <c r="FT121" s="1480"/>
      <c r="FU121" s="1480"/>
      <c r="FV121" s="1480"/>
      <c r="FW121" s="1480"/>
      <c r="FX121" s="1480"/>
      <c r="FY121" s="1480"/>
      <c r="FZ121" s="1480"/>
      <c r="GA121" s="1480"/>
      <c r="GB121" s="1480"/>
      <c r="GC121" s="1480"/>
      <c r="GD121" s="1480">
        <f>IF(GD116+GD118+GD119-GD117&gt;0,GD116+GD118+GD119+GD120-GD117,GD120)</f>
        <v>8952</v>
      </c>
      <c r="GE121" s="1480"/>
      <c r="GF121" s="1480"/>
      <c r="GG121" s="1480"/>
      <c r="GH121" s="1480"/>
      <c r="GI121" s="1480"/>
      <c r="GJ121" s="1480">
        <v>49810</v>
      </c>
      <c r="GK121" s="1480"/>
      <c r="GL121" s="1480"/>
      <c r="GM121" s="1480"/>
      <c r="GN121" s="1480"/>
      <c r="GO121" s="1480"/>
      <c r="GP121" s="1480"/>
      <c r="GQ121" s="1480"/>
      <c r="GR121" s="1480"/>
      <c r="GS121" s="1480"/>
      <c r="GT121" s="1480"/>
      <c r="GU121" s="1480">
        <f>IF(GU116+GU118+GU119-GU117&gt;0,GU116+GU118+GU119+GU120-GU117,GU120)</f>
        <v>9920</v>
      </c>
      <c r="GV121" s="1480"/>
      <c r="GW121" s="1480"/>
      <c r="GX121" s="1480">
        <f>IF(GX116+GX118+GX119-GX117&gt;0,GX116+GX118+GX119+GX120-GX117,GX120)</f>
        <v>0</v>
      </c>
      <c r="GY121" s="1480"/>
      <c r="GZ121" s="1480"/>
      <c r="HA121" s="1480"/>
      <c r="HB121" s="1480">
        <f>IF(HB116+HB118+HB119-HB117&gt;0,HB116+HB118+HB119+HB120-HB117,HB120)</f>
        <v>0</v>
      </c>
      <c r="HC121" s="1480">
        <f>IF(HC116+HC118+HC119-HC117&gt;0,HC116+HC118+HC119+HC120-HC117,HC120)</f>
        <v>153854</v>
      </c>
      <c r="HD121" s="1480"/>
      <c r="HE121" s="1480"/>
      <c r="HF121" s="1480"/>
      <c r="HG121" s="1480"/>
      <c r="HH121" s="1480"/>
      <c r="HI121" s="1480">
        <f>IF(HI116+HI118+HI119-HI117&gt;0,HI116+HI118+HI119+HI120-HI117,HI120)</f>
        <v>24756</v>
      </c>
      <c r="HJ121" s="1480">
        <f>IF(HJ116+HJ118+HJ119-HJ117&gt;0,HJ116+HJ118+HJ119+HJ120-HJ117,HJ120)</f>
        <v>126384</v>
      </c>
      <c r="HK121" s="1480">
        <f>IF(HK116+HK118+HK119-HK117&gt;0,HK116+HK118+HK119+HK120-HK117,HK120)</f>
        <v>173250</v>
      </c>
      <c r="HL121" s="1480">
        <f>IF(HL116+HL118+HL119-HL117&gt;0,HL116+HL118+HL119+HL120-HL117,HL120)</f>
        <v>201924</v>
      </c>
      <c r="HM121" s="1480">
        <f>IF(HM116+HM118+HM119-HM117&gt;0,HM116+HM118+HM119+HM120-HM117,HM120)</f>
        <v>42500</v>
      </c>
      <c r="HN121" s="1480"/>
      <c r="HO121" s="1480">
        <f>IF(HO116+HO118+HO119-HO117&gt;0,HO116+HO118+HO119+HO120-HO117,HO120)</f>
        <v>13890</v>
      </c>
      <c r="HP121" s="1480"/>
      <c r="HQ121" s="1480"/>
      <c r="HR121" s="1480"/>
      <c r="HS121" s="1480"/>
      <c r="HT121" s="1480"/>
      <c r="HU121" s="1480"/>
      <c r="HV121" s="1480"/>
      <c r="HW121" s="1480">
        <f>IF(HW116+HW118+HW119-HW117&gt;0,HW116+HW118+HW119+HW120-HW117,HW120)</f>
        <v>26980</v>
      </c>
      <c r="HX121" s="1480"/>
      <c r="HY121" s="1480"/>
      <c r="HZ121" s="1480"/>
      <c r="IA121" s="1480"/>
      <c r="IB121" s="1480"/>
      <c r="IC121" s="1480"/>
      <c r="ID121" s="1480"/>
      <c r="IE121" s="1480"/>
      <c r="IF121" s="1480"/>
      <c r="IG121" s="1480"/>
      <c r="IH121" s="1480"/>
      <c r="II121" s="1480"/>
      <c r="IJ121" s="1480"/>
      <c r="IK121" s="1480"/>
      <c r="IL121" s="1480">
        <f t="shared" ref="IL121" si="59">IF(IL116+IL118+IL119-IL117&gt;0,IL116+IL118+IL119+IL120-IL117,IL120)</f>
        <v>4237</v>
      </c>
      <c r="IM121" s="1480"/>
      <c r="IN121" s="1480"/>
      <c r="IO121" s="1480"/>
      <c r="IP121" s="1480"/>
      <c r="IQ121" s="1480"/>
      <c r="IR121" s="1480"/>
      <c r="IS121" s="1480"/>
      <c r="IT121" s="1480"/>
      <c r="IU121" s="1480">
        <f>IF(IU116+IU118+IU119-IU117&gt;0,IU116+IU118+IU119+IU120-IU117,IU120)</f>
        <v>40265</v>
      </c>
      <c r="IV121" s="1480"/>
      <c r="IW121" s="1480">
        <f>IF(IW116+IW118+IW119-IW117&gt;0,IW116+IW118+IW119+IW120-IW117,IW120)</f>
        <v>21.569999999999709</v>
      </c>
      <c r="IX121" s="1480">
        <f>IF(IX116+IX118+IX119-IX117&gt;0,IX116+IX118+IX119+IX120-IX117,IX120)</f>
        <v>4112087</v>
      </c>
      <c r="IY121" s="1480">
        <f>IF(IY116+IY118+IY119-IY117&gt;0,IY116+IY118+IY119+IY120-IY117,IY120)</f>
        <v>50949</v>
      </c>
      <c r="IZ121" s="1480"/>
      <c r="JA121" s="1480">
        <f>IF(JA116+JA118+JA119-JA117&gt;0,JA116+JA118+JA119+JA120-JA117,JA120)</f>
        <v>104298</v>
      </c>
      <c r="JB121" s="1480">
        <f>IF(JB116+JB118+JB119-JB117&gt;0,JB116+JB118+JB119+JB120-JB117,JB120)</f>
        <v>67942</v>
      </c>
      <c r="JC121" s="1480"/>
      <c r="JD121" s="1480"/>
      <c r="JE121" s="1480"/>
      <c r="JF121" s="1480"/>
      <c r="JG121" s="1480"/>
      <c r="JH121" s="1480">
        <f>IF(JH116+JH118+JH119-JH117&gt;0,JH116+JH118+JH119+JH120-JH117,JH120)</f>
        <v>6908</v>
      </c>
      <c r="JI121" s="1480"/>
      <c r="JJ121" s="1480"/>
      <c r="JK121" s="1480">
        <f>IF(JK116+JK118+JK119-JK117&gt;0,JK116+JK118+JK119+JK120-JK117,JK120)</f>
        <v>9210</v>
      </c>
      <c r="JL121" s="1480"/>
      <c r="JM121" s="1480"/>
      <c r="JN121" s="1480"/>
      <c r="JO121" s="1480"/>
      <c r="JP121" s="1480"/>
      <c r="JQ121" s="1480"/>
      <c r="JR121" s="351"/>
      <c r="JS121" s="1400" t="s">
        <v>3240</v>
      </c>
      <c r="JT121" s="1400" t="s">
        <v>2224</v>
      </c>
    </row>
    <row r="122" spans="1:280" x14ac:dyDescent="0.25">
      <c r="A122" s="1367">
        <v>75</v>
      </c>
      <c r="B122" s="1411" t="str">
        <f t="shared" si="19"/>
        <v/>
      </c>
      <c r="C122" s="1435" t="s">
        <v>3241</v>
      </c>
      <c r="D122" s="1436" t="s">
        <v>3242</v>
      </c>
      <c r="E122" s="1532"/>
      <c r="F122" s="1532"/>
      <c r="G122" s="1532"/>
      <c r="H122" s="1532"/>
      <c r="I122" s="1532"/>
      <c r="J122" s="1532"/>
      <c r="K122" s="1532"/>
      <c r="L122" s="1532"/>
      <c r="M122" s="1532"/>
      <c r="N122" s="1532"/>
      <c r="O122" s="1533"/>
      <c r="P122" s="1533"/>
      <c r="Q122" s="1532"/>
      <c r="R122" s="1533"/>
      <c r="S122" s="1532"/>
      <c r="T122" s="1534"/>
      <c r="U122" s="1534"/>
      <c r="V122" s="1534"/>
      <c r="W122" s="1534"/>
      <c r="X122" s="1534"/>
      <c r="Y122" s="1534"/>
      <c r="Z122" s="1534"/>
      <c r="AA122" s="1534"/>
      <c r="AB122" s="1534"/>
      <c r="AC122" s="1532"/>
      <c r="AD122" s="1532"/>
      <c r="AE122" s="1532"/>
      <c r="AF122" s="1532"/>
      <c r="AG122" s="1532"/>
      <c r="AH122" s="1532"/>
      <c r="AI122" s="1534"/>
      <c r="AJ122" s="1532"/>
      <c r="AK122" s="1534"/>
      <c r="AL122" s="1532"/>
      <c r="AM122" s="1534"/>
      <c r="AN122" s="1534"/>
      <c r="AO122" s="1534"/>
      <c r="AP122" s="1534"/>
      <c r="AQ122" s="1534"/>
      <c r="AR122" s="1534"/>
      <c r="AS122" s="1534"/>
      <c r="AT122" s="1534"/>
      <c r="AU122" s="1534"/>
      <c r="AV122" s="1532"/>
      <c r="AW122" s="1534"/>
      <c r="AX122" s="1534"/>
      <c r="AY122" s="1534"/>
      <c r="AZ122" s="1534"/>
      <c r="BA122" s="1534"/>
      <c r="BB122" s="1534"/>
      <c r="BC122" s="1534"/>
      <c r="BD122" s="1534"/>
      <c r="BE122" s="1534"/>
      <c r="BF122" s="1534"/>
      <c r="BG122" s="1534"/>
      <c r="BH122" s="1534"/>
      <c r="BI122" s="1534"/>
      <c r="BJ122" s="1532"/>
      <c r="BK122" s="1534"/>
      <c r="BL122" s="1534"/>
      <c r="BM122" s="1534"/>
      <c r="BN122" s="1534"/>
      <c r="BO122" s="1534"/>
      <c r="BP122" s="1532"/>
      <c r="BQ122" s="1534"/>
      <c r="BR122" s="1534"/>
      <c r="BS122" s="1534"/>
      <c r="BT122" s="1534"/>
      <c r="BU122" s="1534"/>
      <c r="BV122" s="1534"/>
      <c r="BW122" s="1534"/>
      <c r="BX122" s="1534"/>
      <c r="BY122" s="1534"/>
      <c r="BZ122" s="1534"/>
      <c r="CA122" s="1534"/>
      <c r="CB122" s="1534"/>
      <c r="CC122" s="1534"/>
      <c r="CD122" s="1534"/>
      <c r="CE122" s="1534"/>
      <c r="CF122" s="1532"/>
      <c r="CG122" s="1534"/>
      <c r="CH122" s="1532">
        <v>3275</v>
      </c>
      <c r="CI122" s="1534"/>
      <c r="CJ122" s="1534"/>
      <c r="CK122" s="1535"/>
      <c r="CL122" s="1532">
        <v>416</v>
      </c>
      <c r="CM122" s="1535">
        <v>4000</v>
      </c>
      <c r="CN122" s="1535">
        <v>4000</v>
      </c>
      <c r="CO122" s="1535"/>
      <c r="CP122" s="1534"/>
      <c r="CQ122" s="1534"/>
      <c r="CR122" s="1532"/>
      <c r="CS122" s="1532"/>
      <c r="CT122" s="1534"/>
      <c r="CU122" s="1532"/>
      <c r="CV122" s="1532"/>
      <c r="CW122" s="1534"/>
      <c r="CX122" s="1534"/>
      <c r="CY122" s="1534"/>
      <c r="CZ122" s="1534"/>
      <c r="DA122" s="1534"/>
      <c r="DB122" s="1534"/>
      <c r="DC122" s="1534"/>
      <c r="DD122" s="1534"/>
      <c r="DE122" s="1534"/>
      <c r="DF122" s="1534"/>
      <c r="DG122" s="1534"/>
      <c r="DH122" s="1534"/>
      <c r="DI122" s="1534"/>
      <c r="DJ122" s="1532"/>
      <c r="DK122" s="1534"/>
      <c r="DL122" s="1534"/>
      <c r="DM122" s="1534"/>
      <c r="DN122" s="1534"/>
      <c r="DO122" s="1532"/>
      <c r="DP122" s="1534"/>
      <c r="DQ122" s="1534"/>
      <c r="DR122" s="1534"/>
      <c r="DS122" s="1534"/>
      <c r="DT122" s="1534"/>
      <c r="DU122" s="1534"/>
      <c r="DV122" s="1534"/>
      <c r="DW122" s="1534"/>
      <c r="DX122" s="1534"/>
      <c r="DY122" s="1534"/>
      <c r="DZ122" s="1534"/>
      <c r="EA122" s="1535">
        <v>14356</v>
      </c>
      <c r="EB122" s="1534"/>
      <c r="EC122" s="1534"/>
      <c r="ED122" s="1534"/>
      <c r="EE122" s="1534"/>
      <c r="EF122" s="1532"/>
      <c r="EG122" s="1532"/>
      <c r="EH122" s="1534"/>
      <c r="EI122" s="1532"/>
      <c r="EJ122" s="1534"/>
      <c r="EK122" s="1534"/>
      <c r="EL122" s="1534"/>
      <c r="EM122" s="1532"/>
      <c r="EN122" s="1534"/>
      <c r="EO122" s="1534"/>
      <c r="EP122" s="1534"/>
      <c r="EQ122" s="1534"/>
      <c r="ER122" s="1534"/>
      <c r="ES122" s="1534"/>
      <c r="ET122" s="1534"/>
      <c r="EU122" s="1534"/>
      <c r="EV122" s="1534"/>
      <c r="EW122" s="1534"/>
      <c r="EX122" s="1534"/>
      <c r="EY122" s="1532"/>
      <c r="EZ122" s="1534"/>
      <c r="FA122" s="1534"/>
      <c r="FB122" s="1534"/>
      <c r="FC122" s="1534"/>
      <c r="FD122" s="1534"/>
      <c r="FE122" s="1534"/>
      <c r="FF122" s="1532"/>
      <c r="FG122" s="1534"/>
      <c r="FH122" s="1532"/>
      <c r="FI122" s="1534"/>
      <c r="FJ122" s="1534"/>
      <c r="FK122" s="1534"/>
      <c r="FL122" s="1534"/>
      <c r="FM122" s="1534"/>
      <c r="FN122" s="1534"/>
      <c r="FO122" s="1534"/>
      <c r="FP122" s="1534"/>
      <c r="FQ122" s="1534"/>
      <c r="FR122" s="1534"/>
      <c r="FS122" s="1534"/>
      <c r="FT122" s="1534"/>
      <c r="FU122" s="1534"/>
      <c r="FV122" s="1534"/>
      <c r="FW122" s="1534"/>
      <c r="FX122" s="1534"/>
      <c r="FY122" s="1534"/>
      <c r="FZ122" s="1534"/>
      <c r="GA122" s="1534"/>
      <c r="GB122" s="1534"/>
      <c r="GC122" s="1534"/>
      <c r="GD122" s="1534">
        <v>1143</v>
      </c>
      <c r="GE122" s="1534"/>
      <c r="GF122" s="1534"/>
      <c r="GG122" s="1534"/>
      <c r="GH122" s="1534"/>
      <c r="GI122" s="1534"/>
      <c r="GJ122" s="1532"/>
      <c r="GK122" s="1534"/>
      <c r="GL122" s="1534"/>
      <c r="GM122" s="1534"/>
      <c r="GN122" s="1534"/>
      <c r="GO122" s="1534"/>
      <c r="GP122" s="1534"/>
      <c r="GQ122" s="1534"/>
      <c r="GR122" s="1534"/>
      <c r="GS122" s="1534"/>
      <c r="GT122" s="1534"/>
      <c r="GU122" s="1534">
        <v>1143</v>
      </c>
      <c r="GV122" s="1534"/>
      <c r="GW122" s="1534"/>
      <c r="GX122" s="1532"/>
      <c r="GY122" s="1534"/>
      <c r="GZ122" s="1534"/>
      <c r="HA122" s="1534"/>
      <c r="HB122" s="1532"/>
      <c r="HC122" s="1532"/>
      <c r="HD122" s="1534"/>
      <c r="HE122" s="1534"/>
      <c r="HF122" s="1534"/>
      <c r="HG122" s="1534"/>
      <c r="HH122" s="1534"/>
      <c r="HI122" s="1534"/>
      <c r="HJ122" s="1534"/>
      <c r="HK122" s="1534"/>
      <c r="HL122" s="1534"/>
      <c r="HM122" s="1534"/>
      <c r="HN122" s="1534"/>
      <c r="HO122" s="1532"/>
      <c r="HP122" s="1534"/>
      <c r="HQ122" s="1534"/>
      <c r="HR122" s="1534"/>
      <c r="HS122" s="1534"/>
      <c r="HT122" s="1534"/>
      <c r="HU122" s="1534"/>
      <c r="HV122" s="1534"/>
      <c r="HW122" s="1532">
        <v>9200</v>
      </c>
      <c r="HX122" s="1534"/>
      <c r="HY122" s="1534"/>
      <c r="HZ122" s="1534"/>
      <c r="IA122" s="1534"/>
      <c r="IB122" s="1534"/>
      <c r="IC122" s="1534"/>
      <c r="ID122" s="1534"/>
      <c r="IE122" s="1534"/>
      <c r="IF122" s="1534"/>
      <c r="IG122" s="1534"/>
      <c r="IH122" s="1534"/>
      <c r="II122" s="1534"/>
      <c r="IJ122" s="1534"/>
      <c r="IK122" s="1534"/>
      <c r="IL122" s="1534"/>
      <c r="IM122" s="1534"/>
      <c r="IN122" s="1534"/>
      <c r="IO122" s="1534"/>
      <c r="IP122" s="1534"/>
      <c r="IQ122" s="1534"/>
      <c r="IR122" s="1534"/>
      <c r="IS122" s="1534"/>
      <c r="IT122" s="1534"/>
      <c r="IU122" s="1534"/>
      <c r="IV122" s="1534"/>
      <c r="IW122" s="1534"/>
      <c r="IX122" s="1537">
        <v>75745</v>
      </c>
      <c r="IY122" s="1532"/>
      <c r="IZ122" s="1534"/>
      <c r="JA122" s="1532"/>
      <c r="JB122" s="1534"/>
      <c r="JC122" s="1534"/>
      <c r="JD122" s="1534"/>
      <c r="JE122" s="1534"/>
      <c r="JF122" s="1534"/>
      <c r="JG122" s="1534"/>
      <c r="JH122" s="1534"/>
      <c r="JI122" s="1534"/>
      <c r="JJ122" s="1534"/>
      <c r="JK122" s="1534"/>
      <c r="JL122" s="1534"/>
      <c r="JM122" s="1534"/>
      <c r="JN122" s="1534"/>
      <c r="JO122" s="1534"/>
      <c r="JP122" s="1534"/>
      <c r="JQ122" s="1536"/>
      <c r="JR122" s="351"/>
      <c r="JS122" s="1521"/>
      <c r="JT122" s="1400"/>
    </row>
    <row r="123" spans="1:280" x14ac:dyDescent="0.25">
      <c r="A123" s="1367">
        <v>76</v>
      </c>
      <c r="B123" s="1411" t="str">
        <f t="shared" si="19"/>
        <v/>
      </c>
      <c r="C123" s="1435" t="s">
        <v>3243</v>
      </c>
      <c r="D123" s="1436" t="s">
        <v>3244</v>
      </c>
      <c r="E123" s="1532"/>
      <c r="F123" s="1532"/>
      <c r="G123" s="1532"/>
      <c r="H123" s="1532"/>
      <c r="I123" s="1532"/>
      <c r="J123" s="1532"/>
      <c r="K123" s="1532"/>
      <c r="L123" s="1532"/>
      <c r="M123" s="1532"/>
      <c r="N123" s="1532"/>
      <c r="O123" s="1533"/>
      <c r="P123" s="1533"/>
      <c r="Q123" s="1532"/>
      <c r="R123" s="1533"/>
      <c r="S123" s="1532"/>
      <c r="T123" s="1534"/>
      <c r="U123" s="1534"/>
      <c r="V123" s="1534"/>
      <c r="W123" s="1534"/>
      <c r="X123" s="1534"/>
      <c r="Y123" s="1534"/>
      <c r="Z123" s="1534"/>
      <c r="AA123" s="1534"/>
      <c r="AB123" s="1534"/>
      <c r="AC123" s="1532"/>
      <c r="AD123" s="1532"/>
      <c r="AE123" s="1532"/>
      <c r="AF123" s="1532"/>
      <c r="AG123" s="1532"/>
      <c r="AH123" s="1532"/>
      <c r="AI123" s="1534"/>
      <c r="AJ123" s="1532"/>
      <c r="AK123" s="1534"/>
      <c r="AL123" s="1532"/>
      <c r="AM123" s="1534"/>
      <c r="AN123" s="1534"/>
      <c r="AO123" s="1534"/>
      <c r="AP123" s="1534"/>
      <c r="AQ123" s="1534"/>
      <c r="AR123" s="1534"/>
      <c r="AS123" s="1534"/>
      <c r="AT123" s="1534"/>
      <c r="AU123" s="1534"/>
      <c r="AV123" s="1532"/>
      <c r="AW123" s="1534"/>
      <c r="AX123" s="1534"/>
      <c r="AY123" s="1534"/>
      <c r="AZ123" s="1534"/>
      <c r="BA123" s="1534"/>
      <c r="BB123" s="1534"/>
      <c r="BC123" s="1534"/>
      <c r="BD123" s="1534"/>
      <c r="BE123" s="1534"/>
      <c r="BF123" s="1534"/>
      <c r="BG123" s="1534"/>
      <c r="BH123" s="1534"/>
      <c r="BI123" s="1534"/>
      <c r="BJ123" s="1532"/>
      <c r="BK123" s="1534"/>
      <c r="BL123" s="1534"/>
      <c r="BM123" s="1534"/>
      <c r="BN123" s="1534"/>
      <c r="BO123" s="1534"/>
      <c r="BP123" s="1532"/>
      <c r="BQ123" s="1534"/>
      <c r="BR123" s="1534"/>
      <c r="BS123" s="1534"/>
      <c r="BT123" s="1534"/>
      <c r="BU123" s="1534"/>
      <c r="BV123" s="1534"/>
      <c r="BW123" s="1534"/>
      <c r="BX123" s="1534"/>
      <c r="BY123" s="1534"/>
      <c r="BZ123" s="1534"/>
      <c r="CA123" s="1534"/>
      <c r="CB123" s="1534"/>
      <c r="CC123" s="1534"/>
      <c r="CD123" s="1534"/>
      <c r="CE123" s="1534"/>
      <c r="CF123" s="1532"/>
      <c r="CG123" s="1534"/>
      <c r="CH123" s="1532"/>
      <c r="CI123" s="1534"/>
      <c r="CJ123" s="1534"/>
      <c r="CK123" s="1535"/>
      <c r="CL123" s="1532"/>
      <c r="CM123" s="1534"/>
      <c r="CN123" s="1535"/>
      <c r="CO123" s="1535"/>
      <c r="CP123" s="1534"/>
      <c r="CQ123" s="1534"/>
      <c r="CR123" s="1532"/>
      <c r="CS123" s="1532"/>
      <c r="CT123" s="1534"/>
      <c r="CU123" s="1532"/>
      <c r="CV123" s="1532"/>
      <c r="CW123" s="1534"/>
      <c r="CX123" s="1534"/>
      <c r="CY123" s="1534"/>
      <c r="CZ123" s="1534"/>
      <c r="DA123" s="1534"/>
      <c r="DB123" s="1534"/>
      <c r="DC123" s="1534"/>
      <c r="DD123" s="1534"/>
      <c r="DE123" s="1534"/>
      <c r="DF123" s="1534"/>
      <c r="DG123" s="1534"/>
      <c r="DH123" s="1534"/>
      <c r="DI123" s="1534"/>
      <c r="DJ123" s="1532"/>
      <c r="DK123" s="1534"/>
      <c r="DL123" s="1534"/>
      <c r="DM123" s="1534"/>
      <c r="DN123" s="1534"/>
      <c r="DO123" s="1532"/>
      <c r="DP123" s="1534"/>
      <c r="DQ123" s="1534"/>
      <c r="DR123" s="1534"/>
      <c r="DS123" s="1534"/>
      <c r="DT123" s="1534"/>
      <c r="DU123" s="1534"/>
      <c r="DV123" s="1534"/>
      <c r="DW123" s="1534"/>
      <c r="DX123" s="1534"/>
      <c r="DY123" s="1534"/>
      <c r="DZ123" s="1534"/>
      <c r="EA123" s="1535"/>
      <c r="EB123" s="1534"/>
      <c r="EC123" s="1534"/>
      <c r="ED123" s="1534"/>
      <c r="EE123" s="1534"/>
      <c r="EF123" s="1532"/>
      <c r="EG123" s="1532"/>
      <c r="EH123" s="1534"/>
      <c r="EI123" s="1532"/>
      <c r="EJ123" s="1534"/>
      <c r="EK123" s="1534"/>
      <c r="EL123" s="1534"/>
      <c r="EM123" s="1532"/>
      <c r="EN123" s="1534"/>
      <c r="EO123" s="1534"/>
      <c r="EP123" s="1534"/>
      <c r="EQ123" s="1534"/>
      <c r="ER123" s="1534"/>
      <c r="ES123" s="1534"/>
      <c r="ET123" s="1534"/>
      <c r="EU123" s="1534"/>
      <c r="EV123" s="1534"/>
      <c r="EW123" s="1534"/>
      <c r="EX123" s="1534"/>
      <c r="EY123" s="1532"/>
      <c r="EZ123" s="1534"/>
      <c r="FA123" s="1534"/>
      <c r="FB123" s="1534"/>
      <c r="FC123" s="1534"/>
      <c r="FD123" s="1534"/>
      <c r="FE123" s="1534"/>
      <c r="FF123" s="1532"/>
      <c r="FG123" s="1534"/>
      <c r="FH123" s="1532"/>
      <c r="FI123" s="1534"/>
      <c r="FJ123" s="1534"/>
      <c r="FK123" s="1534"/>
      <c r="FL123" s="1534"/>
      <c r="FM123" s="1534"/>
      <c r="FN123" s="1534"/>
      <c r="FO123" s="1534"/>
      <c r="FP123" s="1534"/>
      <c r="FQ123" s="1534"/>
      <c r="FR123" s="1534"/>
      <c r="FS123" s="1534"/>
      <c r="FT123" s="1534"/>
      <c r="FU123" s="1534"/>
      <c r="FV123" s="1534"/>
      <c r="FW123" s="1534"/>
      <c r="FX123" s="1534"/>
      <c r="FY123" s="1534"/>
      <c r="FZ123" s="1534"/>
      <c r="GA123" s="1534"/>
      <c r="GB123" s="1534"/>
      <c r="GC123" s="1534"/>
      <c r="GD123" s="1534"/>
      <c r="GE123" s="1534"/>
      <c r="GF123" s="1534"/>
      <c r="GG123" s="1534"/>
      <c r="GH123" s="1534"/>
      <c r="GI123" s="1534"/>
      <c r="GJ123" s="1532"/>
      <c r="GK123" s="1534"/>
      <c r="GL123" s="1534"/>
      <c r="GM123" s="1534"/>
      <c r="GN123" s="1534"/>
      <c r="GO123" s="1534"/>
      <c r="GP123" s="1534"/>
      <c r="GQ123" s="1534"/>
      <c r="GR123" s="1534"/>
      <c r="GS123" s="1534"/>
      <c r="GT123" s="1534"/>
      <c r="GU123" s="1534"/>
      <c r="GV123" s="1534"/>
      <c r="GW123" s="1534"/>
      <c r="GX123" s="1532"/>
      <c r="GY123" s="1534"/>
      <c r="GZ123" s="1534"/>
      <c r="HA123" s="1534"/>
      <c r="HB123" s="1532"/>
      <c r="HC123" s="1532"/>
      <c r="HD123" s="1534"/>
      <c r="HE123" s="1534"/>
      <c r="HF123" s="1534"/>
      <c r="HG123" s="1534"/>
      <c r="HH123" s="1534"/>
      <c r="HI123" s="1534"/>
      <c r="HJ123" s="1534"/>
      <c r="HK123" s="1534"/>
      <c r="HL123" s="1534"/>
      <c r="HM123" s="1534"/>
      <c r="HN123" s="1534"/>
      <c r="HO123" s="1532"/>
      <c r="HP123" s="1534"/>
      <c r="HQ123" s="1534"/>
      <c r="HR123" s="1534"/>
      <c r="HS123" s="1534"/>
      <c r="HT123" s="1534"/>
      <c r="HU123" s="1534"/>
      <c r="HV123" s="1534"/>
      <c r="HW123" s="1532"/>
      <c r="HX123" s="1534"/>
      <c r="HY123" s="1534"/>
      <c r="HZ123" s="1534"/>
      <c r="IA123" s="1534"/>
      <c r="IB123" s="1534"/>
      <c r="IC123" s="1534"/>
      <c r="ID123" s="1534"/>
      <c r="IE123" s="1534"/>
      <c r="IF123" s="1534"/>
      <c r="IG123" s="1534"/>
      <c r="IH123" s="1534"/>
      <c r="II123" s="1534"/>
      <c r="IJ123" s="1534"/>
      <c r="IK123" s="1534"/>
      <c r="IL123" s="1534"/>
      <c r="IM123" s="1534"/>
      <c r="IN123" s="1534"/>
      <c r="IO123" s="1534"/>
      <c r="IP123" s="1534"/>
      <c r="IQ123" s="1534"/>
      <c r="IR123" s="1534"/>
      <c r="IS123" s="1534"/>
      <c r="IT123" s="1534"/>
      <c r="IU123" s="1534"/>
      <c r="IV123" s="1534"/>
      <c r="IW123" s="1534"/>
      <c r="IX123" s="1534"/>
      <c r="IY123" s="1532"/>
      <c r="IZ123" s="1534"/>
      <c r="JA123" s="1532"/>
      <c r="JB123" s="1534"/>
      <c r="JC123" s="1534"/>
      <c r="JD123" s="1534"/>
      <c r="JE123" s="1534"/>
      <c r="JF123" s="1534"/>
      <c r="JG123" s="1534"/>
      <c r="JH123" s="1534"/>
      <c r="JI123" s="1534"/>
      <c r="JJ123" s="1534"/>
      <c r="JK123" s="1534"/>
      <c r="JL123" s="1534"/>
      <c r="JM123" s="1534"/>
      <c r="JN123" s="1534"/>
      <c r="JO123" s="1534"/>
      <c r="JP123" s="1534"/>
      <c r="JQ123" s="1536"/>
      <c r="JR123" s="351"/>
      <c r="JS123" s="1521"/>
      <c r="JT123" s="1400"/>
    </row>
    <row r="124" spans="1:280" ht="20" x14ac:dyDescent="0.25">
      <c r="A124" s="1367">
        <v>77</v>
      </c>
      <c r="B124" s="1411" t="str">
        <f t="shared" si="19"/>
        <v/>
      </c>
      <c r="C124" s="1435" t="s">
        <v>3245</v>
      </c>
      <c r="D124" s="1436" t="s">
        <v>2991</v>
      </c>
      <c r="E124" s="1532"/>
      <c r="F124" s="1532"/>
      <c r="G124" s="1532"/>
      <c r="H124" s="1532"/>
      <c r="I124" s="1532"/>
      <c r="J124" s="1532"/>
      <c r="K124" s="1532"/>
      <c r="L124" s="1532">
        <v>555</v>
      </c>
      <c r="M124" s="1532"/>
      <c r="N124" s="1532"/>
      <c r="O124" s="1533"/>
      <c r="P124" s="1533"/>
      <c r="Q124" s="1532"/>
      <c r="R124" s="1533"/>
      <c r="S124" s="1532"/>
      <c r="T124" s="1534"/>
      <c r="U124" s="1534"/>
      <c r="V124" s="1534"/>
      <c r="W124" s="1534"/>
      <c r="X124" s="1534"/>
      <c r="Y124" s="1534"/>
      <c r="Z124" s="1534"/>
      <c r="AA124" s="1534"/>
      <c r="AB124" s="1534"/>
      <c r="AC124" s="1532"/>
      <c r="AD124" s="1532"/>
      <c r="AE124" s="1532">
        <v>20475</v>
      </c>
      <c r="AF124" s="1532"/>
      <c r="AG124" s="1532"/>
      <c r="AH124" s="1532"/>
      <c r="AI124" s="1534"/>
      <c r="AJ124" s="1532"/>
      <c r="AK124" s="1534"/>
      <c r="AL124" s="1532"/>
      <c r="AM124" s="1534"/>
      <c r="AN124" s="1534"/>
      <c r="AO124" s="1534"/>
      <c r="AP124" s="1534"/>
      <c r="AQ124" s="1534"/>
      <c r="AR124" s="1534"/>
      <c r="AS124" s="1534"/>
      <c r="AT124" s="1534"/>
      <c r="AU124" s="1534"/>
      <c r="AV124" s="1532"/>
      <c r="AW124" s="1534"/>
      <c r="AX124" s="1534"/>
      <c r="AY124" s="1534"/>
      <c r="AZ124" s="1534"/>
      <c r="BA124" s="1534"/>
      <c r="BB124" s="1534"/>
      <c r="BC124" s="1534"/>
      <c r="BD124" s="1534"/>
      <c r="BE124" s="1534"/>
      <c r="BF124" s="1534"/>
      <c r="BG124" s="1534"/>
      <c r="BH124" s="1534"/>
      <c r="BI124" s="1534"/>
      <c r="BJ124" s="1541"/>
      <c r="BK124" s="1534"/>
      <c r="BL124" s="1534"/>
      <c r="BM124" s="1534"/>
      <c r="BN124" s="1534"/>
      <c r="BO124" s="1534"/>
      <c r="BP124" s="1532"/>
      <c r="BQ124" s="1534"/>
      <c r="BR124" s="1534"/>
      <c r="BS124" s="1534"/>
      <c r="BT124" s="1534"/>
      <c r="BU124" s="1534"/>
      <c r="BV124" s="1534"/>
      <c r="BW124" s="1534"/>
      <c r="BX124" s="1534"/>
      <c r="BY124" s="1534"/>
      <c r="BZ124" s="1534"/>
      <c r="CA124" s="1534"/>
      <c r="CB124" s="1534"/>
      <c r="CC124" s="1534"/>
      <c r="CD124" s="1534"/>
      <c r="CE124" s="1534"/>
      <c r="CF124" s="1532"/>
      <c r="CG124" s="1534"/>
      <c r="CH124" s="1532"/>
      <c r="CI124" s="1534"/>
      <c r="CJ124" s="1534"/>
      <c r="CK124" s="1534"/>
      <c r="CL124" s="1532">
        <v>7295</v>
      </c>
      <c r="CM124" s="1534"/>
      <c r="CN124" s="1534"/>
      <c r="CO124" s="1534"/>
      <c r="CP124" s="1534"/>
      <c r="CQ124" s="1534"/>
      <c r="CR124" s="1532">
        <v>7295</v>
      </c>
      <c r="CS124" s="1532">
        <v>7295</v>
      </c>
      <c r="CT124" s="1534"/>
      <c r="CU124" s="1532">
        <v>5692</v>
      </c>
      <c r="CV124" s="1532">
        <v>5692</v>
      </c>
      <c r="CW124" s="1534"/>
      <c r="CX124" s="1534"/>
      <c r="CY124" s="1534"/>
      <c r="CZ124" s="1534"/>
      <c r="DA124" s="1534"/>
      <c r="DB124" s="1534"/>
      <c r="DC124" s="1534"/>
      <c r="DD124" s="1534"/>
      <c r="DE124" s="1534"/>
      <c r="DF124" s="1534"/>
      <c r="DG124" s="1534"/>
      <c r="DH124" s="1534"/>
      <c r="DI124" s="1534"/>
      <c r="DJ124" s="1532">
        <v>5692</v>
      </c>
      <c r="DK124" s="1534"/>
      <c r="DL124" s="1534"/>
      <c r="DM124" s="1534"/>
      <c r="DN124" s="1534"/>
      <c r="DO124" s="1532"/>
      <c r="DP124" s="1534"/>
      <c r="DQ124" s="1534"/>
      <c r="DR124" s="1534"/>
      <c r="DS124" s="1534"/>
      <c r="DT124" s="1534"/>
      <c r="DU124" s="1534"/>
      <c r="DV124" s="1534"/>
      <c r="DW124" s="1534"/>
      <c r="DX124" s="1534"/>
      <c r="DY124" s="1534"/>
      <c r="DZ124" s="1534"/>
      <c r="EA124" s="1535"/>
      <c r="EB124" s="1534"/>
      <c r="EC124" s="1534"/>
      <c r="ED124" s="1534"/>
      <c r="EE124" s="1534"/>
      <c r="EF124" s="1532"/>
      <c r="EG124" s="1532"/>
      <c r="EH124" s="1534"/>
      <c r="EI124" s="1532"/>
      <c r="EJ124" s="1534"/>
      <c r="EK124" s="1534"/>
      <c r="EL124" s="1534"/>
      <c r="EM124" s="1532">
        <v>7295</v>
      </c>
      <c r="EN124" s="1534"/>
      <c r="EO124" s="1534"/>
      <c r="EP124" s="1534"/>
      <c r="EQ124" s="1534"/>
      <c r="ER124" s="1534"/>
      <c r="ES124" s="1534"/>
      <c r="ET124" s="1534"/>
      <c r="EU124" s="1534"/>
      <c r="EV124" s="1534"/>
      <c r="EW124" s="1534"/>
      <c r="EX124" s="1534"/>
      <c r="EY124" s="1532">
        <v>7295</v>
      </c>
      <c r="EZ124" s="1534"/>
      <c r="FA124" s="1534"/>
      <c r="FB124" s="1534"/>
      <c r="FC124" s="1534"/>
      <c r="FD124" s="1534"/>
      <c r="FE124" s="1534"/>
      <c r="FF124" s="1532"/>
      <c r="FG124" s="1534"/>
      <c r="FH124" s="1532">
        <v>5692</v>
      </c>
      <c r="FI124" s="1534"/>
      <c r="FJ124" s="1534"/>
      <c r="FK124" s="1534"/>
      <c r="FL124" s="1534"/>
      <c r="FM124" s="1534"/>
      <c r="FN124" s="1534"/>
      <c r="FO124" s="1534"/>
      <c r="FP124" s="1534"/>
      <c r="FQ124" s="1534"/>
      <c r="FR124" s="1534"/>
      <c r="FS124" s="1534"/>
      <c r="FT124" s="1534"/>
      <c r="FU124" s="1534"/>
      <c r="FV124" s="1534"/>
      <c r="FW124" s="1534"/>
      <c r="FX124" s="1534"/>
      <c r="FY124" s="1534"/>
      <c r="FZ124" s="1534"/>
      <c r="GA124" s="1534"/>
      <c r="GB124" s="1534"/>
      <c r="GC124" s="1534"/>
      <c r="GD124" s="1534"/>
      <c r="GE124" s="1534"/>
      <c r="GF124" s="1534"/>
      <c r="GG124" s="1534"/>
      <c r="GH124" s="1534"/>
      <c r="GI124" s="1534"/>
      <c r="GJ124" s="1532"/>
      <c r="GK124" s="1534"/>
      <c r="GL124" s="1534"/>
      <c r="GM124" s="1534"/>
      <c r="GN124" s="1534"/>
      <c r="GO124" s="1534"/>
      <c r="GP124" s="1534"/>
      <c r="GQ124" s="1534"/>
      <c r="GR124" s="1534"/>
      <c r="GS124" s="1534"/>
      <c r="GT124" s="1534"/>
      <c r="GU124" s="1534"/>
      <c r="GV124" s="1534"/>
      <c r="GW124" s="1534"/>
      <c r="GX124" s="1532"/>
      <c r="GY124" s="1534"/>
      <c r="GZ124" s="1534"/>
      <c r="HA124" s="1534"/>
      <c r="HB124" s="1532"/>
      <c r="HC124" s="1532">
        <v>5692</v>
      </c>
      <c r="HD124" s="1534"/>
      <c r="HE124" s="1534"/>
      <c r="HF124" s="1534"/>
      <c r="HG124" s="1534"/>
      <c r="HH124" s="1534"/>
      <c r="HI124" s="1534"/>
      <c r="HJ124" s="1534"/>
      <c r="HK124" s="1534"/>
      <c r="HL124" s="1534"/>
      <c r="HM124" s="1534"/>
      <c r="HN124" s="1534"/>
      <c r="HO124" s="1532"/>
      <c r="HP124" s="1534"/>
      <c r="HQ124" s="1534"/>
      <c r="HR124" s="1534"/>
      <c r="HS124" s="1534"/>
      <c r="HT124" s="1534"/>
      <c r="HU124" s="1534"/>
      <c r="HV124" s="1534"/>
      <c r="HW124" s="1532"/>
      <c r="HX124" s="1534"/>
      <c r="HY124" s="1534"/>
      <c r="HZ124" s="1534"/>
      <c r="IA124" s="1534"/>
      <c r="IB124" s="1534"/>
      <c r="IC124" s="1534"/>
      <c r="ID124" s="1534"/>
      <c r="IE124" s="1534"/>
      <c r="IF124" s="1534"/>
      <c r="IG124" s="1534"/>
      <c r="IH124" s="1534"/>
      <c r="II124" s="1534"/>
      <c r="IJ124" s="1534"/>
      <c r="IK124" s="1534"/>
      <c r="IL124" s="1534"/>
      <c r="IM124" s="1534"/>
      <c r="IN124" s="1534"/>
      <c r="IO124" s="1534"/>
      <c r="IP124" s="1534"/>
      <c r="IQ124" s="1534"/>
      <c r="IR124" s="1534"/>
      <c r="IS124" s="1534"/>
      <c r="IT124" s="1534"/>
      <c r="IU124" s="1537">
        <v>40265</v>
      </c>
      <c r="IV124" s="1534"/>
      <c r="IW124" s="1537">
        <v>21.57</v>
      </c>
      <c r="IX124" s="1534"/>
      <c r="IY124" s="1532"/>
      <c r="IZ124" s="1534"/>
      <c r="JA124" s="1532">
        <v>7295</v>
      </c>
      <c r="JB124" s="1534"/>
      <c r="JC124" s="1534"/>
      <c r="JD124" s="1534"/>
      <c r="JE124" s="1534"/>
      <c r="JF124" s="1534"/>
      <c r="JG124" s="1534"/>
      <c r="JH124" s="1534"/>
      <c r="JI124" s="1534"/>
      <c r="JJ124" s="1534"/>
      <c r="JK124" s="1534"/>
      <c r="JL124" s="1534"/>
      <c r="JM124" s="1534"/>
      <c r="JN124" s="1534"/>
      <c r="JO124" s="1534"/>
      <c r="JP124" s="1534"/>
      <c r="JQ124" s="1536"/>
      <c r="JR124" s="351"/>
      <c r="JS124" s="1521" t="s">
        <v>3246</v>
      </c>
      <c r="JT124" s="1400" t="s">
        <v>2242</v>
      </c>
    </row>
    <row r="125" spans="1:280" x14ac:dyDescent="0.25">
      <c r="A125" s="1367">
        <v>78</v>
      </c>
      <c r="B125" s="1411" t="str">
        <f t="shared" si="19"/>
        <v/>
      </c>
      <c r="C125" s="1435" t="s">
        <v>3247</v>
      </c>
      <c r="D125" s="1436" t="s">
        <v>2994</v>
      </c>
      <c r="E125" s="1532"/>
      <c r="F125" s="1532"/>
      <c r="G125" s="1532"/>
      <c r="H125" s="1532"/>
      <c r="I125" s="1532"/>
      <c r="J125" s="1532"/>
      <c r="K125" s="1532"/>
      <c r="L125" s="1532"/>
      <c r="M125" s="1532"/>
      <c r="N125" s="1532"/>
      <c r="O125" s="1533"/>
      <c r="P125" s="1533"/>
      <c r="Q125" s="1532">
        <v>300</v>
      </c>
      <c r="R125" s="1533"/>
      <c r="S125" s="1532"/>
      <c r="T125" s="1534"/>
      <c r="U125" s="1534"/>
      <c r="V125" s="1534"/>
      <c r="W125" s="1534"/>
      <c r="X125" s="1534"/>
      <c r="Y125" s="1534"/>
      <c r="Z125" s="1534"/>
      <c r="AA125" s="1534"/>
      <c r="AB125" s="1534"/>
      <c r="AC125" s="1532">
        <v>300</v>
      </c>
      <c r="AD125" s="1532"/>
      <c r="AE125" s="1532"/>
      <c r="AF125" s="1532"/>
      <c r="AG125" s="1532"/>
      <c r="AH125" s="1532"/>
      <c r="AI125" s="1534"/>
      <c r="AJ125" s="1532"/>
      <c r="AK125" s="1534"/>
      <c r="AL125" s="1532"/>
      <c r="AM125" s="1534"/>
      <c r="AN125" s="1534"/>
      <c r="AO125" s="1534"/>
      <c r="AP125" s="1534"/>
      <c r="AQ125" s="1534"/>
      <c r="AR125" s="1534"/>
      <c r="AS125" s="1534"/>
      <c r="AT125" s="1534"/>
      <c r="AU125" s="1534"/>
      <c r="AV125" s="1532"/>
      <c r="AW125" s="1534"/>
      <c r="AX125" s="1534"/>
      <c r="AY125" s="1534"/>
      <c r="AZ125" s="1534"/>
      <c r="BA125" s="1534"/>
      <c r="BB125" s="1534"/>
      <c r="BC125" s="1534"/>
      <c r="BD125" s="1534"/>
      <c r="BE125" s="1534"/>
      <c r="BF125" s="1534"/>
      <c r="BG125" s="1534"/>
      <c r="BH125" s="1534"/>
      <c r="BI125" s="1534"/>
      <c r="BJ125" s="1532"/>
      <c r="BK125" s="1534"/>
      <c r="BL125" s="1534"/>
      <c r="BM125" s="1534"/>
      <c r="BN125" s="1534"/>
      <c r="BO125" s="1534"/>
      <c r="BP125" s="1532"/>
      <c r="BQ125" s="1534"/>
      <c r="BR125" s="1534"/>
      <c r="BS125" s="1534"/>
      <c r="BT125" s="1534"/>
      <c r="BU125" s="1534"/>
      <c r="BV125" s="1534"/>
      <c r="BW125" s="1534"/>
      <c r="BX125" s="1535"/>
      <c r="BY125" s="1535"/>
      <c r="BZ125" s="1534"/>
      <c r="CA125" s="1534"/>
      <c r="CB125" s="1534"/>
      <c r="CC125" s="1534"/>
      <c r="CD125" s="1534"/>
      <c r="CE125" s="1534"/>
      <c r="CF125" s="1532"/>
      <c r="CG125" s="1534"/>
      <c r="CH125" s="1532">
        <v>300</v>
      </c>
      <c r="CI125" s="1534"/>
      <c r="CJ125" s="1534"/>
      <c r="CK125" s="1534"/>
      <c r="CL125" s="1532"/>
      <c r="CM125" s="1534"/>
      <c r="CN125" s="1535">
        <v>41947</v>
      </c>
      <c r="CO125" s="1534"/>
      <c r="CP125" s="1534"/>
      <c r="CQ125" s="1534"/>
      <c r="CR125" s="1532"/>
      <c r="CS125" s="1532"/>
      <c r="CT125" s="1534"/>
      <c r="CU125" s="1532"/>
      <c r="CV125" s="1532"/>
      <c r="CW125" s="1534"/>
      <c r="CX125" s="1534"/>
      <c r="CY125" s="1534"/>
      <c r="CZ125" s="1534"/>
      <c r="DA125" s="1534"/>
      <c r="DB125" s="1534"/>
      <c r="DC125" s="1534"/>
      <c r="DD125" s="1534"/>
      <c r="DE125" s="1534"/>
      <c r="DF125" s="1534"/>
      <c r="DG125" s="1534"/>
      <c r="DH125" s="1534"/>
      <c r="DI125" s="1534"/>
      <c r="DJ125" s="1532"/>
      <c r="DK125" s="1534"/>
      <c r="DL125" s="1534"/>
      <c r="DM125" s="1534"/>
      <c r="DN125" s="1534"/>
      <c r="DO125" s="1532"/>
      <c r="DP125" s="1534"/>
      <c r="DQ125" s="1534"/>
      <c r="DR125" s="1534"/>
      <c r="DS125" s="1534"/>
      <c r="DT125" s="1534"/>
      <c r="DU125" s="1534"/>
      <c r="DV125" s="1534"/>
      <c r="DW125" s="1534"/>
      <c r="DX125" s="1534"/>
      <c r="DY125" s="1534"/>
      <c r="DZ125" s="1534"/>
      <c r="EA125" s="1535"/>
      <c r="EB125" s="1534"/>
      <c r="EC125" s="1534"/>
      <c r="ED125" s="1534"/>
      <c r="EE125" s="1534"/>
      <c r="EF125" s="1532"/>
      <c r="EG125" s="1532"/>
      <c r="EH125" s="1534"/>
      <c r="EI125" s="1532"/>
      <c r="EJ125" s="1534"/>
      <c r="EK125" s="1534"/>
      <c r="EL125" s="1534"/>
      <c r="EM125" s="1532"/>
      <c r="EN125" s="1534"/>
      <c r="EO125" s="1534"/>
      <c r="EP125" s="1534"/>
      <c r="EQ125" s="1534"/>
      <c r="ER125" s="1534"/>
      <c r="ES125" s="1534"/>
      <c r="ET125" s="1534"/>
      <c r="EU125" s="1534"/>
      <c r="EV125" s="1534"/>
      <c r="EW125" s="1534"/>
      <c r="EX125" s="1534"/>
      <c r="EY125" s="1532"/>
      <c r="EZ125" s="1534"/>
      <c r="FA125" s="1534"/>
      <c r="FB125" s="1534"/>
      <c r="FC125" s="1534"/>
      <c r="FD125" s="1534"/>
      <c r="FE125" s="1534"/>
      <c r="FF125" s="1532"/>
      <c r="FG125" s="1534"/>
      <c r="FH125" s="1532"/>
      <c r="FI125" s="1534"/>
      <c r="FJ125" s="1534"/>
      <c r="FK125" s="1534"/>
      <c r="FL125" s="1534"/>
      <c r="FM125" s="1534"/>
      <c r="FN125" s="1534"/>
      <c r="FO125" s="1534"/>
      <c r="FP125" s="1534"/>
      <c r="FQ125" s="1534"/>
      <c r="FR125" s="1534"/>
      <c r="FS125" s="1534"/>
      <c r="FT125" s="1534"/>
      <c r="FU125" s="1534"/>
      <c r="FV125" s="1534"/>
      <c r="FW125" s="1534"/>
      <c r="FX125" s="1534"/>
      <c r="FY125" s="1534"/>
      <c r="FZ125" s="1534"/>
      <c r="GA125" s="1534"/>
      <c r="GB125" s="1534"/>
      <c r="GC125" s="1534"/>
      <c r="GD125" s="1534"/>
      <c r="GE125" s="1534"/>
      <c r="GF125" s="1534"/>
      <c r="GG125" s="1534"/>
      <c r="GH125" s="1534"/>
      <c r="GI125" s="1534"/>
      <c r="GJ125" s="1532"/>
      <c r="GK125" s="1534"/>
      <c r="GL125" s="1534"/>
      <c r="GM125" s="1534"/>
      <c r="GN125" s="1534"/>
      <c r="GO125" s="1534"/>
      <c r="GP125" s="1534"/>
      <c r="GQ125" s="1534"/>
      <c r="GR125" s="1534"/>
      <c r="GS125" s="1534"/>
      <c r="GT125" s="1534"/>
      <c r="GU125" s="1534"/>
      <c r="GV125" s="1534"/>
      <c r="GW125" s="1534"/>
      <c r="GX125" s="1532"/>
      <c r="GY125" s="1534"/>
      <c r="GZ125" s="1534"/>
      <c r="HA125" s="1534"/>
      <c r="HB125" s="1532"/>
      <c r="HC125" s="1532"/>
      <c r="HD125" s="1534"/>
      <c r="HE125" s="1534"/>
      <c r="HF125" s="1534"/>
      <c r="HG125" s="1534"/>
      <c r="HH125" s="1534"/>
      <c r="HI125" s="1534"/>
      <c r="HJ125" s="1534"/>
      <c r="HK125" s="1534"/>
      <c r="HL125" s="1534"/>
      <c r="HM125" s="1534"/>
      <c r="HN125" s="1534"/>
      <c r="HO125" s="1532">
        <v>300</v>
      </c>
      <c r="HP125" s="1534"/>
      <c r="HQ125" s="1534"/>
      <c r="HR125" s="1534"/>
      <c r="HS125" s="1534"/>
      <c r="HT125" s="1534"/>
      <c r="HU125" s="1534"/>
      <c r="HV125" s="1534"/>
      <c r="HW125" s="1532"/>
      <c r="HX125" s="1534"/>
      <c r="HY125" s="1534"/>
      <c r="HZ125" s="1534"/>
      <c r="IA125" s="1534"/>
      <c r="IB125" s="1534"/>
      <c r="IC125" s="1534"/>
      <c r="ID125" s="1534"/>
      <c r="IE125" s="1534"/>
      <c r="IF125" s="1534"/>
      <c r="IG125" s="1534"/>
      <c r="IH125" s="1534"/>
      <c r="II125" s="1534"/>
      <c r="IJ125" s="1534"/>
      <c r="IK125" s="1534"/>
      <c r="IL125" s="1534"/>
      <c r="IM125" s="1534"/>
      <c r="IN125" s="1534"/>
      <c r="IO125" s="1534"/>
      <c r="IP125" s="1534"/>
      <c r="IQ125" s="1534"/>
      <c r="IR125" s="1534"/>
      <c r="IS125" s="1534"/>
      <c r="IT125" s="1534"/>
      <c r="IU125" s="1534"/>
      <c r="IV125" s="1534"/>
      <c r="IW125" s="1534"/>
      <c r="IX125" s="1534"/>
      <c r="IY125" s="1532"/>
      <c r="IZ125" s="1534"/>
      <c r="JA125" s="1532"/>
      <c r="JB125" s="1534"/>
      <c r="JC125" s="1534"/>
      <c r="JD125" s="1534"/>
      <c r="JE125" s="1534"/>
      <c r="JF125" s="1534"/>
      <c r="JG125" s="1534"/>
      <c r="JH125" s="1534"/>
      <c r="JI125" s="1534"/>
      <c r="JJ125" s="1534"/>
      <c r="JK125" s="1534"/>
      <c r="JL125" s="1534"/>
      <c r="JM125" s="1534"/>
      <c r="JN125" s="1534"/>
      <c r="JO125" s="1534"/>
      <c r="JP125" s="1534"/>
      <c r="JQ125" s="1536"/>
      <c r="JR125" s="351"/>
      <c r="JS125" s="1400"/>
      <c r="JT125" s="1400" t="s">
        <v>3248</v>
      </c>
    </row>
    <row r="126" spans="1:280" x14ac:dyDescent="0.25">
      <c r="A126" s="1367">
        <v>79</v>
      </c>
      <c r="B126" s="1411" t="str">
        <f t="shared" si="19"/>
        <v/>
      </c>
      <c r="C126" s="1435" t="s">
        <v>3249</v>
      </c>
      <c r="D126" s="1436" t="s">
        <v>2996</v>
      </c>
      <c r="E126" s="1480"/>
      <c r="F126" s="1480"/>
      <c r="G126" s="1480">
        <f>MAX(0,G121+G125-G124)</f>
        <v>15200</v>
      </c>
      <c r="H126" s="1480"/>
      <c r="I126" s="1480">
        <f>MAX(0,I121+I125-I124)</f>
        <v>16285</v>
      </c>
      <c r="J126" s="1480"/>
      <c r="K126" s="1480"/>
      <c r="L126" s="1480">
        <f>MAX(0,L121+L125-L124)</f>
        <v>14345</v>
      </c>
      <c r="M126" s="1480"/>
      <c r="N126" s="1480"/>
      <c r="O126" s="1480"/>
      <c r="P126" s="1480"/>
      <c r="Q126" s="1480">
        <f>MAX(0,Q121+Q125-Q124)</f>
        <v>15200</v>
      </c>
      <c r="R126" s="1480"/>
      <c r="S126" s="1480">
        <f>MAX(0,S121+S125-S124)</f>
        <v>17560</v>
      </c>
      <c r="T126" s="1480"/>
      <c r="U126" s="1480"/>
      <c r="V126" s="1480"/>
      <c r="W126" s="1480"/>
      <c r="X126" s="1480"/>
      <c r="Y126" s="1480"/>
      <c r="Z126" s="1480"/>
      <c r="AA126" s="1480">
        <f>MAX(0,AA121+AA125-AA124)</f>
        <v>8864</v>
      </c>
      <c r="AB126" s="1480"/>
      <c r="AC126" s="1480">
        <f>MAX(0,AC121+AC125-AC124)</f>
        <v>15200</v>
      </c>
      <c r="AD126" s="1480"/>
      <c r="AE126" s="1480">
        <f>MAX(0,AE121+AE125-AE124)</f>
        <v>1400</v>
      </c>
      <c r="AF126" s="1480"/>
      <c r="AG126" s="1480"/>
      <c r="AH126" s="1480">
        <f>MAX(0,AH121+AH125-AH124)</f>
        <v>47430</v>
      </c>
      <c r="AI126" s="1480"/>
      <c r="AJ126" s="1480">
        <f>MAX(0,AJ121+AJ125-AJ124)</f>
        <v>3400</v>
      </c>
      <c r="AK126" s="1480">
        <v>0</v>
      </c>
      <c r="AL126" s="1480"/>
      <c r="AM126" s="1480">
        <f>MAX(0,AM121+AM125-AM124)</f>
        <v>6724</v>
      </c>
      <c r="AN126" s="1480">
        <f>MAX(0,AN121+AN125-AN124)</f>
        <v>12571</v>
      </c>
      <c r="AO126" s="1480"/>
      <c r="AP126" s="1480">
        <f>MAX(0,AP121+AP125-AP124)</f>
        <v>8630</v>
      </c>
      <c r="AQ126" s="1480"/>
      <c r="AR126" s="1480"/>
      <c r="AS126" s="1480"/>
      <c r="AT126" s="1480"/>
      <c r="AU126" s="1480"/>
      <c r="AV126" s="1480">
        <f>MAX(0,AV121+AV125-AV124)</f>
        <v>0</v>
      </c>
      <c r="AW126" s="1480"/>
      <c r="AX126" s="1480"/>
      <c r="AY126" s="1480"/>
      <c r="AZ126" s="1480"/>
      <c r="BA126" s="1480"/>
      <c r="BB126" s="1480"/>
      <c r="BC126" s="1480"/>
      <c r="BD126" s="1480"/>
      <c r="BE126" s="1480"/>
      <c r="BF126" s="1480"/>
      <c r="BG126" s="1480"/>
      <c r="BH126" s="1480"/>
      <c r="BI126" s="1480"/>
      <c r="BJ126" s="1480">
        <f>MAX(0,BJ121+BJ125-BJ124)</f>
        <v>0</v>
      </c>
      <c r="BK126" s="1480"/>
      <c r="BL126" s="1480"/>
      <c r="BM126" s="1480"/>
      <c r="BN126" s="1480"/>
      <c r="BO126" s="1480"/>
      <c r="BP126" s="1480"/>
      <c r="BQ126" s="1480"/>
      <c r="BR126" s="1480"/>
      <c r="BS126" s="1480"/>
      <c r="BT126" s="1480"/>
      <c r="BU126" s="1480"/>
      <c r="BV126" s="1480"/>
      <c r="BW126" s="1480"/>
      <c r="BX126" s="1480"/>
      <c r="BY126" s="1480">
        <v>5000</v>
      </c>
      <c r="BZ126" s="1480"/>
      <c r="CA126" s="1480"/>
      <c r="CB126" s="1480">
        <f>MAX(0,CB121+CB125-CB124)</f>
        <v>62749</v>
      </c>
      <c r="CC126" s="1480"/>
      <c r="CD126" s="1480">
        <f>MAX(0,CD121+CD125-CD124)</f>
        <v>87727</v>
      </c>
      <c r="CE126" s="1480"/>
      <c r="CF126" s="1480">
        <f>MAX(0,CF121+CF125-CF124)</f>
        <v>50949</v>
      </c>
      <c r="CG126" s="1480"/>
      <c r="CH126" s="1480">
        <f>MAX(0,CH121+CH125-CH124)</f>
        <v>14190</v>
      </c>
      <c r="CI126" s="1480"/>
      <c r="CJ126" s="1480"/>
      <c r="CK126" s="1480">
        <v>11580</v>
      </c>
      <c r="CL126" s="1480">
        <f>MAX(0,CL121+CL125-CL124)</f>
        <v>97003</v>
      </c>
      <c r="CM126" s="1480">
        <f>MAX(0,CM121+CM125-CM124)</f>
        <v>0</v>
      </c>
      <c r="CN126" s="1480">
        <f>MAX(0,CN121+CN125-CN124)</f>
        <v>119311</v>
      </c>
      <c r="CO126" s="1480">
        <v>0</v>
      </c>
      <c r="CP126" s="1480">
        <v>35000</v>
      </c>
      <c r="CQ126" s="1480"/>
      <c r="CR126" s="1480">
        <f>MAX(0,CR121+CR125-CR124)</f>
        <v>97003</v>
      </c>
      <c r="CS126" s="1480">
        <f>MAX(0,CS121+CS125-CS124)</f>
        <v>97003</v>
      </c>
      <c r="CT126" s="1480"/>
      <c r="CU126" s="1480">
        <f>MAX(0,CU121+CU125-CU124)</f>
        <v>148162</v>
      </c>
      <c r="CV126" s="1480">
        <f>MAX(0,CV121+CV125-CV124)</f>
        <v>148162</v>
      </c>
      <c r="CW126" s="1480"/>
      <c r="CX126" s="1480"/>
      <c r="CY126" s="1480"/>
      <c r="CZ126" s="1480"/>
      <c r="DA126" s="1480"/>
      <c r="DB126" s="1480"/>
      <c r="DC126" s="1540">
        <f>MAX(0,DC121+DC125-DC124)</f>
        <v>153854</v>
      </c>
      <c r="DD126" s="1480"/>
      <c r="DE126" s="1480"/>
      <c r="DF126" s="1480"/>
      <c r="DG126" s="1480"/>
      <c r="DH126" s="1480"/>
      <c r="DI126" s="1480"/>
      <c r="DJ126" s="1480">
        <f>MAX(0,DJ121+DJ125-DJ124)</f>
        <v>148162</v>
      </c>
      <c r="DK126" s="1480"/>
      <c r="DL126" s="1480"/>
      <c r="DM126" s="1480"/>
      <c r="DN126" s="1480"/>
      <c r="DO126" s="1480"/>
      <c r="DP126" s="1480"/>
      <c r="DQ126" s="1480"/>
      <c r="DR126" s="1480"/>
      <c r="DS126" s="1480"/>
      <c r="DT126" s="1480"/>
      <c r="DU126" s="1480"/>
      <c r="DV126" s="1480"/>
      <c r="DW126" s="1480"/>
      <c r="DX126" s="1480"/>
      <c r="DY126" s="1480"/>
      <c r="DZ126" s="1480"/>
      <c r="EA126" s="1480">
        <f>MAX(0,EA121+EA125-EA124)</f>
        <v>13965</v>
      </c>
      <c r="EB126" s="1480"/>
      <c r="EC126" s="1480"/>
      <c r="ED126" s="1480"/>
      <c r="EE126" s="1480"/>
      <c r="EF126" s="1480">
        <f>MAX(0,EF121+EF125-EF124)</f>
        <v>14023</v>
      </c>
      <c r="EG126" s="1480">
        <f>MAX(0,EG121+EG125-EG124)</f>
        <v>0</v>
      </c>
      <c r="EH126" s="1480"/>
      <c r="EI126" s="1480">
        <f>MAX(0,EI121+EI125-EI124)</f>
        <v>56714</v>
      </c>
      <c r="EJ126" s="1480"/>
      <c r="EK126" s="1480"/>
      <c r="EL126" s="1480"/>
      <c r="EM126" s="1480">
        <f>MAX(0,EM121+EM125-EM124)</f>
        <v>97003</v>
      </c>
      <c r="EN126" s="1480"/>
      <c r="EO126" s="1480"/>
      <c r="EP126" s="1480"/>
      <c r="EQ126" s="1480"/>
      <c r="ER126" s="1480"/>
      <c r="ES126" s="1480"/>
      <c r="ET126" s="1538">
        <f>MAX(0,ET121+ET125-ET124)</f>
        <v>2209</v>
      </c>
      <c r="EU126" s="1480"/>
      <c r="EV126" s="1480"/>
      <c r="EW126" s="1480"/>
      <c r="EX126" s="1480"/>
      <c r="EY126" s="1480">
        <f>MAX(0,EY121+EY125-EY124)</f>
        <v>97003</v>
      </c>
      <c r="EZ126" s="1480"/>
      <c r="FA126" s="1480"/>
      <c r="FB126" s="1480"/>
      <c r="FC126" s="1480"/>
      <c r="FD126" s="1480"/>
      <c r="FE126" s="1480"/>
      <c r="FF126" s="1480">
        <f>MAX(0,FF121+FF125-FF124)</f>
        <v>50949</v>
      </c>
      <c r="FG126" s="1480"/>
      <c r="FH126" s="1480">
        <f>MAX(0,FH121+FH125-FH124)</f>
        <v>148162</v>
      </c>
      <c r="FI126" s="1538">
        <f>MAX(0,FI121+FI125-FI124)</f>
        <v>2274</v>
      </c>
      <c r="FJ126" s="1538">
        <f>MAX(0,FJ121+FJ125-FJ124)</f>
        <v>169634</v>
      </c>
      <c r="FK126" s="1480"/>
      <c r="FL126" s="1480"/>
      <c r="FM126" s="1538">
        <f>MAX(0,FM121+FM125-FM124)</f>
        <v>201584</v>
      </c>
      <c r="FN126" s="1480"/>
      <c r="FO126" s="1538">
        <f>MAX(0,FO121+FO125-FO124)</f>
        <v>2193</v>
      </c>
      <c r="FP126" s="1480"/>
      <c r="FQ126" s="1480"/>
      <c r="FR126" s="1480"/>
      <c r="FS126" s="1480"/>
      <c r="FT126" s="1480"/>
      <c r="FU126" s="1480"/>
      <c r="FV126" s="1480"/>
      <c r="FW126" s="1480"/>
      <c r="FX126" s="1480"/>
      <c r="FY126" s="1480"/>
      <c r="FZ126" s="1480"/>
      <c r="GA126" s="1480"/>
      <c r="GB126" s="1480"/>
      <c r="GC126" s="1480"/>
      <c r="GD126" s="1480">
        <f>MAX(0,GD121+GD125-GD124)</f>
        <v>8952</v>
      </c>
      <c r="GE126" s="1480"/>
      <c r="GF126" s="1480"/>
      <c r="GG126" s="1480"/>
      <c r="GH126" s="1480"/>
      <c r="GI126" s="1480"/>
      <c r="GJ126" s="1480">
        <f>MAX(0,GJ121+GJ125-GJ124)</f>
        <v>49810</v>
      </c>
      <c r="GK126" s="1480"/>
      <c r="GL126" s="1480"/>
      <c r="GM126" s="1480"/>
      <c r="GN126" s="1480"/>
      <c r="GO126" s="1480"/>
      <c r="GP126" s="1480"/>
      <c r="GQ126" s="1480"/>
      <c r="GR126" s="1480"/>
      <c r="GS126" s="1480"/>
      <c r="GT126" s="1480"/>
      <c r="GU126" s="1480">
        <f>MAX(0,GU121+GU125-GU124)</f>
        <v>9920</v>
      </c>
      <c r="GV126" s="1480"/>
      <c r="GW126" s="1480"/>
      <c r="GX126" s="1480">
        <f>MAX(0,GX121+GX125-GX124)</f>
        <v>0</v>
      </c>
      <c r="GY126" s="1480"/>
      <c r="GZ126" s="1480"/>
      <c r="HA126" s="1480"/>
      <c r="HB126" s="1480">
        <f>MAX(0,HB121+HB125-HB124)</f>
        <v>0</v>
      </c>
      <c r="HC126" s="1480">
        <f>MAX(0,HC121+HC125-HC124)</f>
        <v>148162</v>
      </c>
      <c r="HD126" s="1480"/>
      <c r="HE126" s="1480"/>
      <c r="HF126" s="1480"/>
      <c r="HG126" s="1480"/>
      <c r="HH126" s="1480"/>
      <c r="HI126" s="1538">
        <f>MAX(0,HI121+HI125-HI124)</f>
        <v>24756</v>
      </c>
      <c r="HJ126" s="1538">
        <f>MAX(0,HJ121+HJ125-HJ124)</f>
        <v>126384</v>
      </c>
      <c r="HK126" s="1538">
        <f>MAX(0,HK121+HK125-HK124)</f>
        <v>173250</v>
      </c>
      <c r="HL126" s="1538">
        <f>MAX(0,HL121+HL125-HL124)</f>
        <v>201924</v>
      </c>
      <c r="HM126" s="1538">
        <f>MAX(0,HM121+HM125-HM124)</f>
        <v>42500</v>
      </c>
      <c r="HN126" s="1480"/>
      <c r="HO126" s="1480">
        <f>MAX(0,HO121+HO125-HO124)</f>
        <v>14190</v>
      </c>
      <c r="HP126" s="1480"/>
      <c r="HQ126" s="1480"/>
      <c r="HR126" s="1480"/>
      <c r="HS126" s="1480"/>
      <c r="HT126" s="1480"/>
      <c r="HU126" s="1480"/>
      <c r="HV126" s="1480"/>
      <c r="HW126" s="1480">
        <f>MAX(0,HW121+HW125-HW124)</f>
        <v>26980</v>
      </c>
      <c r="HX126" s="1480"/>
      <c r="HY126" s="1480"/>
      <c r="HZ126" s="1480"/>
      <c r="IA126" s="1480"/>
      <c r="IB126" s="1480"/>
      <c r="IC126" s="1480"/>
      <c r="ID126" s="1480"/>
      <c r="IE126" s="1480"/>
      <c r="IF126" s="1480"/>
      <c r="IG126" s="1480"/>
      <c r="IH126" s="1480"/>
      <c r="II126" s="1480"/>
      <c r="IJ126" s="1480"/>
      <c r="IK126" s="1480"/>
      <c r="IL126" s="1538">
        <v>4237</v>
      </c>
      <c r="IM126" s="1480"/>
      <c r="IN126" s="1480"/>
      <c r="IO126" s="1480"/>
      <c r="IP126" s="1480"/>
      <c r="IQ126" s="1480"/>
      <c r="IR126" s="1480"/>
      <c r="IS126" s="1480"/>
      <c r="IT126" s="1480"/>
      <c r="IU126" s="1480"/>
      <c r="IV126" s="1480"/>
      <c r="IW126" s="1480"/>
      <c r="IX126" s="1538">
        <f>MAX(0,IX121+IX125-IX124)</f>
        <v>4112087</v>
      </c>
      <c r="IY126" s="1480">
        <f>MAX(0,IY121+IY125-IY124)</f>
        <v>50949</v>
      </c>
      <c r="IZ126" s="1480"/>
      <c r="JA126" s="1480">
        <f>MAX(0,JA121+JA125-JA124)</f>
        <v>97003</v>
      </c>
      <c r="JB126" s="1538">
        <f>MAX(0,JB121+JB125-JB124)</f>
        <v>67942</v>
      </c>
      <c r="JC126" s="1480"/>
      <c r="JD126" s="1480"/>
      <c r="JE126" s="1480"/>
      <c r="JF126" s="1480"/>
      <c r="JG126" s="1480"/>
      <c r="JH126" s="1538">
        <f>MAX(0,JH121+JH125-JH124)</f>
        <v>6908</v>
      </c>
      <c r="JI126" s="1480"/>
      <c r="JJ126" s="1480"/>
      <c r="JK126" s="1538">
        <f>MAX(0,JK121+JK125-JK124)</f>
        <v>9210</v>
      </c>
      <c r="JL126" s="1480"/>
      <c r="JM126" s="1480"/>
      <c r="JN126" s="1480"/>
      <c r="JO126" s="1480"/>
      <c r="JP126" s="1480"/>
      <c r="JQ126" s="1480"/>
      <c r="JR126" s="351"/>
      <c r="JS126" s="1400" t="s">
        <v>3250</v>
      </c>
      <c r="JT126" s="1400"/>
    </row>
    <row r="127" spans="1:280" x14ac:dyDescent="0.25">
      <c r="A127" s="1367">
        <v>80</v>
      </c>
      <c r="B127" s="1411" t="str">
        <f t="shared" si="19"/>
        <v/>
      </c>
      <c r="C127" s="1644" t="s">
        <v>3251</v>
      </c>
      <c r="D127" s="1539" t="s">
        <v>3252</v>
      </c>
      <c r="E127" s="1480"/>
      <c r="F127" s="1480"/>
      <c r="G127" s="1480"/>
      <c r="H127" s="1480"/>
      <c r="I127" s="1480"/>
      <c r="J127" s="1480"/>
      <c r="K127" s="1480"/>
      <c r="L127" s="1480"/>
      <c r="M127" s="1480"/>
      <c r="N127" s="1480"/>
      <c r="O127" s="1480"/>
      <c r="P127" s="1480"/>
      <c r="Q127" s="1480"/>
      <c r="R127" s="1480"/>
      <c r="S127" s="1480"/>
      <c r="T127" s="1480"/>
      <c r="U127" s="1480"/>
      <c r="V127" s="1480"/>
      <c r="W127" s="1480"/>
      <c r="X127" s="1480"/>
      <c r="Y127" s="1480"/>
      <c r="Z127" s="1480"/>
      <c r="AA127" s="1480"/>
      <c r="AB127" s="1480"/>
      <c r="AC127" s="1480"/>
      <c r="AD127" s="1480"/>
      <c r="AE127" s="1480"/>
      <c r="AF127" s="1480"/>
      <c r="AG127" s="1480"/>
      <c r="AH127" s="1480"/>
      <c r="AI127" s="1480"/>
      <c r="AJ127" s="1480"/>
      <c r="AK127" s="1480"/>
      <c r="AL127" s="1480"/>
      <c r="AM127" s="1480"/>
      <c r="AN127" s="1480"/>
      <c r="AO127" s="1480"/>
      <c r="AP127" s="1480"/>
      <c r="AQ127" s="1480"/>
      <c r="AR127" s="1480"/>
      <c r="AS127" s="1480"/>
      <c r="AT127" s="1480"/>
      <c r="AU127" s="1480"/>
      <c r="AV127" s="1480"/>
      <c r="AW127" s="1480"/>
      <c r="AX127" s="1480"/>
      <c r="AY127" s="1480"/>
      <c r="AZ127" s="1480"/>
      <c r="BA127" s="1480"/>
      <c r="BB127" s="1480"/>
      <c r="BC127" s="1480"/>
      <c r="BD127" s="1480"/>
      <c r="BE127" s="1480"/>
      <c r="BF127" s="1480"/>
      <c r="BG127" s="1480"/>
      <c r="BH127" s="1480"/>
      <c r="BI127" s="1480"/>
      <c r="BJ127" s="1480"/>
      <c r="BK127" s="1480"/>
      <c r="BL127" s="1480"/>
      <c r="BM127" s="1480"/>
      <c r="BN127" s="1480"/>
      <c r="BO127" s="1480"/>
      <c r="BP127" s="1480"/>
      <c r="BQ127" s="1480"/>
      <c r="BR127" s="1480"/>
      <c r="BS127" s="1480"/>
      <c r="BT127" s="1480"/>
      <c r="BU127" s="1480"/>
      <c r="BV127" s="1480"/>
      <c r="BW127" s="1480"/>
      <c r="BX127" s="1480"/>
      <c r="BY127" s="1480"/>
      <c r="BZ127" s="1480"/>
      <c r="CA127" s="1480"/>
      <c r="CB127" s="1480"/>
      <c r="CC127" s="1480"/>
      <c r="CD127" s="1480"/>
      <c r="CE127" s="1480"/>
      <c r="CF127" s="1480"/>
      <c r="CG127" s="1480"/>
      <c r="CH127" s="1480"/>
      <c r="CI127" s="1480"/>
      <c r="CJ127" s="1480"/>
      <c r="CK127" s="1480"/>
      <c r="CL127" s="1480"/>
      <c r="CM127" s="1480"/>
      <c r="CN127" s="1480"/>
      <c r="CO127" s="1480"/>
      <c r="CP127" s="1480"/>
      <c r="CQ127" s="1480"/>
      <c r="CR127" s="1480"/>
      <c r="CS127" s="1480"/>
      <c r="CT127" s="1480"/>
      <c r="CU127" s="1480"/>
      <c r="CV127" s="1480"/>
      <c r="CW127" s="1480"/>
      <c r="CX127" s="1480"/>
      <c r="CY127" s="1480"/>
      <c r="CZ127" s="1480"/>
      <c r="DA127" s="1480"/>
      <c r="DB127" s="1480"/>
      <c r="DC127" s="1540"/>
      <c r="DD127" s="1480"/>
      <c r="DE127" s="1480"/>
      <c r="DF127" s="1480"/>
      <c r="DG127" s="1480"/>
      <c r="DH127" s="1480"/>
      <c r="DI127" s="1480"/>
      <c r="DJ127" s="1480"/>
      <c r="DK127" s="1480"/>
      <c r="DL127" s="1480"/>
      <c r="DM127" s="1480"/>
      <c r="DN127" s="1480"/>
      <c r="DO127" s="1480"/>
      <c r="DP127" s="1480"/>
      <c r="DQ127" s="1480"/>
      <c r="DR127" s="1768"/>
      <c r="DS127" s="1480"/>
      <c r="DT127" s="1480"/>
      <c r="DU127" s="1480"/>
      <c r="DV127" s="1480"/>
      <c r="DW127" s="1480"/>
      <c r="DX127" s="1480"/>
      <c r="DY127" s="1480"/>
      <c r="DZ127" s="1480"/>
      <c r="EA127" s="1480"/>
      <c r="EB127" s="1480"/>
      <c r="EC127" s="1480"/>
      <c r="ED127" s="1480"/>
      <c r="EE127" s="1480"/>
      <c r="EF127" s="1480"/>
      <c r="EG127" s="1480"/>
      <c r="EH127" s="1480"/>
      <c r="EI127" s="1480"/>
      <c r="EJ127" s="1480"/>
      <c r="EK127" s="1480"/>
      <c r="EL127" s="1480"/>
      <c r="EM127" s="1480"/>
      <c r="EN127" s="1480"/>
      <c r="EO127" s="1480"/>
      <c r="EP127" s="1480"/>
      <c r="EQ127" s="1480"/>
      <c r="ER127" s="1480"/>
      <c r="ES127" s="1480"/>
      <c r="ET127" s="1538"/>
      <c r="EU127" s="1480"/>
      <c r="EV127" s="1480"/>
      <c r="EW127" s="1480"/>
      <c r="EX127" s="1480"/>
      <c r="EY127" s="1480"/>
      <c r="EZ127" s="1480"/>
      <c r="FA127" s="1480"/>
      <c r="FB127" s="1480"/>
      <c r="FC127" s="1480"/>
      <c r="FD127" s="1480"/>
      <c r="FE127" s="1480"/>
      <c r="FF127" s="1480"/>
      <c r="FG127" s="1480"/>
      <c r="FH127" s="1480"/>
      <c r="FI127" s="1538"/>
      <c r="FJ127" s="1538"/>
      <c r="FK127" s="1480"/>
      <c r="FL127" s="1480"/>
      <c r="FM127" s="1538"/>
      <c r="FN127" s="1480"/>
      <c r="FO127" s="1538"/>
      <c r="FP127" s="1480"/>
      <c r="FQ127" s="1480"/>
      <c r="FR127" s="1480"/>
      <c r="FS127" s="1480"/>
      <c r="FT127" s="1480"/>
      <c r="FU127" s="1480"/>
      <c r="FV127" s="1480"/>
      <c r="FW127" s="1480"/>
      <c r="FX127" s="1480"/>
      <c r="FY127" s="1480"/>
      <c r="FZ127" s="1480"/>
      <c r="GA127" s="1480"/>
      <c r="GB127" s="1480"/>
      <c r="GC127" s="1480"/>
      <c r="GD127" s="1480"/>
      <c r="GE127" s="1480"/>
      <c r="GF127" s="1480"/>
      <c r="GG127" s="1480"/>
      <c r="GH127" s="1480"/>
      <c r="GI127" s="1480"/>
      <c r="GJ127" s="1480"/>
      <c r="GK127" s="1480"/>
      <c r="GL127" s="1480"/>
      <c r="GM127" s="1480"/>
      <c r="GN127" s="1480"/>
      <c r="GO127" s="1480"/>
      <c r="GP127" s="1480"/>
      <c r="GQ127" s="1480"/>
      <c r="GR127" s="1480"/>
      <c r="GS127" s="1480"/>
      <c r="GT127" s="1480"/>
      <c r="GU127" s="1480"/>
      <c r="GV127" s="1480"/>
      <c r="GW127" s="1480"/>
      <c r="GX127" s="1480"/>
      <c r="GY127" s="1480"/>
      <c r="GZ127" s="1480"/>
      <c r="HA127" s="1480"/>
      <c r="HB127" s="1480"/>
      <c r="HC127" s="1480"/>
      <c r="HD127" s="1480"/>
      <c r="HE127" s="1480"/>
      <c r="HF127" s="1480"/>
      <c r="HG127" s="1480"/>
      <c r="HH127" s="1480"/>
      <c r="HI127" s="1538"/>
      <c r="HJ127" s="1538"/>
      <c r="HK127" s="1538"/>
      <c r="HL127" s="1538"/>
      <c r="HM127" s="1538"/>
      <c r="HN127" s="1480"/>
      <c r="HO127" s="1480"/>
      <c r="HP127" s="1480"/>
      <c r="HQ127" s="1480"/>
      <c r="HR127" s="1480"/>
      <c r="HS127" s="1480"/>
      <c r="HT127" s="1480"/>
      <c r="HU127" s="1480"/>
      <c r="HV127" s="1480"/>
      <c r="HW127" s="1480"/>
      <c r="HX127" s="1480"/>
      <c r="HY127" s="1480"/>
      <c r="HZ127" s="1480"/>
      <c r="IA127" s="1480"/>
      <c r="IB127" s="1480"/>
      <c r="IC127" s="1480"/>
      <c r="ID127" s="1480"/>
      <c r="IE127" s="1480"/>
      <c r="IF127" s="1480"/>
      <c r="IG127" s="1480"/>
      <c r="IH127" s="1480"/>
      <c r="II127" s="1480"/>
      <c r="IJ127" s="1480"/>
      <c r="IK127" s="1480"/>
      <c r="IL127" s="1480"/>
      <c r="IM127" s="1480"/>
      <c r="IN127" s="1480"/>
      <c r="IO127" s="1480"/>
      <c r="IP127" s="1480"/>
      <c r="IQ127" s="1480"/>
      <c r="IR127" s="1480"/>
      <c r="IS127" s="1480"/>
      <c r="IT127" s="1480"/>
      <c r="IU127" s="1480"/>
      <c r="IV127" s="1480"/>
      <c r="IW127" s="1480"/>
      <c r="IX127" s="1480"/>
      <c r="IY127" s="1480"/>
      <c r="IZ127" s="1480"/>
      <c r="JA127" s="1480"/>
      <c r="JB127" s="1538"/>
      <c r="JC127" s="1480"/>
      <c r="JD127" s="1480"/>
      <c r="JE127" s="1480"/>
      <c r="JF127" s="1480"/>
      <c r="JG127" s="1480"/>
      <c r="JH127" s="1538"/>
      <c r="JI127" s="1480"/>
      <c r="JJ127" s="1480"/>
      <c r="JK127" s="1538"/>
      <c r="JL127" s="1480"/>
      <c r="JM127" s="1480"/>
      <c r="JN127" s="1480"/>
      <c r="JO127" s="1480"/>
      <c r="JP127" s="1480"/>
      <c r="JQ127" s="1480"/>
      <c r="JR127" s="351"/>
      <c r="JS127" s="1400"/>
      <c r="JT127" s="1400"/>
    </row>
    <row r="128" spans="1:280" ht="60" x14ac:dyDescent="0.25">
      <c r="A128" s="1367">
        <v>81</v>
      </c>
      <c r="B128" s="1411" t="str">
        <f t="shared" si="19"/>
        <v/>
      </c>
      <c r="C128" s="1435" t="s">
        <v>3253</v>
      </c>
      <c r="D128" s="1436" t="str">
        <f>"Adjusted loss for "&amp;tax_year</f>
        <v>Adjusted loss for 2025-26</v>
      </c>
      <c r="E128" s="1480"/>
      <c r="F128" s="1480"/>
      <c r="G128" s="1480"/>
      <c r="H128" s="1480"/>
      <c r="I128" s="1480"/>
      <c r="J128" s="1480"/>
      <c r="K128" s="1480"/>
      <c r="L128" s="1480"/>
      <c r="M128" s="1480"/>
      <c r="N128" s="1480"/>
      <c r="O128" s="1480"/>
      <c r="P128" s="1480"/>
      <c r="Q128" s="1480"/>
      <c r="R128" s="1480"/>
      <c r="S128" s="1480"/>
      <c r="T128" s="1480"/>
      <c r="U128" s="1480"/>
      <c r="V128" s="1480"/>
      <c r="W128" s="1480"/>
      <c r="X128" s="1480"/>
      <c r="Y128" s="1480"/>
      <c r="Z128" s="1480"/>
      <c r="AA128" s="1480"/>
      <c r="AB128" s="1480"/>
      <c r="AC128" s="1480"/>
      <c r="AD128" s="1480"/>
      <c r="AE128" s="1480"/>
      <c r="AF128" s="1480"/>
      <c r="AG128" s="1480"/>
      <c r="AH128" s="1480"/>
      <c r="AI128" s="1480"/>
      <c r="AJ128" s="1480"/>
      <c r="AK128" s="1480"/>
      <c r="AL128" s="1480"/>
      <c r="AM128" s="1480"/>
      <c r="AN128" s="1480"/>
      <c r="AO128" s="1480"/>
      <c r="AP128" s="1480"/>
      <c r="AQ128" s="1480"/>
      <c r="AR128" s="1480"/>
      <c r="AS128" s="1480"/>
      <c r="AT128" s="1480"/>
      <c r="AU128" s="1480"/>
      <c r="AV128" s="1480">
        <f>MAX(0,AV117-(AV116+AV118+AV119))</f>
        <v>12390</v>
      </c>
      <c r="AW128" s="1480"/>
      <c r="AX128" s="1480"/>
      <c r="AY128" s="1480"/>
      <c r="AZ128" s="1480"/>
      <c r="BA128" s="1480"/>
      <c r="BB128" s="1480"/>
      <c r="BC128" s="1480"/>
      <c r="BD128" s="1480"/>
      <c r="BE128" s="1480"/>
      <c r="BF128" s="1480"/>
      <c r="BG128" s="1480"/>
      <c r="BH128" s="1480"/>
      <c r="BI128" s="1480"/>
      <c r="BJ128" s="1480"/>
      <c r="BK128" s="1480"/>
      <c r="BL128" s="1480"/>
      <c r="BM128" s="1480"/>
      <c r="BN128" s="1480"/>
      <c r="BO128" s="1480"/>
      <c r="BP128" s="1480"/>
      <c r="BQ128" s="1480"/>
      <c r="BR128" s="1480"/>
      <c r="BS128" s="1480"/>
      <c r="BT128" s="1480"/>
      <c r="BU128" s="1480"/>
      <c r="BV128" s="1480"/>
      <c r="BW128" s="1480"/>
      <c r="BX128" s="1480"/>
      <c r="BY128" s="1480"/>
      <c r="BZ128" s="1480"/>
      <c r="CA128" s="1480"/>
      <c r="CB128" s="1480"/>
      <c r="CC128" s="1480"/>
      <c r="CD128" s="1480"/>
      <c r="CE128" s="1480"/>
      <c r="CF128" s="1480"/>
      <c r="CG128" s="1480"/>
      <c r="CH128" s="1480"/>
      <c r="CI128" s="1480"/>
      <c r="CJ128" s="1480"/>
      <c r="CK128" s="1480"/>
      <c r="CL128" s="1480"/>
      <c r="CM128" s="1480">
        <v>10000</v>
      </c>
      <c r="CN128" s="1480"/>
      <c r="CO128" s="1480">
        <f>ABS(CO116-CO117+CO118-CO67)</f>
        <v>50000</v>
      </c>
      <c r="CP128" s="1480"/>
      <c r="CQ128" s="1480"/>
      <c r="CR128" s="1480"/>
      <c r="CS128" s="1480"/>
      <c r="CT128" s="1480"/>
      <c r="CU128" s="1480"/>
      <c r="CV128" s="1480"/>
      <c r="CW128" s="1480"/>
      <c r="CX128" s="1480"/>
      <c r="CY128" s="1480"/>
      <c r="CZ128" s="1480"/>
      <c r="DA128" s="1480"/>
      <c r="DB128" s="1480"/>
      <c r="DC128" s="1480"/>
      <c r="DD128" s="1480"/>
      <c r="DE128" s="1480"/>
      <c r="DF128" s="1480"/>
      <c r="DG128" s="1480"/>
      <c r="DH128" s="1480"/>
      <c r="DI128" s="1480"/>
      <c r="DJ128" s="1480"/>
      <c r="DK128" s="1480"/>
      <c r="DL128" s="1480"/>
      <c r="DM128" s="1480"/>
      <c r="DN128" s="1480"/>
      <c r="DO128" s="1480"/>
      <c r="DP128" s="1480"/>
      <c r="DQ128" s="1480"/>
      <c r="DR128" s="1540">
        <v>130458</v>
      </c>
      <c r="DS128" s="1480"/>
      <c r="DT128" s="1480"/>
      <c r="DU128" s="1480"/>
      <c r="DV128" s="1480"/>
      <c r="DW128" s="1480"/>
      <c r="DX128" s="1480"/>
      <c r="DY128" s="1480"/>
      <c r="DZ128" s="1480"/>
      <c r="EA128" s="1480"/>
      <c r="EB128" s="1480"/>
      <c r="EC128" s="1480"/>
      <c r="ED128" s="1480"/>
      <c r="EE128" s="1480"/>
      <c r="EF128" s="1480"/>
      <c r="EG128" s="1480">
        <f>ABS(EG116-EG117+EG118-EG67)</f>
        <v>5000</v>
      </c>
      <c r="EH128" s="1480"/>
      <c r="EI128" s="1480"/>
      <c r="EJ128" s="1480"/>
      <c r="EK128" s="1480"/>
      <c r="EL128" s="1480"/>
      <c r="EM128" s="1480"/>
      <c r="EN128" s="1480"/>
      <c r="EO128" s="1480"/>
      <c r="EP128" s="1480"/>
      <c r="EQ128" s="1480"/>
      <c r="ER128" s="1480"/>
      <c r="ES128" s="1538">
        <f>ABS(ES116-ES117+ES118-ES67)</f>
        <v>115</v>
      </c>
      <c r="ET128" s="1480"/>
      <c r="EU128" s="1480"/>
      <c r="EV128" s="1480"/>
      <c r="EW128" s="1480"/>
      <c r="EX128" s="1480"/>
      <c r="EY128" s="1480"/>
      <c r="EZ128" s="1480"/>
      <c r="FA128" s="1480"/>
      <c r="FB128" s="1480"/>
      <c r="FC128" s="1480"/>
      <c r="FD128" s="1480"/>
      <c r="FE128" s="1480"/>
      <c r="FF128" s="1480"/>
      <c r="FG128" s="1480"/>
      <c r="FH128" s="1480"/>
      <c r="FI128" s="1480"/>
      <c r="FJ128" s="1480"/>
      <c r="FK128" s="1480"/>
      <c r="FL128" s="1480"/>
      <c r="FM128" s="1480"/>
      <c r="FN128" s="1480"/>
      <c r="FO128" s="1480"/>
      <c r="FP128" s="1480"/>
      <c r="FQ128" s="1480"/>
      <c r="FR128" s="1480"/>
      <c r="FS128" s="1480"/>
      <c r="FT128" s="1480"/>
      <c r="FU128" s="1480"/>
      <c r="FV128" s="1480"/>
      <c r="FW128" s="1480"/>
      <c r="FX128" s="1480"/>
      <c r="FY128" s="1480"/>
      <c r="FZ128" s="1480"/>
      <c r="GA128" s="1480"/>
      <c r="GB128" s="1480"/>
      <c r="GC128" s="1480"/>
      <c r="GD128" s="1480"/>
      <c r="GE128" s="1480"/>
      <c r="GF128" s="1480"/>
      <c r="GG128" s="1480"/>
      <c r="GH128" s="1480"/>
      <c r="GI128" s="1480"/>
      <c r="GJ128" s="1480"/>
      <c r="GK128" s="1480"/>
      <c r="GL128" s="1480"/>
      <c r="GM128" s="1480"/>
      <c r="GN128" s="1480">
        <v>441</v>
      </c>
      <c r="GO128" s="1480"/>
      <c r="GP128" s="1480"/>
      <c r="GQ128" s="1480"/>
      <c r="GR128" s="1480"/>
      <c r="GS128" s="1480"/>
      <c r="GT128" s="1480"/>
      <c r="GU128" s="1480"/>
      <c r="GV128" s="1480"/>
      <c r="GW128" s="1480"/>
      <c r="GX128" s="1480">
        <f>MAX(0,GX117-(GX116+GX118+GX119))</f>
        <v>57763</v>
      </c>
      <c r="GY128" s="1480"/>
      <c r="GZ128" s="1480"/>
      <c r="HA128" s="1480"/>
      <c r="HB128" s="1538">
        <v>9010</v>
      </c>
      <c r="HC128" s="1480"/>
      <c r="HD128" s="1480"/>
      <c r="HE128" s="1480"/>
      <c r="HF128" s="1480"/>
      <c r="HG128" s="1480"/>
      <c r="HH128" s="1480"/>
      <c r="HI128" s="1480"/>
      <c r="HJ128" s="1480"/>
      <c r="HK128" s="1480"/>
      <c r="HL128" s="1480"/>
      <c r="HM128" s="1480"/>
      <c r="HN128" s="1480"/>
      <c r="HO128" s="1480"/>
      <c r="HP128" s="1480"/>
      <c r="HQ128" s="1480"/>
      <c r="HR128" s="1480"/>
      <c r="HS128" s="1480"/>
      <c r="HT128" s="1480"/>
      <c r="HU128" s="1538"/>
      <c r="HV128" s="1480"/>
      <c r="HW128" s="1480"/>
      <c r="HX128" s="1480"/>
      <c r="HY128" s="1480"/>
      <c r="HZ128" s="1480"/>
      <c r="IA128" s="1480"/>
      <c r="IB128" s="1480"/>
      <c r="IC128" s="1480"/>
      <c r="ID128" s="1480"/>
      <c r="IE128" s="1480"/>
      <c r="IF128" s="1480"/>
      <c r="IG128" s="1480"/>
      <c r="IH128" s="1480"/>
      <c r="II128" s="1480"/>
      <c r="IJ128" s="1480"/>
      <c r="IK128" s="1480"/>
      <c r="IL128" s="1480"/>
      <c r="IM128" s="1480"/>
      <c r="IN128" s="1480"/>
      <c r="IO128" s="1480"/>
      <c r="IP128" s="1480"/>
      <c r="IQ128" s="1480"/>
      <c r="IR128" s="1480"/>
      <c r="IS128" s="1480"/>
      <c r="IT128" s="1480"/>
      <c r="IU128" s="1480"/>
      <c r="IV128" s="1480"/>
      <c r="IW128" s="1480"/>
      <c r="IX128" s="1480"/>
      <c r="IY128" s="1480"/>
      <c r="IZ128" s="1480"/>
      <c r="JA128" s="1480"/>
      <c r="JB128" s="1480"/>
      <c r="JC128" s="1480"/>
      <c r="JD128" s="1480"/>
      <c r="JE128" s="1480"/>
      <c r="JF128" s="1480"/>
      <c r="JG128" s="1480"/>
      <c r="JH128" s="1480"/>
      <c r="JI128" s="1480"/>
      <c r="JJ128" s="1480"/>
      <c r="JK128" s="1480"/>
      <c r="JL128" s="1480"/>
      <c r="JM128" s="1480"/>
      <c r="JN128" s="1480"/>
      <c r="JO128" s="1480"/>
      <c r="JP128" s="1480"/>
      <c r="JQ128" s="1480"/>
      <c r="JR128" s="351"/>
      <c r="JS128" s="1521" t="s">
        <v>3254</v>
      </c>
      <c r="JT128" s="1400" t="s">
        <v>2224</v>
      </c>
    </row>
    <row r="129" spans="1:280" x14ac:dyDescent="0.25">
      <c r="A129" s="1367">
        <v>82</v>
      </c>
      <c r="B129" s="1411" t="str">
        <f t="shared" si="19"/>
        <v/>
      </c>
      <c r="C129" s="1644" t="s">
        <v>3255</v>
      </c>
      <c r="D129" s="1539" t="s">
        <v>3256</v>
      </c>
      <c r="E129" s="1480"/>
      <c r="F129" s="1480"/>
      <c r="G129" s="1480"/>
      <c r="H129" s="1480"/>
      <c r="I129" s="1480"/>
      <c r="J129" s="1480"/>
      <c r="K129" s="1480"/>
      <c r="L129" s="1480"/>
      <c r="M129" s="1480"/>
      <c r="N129" s="1480"/>
      <c r="O129" s="1480"/>
      <c r="P129" s="1480"/>
      <c r="Q129" s="1480"/>
      <c r="R129" s="1480"/>
      <c r="S129" s="1480"/>
      <c r="T129" s="1768"/>
      <c r="U129" s="1768"/>
      <c r="V129" s="1768"/>
      <c r="W129" s="1768"/>
      <c r="X129" s="1768"/>
      <c r="Y129" s="1768"/>
      <c r="Z129" s="1768"/>
      <c r="AA129" s="1768"/>
      <c r="AB129" s="1768"/>
      <c r="AC129" s="1480"/>
      <c r="AD129" s="1480"/>
      <c r="AE129" s="1480"/>
      <c r="AF129" s="1480"/>
      <c r="AG129" s="1480"/>
      <c r="AH129" s="1480"/>
      <c r="AI129" s="1768"/>
      <c r="AJ129" s="1480"/>
      <c r="AK129" s="1768"/>
      <c r="AL129" s="1480"/>
      <c r="AM129" s="1768"/>
      <c r="AN129" s="1768"/>
      <c r="AO129" s="1768"/>
      <c r="AP129" s="1768"/>
      <c r="AQ129" s="1768"/>
      <c r="AR129" s="1768"/>
      <c r="AS129" s="1768"/>
      <c r="AT129" s="1768"/>
      <c r="AU129" s="1768"/>
      <c r="AV129" s="1480"/>
      <c r="AW129" s="1768"/>
      <c r="AX129" s="1768"/>
      <c r="AY129" s="1768"/>
      <c r="AZ129" s="1768"/>
      <c r="BA129" s="1768"/>
      <c r="BB129" s="1768"/>
      <c r="BC129" s="1768"/>
      <c r="BD129" s="1768"/>
      <c r="BE129" s="1768"/>
      <c r="BF129" s="1768"/>
      <c r="BG129" s="1768"/>
      <c r="BH129" s="1768"/>
      <c r="BI129" s="1768"/>
      <c r="BJ129" s="1480"/>
      <c r="BK129" s="1768"/>
      <c r="BL129" s="1768"/>
      <c r="BM129" s="1768"/>
      <c r="BN129" s="1768"/>
      <c r="BO129" s="1768"/>
      <c r="BP129" s="1480"/>
      <c r="BQ129" s="1768"/>
      <c r="BR129" s="1768"/>
      <c r="BS129" s="1768"/>
      <c r="BT129" s="1768"/>
      <c r="BU129" s="1768"/>
      <c r="BV129" s="1768"/>
      <c r="BW129" s="1768"/>
      <c r="BX129" s="1768"/>
      <c r="BY129" s="1768"/>
      <c r="BZ129" s="1768"/>
      <c r="CA129" s="1768"/>
      <c r="CB129" s="1768"/>
      <c r="CC129" s="1768"/>
      <c r="CD129" s="1768"/>
      <c r="CE129" s="1768"/>
      <c r="CF129" s="1480"/>
      <c r="CG129" s="1768"/>
      <c r="CH129" s="1480"/>
      <c r="CI129" s="1768"/>
      <c r="CJ129" s="1768"/>
      <c r="CK129" s="1768"/>
      <c r="CL129" s="1480"/>
      <c r="CM129" s="1768"/>
      <c r="CN129" s="1768"/>
      <c r="CO129" s="1768"/>
      <c r="CP129" s="1768"/>
      <c r="CQ129" s="1768"/>
      <c r="CR129" s="1480"/>
      <c r="CS129" s="1480"/>
      <c r="CT129" s="1768"/>
      <c r="CU129" s="1480"/>
      <c r="CV129" s="1480"/>
      <c r="CW129" s="1768"/>
      <c r="CX129" s="1768"/>
      <c r="CY129" s="1768"/>
      <c r="CZ129" s="1768"/>
      <c r="DA129" s="1768"/>
      <c r="DB129" s="1768"/>
      <c r="DC129" s="1768"/>
      <c r="DD129" s="1768"/>
      <c r="DE129" s="1768"/>
      <c r="DF129" s="1768"/>
      <c r="DG129" s="1768"/>
      <c r="DH129" s="1768"/>
      <c r="DI129" s="1768"/>
      <c r="DJ129" s="1480"/>
      <c r="DK129" s="1768"/>
      <c r="DL129" s="1768"/>
      <c r="DM129" s="1768"/>
      <c r="DN129" s="1768"/>
      <c r="DO129" s="1480"/>
      <c r="DP129" s="1768"/>
      <c r="DQ129" s="1768"/>
      <c r="DR129" s="1540"/>
      <c r="DS129" s="1768"/>
      <c r="DT129" s="1768"/>
      <c r="DU129" s="1768"/>
      <c r="DV129" s="1768"/>
      <c r="DW129" s="1768"/>
      <c r="DX129" s="1768"/>
      <c r="DY129" s="1768"/>
      <c r="DZ129" s="1768"/>
      <c r="EA129" s="1768"/>
      <c r="EB129" s="1768"/>
      <c r="EC129" s="1768"/>
      <c r="ED129" s="1768"/>
      <c r="EE129" s="1768"/>
      <c r="EF129" s="1480"/>
      <c r="EG129" s="1480"/>
      <c r="EH129" s="1768"/>
      <c r="EI129" s="1480"/>
      <c r="EJ129" s="1768"/>
      <c r="EK129" s="1768"/>
      <c r="EL129" s="1768"/>
      <c r="EM129" s="1480"/>
      <c r="EN129" s="1768"/>
      <c r="EO129" s="1768"/>
      <c r="EP129" s="1768"/>
      <c r="EQ129" s="1768"/>
      <c r="ER129" s="1768"/>
      <c r="ES129" s="1540"/>
      <c r="ET129" s="1768"/>
      <c r="EU129" s="1768"/>
      <c r="EV129" s="1768"/>
      <c r="EW129" s="1768"/>
      <c r="EX129" s="1768"/>
      <c r="EY129" s="1480"/>
      <c r="EZ129" s="1768"/>
      <c r="FA129" s="1768"/>
      <c r="FB129" s="1768"/>
      <c r="FC129" s="1768"/>
      <c r="FD129" s="1768"/>
      <c r="FE129" s="1768"/>
      <c r="FF129" s="1480"/>
      <c r="FG129" s="1768"/>
      <c r="FH129" s="1480"/>
      <c r="FI129" s="1768"/>
      <c r="FJ129" s="1768"/>
      <c r="FK129" s="1768"/>
      <c r="FL129" s="1768"/>
      <c r="FM129" s="1768"/>
      <c r="FN129" s="1768"/>
      <c r="FO129" s="1768"/>
      <c r="FP129" s="1768"/>
      <c r="FQ129" s="1768"/>
      <c r="FR129" s="1768"/>
      <c r="FS129" s="1768"/>
      <c r="FT129" s="1768"/>
      <c r="FU129" s="1768"/>
      <c r="FV129" s="1768"/>
      <c r="FW129" s="1768"/>
      <c r="FX129" s="1768"/>
      <c r="FY129" s="1768"/>
      <c r="FZ129" s="1768"/>
      <c r="GA129" s="1768"/>
      <c r="GB129" s="1768"/>
      <c r="GC129" s="1768"/>
      <c r="GD129" s="1768"/>
      <c r="GE129" s="1768"/>
      <c r="GF129" s="1768"/>
      <c r="GG129" s="1768"/>
      <c r="GH129" s="1768"/>
      <c r="GI129" s="1768"/>
      <c r="GJ129" s="1480"/>
      <c r="GK129" s="1768"/>
      <c r="GL129" s="1768"/>
      <c r="GM129" s="1768"/>
      <c r="GN129" s="1768"/>
      <c r="GO129" s="1768"/>
      <c r="GP129" s="1768"/>
      <c r="GQ129" s="1768"/>
      <c r="GR129" s="1768"/>
      <c r="GS129" s="1768"/>
      <c r="GT129" s="1768"/>
      <c r="GU129" s="1768"/>
      <c r="GV129" s="1768"/>
      <c r="GW129" s="1768"/>
      <c r="GX129" s="1480"/>
      <c r="GY129" s="1768"/>
      <c r="GZ129" s="1768"/>
      <c r="HA129" s="1768"/>
      <c r="HB129" s="1538"/>
      <c r="HC129" s="1480"/>
      <c r="HD129" s="1768"/>
      <c r="HE129" s="1768"/>
      <c r="HF129" s="1768"/>
      <c r="HG129" s="1768"/>
      <c r="HH129" s="1768"/>
      <c r="HI129" s="1768"/>
      <c r="HJ129" s="1768"/>
      <c r="HK129" s="1768"/>
      <c r="HL129" s="1768"/>
      <c r="HM129" s="1768"/>
      <c r="HN129" s="1768"/>
      <c r="HO129" s="1480"/>
      <c r="HP129" s="1768"/>
      <c r="HQ129" s="1768"/>
      <c r="HR129" s="1768"/>
      <c r="HS129" s="1768"/>
      <c r="HT129" s="1768"/>
      <c r="HU129" s="1768"/>
      <c r="HV129" s="1768"/>
      <c r="HW129" s="1480"/>
      <c r="HX129" s="1768"/>
      <c r="HY129" s="1768"/>
      <c r="HZ129" s="1768"/>
      <c r="IA129" s="1768"/>
      <c r="IB129" s="1768"/>
      <c r="IC129" s="1768"/>
      <c r="ID129" s="1768"/>
      <c r="IE129" s="1768"/>
      <c r="IF129" s="1768"/>
      <c r="IG129" s="1768"/>
      <c r="IH129" s="1768"/>
      <c r="II129" s="1768"/>
      <c r="IJ129" s="1768"/>
      <c r="IK129" s="1768"/>
      <c r="IL129" s="1768"/>
      <c r="IM129" s="1768"/>
      <c r="IN129" s="1768"/>
      <c r="IO129" s="1768"/>
      <c r="IP129" s="1768"/>
      <c r="IQ129" s="1768"/>
      <c r="IR129" s="1768"/>
      <c r="IS129" s="1768"/>
      <c r="IT129" s="1768"/>
      <c r="IU129" s="1768"/>
      <c r="IV129" s="1768"/>
      <c r="IW129" s="1768"/>
      <c r="IX129" s="1768"/>
      <c r="IY129" s="1480"/>
      <c r="IZ129" s="1768"/>
      <c r="JA129" s="1480"/>
      <c r="JB129" s="1768"/>
      <c r="JC129" s="1768"/>
      <c r="JD129" s="1768"/>
      <c r="JE129" s="1768"/>
      <c r="JF129" s="1768"/>
      <c r="JG129" s="1768"/>
      <c r="JH129" s="1768"/>
      <c r="JI129" s="1768"/>
      <c r="JJ129" s="1768"/>
      <c r="JK129" s="1768"/>
      <c r="JL129" s="1768"/>
      <c r="JM129" s="1768"/>
      <c r="JN129" s="1768"/>
      <c r="JO129" s="1768"/>
      <c r="JP129" s="1768"/>
      <c r="JQ129" s="1768"/>
      <c r="JR129" s="351"/>
      <c r="JS129" s="1521"/>
      <c r="JT129" s="1400"/>
    </row>
    <row r="130" spans="1:280" ht="20" x14ac:dyDescent="0.25">
      <c r="A130" s="1367">
        <v>83</v>
      </c>
      <c r="B130" s="1411" t="str">
        <f t="shared" si="19"/>
        <v/>
      </c>
      <c r="C130" s="1435" t="s">
        <v>3257</v>
      </c>
      <c r="D130" s="1436" t="str">
        <f>"Loss from this tax year set off against other income for "&amp;tax_year</f>
        <v>Loss from this tax year set off against other income for 2025-26</v>
      </c>
      <c r="E130" s="1532"/>
      <c r="F130" s="1532"/>
      <c r="G130" s="1532"/>
      <c r="H130" s="1532"/>
      <c r="I130" s="1532"/>
      <c r="J130" s="1532"/>
      <c r="K130" s="1532"/>
      <c r="L130" s="1532"/>
      <c r="M130" s="1554"/>
      <c r="N130" s="1554"/>
      <c r="O130" s="1533"/>
      <c r="P130" s="1533"/>
      <c r="Q130" s="1532"/>
      <c r="R130" s="1533"/>
      <c r="S130" s="1532"/>
      <c r="T130" s="1534"/>
      <c r="U130" s="1534"/>
      <c r="V130" s="1534"/>
      <c r="W130" s="1534"/>
      <c r="X130" s="1534"/>
      <c r="Y130" s="1534"/>
      <c r="Z130" s="1534"/>
      <c r="AA130" s="1534"/>
      <c r="AB130" s="1534"/>
      <c r="AC130" s="1532"/>
      <c r="AD130" s="1532"/>
      <c r="AE130" s="1532"/>
      <c r="AF130" s="1532"/>
      <c r="AG130" s="1532"/>
      <c r="AH130" s="1532"/>
      <c r="AI130" s="1534"/>
      <c r="AJ130" s="1532"/>
      <c r="AK130" s="1534"/>
      <c r="AL130" s="1532"/>
      <c r="AM130" s="1534"/>
      <c r="AN130" s="1534"/>
      <c r="AO130" s="1534"/>
      <c r="AP130" s="1534"/>
      <c r="AQ130" s="1534"/>
      <c r="AR130" s="1534"/>
      <c r="AS130" s="1534"/>
      <c r="AT130" s="1534"/>
      <c r="AU130" s="1534"/>
      <c r="AV130" s="1532">
        <v>12390</v>
      </c>
      <c r="AW130" s="1534"/>
      <c r="AX130" s="1534"/>
      <c r="AY130" s="1534"/>
      <c r="AZ130" s="1534"/>
      <c r="BA130" s="1534"/>
      <c r="BB130" s="1534"/>
      <c r="BC130" s="1534"/>
      <c r="BD130" s="1534"/>
      <c r="BE130" s="1534"/>
      <c r="BF130" s="1534"/>
      <c r="BG130" s="1534"/>
      <c r="BH130" s="1534"/>
      <c r="BI130" s="1534"/>
      <c r="BJ130" s="1532"/>
      <c r="BK130" s="1534"/>
      <c r="BL130" s="1534"/>
      <c r="BM130" s="1534"/>
      <c r="BN130" s="1534"/>
      <c r="BO130" s="1534"/>
      <c r="BP130" s="1532"/>
      <c r="BQ130" s="1534"/>
      <c r="BR130" s="1534"/>
      <c r="BS130" s="1534"/>
      <c r="BT130" s="1534"/>
      <c r="BU130" s="1534"/>
      <c r="BV130" s="1534"/>
      <c r="BW130" s="1534"/>
      <c r="BX130" s="1535"/>
      <c r="BY130" s="1535"/>
      <c r="BZ130" s="1534"/>
      <c r="CA130" s="1534"/>
      <c r="CB130" s="1534"/>
      <c r="CC130" s="1534"/>
      <c r="CD130" s="1534"/>
      <c r="CE130" s="1534"/>
      <c r="CF130" s="1532"/>
      <c r="CG130" s="1534"/>
      <c r="CH130" s="1532"/>
      <c r="CI130" s="1534"/>
      <c r="CJ130" s="1534"/>
      <c r="CK130" s="1534"/>
      <c r="CL130" s="1532"/>
      <c r="CM130" s="1534">
        <v>10000</v>
      </c>
      <c r="CN130" s="1535"/>
      <c r="CO130" s="1534"/>
      <c r="CP130" s="1534"/>
      <c r="CQ130" s="1534"/>
      <c r="CR130" s="1532"/>
      <c r="CS130" s="1532"/>
      <c r="CT130" s="1534"/>
      <c r="CU130" s="1532"/>
      <c r="CV130" s="1532"/>
      <c r="CW130" s="1534"/>
      <c r="CX130" s="1534"/>
      <c r="CY130" s="1534"/>
      <c r="CZ130" s="1534"/>
      <c r="DA130" s="1534"/>
      <c r="DB130" s="1534"/>
      <c r="DC130" s="1534"/>
      <c r="DD130" s="1534"/>
      <c r="DE130" s="1534"/>
      <c r="DF130" s="1534"/>
      <c r="DG130" s="1534"/>
      <c r="DH130" s="1534"/>
      <c r="DI130" s="1534"/>
      <c r="DJ130" s="1532"/>
      <c r="DK130" s="1534"/>
      <c r="DL130" s="1534"/>
      <c r="DM130" s="1534"/>
      <c r="DN130" s="1534"/>
      <c r="DO130" s="1532"/>
      <c r="DP130" s="1534"/>
      <c r="DQ130" s="1534"/>
      <c r="DR130" s="1534"/>
      <c r="DS130" s="1534"/>
      <c r="DT130" s="1534"/>
      <c r="DU130" s="1534"/>
      <c r="DV130" s="1534"/>
      <c r="DW130" s="1534"/>
      <c r="DX130" s="1534"/>
      <c r="DY130" s="1534"/>
      <c r="DZ130" s="1534"/>
      <c r="EA130" s="1535"/>
      <c r="EB130" s="1534"/>
      <c r="EC130" s="1534"/>
      <c r="ED130" s="1534"/>
      <c r="EE130" s="1534"/>
      <c r="EF130" s="1532"/>
      <c r="EG130" s="1532"/>
      <c r="EH130" s="1534"/>
      <c r="EI130" s="1532"/>
      <c r="EJ130" s="1534"/>
      <c r="EK130" s="1534"/>
      <c r="EL130" s="1534"/>
      <c r="EM130" s="1532"/>
      <c r="EN130" s="1534"/>
      <c r="EO130" s="1534"/>
      <c r="EP130" s="1534"/>
      <c r="EQ130" s="1534"/>
      <c r="ER130" s="1534"/>
      <c r="ES130" s="1537">
        <v>115</v>
      </c>
      <c r="ET130" s="1534"/>
      <c r="EU130" s="1534"/>
      <c r="EV130" s="1534"/>
      <c r="EW130" s="1534"/>
      <c r="EX130" s="1534"/>
      <c r="EY130" s="1532"/>
      <c r="EZ130" s="1534"/>
      <c r="FA130" s="1534"/>
      <c r="FB130" s="1534"/>
      <c r="FC130" s="1534"/>
      <c r="FD130" s="1534"/>
      <c r="FE130" s="1534"/>
      <c r="FF130" s="1532"/>
      <c r="FG130" s="1534"/>
      <c r="FH130" s="1532"/>
      <c r="FI130" s="1534"/>
      <c r="FJ130" s="1534"/>
      <c r="FK130" s="1534"/>
      <c r="FL130" s="1534"/>
      <c r="FM130" s="1534"/>
      <c r="FN130" s="1534"/>
      <c r="FO130" s="1534"/>
      <c r="FP130" s="1534"/>
      <c r="FQ130" s="1534"/>
      <c r="FR130" s="1534"/>
      <c r="FS130" s="1534"/>
      <c r="FT130" s="1534"/>
      <c r="FU130" s="1534"/>
      <c r="FV130" s="1534"/>
      <c r="FW130" s="1534"/>
      <c r="FX130" s="1534"/>
      <c r="FY130" s="1534"/>
      <c r="FZ130" s="1534"/>
      <c r="GA130" s="1534"/>
      <c r="GB130" s="1534"/>
      <c r="GC130" s="1534"/>
      <c r="GD130" s="1534"/>
      <c r="GE130" s="1534"/>
      <c r="GF130" s="1534"/>
      <c r="GG130" s="1534"/>
      <c r="GH130" s="1534"/>
      <c r="GI130" s="1534"/>
      <c r="GJ130" s="1532"/>
      <c r="GK130" s="1534"/>
      <c r="GL130" s="1534"/>
      <c r="GM130" s="1534"/>
      <c r="GN130" s="1534">
        <v>441</v>
      </c>
      <c r="GO130" s="1534"/>
      <c r="GP130" s="1534"/>
      <c r="GQ130" s="1534"/>
      <c r="GR130" s="1534"/>
      <c r="GS130" s="1534"/>
      <c r="GT130" s="1534"/>
      <c r="GU130" s="1534"/>
      <c r="GV130" s="1534"/>
      <c r="GW130" s="1534"/>
      <c r="GX130" s="1554">
        <v>57763</v>
      </c>
      <c r="GY130" s="1534"/>
      <c r="GZ130" s="1534"/>
      <c r="HA130" s="1534"/>
      <c r="HB130" s="1541">
        <v>9010</v>
      </c>
      <c r="HC130" s="1532"/>
      <c r="HD130" s="1534"/>
      <c r="HE130" s="1534"/>
      <c r="HF130" s="1534"/>
      <c r="HG130" s="1534"/>
      <c r="HH130" s="1534"/>
      <c r="HI130" s="1534"/>
      <c r="HJ130" s="1534"/>
      <c r="HK130" s="1534"/>
      <c r="HL130" s="1534"/>
      <c r="HM130" s="1534"/>
      <c r="HN130" s="1534"/>
      <c r="HO130" s="1532"/>
      <c r="HP130" s="1534"/>
      <c r="HQ130" s="1534"/>
      <c r="HR130" s="1534"/>
      <c r="HS130" s="1534"/>
      <c r="HT130" s="1534"/>
      <c r="HU130" s="1537"/>
      <c r="HV130" s="1534"/>
      <c r="HW130" s="1532"/>
      <c r="HX130" s="1534"/>
      <c r="HY130" s="1534"/>
      <c r="HZ130" s="1534"/>
      <c r="IA130" s="1534"/>
      <c r="IB130" s="1534"/>
      <c r="IC130" s="1534"/>
      <c r="ID130" s="1534"/>
      <c r="IE130" s="1534"/>
      <c r="IF130" s="1534"/>
      <c r="IG130" s="1534"/>
      <c r="IH130" s="1534"/>
      <c r="II130" s="1534"/>
      <c r="IJ130" s="1534"/>
      <c r="IK130" s="1534"/>
      <c r="IL130" s="1534"/>
      <c r="IM130" s="1534"/>
      <c r="IN130" s="1534"/>
      <c r="IO130" s="1534"/>
      <c r="IP130" s="1534"/>
      <c r="IQ130" s="1534"/>
      <c r="IR130" s="1534"/>
      <c r="IS130" s="1534"/>
      <c r="IT130" s="1534"/>
      <c r="IU130" s="1534"/>
      <c r="IV130" s="1534"/>
      <c r="IW130" s="1534"/>
      <c r="IX130" s="1534"/>
      <c r="IY130" s="1532"/>
      <c r="IZ130" s="1534"/>
      <c r="JA130" s="1532"/>
      <c r="JB130" s="1534"/>
      <c r="JC130" s="1534"/>
      <c r="JD130" s="1534"/>
      <c r="JE130" s="1534"/>
      <c r="JF130" s="1534"/>
      <c r="JG130" s="1534"/>
      <c r="JH130" s="1534"/>
      <c r="JI130" s="1534"/>
      <c r="JJ130" s="1534"/>
      <c r="JK130" s="1534"/>
      <c r="JL130" s="1534"/>
      <c r="JM130" s="1534"/>
      <c r="JN130" s="1534"/>
      <c r="JO130" s="1534"/>
      <c r="JP130" s="1534"/>
      <c r="JQ130" s="1536"/>
      <c r="JR130" s="351"/>
      <c r="JS130" s="1521" t="s">
        <v>3258</v>
      </c>
      <c r="JT130" s="1400" t="s">
        <v>2224</v>
      </c>
    </row>
    <row r="131" spans="1:280" ht="20" x14ac:dyDescent="0.25">
      <c r="A131" s="1367">
        <v>84</v>
      </c>
      <c r="B131" s="1411" t="str">
        <f t="shared" si="19"/>
        <v/>
      </c>
      <c r="C131" s="1435" t="s">
        <v>3259</v>
      </c>
      <c r="D131" s="1436" t="s">
        <v>3260</v>
      </c>
      <c r="E131" s="1532"/>
      <c r="F131" s="1532"/>
      <c r="G131" s="1532"/>
      <c r="H131" s="1532"/>
      <c r="I131" s="1532"/>
      <c r="J131" s="1532"/>
      <c r="K131" s="1532"/>
      <c r="L131" s="1532"/>
      <c r="M131" s="1532"/>
      <c r="N131" s="1532"/>
      <c r="O131" s="1533"/>
      <c r="P131" s="1533"/>
      <c r="Q131" s="1532"/>
      <c r="R131" s="1533"/>
      <c r="S131" s="1532"/>
      <c r="T131" s="1534"/>
      <c r="U131" s="1534"/>
      <c r="V131" s="1534"/>
      <c r="W131" s="1534"/>
      <c r="X131" s="1534"/>
      <c r="Y131" s="1534"/>
      <c r="Z131" s="1534"/>
      <c r="AA131" s="1534"/>
      <c r="AB131" s="1534"/>
      <c r="AC131" s="1532"/>
      <c r="AD131" s="1532"/>
      <c r="AE131" s="1532"/>
      <c r="AF131" s="1532"/>
      <c r="AG131" s="1532"/>
      <c r="AH131" s="1532"/>
      <c r="AI131" s="1534"/>
      <c r="AJ131" s="1532"/>
      <c r="AK131" s="1534"/>
      <c r="AL131" s="1532"/>
      <c r="AM131" s="1534"/>
      <c r="AN131" s="1534"/>
      <c r="AO131" s="1534"/>
      <c r="AP131" s="1534"/>
      <c r="AQ131" s="1534"/>
      <c r="AR131" s="1534"/>
      <c r="AS131" s="1534"/>
      <c r="AT131" s="1534"/>
      <c r="AU131" s="1534"/>
      <c r="AV131" s="1532"/>
      <c r="AW131" s="1534"/>
      <c r="AX131" s="1534"/>
      <c r="AY131" s="1534"/>
      <c r="AZ131" s="1534"/>
      <c r="BA131" s="1534"/>
      <c r="BB131" s="1534"/>
      <c r="BC131" s="1534"/>
      <c r="BD131" s="1534"/>
      <c r="BE131" s="1534"/>
      <c r="BF131" s="1534"/>
      <c r="BG131" s="1534"/>
      <c r="BH131" s="1534"/>
      <c r="BI131" s="1534"/>
      <c r="BJ131" s="1532"/>
      <c r="BK131" s="1534"/>
      <c r="BL131" s="1534"/>
      <c r="BM131" s="1534"/>
      <c r="BN131" s="1534"/>
      <c r="BO131" s="1534"/>
      <c r="BP131" s="1532"/>
      <c r="BQ131" s="1534"/>
      <c r="BR131" s="1534"/>
      <c r="BS131" s="1534"/>
      <c r="BT131" s="1534"/>
      <c r="BU131" s="1534"/>
      <c r="BV131" s="1534"/>
      <c r="BW131" s="1534"/>
      <c r="BX131" s="1535"/>
      <c r="BY131" s="1535"/>
      <c r="BZ131" s="1534"/>
      <c r="CA131" s="1534"/>
      <c r="CB131" s="1534"/>
      <c r="CC131" s="1534"/>
      <c r="CD131" s="1534"/>
      <c r="CE131" s="1534"/>
      <c r="CF131" s="1532"/>
      <c r="CG131" s="1534"/>
      <c r="CH131" s="1532"/>
      <c r="CI131" s="1534"/>
      <c r="CJ131" s="1534"/>
      <c r="CK131" s="1534"/>
      <c r="CL131" s="1532"/>
      <c r="CM131" s="1534"/>
      <c r="CN131" s="1535"/>
      <c r="CO131" s="1534"/>
      <c r="CP131" s="1534"/>
      <c r="CQ131" s="1534"/>
      <c r="CR131" s="1532"/>
      <c r="CS131" s="1532"/>
      <c r="CT131" s="1534"/>
      <c r="CU131" s="1532"/>
      <c r="CV131" s="1532"/>
      <c r="CW131" s="1534"/>
      <c r="CX131" s="1534"/>
      <c r="CY131" s="1534"/>
      <c r="CZ131" s="1534"/>
      <c r="DA131" s="1534"/>
      <c r="DB131" s="1534"/>
      <c r="DC131" s="1534"/>
      <c r="DD131" s="1534"/>
      <c r="DE131" s="1534"/>
      <c r="DF131" s="1534"/>
      <c r="DG131" s="1534"/>
      <c r="DH131" s="1534"/>
      <c r="DI131" s="1534"/>
      <c r="DJ131" s="1532"/>
      <c r="DK131" s="1534"/>
      <c r="DL131" s="1534"/>
      <c r="DM131" s="1534"/>
      <c r="DN131" s="1534"/>
      <c r="DO131" s="1532"/>
      <c r="DP131" s="1534"/>
      <c r="DQ131" s="1534"/>
      <c r="DR131" s="1534"/>
      <c r="DS131" s="1534"/>
      <c r="DT131" s="1534"/>
      <c r="DU131" s="1534"/>
      <c r="DV131" s="1534"/>
      <c r="DW131" s="1534"/>
      <c r="DX131" s="1534"/>
      <c r="DY131" s="1534"/>
      <c r="DZ131" s="1534"/>
      <c r="EA131" s="1535"/>
      <c r="EB131" s="1534"/>
      <c r="EC131" s="1534"/>
      <c r="ED131" s="1534"/>
      <c r="EE131" s="1534"/>
      <c r="EF131" s="1532"/>
      <c r="EG131" s="1532"/>
      <c r="EH131" s="1534"/>
      <c r="EI131" s="1532"/>
      <c r="EJ131" s="1534"/>
      <c r="EK131" s="1534"/>
      <c r="EL131" s="1534"/>
      <c r="EM131" s="1532"/>
      <c r="EN131" s="1534"/>
      <c r="EO131" s="1534"/>
      <c r="EP131" s="1534"/>
      <c r="EQ131" s="1534"/>
      <c r="ER131" s="1534"/>
      <c r="ES131" s="1534"/>
      <c r="ET131" s="1534"/>
      <c r="EU131" s="1534"/>
      <c r="EV131" s="1534"/>
      <c r="EW131" s="1534"/>
      <c r="EX131" s="1534"/>
      <c r="EY131" s="1532"/>
      <c r="EZ131" s="1534"/>
      <c r="FA131" s="1534"/>
      <c r="FB131" s="1534"/>
      <c r="FC131" s="1534"/>
      <c r="FD131" s="1534"/>
      <c r="FE131" s="1534"/>
      <c r="FF131" s="1532"/>
      <c r="FG131" s="1534"/>
      <c r="FH131" s="1532"/>
      <c r="FI131" s="1534"/>
      <c r="FJ131" s="1534"/>
      <c r="FK131" s="1534"/>
      <c r="FL131" s="1534"/>
      <c r="FM131" s="1534"/>
      <c r="FN131" s="1534"/>
      <c r="FO131" s="1534"/>
      <c r="FP131" s="1534"/>
      <c r="FQ131" s="1534"/>
      <c r="FR131" s="1534"/>
      <c r="FS131" s="1534"/>
      <c r="FT131" s="1534"/>
      <c r="FU131" s="1534"/>
      <c r="FV131" s="1534"/>
      <c r="FW131" s="1534"/>
      <c r="FX131" s="1534"/>
      <c r="FY131" s="1534"/>
      <c r="FZ131" s="1534"/>
      <c r="GA131" s="1534"/>
      <c r="GB131" s="1534"/>
      <c r="GC131" s="1534"/>
      <c r="GD131" s="1534"/>
      <c r="GE131" s="1534"/>
      <c r="GF131" s="1534"/>
      <c r="GG131" s="1534"/>
      <c r="GH131" s="1534"/>
      <c r="GI131" s="1534"/>
      <c r="GJ131" s="1532"/>
      <c r="GK131" s="1534"/>
      <c r="GL131" s="1534"/>
      <c r="GM131" s="1534"/>
      <c r="GN131" s="1534"/>
      <c r="GO131" s="1534"/>
      <c r="GP131" s="1534"/>
      <c r="GQ131" s="1534"/>
      <c r="GR131" s="1534"/>
      <c r="GS131" s="1534"/>
      <c r="GT131" s="1534"/>
      <c r="GU131" s="1534"/>
      <c r="GV131" s="1534"/>
      <c r="GW131" s="1534"/>
      <c r="GX131" s="1532"/>
      <c r="GY131" s="1534"/>
      <c r="GZ131" s="1534"/>
      <c r="HA131" s="1534"/>
      <c r="HB131" s="1532"/>
      <c r="HC131" s="1532"/>
      <c r="HD131" s="1534"/>
      <c r="HE131" s="1534"/>
      <c r="HF131" s="1534"/>
      <c r="HG131" s="1534"/>
      <c r="HH131" s="1534"/>
      <c r="HI131" s="1534"/>
      <c r="HJ131" s="1534"/>
      <c r="HK131" s="1534"/>
      <c r="HL131" s="1534"/>
      <c r="HM131" s="1534"/>
      <c r="HN131" s="1534"/>
      <c r="HO131" s="1532"/>
      <c r="HP131" s="1534"/>
      <c r="HQ131" s="1534"/>
      <c r="HR131" s="1534"/>
      <c r="HS131" s="1534"/>
      <c r="HT131" s="1534"/>
      <c r="HU131" s="1534"/>
      <c r="HV131" s="1534"/>
      <c r="HW131" s="1532"/>
      <c r="HX131" s="1534"/>
      <c r="HY131" s="1534"/>
      <c r="HZ131" s="1534"/>
      <c r="IA131" s="1534"/>
      <c r="IB131" s="1534"/>
      <c r="IC131" s="1534"/>
      <c r="ID131" s="1534"/>
      <c r="IE131" s="1534"/>
      <c r="IF131" s="1534"/>
      <c r="IG131" s="1534"/>
      <c r="IH131" s="1534"/>
      <c r="II131" s="1534"/>
      <c r="IJ131" s="1534"/>
      <c r="IK131" s="1534"/>
      <c r="IL131" s="1534"/>
      <c r="IM131" s="1534"/>
      <c r="IN131" s="1534"/>
      <c r="IO131" s="1534"/>
      <c r="IP131" s="1534"/>
      <c r="IQ131" s="1534"/>
      <c r="IR131" s="1534"/>
      <c r="IS131" s="1534"/>
      <c r="IT131" s="1534"/>
      <c r="IU131" s="1534"/>
      <c r="IV131" s="1534"/>
      <c r="IW131" s="1534"/>
      <c r="IX131" s="1534"/>
      <c r="IY131" s="1532"/>
      <c r="IZ131" s="1534"/>
      <c r="JA131" s="1532"/>
      <c r="JB131" s="1534"/>
      <c r="JC131" s="1534"/>
      <c r="JD131" s="1534"/>
      <c r="JE131" s="1534"/>
      <c r="JF131" s="1534"/>
      <c r="JG131" s="1534"/>
      <c r="JH131" s="1534"/>
      <c r="JI131" s="1534"/>
      <c r="JJ131" s="1534"/>
      <c r="JK131" s="1534"/>
      <c r="JL131" s="1534"/>
      <c r="JM131" s="1534"/>
      <c r="JN131" s="1534"/>
      <c r="JO131" s="1534"/>
      <c r="JP131" s="1534"/>
      <c r="JQ131" s="1536"/>
      <c r="JR131" s="351"/>
      <c r="JS131" s="1521" t="s">
        <v>3261</v>
      </c>
      <c r="JT131" s="1400" t="s">
        <v>2242</v>
      </c>
    </row>
    <row r="132" spans="1:280" x14ac:dyDescent="0.25">
      <c r="A132" s="1367">
        <v>85</v>
      </c>
      <c r="B132" s="1411" t="str">
        <f t="shared" ref="B132:B153" si="60">IF(SE_B_IND&gt;1,IF(HLOOKUP(SE_B_IND-1,FSE_RANGE,A132)="","",HLOOKUP(SE_B_IND-1,FSE_RANGE,A132)),"")</f>
        <v/>
      </c>
      <c r="C132" s="1435" t="s">
        <v>3262</v>
      </c>
      <c r="D132" s="1436" t="s">
        <v>3263</v>
      </c>
      <c r="E132" s="1532"/>
      <c r="F132" s="1532"/>
      <c r="G132" s="1532"/>
      <c r="H132" s="1532"/>
      <c r="I132" s="1532"/>
      <c r="J132" s="1532"/>
      <c r="K132" s="1532"/>
      <c r="L132" s="1532"/>
      <c r="M132" s="1532"/>
      <c r="N132" s="1532"/>
      <c r="O132" s="1533"/>
      <c r="P132" s="1533"/>
      <c r="Q132" s="1532"/>
      <c r="R132" s="1533"/>
      <c r="S132" s="1532"/>
      <c r="T132" s="1534"/>
      <c r="U132" s="1534"/>
      <c r="V132" s="1534"/>
      <c r="W132" s="1534"/>
      <c r="X132" s="1534"/>
      <c r="Y132" s="1534"/>
      <c r="Z132" s="1534"/>
      <c r="AA132" s="1534"/>
      <c r="AB132" s="1534"/>
      <c r="AC132" s="1532"/>
      <c r="AD132" s="1532"/>
      <c r="AE132" s="1532"/>
      <c r="AF132" s="1532"/>
      <c r="AG132" s="1532"/>
      <c r="AH132" s="1532"/>
      <c r="AI132" s="1534"/>
      <c r="AJ132" s="1532"/>
      <c r="AK132" s="1534"/>
      <c r="AL132" s="1532"/>
      <c r="AM132" s="1534"/>
      <c r="AN132" s="1534"/>
      <c r="AO132" s="1534"/>
      <c r="AP132" s="1534"/>
      <c r="AQ132" s="1534"/>
      <c r="AR132" s="1534"/>
      <c r="AS132" s="1534"/>
      <c r="AT132" s="1534"/>
      <c r="AU132" s="1534"/>
      <c r="AV132" s="1532"/>
      <c r="AW132" s="1534"/>
      <c r="AX132" s="1534"/>
      <c r="AY132" s="1534"/>
      <c r="AZ132" s="1534"/>
      <c r="BA132" s="1534"/>
      <c r="BB132" s="1534"/>
      <c r="BC132" s="1534"/>
      <c r="BD132" s="1534"/>
      <c r="BE132" s="1534"/>
      <c r="BF132" s="1534"/>
      <c r="BG132" s="1534"/>
      <c r="BH132" s="1534"/>
      <c r="BI132" s="1534"/>
      <c r="BJ132" s="1532"/>
      <c r="BK132" s="1534"/>
      <c r="BL132" s="1534"/>
      <c r="BM132" s="1534"/>
      <c r="BN132" s="1534"/>
      <c r="BO132" s="1534"/>
      <c r="BP132" s="1532"/>
      <c r="BQ132" s="1534"/>
      <c r="BR132" s="1534"/>
      <c r="BS132" s="1534"/>
      <c r="BT132" s="1534"/>
      <c r="BU132" s="1534"/>
      <c r="BV132" s="1534"/>
      <c r="BW132" s="1534"/>
      <c r="BX132" s="1535"/>
      <c r="BY132" s="1535"/>
      <c r="BZ132" s="1534"/>
      <c r="CA132" s="1534"/>
      <c r="CB132" s="1534"/>
      <c r="CC132" s="1534"/>
      <c r="CD132" s="1534"/>
      <c r="CE132" s="1534"/>
      <c r="CF132" s="1532"/>
      <c r="CG132" s="1534"/>
      <c r="CH132" s="1532"/>
      <c r="CI132" s="1534"/>
      <c r="CJ132" s="1534"/>
      <c r="CK132" s="1534"/>
      <c r="CL132" s="1532"/>
      <c r="CM132" s="1534"/>
      <c r="CN132" s="1535"/>
      <c r="CO132" s="1535">
        <v>50000</v>
      </c>
      <c r="CP132" s="1534"/>
      <c r="CQ132" s="1534"/>
      <c r="CR132" s="1532"/>
      <c r="CS132" s="1532"/>
      <c r="CT132" s="1534"/>
      <c r="CU132" s="1532"/>
      <c r="CV132" s="1532"/>
      <c r="CW132" s="1534"/>
      <c r="CX132" s="1534"/>
      <c r="CY132" s="1534"/>
      <c r="CZ132" s="1534"/>
      <c r="DA132" s="1534"/>
      <c r="DB132" s="1534"/>
      <c r="DC132" s="1534"/>
      <c r="DD132" s="1534"/>
      <c r="DE132" s="1534"/>
      <c r="DF132" s="1534"/>
      <c r="DG132" s="1534"/>
      <c r="DH132" s="1534"/>
      <c r="DI132" s="1534"/>
      <c r="DJ132" s="1532"/>
      <c r="DK132" s="1534"/>
      <c r="DL132" s="1534"/>
      <c r="DM132" s="1534"/>
      <c r="DN132" s="1534"/>
      <c r="DO132" s="1532"/>
      <c r="DP132" s="1534"/>
      <c r="DQ132" s="1534"/>
      <c r="DR132" s="1537">
        <v>179543</v>
      </c>
      <c r="DS132" s="1534"/>
      <c r="DT132" s="1534"/>
      <c r="DU132" s="1534"/>
      <c r="DV132" s="1534"/>
      <c r="DW132" s="1534"/>
      <c r="DX132" s="1534"/>
      <c r="DY132" s="1534"/>
      <c r="DZ132" s="1534"/>
      <c r="EA132" s="1535"/>
      <c r="EB132" s="1534"/>
      <c r="EC132" s="1534"/>
      <c r="ED132" s="1534"/>
      <c r="EE132" s="1534"/>
      <c r="EF132" s="1532"/>
      <c r="EG132" s="1532"/>
      <c r="EH132" s="1534"/>
      <c r="EI132" s="1532"/>
      <c r="EJ132" s="1534"/>
      <c r="EK132" s="1534"/>
      <c r="EL132" s="1534"/>
      <c r="EM132" s="1532"/>
      <c r="EN132" s="1534"/>
      <c r="EO132" s="1534"/>
      <c r="EP132" s="1534"/>
      <c r="EQ132" s="1534"/>
      <c r="ER132" s="1534"/>
      <c r="ES132" s="1534"/>
      <c r="ET132" s="1534"/>
      <c r="EU132" s="1534"/>
      <c r="EV132" s="1534"/>
      <c r="EW132" s="1534"/>
      <c r="EX132" s="1534"/>
      <c r="EY132" s="1532"/>
      <c r="EZ132" s="1534"/>
      <c r="FA132" s="1534"/>
      <c r="FB132" s="1534"/>
      <c r="FC132" s="1534"/>
      <c r="FD132" s="1534"/>
      <c r="FE132" s="1534"/>
      <c r="FF132" s="1532"/>
      <c r="FG132" s="1534"/>
      <c r="FH132" s="1532"/>
      <c r="FI132" s="1534"/>
      <c r="FJ132" s="1534"/>
      <c r="FK132" s="1534"/>
      <c r="FL132" s="1534"/>
      <c r="FM132" s="1534"/>
      <c r="FN132" s="1534"/>
      <c r="FO132" s="1534"/>
      <c r="FP132" s="1534"/>
      <c r="FQ132" s="1534"/>
      <c r="FR132" s="1534"/>
      <c r="FS132" s="1534"/>
      <c r="FT132" s="1534"/>
      <c r="FU132" s="1534"/>
      <c r="FV132" s="1534"/>
      <c r="FW132" s="1534"/>
      <c r="FX132" s="1534"/>
      <c r="FY132" s="1534"/>
      <c r="FZ132" s="1534"/>
      <c r="GA132" s="1534"/>
      <c r="GB132" s="1534"/>
      <c r="GC132" s="1534"/>
      <c r="GD132" s="1534"/>
      <c r="GE132" s="1534"/>
      <c r="GF132" s="1534"/>
      <c r="GG132" s="1534"/>
      <c r="GH132" s="1534"/>
      <c r="GI132" s="1534"/>
      <c r="GJ132" s="1532"/>
      <c r="GK132" s="1534"/>
      <c r="GL132" s="1534"/>
      <c r="GM132" s="1534"/>
      <c r="GN132" s="1534"/>
      <c r="GO132" s="1534"/>
      <c r="GP132" s="1534"/>
      <c r="GQ132" s="1534"/>
      <c r="GR132" s="1534"/>
      <c r="GS132" s="1534"/>
      <c r="GT132" s="1534"/>
      <c r="GU132" s="1534"/>
      <c r="GV132" s="1534"/>
      <c r="GW132" s="1534"/>
      <c r="GX132" s="1532"/>
      <c r="GY132" s="1534"/>
      <c r="GZ132" s="1534"/>
      <c r="HA132" s="1534"/>
      <c r="HB132" s="1532"/>
      <c r="HC132" s="1532"/>
      <c r="HD132" s="1534"/>
      <c r="HE132" s="1534"/>
      <c r="HF132" s="1534"/>
      <c r="HG132" s="1534"/>
      <c r="HH132" s="1534"/>
      <c r="HI132" s="1534"/>
      <c r="HJ132" s="1534"/>
      <c r="HK132" s="1534"/>
      <c r="HL132" s="1534"/>
      <c r="HM132" s="1534"/>
      <c r="HN132" s="1534"/>
      <c r="HO132" s="1532"/>
      <c r="HP132" s="1534"/>
      <c r="HQ132" s="1534"/>
      <c r="HR132" s="1534"/>
      <c r="HS132" s="1534"/>
      <c r="HT132" s="1534"/>
      <c r="HU132" s="1534"/>
      <c r="HV132" s="1534"/>
      <c r="HW132" s="1532"/>
      <c r="HX132" s="1534"/>
      <c r="HY132" s="1534"/>
      <c r="HZ132" s="1534"/>
      <c r="IA132" s="1534"/>
      <c r="IB132" s="1534"/>
      <c r="IC132" s="1534"/>
      <c r="ID132" s="1534"/>
      <c r="IE132" s="1534"/>
      <c r="IF132" s="1534"/>
      <c r="IG132" s="1534"/>
      <c r="IH132" s="1534"/>
      <c r="II132" s="1534"/>
      <c r="IJ132" s="1534"/>
      <c r="IK132" s="1534"/>
      <c r="IL132" s="1534"/>
      <c r="IM132" s="1534"/>
      <c r="IN132" s="1534"/>
      <c r="IO132" s="1534"/>
      <c r="IP132" s="1534"/>
      <c r="IQ132" s="1534"/>
      <c r="IR132" s="1534"/>
      <c r="IS132" s="1534"/>
      <c r="IT132" s="1534"/>
      <c r="IU132" s="1537">
        <v>1011023</v>
      </c>
      <c r="IV132" s="1534"/>
      <c r="IW132" s="1537">
        <v>39327.129999999997</v>
      </c>
      <c r="IX132" s="1534"/>
      <c r="IY132" s="1532"/>
      <c r="IZ132" s="1534"/>
      <c r="JA132" s="1532"/>
      <c r="JB132" s="1534"/>
      <c r="JC132" s="1534"/>
      <c r="JD132" s="1534"/>
      <c r="JE132" s="1534"/>
      <c r="JF132" s="1534"/>
      <c r="JG132" s="1534"/>
      <c r="JH132" s="1534"/>
      <c r="JI132" s="1534"/>
      <c r="JJ132" s="1534"/>
      <c r="JK132" s="1534"/>
      <c r="JL132" s="1534"/>
      <c r="JM132" s="1534"/>
      <c r="JN132" s="1534"/>
      <c r="JO132" s="1534"/>
      <c r="JP132" s="1534"/>
      <c r="JQ132" s="1536"/>
      <c r="JR132" s="351"/>
      <c r="JS132" s="1400"/>
      <c r="JT132" s="1400" t="s">
        <v>2242</v>
      </c>
    </row>
    <row r="133" spans="1:280" x14ac:dyDescent="0.25">
      <c r="A133" s="1367">
        <v>86</v>
      </c>
      <c r="B133" s="1411" t="str">
        <f t="shared" si="60"/>
        <v/>
      </c>
      <c r="C133" s="1435" t="s">
        <v>3264</v>
      </c>
      <c r="D133" s="1436" t="s">
        <v>3013</v>
      </c>
      <c r="E133" s="1532"/>
      <c r="F133" s="1532"/>
      <c r="G133" s="1532"/>
      <c r="H133" s="1532"/>
      <c r="I133" s="1532"/>
      <c r="J133" s="1532"/>
      <c r="K133" s="1532"/>
      <c r="L133" s="1532"/>
      <c r="M133" s="1532"/>
      <c r="N133" s="1532"/>
      <c r="O133" s="1533"/>
      <c r="P133" s="1533"/>
      <c r="Q133" s="1532"/>
      <c r="R133" s="1533"/>
      <c r="S133" s="1532"/>
      <c r="T133" s="1534"/>
      <c r="U133" s="1534"/>
      <c r="V133" s="1534"/>
      <c r="W133" s="1534"/>
      <c r="X133" s="1534"/>
      <c r="Y133" s="1534"/>
      <c r="Z133" s="1534"/>
      <c r="AA133" s="1534"/>
      <c r="AB133" s="1534"/>
      <c r="AC133" s="1532"/>
      <c r="AD133" s="1532"/>
      <c r="AE133" s="1532"/>
      <c r="AF133" s="1532"/>
      <c r="AG133" s="1532"/>
      <c r="AH133" s="1532"/>
      <c r="AI133" s="1534"/>
      <c r="AJ133" s="1532"/>
      <c r="AK133" s="1534"/>
      <c r="AL133" s="1532"/>
      <c r="AM133" s="1534"/>
      <c r="AN133" s="1534"/>
      <c r="AO133" s="1534"/>
      <c r="AP133" s="1534"/>
      <c r="AQ133" s="1534"/>
      <c r="AR133" s="1534"/>
      <c r="AS133" s="1534"/>
      <c r="AT133" s="1534"/>
      <c r="AU133" s="1534"/>
      <c r="AV133" s="1532"/>
      <c r="AW133" s="1534"/>
      <c r="AX133" s="1534"/>
      <c r="AY133" s="1534"/>
      <c r="AZ133" s="1534"/>
      <c r="BA133" s="1534"/>
      <c r="BB133" s="1534"/>
      <c r="BC133" s="1534"/>
      <c r="BD133" s="1534"/>
      <c r="BE133" s="1534"/>
      <c r="BF133" s="1534"/>
      <c r="BG133" s="1534"/>
      <c r="BH133" s="1534"/>
      <c r="BI133" s="1534"/>
      <c r="BJ133" s="1532"/>
      <c r="BK133" s="1534"/>
      <c r="BL133" s="1534"/>
      <c r="BM133" s="1534"/>
      <c r="BN133" s="1534"/>
      <c r="BO133" s="1534"/>
      <c r="BP133" s="1532"/>
      <c r="BQ133" s="1534"/>
      <c r="BR133" s="1534"/>
      <c r="BS133" s="1534"/>
      <c r="BT133" s="1534"/>
      <c r="BU133" s="1534"/>
      <c r="BV133" s="1534"/>
      <c r="BW133" s="1534"/>
      <c r="BX133" s="1535"/>
      <c r="BY133" s="1535"/>
      <c r="BZ133" s="1534"/>
      <c r="CA133" s="1534"/>
      <c r="CB133" s="1534"/>
      <c r="CC133" s="1534"/>
      <c r="CD133" s="1534"/>
      <c r="CE133" s="1534"/>
      <c r="CF133" s="1532"/>
      <c r="CG133" s="1534"/>
      <c r="CH133" s="1532"/>
      <c r="CI133" s="1534"/>
      <c r="CJ133" s="1534"/>
      <c r="CK133" s="1534"/>
      <c r="CL133" s="1532"/>
      <c r="CM133" s="1534"/>
      <c r="CN133" s="1534"/>
      <c r="CO133" s="1534"/>
      <c r="CP133" s="1534"/>
      <c r="CQ133" s="1534"/>
      <c r="CR133" s="1532"/>
      <c r="CS133" s="1532"/>
      <c r="CT133" s="1534"/>
      <c r="CU133" s="1532"/>
      <c r="CV133" s="1532"/>
      <c r="CW133" s="1534"/>
      <c r="CX133" s="1534"/>
      <c r="CY133" s="1534"/>
      <c r="CZ133" s="1534"/>
      <c r="DA133" s="1534"/>
      <c r="DB133" s="1534"/>
      <c r="DC133" s="1534"/>
      <c r="DD133" s="1534"/>
      <c r="DE133" s="1534"/>
      <c r="DF133" s="1534"/>
      <c r="DG133" s="1534"/>
      <c r="DH133" s="1534"/>
      <c r="DI133" s="1534"/>
      <c r="DJ133" s="1532"/>
      <c r="DK133" s="1534"/>
      <c r="DL133" s="1534"/>
      <c r="DM133" s="1534"/>
      <c r="DN133" s="1534"/>
      <c r="DO133" s="1532"/>
      <c r="DP133" s="1534"/>
      <c r="DQ133" s="1534"/>
      <c r="DR133" s="1534"/>
      <c r="DS133" s="1534"/>
      <c r="DT133" s="1534"/>
      <c r="DU133" s="1534"/>
      <c r="DV133" s="1534"/>
      <c r="DW133" s="1534"/>
      <c r="DX133" s="1534"/>
      <c r="DY133" s="1534"/>
      <c r="DZ133" s="1534"/>
      <c r="EA133" s="1535"/>
      <c r="EB133" s="1534"/>
      <c r="EC133" s="1534"/>
      <c r="ED133" s="1534"/>
      <c r="EE133" s="1534"/>
      <c r="EF133" s="1532"/>
      <c r="EG133" s="1532"/>
      <c r="EH133" s="1534"/>
      <c r="EI133" s="1532">
        <v>12065</v>
      </c>
      <c r="EJ133" s="1534"/>
      <c r="EK133" s="1534"/>
      <c r="EL133" s="1534"/>
      <c r="EM133" s="1532"/>
      <c r="EN133" s="1534"/>
      <c r="EO133" s="1534"/>
      <c r="EP133" s="1534"/>
      <c r="EQ133" s="1534"/>
      <c r="ER133" s="1534"/>
      <c r="ES133" s="1534"/>
      <c r="ET133" s="1534"/>
      <c r="EU133" s="1534"/>
      <c r="EV133" s="1534"/>
      <c r="EW133" s="1534"/>
      <c r="EX133" s="1534"/>
      <c r="EY133" s="1532"/>
      <c r="EZ133" s="1534"/>
      <c r="FA133" s="1534"/>
      <c r="FB133" s="1534"/>
      <c r="FC133" s="1534"/>
      <c r="FD133" s="1534"/>
      <c r="FE133" s="1534"/>
      <c r="FF133" s="1532"/>
      <c r="FG133" s="1534"/>
      <c r="FH133" s="1532"/>
      <c r="FI133" s="1534"/>
      <c r="FJ133" s="1534"/>
      <c r="FK133" s="1534"/>
      <c r="FL133" s="1534"/>
      <c r="FM133" s="1534"/>
      <c r="FN133" s="1534"/>
      <c r="FO133" s="1534"/>
      <c r="FP133" s="1534"/>
      <c r="FQ133" s="1534"/>
      <c r="FR133" s="1534"/>
      <c r="FS133" s="1534"/>
      <c r="FT133" s="1534"/>
      <c r="FU133" s="1534"/>
      <c r="FV133" s="1534"/>
      <c r="FW133" s="1534"/>
      <c r="FX133" s="1534"/>
      <c r="FY133" s="1534"/>
      <c r="FZ133" s="1534"/>
      <c r="GA133" s="1534"/>
      <c r="GB133" s="1534"/>
      <c r="GC133" s="1534"/>
      <c r="GD133" s="1534"/>
      <c r="GE133" s="1534"/>
      <c r="GF133" s="1534"/>
      <c r="GG133" s="1534"/>
      <c r="GH133" s="1534"/>
      <c r="GI133" s="1534"/>
      <c r="GJ133" s="1532">
        <v>12065</v>
      </c>
      <c r="GK133" s="1534"/>
      <c r="GL133" s="1534"/>
      <c r="GM133" s="1534"/>
      <c r="GN133" s="1534"/>
      <c r="GO133" s="1534"/>
      <c r="GP133" s="1534"/>
      <c r="GQ133" s="1534"/>
      <c r="GR133" s="1534"/>
      <c r="GS133" s="1534"/>
      <c r="GT133" s="1534"/>
      <c r="GU133" s="1534"/>
      <c r="GV133" s="1534"/>
      <c r="GW133" s="1534"/>
      <c r="GX133" s="1532"/>
      <c r="GY133" s="1534"/>
      <c r="GZ133" s="1534"/>
      <c r="HA133" s="1534"/>
      <c r="HB133" s="1532"/>
      <c r="HC133" s="1532"/>
      <c r="HD133" s="1534"/>
      <c r="HE133" s="1534"/>
      <c r="HF133" s="1534"/>
      <c r="HG133" s="1534"/>
      <c r="HH133" s="1534"/>
      <c r="HI133" s="1534"/>
      <c r="HJ133" s="1534"/>
      <c r="HK133" s="1534"/>
      <c r="HL133" s="1534"/>
      <c r="HM133" s="1534"/>
      <c r="HN133" s="1534"/>
      <c r="HO133" s="1532"/>
      <c r="HP133" s="1534"/>
      <c r="HQ133" s="1534"/>
      <c r="HR133" s="1534"/>
      <c r="HS133" s="1534"/>
      <c r="HT133" s="1534"/>
      <c r="HU133" s="1534"/>
      <c r="HV133" s="1534"/>
      <c r="HW133" s="1532"/>
      <c r="HX133" s="1534"/>
      <c r="HY133" s="1534"/>
      <c r="HZ133" s="1534"/>
      <c r="IA133" s="1534"/>
      <c r="IB133" s="1534"/>
      <c r="IC133" s="1534"/>
      <c r="ID133" s="1534"/>
      <c r="IE133" s="1534"/>
      <c r="IF133" s="1534"/>
      <c r="IG133" s="1534"/>
      <c r="IH133" s="1534"/>
      <c r="II133" s="1534"/>
      <c r="IJ133" s="1534"/>
      <c r="IK133" s="1534"/>
      <c r="IL133" s="1534"/>
      <c r="IM133" s="1534"/>
      <c r="IN133" s="1534"/>
      <c r="IO133" s="1534"/>
      <c r="IP133" s="1534"/>
      <c r="IQ133" s="1534"/>
      <c r="IR133" s="1534"/>
      <c r="IS133" s="1534"/>
      <c r="IT133" s="1534"/>
      <c r="IU133" s="1534"/>
      <c r="IV133" s="1534"/>
      <c r="IW133" s="1534"/>
      <c r="IX133" s="1534"/>
      <c r="IY133" s="1532"/>
      <c r="IZ133" s="1534"/>
      <c r="JA133" s="1532"/>
      <c r="JB133" s="1534"/>
      <c r="JC133" s="1534"/>
      <c r="JD133" s="1534"/>
      <c r="JE133" s="1534"/>
      <c r="JF133" s="1534"/>
      <c r="JG133" s="1534"/>
      <c r="JH133" s="1534"/>
      <c r="JI133" s="1534"/>
      <c r="JJ133" s="1534"/>
      <c r="JK133" s="1534"/>
      <c r="JL133" s="1534"/>
      <c r="JM133" s="1534"/>
      <c r="JN133" s="1534"/>
      <c r="JO133" s="1534"/>
      <c r="JP133" s="1534"/>
      <c r="JQ133" s="1536"/>
      <c r="JR133" s="351"/>
      <c r="JS133" s="1400"/>
      <c r="JT133" s="1400" t="s">
        <v>2242</v>
      </c>
    </row>
    <row r="134" spans="1:280" x14ac:dyDescent="0.25">
      <c r="A134" s="1367">
        <v>87</v>
      </c>
      <c r="B134" s="1411" t="str">
        <f t="shared" si="60"/>
        <v/>
      </c>
      <c r="C134" s="1435" t="s">
        <v>3265</v>
      </c>
      <c r="D134" s="1436" t="s">
        <v>3266</v>
      </c>
      <c r="E134" s="1532"/>
      <c r="F134" s="1532"/>
      <c r="G134" s="1532"/>
      <c r="H134" s="1532"/>
      <c r="I134" s="1532"/>
      <c r="J134" s="1532"/>
      <c r="K134" s="1532"/>
      <c r="L134" s="1532"/>
      <c r="M134" s="1532"/>
      <c r="N134" s="1532"/>
      <c r="O134" s="1533"/>
      <c r="P134" s="1533"/>
      <c r="Q134" s="1532"/>
      <c r="R134" s="1533"/>
      <c r="S134" s="1532"/>
      <c r="T134" s="1534"/>
      <c r="U134" s="1534"/>
      <c r="V134" s="1534"/>
      <c r="W134" s="1534"/>
      <c r="X134" s="1534"/>
      <c r="Y134" s="1534"/>
      <c r="Z134" s="1534"/>
      <c r="AA134" s="1534"/>
      <c r="AB134" s="1534"/>
      <c r="AC134" s="1532"/>
      <c r="AD134" s="1532"/>
      <c r="AE134" s="1532"/>
      <c r="AF134" s="1532"/>
      <c r="AG134" s="1532"/>
      <c r="AH134" s="1532"/>
      <c r="AI134" s="1534"/>
      <c r="AJ134" s="1532"/>
      <c r="AK134" s="1534"/>
      <c r="AL134" s="1532"/>
      <c r="AM134" s="1534"/>
      <c r="AN134" s="1534"/>
      <c r="AO134" s="1534"/>
      <c r="AP134" s="1534"/>
      <c r="AQ134" s="1534"/>
      <c r="AR134" s="1534"/>
      <c r="AS134" s="1534"/>
      <c r="AT134" s="1534"/>
      <c r="AU134" s="1534"/>
      <c r="AV134" s="1532"/>
      <c r="AW134" s="1534"/>
      <c r="AX134" s="1534"/>
      <c r="AY134" s="1534"/>
      <c r="AZ134" s="1534"/>
      <c r="BA134" s="1534"/>
      <c r="BB134" s="1534"/>
      <c r="BC134" s="1534"/>
      <c r="BD134" s="1534"/>
      <c r="BE134" s="1534"/>
      <c r="BF134" s="1534"/>
      <c r="BG134" s="1534"/>
      <c r="BH134" s="1534"/>
      <c r="BI134" s="1534"/>
      <c r="BJ134" s="1532"/>
      <c r="BK134" s="1534"/>
      <c r="BL134" s="1534"/>
      <c r="BM134" s="1534"/>
      <c r="BN134" s="1534"/>
      <c r="BO134" s="1534"/>
      <c r="BP134" s="1532"/>
      <c r="BQ134" s="1534"/>
      <c r="BR134" s="1534"/>
      <c r="BS134" s="1534"/>
      <c r="BT134" s="1534"/>
      <c r="BU134" s="1534"/>
      <c r="BV134" s="1534"/>
      <c r="BW134" s="1534"/>
      <c r="BX134" s="1535"/>
      <c r="BY134" s="1535"/>
      <c r="BZ134" s="1534"/>
      <c r="CA134" s="1534"/>
      <c r="CB134" s="1534"/>
      <c r="CC134" s="1534"/>
      <c r="CD134" s="1534"/>
      <c r="CE134" s="1534"/>
      <c r="CF134" s="1532"/>
      <c r="CG134" s="1534"/>
      <c r="CH134" s="1532"/>
      <c r="CI134" s="1534"/>
      <c r="CJ134" s="1534"/>
      <c r="CK134" s="1534"/>
      <c r="CL134" s="1532"/>
      <c r="CM134" s="1534"/>
      <c r="CN134" s="1534"/>
      <c r="CO134" s="1534"/>
      <c r="CP134" s="1534"/>
      <c r="CQ134" s="1534"/>
      <c r="CR134" s="1532"/>
      <c r="CS134" s="1532"/>
      <c r="CT134" s="1534"/>
      <c r="CU134" s="1532"/>
      <c r="CV134" s="1532"/>
      <c r="CW134" s="1534"/>
      <c r="CX134" s="1534"/>
      <c r="CY134" s="1534"/>
      <c r="CZ134" s="1534"/>
      <c r="DA134" s="1534"/>
      <c r="DB134" s="1534"/>
      <c r="DC134" s="1534"/>
      <c r="DD134" s="1534"/>
      <c r="DE134" s="1534"/>
      <c r="DF134" s="1534"/>
      <c r="DG134" s="1534"/>
      <c r="DH134" s="1534"/>
      <c r="DI134" s="1534"/>
      <c r="DJ134" s="1532"/>
      <c r="DK134" s="1534"/>
      <c r="DL134" s="1534"/>
      <c r="DM134" s="1534"/>
      <c r="DN134" s="1534"/>
      <c r="DO134" s="1532"/>
      <c r="DP134" s="1534"/>
      <c r="DQ134" s="1534"/>
      <c r="DR134" s="1534"/>
      <c r="DS134" s="1534"/>
      <c r="DT134" s="1534"/>
      <c r="DU134" s="1534"/>
      <c r="DV134" s="1534"/>
      <c r="DW134" s="1534"/>
      <c r="DX134" s="1534"/>
      <c r="DY134" s="1534"/>
      <c r="DZ134" s="1534"/>
      <c r="EA134" s="1535"/>
      <c r="EB134" s="1534"/>
      <c r="EC134" s="1534"/>
      <c r="ED134" s="1534"/>
      <c r="EE134" s="1534"/>
      <c r="EF134" s="1532"/>
      <c r="EG134" s="1532"/>
      <c r="EH134" s="1534"/>
      <c r="EI134" s="1532"/>
      <c r="EJ134" s="1534"/>
      <c r="EK134" s="1534"/>
      <c r="EL134" s="1534"/>
      <c r="EM134" s="1532"/>
      <c r="EN134" s="1534"/>
      <c r="EO134" s="1534"/>
      <c r="EP134" s="1534"/>
      <c r="EQ134" s="1534"/>
      <c r="ER134" s="1534"/>
      <c r="ES134" s="1534"/>
      <c r="ET134" s="1534"/>
      <c r="EU134" s="1534"/>
      <c r="EV134" s="1534"/>
      <c r="EW134" s="1534"/>
      <c r="EX134" s="1534"/>
      <c r="EY134" s="1532"/>
      <c r="EZ134" s="1534"/>
      <c r="FA134" s="1534"/>
      <c r="FB134" s="1534"/>
      <c r="FC134" s="1534"/>
      <c r="FD134" s="1534"/>
      <c r="FE134" s="1534"/>
      <c r="FF134" s="1532"/>
      <c r="FG134" s="1534"/>
      <c r="FH134" s="1532"/>
      <c r="FI134" s="1534"/>
      <c r="FJ134" s="1534"/>
      <c r="FK134" s="1534"/>
      <c r="FL134" s="1534"/>
      <c r="FM134" s="1534"/>
      <c r="FN134" s="1534"/>
      <c r="FO134" s="1534"/>
      <c r="FP134" s="1534"/>
      <c r="FQ134" s="1534"/>
      <c r="FR134" s="1534"/>
      <c r="FS134" s="1534"/>
      <c r="FT134" s="1534"/>
      <c r="FU134" s="1534"/>
      <c r="FV134" s="1534"/>
      <c r="FW134" s="1534"/>
      <c r="FX134" s="1534"/>
      <c r="FY134" s="1534"/>
      <c r="FZ134" s="1534"/>
      <c r="GA134" s="1534"/>
      <c r="GB134" s="1534"/>
      <c r="GC134" s="1534"/>
      <c r="GD134" s="1534"/>
      <c r="GE134" s="1534"/>
      <c r="GF134" s="1534"/>
      <c r="GG134" s="1534"/>
      <c r="GH134" s="1534"/>
      <c r="GI134" s="1534"/>
      <c r="GJ134" s="1532"/>
      <c r="GK134" s="1534"/>
      <c r="GL134" s="1534"/>
      <c r="GM134" s="1534"/>
      <c r="GN134" s="1534"/>
      <c r="GO134" s="1534"/>
      <c r="GP134" s="1534"/>
      <c r="GQ134" s="1534"/>
      <c r="GR134" s="1534"/>
      <c r="GS134" s="1534"/>
      <c r="GT134" s="1534"/>
      <c r="GU134" s="1534"/>
      <c r="GV134" s="1534"/>
      <c r="GW134" s="1534"/>
      <c r="GX134" s="1532"/>
      <c r="GY134" s="1534"/>
      <c r="GZ134" s="1534"/>
      <c r="HA134" s="1534"/>
      <c r="HB134" s="1532"/>
      <c r="HC134" s="1532"/>
      <c r="HD134" s="1534"/>
      <c r="HE134" s="1534"/>
      <c r="HF134" s="1534"/>
      <c r="HG134" s="1534"/>
      <c r="HH134" s="1534"/>
      <c r="HI134" s="1534"/>
      <c r="HJ134" s="1534"/>
      <c r="HK134" s="1534"/>
      <c r="HL134" s="1534"/>
      <c r="HM134" s="1534"/>
      <c r="HN134" s="1534"/>
      <c r="HO134" s="1532"/>
      <c r="HP134" s="1534"/>
      <c r="HQ134" s="1534"/>
      <c r="HR134" s="1534"/>
      <c r="HS134" s="1534"/>
      <c r="HT134" s="1534"/>
      <c r="HU134" s="1534"/>
      <c r="HV134" s="1534"/>
      <c r="HW134" s="1532"/>
      <c r="HX134" s="1534"/>
      <c r="HY134" s="1534"/>
      <c r="HZ134" s="1534"/>
      <c r="IA134" s="1534"/>
      <c r="IB134" s="1534"/>
      <c r="IC134" s="1534"/>
      <c r="ID134" s="1534"/>
      <c r="IE134" s="1534"/>
      <c r="IF134" s="1534"/>
      <c r="IG134" s="1534"/>
      <c r="IH134" s="1534"/>
      <c r="II134" s="1534"/>
      <c r="IJ134" s="1534"/>
      <c r="IK134" s="1534"/>
      <c r="IL134" s="1534"/>
      <c r="IM134" s="1534"/>
      <c r="IN134" s="1534"/>
      <c r="IO134" s="1534"/>
      <c r="IP134" s="1534"/>
      <c r="IQ134" s="1534"/>
      <c r="IR134" s="1534"/>
      <c r="IS134" s="1534"/>
      <c r="IT134" s="1534"/>
      <c r="IU134" s="1534"/>
      <c r="IV134" s="1534"/>
      <c r="IW134" s="1534"/>
      <c r="IX134" s="1534"/>
      <c r="IY134" s="1532"/>
      <c r="IZ134" s="1534"/>
      <c r="JA134" s="1532"/>
      <c r="JB134" s="1534"/>
      <c r="JC134" s="1534"/>
      <c r="JD134" s="1534"/>
      <c r="JE134" s="1534"/>
      <c r="JF134" s="1534"/>
      <c r="JG134" s="1534"/>
      <c r="JH134" s="1534"/>
      <c r="JI134" s="1534"/>
      <c r="JJ134" s="1534"/>
      <c r="JK134" s="1534"/>
      <c r="JL134" s="1534"/>
      <c r="JM134" s="1534"/>
      <c r="JN134" s="1534"/>
      <c r="JO134" s="1534"/>
      <c r="JP134" s="1534"/>
      <c r="JQ134" s="1536"/>
      <c r="JR134" s="351"/>
      <c r="JS134" s="1400"/>
      <c r="JT134" s="1400" t="s">
        <v>2242</v>
      </c>
    </row>
    <row r="135" spans="1:280" x14ac:dyDescent="0.25">
      <c r="A135" s="1367">
        <v>88</v>
      </c>
      <c r="B135" s="1411" t="str">
        <f t="shared" si="60"/>
        <v/>
      </c>
      <c r="C135" s="1435" t="s">
        <v>3267</v>
      </c>
      <c r="D135" s="1436" t="s">
        <v>3268</v>
      </c>
      <c r="E135" s="1532"/>
      <c r="F135" s="1532"/>
      <c r="G135" s="1532"/>
      <c r="H135" s="1532"/>
      <c r="I135" s="1532"/>
      <c r="J135" s="1532"/>
      <c r="K135" s="1532"/>
      <c r="L135" s="1532"/>
      <c r="M135" s="1532"/>
      <c r="N135" s="1532"/>
      <c r="O135" s="1533"/>
      <c r="P135" s="1533"/>
      <c r="Q135" s="1532"/>
      <c r="R135" s="1533"/>
      <c r="S135" s="1532"/>
      <c r="T135" s="1534"/>
      <c r="U135" s="1534"/>
      <c r="V135" s="1534"/>
      <c r="W135" s="1534"/>
      <c r="X135" s="1534"/>
      <c r="Y135" s="1534"/>
      <c r="Z135" s="1534"/>
      <c r="AA135" s="1534"/>
      <c r="AB135" s="1534"/>
      <c r="AC135" s="1532"/>
      <c r="AD135" s="1532"/>
      <c r="AE135" s="1532"/>
      <c r="AF135" s="1532"/>
      <c r="AG135" s="1532"/>
      <c r="AH135" s="1532"/>
      <c r="AI135" s="1534"/>
      <c r="AJ135" s="1532"/>
      <c r="AK135" s="1534"/>
      <c r="AL135" s="1532"/>
      <c r="AM135" s="1534"/>
      <c r="AN135" s="1534"/>
      <c r="AO135" s="1534"/>
      <c r="AP135" s="1534"/>
      <c r="AQ135" s="1534"/>
      <c r="AR135" s="1534"/>
      <c r="AS135" s="1534"/>
      <c r="AT135" s="1534"/>
      <c r="AU135" s="1534"/>
      <c r="AV135" s="1532"/>
      <c r="AW135" s="1534"/>
      <c r="AX135" s="1534"/>
      <c r="AY135" s="1534"/>
      <c r="AZ135" s="1534"/>
      <c r="BA135" s="1534"/>
      <c r="BB135" s="1534"/>
      <c r="BC135" s="1534"/>
      <c r="BD135" s="1534"/>
      <c r="BE135" s="1534"/>
      <c r="BF135" s="1534"/>
      <c r="BG135" s="1534"/>
      <c r="BH135" s="1534"/>
      <c r="BI135" s="1534"/>
      <c r="BJ135" s="1541"/>
      <c r="BK135" s="1534"/>
      <c r="BL135" s="1534"/>
      <c r="BM135" s="1534"/>
      <c r="BN135" s="1534"/>
      <c r="BO135" s="1534"/>
      <c r="BP135" s="1532"/>
      <c r="BQ135" s="1534"/>
      <c r="BR135" s="1534"/>
      <c r="BS135" s="1534"/>
      <c r="BT135" s="1534"/>
      <c r="BU135" s="1534"/>
      <c r="BV135" s="1534"/>
      <c r="BW135" s="1534"/>
      <c r="BX135" s="1535"/>
      <c r="BY135" s="1535"/>
      <c r="BZ135" s="1534"/>
      <c r="CA135" s="1534"/>
      <c r="CB135" s="1534"/>
      <c r="CC135" s="1534"/>
      <c r="CD135" s="1534"/>
      <c r="CE135" s="1534"/>
      <c r="CF135" s="1532"/>
      <c r="CG135" s="1534"/>
      <c r="CH135" s="1532"/>
      <c r="CI135" s="1534"/>
      <c r="CJ135" s="1534"/>
      <c r="CK135" s="1534"/>
      <c r="CL135" s="1532">
        <v>23400</v>
      </c>
      <c r="CM135" s="1534"/>
      <c r="CN135" s="1535">
        <v>26321</v>
      </c>
      <c r="CO135" s="1534"/>
      <c r="CP135" s="1534"/>
      <c r="CQ135" s="1534"/>
      <c r="CR135" s="1532">
        <v>23400</v>
      </c>
      <c r="CS135" s="1532">
        <v>23400</v>
      </c>
      <c r="CT135" s="1534"/>
      <c r="CU135" s="1532"/>
      <c r="CV135" s="1532"/>
      <c r="CW135" s="1534"/>
      <c r="CX135" s="1534"/>
      <c r="CY135" s="1534"/>
      <c r="CZ135" s="1534"/>
      <c r="DA135" s="1534"/>
      <c r="DB135" s="1534"/>
      <c r="DC135" s="1534"/>
      <c r="DD135" s="1534"/>
      <c r="DE135" s="1534"/>
      <c r="DF135" s="1534"/>
      <c r="DG135" s="1534"/>
      <c r="DH135" s="1534"/>
      <c r="DI135" s="1534"/>
      <c r="DJ135" s="1532"/>
      <c r="DK135" s="1534"/>
      <c r="DL135" s="1534"/>
      <c r="DM135" s="1534"/>
      <c r="DN135" s="1534"/>
      <c r="DO135" s="1532"/>
      <c r="DP135" s="1534"/>
      <c r="DQ135" s="1534"/>
      <c r="DR135" s="1537">
        <v>183112</v>
      </c>
      <c r="DS135" s="1534"/>
      <c r="DT135" s="1534"/>
      <c r="DU135" s="1534"/>
      <c r="DV135" s="1534"/>
      <c r="DW135" s="1534"/>
      <c r="DX135" s="1534"/>
      <c r="DY135" s="1534"/>
      <c r="DZ135" s="1534"/>
      <c r="EA135" s="1535"/>
      <c r="EB135" s="1534"/>
      <c r="EC135" s="1534"/>
      <c r="ED135" s="1534"/>
      <c r="EE135" s="1534"/>
      <c r="EF135" s="1532"/>
      <c r="EG135" s="1532"/>
      <c r="EH135" s="1534"/>
      <c r="EI135" s="1532"/>
      <c r="EJ135" s="1534"/>
      <c r="EK135" s="1534"/>
      <c r="EL135" s="1534"/>
      <c r="EM135" s="1532">
        <v>23400</v>
      </c>
      <c r="EN135" s="1534"/>
      <c r="EO135" s="1534"/>
      <c r="EP135" s="1534"/>
      <c r="EQ135" s="1534"/>
      <c r="ER135" s="1534"/>
      <c r="ES135" s="1534"/>
      <c r="ET135" s="1537">
        <v>6215</v>
      </c>
      <c r="EU135" s="1534"/>
      <c r="EV135" s="1534"/>
      <c r="EW135" s="1534"/>
      <c r="EX135" s="1534"/>
      <c r="EY135" s="1532">
        <v>23400</v>
      </c>
      <c r="EZ135" s="1534"/>
      <c r="FA135" s="1534"/>
      <c r="FB135" s="1534"/>
      <c r="FC135" s="1534"/>
      <c r="FD135" s="1534"/>
      <c r="FE135" s="1534"/>
      <c r="FF135" s="1532"/>
      <c r="FG135" s="1534"/>
      <c r="FH135" s="1532"/>
      <c r="FI135" s="1534"/>
      <c r="FJ135" s="1534"/>
      <c r="FK135" s="1534"/>
      <c r="FL135" s="1534"/>
      <c r="FM135" s="1534"/>
      <c r="FN135" s="1534"/>
      <c r="FO135" s="1534"/>
      <c r="FP135" s="1534"/>
      <c r="FQ135" s="1534"/>
      <c r="FR135" s="1534"/>
      <c r="FS135" s="1534"/>
      <c r="FT135" s="1534"/>
      <c r="FU135" s="1534"/>
      <c r="FV135" s="1534"/>
      <c r="FW135" s="1534"/>
      <c r="FX135" s="1534"/>
      <c r="FY135" s="1534"/>
      <c r="FZ135" s="1534"/>
      <c r="GA135" s="1534"/>
      <c r="GB135" s="1534"/>
      <c r="GC135" s="1534"/>
      <c r="GD135" s="1534"/>
      <c r="GE135" s="1534"/>
      <c r="GF135" s="1534"/>
      <c r="GG135" s="1534"/>
      <c r="GH135" s="1534"/>
      <c r="GI135" s="1534"/>
      <c r="GJ135" s="1532"/>
      <c r="GK135" s="1534"/>
      <c r="GL135" s="1534"/>
      <c r="GM135" s="1534"/>
      <c r="GN135" s="1534"/>
      <c r="GO135" s="1534"/>
      <c r="GP135" s="1534"/>
      <c r="GQ135" s="1534"/>
      <c r="GR135" s="1534"/>
      <c r="GS135" s="1534"/>
      <c r="GT135" s="1534"/>
      <c r="GU135" s="1534"/>
      <c r="GV135" s="1534"/>
      <c r="GW135" s="1534"/>
      <c r="GX135" s="1532"/>
      <c r="GY135" s="1534"/>
      <c r="GZ135" s="1534"/>
      <c r="HA135" s="1534"/>
      <c r="HB135" s="1532"/>
      <c r="HC135" s="1532"/>
      <c r="HD135" s="1534"/>
      <c r="HE135" s="1534"/>
      <c r="HF135" s="1534"/>
      <c r="HG135" s="1534"/>
      <c r="HH135" s="1534"/>
      <c r="HI135" s="1534"/>
      <c r="HJ135" s="1534"/>
      <c r="HK135" s="1534"/>
      <c r="HL135" s="1534"/>
      <c r="HM135" s="1534"/>
      <c r="HN135" s="1534"/>
      <c r="HO135" s="1532"/>
      <c r="HP135" s="1534"/>
      <c r="HQ135" s="1534"/>
      <c r="HR135" s="1534"/>
      <c r="HS135" s="1534"/>
      <c r="HT135" s="1534"/>
      <c r="HU135" s="1534"/>
      <c r="HV135" s="1534"/>
      <c r="HW135" s="1532"/>
      <c r="HX135" s="1534"/>
      <c r="HY135" s="1534"/>
      <c r="HZ135" s="1534"/>
      <c r="IA135" s="1534"/>
      <c r="IB135" s="1534"/>
      <c r="IC135" s="1534"/>
      <c r="ID135" s="1534"/>
      <c r="IE135" s="1534"/>
      <c r="IF135" s="1534"/>
      <c r="IG135" s="1534"/>
      <c r="IH135" s="1534"/>
      <c r="II135" s="1534"/>
      <c r="IJ135" s="1534"/>
      <c r="IK135" s="1534"/>
      <c r="IL135" s="1534"/>
      <c r="IM135" s="1534"/>
      <c r="IN135" s="1534"/>
      <c r="IO135" s="1534"/>
      <c r="IP135" s="1534"/>
      <c r="IQ135" s="1534"/>
      <c r="IR135" s="1534"/>
      <c r="IS135" s="1534"/>
      <c r="IT135" s="1534"/>
      <c r="IU135" s="1534"/>
      <c r="IV135" s="1534"/>
      <c r="IW135" s="1534"/>
      <c r="IX135" s="1537">
        <v>1698001</v>
      </c>
      <c r="IY135" s="1532"/>
      <c r="IZ135" s="1534"/>
      <c r="JA135" s="1532">
        <v>23400</v>
      </c>
      <c r="JB135" s="1534"/>
      <c r="JC135" s="1534"/>
      <c r="JD135" s="1534"/>
      <c r="JE135" s="1534"/>
      <c r="JF135" s="1534"/>
      <c r="JG135" s="1534"/>
      <c r="JH135" s="1534"/>
      <c r="JI135" s="1534"/>
      <c r="JJ135" s="1534"/>
      <c r="JK135" s="1534"/>
      <c r="JL135" s="1534"/>
      <c r="JM135" s="1534"/>
      <c r="JN135" s="1534"/>
      <c r="JO135" s="1534"/>
      <c r="JP135" s="1534"/>
      <c r="JQ135" s="1536"/>
      <c r="JR135" s="351"/>
      <c r="JS135" s="1400"/>
      <c r="JT135" s="1400" t="s">
        <v>2242</v>
      </c>
    </row>
    <row r="136" spans="1:280" x14ac:dyDescent="0.25">
      <c r="A136" s="1367">
        <v>89</v>
      </c>
      <c r="B136" s="1411" t="str">
        <f t="shared" si="60"/>
        <v/>
      </c>
      <c r="C136" s="1435" t="s">
        <v>3269</v>
      </c>
      <c r="D136" s="1436" t="s">
        <v>3270</v>
      </c>
      <c r="E136" s="1532"/>
      <c r="F136" s="1532"/>
      <c r="G136" s="1532"/>
      <c r="H136" s="1532"/>
      <c r="I136" s="1532"/>
      <c r="J136" s="1532"/>
      <c r="K136" s="1532"/>
      <c r="L136" s="1532"/>
      <c r="M136" s="1532"/>
      <c r="N136" s="1532"/>
      <c r="O136" s="1533"/>
      <c r="P136" s="1533"/>
      <c r="Q136" s="1532"/>
      <c r="R136" s="1533"/>
      <c r="S136" s="1532"/>
      <c r="T136" s="1534"/>
      <c r="U136" s="1534"/>
      <c r="V136" s="1534"/>
      <c r="W136" s="1534"/>
      <c r="X136" s="1534"/>
      <c r="Y136" s="1534"/>
      <c r="Z136" s="1534"/>
      <c r="AA136" s="1534"/>
      <c r="AB136" s="1534"/>
      <c r="AC136" s="1532"/>
      <c r="AD136" s="1532"/>
      <c r="AE136" s="1532"/>
      <c r="AF136" s="1532"/>
      <c r="AG136" s="1532"/>
      <c r="AH136" s="1532"/>
      <c r="AI136" s="1534"/>
      <c r="AJ136" s="1532"/>
      <c r="AK136" s="1534"/>
      <c r="AL136" s="1532"/>
      <c r="AM136" s="1534"/>
      <c r="AN136" s="1534"/>
      <c r="AO136" s="1534"/>
      <c r="AP136" s="1534"/>
      <c r="AQ136" s="1534"/>
      <c r="AR136" s="1534"/>
      <c r="AS136" s="1534"/>
      <c r="AT136" s="1534"/>
      <c r="AU136" s="1534"/>
      <c r="AV136" s="1532"/>
      <c r="AW136" s="1534"/>
      <c r="AX136" s="1534"/>
      <c r="AY136" s="1534"/>
      <c r="AZ136" s="1534"/>
      <c r="BA136" s="1534"/>
      <c r="BB136" s="1534"/>
      <c r="BC136" s="1534"/>
      <c r="BD136" s="1534"/>
      <c r="BE136" s="1534"/>
      <c r="BF136" s="1534"/>
      <c r="BG136" s="1534"/>
      <c r="BH136" s="1534"/>
      <c r="BI136" s="1534"/>
      <c r="BJ136" s="1541"/>
      <c r="BK136" s="1534"/>
      <c r="BL136" s="1534"/>
      <c r="BM136" s="1534"/>
      <c r="BN136" s="1534"/>
      <c r="BO136" s="1534"/>
      <c r="BP136" s="1532"/>
      <c r="BQ136" s="1534"/>
      <c r="BR136" s="1534"/>
      <c r="BS136" s="1534"/>
      <c r="BT136" s="1534"/>
      <c r="BU136" s="1534"/>
      <c r="BV136" s="1534"/>
      <c r="BW136" s="1534"/>
      <c r="BX136" s="1535"/>
      <c r="BY136" s="1535"/>
      <c r="BZ136" s="1534"/>
      <c r="CA136" s="1534"/>
      <c r="CB136" s="1534"/>
      <c r="CC136" s="1534"/>
      <c r="CD136" s="1534"/>
      <c r="CE136" s="1534"/>
      <c r="CF136" s="1532"/>
      <c r="CG136" s="1534"/>
      <c r="CH136" s="1532"/>
      <c r="CI136" s="1534"/>
      <c r="CJ136" s="1534"/>
      <c r="CK136" s="1534"/>
      <c r="CL136" s="1532">
        <v>269992</v>
      </c>
      <c r="CM136" s="1534"/>
      <c r="CN136" s="1535">
        <v>165164</v>
      </c>
      <c r="CO136" s="1534"/>
      <c r="CP136" s="1534"/>
      <c r="CQ136" s="1534"/>
      <c r="CR136" s="1532">
        <v>269992</v>
      </c>
      <c r="CS136" s="1532">
        <v>269992</v>
      </c>
      <c r="CT136" s="1534"/>
      <c r="CU136" s="1532"/>
      <c r="CV136" s="1532"/>
      <c r="CW136" s="1534"/>
      <c r="CX136" s="1534"/>
      <c r="CY136" s="1534"/>
      <c r="CZ136" s="1534"/>
      <c r="DA136" s="1534"/>
      <c r="DB136" s="1534"/>
      <c r="DC136" s="1534"/>
      <c r="DD136" s="1534"/>
      <c r="DE136" s="1534"/>
      <c r="DF136" s="1534"/>
      <c r="DG136" s="1534"/>
      <c r="DH136" s="1534"/>
      <c r="DI136" s="1534"/>
      <c r="DJ136" s="1532"/>
      <c r="DK136" s="1534"/>
      <c r="DL136" s="1534"/>
      <c r="DM136" s="1534"/>
      <c r="DN136" s="1534"/>
      <c r="DO136" s="1532"/>
      <c r="DP136" s="1534"/>
      <c r="DQ136" s="1534"/>
      <c r="DR136" s="1537">
        <v>686094</v>
      </c>
      <c r="DS136" s="1534"/>
      <c r="DT136" s="1534"/>
      <c r="DU136" s="1534"/>
      <c r="DV136" s="1534"/>
      <c r="DW136" s="1534"/>
      <c r="DX136" s="1534"/>
      <c r="DY136" s="1534"/>
      <c r="DZ136" s="1534"/>
      <c r="EA136" s="1535"/>
      <c r="EB136" s="1534"/>
      <c r="EC136" s="1534"/>
      <c r="ED136" s="1534"/>
      <c r="EE136" s="1534"/>
      <c r="EF136" s="1532"/>
      <c r="EG136" s="1532"/>
      <c r="EH136" s="1534"/>
      <c r="EI136" s="1532"/>
      <c r="EJ136" s="1534"/>
      <c r="EK136" s="1534"/>
      <c r="EL136" s="1534"/>
      <c r="EM136" s="1532">
        <v>269992</v>
      </c>
      <c r="EN136" s="1534"/>
      <c r="EO136" s="1534"/>
      <c r="EP136" s="1534"/>
      <c r="EQ136" s="1534"/>
      <c r="ER136" s="1534"/>
      <c r="ES136" s="1534"/>
      <c r="ET136" s="1537">
        <v>362088</v>
      </c>
      <c r="EU136" s="1534"/>
      <c r="EV136" s="1534"/>
      <c r="EW136" s="1534"/>
      <c r="EX136" s="1534"/>
      <c r="EY136" s="1532">
        <v>269992</v>
      </c>
      <c r="EZ136" s="1534"/>
      <c r="FA136" s="1534"/>
      <c r="FB136" s="1534"/>
      <c r="FC136" s="1534"/>
      <c r="FD136" s="1534"/>
      <c r="FE136" s="1534"/>
      <c r="FF136" s="1532"/>
      <c r="FG136" s="1534"/>
      <c r="FH136" s="1532"/>
      <c r="FI136" s="1534"/>
      <c r="FJ136" s="1534"/>
      <c r="FK136" s="1534"/>
      <c r="FL136" s="1534"/>
      <c r="FM136" s="1534"/>
      <c r="FN136" s="1534"/>
      <c r="FO136" s="1534"/>
      <c r="FP136" s="1534"/>
      <c r="FQ136" s="1534"/>
      <c r="FR136" s="1534"/>
      <c r="FS136" s="1534"/>
      <c r="FT136" s="1534"/>
      <c r="FU136" s="1534"/>
      <c r="FV136" s="1534"/>
      <c r="FW136" s="1534"/>
      <c r="FX136" s="1534"/>
      <c r="FY136" s="1534"/>
      <c r="FZ136" s="1534"/>
      <c r="GA136" s="1534"/>
      <c r="GB136" s="1534"/>
      <c r="GC136" s="1534"/>
      <c r="GD136" s="1534"/>
      <c r="GE136" s="1534"/>
      <c r="GF136" s="1534"/>
      <c r="GG136" s="1534"/>
      <c r="GH136" s="1534"/>
      <c r="GI136" s="1534"/>
      <c r="GJ136" s="1532"/>
      <c r="GK136" s="1534"/>
      <c r="GL136" s="1534"/>
      <c r="GM136" s="1534"/>
      <c r="GN136" s="1534"/>
      <c r="GO136" s="1534"/>
      <c r="GP136" s="1534"/>
      <c r="GQ136" s="1534"/>
      <c r="GR136" s="1534"/>
      <c r="GS136" s="1534"/>
      <c r="GT136" s="1534"/>
      <c r="GU136" s="1534"/>
      <c r="GV136" s="1534"/>
      <c r="GW136" s="1534"/>
      <c r="GX136" s="1532"/>
      <c r="GY136" s="1534"/>
      <c r="GZ136" s="1534"/>
      <c r="HA136" s="1534"/>
      <c r="HB136" s="1532"/>
      <c r="HC136" s="1532"/>
      <c r="HD136" s="1534"/>
      <c r="HE136" s="1534"/>
      <c r="HF136" s="1534"/>
      <c r="HG136" s="1534"/>
      <c r="HH136" s="1534"/>
      <c r="HI136" s="1534"/>
      <c r="HJ136" s="1534"/>
      <c r="HK136" s="1534"/>
      <c r="HL136" s="1534"/>
      <c r="HM136" s="1534"/>
      <c r="HN136" s="1534"/>
      <c r="HO136" s="1532"/>
      <c r="HP136" s="1534"/>
      <c r="HQ136" s="1534"/>
      <c r="HR136" s="1534"/>
      <c r="HS136" s="1534"/>
      <c r="HT136" s="1534"/>
      <c r="HU136" s="1534"/>
      <c r="HV136" s="1534"/>
      <c r="HW136" s="1532"/>
      <c r="HX136" s="1534"/>
      <c r="HY136" s="1534"/>
      <c r="HZ136" s="1534"/>
      <c r="IA136" s="1534"/>
      <c r="IB136" s="1534"/>
      <c r="IC136" s="1534"/>
      <c r="ID136" s="1534"/>
      <c r="IE136" s="1534"/>
      <c r="IF136" s="1534"/>
      <c r="IG136" s="1534"/>
      <c r="IH136" s="1534"/>
      <c r="II136" s="1534"/>
      <c r="IJ136" s="1534"/>
      <c r="IK136" s="1534"/>
      <c r="IL136" s="1534"/>
      <c r="IM136" s="1534"/>
      <c r="IN136" s="1534"/>
      <c r="IO136" s="1534"/>
      <c r="IP136" s="1534"/>
      <c r="IQ136" s="1534"/>
      <c r="IR136" s="1534"/>
      <c r="IS136" s="1534"/>
      <c r="IT136" s="1534"/>
      <c r="IU136" s="1534"/>
      <c r="IV136" s="1534"/>
      <c r="IW136" s="1534"/>
      <c r="IX136" s="1537">
        <v>53010</v>
      </c>
      <c r="IY136" s="1532"/>
      <c r="IZ136" s="1534"/>
      <c r="JA136" s="1532">
        <v>269992</v>
      </c>
      <c r="JB136" s="1534"/>
      <c r="JC136" s="1534"/>
      <c r="JD136" s="1534"/>
      <c r="JE136" s="1534"/>
      <c r="JF136" s="1534"/>
      <c r="JG136" s="1534"/>
      <c r="JH136" s="1534"/>
      <c r="JI136" s="1534"/>
      <c r="JJ136" s="1534"/>
      <c r="JK136" s="1534"/>
      <c r="JL136" s="1534"/>
      <c r="JM136" s="1534"/>
      <c r="JN136" s="1534"/>
      <c r="JO136" s="1534"/>
      <c r="JP136" s="1534"/>
      <c r="JQ136" s="1536"/>
      <c r="JR136" s="351"/>
      <c r="JS136" s="1400"/>
      <c r="JT136" s="1400" t="s">
        <v>2242</v>
      </c>
    </row>
    <row r="137" spans="1:280" x14ac:dyDescent="0.25">
      <c r="A137" s="1367">
        <v>90</v>
      </c>
      <c r="B137" s="1411" t="str">
        <f t="shared" si="60"/>
        <v/>
      </c>
      <c r="C137" s="1435" t="s">
        <v>3271</v>
      </c>
      <c r="D137" s="1436" t="s">
        <v>3272</v>
      </c>
      <c r="E137" s="1532"/>
      <c r="F137" s="1532"/>
      <c r="G137" s="1532"/>
      <c r="H137" s="1532"/>
      <c r="I137" s="1532"/>
      <c r="J137" s="1532"/>
      <c r="K137" s="1532"/>
      <c r="L137" s="1532"/>
      <c r="M137" s="1532"/>
      <c r="N137" s="1532"/>
      <c r="O137" s="1533"/>
      <c r="P137" s="1533"/>
      <c r="Q137" s="1532"/>
      <c r="R137" s="1533"/>
      <c r="S137" s="1532"/>
      <c r="T137" s="1534"/>
      <c r="U137" s="1534"/>
      <c r="V137" s="1534"/>
      <c r="W137" s="1534"/>
      <c r="X137" s="1534"/>
      <c r="Y137" s="1534"/>
      <c r="Z137" s="1534"/>
      <c r="AA137" s="1534"/>
      <c r="AB137" s="1534"/>
      <c r="AC137" s="1532"/>
      <c r="AD137" s="1532"/>
      <c r="AE137" s="1532"/>
      <c r="AF137" s="1532"/>
      <c r="AG137" s="1532"/>
      <c r="AH137" s="1532"/>
      <c r="AI137" s="1534"/>
      <c r="AJ137" s="1532"/>
      <c r="AK137" s="1534"/>
      <c r="AL137" s="1532"/>
      <c r="AM137" s="1534"/>
      <c r="AN137" s="1534"/>
      <c r="AO137" s="1534"/>
      <c r="AP137" s="1534"/>
      <c r="AQ137" s="1534"/>
      <c r="AR137" s="1534"/>
      <c r="AS137" s="1534"/>
      <c r="AT137" s="1534"/>
      <c r="AU137" s="1534"/>
      <c r="AV137" s="1532"/>
      <c r="AW137" s="1534"/>
      <c r="AX137" s="1534"/>
      <c r="AY137" s="1534"/>
      <c r="AZ137" s="1534"/>
      <c r="BA137" s="1534"/>
      <c r="BB137" s="1534"/>
      <c r="BC137" s="1534"/>
      <c r="BD137" s="1534"/>
      <c r="BE137" s="1534"/>
      <c r="BF137" s="1534"/>
      <c r="BG137" s="1534"/>
      <c r="BH137" s="1534"/>
      <c r="BI137" s="1534"/>
      <c r="BJ137" s="1541"/>
      <c r="BK137" s="1534"/>
      <c r="BL137" s="1534"/>
      <c r="BM137" s="1534"/>
      <c r="BN137" s="1534"/>
      <c r="BO137" s="1534"/>
      <c r="BP137" s="1532"/>
      <c r="BQ137" s="1534"/>
      <c r="BR137" s="1534"/>
      <c r="BS137" s="1534"/>
      <c r="BT137" s="1534"/>
      <c r="BU137" s="1534"/>
      <c r="BV137" s="1534"/>
      <c r="BW137" s="1534"/>
      <c r="BX137" s="1535"/>
      <c r="BY137" s="1535"/>
      <c r="BZ137" s="1534"/>
      <c r="CA137" s="1534"/>
      <c r="CB137" s="1534"/>
      <c r="CC137" s="1534"/>
      <c r="CD137" s="1534"/>
      <c r="CE137" s="1534"/>
      <c r="CF137" s="1532"/>
      <c r="CG137" s="1534"/>
      <c r="CH137" s="1532"/>
      <c r="CI137" s="1534"/>
      <c r="CJ137" s="1534"/>
      <c r="CK137" s="1534"/>
      <c r="CL137" s="1532">
        <v>6464</v>
      </c>
      <c r="CM137" s="1534"/>
      <c r="CN137" s="1535">
        <v>5212</v>
      </c>
      <c r="CO137" s="1534"/>
      <c r="CP137" s="1534"/>
      <c r="CQ137" s="1534"/>
      <c r="CR137" s="1532">
        <v>6464</v>
      </c>
      <c r="CS137" s="1532">
        <v>6464</v>
      </c>
      <c r="CT137" s="1534"/>
      <c r="CU137" s="1532"/>
      <c r="CV137" s="1532"/>
      <c r="CW137" s="1534"/>
      <c r="CX137" s="1534"/>
      <c r="CY137" s="1534"/>
      <c r="CZ137" s="1534"/>
      <c r="DA137" s="1534"/>
      <c r="DB137" s="1534"/>
      <c r="DC137" s="1534"/>
      <c r="DD137" s="1534"/>
      <c r="DE137" s="1534"/>
      <c r="DF137" s="1534"/>
      <c r="DG137" s="1534"/>
      <c r="DH137" s="1534"/>
      <c r="DI137" s="1534"/>
      <c r="DJ137" s="1532"/>
      <c r="DK137" s="1534"/>
      <c r="DL137" s="1534"/>
      <c r="DM137" s="1534"/>
      <c r="DN137" s="1534"/>
      <c r="DO137" s="1532"/>
      <c r="DP137" s="1534"/>
      <c r="DQ137" s="1534"/>
      <c r="DR137" s="1537">
        <v>17505</v>
      </c>
      <c r="DS137" s="1534"/>
      <c r="DT137" s="1534"/>
      <c r="DU137" s="1534"/>
      <c r="DV137" s="1534"/>
      <c r="DW137" s="1534"/>
      <c r="DX137" s="1534"/>
      <c r="DY137" s="1534"/>
      <c r="DZ137" s="1534"/>
      <c r="EA137" s="1535">
        <v>5396</v>
      </c>
      <c r="EB137" s="1534"/>
      <c r="EC137" s="1534"/>
      <c r="ED137" s="1534"/>
      <c r="EE137" s="1534"/>
      <c r="EF137" s="1532"/>
      <c r="EG137" s="1532"/>
      <c r="EH137" s="1534"/>
      <c r="EI137" s="1532">
        <v>3250</v>
      </c>
      <c r="EJ137" s="1534"/>
      <c r="EK137" s="1534"/>
      <c r="EL137" s="1534"/>
      <c r="EM137" s="1532">
        <v>6464</v>
      </c>
      <c r="EN137" s="1534"/>
      <c r="EO137" s="1534"/>
      <c r="EP137" s="1534"/>
      <c r="EQ137" s="1534"/>
      <c r="ER137" s="1534"/>
      <c r="ES137" s="1534"/>
      <c r="ET137" s="1534"/>
      <c r="EU137" s="1534"/>
      <c r="EV137" s="1534"/>
      <c r="EW137" s="1534"/>
      <c r="EX137" s="1534"/>
      <c r="EY137" s="1532">
        <v>6464</v>
      </c>
      <c r="EZ137" s="1534"/>
      <c r="FA137" s="1534"/>
      <c r="FB137" s="1534"/>
      <c r="FC137" s="1534"/>
      <c r="FD137" s="1534"/>
      <c r="FE137" s="1534"/>
      <c r="FF137" s="1532"/>
      <c r="FG137" s="1534"/>
      <c r="FH137" s="1532"/>
      <c r="FI137" s="1534"/>
      <c r="FJ137" s="1534"/>
      <c r="FK137" s="1534"/>
      <c r="FL137" s="1534"/>
      <c r="FM137" s="1534"/>
      <c r="FN137" s="1534"/>
      <c r="FO137" s="1534"/>
      <c r="FP137" s="1534"/>
      <c r="FQ137" s="1534"/>
      <c r="FR137" s="1534"/>
      <c r="FS137" s="1534"/>
      <c r="FT137" s="1534"/>
      <c r="FU137" s="1534"/>
      <c r="FV137" s="1534"/>
      <c r="FW137" s="1534"/>
      <c r="FX137" s="1534"/>
      <c r="FY137" s="1534"/>
      <c r="FZ137" s="1534"/>
      <c r="GA137" s="1534"/>
      <c r="GB137" s="1534"/>
      <c r="GC137" s="1534"/>
      <c r="GD137" s="1534"/>
      <c r="GE137" s="1534"/>
      <c r="GF137" s="1534"/>
      <c r="GG137" s="1534"/>
      <c r="GH137" s="1534"/>
      <c r="GI137" s="1534"/>
      <c r="GJ137" s="1532">
        <v>3250</v>
      </c>
      <c r="GK137" s="1534"/>
      <c r="GL137" s="1534"/>
      <c r="GM137" s="1534"/>
      <c r="GN137" s="1534"/>
      <c r="GO137" s="1534"/>
      <c r="GP137" s="1534"/>
      <c r="GQ137" s="1534"/>
      <c r="GR137" s="1534"/>
      <c r="GS137" s="1534"/>
      <c r="GT137" s="1534"/>
      <c r="GU137" s="1534"/>
      <c r="GV137" s="1534"/>
      <c r="GW137" s="1534"/>
      <c r="GX137" s="1532"/>
      <c r="GY137" s="1534"/>
      <c r="GZ137" s="1534"/>
      <c r="HA137" s="1534"/>
      <c r="HB137" s="1532"/>
      <c r="HC137" s="1532"/>
      <c r="HD137" s="1534"/>
      <c r="HE137" s="1534"/>
      <c r="HF137" s="1534"/>
      <c r="HG137" s="1534"/>
      <c r="HH137" s="1534"/>
      <c r="HI137" s="1534"/>
      <c r="HJ137" s="1534"/>
      <c r="HK137" s="1534"/>
      <c r="HL137" s="1534"/>
      <c r="HM137" s="1534"/>
      <c r="HN137" s="1534"/>
      <c r="HO137" s="1532"/>
      <c r="HP137" s="1534"/>
      <c r="HQ137" s="1534"/>
      <c r="HR137" s="1534"/>
      <c r="HS137" s="1534"/>
      <c r="HT137" s="1534"/>
      <c r="HU137" s="1534"/>
      <c r="HV137" s="1534"/>
      <c r="HW137" s="1532"/>
      <c r="HX137" s="1534"/>
      <c r="HY137" s="1534"/>
      <c r="HZ137" s="1534"/>
      <c r="IA137" s="1534"/>
      <c r="IB137" s="1534"/>
      <c r="IC137" s="1534"/>
      <c r="ID137" s="1534"/>
      <c r="IE137" s="1534"/>
      <c r="IF137" s="1534"/>
      <c r="IG137" s="1534"/>
      <c r="IH137" s="1534"/>
      <c r="II137" s="1534"/>
      <c r="IJ137" s="1534"/>
      <c r="IK137" s="1534"/>
      <c r="IL137" s="1534"/>
      <c r="IM137" s="1534"/>
      <c r="IN137" s="1534"/>
      <c r="IO137" s="1534"/>
      <c r="IP137" s="1534"/>
      <c r="IQ137" s="1534"/>
      <c r="IR137" s="1534"/>
      <c r="IS137" s="1534"/>
      <c r="IT137" s="1534"/>
      <c r="IU137" s="1534"/>
      <c r="IV137" s="1534"/>
      <c r="IW137" s="1534"/>
      <c r="IX137" s="1537">
        <v>186799</v>
      </c>
      <c r="IY137" s="1532"/>
      <c r="IZ137" s="1534"/>
      <c r="JA137" s="1532">
        <v>6464</v>
      </c>
      <c r="JB137" s="1534"/>
      <c r="JC137" s="1534"/>
      <c r="JD137" s="1534"/>
      <c r="JE137" s="1534"/>
      <c r="JF137" s="1534"/>
      <c r="JG137" s="1534"/>
      <c r="JH137" s="1534"/>
      <c r="JI137" s="1534"/>
      <c r="JJ137" s="1534"/>
      <c r="JK137" s="1534"/>
      <c r="JL137" s="1534"/>
      <c r="JM137" s="1534"/>
      <c r="JN137" s="1534"/>
      <c r="JO137" s="1534"/>
      <c r="JP137" s="1534"/>
      <c r="JQ137" s="1536"/>
      <c r="JR137" s="351"/>
      <c r="JS137" s="1400"/>
      <c r="JT137" s="1400" t="s">
        <v>2242</v>
      </c>
    </row>
    <row r="138" spans="1:280" x14ac:dyDescent="0.25">
      <c r="A138" s="1367">
        <v>91</v>
      </c>
      <c r="B138" s="1411" t="str">
        <f t="shared" si="60"/>
        <v/>
      </c>
      <c r="C138" s="1435" t="s">
        <v>3273</v>
      </c>
      <c r="D138" s="1436" t="s">
        <v>3274</v>
      </c>
      <c r="E138" s="1532"/>
      <c r="F138" s="1532"/>
      <c r="G138" s="1532"/>
      <c r="H138" s="1532"/>
      <c r="I138" s="1532"/>
      <c r="J138" s="1532"/>
      <c r="K138" s="1532"/>
      <c r="L138" s="1532"/>
      <c r="M138" s="1532"/>
      <c r="N138" s="1532"/>
      <c r="O138" s="1533"/>
      <c r="P138" s="1533"/>
      <c r="Q138" s="1532"/>
      <c r="R138" s="1533"/>
      <c r="S138" s="1532"/>
      <c r="T138" s="1534"/>
      <c r="U138" s="1534"/>
      <c r="V138" s="1534"/>
      <c r="W138" s="1534"/>
      <c r="X138" s="1534"/>
      <c r="Y138" s="1534"/>
      <c r="Z138" s="1534"/>
      <c r="AA138" s="1534"/>
      <c r="AB138" s="1534"/>
      <c r="AC138" s="1532"/>
      <c r="AD138" s="1532"/>
      <c r="AE138" s="1532"/>
      <c r="AF138" s="1532"/>
      <c r="AG138" s="1532"/>
      <c r="AH138" s="1532"/>
      <c r="AI138" s="1534"/>
      <c r="AJ138" s="1532"/>
      <c r="AK138" s="1534"/>
      <c r="AL138" s="1532"/>
      <c r="AM138" s="1534"/>
      <c r="AN138" s="1534"/>
      <c r="AO138" s="1534"/>
      <c r="AP138" s="1534"/>
      <c r="AQ138" s="1534"/>
      <c r="AR138" s="1534"/>
      <c r="AS138" s="1534"/>
      <c r="AT138" s="1534"/>
      <c r="AU138" s="1534"/>
      <c r="AV138" s="1532"/>
      <c r="AW138" s="1534"/>
      <c r="AX138" s="1534"/>
      <c r="AY138" s="1534"/>
      <c r="AZ138" s="1534"/>
      <c r="BA138" s="1534"/>
      <c r="BB138" s="1534"/>
      <c r="BC138" s="1534"/>
      <c r="BD138" s="1534"/>
      <c r="BE138" s="1534"/>
      <c r="BF138" s="1534"/>
      <c r="BG138" s="1534"/>
      <c r="BH138" s="1534"/>
      <c r="BI138" s="1534"/>
      <c r="BJ138" s="1541"/>
      <c r="BK138" s="1534"/>
      <c r="BL138" s="1534"/>
      <c r="BM138" s="1534"/>
      <c r="BN138" s="1534"/>
      <c r="BO138" s="1534"/>
      <c r="BP138" s="1532"/>
      <c r="BQ138" s="1534"/>
      <c r="BR138" s="1534"/>
      <c r="BS138" s="1534"/>
      <c r="BT138" s="1534"/>
      <c r="BU138" s="1534"/>
      <c r="BV138" s="1534"/>
      <c r="BW138" s="1534"/>
      <c r="BX138" s="1535"/>
      <c r="BY138" s="1535"/>
      <c r="BZ138" s="1534"/>
      <c r="CA138" s="1534"/>
      <c r="CB138" s="1534"/>
      <c r="CC138" s="1534"/>
      <c r="CD138" s="1534"/>
      <c r="CE138" s="1534"/>
      <c r="CF138" s="1532"/>
      <c r="CG138" s="1534"/>
      <c r="CH138" s="1532"/>
      <c r="CI138" s="1534"/>
      <c r="CJ138" s="1534"/>
      <c r="CK138" s="1534"/>
      <c r="CL138" s="1532">
        <v>2746</v>
      </c>
      <c r="CM138" s="1534"/>
      <c r="CN138" s="1535">
        <v>17853</v>
      </c>
      <c r="CO138" s="1534"/>
      <c r="CP138" s="1534"/>
      <c r="CQ138" s="1534"/>
      <c r="CR138" s="1532">
        <v>2746</v>
      </c>
      <c r="CS138" s="1532">
        <v>2746</v>
      </c>
      <c r="CT138" s="1534"/>
      <c r="CU138" s="1532"/>
      <c r="CV138" s="1532"/>
      <c r="CW138" s="1534"/>
      <c r="CX138" s="1534"/>
      <c r="CY138" s="1534"/>
      <c r="CZ138" s="1534"/>
      <c r="DA138" s="1534"/>
      <c r="DB138" s="1534"/>
      <c r="DC138" s="1534"/>
      <c r="DD138" s="1534"/>
      <c r="DE138" s="1534"/>
      <c r="DF138" s="1534"/>
      <c r="DG138" s="1534"/>
      <c r="DH138" s="1534"/>
      <c r="DI138" s="1534"/>
      <c r="DJ138" s="1532"/>
      <c r="DK138" s="1534"/>
      <c r="DL138" s="1534"/>
      <c r="DM138" s="1534"/>
      <c r="DN138" s="1534"/>
      <c r="DO138" s="1532"/>
      <c r="DP138" s="1534"/>
      <c r="DQ138" s="1534"/>
      <c r="DR138" s="1537">
        <v>6851</v>
      </c>
      <c r="DS138" s="1534"/>
      <c r="DT138" s="1534"/>
      <c r="DU138" s="1534"/>
      <c r="DV138" s="1534"/>
      <c r="DW138" s="1534"/>
      <c r="DX138" s="1534"/>
      <c r="DY138" s="1534"/>
      <c r="DZ138" s="1534"/>
      <c r="EA138" s="1535">
        <v>12488</v>
      </c>
      <c r="EB138" s="1534"/>
      <c r="EC138" s="1534"/>
      <c r="ED138" s="1534"/>
      <c r="EE138" s="1534"/>
      <c r="EF138" s="1532"/>
      <c r="EG138" s="1532"/>
      <c r="EH138" s="1534"/>
      <c r="EI138" s="1532"/>
      <c r="EJ138" s="1534"/>
      <c r="EK138" s="1534"/>
      <c r="EL138" s="1534"/>
      <c r="EM138" s="1532">
        <v>2746</v>
      </c>
      <c r="EN138" s="1534"/>
      <c r="EO138" s="1534"/>
      <c r="EP138" s="1534"/>
      <c r="EQ138" s="1534"/>
      <c r="ER138" s="1534"/>
      <c r="ES138" s="1534"/>
      <c r="ET138" s="1534"/>
      <c r="EU138" s="1534"/>
      <c r="EV138" s="1534"/>
      <c r="EW138" s="1534"/>
      <c r="EX138" s="1534"/>
      <c r="EY138" s="1532">
        <v>2746</v>
      </c>
      <c r="EZ138" s="1534"/>
      <c r="FA138" s="1534"/>
      <c r="FB138" s="1534"/>
      <c r="FC138" s="1534"/>
      <c r="FD138" s="1534"/>
      <c r="FE138" s="1534"/>
      <c r="FF138" s="1532"/>
      <c r="FG138" s="1534"/>
      <c r="FH138" s="1532"/>
      <c r="FI138" s="1534"/>
      <c r="FJ138" s="1534"/>
      <c r="FK138" s="1534"/>
      <c r="FL138" s="1534"/>
      <c r="FM138" s="1534"/>
      <c r="FN138" s="1534"/>
      <c r="FO138" s="1534"/>
      <c r="FP138" s="1534"/>
      <c r="FQ138" s="1534"/>
      <c r="FR138" s="1534"/>
      <c r="FS138" s="1534"/>
      <c r="FT138" s="1534"/>
      <c r="FU138" s="1534"/>
      <c r="FV138" s="1534"/>
      <c r="FW138" s="1534"/>
      <c r="FX138" s="1534"/>
      <c r="FY138" s="1534"/>
      <c r="FZ138" s="1534"/>
      <c r="GA138" s="1534"/>
      <c r="GB138" s="1534"/>
      <c r="GC138" s="1534"/>
      <c r="GD138" s="1534"/>
      <c r="GE138" s="1534"/>
      <c r="GF138" s="1534"/>
      <c r="GG138" s="1534"/>
      <c r="GH138" s="1534"/>
      <c r="GI138" s="1534"/>
      <c r="GJ138" s="1532"/>
      <c r="GK138" s="1534"/>
      <c r="GL138" s="1534"/>
      <c r="GM138" s="1534"/>
      <c r="GN138" s="1534"/>
      <c r="GO138" s="1534"/>
      <c r="GP138" s="1534"/>
      <c r="GQ138" s="1534"/>
      <c r="GR138" s="1534"/>
      <c r="GS138" s="1534"/>
      <c r="GT138" s="1534"/>
      <c r="GU138" s="1534"/>
      <c r="GV138" s="1534"/>
      <c r="GW138" s="1534"/>
      <c r="GX138" s="1532"/>
      <c r="GY138" s="1534"/>
      <c r="GZ138" s="1534"/>
      <c r="HA138" s="1534"/>
      <c r="HB138" s="1532"/>
      <c r="HC138" s="1532"/>
      <c r="HD138" s="1534"/>
      <c r="HE138" s="1534"/>
      <c r="HF138" s="1534"/>
      <c r="HG138" s="1534"/>
      <c r="HH138" s="1534"/>
      <c r="HI138" s="1534"/>
      <c r="HJ138" s="1534"/>
      <c r="HK138" s="1534"/>
      <c r="HL138" s="1534"/>
      <c r="HM138" s="1534"/>
      <c r="HN138" s="1534"/>
      <c r="HO138" s="1532"/>
      <c r="HP138" s="1534"/>
      <c r="HQ138" s="1534"/>
      <c r="HR138" s="1534"/>
      <c r="HS138" s="1534"/>
      <c r="HT138" s="1534"/>
      <c r="HU138" s="1534"/>
      <c r="HV138" s="1534"/>
      <c r="HW138" s="1532"/>
      <c r="HX138" s="1534"/>
      <c r="HY138" s="1534"/>
      <c r="HZ138" s="1534"/>
      <c r="IA138" s="1534"/>
      <c r="IB138" s="1534"/>
      <c r="IC138" s="1534"/>
      <c r="ID138" s="1534"/>
      <c r="IE138" s="1534"/>
      <c r="IF138" s="1534"/>
      <c r="IG138" s="1534"/>
      <c r="IH138" s="1534"/>
      <c r="II138" s="1534"/>
      <c r="IJ138" s="1534"/>
      <c r="IK138" s="1534"/>
      <c r="IL138" s="1534"/>
      <c r="IM138" s="1534"/>
      <c r="IN138" s="1534"/>
      <c r="IO138" s="1534"/>
      <c r="IP138" s="1534"/>
      <c r="IQ138" s="1534"/>
      <c r="IR138" s="1534"/>
      <c r="IS138" s="1534"/>
      <c r="IT138" s="1534"/>
      <c r="IU138" s="1534"/>
      <c r="IV138" s="1534"/>
      <c r="IW138" s="1534"/>
      <c r="IX138" s="1537">
        <v>114014</v>
      </c>
      <c r="IY138" s="1532"/>
      <c r="IZ138" s="1534"/>
      <c r="JA138" s="1532">
        <v>2746</v>
      </c>
      <c r="JB138" s="1534"/>
      <c r="JC138" s="1534"/>
      <c r="JD138" s="1534"/>
      <c r="JE138" s="1534"/>
      <c r="JF138" s="1534"/>
      <c r="JG138" s="1534"/>
      <c r="JH138" s="1534"/>
      <c r="JI138" s="1534"/>
      <c r="JJ138" s="1534"/>
      <c r="JK138" s="1534"/>
      <c r="JL138" s="1534"/>
      <c r="JM138" s="1534"/>
      <c r="JN138" s="1534"/>
      <c r="JO138" s="1534"/>
      <c r="JP138" s="1534"/>
      <c r="JQ138" s="1536"/>
      <c r="JR138" s="351"/>
      <c r="JS138" s="1400"/>
      <c r="JT138" s="1400" t="s">
        <v>2242</v>
      </c>
    </row>
    <row r="139" spans="1:280" x14ac:dyDescent="0.25">
      <c r="A139" s="1367">
        <v>92</v>
      </c>
      <c r="B139" s="1411" t="str">
        <f t="shared" si="60"/>
        <v/>
      </c>
      <c r="C139" s="1435" t="s">
        <v>3275</v>
      </c>
      <c r="D139" s="1436" t="s">
        <v>3276</v>
      </c>
      <c r="E139" s="1532"/>
      <c r="F139" s="1532"/>
      <c r="G139" s="1532"/>
      <c r="H139" s="1532"/>
      <c r="I139" s="1532"/>
      <c r="J139" s="1532"/>
      <c r="K139" s="1532"/>
      <c r="L139" s="1532"/>
      <c r="M139" s="1532"/>
      <c r="N139" s="1532"/>
      <c r="O139" s="1533"/>
      <c r="P139" s="1533"/>
      <c r="Q139" s="1532"/>
      <c r="R139" s="1533"/>
      <c r="S139" s="1532"/>
      <c r="T139" s="1534"/>
      <c r="U139" s="1534"/>
      <c r="V139" s="1534"/>
      <c r="W139" s="1534"/>
      <c r="X139" s="1534"/>
      <c r="Y139" s="1534"/>
      <c r="Z139" s="1534"/>
      <c r="AA139" s="1534"/>
      <c r="AB139" s="1534"/>
      <c r="AC139" s="1532"/>
      <c r="AD139" s="1532"/>
      <c r="AE139" s="1532"/>
      <c r="AF139" s="1532"/>
      <c r="AG139" s="1532"/>
      <c r="AH139" s="1532"/>
      <c r="AI139" s="1534"/>
      <c r="AJ139" s="1532"/>
      <c r="AK139" s="1534"/>
      <c r="AL139" s="1532"/>
      <c r="AM139" s="1534"/>
      <c r="AN139" s="1534"/>
      <c r="AO139" s="1534"/>
      <c r="AP139" s="1534"/>
      <c r="AQ139" s="1534"/>
      <c r="AR139" s="1534"/>
      <c r="AS139" s="1534"/>
      <c r="AT139" s="1534"/>
      <c r="AU139" s="1534"/>
      <c r="AV139" s="1532"/>
      <c r="AW139" s="1534"/>
      <c r="AX139" s="1534"/>
      <c r="AY139" s="1534"/>
      <c r="AZ139" s="1534"/>
      <c r="BA139" s="1534"/>
      <c r="BB139" s="1534"/>
      <c r="BC139" s="1534"/>
      <c r="BD139" s="1534"/>
      <c r="BE139" s="1534"/>
      <c r="BF139" s="1534"/>
      <c r="BG139" s="1534"/>
      <c r="BH139" s="1534"/>
      <c r="BI139" s="1534"/>
      <c r="BJ139" s="1541"/>
      <c r="BK139" s="1534"/>
      <c r="BL139" s="1534"/>
      <c r="BM139" s="1534"/>
      <c r="BN139" s="1534"/>
      <c r="BO139" s="1534"/>
      <c r="BP139" s="1532"/>
      <c r="BQ139" s="1534"/>
      <c r="BR139" s="1534"/>
      <c r="BS139" s="1534"/>
      <c r="BT139" s="1534"/>
      <c r="BU139" s="1534"/>
      <c r="BV139" s="1534"/>
      <c r="BW139" s="1534"/>
      <c r="BX139" s="1535"/>
      <c r="BY139" s="1535"/>
      <c r="BZ139" s="1534"/>
      <c r="CA139" s="1534"/>
      <c r="CB139" s="1534"/>
      <c r="CC139" s="1534"/>
      <c r="CD139" s="1534"/>
      <c r="CE139" s="1534"/>
      <c r="CF139" s="1532"/>
      <c r="CG139" s="1534"/>
      <c r="CH139" s="1532"/>
      <c r="CI139" s="1534"/>
      <c r="CJ139" s="1534"/>
      <c r="CK139" s="1534"/>
      <c r="CL139" s="1532">
        <v>72645</v>
      </c>
      <c r="CM139" s="1534"/>
      <c r="CN139" s="1535">
        <v>122595</v>
      </c>
      <c r="CO139" s="1534"/>
      <c r="CP139" s="1534"/>
      <c r="CQ139" s="1534"/>
      <c r="CR139" s="1532">
        <v>72645</v>
      </c>
      <c r="CS139" s="1532">
        <v>72645</v>
      </c>
      <c r="CT139" s="1534"/>
      <c r="CU139" s="1532"/>
      <c r="CV139" s="1532"/>
      <c r="CW139" s="1534"/>
      <c r="CX139" s="1534"/>
      <c r="CY139" s="1534"/>
      <c r="CZ139" s="1534"/>
      <c r="DA139" s="1534"/>
      <c r="DB139" s="1534"/>
      <c r="DC139" s="1534"/>
      <c r="DD139" s="1534"/>
      <c r="DE139" s="1534"/>
      <c r="DF139" s="1534"/>
      <c r="DG139" s="1534"/>
      <c r="DH139" s="1534"/>
      <c r="DI139" s="1534"/>
      <c r="DJ139" s="1532"/>
      <c r="DK139" s="1534"/>
      <c r="DL139" s="1534"/>
      <c r="DM139" s="1534"/>
      <c r="DN139" s="1534"/>
      <c r="DO139" s="1532"/>
      <c r="DP139" s="1534"/>
      <c r="DQ139" s="1534"/>
      <c r="DR139" s="1537">
        <v>84713</v>
      </c>
      <c r="DS139" s="1534"/>
      <c r="DT139" s="1534"/>
      <c r="DU139" s="1534"/>
      <c r="DV139" s="1534"/>
      <c r="DW139" s="1534"/>
      <c r="DX139" s="1534"/>
      <c r="DY139" s="1534"/>
      <c r="DZ139" s="1534"/>
      <c r="EA139" s="1535">
        <v>131245</v>
      </c>
      <c r="EB139" s="1534"/>
      <c r="EC139" s="1534"/>
      <c r="ED139" s="1534"/>
      <c r="EE139" s="1534"/>
      <c r="EF139" s="1532"/>
      <c r="EG139" s="1532"/>
      <c r="EH139" s="1534"/>
      <c r="EI139" s="1532">
        <v>12591</v>
      </c>
      <c r="EJ139" s="1534"/>
      <c r="EK139" s="1534"/>
      <c r="EL139" s="1534"/>
      <c r="EM139" s="1532">
        <v>72645</v>
      </c>
      <c r="EN139" s="1534"/>
      <c r="EO139" s="1534"/>
      <c r="EP139" s="1534"/>
      <c r="EQ139" s="1534"/>
      <c r="ER139" s="1534"/>
      <c r="ES139" s="1534"/>
      <c r="ET139" s="1537">
        <v>293906</v>
      </c>
      <c r="EU139" s="1534"/>
      <c r="EV139" s="1534"/>
      <c r="EW139" s="1534"/>
      <c r="EX139" s="1534"/>
      <c r="EY139" s="1532">
        <v>72645</v>
      </c>
      <c r="EZ139" s="1534"/>
      <c r="FA139" s="1534"/>
      <c r="FB139" s="1534"/>
      <c r="FC139" s="1534"/>
      <c r="FD139" s="1534"/>
      <c r="FE139" s="1534"/>
      <c r="FF139" s="1532"/>
      <c r="FG139" s="1534"/>
      <c r="FH139" s="1532"/>
      <c r="FI139" s="1534"/>
      <c r="FJ139" s="1534"/>
      <c r="FK139" s="1534"/>
      <c r="FL139" s="1534"/>
      <c r="FM139" s="1534"/>
      <c r="FN139" s="1534"/>
      <c r="FO139" s="1534"/>
      <c r="FP139" s="1534"/>
      <c r="FQ139" s="1534"/>
      <c r="FR139" s="1534"/>
      <c r="FS139" s="1534"/>
      <c r="FT139" s="1534"/>
      <c r="FU139" s="1534"/>
      <c r="FV139" s="1534"/>
      <c r="FW139" s="1534"/>
      <c r="FX139" s="1534"/>
      <c r="FY139" s="1534"/>
      <c r="FZ139" s="1534"/>
      <c r="GA139" s="1534"/>
      <c r="GB139" s="1534"/>
      <c r="GC139" s="1534"/>
      <c r="GD139" s="1534"/>
      <c r="GE139" s="1534"/>
      <c r="GF139" s="1534"/>
      <c r="GG139" s="1534"/>
      <c r="GH139" s="1534"/>
      <c r="GI139" s="1534"/>
      <c r="GJ139" s="1532">
        <v>12591</v>
      </c>
      <c r="GK139" s="1534"/>
      <c r="GL139" s="1534"/>
      <c r="GM139" s="1534"/>
      <c r="GN139" s="1534"/>
      <c r="GO139" s="1534"/>
      <c r="GP139" s="1534"/>
      <c r="GQ139" s="1534"/>
      <c r="GR139" s="1534"/>
      <c r="GS139" s="1534"/>
      <c r="GT139" s="1534"/>
      <c r="GU139" s="1534"/>
      <c r="GV139" s="1534"/>
      <c r="GW139" s="1534"/>
      <c r="GX139" s="1532"/>
      <c r="GY139" s="1534"/>
      <c r="GZ139" s="1534"/>
      <c r="HA139" s="1534"/>
      <c r="HB139" s="1532"/>
      <c r="HC139" s="1532"/>
      <c r="HD139" s="1534"/>
      <c r="HE139" s="1534"/>
      <c r="HF139" s="1534"/>
      <c r="HG139" s="1534"/>
      <c r="HH139" s="1534"/>
      <c r="HI139" s="1534"/>
      <c r="HJ139" s="1534"/>
      <c r="HK139" s="1534"/>
      <c r="HL139" s="1534"/>
      <c r="HM139" s="1534"/>
      <c r="HN139" s="1534"/>
      <c r="HO139" s="1532"/>
      <c r="HP139" s="1534"/>
      <c r="HQ139" s="1534"/>
      <c r="HR139" s="1534"/>
      <c r="HS139" s="1534"/>
      <c r="HT139" s="1534"/>
      <c r="HU139" s="1534"/>
      <c r="HV139" s="1534"/>
      <c r="HW139" s="1532"/>
      <c r="HX139" s="1534"/>
      <c r="HY139" s="1534"/>
      <c r="HZ139" s="1534"/>
      <c r="IA139" s="1534"/>
      <c r="IB139" s="1534"/>
      <c r="IC139" s="1534"/>
      <c r="ID139" s="1534"/>
      <c r="IE139" s="1534"/>
      <c r="IF139" s="1534"/>
      <c r="IG139" s="1534"/>
      <c r="IH139" s="1534"/>
      <c r="II139" s="1534"/>
      <c r="IJ139" s="1534"/>
      <c r="IK139" s="1534"/>
      <c r="IL139" s="1534"/>
      <c r="IM139" s="1534"/>
      <c r="IN139" s="1534"/>
      <c r="IO139" s="1534"/>
      <c r="IP139" s="1534"/>
      <c r="IQ139" s="1534"/>
      <c r="IR139" s="1534"/>
      <c r="IS139" s="1534"/>
      <c r="IT139" s="1534"/>
      <c r="IU139" s="1534"/>
      <c r="IV139" s="1534"/>
      <c r="IW139" s="1534"/>
      <c r="IX139" s="1534"/>
      <c r="IY139" s="1532"/>
      <c r="IZ139" s="1534"/>
      <c r="JA139" s="1532">
        <v>72645</v>
      </c>
      <c r="JB139" s="1534"/>
      <c r="JC139" s="1534"/>
      <c r="JD139" s="1534"/>
      <c r="JE139" s="1534"/>
      <c r="JF139" s="1534"/>
      <c r="JG139" s="1534"/>
      <c r="JH139" s="1534"/>
      <c r="JI139" s="1534"/>
      <c r="JJ139" s="1534"/>
      <c r="JK139" s="1534"/>
      <c r="JL139" s="1534"/>
      <c r="JM139" s="1534"/>
      <c r="JN139" s="1534"/>
      <c r="JO139" s="1534"/>
      <c r="JP139" s="1534"/>
      <c r="JQ139" s="1536"/>
      <c r="JR139" s="351"/>
      <c r="JS139" s="1400"/>
      <c r="JT139" s="1400" t="s">
        <v>2242</v>
      </c>
    </row>
    <row r="140" spans="1:280" x14ac:dyDescent="0.25">
      <c r="A140" s="1367">
        <v>93</v>
      </c>
      <c r="B140" s="1411" t="str">
        <f t="shared" si="60"/>
        <v/>
      </c>
      <c r="C140" s="1435" t="s">
        <v>3277</v>
      </c>
      <c r="D140" s="1436" t="s">
        <v>3278</v>
      </c>
      <c r="E140" s="1532"/>
      <c r="F140" s="1532"/>
      <c r="G140" s="1532"/>
      <c r="H140" s="1532"/>
      <c r="I140" s="1532"/>
      <c r="J140" s="1532"/>
      <c r="K140" s="1532"/>
      <c r="L140" s="1532"/>
      <c r="M140" s="1532"/>
      <c r="N140" s="1532"/>
      <c r="O140" s="1533"/>
      <c r="P140" s="1533"/>
      <c r="Q140" s="1532"/>
      <c r="R140" s="1533"/>
      <c r="S140" s="1532"/>
      <c r="T140" s="1534"/>
      <c r="U140" s="1534"/>
      <c r="V140" s="1534"/>
      <c r="W140" s="1534"/>
      <c r="X140" s="1534"/>
      <c r="Y140" s="1534"/>
      <c r="Z140" s="1534"/>
      <c r="AA140" s="1534"/>
      <c r="AB140" s="1534"/>
      <c r="AC140" s="1532"/>
      <c r="AD140" s="1532"/>
      <c r="AE140" s="1532"/>
      <c r="AF140" s="1532"/>
      <c r="AG140" s="1532"/>
      <c r="AH140" s="1532"/>
      <c r="AI140" s="1534"/>
      <c r="AJ140" s="1532"/>
      <c r="AK140" s="1534"/>
      <c r="AL140" s="1532"/>
      <c r="AM140" s="1534"/>
      <c r="AN140" s="1534"/>
      <c r="AO140" s="1534"/>
      <c r="AP140" s="1534"/>
      <c r="AQ140" s="1534"/>
      <c r="AR140" s="1534"/>
      <c r="AS140" s="1534"/>
      <c r="AT140" s="1534"/>
      <c r="AU140" s="1534"/>
      <c r="AV140" s="1532"/>
      <c r="AW140" s="1534"/>
      <c r="AX140" s="1534"/>
      <c r="AY140" s="1534"/>
      <c r="AZ140" s="1534"/>
      <c r="BA140" s="1534"/>
      <c r="BB140" s="1534"/>
      <c r="BC140" s="1534"/>
      <c r="BD140" s="1534"/>
      <c r="BE140" s="1534"/>
      <c r="BF140" s="1534"/>
      <c r="BG140" s="1534"/>
      <c r="BH140" s="1534"/>
      <c r="BI140" s="1534"/>
      <c r="BJ140" s="1541"/>
      <c r="BK140" s="1534"/>
      <c r="BL140" s="1534"/>
      <c r="BM140" s="1534"/>
      <c r="BN140" s="1534"/>
      <c r="BO140" s="1534"/>
      <c r="BP140" s="1532"/>
      <c r="BQ140" s="1534"/>
      <c r="BR140" s="1534"/>
      <c r="BS140" s="1534"/>
      <c r="BT140" s="1534"/>
      <c r="BU140" s="1534"/>
      <c r="BV140" s="1534"/>
      <c r="BW140" s="1534"/>
      <c r="BX140" s="1534"/>
      <c r="BY140" s="1534"/>
      <c r="BZ140" s="1534"/>
      <c r="CA140" s="1534"/>
      <c r="CB140" s="1534"/>
      <c r="CC140" s="1534"/>
      <c r="CD140" s="1534"/>
      <c r="CE140" s="1534"/>
      <c r="CF140" s="1532"/>
      <c r="CG140" s="1534"/>
      <c r="CH140" s="1532"/>
      <c r="CI140" s="1534"/>
      <c r="CJ140" s="1534"/>
      <c r="CK140" s="1534"/>
      <c r="CL140" s="1532">
        <v>2000</v>
      </c>
      <c r="CM140" s="1534"/>
      <c r="CN140" s="1535">
        <v>18</v>
      </c>
      <c r="CO140" s="1534"/>
      <c r="CP140" s="1534"/>
      <c r="CQ140" s="1534"/>
      <c r="CR140" s="1532">
        <v>2000</v>
      </c>
      <c r="CS140" s="1532">
        <v>2000</v>
      </c>
      <c r="CT140" s="1534"/>
      <c r="CU140" s="1532"/>
      <c r="CV140" s="1532"/>
      <c r="CW140" s="1534"/>
      <c r="CX140" s="1534"/>
      <c r="CY140" s="1534"/>
      <c r="CZ140" s="1534"/>
      <c r="DA140" s="1534"/>
      <c r="DB140" s="1534"/>
      <c r="DC140" s="1534"/>
      <c r="DD140" s="1534"/>
      <c r="DE140" s="1534"/>
      <c r="DF140" s="1534"/>
      <c r="DG140" s="1534"/>
      <c r="DH140" s="1534"/>
      <c r="DI140" s="1534"/>
      <c r="DJ140" s="1532"/>
      <c r="DK140" s="1534"/>
      <c r="DL140" s="1534"/>
      <c r="DM140" s="1534"/>
      <c r="DN140" s="1534"/>
      <c r="DO140" s="1532"/>
      <c r="DP140" s="1534"/>
      <c r="DQ140" s="1534"/>
      <c r="DR140" s="1534"/>
      <c r="DS140" s="1534"/>
      <c r="DT140" s="1534"/>
      <c r="DU140" s="1534"/>
      <c r="DV140" s="1534"/>
      <c r="DW140" s="1534"/>
      <c r="DX140" s="1534"/>
      <c r="DY140" s="1534"/>
      <c r="DZ140" s="1534"/>
      <c r="EA140" s="1535">
        <v>890</v>
      </c>
      <c r="EB140" s="1534"/>
      <c r="EC140" s="1534"/>
      <c r="ED140" s="1534"/>
      <c r="EE140" s="1534"/>
      <c r="EF140" s="1532"/>
      <c r="EG140" s="1532"/>
      <c r="EH140" s="1534"/>
      <c r="EI140" s="1532"/>
      <c r="EJ140" s="1534"/>
      <c r="EK140" s="1534"/>
      <c r="EL140" s="1534"/>
      <c r="EM140" s="1532">
        <v>2000</v>
      </c>
      <c r="EN140" s="1534"/>
      <c r="EO140" s="1534"/>
      <c r="EP140" s="1534"/>
      <c r="EQ140" s="1534"/>
      <c r="ER140" s="1534"/>
      <c r="ES140" s="1534"/>
      <c r="ET140" s="1534"/>
      <c r="EU140" s="1534"/>
      <c r="EV140" s="1534"/>
      <c r="EW140" s="1534"/>
      <c r="EX140" s="1534"/>
      <c r="EY140" s="1532">
        <v>2000</v>
      </c>
      <c r="EZ140" s="1534"/>
      <c r="FA140" s="1534"/>
      <c r="FB140" s="1534"/>
      <c r="FC140" s="1534"/>
      <c r="FD140" s="1534"/>
      <c r="FE140" s="1534"/>
      <c r="FF140" s="1532"/>
      <c r="FG140" s="1534"/>
      <c r="FH140" s="1532"/>
      <c r="FI140" s="1534"/>
      <c r="FJ140" s="1534"/>
      <c r="FK140" s="1534"/>
      <c r="FL140" s="1534"/>
      <c r="FM140" s="1534"/>
      <c r="FN140" s="1534"/>
      <c r="FO140" s="1534"/>
      <c r="FP140" s="1534"/>
      <c r="FQ140" s="1534"/>
      <c r="FR140" s="1534"/>
      <c r="FS140" s="1534"/>
      <c r="FT140" s="1534"/>
      <c r="FU140" s="1534"/>
      <c r="FV140" s="1534"/>
      <c r="FW140" s="1534"/>
      <c r="FX140" s="1534"/>
      <c r="FY140" s="1534"/>
      <c r="FZ140" s="1534"/>
      <c r="GA140" s="1534"/>
      <c r="GB140" s="1534"/>
      <c r="GC140" s="1534"/>
      <c r="GD140" s="1534"/>
      <c r="GE140" s="1534"/>
      <c r="GF140" s="1534"/>
      <c r="GG140" s="1534"/>
      <c r="GH140" s="1534"/>
      <c r="GI140" s="1534"/>
      <c r="GJ140" s="1532"/>
      <c r="GK140" s="1534"/>
      <c r="GL140" s="1534"/>
      <c r="GM140" s="1534"/>
      <c r="GN140" s="1534"/>
      <c r="GO140" s="1534"/>
      <c r="GP140" s="1534"/>
      <c r="GQ140" s="1534"/>
      <c r="GR140" s="1534"/>
      <c r="GS140" s="1534"/>
      <c r="GT140" s="1534"/>
      <c r="GU140" s="1534"/>
      <c r="GV140" s="1534"/>
      <c r="GW140" s="1534"/>
      <c r="GX140" s="1532"/>
      <c r="GY140" s="1534"/>
      <c r="GZ140" s="1534"/>
      <c r="HA140" s="1534"/>
      <c r="HB140" s="1532"/>
      <c r="HC140" s="1532"/>
      <c r="HD140" s="1534"/>
      <c r="HE140" s="1534"/>
      <c r="HF140" s="1534"/>
      <c r="HG140" s="1534"/>
      <c r="HH140" s="1534"/>
      <c r="HI140" s="1534"/>
      <c r="HJ140" s="1534"/>
      <c r="HK140" s="1534"/>
      <c r="HL140" s="1534"/>
      <c r="HM140" s="1534"/>
      <c r="HN140" s="1534"/>
      <c r="HO140" s="1532"/>
      <c r="HP140" s="1534"/>
      <c r="HQ140" s="1534"/>
      <c r="HR140" s="1534"/>
      <c r="HS140" s="1534"/>
      <c r="HT140" s="1534"/>
      <c r="HU140" s="1534"/>
      <c r="HV140" s="1534"/>
      <c r="HW140" s="1532"/>
      <c r="HX140" s="1534"/>
      <c r="HY140" s="1534"/>
      <c r="HZ140" s="1534"/>
      <c r="IA140" s="1534"/>
      <c r="IB140" s="1534"/>
      <c r="IC140" s="1534"/>
      <c r="ID140" s="1534"/>
      <c r="IE140" s="1534"/>
      <c r="IF140" s="1534"/>
      <c r="IG140" s="1534"/>
      <c r="IH140" s="1534"/>
      <c r="II140" s="1534"/>
      <c r="IJ140" s="1534"/>
      <c r="IK140" s="1534"/>
      <c r="IL140" s="1534"/>
      <c r="IM140" s="1534"/>
      <c r="IN140" s="1534"/>
      <c r="IO140" s="1534"/>
      <c r="IP140" s="1534"/>
      <c r="IQ140" s="1534"/>
      <c r="IR140" s="1534"/>
      <c r="IS140" s="1534"/>
      <c r="IT140" s="1534"/>
      <c r="IU140" s="1534"/>
      <c r="IV140" s="1534"/>
      <c r="IW140" s="1534"/>
      <c r="IX140" s="1534"/>
      <c r="IY140" s="1532"/>
      <c r="IZ140" s="1534"/>
      <c r="JA140" s="1532">
        <v>2000</v>
      </c>
      <c r="JB140" s="1534"/>
      <c r="JC140" s="1534"/>
      <c r="JD140" s="1534"/>
      <c r="JE140" s="1534"/>
      <c r="JF140" s="1534"/>
      <c r="JG140" s="1534"/>
      <c r="JH140" s="1534"/>
      <c r="JI140" s="1534"/>
      <c r="JJ140" s="1534"/>
      <c r="JK140" s="1534"/>
      <c r="JL140" s="1534"/>
      <c r="JM140" s="1534"/>
      <c r="JN140" s="1534"/>
      <c r="JO140" s="1534"/>
      <c r="JP140" s="1534"/>
      <c r="JQ140" s="1536"/>
      <c r="JR140" s="351"/>
      <c r="JS140" s="1400"/>
      <c r="JT140" s="1400" t="s">
        <v>2242</v>
      </c>
    </row>
    <row r="141" spans="1:280" x14ac:dyDescent="0.25">
      <c r="A141" s="1367">
        <v>94</v>
      </c>
      <c r="B141" s="1411" t="str">
        <f t="shared" si="60"/>
        <v/>
      </c>
      <c r="C141" s="1435" t="s">
        <v>3279</v>
      </c>
      <c r="D141" s="1436" t="s">
        <v>3280</v>
      </c>
      <c r="E141" s="1532"/>
      <c r="F141" s="1532"/>
      <c r="G141" s="1532"/>
      <c r="H141" s="1532"/>
      <c r="I141" s="1532"/>
      <c r="J141" s="1532"/>
      <c r="K141" s="1532"/>
      <c r="L141" s="1532"/>
      <c r="M141" s="1532"/>
      <c r="N141" s="1532"/>
      <c r="O141" s="1533"/>
      <c r="P141" s="1533"/>
      <c r="Q141" s="1532"/>
      <c r="R141" s="1533"/>
      <c r="S141" s="1532"/>
      <c r="T141" s="1534"/>
      <c r="U141" s="1534"/>
      <c r="V141" s="1534"/>
      <c r="W141" s="1534"/>
      <c r="X141" s="1534"/>
      <c r="Y141" s="1534"/>
      <c r="Z141" s="1534"/>
      <c r="AA141" s="1534"/>
      <c r="AB141" s="1534"/>
      <c r="AC141" s="1532"/>
      <c r="AD141" s="1532"/>
      <c r="AE141" s="1532"/>
      <c r="AF141" s="1532"/>
      <c r="AG141" s="1532"/>
      <c r="AH141" s="1532"/>
      <c r="AI141" s="1534"/>
      <c r="AJ141" s="1532"/>
      <c r="AK141" s="1534"/>
      <c r="AL141" s="1532"/>
      <c r="AM141" s="1534"/>
      <c r="AN141" s="1534"/>
      <c r="AO141" s="1534"/>
      <c r="AP141" s="1534"/>
      <c r="AQ141" s="1534"/>
      <c r="AR141" s="1534"/>
      <c r="AS141" s="1534"/>
      <c r="AT141" s="1534"/>
      <c r="AU141" s="1534"/>
      <c r="AV141" s="1532"/>
      <c r="AW141" s="1534"/>
      <c r="AX141" s="1534"/>
      <c r="AY141" s="1534"/>
      <c r="AZ141" s="1534"/>
      <c r="BA141" s="1534"/>
      <c r="BB141" s="1534"/>
      <c r="BC141" s="1534"/>
      <c r="BD141" s="1534"/>
      <c r="BE141" s="1534"/>
      <c r="BF141" s="1534"/>
      <c r="BG141" s="1534"/>
      <c r="BH141" s="1534"/>
      <c r="BI141" s="1534"/>
      <c r="BJ141" s="1541"/>
      <c r="BK141" s="1534"/>
      <c r="BL141" s="1534"/>
      <c r="BM141" s="1534"/>
      <c r="BN141" s="1534"/>
      <c r="BO141" s="1534"/>
      <c r="BP141" s="1532"/>
      <c r="BQ141" s="1534"/>
      <c r="BR141" s="1534"/>
      <c r="BS141" s="1534"/>
      <c r="BT141" s="1534"/>
      <c r="BU141" s="1534"/>
      <c r="BV141" s="1534"/>
      <c r="BW141" s="1534"/>
      <c r="BX141" s="1534"/>
      <c r="BY141" s="1534"/>
      <c r="BZ141" s="1534"/>
      <c r="CA141" s="1534"/>
      <c r="CB141" s="1534"/>
      <c r="CC141" s="1534"/>
      <c r="CD141" s="1534"/>
      <c r="CE141" s="1534"/>
      <c r="CF141" s="1532"/>
      <c r="CG141" s="1534"/>
      <c r="CH141" s="1532"/>
      <c r="CI141" s="1534"/>
      <c r="CJ141" s="1534"/>
      <c r="CK141" s="1534"/>
      <c r="CL141" s="1532">
        <v>252</v>
      </c>
      <c r="CM141" s="1534"/>
      <c r="CN141" s="1534"/>
      <c r="CO141" s="1534"/>
      <c r="CP141" s="1534"/>
      <c r="CQ141" s="1534"/>
      <c r="CR141" s="1532">
        <v>252</v>
      </c>
      <c r="CS141" s="1532">
        <v>252</v>
      </c>
      <c r="CT141" s="1534"/>
      <c r="CU141" s="1532"/>
      <c r="CV141" s="1532"/>
      <c r="CW141" s="1534"/>
      <c r="CX141" s="1534"/>
      <c r="CY141" s="1534"/>
      <c r="CZ141" s="1534"/>
      <c r="DA141" s="1534"/>
      <c r="DB141" s="1534"/>
      <c r="DC141" s="1534"/>
      <c r="DD141" s="1534"/>
      <c r="DE141" s="1534"/>
      <c r="DF141" s="1534"/>
      <c r="DG141" s="1534"/>
      <c r="DH141" s="1534"/>
      <c r="DI141" s="1534"/>
      <c r="DJ141" s="1532"/>
      <c r="DK141" s="1534"/>
      <c r="DL141" s="1534"/>
      <c r="DM141" s="1534"/>
      <c r="DN141" s="1534"/>
      <c r="DO141" s="1532"/>
      <c r="DP141" s="1534"/>
      <c r="DQ141" s="1534"/>
      <c r="DR141" s="1537">
        <v>16149</v>
      </c>
      <c r="DS141" s="1534"/>
      <c r="DT141" s="1534"/>
      <c r="DU141" s="1534"/>
      <c r="DV141" s="1534"/>
      <c r="DW141" s="1534"/>
      <c r="DX141" s="1534"/>
      <c r="DY141" s="1534"/>
      <c r="DZ141" s="1534"/>
      <c r="EA141" s="1535"/>
      <c r="EB141" s="1534"/>
      <c r="EC141" s="1534"/>
      <c r="ED141" s="1534"/>
      <c r="EE141" s="1534"/>
      <c r="EF141" s="1532"/>
      <c r="EG141" s="1532"/>
      <c r="EH141" s="1534"/>
      <c r="EI141" s="1532"/>
      <c r="EJ141" s="1534"/>
      <c r="EK141" s="1534"/>
      <c r="EL141" s="1534"/>
      <c r="EM141" s="1532">
        <v>252</v>
      </c>
      <c r="EN141" s="1534"/>
      <c r="EO141" s="1534"/>
      <c r="EP141" s="1534"/>
      <c r="EQ141" s="1534"/>
      <c r="ER141" s="1534"/>
      <c r="ES141" s="1534"/>
      <c r="ET141" s="1537">
        <v>201</v>
      </c>
      <c r="EU141" s="1534"/>
      <c r="EV141" s="1534"/>
      <c r="EW141" s="1534"/>
      <c r="EX141" s="1534"/>
      <c r="EY141" s="1532">
        <v>252</v>
      </c>
      <c r="EZ141" s="1534"/>
      <c r="FA141" s="1534"/>
      <c r="FB141" s="1534"/>
      <c r="FC141" s="1534"/>
      <c r="FD141" s="1534"/>
      <c r="FE141" s="1534"/>
      <c r="FF141" s="1532"/>
      <c r="FG141" s="1534"/>
      <c r="FH141" s="1532"/>
      <c r="FI141" s="1534"/>
      <c r="FJ141" s="1534"/>
      <c r="FK141" s="1534"/>
      <c r="FL141" s="1534"/>
      <c r="FM141" s="1534"/>
      <c r="FN141" s="1534"/>
      <c r="FO141" s="1534"/>
      <c r="FP141" s="1534"/>
      <c r="FQ141" s="1534"/>
      <c r="FR141" s="1534"/>
      <c r="FS141" s="1534"/>
      <c r="FT141" s="1534"/>
      <c r="FU141" s="1534"/>
      <c r="FV141" s="1534"/>
      <c r="FW141" s="1534"/>
      <c r="FX141" s="1534"/>
      <c r="FY141" s="1534"/>
      <c r="FZ141" s="1534"/>
      <c r="GA141" s="1534"/>
      <c r="GB141" s="1534"/>
      <c r="GC141" s="1534"/>
      <c r="GD141" s="1534"/>
      <c r="GE141" s="1534"/>
      <c r="GF141" s="1534"/>
      <c r="GG141" s="1534"/>
      <c r="GH141" s="1534"/>
      <c r="GI141" s="1534"/>
      <c r="GJ141" s="1532"/>
      <c r="GK141" s="1534"/>
      <c r="GL141" s="1534"/>
      <c r="GM141" s="1534"/>
      <c r="GN141" s="1534"/>
      <c r="GO141" s="1534"/>
      <c r="GP141" s="1534"/>
      <c r="GQ141" s="1534"/>
      <c r="GR141" s="1534"/>
      <c r="GS141" s="1534"/>
      <c r="GT141" s="1534"/>
      <c r="GU141" s="1534"/>
      <c r="GV141" s="1534"/>
      <c r="GW141" s="1534"/>
      <c r="GX141" s="1532"/>
      <c r="GY141" s="1534"/>
      <c r="GZ141" s="1534"/>
      <c r="HA141" s="1534"/>
      <c r="HB141" s="1532"/>
      <c r="HC141" s="1532"/>
      <c r="HD141" s="1534"/>
      <c r="HE141" s="1534"/>
      <c r="HF141" s="1534"/>
      <c r="HG141" s="1534"/>
      <c r="HH141" s="1534"/>
      <c r="HI141" s="1534"/>
      <c r="HJ141" s="1534"/>
      <c r="HK141" s="1534"/>
      <c r="HL141" s="1534"/>
      <c r="HM141" s="1534"/>
      <c r="HN141" s="1534"/>
      <c r="HO141" s="1532"/>
      <c r="HP141" s="1534"/>
      <c r="HQ141" s="1534"/>
      <c r="HR141" s="1534"/>
      <c r="HS141" s="1534"/>
      <c r="HT141" s="1534"/>
      <c r="HU141" s="1534"/>
      <c r="HV141" s="1534"/>
      <c r="HW141" s="1532"/>
      <c r="HX141" s="1534"/>
      <c r="HY141" s="1534"/>
      <c r="HZ141" s="1534"/>
      <c r="IA141" s="1534"/>
      <c r="IB141" s="1534"/>
      <c r="IC141" s="1534"/>
      <c r="ID141" s="1534"/>
      <c r="IE141" s="1534"/>
      <c r="IF141" s="1534"/>
      <c r="IG141" s="1534"/>
      <c r="IH141" s="1534"/>
      <c r="II141" s="1534"/>
      <c r="IJ141" s="1534"/>
      <c r="IK141" s="1534"/>
      <c r="IL141" s="1534"/>
      <c r="IM141" s="1534"/>
      <c r="IN141" s="1534"/>
      <c r="IO141" s="1534"/>
      <c r="IP141" s="1534"/>
      <c r="IQ141" s="1534"/>
      <c r="IR141" s="1534"/>
      <c r="IS141" s="1534"/>
      <c r="IT141" s="1534"/>
      <c r="IU141" s="1534"/>
      <c r="IV141" s="1534"/>
      <c r="IW141" s="1534"/>
      <c r="IX141" s="1534"/>
      <c r="IY141" s="1532"/>
      <c r="IZ141" s="1534"/>
      <c r="JA141" s="1532">
        <v>252</v>
      </c>
      <c r="JB141" s="1534"/>
      <c r="JC141" s="1534"/>
      <c r="JD141" s="1534"/>
      <c r="JE141" s="1534"/>
      <c r="JF141" s="1534"/>
      <c r="JG141" s="1534"/>
      <c r="JH141" s="1534"/>
      <c r="JI141" s="1534"/>
      <c r="JJ141" s="1534"/>
      <c r="JK141" s="1534"/>
      <c r="JL141" s="1534"/>
      <c r="JM141" s="1534"/>
      <c r="JN141" s="1534"/>
      <c r="JO141" s="1534"/>
      <c r="JP141" s="1534"/>
      <c r="JQ141" s="1536"/>
      <c r="JR141" s="351"/>
      <c r="JS141" s="1400"/>
      <c r="JT141" s="1400" t="s">
        <v>2242</v>
      </c>
    </row>
    <row r="142" spans="1:280" ht="20" x14ac:dyDescent="0.25">
      <c r="A142" s="1367">
        <v>95</v>
      </c>
      <c r="B142" s="1411" t="str">
        <f t="shared" si="60"/>
        <v/>
      </c>
      <c r="C142" s="1435" t="s">
        <v>3281</v>
      </c>
      <c r="D142" s="1436" t="s">
        <v>3282</v>
      </c>
      <c r="E142" s="1542"/>
      <c r="F142" s="1543"/>
      <c r="G142" s="1542"/>
      <c r="H142" s="1542"/>
      <c r="I142" s="1542"/>
      <c r="J142" s="1542"/>
      <c r="K142" s="1542"/>
      <c r="L142" s="1542"/>
      <c r="M142" s="1542"/>
      <c r="N142" s="1542"/>
      <c r="O142" s="1542"/>
      <c r="P142" s="1542"/>
      <c r="Q142" s="1542"/>
      <c r="R142" s="1542"/>
      <c r="S142" s="1542"/>
      <c r="T142" s="1542"/>
      <c r="U142" s="1542"/>
      <c r="V142" s="1542"/>
      <c r="W142" s="1542"/>
      <c r="X142" s="1542"/>
      <c r="Y142" s="1542"/>
      <c r="Z142" s="1542"/>
      <c r="AA142" s="1542"/>
      <c r="AB142" s="1542"/>
      <c r="AC142" s="1542"/>
      <c r="AD142" s="1542"/>
      <c r="AE142" s="1542"/>
      <c r="AF142" s="1542"/>
      <c r="AG142" s="1542"/>
      <c r="AH142" s="1542"/>
      <c r="AI142" s="1542"/>
      <c r="AJ142" s="1542"/>
      <c r="AK142" s="1542"/>
      <c r="AL142" s="1543"/>
      <c r="AM142" s="1542"/>
      <c r="AN142" s="1542"/>
      <c r="AO142" s="1542"/>
      <c r="AP142" s="1542"/>
      <c r="AQ142" s="1542"/>
      <c r="AR142" s="1542"/>
      <c r="AS142" s="1542"/>
      <c r="AT142" s="1542"/>
      <c r="AU142" s="1542"/>
      <c r="AV142" s="1542"/>
      <c r="AW142" s="1542"/>
      <c r="AX142" s="1542"/>
      <c r="AY142" s="1542"/>
      <c r="AZ142" s="1542"/>
      <c r="BA142" s="1542"/>
      <c r="BB142" s="1542"/>
      <c r="BC142" s="1542"/>
      <c r="BD142" s="1542"/>
      <c r="BE142" s="1542"/>
      <c r="BF142" s="1542"/>
      <c r="BG142" s="1542"/>
      <c r="BH142" s="1542"/>
      <c r="BI142" s="1542"/>
      <c r="BJ142" s="1544"/>
      <c r="BK142" s="1542"/>
      <c r="BL142" s="1542"/>
      <c r="BM142" s="1542"/>
      <c r="BN142" s="1542"/>
      <c r="BO142" s="1542"/>
      <c r="BP142" s="1542"/>
      <c r="BQ142" s="1542"/>
      <c r="BR142" s="1542"/>
      <c r="BS142" s="1542"/>
      <c r="BT142" s="1542"/>
      <c r="BU142" s="1542"/>
      <c r="BV142" s="1542"/>
      <c r="BW142" s="1542"/>
      <c r="BX142" s="1542"/>
      <c r="BY142" s="1542"/>
      <c r="BZ142" s="1542"/>
      <c r="CA142" s="1542"/>
      <c r="CB142" s="1542"/>
      <c r="CC142" s="1542"/>
      <c r="CD142" s="1542"/>
      <c r="CE142" s="1542"/>
      <c r="CF142" s="1542"/>
      <c r="CG142" s="1542"/>
      <c r="CH142" s="1542"/>
      <c r="CI142" s="1542"/>
      <c r="CJ142" s="1542"/>
      <c r="CK142" s="1542"/>
      <c r="CL142" s="1543">
        <f>CL135+CL136+CL137+CL138+CL139+CL140+CL141</f>
        <v>377499</v>
      </c>
      <c r="CM142" s="1543"/>
      <c r="CN142" s="1542">
        <f t="shared" ref="CN142" si="61">CN135+CN136+CN137+CN138+CN139+CN140+CN141</f>
        <v>337163</v>
      </c>
      <c r="CO142" s="1542"/>
      <c r="CP142" s="1542"/>
      <c r="CQ142" s="1542"/>
      <c r="CR142" s="1543">
        <f>CR135+CR136+CR137+CR138+CR139+CR140+CR141</f>
        <v>377499</v>
      </c>
      <c r="CS142" s="1543">
        <f>CS135+CS136+CS137+CS138+CS139+CS140+CS141</f>
        <v>377499</v>
      </c>
      <c r="CT142" s="1542"/>
      <c r="CU142" s="1542"/>
      <c r="CV142" s="1542"/>
      <c r="CW142" s="1542"/>
      <c r="CX142" s="1542"/>
      <c r="CY142" s="1542"/>
      <c r="CZ142" s="1542"/>
      <c r="DA142" s="1542"/>
      <c r="DB142" s="1542"/>
      <c r="DC142" s="1542"/>
      <c r="DD142" s="1542"/>
      <c r="DE142" s="1542"/>
      <c r="DF142" s="1542"/>
      <c r="DG142" s="1542"/>
      <c r="DH142" s="1542"/>
      <c r="DI142" s="1542"/>
      <c r="DJ142" s="1542"/>
      <c r="DK142" s="1542"/>
      <c r="DL142" s="1542"/>
      <c r="DM142" s="1542"/>
      <c r="DN142" s="1542"/>
      <c r="DO142" s="1542"/>
      <c r="DP142" s="1542"/>
      <c r="DQ142" s="1542"/>
      <c r="DR142" s="1545">
        <v>994424</v>
      </c>
      <c r="DS142" s="1542"/>
      <c r="DT142" s="1542"/>
      <c r="DU142" s="1542"/>
      <c r="DV142" s="1542"/>
      <c r="DW142" s="1542"/>
      <c r="DX142" s="1542"/>
      <c r="DY142" s="1542"/>
      <c r="DZ142" s="1542"/>
      <c r="EA142" s="1542">
        <f>EA135+EA136+EA137+EA138+EA139+EA140+EA141</f>
        <v>150019</v>
      </c>
      <c r="EB142" s="1542"/>
      <c r="EC142" s="1542"/>
      <c r="ED142" s="1542"/>
      <c r="EE142" s="1542"/>
      <c r="EF142" s="1542"/>
      <c r="EG142" s="1542"/>
      <c r="EH142" s="1542"/>
      <c r="EI142" s="1543">
        <f>EI135+EI136+EI137+EI138+EI139+EI140+EI141</f>
        <v>15841</v>
      </c>
      <c r="EJ142" s="1542"/>
      <c r="EK142" s="1542"/>
      <c r="EL142" s="1542"/>
      <c r="EM142" s="1543">
        <f>EM135+EM136+EM137+EM138+EM139+EM140+EM141</f>
        <v>377499</v>
      </c>
      <c r="EN142" s="1543"/>
      <c r="EO142" s="1543"/>
      <c r="EP142" s="1543"/>
      <c r="EQ142" s="1543"/>
      <c r="ER142" s="1543"/>
      <c r="ES142" s="1543"/>
      <c r="ET142" s="1544">
        <f t="shared" ref="ET142" si="62">ET135+ET136+ET137+ET138+ET139+ET140+ET141</f>
        <v>662410</v>
      </c>
      <c r="EU142" s="1546"/>
      <c r="EV142" s="1546"/>
      <c r="EW142" s="1546"/>
      <c r="EX142" s="1546"/>
      <c r="EY142" s="1543">
        <f>EY135+EY136+EY137+EY138+EY139+EY140+EY141</f>
        <v>377499</v>
      </c>
      <c r="EZ142" s="1546"/>
      <c r="FA142" s="1546"/>
      <c r="FB142" s="1546"/>
      <c r="FC142" s="1546"/>
      <c r="FD142" s="1546"/>
      <c r="FE142" s="1546"/>
      <c r="FF142" s="1547"/>
      <c r="FG142" s="1546"/>
      <c r="FH142" s="1547"/>
      <c r="FI142" s="1546"/>
      <c r="FJ142" s="1546"/>
      <c r="FK142" s="1546"/>
      <c r="FL142" s="1546"/>
      <c r="FM142" s="1546"/>
      <c r="FN142" s="1546"/>
      <c r="FO142" s="1546"/>
      <c r="FP142" s="1546"/>
      <c r="FQ142" s="1546"/>
      <c r="FR142" s="1546"/>
      <c r="FS142" s="1546"/>
      <c r="FT142" s="1546"/>
      <c r="FU142" s="1546"/>
      <c r="FV142" s="1546"/>
      <c r="FW142" s="1546"/>
      <c r="FX142" s="1546"/>
      <c r="FY142" s="1546"/>
      <c r="FZ142" s="1546"/>
      <c r="GA142" s="1546"/>
      <c r="GB142" s="1546"/>
      <c r="GC142" s="1546"/>
      <c r="GD142" s="1546"/>
      <c r="GE142" s="1546"/>
      <c r="GF142" s="1546"/>
      <c r="GG142" s="1546"/>
      <c r="GH142" s="1546"/>
      <c r="GI142" s="1546"/>
      <c r="GJ142" s="1543">
        <f>GJ135+GJ136+GJ137+GJ138+GJ139+GJ140+GJ141</f>
        <v>15841</v>
      </c>
      <c r="GK142" s="1546"/>
      <c r="GL142" s="1546"/>
      <c r="GM142" s="1546"/>
      <c r="GN142" s="1546"/>
      <c r="GO142" s="1546"/>
      <c r="GP142" s="1546"/>
      <c r="GQ142" s="1546"/>
      <c r="GR142" s="1546"/>
      <c r="GS142" s="1546"/>
      <c r="GT142" s="1546"/>
      <c r="GU142" s="1546"/>
      <c r="GV142" s="1546"/>
      <c r="GW142" s="1546"/>
      <c r="GX142" s="1547"/>
      <c r="GY142" s="1546"/>
      <c r="GZ142" s="1546"/>
      <c r="HA142" s="1546"/>
      <c r="HB142" s="1547"/>
      <c r="HC142" s="1547"/>
      <c r="HD142" s="1546"/>
      <c r="HE142" s="1546"/>
      <c r="HF142" s="1546"/>
      <c r="HG142" s="1546"/>
      <c r="HH142" s="1546"/>
      <c r="HI142" s="1546"/>
      <c r="HJ142" s="1546"/>
      <c r="HK142" s="1546"/>
      <c r="HL142" s="1546"/>
      <c r="HM142" s="1546"/>
      <c r="HN142" s="1546"/>
      <c r="HO142" s="1547"/>
      <c r="HP142" s="1546"/>
      <c r="HQ142" s="1546"/>
      <c r="HR142" s="1546"/>
      <c r="HS142" s="1546"/>
      <c r="HT142" s="1546"/>
      <c r="HU142" s="1546"/>
      <c r="HV142" s="1546"/>
      <c r="HW142" s="1547"/>
      <c r="HX142" s="1546"/>
      <c r="HY142" s="1546"/>
      <c r="HZ142" s="1546"/>
      <c r="IA142" s="1546"/>
      <c r="IB142" s="1546"/>
      <c r="IC142" s="1546"/>
      <c r="ID142" s="1546"/>
      <c r="IE142" s="1546"/>
      <c r="IF142" s="1546"/>
      <c r="IG142" s="1546"/>
      <c r="IH142" s="1546"/>
      <c r="II142" s="1546"/>
      <c r="IJ142" s="1546"/>
      <c r="IK142" s="1546"/>
      <c r="IL142" s="1546"/>
      <c r="IM142" s="1546"/>
      <c r="IN142" s="1546"/>
      <c r="IO142" s="1546"/>
      <c r="IP142" s="1546"/>
      <c r="IQ142" s="1546"/>
      <c r="IR142" s="1546"/>
      <c r="IS142" s="1546"/>
      <c r="IT142" s="1546"/>
      <c r="IU142" s="1546"/>
      <c r="IV142" s="1546"/>
      <c r="IW142" s="1546"/>
      <c r="IX142" s="1544">
        <f>IX135+IX136+IX137+IX138+IX139+IX140+IX141</f>
        <v>2051824</v>
      </c>
      <c r="IY142" s="1547"/>
      <c r="IZ142" s="1546"/>
      <c r="JA142" s="1543">
        <f>JA135+JA136+JA137+JA138+JA139+JA140+JA141</f>
        <v>377499</v>
      </c>
      <c r="JB142" s="1546"/>
      <c r="JC142" s="1546"/>
      <c r="JD142" s="1546"/>
      <c r="JE142" s="1546"/>
      <c r="JF142" s="1546"/>
      <c r="JG142" s="1546"/>
      <c r="JH142" s="1546"/>
      <c r="JI142" s="1546"/>
      <c r="JJ142" s="1546"/>
      <c r="JK142" s="1546"/>
      <c r="JL142" s="1546"/>
      <c r="JM142" s="1546"/>
      <c r="JN142" s="1546"/>
      <c r="JO142" s="1546"/>
      <c r="JP142" s="1546"/>
      <c r="JQ142" s="1548"/>
      <c r="JR142" s="351"/>
      <c r="JS142" s="1521" t="s">
        <v>3283</v>
      </c>
      <c r="JT142" s="1400" t="s">
        <v>2242</v>
      </c>
    </row>
    <row r="143" spans="1:280" x14ac:dyDescent="0.25">
      <c r="A143" s="1367">
        <v>96</v>
      </c>
      <c r="B143" s="1411" t="str">
        <f t="shared" si="60"/>
        <v/>
      </c>
      <c r="C143" s="1435" t="s">
        <v>3284</v>
      </c>
      <c r="D143" s="1436" t="s">
        <v>3285</v>
      </c>
      <c r="E143" s="1532"/>
      <c r="F143" s="1532"/>
      <c r="G143" s="1532"/>
      <c r="H143" s="1532"/>
      <c r="I143" s="1532"/>
      <c r="J143" s="1532"/>
      <c r="K143" s="1532"/>
      <c r="L143" s="1532"/>
      <c r="M143" s="1532"/>
      <c r="N143" s="1532"/>
      <c r="O143" s="1533"/>
      <c r="P143" s="1533"/>
      <c r="Q143" s="1532"/>
      <c r="R143" s="1533"/>
      <c r="S143" s="1532"/>
      <c r="T143" s="1534"/>
      <c r="U143" s="1534"/>
      <c r="V143" s="1534"/>
      <c r="W143" s="1534"/>
      <c r="X143" s="1534"/>
      <c r="Y143" s="1534"/>
      <c r="Z143" s="1534"/>
      <c r="AA143" s="1534"/>
      <c r="AB143" s="1534"/>
      <c r="AC143" s="1532"/>
      <c r="AD143" s="1532"/>
      <c r="AE143" s="1532"/>
      <c r="AF143" s="1532"/>
      <c r="AG143" s="1532"/>
      <c r="AH143" s="1532"/>
      <c r="AI143" s="1534"/>
      <c r="AJ143" s="1532"/>
      <c r="AK143" s="1534"/>
      <c r="AL143" s="1532"/>
      <c r="AM143" s="1534"/>
      <c r="AN143" s="1534"/>
      <c r="AO143" s="1534"/>
      <c r="AP143" s="1534"/>
      <c r="AQ143" s="1534"/>
      <c r="AR143" s="1534"/>
      <c r="AS143" s="1534"/>
      <c r="AT143" s="1534"/>
      <c r="AU143" s="1534"/>
      <c r="AV143" s="1532"/>
      <c r="AW143" s="1534"/>
      <c r="AX143" s="1534"/>
      <c r="AY143" s="1534"/>
      <c r="AZ143" s="1534"/>
      <c r="BA143" s="1534"/>
      <c r="BB143" s="1534"/>
      <c r="BC143" s="1534"/>
      <c r="BD143" s="1534"/>
      <c r="BE143" s="1534"/>
      <c r="BF143" s="1534"/>
      <c r="BG143" s="1534"/>
      <c r="BH143" s="1534"/>
      <c r="BI143" s="1534"/>
      <c r="BJ143" s="1541"/>
      <c r="BK143" s="1534"/>
      <c r="BL143" s="1534"/>
      <c r="BM143" s="1534"/>
      <c r="BN143" s="1534"/>
      <c r="BO143" s="1534"/>
      <c r="BP143" s="1532"/>
      <c r="BQ143" s="1534"/>
      <c r="BR143" s="1534"/>
      <c r="BS143" s="1534"/>
      <c r="BT143" s="1534"/>
      <c r="BU143" s="1534"/>
      <c r="BV143" s="1534"/>
      <c r="BW143" s="1534"/>
      <c r="BX143" s="1534"/>
      <c r="BY143" s="1534"/>
      <c r="BZ143" s="1534"/>
      <c r="CA143" s="1534"/>
      <c r="CB143" s="1534"/>
      <c r="CC143" s="1534"/>
      <c r="CD143" s="1534"/>
      <c r="CE143" s="1534"/>
      <c r="CF143" s="1532"/>
      <c r="CG143" s="1534"/>
      <c r="CH143" s="1532"/>
      <c r="CI143" s="1534"/>
      <c r="CJ143" s="1534"/>
      <c r="CK143" s="1534"/>
      <c r="CL143" s="1532">
        <v>14864</v>
      </c>
      <c r="CM143" s="1534"/>
      <c r="CN143" s="1535">
        <v>25754</v>
      </c>
      <c r="CO143" s="1534"/>
      <c r="CP143" s="1534"/>
      <c r="CQ143" s="1534"/>
      <c r="CR143" s="1532">
        <v>14864</v>
      </c>
      <c r="CS143" s="1532">
        <v>14864</v>
      </c>
      <c r="CT143" s="1534"/>
      <c r="CU143" s="1532"/>
      <c r="CV143" s="1532"/>
      <c r="CW143" s="1534"/>
      <c r="CX143" s="1534"/>
      <c r="CY143" s="1534"/>
      <c r="CZ143" s="1534"/>
      <c r="DA143" s="1534"/>
      <c r="DB143" s="1534"/>
      <c r="DC143" s="1534"/>
      <c r="DD143" s="1534"/>
      <c r="DE143" s="1534"/>
      <c r="DF143" s="1534"/>
      <c r="DG143" s="1534"/>
      <c r="DH143" s="1534"/>
      <c r="DI143" s="1534"/>
      <c r="DJ143" s="1532"/>
      <c r="DK143" s="1534"/>
      <c r="DL143" s="1534"/>
      <c r="DM143" s="1534"/>
      <c r="DN143" s="1534"/>
      <c r="DO143" s="1532"/>
      <c r="DP143" s="1534"/>
      <c r="DQ143" s="1534"/>
      <c r="DR143" s="1537">
        <v>11146</v>
      </c>
      <c r="DS143" s="1534"/>
      <c r="DT143" s="1534"/>
      <c r="DU143" s="1534"/>
      <c r="DV143" s="1534"/>
      <c r="DW143" s="1534"/>
      <c r="DX143" s="1534"/>
      <c r="DY143" s="1534"/>
      <c r="DZ143" s="1534"/>
      <c r="EA143" s="1535">
        <v>25754</v>
      </c>
      <c r="EB143" s="1534"/>
      <c r="EC143" s="1534"/>
      <c r="ED143" s="1534"/>
      <c r="EE143" s="1534"/>
      <c r="EF143" s="1532"/>
      <c r="EG143" s="1532"/>
      <c r="EH143" s="1534"/>
      <c r="EI143" s="1532"/>
      <c r="EJ143" s="1534"/>
      <c r="EK143" s="1534"/>
      <c r="EL143" s="1534"/>
      <c r="EM143" s="1532">
        <v>14864</v>
      </c>
      <c r="EN143" s="1534"/>
      <c r="EO143" s="1534"/>
      <c r="EP143" s="1534"/>
      <c r="EQ143" s="1534"/>
      <c r="ER143" s="1534"/>
      <c r="ES143" s="1534"/>
      <c r="ET143" s="1537">
        <v>465</v>
      </c>
      <c r="EU143" s="1534"/>
      <c r="EV143" s="1534"/>
      <c r="EW143" s="1534"/>
      <c r="EX143" s="1534"/>
      <c r="EY143" s="1532">
        <v>14864</v>
      </c>
      <c r="EZ143" s="1534"/>
      <c r="FA143" s="1534"/>
      <c r="FB143" s="1534"/>
      <c r="FC143" s="1534"/>
      <c r="FD143" s="1534"/>
      <c r="FE143" s="1534"/>
      <c r="FF143" s="1532"/>
      <c r="FG143" s="1534"/>
      <c r="FH143" s="1532"/>
      <c r="FI143" s="1534"/>
      <c r="FJ143" s="1534"/>
      <c r="FK143" s="1534"/>
      <c r="FL143" s="1534"/>
      <c r="FM143" s="1534"/>
      <c r="FN143" s="1534"/>
      <c r="FO143" s="1534"/>
      <c r="FP143" s="1534"/>
      <c r="FQ143" s="1534"/>
      <c r="FR143" s="1534"/>
      <c r="FS143" s="1534"/>
      <c r="FT143" s="1534"/>
      <c r="FU143" s="1534"/>
      <c r="FV143" s="1534"/>
      <c r="FW143" s="1534"/>
      <c r="FX143" s="1534"/>
      <c r="FY143" s="1534"/>
      <c r="FZ143" s="1534"/>
      <c r="GA143" s="1534"/>
      <c r="GB143" s="1534"/>
      <c r="GC143" s="1534"/>
      <c r="GD143" s="1534"/>
      <c r="GE143" s="1534"/>
      <c r="GF143" s="1534"/>
      <c r="GG143" s="1534"/>
      <c r="GH143" s="1534"/>
      <c r="GI143" s="1534"/>
      <c r="GJ143" s="1532"/>
      <c r="GK143" s="1534"/>
      <c r="GL143" s="1534"/>
      <c r="GM143" s="1534"/>
      <c r="GN143" s="1534"/>
      <c r="GO143" s="1534"/>
      <c r="GP143" s="1534"/>
      <c r="GQ143" s="1534"/>
      <c r="GR143" s="1534"/>
      <c r="GS143" s="1534"/>
      <c r="GT143" s="1534"/>
      <c r="GU143" s="1534"/>
      <c r="GV143" s="1534"/>
      <c r="GW143" s="1534"/>
      <c r="GX143" s="1532"/>
      <c r="GY143" s="1534"/>
      <c r="GZ143" s="1534"/>
      <c r="HA143" s="1534"/>
      <c r="HB143" s="1532"/>
      <c r="HC143" s="1532"/>
      <c r="HD143" s="1534"/>
      <c r="HE143" s="1534"/>
      <c r="HF143" s="1534"/>
      <c r="HG143" s="1534"/>
      <c r="HH143" s="1534"/>
      <c r="HI143" s="1534"/>
      <c r="HJ143" s="1534"/>
      <c r="HK143" s="1534"/>
      <c r="HL143" s="1534"/>
      <c r="HM143" s="1534"/>
      <c r="HN143" s="1534"/>
      <c r="HO143" s="1532"/>
      <c r="HP143" s="1534"/>
      <c r="HQ143" s="1534"/>
      <c r="HR143" s="1534"/>
      <c r="HS143" s="1534"/>
      <c r="HT143" s="1534"/>
      <c r="HU143" s="1534"/>
      <c r="HV143" s="1534"/>
      <c r="HW143" s="1532"/>
      <c r="HX143" s="1534"/>
      <c r="HY143" s="1534"/>
      <c r="HZ143" s="1534"/>
      <c r="IA143" s="1534"/>
      <c r="IB143" s="1534"/>
      <c r="IC143" s="1534"/>
      <c r="ID143" s="1534"/>
      <c r="IE143" s="1534"/>
      <c r="IF143" s="1534"/>
      <c r="IG143" s="1534"/>
      <c r="IH143" s="1534"/>
      <c r="II143" s="1534"/>
      <c r="IJ143" s="1534"/>
      <c r="IK143" s="1534"/>
      <c r="IL143" s="1534"/>
      <c r="IM143" s="1534"/>
      <c r="IN143" s="1534"/>
      <c r="IO143" s="1534"/>
      <c r="IP143" s="1534"/>
      <c r="IQ143" s="1534"/>
      <c r="IR143" s="1534"/>
      <c r="IS143" s="1534"/>
      <c r="IT143" s="1534"/>
      <c r="IU143" s="1534"/>
      <c r="IV143" s="1534"/>
      <c r="IW143" s="1534"/>
      <c r="IX143" s="1537">
        <v>58257</v>
      </c>
      <c r="IY143" s="1532"/>
      <c r="IZ143" s="1534"/>
      <c r="JA143" s="1532">
        <v>14864</v>
      </c>
      <c r="JB143" s="1534"/>
      <c r="JC143" s="1534"/>
      <c r="JD143" s="1534"/>
      <c r="JE143" s="1534"/>
      <c r="JF143" s="1534"/>
      <c r="JG143" s="1534"/>
      <c r="JH143" s="1534"/>
      <c r="JI143" s="1534"/>
      <c r="JJ143" s="1534"/>
      <c r="JK143" s="1534"/>
      <c r="JL143" s="1534"/>
      <c r="JM143" s="1534"/>
      <c r="JN143" s="1534"/>
      <c r="JO143" s="1534"/>
      <c r="JP143" s="1534"/>
      <c r="JQ143" s="1536"/>
      <c r="JR143" s="351"/>
      <c r="JS143" s="1400"/>
      <c r="JT143" s="1400" t="s">
        <v>2242</v>
      </c>
    </row>
    <row r="144" spans="1:280" x14ac:dyDescent="0.25">
      <c r="A144" s="1367">
        <v>97</v>
      </c>
      <c r="B144" s="1411" t="str">
        <f t="shared" si="60"/>
        <v/>
      </c>
      <c r="C144" s="1435" t="s">
        <v>3286</v>
      </c>
      <c r="D144" s="1436" t="s">
        <v>3287</v>
      </c>
      <c r="E144" s="1532"/>
      <c r="F144" s="1532"/>
      <c r="G144" s="1532"/>
      <c r="H144" s="1532"/>
      <c r="I144" s="1532"/>
      <c r="J144" s="1532"/>
      <c r="K144" s="1532"/>
      <c r="L144" s="1532"/>
      <c r="M144" s="1532"/>
      <c r="N144" s="1532"/>
      <c r="O144" s="1533"/>
      <c r="P144" s="1533"/>
      <c r="Q144" s="1532"/>
      <c r="R144" s="1533"/>
      <c r="S144" s="1532"/>
      <c r="T144" s="1534"/>
      <c r="U144" s="1534"/>
      <c r="V144" s="1534"/>
      <c r="W144" s="1534"/>
      <c r="X144" s="1534"/>
      <c r="Y144" s="1534"/>
      <c r="Z144" s="1534"/>
      <c r="AA144" s="1534"/>
      <c r="AB144" s="1534"/>
      <c r="AC144" s="1532"/>
      <c r="AD144" s="1532"/>
      <c r="AE144" s="1532"/>
      <c r="AF144" s="1532"/>
      <c r="AG144" s="1532"/>
      <c r="AH144" s="1532"/>
      <c r="AI144" s="1534"/>
      <c r="AJ144" s="1532"/>
      <c r="AK144" s="1534"/>
      <c r="AL144" s="1532"/>
      <c r="AM144" s="1534"/>
      <c r="AN144" s="1534"/>
      <c r="AO144" s="1534"/>
      <c r="AP144" s="1534"/>
      <c r="AQ144" s="1534"/>
      <c r="AR144" s="1534"/>
      <c r="AS144" s="1534"/>
      <c r="AT144" s="1534"/>
      <c r="AU144" s="1534"/>
      <c r="AV144" s="1532"/>
      <c r="AW144" s="1534"/>
      <c r="AX144" s="1534"/>
      <c r="AY144" s="1534"/>
      <c r="AZ144" s="1534"/>
      <c r="BA144" s="1534"/>
      <c r="BB144" s="1534"/>
      <c r="BC144" s="1534"/>
      <c r="BD144" s="1534"/>
      <c r="BE144" s="1534"/>
      <c r="BF144" s="1534"/>
      <c r="BG144" s="1534"/>
      <c r="BH144" s="1534"/>
      <c r="BI144" s="1534"/>
      <c r="BJ144" s="1541"/>
      <c r="BK144" s="1534"/>
      <c r="BL144" s="1534"/>
      <c r="BM144" s="1534"/>
      <c r="BN144" s="1534"/>
      <c r="BO144" s="1534"/>
      <c r="BP144" s="1532"/>
      <c r="BQ144" s="1534"/>
      <c r="BR144" s="1534"/>
      <c r="BS144" s="1534"/>
      <c r="BT144" s="1534"/>
      <c r="BU144" s="1534"/>
      <c r="BV144" s="1534"/>
      <c r="BW144" s="1534"/>
      <c r="BX144" s="1534"/>
      <c r="BY144" s="1534"/>
      <c r="BZ144" s="1534"/>
      <c r="CA144" s="1534"/>
      <c r="CB144" s="1534"/>
      <c r="CC144" s="1534"/>
      <c r="CD144" s="1534"/>
      <c r="CE144" s="1534"/>
      <c r="CF144" s="1532"/>
      <c r="CG144" s="1534"/>
      <c r="CH144" s="1532"/>
      <c r="CI144" s="1534"/>
      <c r="CJ144" s="1534"/>
      <c r="CK144" s="1534"/>
      <c r="CL144" s="1532">
        <v>93551</v>
      </c>
      <c r="CM144" s="1534"/>
      <c r="CN144" s="1534"/>
      <c r="CO144" s="1534"/>
      <c r="CP144" s="1534"/>
      <c r="CQ144" s="1534"/>
      <c r="CR144" s="1532">
        <v>93551</v>
      </c>
      <c r="CS144" s="1532">
        <v>93551</v>
      </c>
      <c r="CT144" s="1534"/>
      <c r="CU144" s="1532"/>
      <c r="CV144" s="1532"/>
      <c r="CW144" s="1534"/>
      <c r="CX144" s="1534"/>
      <c r="CY144" s="1534"/>
      <c r="CZ144" s="1534"/>
      <c r="DA144" s="1534"/>
      <c r="DB144" s="1534"/>
      <c r="DC144" s="1534"/>
      <c r="DD144" s="1534"/>
      <c r="DE144" s="1534"/>
      <c r="DF144" s="1534"/>
      <c r="DG144" s="1534"/>
      <c r="DH144" s="1534"/>
      <c r="DI144" s="1534"/>
      <c r="DJ144" s="1532"/>
      <c r="DK144" s="1534"/>
      <c r="DL144" s="1534"/>
      <c r="DM144" s="1534"/>
      <c r="DN144" s="1534"/>
      <c r="DO144" s="1532"/>
      <c r="DP144" s="1534"/>
      <c r="DQ144" s="1534"/>
      <c r="DR144" s="1534"/>
      <c r="DS144" s="1534"/>
      <c r="DT144" s="1534"/>
      <c r="DU144" s="1534"/>
      <c r="DV144" s="1534"/>
      <c r="DW144" s="1534"/>
      <c r="DX144" s="1534"/>
      <c r="DY144" s="1534"/>
      <c r="DZ144" s="1534"/>
      <c r="EA144" s="1535"/>
      <c r="EB144" s="1534"/>
      <c r="EC144" s="1534"/>
      <c r="ED144" s="1534"/>
      <c r="EE144" s="1534"/>
      <c r="EF144" s="1532"/>
      <c r="EG144" s="1532"/>
      <c r="EH144" s="1534"/>
      <c r="EI144" s="1532"/>
      <c r="EJ144" s="1534"/>
      <c r="EK144" s="1534"/>
      <c r="EL144" s="1534"/>
      <c r="EM144" s="1532">
        <v>93551</v>
      </c>
      <c r="EN144" s="1534"/>
      <c r="EO144" s="1534"/>
      <c r="EP144" s="1534"/>
      <c r="EQ144" s="1534"/>
      <c r="ER144" s="1534"/>
      <c r="ES144" s="1534"/>
      <c r="ET144" s="1534"/>
      <c r="EU144" s="1534"/>
      <c r="EV144" s="1534"/>
      <c r="EW144" s="1534"/>
      <c r="EX144" s="1534"/>
      <c r="EY144" s="1532">
        <v>93551</v>
      </c>
      <c r="EZ144" s="1534"/>
      <c r="FA144" s="1534"/>
      <c r="FB144" s="1534"/>
      <c r="FC144" s="1534"/>
      <c r="FD144" s="1534"/>
      <c r="FE144" s="1534"/>
      <c r="FF144" s="1532"/>
      <c r="FG144" s="1534"/>
      <c r="FH144" s="1532"/>
      <c r="FI144" s="1534"/>
      <c r="FJ144" s="1534"/>
      <c r="FK144" s="1534"/>
      <c r="FL144" s="1534"/>
      <c r="FM144" s="1534"/>
      <c r="FN144" s="1534"/>
      <c r="FO144" s="1534"/>
      <c r="FP144" s="1534"/>
      <c r="FQ144" s="1534"/>
      <c r="FR144" s="1534"/>
      <c r="FS144" s="1534"/>
      <c r="FT144" s="1534"/>
      <c r="FU144" s="1534"/>
      <c r="FV144" s="1534"/>
      <c r="FW144" s="1534"/>
      <c r="FX144" s="1534"/>
      <c r="FY144" s="1534"/>
      <c r="FZ144" s="1534"/>
      <c r="GA144" s="1534"/>
      <c r="GB144" s="1534"/>
      <c r="GC144" s="1534"/>
      <c r="GD144" s="1534"/>
      <c r="GE144" s="1534"/>
      <c r="GF144" s="1534"/>
      <c r="GG144" s="1534"/>
      <c r="GH144" s="1534"/>
      <c r="GI144" s="1534"/>
      <c r="GJ144" s="1532"/>
      <c r="GK144" s="1534"/>
      <c r="GL144" s="1534"/>
      <c r="GM144" s="1534"/>
      <c r="GN144" s="1534"/>
      <c r="GO144" s="1534"/>
      <c r="GP144" s="1534"/>
      <c r="GQ144" s="1534"/>
      <c r="GR144" s="1534"/>
      <c r="GS144" s="1534"/>
      <c r="GT144" s="1534"/>
      <c r="GU144" s="1534"/>
      <c r="GV144" s="1534"/>
      <c r="GW144" s="1534"/>
      <c r="GX144" s="1532"/>
      <c r="GY144" s="1534"/>
      <c r="GZ144" s="1534"/>
      <c r="HA144" s="1534"/>
      <c r="HB144" s="1532"/>
      <c r="HC144" s="1532"/>
      <c r="HD144" s="1534"/>
      <c r="HE144" s="1534"/>
      <c r="HF144" s="1534"/>
      <c r="HG144" s="1534"/>
      <c r="HH144" s="1534"/>
      <c r="HI144" s="1534"/>
      <c r="HJ144" s="1534"/>
      <c r="HK144" s="1534"/>
      <c r="HL144" s="1534"/>
      <c r="HM144" s="1534"/>
      <c r="HN144" s="1534"/>
      <c r="HO144" s="1532"/>
      <c r="HP144" s="1534"/>
      <c r="HQ144" s="1534"/>
      <c r="HR144" s="1534"/>
      <c r="HS144" s="1534"/>
      <c r="HT144" s="1534"/>
      <c r="HU144" s="1534"/>
      <c r="HV144" s="1534"/>
      <c r="HW144" s="1532"/>
      <c r="HX144" s="1534"/>
      <c r="HY144" s="1534"/>
      <c r="HZ144" s="1534"/>
      <c r="IA144" s="1534"/>
      <c r="IB144" s="1534"/>
      <c r="IC144" s="1534"/>
      <c r="ID144" s="1534"/>
      <c r="IE144" s="1534"/>
      <c r="IF144" s="1534"/>
      <c r="IG144" s="1534"/>
      <c r="IH144" s="1534"/>
      <c r="II144" s="1534"/>
      <c r="IJ144" s="1534"/>
      <c r="IK144" s="1534"/>
      <c r="IL144" s="1534"/>
      <c r="IM144" s="1534"/>
      <c r="IN144" s="1534"/>
      <c r="IO144" s="1534"/>
      <c r="IP144" s="1534"/>
      <c r="IQ144" s="1534"/>
      <c r="IR144" s="1534"/>
      <c r="IS144" s="1534"/>
      <c r="IT144" s="1534"/>
      <c r="IU144" s="1534"/>
      <c r="IV144" s="1534"/>
      <c r="IW144" s="1534"/>
      <c r="IX144" s="1537">
        <v>74484</v>
      </c>
      <c r="IY144" s="1532"/>
      <c r="IZ144" s="1534"/>
      <c r="JA144" s="1532">
        <v>93551</v>
      </c>
      <c r="JB144" s="1534"/>
      <c r="JC144" s="1534"/>
      <c r="JD144" s="1534"/>
      <c r="JE144" s="1534"/>
      <c r="JF144" s="1534"/>
      <c r="JG144" s="1534"/>
      <c r="JH144" s="1534"/>
      <c r="JI144" s="1534"/>
      <c r="JJ144" s="1534"/>
      <c r="JK144" s="1534"/>
      <c r="JL144" s="1534"/>
      <c r="JM144" s="1534"/>
      <c r="JN144" s="1534"/>
      <c r="JO144" s="1534"/>
      <c r="JP144" s="1534"/>
      <c r="JQ144" s="1536"/>
      <c r="JR144" s="351"/>
      <c r="JS144" s="1400" t="s">
        <v>2927</v>
      </c>
      <c r="JT144" s="1400" t="s">
        <v>2242</v>
      </c>
    </row>
    <row r="145" spans="1:280" x14ac:dyDescent="0.25">
      <c r="A145" s="1367">
        <v>98</v>
      </c>
      <c r="B145" s="1411" t="str">
        <f t="shared" si="60"/>
        <v/>
      </c>
      <c r="C145" s="1435" t="s">
        <v>3288</v>
      </c>
      <c r="D145" s="1436" t="s">
        <v>3289</v>
      </c>
      <c r="E145" s="1532"/>
      <c r="F145" s="1532"/>
      <c r="G145" s="1532"/>
      <c r="H145" s="1532"/>
      <c r="I145" s="1532"/>
      <c r="J145" s="1532"/>
      <c r="K145" s="1532"/>
      <c r="L145" s="1532"/>
      <c r="M145" s="1532"/>
      <c r="N145" s="1532"/>
      <c r="O145" s="1533"/>
      <c r="P145" s="1533"/>
      <c r="Q145" s="1532"/>
      <c r="R145" s="1533"/>
      <c r="S145" s="1532"/>
      <c r="T145" s="1534"/>
      <c r="U145" s="1534"/>
      <c r="V145" s="1534"/>
      <c r="W145" s="1534"/>
      <c r="X145" s="1534"/>
      <c r="Y145" s="1534"/>
      <c r="Z145" s="1534"/>
      <c r="AA145" s="1534"/>
      <c r="AB145" s="1534"/>
      <c r="AC145" s="1532"/>
      <c r="AD145" s="1532"/>
      <c r="AE145" s="1532"/>
      <c r="AF145" s="1532"/>
      <c r="AG145" s="1532"/>
      <c r="AH145" s="1532"/>
      <c r="AI145" s="1534"/>
      <c r="AJ145" s="1532"/>
      <c r="AK145" s="1534"/>
      <c r="AL145" s="1532"/>
      <c r="AM145" s="1534"/>
      <c r="AN145" s="1534"/>
      <c r="AO145" s="1534"/>
      <c r="AP145" s="1534"/>
      <c r="AQ145" s="1534"/>
      <c r="AR145" s="1534"/>
      <c r="AS145" s="1534"/>
      <c r="AT145" s="1534"/>
      <c r="AU145" s="1534"/>
      <c r="AV145" s="1532"/>
      <c r="AW145" s="1534"/>
      <c r="AX145" s="1534"/>
      <c r="AY145" s="1534"/>
      <c r="AZ145" s="1534"/>
      <c r="BA145" s="1534"/>
      <c r="BB145" s="1534"/>
      <c r="BC145" s="1534"/>
      <c r="BD145" s="1534"/>
      <c r="BE145" s="1534"/>
      <c r="BF145" s="1534"/>
      <c r="BG145" s="1534"/>
      <c r="BH145" s="1534"/>
      <c r="BI145" s="1534"/>
      <c r="BJ145" s="1541"/>
      <c r="BK145" s="1534"/>
      <c r="BL145" s="1534"/>
      <c r="BM145" s="1534"/>
      <c r="BN145" s="1534"/>
      <c r="BO145" s="1534"/>
      <c r="BP145" s="1532"/>
      <c r="BQ145" s="1534"/>
      <c r="BR145" s="1534"/>
      <c r="BS145" s="1534"/>
      <c r="BT145" s="1534"/>
      <c r="BU145" s="1534"/>
      <c r="BV145" s="1534"/>
      <c r="BW145" s="1534"/>
      <c r="BX145" s="1534"/>
      <c r="BY145" s="1534"/>
      <c r="BZ145" s="1534"/>
      <c r="CA145" s="1534"/>
      <c r="CB145" s="1534"/>
      <c r="CC145" s="1534"/>
      <c r="CD145" s="1534"/>
      <c r="CE145" s="1534"/>
      <c r="CF145" s="1532"/>
      <c r="CG145" s="1534"/>
      <c r="CH145" s="1532"/>
      <c r="CI145" s="1534"/>
      <c r="CJ145" s="1534"/>
      <c r="CK145" s="1534"/>
      <c r="CL145" s="1532">
        <v>108416</v>
      </c>
      <c r="CM145" s="1534"/>
      <c r="CN145" s="1534"/>
      <c r="CO145" s="1534"/>
      <c r="CP145" s="1534"/>
      <c r="CQ145" s="1534"/>
      <c r="CR145" s="1532">
        <v>108416</v>
      </c>
      <c r="CS145" s="1532">
        <v>108416</v>
      </c>
      <c r="CT145" s="1534"/>
      <c r="CU145" s="1532"/>
      <c r="CV145" s="1532"/>
      <c r="CW145" s="1534"/>
      <c r="CX145" s="1534"/>
      <c r="CY145" s="1534"/>
      <c r="CZ145" s="1534"/>
      <c r="DA145" s="1534"/>
      <c r="DB145" s="1534"/>
      <c r="DC145" s="1534"/>
      <c r="DD145" s="1534"/>
      <c r="DE145" s="1534"/>
      <c r="DF145" s="1534"/>
      <c r="DG145" s="1534"/>
      <c r="DH145" s="1534"/>
      <c r="DI145" s="1534"/>
      <c r="DJ145" s="1532"/>
      <c r="DK145" s="1534"/>
      <c r="DL145" s="1534"/>
      <c r="DM145" s="1534"/>
      <c r="DN145" s="1534"/>
      <c r="DO145" s="1532"/>
      <c r="DP145" s="1534"/>
      <c r="DQ145" s="1534"/>
      <c r="DR145" s="1537">
        <v>612</v>
      </c>
      <c r="DS145" s="1534"/>
      <c r="DT145" s="1534"/>
      <c r="DU145" s="1534"/>
      <c r="DV145" s="1534"/>
      <c r="DW145" s="1534"/>
      <c r="DX145" s="1534"/>
      <c r="DY145" s="1534"/>
      <c r="DZ145" s="1534"/>
      <c r="EA145" s="1535"/>
      <c r="EB145" s="1534"/>
      <c r="EC145" s="1534"/>
      <c r="ED145" s="1534"/>
      <c r="EE145" s="1534"/>
      <c r="EF145" s="1532"/>
      <c r="EG145" s="1532"/>
      <c r="EH145" s="1534"/>
      <c r="EI145" s="1532"/>
      <c r="EJ145" s="1534"/>
      <c r="EK145" s="1534"/>
      <c r="EL145" s="1534"/>
      <c r="EM145" s="1532">
        <v>108416</v>
      </c>
      <c r="EN145" s="1534"/>
      <c r="EO145" s="1534"/>
      <c r="EP145" s="1534"/>
      <c r="EQ145" s="1534"/>
      <c r="ER145" s="1534"/>
      <c r="ES145" s="1534"/>
      <c r="ET145" s="1534"/>
      <c r="EU145" s="1534"/>
      <c r="EV145" s="1534"/>
      <c r="EW145" s="1534"/>
      <c r="EX145" s="1534"/>
      <c r="EY145" s="1532">
        <v>108416</v>
      </c>
      <c r="EZ145" s="1534"/>
      <c r="FA145" s="1534"/>
      <c r="FB145" s="1534"/>
      <c r="FC145" s="1534"/>
      <c r="FD145" s="1534"/>
      <c r="FE145" s="1534"/>
      <c r="FF145" s="1532"/>
      <c r="FG145" s="1534"/>
      <c r="FH145" s="1532"/>
      <c r="FI145" s="1534"/>
      <c r="FJ145" s="1534"/>
      <c r="FK145" s="1534"/>
      <c r="FL145" s="1534"/>
      <c r="FM145" s="1534"/>
      <c r="FN145" s="1534"/>
      <c r="FO145" s="1534"/>
      <c r="FP145" s="1534"/>
      <c r="FQ145" s="1534"/>
      <c r="FR145" s="1534"/>
      <c r="FS145" s="1534"/>
      <c r="FT145" s="1534"/>
      <c r="FU145" s="1534"/>
      <c r="FV145" s="1534"/>
      <c r="FW145" s="1534"/>
      <c r="FX145" s="1534"/>
      <c r="FY145" s="1534"/>
      <c r="FZ145" s="1534"/>
      <c r="GA145" s="1534"/>
      <c r="GB145" s="1534"/>
      <c r="GC145" s="1534"/>
      <c r="GD145" s="1534"/>
      <c r="GE145" s="1534"/>
      <c r="GF145" s="1534"/>
      <c r="GG145" s="1534"/>
      <c r="GH145" s="1534"/>
      <c r="GI145" s="1534"/>
      <c r="GJ145" s="1532"/>
      <c r="GK145" s="1534"/>
      <c r="GL145" s="1534"/>
      <c r="GM145" s="1534"/>
      <c r="GN145" s="1534"/>
      <c r="GO145" s="1534"/>
      <c r="GP145" s="1534"/>
      <c r="GQ145" s="1534"/>
      <c r="GR145" s="1534"/>
      <c r="GS145" s="1534"/>
      <c r="GT145" s="1534"/>
      <c r="GU145" s="1534"/>
      <c r="GV145" s="1534"/>
      <c r="GW145" s="1534"/>
      <c r="GX145" s="1532"/>
      <c r="GY145" s="1534"/>
      <c r="GZ145" s="1534"/>
      <c r="HA145" s="1534"/>
      <c r="HB145" s="1532"/>
      <c r="HC145" s="1532"/>
      <c r="HD145" s="1534"/>
      <c r="HE145" s="1534"/>
      <c r="HF145" s="1534"/>
      <c r="HG145" s="1534"/>
      <c r="HH145" s="1534"/>
      <c r="HI145" s="1534"/>
      <c r="HJ145" s="1534"/>
      <c r="HK145" s="1534"/>
      <c r="HL145" s="1534"/>
      <c r="HM145" s="1534"/>
      <c r="HN145" s="1534"/>
      <c r="HO145" s="1532"/>
      <c r="HP145" s="1534"/>
      <c r="HQ145" s="1534"/>
      <c r="HR145" s="1534"/>
      <c r="HS145" s="1534"/>
      <c r="HT145" s="1534"/>
      <c r="HU145" s="1534"/>
      <c r="HV145" s="1534"/>
      <c r="HW145" s="1532"/>
      <c r="HX145" s="1534"/>
      <c r="HY145" s="1534"/>
      <c r="HZ145" s="1534"/>
      <c r="IA145" s="1534"/>
      <c r="IB145" s="1534"/>
      <c r="IC145" s="1534"/>
      <c r="ID145" s="1534"/>
      <c r="IE145" s="1534"/>
      <c r="IF145" s="1534"/>
      <c r="IG145" s="1534"/>
      <c r="IH145" s="1534"/>
      <c r="II145" s="1534"/>
      <c r="IJ145" s="1534"/>
      <c r="IK145" s="1534"/>
      <c r="IL145" s="1534"/>
      <c r="IM145" s="1534"/>
      <c r="IN145" s="1534"/>
      <c r="IO145" s="1534"/>
      <c r="IP145" s="1534"/>
      <c r="IQ145" s="1534"/>
      <c r="IR145" s="1534"/>
      <c r="IS145" s="1534"/>
      <c r="IT145" s="1534"/>
      <c r="IU145" s="1534"/>
      <c r="IV145" s="1534"/>
      <c r="IW145" s="1534"/>
      <c r="IX145" s="1537">
        <v>22856</v>
      </c>
      <c r="IY145" s="1532"/>
      <c r="IZ145" s="1534"/>
      <c r="JA145" s="1532">
        <v>108416</v>
      </c>
      <c r="JB145" s="1534"/>
      <c r="JC145" s="1534"/>
      <c r="JD145" s="1534"/>
      <c r="JE145" s="1534"/>
      <c r="JF145" s="1534"/>
      <c r="JG145" s="1534"/>
      <c r="JH145" s="1534"/>
      <c r="JI145" s="1534"/>
      <c r="JJ145" s="1534"/>
      <c r="JK145" s="1534"/>
      <c r="JL145" s="1534"/>
      <c r="JM145" s="1534"/>
      <c r="JN145" s="1534"/>
      <c r="JO145" s="1534"/>
      <c r="JP145" s="1534"/>
      <c r="JQ145" s="1536"/>
      <c r="JR145" s="351"/>
      <c r="JS145" s="1400"/>
      <c r="JT145" s="1400" t="s">
        <v>2242</v>
      </c>
    </row>
    <row r="146" spans="1:280" x14ac:dyDescent="0.25">
      <c r="A146" s="1367">
        <v>99</v>
      </c>
      <c r="B146" s="1411" t="str">
        <f t="shared" si="60"/>
        <v/>
      </c>
      <c r="C146" s="1435" t="s">
        <v>3290</v>
      </c>
      <c r="D146" s="1436" t="s">
        <v>3291</v>
      </c>
      <c r="E146" s="1542"/>
      <c r="F146" s="1543"/>
      <c r="G146" s="1542"/>
      <c r="H146" s="1542"/>
      <c r="I146" s="1542"/>
      <c r="J146" s="1542"/>
      <c r="K146" s="1542"/>
      <c r="L146" s="1542"/>
      <c r="M146" s="1542"/>
      <c r="N146" s="1542"/>
      <c r="O146" s="1542"/>
      <c r="P146" s="1542"/>
      <c r="Q146" s="1542"/>
      <c r="R146" s="1542"/>
      <c r="S146" s="1542"/>
      <c r="T146" s="1542"/>
      <c r="U146" s="1542"/>
      <c r="V146" s="1542"/>
      <c r="W146" s="1542"/>
      <c r="X146" s="1542"/>
      <c r="Y146" s="1542"/>
      <c r="Z146" s="1542"/>
      <c r="AA146" s="1542"/>
      <c r="AB146" s="1542"/>
      <c r="AC146" s="1542"/>
      <c r="AD146" s="1542"/>
      <c r="AE146" s="1542"/>
      <c r="AF146" s="1542"/>
      <c r="AG146" s="1542"/>
      <c r="AH146" s="1542"/>
      <c r="AI146" s="1542"/>
      <c r="AJ146" s="1542"/>
      <c r="AK146" s="1542"/>
      <c r="AL146" s="1543"/>
      <c r="AM146" s="1542"/>
      <c r="AN146" s="1542"/>
      <c r="AO146" s="1542"/>
      <c r="AP146" s="1542"/>
      <c r="AQ146" s="1542"/>
      <c r="AR146" s="1542"/>
      <c r="AS146" s="1542"/>
      <c r="AT146" s="1542"/>
      <c r="AU146" s="1542"/>
      <c r="AV146" s="1542"/>
      <c r="AW146" s="1542"/>
      <c r="AX146" s="1542"/>
      <c r="AY146" s="1542"/>
      <c r="AZ146" s="1542"/>
      <c r="BA146" s="1542"/>
      <c r="BB146" s="1542"/>
      <c r="BC146" s="1542"/>
      <c r="BD146" s="1542"/>
      <c r="BE146" s="1542"/>
      <c r="BF146" s="1542"/>
      <c r="BG146" s="1542"/>
      <c r="BH146" s="1542"/>
      <c r="BI146" s="1542"/>
      <c r="BJ146" s="1544"/>
      <c r="BK146" s="1542"/>
      <c r="BL146" s="1542"/>
      <c r="BM146" s="1542"/>
      <c r="BN146" s="1542"/>
      <c r="BO146" s="1542"/>
      <c r="BP146" s="1542"/>
      <c r="BQ146" s="1542"/>
      <c r="BR146" s="1542"/>
      <c r="BS146" s="1542"/>
      <c r="BT146" s="1542"/>
      <c r="BU146" s="1542"/>
      <c r="BV146" s="1542"/>
      <c r="BW146" s="1542"/>
      <c r="BX146" s="1542"/>
      <c r="BY146" s="1542"/>
      <c r="BZ146" s="1542"/>
      <c r="CA146" s="1542"/>
      <c r="CB146" s="1542"/>
      <c r="CC146" s="1542"/>
      <c r="CD146" s="1542"/>
      <c r="CE146" s="1542"/>
      <c r="CF146" s="1542"/>
      <c r="CG146" s="1542"/>
      <c r="CH146" s="1542"/>
      <c r="CI146" s="1542"/>
      <c r="CJ146" s="1542"/>
      <c r="CK146" s="1542"/>
      <c r="CL146" s="1543">
        <f>CL142-(CL143+CL144+CL145)</f>
        <v>160668</v>
      </c>
      <c r="CM146" s="1543"/>
      <c r="CN146" s="1542">
        <f t="shared" ref="CN146" si="63">CN142-(CN143+CN144+CN145)</f>
        <v>311409</v>
      </c>
      <c r="CO146" s="1542"/>
      <c r="CP146" s="1542"/>
      <c r="CQ146" s="1542"/>
      <c r="CR146" s="1543">
        <f>CR142-(CR143+CR144+CR145)</f>
        <v>160668</v>
      </c>
      <c r="CS146" s="1543">
        <f>CS142-(CS143+CS144+CS145)</f>
        <v>160668</v>
      </c>
      <c r="CT146" s="1542"/>
      <c r="CU146" s="1542"/>
      <c r="CV146" s="1542"/>
      <c r="CW146" s="1542"/>
      <c r="CX146" s="1542"/>
      <c r="CY146" s="1542"/>
      <c r="CZ146" s="1542"/>
      <c r="DA146" s="1542"/>
      <c r="DB146" s="1542"/>
      <c r="DC146" s="1542"/>
      <c r="DD146" s="1542"/>
      <c r="DE146" s="1542"/>
      <c r="DF146" s="1542"/>
      <c r="DG146" s="1542"/>
      <c r="DH146" s="1542"/>
      <c r="DI146" s="1542"/>
      <c r="DJ146" s="1542"/>
      <c r="DK146" s="1542"/>
      <c r="DL146" s="1542"/>
      <c r="DM146" s="1542"/>
      <c r="DN146" s="1542"/>
      <c r="DO146" s="1542"/>
      <c r="DP146" s="1542"/>
      <c r="DQ146" s="1542"/>
      <c r="DR146" s="1545">
        <v>982666</v>
      </c>
      <c r="DS146" s="1542"/>
      <c r="DT146" s="1542"/>
      <c r="DU146" s="1542"/>
      <c r="DV146" s="1542"/>
      <c r="DW146" s="1542"/>
      <c r="DX146" s="1542"/>
      <c r="DY146" s="1542"/>
      <c r="DZ146" s="1542"/>
      <c r="EA146" s="1542">
        <f>EA142-(EA143+EA144+EA145)</f>
        <v>124265</v>
      </c>
      <c r="EB146" s="1542"/>
      <c r="EC146" s="1542"/>
      <c r="ED146" s="1542"/>
      <c r="EE146" s="1542"/>
      <c r="EF146" s="1542"/>
      <c r="EG146" s="1542"/>
      <c r="EH146" s="1542"/>
      <c r="EI146" s="1543">
        <f>EI142-(EI143+EI144+EI145)</f>
        <v>15841</v>
      </c>
      <c r="EJ146" s="1542"/>
      <c r="EK146" s="1542"/>
      <c r="EL146" s="1542"/>
      <c r="EM146" s="1543">
        <f>EM142-(EM143+EM144+EM145)</f>
        <v>160668</v>
      </c>
      <c r="EN146" s="1543"/>
      <c r="EO146" s="1543"/>
      <c r="EP146" s="1543"/>
      <c r="EQ146" s="1543"/>
      <c r="ER146" s="1543"/>
      <c r="ES146" s="1543"/>
      <c r="ET146" s="1544">
        <f t="shared" ref="ET146" si="64">ET142-(ET143+ET144+ET145)</f>
        <v>661945</v>
      </c>
      <c r="EU146" s="1542"/>
      <c r="EV146" s="1542"/>
      <c r="EW146" s="1542"/>
      <c r="EX146" s="1542"/>
      <c r="EY146" s="1543">
        <f>EY142-(EY143+EY144+EY145)</f>
        <v>160668</v>
      </c>
      <c r="EZ146" s="1542"/>
      <c r="FA146" s="1542"/>
      <c r="FB146" s="1542"/>
      <c r="FC146" s="1542"/>
      <c r="FD146" s="1542"/>
      <c r="FE146" s="1542"/>
      <c r="FF146" s="1542"/>
      <c r="FG146" s="1542"/>
      <c r="FH146" s="1542"/>
      <c r="FI146" s="1542"/>
      <c r="FJ146" s="1542"/>
      <c r="FK146" s="1542"/>
      <c r="FL146" s="1542"/>
      <c r="FM146" s="1542"/>
      <c r="FN146" s="1542"/>
      <c r="FO146" s="1542"/>
      <c r="FP146" s="1542"/>
      <c r="FQ146" s="1542"/>
      <c r="FR146" s="1542"/>
      <c r="FS146" s="1542"/>
      <c r="FT146" s="1542"/>
      <c r="FU146" s="1542"/>
      <c r="FV146" s="1542"/>
      <c r="FW146" s="1542"/>
      <c r="FX146" s="1542"/>
      <c r="FY146" s="1542"/>
      <c r="FZ146" s="1542"/>
      <c r="GA146" s="1542"/>
      <c r="GB146" s="1542"/>
      <c r="GC146" s="1542"/>
      <c r="GD146" s="1542"/>
      <c r="GE146" s="1542"/>
      <c r="GF146" s="1542"/>
      <c r="GG146" s="1542"/>
      <c r="GH146" s="1542"/>
      <c r="GI146" s="1542"/>
      <c r="GJ146" s="1543">
        <f>GJ142-(GJ143+GJ144+GJ145)</f>
        <v>15841</v>
      </c>
      <c r="GK146" s="1542"/>
      <c r="GL146" s="1542"/>
      <c r="GM146" s="1542"/>
      <c r="GN146" s="1542"/>
      <c r="GO146" s="1542"/>
      <c r="GP146" s="1542"/>
      <c r="GQ146" s="1542"/>
      <c r="GR146" s="1542"/>
      <c r="GS146" s="1542"/>
      <c r="GT146" s="1542"/>
      <c r="GU146" s="1542"/>
      <c r="GV146" s="1542"/>
      <c r="GW146" s="1542"/>
      <c r="GX146" s="1542"/>
      <c r="GY146" s="1542"/>
      <c r="GZ146" s="1542"/>
      <c r="HA146" s="1542"/>
      <c r="HB146" s="1542"/>
      <c r="HC146" s="1542"/>
      <c r="HD146" s="1542"/>
      <c r="HE146" s="1542"/>
      <c r="HF146" s="1542"/>
      <c r="HG146" s="1542"/>
      <c r="HH146" s="1542"/>
      <c r="HI146" s="1542"/>
      <c r="HJ146" s="1542"/>
      <c r="HK146" s="1542"/>
      <c r="HL146" s="1542"/>
      <c r="HM146" s="1542"/>
      <c r="HN146" s="1542"/>
      <c r="HO146" s="1542"/>
      <c r="HP146" s="1542"/>
      <c r="HQ146" s="1542"/>
      <c r="HR146" s="1542"/>
      <c r="HS146" s="1542"/>
      <c r="HT146" s="1542"/>
      <c r="HU146" s="1542"/>
      <c r="HV146" s="1542"/>
      <c r="HW146" s="1542"/>
      <c r="HX146" s="1542"/>
      <c r="HY146" s="1542"/>
      <c r="HZ146" s="1542"/>
      <c r="IA146" s="1542"/>
      <c r="IB146" s="1542"/>
      <c r="IC146" s="1542"/>
      <c r="ID146" s="1542"/>
      <c r="IE146" s="1542"/>
      <c r="IF146" s="1542"/>
      <c r="IG146" s="1542"/>
      <c r="IH146" s="1542"/>
      <c r="II146" s="1542"/>
      <c r="IJ146" s="1542"/>
      <c r="IK146" s="1542"/>
      <c r="IL146" s="1542"/>
      <c r="IM146" s="1542"/>
      <c r="IN146" s="1542"/>
      <c r="IO146" s="1542"/>
      <c r="IP146" s="1542"/>
      <c r="IQ146" s="1542"/>
      <c r="IR146" s="1542"/>
      <c r="IS146" s="1542"/>
      <c r="IT146" s="1542"/>
      <c r="IU146" s="1542"/>
      <c r="IV146" s="1542"/>
      <c r="IW146" s="1542"/>
      <c r="IX146" s="1545">
        <v>1896227</v>
      </c>
      <c r="IY146" s="1542"/>
      <c r="IZ146" s="1542"/>
      <c r="JA146" s="1543">
        <f>JA142-(JA143+JA144+JA145)</f>
        <v>160668</v>
      </c>
      <c r="JB146" s="1542"/>
      <c r="JC146" s="1542"/>
      <c r="JD146" s="1542"/>
      <c r="JE146" s="1542"/>
      <c r="JF146" s="1542"/>
      <c r="JG146" s="1542"/>
      <c r="JH146" s="1542"/>
      <c r="JI146" s="1542"/>
      <c r="JJ146" s="1542"/>
      <c r="JK146" s="1542"/>
      <c r="JL146" s="1542"/>
      <c r="JM146" s="1542"/>
      <c r="JN146" s="1542"/>
      <c r="JO146" s="1542"/>
      <c r="JP146" s="1542"/>
      <c r="JQ146" s="1542"/>
      <c r="JR146" s="351"/>
      <c r="JS146" s="1521" t="s">
        <v>3292</v>
      </c>
      <c r="JT146" s="1400" t="s">
        <v>2253</v>
      </c>
    </row>
    <row r="147" spans="1:280" x14ac:dyDescent="0.25">
      <c r="A147" s="1367">
        <v>100</v>
      </c>
      <c r="B147" s="1411" t="str">
        <f t="shared" si="60"/>
        <v/>
      </c>
      <c r="C147" s="1435" t="s">
        <v>3293</v>
      </c>
      <c r="D147" s="1436" t="s">
        <v>3294</v>
      </c>
      <c r="E147" s="1534"/>
      <c r="F147" s="1534"/>
      <c r="G147" s="1534">
        <v>2600</v>
      </c>
      <c r="H147" s="1534"/>
      <c r="I147" s="1534">
        <v>2600</v>
      </c>
      <c r="J147" s="1534"/>
      <c r="K147" s="1534"/>
      <c r="L147" s="1534">
        <v>2600</v>
      </c>
      <c r="M147" s="1534"/>
      <c r="N147" s="1534"/>
      <c r="O147" s="1534"/>
      <c r="P147" s="1534"/>
      <c r="Q147" s="1534">
        <v>2600</v>
      </c>
      <c r="R147" s="1534"/>
      <c r="S147" s="1534">
        <v>2600</v>
      </c>
      <c r="T147" s="1534"/>
      <c r="U147" s="1534"/>
      <c r="V147" s="1534"/>
      <c r="W147" s="1534"/>
      <c r="X147" s="1534"/>
      <c r="Y147" s="1534"/>
      <c r="Z147" s="1534"/>
      <c r="AA147" s="1534"/>
      <c r="AB147" s="1534"/>
      <c r="AC147" s="1534">
        <v>2600</v>
      </c>
      <c r="AD147" s="1534"/>
      <c r="AE147" s="1534"/>
      <c r="AF147" s="1534"/>
      <c r="AG147" s="1534"/>
      <c r="AH147" s="1534"/>
      <c r="AI147" s="1534"/>
      <c r="AJ147" s="1534"/>
      <c r="AK147" s="1534"/>
      <c r="AL147" s="1534"/>
      <c r="AM147" s="1534"/>
      <c r="AN147" s="1534"/>
      <c r="AO147" s="1534"/>
      <c r="AP147" s="1534"/>
      <c r="AQ147" s="1534"/>
      <c r="AR147" s="1534"/>
      <c r="AS147" s="1534"/>
      <c r="AT147" s="1534"/>
      <c r="AU147" s="1534"/>
      <c r="AV147" s="1534"/>
      <c r="AW147" s="1534"/>
      <c r="AX147" s="1534"/>
      <c r="AY147" s="1534"/>
      <c r="AZ147" s="1534"/>
      <c r="BA147" s="1534"/>
      <c r="BB147" s="1534"/>
      <c r="BC147" s="1534"/>
      <c r="BD147" s="1534"/>
      <c r="BE147" s="1534"/>
      <c r="BF147" s="1534"/>
      <c r="BG147" s="1534"/>
      <c r="BH147" s="1534"/>
      <c r="BI147" s="1534"/>
      <c r="BJ147" s="1541"/>
      <c r="BK147" s="1534"/>
      <c r="BL147" s="1534"/>
      <c r="BM147" s="1534"/>
      <c r="BN147" s="1534"/>
      <c r="BO147" s="1534"/>
      <c r="BP147" s="1534"/>
      <c r="BQ147" s="1534"/>
      <c r="BR147" s="1534"/>
      <c r="BS147" s="1534"/>
      <c r="BT147" s="1534"/>
      <c r="BU147" s="1534"/>
      <c r="BV147" s="1534"/>
      <c r="BW147" s="1534"/>
      <c r="BX147" s="1534"/>
      <c r="BY147" s="1534">
        <v>5000</v>
      </c>
      <c r="BZ147" s="1534"/>
      <c r="CA147" s="1534"/>
      <c r="CB147" s="1534">
        <v>-76900</v>
      </c>
      <c r="CC147" s="1534"/>
      <c r="CD147" s="1534">
        <v>118969</v>
      </c>
      <c r="CE147" s="1534"/>
      <c r="CF147" s="1534">
        <v>-76900</v>
      </c>
      <c r="CG147" s="1534"/>
      <c r="CH147" s="1534">
        <v>2600</v>
      </c>
      <c r="CI147" s="1534"/>
      <c r="CJ147" s="1534"/>
      <c r="CK147" s="1534"/>
      <c r="CL147" s="1534">
        <v>132680</v>
      </c>
      <c r="CM147" s="1534"/>
      <c r="CN147" s="1534">
        <v>278767</v>
      </c>
      <c r="CO147" s="1534"/>
      <c r="CP147" s="1534"/>
      <c r="CQ147" s="1534"/>
      <c r="CR147" s="1534">
        <v>132680</v>
      </c>
      <c r="CS147" s="1534">
        <v>132680</v>
      </c>
      <c r="CT147" s="1534"/>
      <c r="CU147" s="1534">
        <v>15000</v>
      </c>
      <c r="CV147" s="1534">
        <v>15000</v>
      </c>
      <c r="CW147" s="1534"/>
      <c r="CX147" s="1534"/>
      <c r="CY147" s="1534"/>
      <c r="CZ147" s="1534"/>
      <c r="DA147" s="1534"/>
      <c r="DB147" s="1534"/>
      <c r="DC147" s="1534">
        <v>15000</v>
      </c>
      <c r="DD147" s="1534"/>
      <c r="DE147" s="1534"/>
      <c r="DF147" s="1534"/>
      <c r="DG147" s="1534"/>
      <c r="DH147" s="1534"/>
      <c r="DI147" s="1534"/>
      <c r="DJ147" s="1534">
        <v>15000</v>
      </c>
      <c r="DK147" s="1534"/>
      <c r="DL147" s="1534"/>
      <c r="DM147" s="1534"/>
      <c r="DN147" s="1534"/>
      <c r="DO147" s="1534"/>
      <c r="DP147" s="1534"/>
      <c r="DQ147" s="1534"/>
      <c r="DR147" s="1537">
        <v>901567</v>
      </c>
      <c r="DS147" s="1534"/>
      <c r="DT147" s="1534"/>
      <c r="DU147" s="1534"/>
      <c r="DV147" s="1534"/>
      <c r="DW147" s="1534"/>
      <c r="DX147" s="1534"/>
      <c r="DY147" s="1534"/>
      <c r="DZ147" s="1534"/>
      <c r="EA147" s="1535">
        <v>278767</v>
      </c>
      <c r="EB147" s="1534"/>
      <c r="EC147" s="1534"/>
      <c r="ED147" s="1534"/>
      <c r="EE147" s="1534"/>
      <c r="EF147" s="1532">
        <v>-12908</v>
      </c>
      <c r="EG147" s="1532">
        <v>3782</v>
      </c>
      <c r="EH147" s="1534"/>
      <c r="EI147" s="1532">
        <v>2403</v>
      </c>
      <c r="EJ147" s="1534"/>
      <c r="EK147" s="1534"/>
      <c r="EL147" s="1534"/>
      <c r="EM147" s="1532">
        <v>132680</v>
      </c>
      <c r="EN147" s="1534"/>
      <c r="EO147" s="1534"/>
      <c r="EP147" s="1534"/>
      <c r="EQ147" s="1534"/>
      <c r="ER147" s="1534"/>
      <c r="ES147" s="1534"/>
      <c r="ET147" s="1534"/>
      <c r="EU147" s="1534"/>
      <c r="EV147" s="1534"/>
      <c r="EW147" s="1534"/>
      <c r="EX147" s="1534"/>
      <c r="EY147" s="1532">
        <v>132680</v>
      </c>
      <c r="EZ147" s="1534"/>
      <c r="FA147" s="1534"/>
      <c r="FB147" s="1534"/>
      <c r="FC147" s="1534"/>
      <c r="FD147" s="1534"/>
      <c r="FE147" s="1534"/>
      <c r="FF147" s="1532">
        <v>-76900</v>
      </c>
      <c r="FG147" s="1534"/>
      <c r="FH147" s="1532">
        <v>15000</v>
      </c>
      <c r="FI147" s="1534"/>
      <c r="FJ147" s="1534"/>
      <c r="FK147" s="1534"/>
      <c r="FL147" s="1534"/>
      <c r="FM147" s="1534"/>
      <c r="FN147" s="1534"/>
      <c r="FO147" s="1534"/>
      <c r="FP147" s="1534"/>
      <c r="FQ147" s="1534"/>
      <c r="FR147" s="1534"/>
      <c r="FS147" s="1534"/>
      <c r="FT147" s="1534"/>
      <c r="FU147" s="1534"/>
      <c r="FV147" s="1534"/>
      <c r="FW147" s="1534"/>
      <c r="FX147" s="1534"/>
      <c r="FY147" s="1534"/>
      <c r="FZ147" s="1534"/>
      <c r="GA147" s="1534"/>
      <c r="GB147" s="1534"/>
      <c r="GC147" s="1534"/>
      <c r="GD147" s="1534"/>
      <c r="GE147" s="1534"/>
      <c r="GF147" s="1534"/>
      <c r="GG147" s="1534"/>
      <c r="GH147" s="1534"/>
      <c r="GI147" s="1534"/>
      <c r="GJ147" s="1532">
        <v>2403</v>
      </c>
      <c r="GK147" s="1534"/>
      <c r="GL147" s="1534"/>
      <c r="GM147" s="1534"/>
      <c r="GN147" s="1534"/>
      <c r="GO147" s="1534"/>
      <c r="GP147" s="1534"/>
      <c r="GQ147" s="1534"/>
      <c r="GR147" s="1534"/>
      <c r="GS147" s="1534"/>
      <c r="GT147" s="1534"/>
      <c r="GU147" s="1534"/>
      <c r="GV147" s="1534"/>
      <c r="GW147" s="1534"/>
      <c r="GX147" s="1532"/>
      <c r="GY147" s="1534"/>
      <c r="GZ147" s="1534"/>
      <c r="HA147" s="1534"/>
      <c r="HB147" s="1532"/>
      <c r="HC147" s="1532">
        <v>15000</v>
      </c>
      <c r="HD147" s="1534"/>
      <c r="HE147" s="1534"/>
      <c r="HF147" s="1534"/>
      <c r="HG147" s="1534"/>
      <c r="HH147" s="1534"/>
      <c r="HI147" s="1534"/>
      <c r="HJ147" s="1534"/>
      <c r="HK147" s="1534"/>
      <c r="HL147" s="1534"/>
      <c r="HM147" s="1534"/>
      <c r="HN147" s="1534"/>
      <c r="HO147" s="1532">
        <v>2600</v>
      </c>
      <c r="HP147" s="1534"/>
      <c r="HQ147" s="1534"/>
      <c r="HR147" s="1534"/>
      <c r="HS147" s="1534"/>
      <c r="HT147" s="1534"/>
      <c r="HU147" s="1534"/>
      <c r="HV147" s="1534"/>
      <c r="HW147" s="1532"/>
      <c r="HX147" s="1534"/>
      <c r="HY147" s="1534"/>
      <c r="HZ147" s="1534"/>
      <c r="IA147" s="1534"/>
      <c r="IB147" s="1534"/>
      <c r="IC147" s="1534"/>
      <c r="ID147" s="1534"/>
      <c r="IE147" s="1534"/>
      <c r="IF147" s="1534"/>
      <c r="IG147" s="1534"/>
      <c r="IH147" s="1534"/>
      <c r="II147" s="1534"/>
      <c r="IJ147" s="1534"/>
      <c r="IK147" s="1534"/>
      <c r="IL147" s="1534"/>
      <c r="IM147" s="1534"/>
      <c r="IN147" s="1534"/>
      <c r="IO147" s="1534"/>
      <c r="IP147" s="1534"/>
      <c r="IQ147" s="1534"/>
      <c r="IR147" s="1534"/>
      <c r="IS147" s="1534"/>
      <c r="IT147" s="1534"/>
      <c r="IU147" s="1534"/>
      <c r="IV147" s="1534"/>
      <c r="IW147" s="1534"/>
      <c r="IX147" s="1537">
        <v>1955506</v>
      </c>
      <c r="IY147" s="1532">
        <v>-76900</v>
      </c>
      <c r="IZ147" s="1534"/>
      <c r="JA147" s="1532">
        <v>132680</v>
      </c>
      <c r="JB147" s="1534"/>
      <c r="JC147" s="1534"/>
      <c r="JD147" s="1534"/>
      <c r="JE147" s="1534"/>
      <c r="JF147" s="1534"/>
      <c r="JG147" s="1534"/>
      <c r="JH147" s="1534"/>
      <c r="JI147" s="1534"/>
      <c r="JJ147" s="1534"/>
      <c r="JK147" s="1534"/>
      <c r="JL147" s="1534"/>
      <c r="JM147" s="1534"/>
      <c r="JN147" s="1534"/>
      <c r="JO147" s="1534"/>
      <c r="JP147" s="1534"/>
      <c r="JQ147" s="1536"/>
      <c r="JR147" s="351"/>
      <c r="JS147" s="1400"/>
      <c r="JT147" s="1400" t="s">
        <v>2882</v>
      </c>
    </row>
    <row r="148" spans="1:280" ht="60" x14ac:dyDescent="0.25">
      <c r="A148" s="1367">
        <v>101</v>
      </c>
      <c r="B148" s="1411" t="str">
        <f t="shared" si="60"/>
        <v/>
      </c>
      <c r="C148" s="1435" t="s">
        <v>3295</v>
      </c>
      <c r="D148" s="1436" t="s">
        <v>3296</v>
      </c>
      <c r="E148" s="1549"/>
      <c r="F148" s="1549"/>
      <c r="G148" s="1549">
        <f>IF(G98&gt;0,G98,(-1*G99))</f>
        <v>15200</v>
      </c>
      <c r="H148" s="1549"/>
      <c r="I148" s="1549">
        <f>IF(I98&gt;0,I98,(-1*I99))</f>
        <v>16285</v>
      </c>
      <c r="J148" s="1549"/>
      <c r="K148" s="1549"/>
      <c r="L148" s="1549">
        <f>IF(L98&gt;0,L98,(-1*L99))</f>
        <v>14900</v>
      </c>
      <c r="M148" s="1549"/>
      <c r="N148" s="1549"/>
      <c r="O148" s="1549"/>
      <c r="P148" s="1549"/>
      <c r="Q148" s="1549">
        <f>IF(Q98&gt;0,Q98,(-1*Q99))</f>
        <v>14900</v>
      </c>
      <c r="R148" s="1549"/>
      <c r="S148" s="1549">
        <f>IF(S98&gt;0,S98,(-1*S99))</f>
        <v>17560</v>
      </c>
      <c r="T148" s="1549"/>
      <c r="U148" s="1549"/>
      <c r="V148" s="1549"/>
      <c r="W148" s="1549"/>
      <c r="X148" s="1549"/>
      <c r="Y148" s="1549"/>
      <c r="Z148" s="1549"/>
      <c r="AA148" s="1549">
        <f>IF(AA98&gt;0,AA98,(-1*AA99))</f>
        <v>8864</v>
      </c>
      <c r="AB148" s="1549"/>
      <c r="AC148" s="1549">
        <f>IF(AC98&gt;0,AC98,(-1*AC99))</f>
        <v>14900</v>
      </c>
      <c r="AD148" s="1549"/>
      <c r="AE148" s="1549"/>
      <c r="AF148" s="1549"/>
      <c r="AG148" s="1549"/>
      <c r="AH148" s="1549"/>
      <c r="AI148" s="1549"/>
      <c r="AJ148" s="1549">
        <f>IF(AJ98&gt;0,AJ98,(-1*AJ99))</f>
        <v>3400</v>
      </c>
      <c r="AK148" s="1549"/>
      <c r="AL148" s="1549"/>
      <c r="AM148" s="1549"/>
      <c r="AN148" s="1549"/>
      <c r="AO148" s="1549"/>
      <c r="AP148" s="1549"/>
      <c r="AQ148" s="1549"/>
      <c r="AR148" s="1549"/>
      <c r="AS148" s="1549"/>
      <c r="AT148" s="1549"/>
      <c r="AU148" s="1549"/>
      <c r="AV148" s="1549">
        <f>IF(AV98&gt;0,AV98,(-1*AV99))</f>
        <v>-5001</v>
      </c>
      <c r="AW148" s="1549"/>
      <c r="AX148" s="1549"/>
      <c r="AY148" s="1549"/>
      <c r="AZ148" s="1549"/>
      <c r="BA148" s="1549"/>
      <c r="BB148" s="1549"/>
      <c r="BC148" s="1549"/>
      <c r="BD148" s="1549"/>
      <c r="BE148" s="1549"/>
      <c r="BF148" s="1549"/>
      <c r="BG148" s="1549"/>
      <c r="BH148" s="1549"/>
      <c r="BI148" s="1549"/>
      <c r="BJ148" s="1549">
        <f>IF(BJ98&gt;0,BJ98,(-1*BJ99))</f>
        <v>0</v>
      </c>
      <c r="BK148" s="1549"/>
      <c r="BL148" s="1549"/>
      <c r="BM148" s="1549"/>
      <c r="BN148" s="1549"/>
      <c r="BO148" s="1549"/>
      <c r="BP148" s="1549"/>
      <c r="BQ148" s="1549"/>
      <c r="BR148" s="1549"/>
      <c r="BS148" s="1549"/>
      <c r="BT148" s="1549"/>
      <c r="BU148" s="1549"/>
      <c r="BV148" s="1549"/>
      <c r="BW148" s="1549"/>
      <c r="BX148" s="1549"/>
      <c r="BY148" s="1549">
        <f>IF(BY98&gt;0,BY98,(-1*BY99))</f>
        <v>5000</v>
      </c>
      <c r="BZ148" s="1549"/>
      <c r="CA148" s="1549"/>
      <c r="CB148" s="1549">
        <f>IF(CB98&gt;0,CB98,(-1*CB99))</f>
        <v>1393695</v>
      </c>
      <c r="CC148" s="1549"/>
      <c r="CD148" s="1549">
        <f>IF(CD98&gt;0,CD98,(-1*CD99))</f>
        <v>118969</v>
      </c>
      <c r="CE148" s="1549"/>
      <c r="CF148" s="1549">
        <f>IF(CF98&gt;0,CF98,(-1*CF99))</f>
        <v>54299</v>
      </c>
      <c r="CG148" s="1549"/>
      <c r="CH148" s="1549">
        <f>IF(CH98&gt;0,CH98,(-1*CH99))</f>
        <v>14900</v>
      </c>
      <c r="CI148" s="1549"/>
      <c r="CJ148" s="1549"/>
      <c r="CK148" s="1549">
        <f t="shared" ref="CK148:CP148" si="65">IF(CK98&gt;0,CK98,(-1*CK99))</f>
        <v>11580</v>
      </c>
      <c r="CL148" s="1549">
        <f t="shared" si="65"/>
        <v>98672</v>
      </c>
      <c r="CM148" s="1549">
        <f t="shared" si="65"/>
        <v>-10000</v>
      </c>
      <c r="CN148" s="1549">
        <f t="shared" si="65"/>
        <v>76882</v>
      </c>
      <c r="CO148" s="1549">
        <f t="shared" si="65"/>
        <v>-10533</v>
      </c>
      <c r="CP148" s="1549">
        <f t="shared" si="65"/>
        <v>35000</v>
      </c>
      <c r="CQ148" s="1549"/>
      <c r="CR148" s="1549">
        <f>IF(CR98&gt;0,CR98,(-1*CR99))</f>
        <v>98672</v>
      </c>
      <c r="CS148" s="1549">
        <f>IF(CS98&gt;0,CS98,(-1*CS99))</f>
        <v>98672</v>
      </c>
      <c r="CT148" s="1549"/>
      <c r="CU148" s="1549">
        <f>IF(CU98&gt;0,CU98,(-1*CU99))</f>
        <v>139838</v>
      </c>
      <c r="CV148" s="1549">
        <f>IF(CV98&gt;0,CV98,(-1*CV99))</f>
        <v>139838</v>
      </c>
      <c r="CW148" s="1549"/>
      <c r="CX148" s="1549"/>
      <c r="CY148" s="1549"/>
      <c r="CZ148" s="1549"/>
      <c r="DA148" s="1549"/>
      <c r="DB148" s="1549"/>
      <c r="DC148" s="1549">
        <f>IF(DC98&gt;0,DC98,(-1*DC99))</f>
        <v>139838</v>
      </c>
      <c r="DD148" s="1549"/>
      <c r="DE148" s="1549"/>
      <c r="DF148" s="1549"/>
      <c r="DG148" s="1549"/>
      <c r="DH148" s="1549"/>
      <c r="DI148" s="1549"/>
      <c r="DJ148" s="1549">
        <f>IF(DJ98&gt;0,DJ98,(-1*DJ99))</f>
        <v>139838</v>
      </c>
      <c r="DK148" s="1549"/>
      <c r="DL148" s="1549"/>
      <c r="DM148" s="1549"/>
      <c r="DN148" s="1549"/>
      <c r="DO148" s="1549"/>
      <c r="DP148" s="1549"/>
      <c r="DQ148" s="1549"/>
      <c r="DR148" s="1550">
        <v>41461</v>
      </c>
      <c r="DS148" s="1549"/>
      <c r="DT148" s="1549"/>
      <c r="DU148" s="1549"/>
      <c r="DV148" s="1549"/>
      <c r="DW148" s="1549"/>
      <c r="DX148" s="1549"/>
      <c r="DY148" s="1549"/>
      <c r="DZ148" s="1549"/>
      <c r="EA148" s="1549">
        <f>IF(EA98&gt;0,EA98,(-1*EA99))</f>
        <v>13483</v>
      </c>
      <c r="EB148" s="1549"/>
      <c r="EC148" s="1549"/>
      <c r="ED148" s="1549"/>
      <c r="EE148" s="1549"/>
      <c r="EF148" s="1549">
        <f>IF(EF98&gt;0,EF98,(-1*EF99))</f>
        <v>20023</v>
      </c>
      <c r="EG148" s="1549">
        <f>IF(EG98&gt;0,EG98,(-1*EG99))</f>
        <v>-5000</v>
      </c>
      <c r="EH148" s="1549"/>
      <c r="EI148" s="1549">
        <f>IF(EI98&gt;0,EI98,(-1*EI99))</f>
        <v>57188</v>
      </c>
      <c r="EJ148" s="1549"/>
      <c r="EK148" s="1549"/>
      <c r="EL148" s="1549"/>
      <c r="EM148" s="1549">
        <f>IF(EM98&gt;0,EM98,(-1*EM99))</f>
        <v>98672</v>
      </c>
      <c r="EN148" s="1549"/>
      <c r="EO148" s="1549"/>
      <c r="EP148" s="1549"/>
      <c r="EQ148" s="1549"/>
      <c r="ER148" s="1549"/>
      <c r="ES148" s="1549"/>
      <c r="ET148" s="1551">
        <f t="shared" ref="ET148" si="66">IF(ET98&gt;0,ET98,(-1*ET99))</f>
        <v>2671</v>
      </c>
      <c r="EU148" s="1549"/>
      <c r="EV148" s="1549"/>
      <c r="EW148" s="1549"/>
      <c r="EX148" s="1549"/>
      <c r="EY148" s="1549">
        <f>IF(EY98&gt;0,EY98,(-1*EY99))</f>
        <v>98672</v>
      </c>
      <c r="EZ148" s="1549"/>
      <c r="FA148" s="1549"/>
      <c r="FB148" s="1549"/>
      <c r="FC148" s="1549"/>
      <c r="FD148" s="1549"/>
      <c r="FE148" s="1549"/>
      <c r="FF148" s="1549">
        <f>IF(FF98&gt;0,FF98,(-1*FF99))</f>
        <v>54299</v>
      </c>
      <c r="FG148" s="1549"/>
      <c r="FH148" s="1549">
        <f>IF(FH98&gt;0,FH98,(-1*FH99))</f>
        <v>139838</v>
      </c>
      <c r="FI148" s="1549"/>
      <c r="FJ148" s="1549"/>
      <c r="FK148" s="1549"/>
      <c r="FL148" s="1549"/>
      <c r="FM148" s="1549"/>
      <c r="FN148" s="1549"/>
      <c r="FO148" s="1549"/>
      <c r="FP148" s="1549"/>
      <c r="FQ148" s="1549"/>
      <c r="FR148" s="1549"/>
      <c r="FS148" s="1549"/>
      <c r="FT148" s="1549"/>
      <c r="FU148" s="1549"/>
      <c r="FV148" s="1549"/>
      <c r="FW148" s="1549"/>
      <c r="FX148" s="1549"/>
      <c r="FY148" s="1549"/>
      <c r="FZ148" s="1549"/>
      <c r="GA148" s="1549"/>
      <c r="GB148" s="1549"/>
      <c r="GC148" s="1549"/>
      <c r="GD148" s="1549">
        <f>IF(GD98&gt;0,GD98,(-1*GD99))</f>
        <v>8952</v>
      </c>
      <c r="GE148" s="1549"/>
      <c r="GF148" s="1549"/>
      <c r="GG148" s="1549"/>
      <c r="GH148" s="1549"/>
      <c r="GI148" s="1549"/>
      <c r="GJ148" s="1549">
        <f>IF(GJ98&gt;0,GJ98,(-1*GJ99))</f>
        <v>49810</v>
      </c>
      <c r="GK148" s="1549"/>
      <c r="GL148" s="1549"/>
      <c r="GM148" s="1549"/>
      <c r="GN148" s="1549">
        <f>IF(GN98&gt;0,GN98,(-1*GN99))</f>
        <v>6875</v>
      </c>
      <c r="GO148" s="1549"/>
      <c r="GP148" s="1549"/>
      <c r="GQ148" s="1549"/>
      <c r="GR148" s="1549"/>
      <c r="GS148" s="1549"/>
      <c r="GT148" s="1549"/>
      <c r="GU148" s="1549">
        <f>IF(GU98&gt;0,GU98,(-1*GU99))</f>
        <v>9920</v>
      </c>
      <c r="GV148" s="1549"/>
      <c r="GW148" s="1549"/>
      <c r="GX148" s="1549">
        <f>IF(GX98&gt;0,GX98,(-1*GX99))</f>
        <v>-52763</v>
      </c>
      <c r="GY148" s="1549"/>
      <c r="GZ148" s="1549"/>
      <c r="HA148" s="1549"/>
      <c r="HB148" s="1549">
        <f>IF(HB98&gt;0,HB98,(-1*HB99))</f>
        <v>-5001</v>
      </c>
      <c r="HC148" s="1549">
        <f>IF(HC98&gt;0,HC98,(-1*HC99))</f>
        <v>139838</v>
      </c>
      <c r="HD148" s="1549"/>
      <c r="HE148" s="1549"/>
      <c r="HF148" s="1549"/>
      <c r="HG148" s="1549"/>
      <c r="HH148" s="1549"/>
      <c r="HI148" s="1549"/>
      <c r="HJ148" s="1549"/>
      <c r="HK148" s="1549"/>
      <c r="HL148" s="1549"/>
      <c r="HM148" s="1549"/>
      <c r="HN148" s="1549"/>
      <c r="HO148" s="1549">
        <f>IF(HO98&gt;0,HO98,(-1*HO99))</f>
        <v>14900</v>
      </c>
      <c r="HP148" s="1549"/>
      <c r="HQ148" s="1549"/>
      <c r="HR148" s="1549"/>
      <c r="HS148" s="1549"/>
      <c r="HT148" s="1549"/>
      <c r="HU148" s="1549"/>
      <c r="HV148" s="1549"/>
      <c r="HW148" s="1549">
        <f>IF(HW98&gt;0,HW98,(-1*HW99))</f>
        <v>26980</v>
      </c>
      <c r="HX148" s="1549"/>
      <c r="HY148" s="1549"/>
      <c r="HZ148" s="1549"/>
      <c r="IA148" s="1549"/>
      <c r="IB148" s="1549"/>
      <c r="IC148" s="1549"/>
      <c r="ID148" s="1549"/>
      <c r="IE148" s="1549"/>
      <c r="IF148" s="1549"/>
      <c r="IG148" s="1549"/>
      <c r="IH148" s="1549"/>
      <c r="II148" s="1549"/>
      <c r="IJ148" s="1549"/>
      <c r="IK148" s="1549"/>
      <c r="IL148" s="1551">
        <f t="shared" ref="IL148" si="67">IF(IL98&gt;0,IL98,(-1*IL99))</f>
        <v>4237</v>
      </c>
      <c r="IM148" s="1549"/>
      <c r="IN148" s="1549"/>
      <c r="IO148" s="1549"/>
      <c r="IP148" s="1549"/>
      <c r="IQ148" s="1549"/>
      <c r="IR148" s="1549"/>
      <c r="IS148" s="1549"/>
      <c r="IT148" s="1549"/>
      <c r="IU148" s="1549"/>
      <c r="IV148" s="1549"/>
      <c r="IW148" s="1549"/>
      <c r="IX148" s="1551">
        <f>IF(IX98&gt;0,IX98,(-1*IX99))</f>
        <v>4111067</v>
      </c>
      <c r="IY148" s="1549">
        <f>IF(IY98&gt;0,IY98,(-1*IY99))</f>
        <v>54299</v>
      </c>
      <c r="IZ148" s="1549"/>
      <c r="JA148" s="1549">
        <f>IF(JA98&gt;0,JA98,(-1*JA99))</f>
        <v>98672</v>
      </c>
      <c r="JB148" s="1549"/>
      <c r="JC148" s="1549"/>
      <c r="JD148" s="1549"/>
      <c r="JE148" s="1549"/>
      <c r="JF148" s="1549"/>
      <c r="JG148" s="1549"/>
      <c r="JH148" s="1549"/>
      <c r="JI148" s="1549"/>
      <c r="JJ148" s="1549"/>
      <c r="JK148" s="1549"/>
      <c r="JL148" s="1549"/>
      <c r="JM148" s="1549"/>
      <c r="JN148" s="1549"/>
      <c r="JO148" s="1549"/>
      <c r="JP148" s="1549"/>
      <c r="JQ148" s="1549"/>
      <c r="JR148" s="351"/>
      <c r="JS148" s="1400" t="s">
        <v>3297</v>
      </c>
      <c r="JT148" s="1400" t="s">
        <v>2253</v>
      </c>
    </row>
    <row r="149" spans="1:280" x14ac:dyDescent="0.25">
      <c r="A149" s="1367">
        <v>102</v>
      </c>
      <c r="B149" s="1411" t="str">
        <f t="shared" si="60"/>
        <v/>
      </c>
      <c r="C149" s="1435" t="s">
        <v>3298</v>
      </c>
      <c r="D149" s="1436" t="s">
        <v>3299</v>
      </c>
      <c r="E149" s="1534"/>
      <c r="F149" s="1534"/>
      <c r="G149" s="1534"/>
      <c r="H149" s="1534"/>
      <c r="I149" s="1534"/>
      <c r="J149" s="1534"/>
      <c r="K149" s="1534"/>
      <c r="L149" s="1534"/>
      <c r="M149" s="1534"/>
      <c r="N149" s="1534"/>
      <c r="O149" s="1534"/>
      <c r="P149" s="1534"/>
      <c r="Q149" s="1534"/>
      <c r="R149" s="1534"/>
      <c r="S149" s="1534"/>
      <c r="T149" s="1534"/>
      <c r="U149" s="1534"/>
      <c r="V149" s="1534"/>
      <c r="W149" s="1534"/>
      <c r="X149" s="1534"/>
      <c r="Y149" s="1534"/>
      <c r="Z149" s="1534"/>
      <c r="AA149" s="1534"/>
      <c r="AB149" s="1534"/>
      <c r="AC149" s="1534"/>
      <c r="AD149" s="1534"/>
      <c r="AE149" s="1534"/>
      <c r="AF149" s="1534"/>
      <c r="AG149" s="1534"/>
      <c r="AH149" s="1534"/>
      <c r="AI149" s="1534"/>
      <c r="AJ149" s="1534"/>
      <c r="AK149" s="1534"/>
      <c r="AL149" s="1534"/>
      <c r="AM149" s="1534"/>
      <c r="AN149" s="1534"/>
      <c r="AO149" s="1534"/>
      <c r="AP149" s="1534"/>
      <c r="AQ149" s="1534"/>
      <c r="AR149" s="1534"/>
      <c r="AS149" s="1534"/>
      <c r="AT149" s="1534"/>
      <c r="AU149" s="1534"/>
      <c r="AV149" s="1534"/>
      <c r="AW149" s="1534"/>
      <c r="AX149" s="1534"/>
      <c r="AY149" s="1534"/>
      <c r="AZ149" s="1534"/>
      <c r="BA149" s="1534"/>
      <c r="BB149" s="1534"/>
      <c r="BC149" s="1534"/>
      <c r="BD149" s="1534"/>
      <c r="BE149" s="1534"/>
      <c r="BF149" s="1534"/>
      <c r="BG149" s="1534"/>
      <c r="BH149" s="1534"/>
      <c r="BI149" s="1534"/>
      <c r="BJ149" s="1532"/>
      <c r="BK149" s="1534"/>
      <c r="BL149" s="1534"/>
      <c r="BM149" s="1534"/>
      <c r="BN149" s="1534"/>
      <c r="BO149" s="1534"/>
      <c r="BP149" s="1534"/>
      <c r="BQ149" s="1534"/>
      <c r="BR149" s="1534"/>
      <c r="BS149" s="1534"/>
      <c r="BT149" s="1534"/>
      <c r="BU149" s="1534"/>
      <c r="BV149" s="1534"/>
      <c r="BW149" s="1534"/>
      <c r="BX149" s="1534"/>
      <c r="BY149" s="1534"/>
      <c r="BZ149" s="1534"/>
      <c r="CA149" s="1534"/>
      <c r="CB149" s="1534"/>
      <c r="CC149" s="1534"/>
      <c r="CD149" s="1534"/>
      <c r="CE149" s="1534"/>
      <c r="CF149" s="1534"/>
      <c r="CG149" s="1534"/>
      <c r="CH149" s="1534"/>
      <c r="CI149" s="1534"/>
      <c r="CJ149" s="1534"/>
      <c r="CK149" s="1534"/>
      <c r="CL149" s="1534"/>
      <c r="CM149" s="1534"/>
      <c r="CN149" s="1534"/>
      <c r="CO149" s="1534"/>
      <c r="CP149" s="1534"/>
      <c r="CQ149" s="1534"/>
      <c r="CR149" s="1534"/>
      <c r="CS149" s="1534"/>
      <c r="CT149" s="1534"/>
      <c r="CU149" s="1534"/>
      <c r="CV149" s="1534"/>
      <c r="CW149" s="1534"/>
      <c r="CX149" s="1534"/>
      <c r="CY149" s="1534"/>
      <c r="CZ149" s="1534"/>
      <c r="DA149" s="1534"/>
      <c r="DB149" s="1534"/>
      <c r="DC149" s="1534"/>
      <c r="DD149" s="1534"/>
      <c r="DE149" s="1534"/>
      <c r="DF149" s="1534"/>
      <c r="DG149" s="1534"/>
      <c r="DH149" s="1534"/>
      <c r="DI149" s="1534"/>
      <c r="DJ149" s="1534"/>
      <c r="DK149" s="1534"/>
      <c r="DL149" s="1534"/>
      <c r="DM149" s="1534"/>
      <c r="DN149" s="1534"/>
      <c r="DO149" s="1534"/>
      <c r="DP149" s="1534"/>
      <c r="DQ149" s="1534"/>
      <c r="DR149" s="1537">
        <v>122560</v>
      </c>
      <c r="DS149" s="1534"/>
      <c r="DT149" s="1534"/>
      <c r="DU149" s="1534"/>
      <c r="DV149" s="1534"/>
      <c r="DW149" s="1534"/>
      <c r="DX149" s="1534"/>
      <c r="DY149" s="1534"/>
      <c r="DZ149" s="1534"/>
      <c r="EA149" s="1534"/>
      <c r="EB149" s="1534"/>
      <c r="EC149" s="1534"/>
      <c r="ED149" s="1534"/>
      <c r="EE149" s="1534"/>
      <c r="EF149" s="1534"/>
      <c r="EG149" s="1534">
        <v>1000</v>
      </c>
      <c r="EH149" s="1534"/>
      <c r="EI149" s="1534"/>
      <c r="EJ149" s="1534"/>
      <c r="EK149" s="1534"/>
      <c r="EL149" s="1534"/>
      <c r="EM149" s="1534"/>
      <c r="EN149" s="1534"/>
      <c r="EO149" s="1534"/>
      <c r="EP149" s="1534"/>
      <c r="EQ149" s="1534"/>
      <c r="ER149" s="1534"/>
      <c r="ES149" s="1534"/>
      <c r="ET149" s="1534"/>
      <c r="EU149" s="1534"/>
      <c r="EV149" s="1534"/>
      <c r="EW149" s="1534"/>
      <c r="EX149" s="1534"/>
      <c r="EY149" s="1534"/>
      <c r="EZ149" s="1534"/>
      <c r="FA149" s="1534"/>
      <c r="FB149" s="1534"/>
      <c r="FC149" s="1534"/>
      <c r="FD149" s="1534"/>
      <c r="FE149" s="1534"/>
      <c r="FF149" s="1534"/>
      <c r="FG149" s="1534"/>
      <c r="FH149" s="1534"/>
      <c r="FI149" s="1534"/>
      <c r="FJ149" s="1534"/>
      <c r="FK149" s="1534"/>
      <c r="FL149" s="1534"/>
      <c r="FM149" s="1534"/>
      <c r="FN149" s="1534"/>
      <c r="FO149" s="1534"/>
      <c r="FP149" s="1534"/>
      <c r="FQ149" s="1534"/>
      <c r="FR149" s="1534"/>
      <c r="FS149" s="1534"/>
      <c r="FT149" s="1534"/>
      <c r="FU149" s="1534"/>
      <c r="FV149" s="1534"/>
      <c r="FW149" s="1534"/>
      <c r="FX149" s="1534"/>
      <c r="FY149" s="1534"/>
      <c r="FZ149" s="1534"/>
      <c r="GA149" s="1534"/>
      <c r="GB149" s="1534"/>
      <c r="GC149" s="1534"/>
      <c r="GD149" s="1534"/>
      <c r="GE149" s="1534"/>
      <c r="GF149" s="1534"/>
      <c r="GG149" s="1534"/>
      <c r="GH149" s="1534"/>
      <c r="GI149" s="1534"/>
      <c r="GJ149" s="1534"/>
      <c r="GK149" s="1534"/>
      <c r="GL149" s="1534"/>
      <c r="GM149" s="1534"/>
      <c r="GN149" s="1534"/>
      <c r="GO149" s="1534"/>
      <c r="GP149" s="1534"/>
      <c r="GQ149" s="1534"/>
      <c r="GR149" s="1534"/>
      <c r="GS149" s="1534"/>
      <c r="GT149" s="1534"/>
      <c r="GU149" s="1534"/>
      <c r="GV149" s="1534"/>
      <c r="GW149" s="1534"/>
      <c r="GX149" s="1534"/>
      <c r="GY149" s="1534"/>
      <c r="GZ149" s="1534"/>
      <c r="HA149" s="1534"/>
      <c r="HB149" s="1534"/>
      <c r="HC149" s="1534"/>
      <c r="HD149" s="1534"/>
      <c r="HE149" s="1534"/>
      <c r="HF149" s="1534"/>
      <c r="HG149" s="1534"/>
      <c r="HH149" s="1534"/>
      <c r="HI149" s="1534"/>
      <c r="HJ149" s="1534"/>
      <c r="HK149" s="1534"/>
      <c r="HL149" s="1534"/>
      <c r="HM149" s="1534"/>
      <c r="HN149" s="1534"/>
      <c r="HO149" s="1534"/>
      <c r="HP149" s="1534"/>
      <c r="HQ149" s="1534"/>
      <c r="HR149" s="1534"/>
      <c r="HS149" s="1534"/>
      <c r="HT149" s="1534"/>
      <c r="HU149" s="1534"/>
      <c r="HV149" s="1534"/>
      <c r="HW149" s="1534"/>
      <c r="HX149" s="1534"/>
      <c r="HY149" s="1534"/>
      <c r="HZ149" s="1534"/>
      <c r="IA149" s="1534"/>
      <c r="IB149" s="1534"/>
      <c r="IC149" s="1534"/>
      <c r="ID149" s="1534"/>
      <c r="IE149" s="1534"/>
      <c r="IF149" s="1534"/>
      <c r="IG149" s="1534"/>
      <c r="IH149" s="1534"/>
      <c r="II149" s="1534"/>
      <c r="IJ149" s="1534"/>
      <c r="IK149" s="1534"/>
      <c r="IL149" s="1534"/>
      <c r="IM149" s="1534"/>
      <c r="IN149" s="1534"/>
      <c r="IO149" s="1534"/>
      <c r="IP149" s="1534"/>
      <c r="IQ149" s="1534"/>
      <c r="IR149" s="1534"/>
      <c r="IS149" s="1534"/>
      <c r="IT149" s="1534"/>
      <c r="IU149" s="1534"/>
      <c r="IV149" s="1534"/>
      <c r="IW149" s="1534"/>
      <c r="IX149" s="1537">
        <v>46459</v>
      </c>
      <c r="IY149" s="1532"/>
      <c r="IZ149" s="1534"/>
      <c r="JA149" s="1532"/>
      <c r="JB149" s="1534"/>
      <c r="JC149" s="1534"/>
      <c r="JD149" s="1534"/>
      <c r="JE149" s="1534"/>
      <c r="JF149" s="1534"/>
      <c r="JG149" s="1534"/>
      <c r="JH149" s="1534"/>
      <c r="JI149" s="1534"/>
      <c r="JJ149" s="1534"/>
      <c r="JK149" s="1534"/>
      <c r="JL149" s="1534"/>
      <c r="JM149" s="1534"/>
      <c r="JN149" s="1534"/>
      <c r="JO149" s="1534"/>
      <c r="JP149" s="1534"/>
      <c r="JQ149" s="1536"/>
      <c r="JR149" s="351"/>
      <c r="JS149" s="1400"/>
      <c r="JT149" s="1400" t="s">
        <v>2242</v>
      </c>
    </row>
    <row r="150" spans="1:280" x14ac:dyDescent="0.25">
      <c r="A150" s="1367">
        <v>103</v>
      </c>
      <c r="B150" s="1411" t="str">
        <f t="shared" si="60"/>
        <v/>
      </c>
      <c r="C150" s="1435" t="s">
        <v>3300</v>
      </c>
      <c r="D150" s="1436" t="s">
        <v>3301</v>
      </c>
      <c r="E150" s="1534"/>
      <c r="F150" s="1534"/>
      <c r="G150" s="1534"/>
      <c r="H150" s="1534"/>
      <c r="I150" s="1534"/>
      <c r="J150" s="1534"/>
      <c r="K150" s="1534"/>
      <c r="L150" s="1534"/>
      <c r="M150" s="1534"/>
      <c r="N150" s="1534"/>
      <c r="O150" s="1534"/>
      <c r="P150" s="1534"/>
      <c r="Q150" s="1534"/>
      <c r="R150" s="1534"/>
      <c r="S150" s="1534"/>
      <c r="T150" s="1534"/>
      <c r="U150" s="1534"/>
      <c r="V150" s="1534"/>
      <c r="W150" s="1534"/>
      <c r="X150" s="1534"/>
      <c r="Y150" s="1534"/>
      <c r="Z150" s="1534"/>
      <c r="AA150" s="1534"/>
      <c r="AB150" s="1534"/>
      <c r="AC150" s="1534"/>
      <c r="AD150" s="1534"/>
      <c r="AE150" s="1534"/>
      <c r="AF150" s="1534"/>
      <c r="AG150" s="1534"/>
      <c r="AH150" s="1534"/>
      <c r="AI150" s="1534"/>
      <c r="AJ150" s="1534"/>
      <c r="AK150" s="1534"/>
      <c r="AL150" s="1534"/>
      <c r="AM150" s="1534"/>
      <c r="AN150" s="1534"/>
      <c r="AO150" s="1534"/>
      <c r="AP150" s="1534"/>
      <c r="AQ150" s="1534"/>
      <c r="AR150" s="1534"/>
      <c r="AS150" s="1534"/>
      <c r="AT150" s="1534"/>
      <c r="AU150" s="1534"/>
      <c r="AV150" s="1534"/>
      <c r="AW150" s="1534"/>
      <c r="AX150" s="1534"/>
      <c r="AY150" s="1534"/>
      <c r="AZ150" s="1534"/>
      <c r="BA150" s="1534"/>
      <c r="BB150" s="1534"/>
      <c r="BC150" s="1534"/>
      <c r="BD150" s="1534"/>
      <c r="BE150" s="1534"/>
      <c r="BF150" s="1534"/>
      <c r="BG150" s="1534"/>
      <c r="BH150" s="1534"/>
      <c r="BI150" s="1534"/>
      <c r="BJ150" s="1541"/>
      <c r="BK150" s="1534"/>
      <c r="BL150" s="1534"/>
      <c r="BM150" s="1534"/>
      <c r="BN150" s="1534"/>
      <c r="BO150" s="1534"/>
      <c r="BP150" s="1534"/>
      <c r="BQ150" s="1534"/>
      <c r="BR150" s="1534"/>
      <c r="BS150" s="1534"/>
      <c r="BT150" s="1534"/>
      <c r="BU150" s="1534"/>
      <c r="BV150" s="1534"/>
      <c r="BW150" s="1534"/>
      <c r="BX150" s="1534"/>
      <c r="BY150" s="1534"/>
      <c r="BZ150" s="1534"/>
      <c r="CA150" s="1534"/>
      <c r="CB150" s="1534"/>
      <c r="CC150" s="1534"/>
      <c r="CD150" s="1534"/>
      <c r="CE150" s="1534"/>
      <c r="CF150" s="1534"/>
      <c r="CG150" s="1534"/>
      <c r="CH150" s="1534"/>
      <c r="CI150" s="1534"/>
      <c r="CJ150" s="1534"/>
      <c r="CK150" s="1534"/>
      <c r="CL150" s="1534">
        <v>71605</v>
      </c>
      <c r="CM150" s="1534"/>
      <c r="CN150" s="1534">
        <v>41240</v>
      </c>
      <c r="CO150" s="1534"/>
      <c r="CP150" s="1534"/>
      <c r="CQ150" s="1534"/>
      <c r="CR150" s="1534">
        <v>71605</v>
      </c>
      <c r="CS150" s="1534">
        <v>71605</v>
      </c>
      <c r="CT150" s="1534"/>
      <c r="CU150" s="1534"/>
      <c r="CV150" s="1534"/>
      <c r="CW150" s="1534"/>
      <c r="CX150" s="1534"/>
      <c r="CY150" s="1534"/>
      <c r="CZ150" s="1534"/>
      <c r="DA150" s="1534"/>
      <c r="DB150" s="1534"/>
      <c r="DC150" s="1534"/>
      <c r="DD150" s="1534"/>
      <c r="DE150" s="1534"/>
      <c r="DF150" s="1534"/>
      <c r="DG150" s="1534"/>
      <c r="DH150" s="1534"/>
      <c r="DI150" s="1534"/>
      <c r="DJ150" s="1534"/>
      <c r="DK150" s="1534"/>
      <c r="DL150" s="1534"/>
      <c r="DM150" s="1534"/>
      <c r="DN150" s="1534"/>
      <c r="DO150" s="1534"/>
      <c r="DP150" s="1534"/>
      <c r="DQ150" s="1534"/>
      <c r="DR150" s="1534"/>
      <c r="DS150" s="1534"/>
      <c r="DT150" s="1534"/>
      <c r="DU150" s="1534"/>
      <c r="DV150" s="1534"/>
      <c r="DW150" s="1534"/>
      <c r="DX150" s="1534"/>
      <c r="DY150" s="1534"/>
      <c r="DZ150" s="1534"/>
      <c r="EA150" s="1534">
        <v>41240</v>
      </c>
      <c r="EB150" s="1534"/>
      <c r="EC150" s="1534"/>
      <c r="ED150" s="1534"/>
      <c r="EE150" s="1534"/>
      <c r="EF150" s="1534"/>
      <c r="EG150" s="1534"/>
      <c r="EH150" s="1534"/>
      <c r="EI150" s="1534">
        <v>56750</v>
      </c>
      <c r="EJ150" s="1534"/>
      <c r="EK150" s="1534"/>
      <c r="EL150" s="1534"/>
      <c r="EM150" s="1534">
        <v>71605</v>
      </c>
      <c r="EN150" s="1534"/>
      <c r="EO150" s="1534"/>
      <c r="EP150" s="1534"/>
      <c r="EQ150" s="1534"/>
      <c r="ER150" s="1534"/>
      <c r="ES150" s="1534"/>
      <c r="ET150" s="1534"/>
      <c r="EU150" s="1534"/>
      <c r="EV150" s="1534"/>
      <c r="EW150" s="1534"/>
      <c r="EX150" s="1534"/>
      <c r="EY150" s="1534">
        <v>71605</v>
      </c>
      <c r="EZ150" s="1534"/>
      <c r="FA150" s="1534"/>
      <c r="FB150" s="1534"/>
      <c r="FC150" s="1534"/>
      <c r="FD150" s="1534"/>
      <c r="FE150" s="1534"/>
      <c r="FF150" s="1534"/>
      <c r="FG150" s="1534"/>
      <c r="FH150" s="1534"/>
      <c r="FI150" s="1534"/>
      <c r="FJ150" s="1534"/>
      <c r="FK150" s="1534"/>
      <c r="FL150" s="1534"/>
      <c r="FM150" s="1534"/>
      <c r="FN150" s="1534"/>
      <c r="FO150" s="1534"/>
      <c r="FP150" s="1534"/>
      <c r="FQ150" s="1534"/>
      <c r="FR150" s="1534"/>
      <c r="FS150" s="1534"/>
      <c r="FT150" s="1534"/>
      <c r="FU150" s="1534"/>
      <c r="FV150" s="1534"/>
      <c r="FW150" s="1534"/>
      <c r="FX150" s="1534"/>
      <c r="FY150" s="1534"/>
      <c r="FZ150" s="1534"/>
      <c r="GA150" s="1534"/>
      <c r="GB150" s="1534"/>
      <c r="GC150" s="1534"/>
      <c r="GD150" s="1534"/>
      <c r="GE150" s="1534"/>
      <c r="GF150" s="1534"/>
      <c r="GG150" s="1534"/>
      <c r="GH150" s="1534"/>
      <c r="GI150" s="1534"/>
      <c r="GJ150" s="1534">
        <v>56750</v>
      </c>
      <c r="GK150" s="1534"/>
      <c r="GL150" s="1534"/>
      <c r="GM150" s="1534"/>
      <c r="GN150" s="1534"/>
      <c r="GO150" s="1534"/>
      <c r="GP150" s="1534"/>
      <c r="GQ150" s="1534"/>
      <c r="GR150" s="1534"/>
      <c r="GS150" s="1534"/>
      <c r="GT150" s="1534"/>
      <c r="GU150" s="1534"/>
      <c r="GV150" s="1534"/>
      <c r="GW150" s="1534"/>
      <c r="GX150" s="1534"/>
      <c r="GY150" s="1534"/>
      <c r="GZ150" s="1534"/>
      <c r="HA150" s="1534"/>
      <c r="HB150" s="1534"/>
      <c r="HC150" s="1534"/>
      <c r="HD150" s="1534"/>
      <c r="HE150" s="1534"/>
      <c r="HF150" s="1534"/>
      <c r="HG150" s="1534"/>
      <c r="HH150" s="1534"/>
      <c r="HI150" s="1534"/>
      <c r="HJ150" s="1534"/>
      <c r="HK150" s="1534"/>
      <c r="HL150" s="1534"/>
      <c r="HM150" s="1534"/>
      <c r="HN150" s="1534"/>
      <c r="HO150" s="1534"/>
      <c r="HP150" s="1534"/>
      <c r="HQ150" s="1534"/>
      <c r="HR150" s="1534"/>
      <c r="HS150" s="1534"/>
      <c r="HT150" s="1534"/>
      <c r="HU150" s="1534"/>
      <c r="HV150" s="1534"/>
      <c r="HW150" s="1534"/>
      <c r="HX150" s="1534"/>
      <c r="HY150" s="1534"/>
      <c r="HZ150" s="1534"/>
      <c r="IA150" s="1534"/>
      <c r="IB150" s="1534"/>
      <c r="IC150" s="1534"/>
      <c r="ID150" s="1534"/>
      <c r="IE150" s="1534"/>
      <c r="IF150" s="1534"/>
      <c r="IG150" s="1534"/>
      <c r="IH150" s="1534"/>
      <c r="II150" s="1534"/>
      <c r="IJ150" s="1534"/>
      <c r="IK150" s="1534"/>
      <c r="IL150" s="1534"/>
      <c r="IM150" s="1534"/>
      <c r="IN150" s="1534"/>
      <c r="IO150" s="1534"/>
      <c r="IP150" s="1534"/>
      <c r="IQ150" s="1534"/>
      <c r="IR150" s="1534"/>
      <c r="IS150" s="1534"/>
      <c r="IT150" s="1534"/>
      <c r="IU150" s="1534"/>
      <c r="IV150" s="1534"/>
      <c r="IW150" s="1534"/>
      <c r="IX150" s="1537">
        <v>166805</v>
      </c>
      <c r="IY150" s="1532"/>
      <c r="IZ150" s="1534"/>
      <c r="JA150" s="1532">
        <v>71605</v>
      </c>
      <c r="JB150" s="1534"/>
      <c r="JC150" s="1534"/>
      <c r="JD150" s="1534"/>
      <c r="JE150" s="1534"/>
      <c r="JF150" s="1534"/>
      <c r="JG150" s="1534"/>
      <c r="JH150" s="1534"/>
      <c r="JI150" s="1534"/>
      <c r="JJ150" s="1534"/>
      <c r="JK150" s="1534"/>
      <c r="JL150" s="1534"/>
      <c r="JM150" s="1534"/>
      <c r="JN150" s="1534"/>
      <c r="JO150" s="1534"/>
      <c r="JP150" s="1534"/>
      <c r="JQ150" s="1536"/>
      <c r="JR150" s="351"/>
      <c r="JS150" s="1400"/>
      <c r="JT150" s="1400" t="s">
        <v>2242</v>
      </c>
    </row>
    <row r="151" spans="1:280" x14ac:dyDescent="0.25">
      <c r="A151" s="1367">
        <v>104</v>
      </c>
      <c r="B151" s="1411" t="str">
        <f t="shared" si="60"/>
        <v/>
      </c>
      <c r="C151" s="1435" t="s">
        <v>3302</v>
      </c>
      <c r="D151" s="1436" t="s">
        <v>3303</v>
      </c>
      <c r="E151" s="1549"/>
      <c r="F151" s="1549"/>
      <c r="G151" s="1549">
        <f>G147+G148+G149-G150</f>
        <v>17800</v>
      </c>
      <c r="H151" s="1549"/>
      <c r="I151" s="1549">
        <f>I147+I148+I149-I150</f>
        <v>18885</v>
      </c>
      <c r="J151" s="1549"/>
      <c r="K151" s="1549"/>
      <c r="L151" s="1549">
        <f>L147+L148+L149-L150</f>
        <v>17500</v>
      </c>
      <c r="M151" s="1549"/>
      <c r="N151" s="1549"/>
      <c r="O151" s="1549"/>
      <c r="P151" s="1549"/>
      <c r="Q151" s="1549">
        <f>Q147+Q148+Q149-Q150</f>
        <v>17500</v>
      </c>
      <c r="R151" s="1549"/>
      <c r="S151" s="1549">
        <f>S147+S148+S149-S150</f>
        <v>20160</v>
      </c>
      <c r="T151" s="1549"/>
      <c r="U151" s="1549"/>
      <c r="V151" s="1549"/>
      <c r="W151" s="1549"/>
      <c r="X151" s="1549"/>
      <c r="Y151" s="1549"/>
      <c r="Z151" s="1549"/>
      <c r="AA151" s="1549">
        <f t="shared" ref="AA151" si="68">AA147+AA148+AA149-AA150</f>
        <v>8864</v>
      </c>
      <c r="AB151" s="1549"/>
      <c r="AC151" s="1549">
        <f>AC147+AC148+AC149-AC150</f>
        <v>17500</v>
      </c>
      <c r="AD151" s="1549"/>
      <c r="AE151" s="1549"/>
      <c r="AF151" s="1549"/>
      <c r="AG151" s="1549"/>
      <c r="AH151" s="1549"/>
      <c r="AI151" s="1549"/>
      <c r="AJ151" s="1549">
        <f>AJ147+AJ148+AJ149-AJ150</f>
        <v>3400</v>
      </c>
      <c r="AK151" s="1549"/>
      <c r="AL151" s="1549"/>
      <c r="AM151" s="1549"/>
      <c r="AN151" s="1549"/>
      <c r="AO151" s="1549"/>
      <c r="AP151" s="1549"/>
      <c r="AQ151" s="1549"/>
      <c r="AR151" s="1549"/>
      <c r="AS151" s="1549"/>
      <c r="AT151" s="1549"/>
      <c r="AU151" s="1549"/>
      <c r="AV151" s="1549">
        <f>AV147+AV148+AV149-AV150</f>
        <v>-5001</v>
      </c>
      <c r="AW151" s="1549"/>
      <c r="AX151" s="1549"/>
      <c r="AY151" s="1549"/>
      <c r="AZ151" s="1549"/>
      <c r="BA151" s="1549"/>
      <c r="BB151" s="1549"/>
      <c r="BC151" s="1549"/>
      <c r="BD151" s="1549"/>
      <c r="BE151" s="1549"/>
      <c r="BF151" s="1549"/>
      <c r="BG151" s="1549"/>
      <c r="BH151" s="1549"/>
      <c r="BI151" s="1549"/>
      <c r="BJ151" s="1551"/>
      <c r="BK151" s="1549"/>
      <c r="BL151" s="1549"/>
      <c r="BM151" s="1549"/>
      <c r="BN151" s="1549"/>
      <c r="BO151" s="1549"/>
      <c r="BP151" s="1549"/>
      <c r="BQ151" s="1549"/>
      <c r="BR151" s="1549"/>
      <c r="BS151" s="1549"/>
      <c r="BT151" s="1549"/>
      <c r="BU151" s="1549"/>
      <c r="BV151" s="1549"/>
      <c r="BW151" s="1549"/>
      <c r="BX151" s="1549"/>
      <c r="BY151" s="1549">
        <f t="shared" ref="BY151" si="69">BY147+BY148+BY149-BY150</f>
        <v>10000</v>
      </c>
      <c r="BZ151" s="1549"/>
      <c r="CA151" s="1549"/>
      <c r="CB151" s="1549">
        <f>CB147+CB148+CB149-CB150</f>
        <v>1316795</v>
      </c>
      <c r="CC151" s="1549"/>
      <c r="CD151" s="1549">
        <f t="shared" ref="CD151" si="70">CD147+CD148+CD149-CD150</f>
        <v>237938</v>
      </c>
      <c r="CE151" s="1549"/>
      <c r="CF151" s="1549">
        <f>CF147+CF148+CF149-CF150</f>
        <v>-22601</v>
      </c>
      <c r="CG151" s="1549"/>
      <c r="CH151" s="1549">
        <f>CH147+CH148+CH149-CH150</f>
        <v>17500</v>
      </c>
      <c r="CI151" s="1549"/>
      <c r="CJ151" s="1549"/>
      <c r="CK151" s="1549">
        <f>CK147+CK148+CK149-CK150</f>
        <v>11580</v>
      </c>
      <c r="CL151" s="1549">
        <f>CL147+CL148+CL149-CL150</f>
        <v>159747</v>
      </c>
      <c r="CM151" s="1549">
        <f>CM147+CM148+CM149-CM150</f>
        <v>-10000</v>
      </c>
      <c r="CN151" s="1549">
        <f>CN147+CN148+CN149-CN150</f>
        <v>314409</v>
      </c>
      <c r="CO151" s="1549">
        <f t="shared" ref="CO151:CP151" si="71">CO147+CO148+CO149-CO150</f>
        <v>-10533</v>
      </c>
      <c r="CP151" s="1549">
        <f t="shared" si="71"/>
        <v>35000</v>
      </c>
      <c r="CQ151" s="1549"/>
      <c r="CR151" s="1549">
        <f>CR147+CR148+CR149-CR150</f>
        <v>159747</v>
      </c>
      <c r="CS151" s="1549">
        <f>CS147+CS148+CS149-CS150</f>
        <v>159747</v>
      </c>
      <c r="CT151" s="1549"/>
      <c r="CU151" s="1549">
        <f>CU147+CU148+CU149-CU150</f>
        <v>154838</v>
      </c>
      <c r="CV151" s="1549">
        <f>CV147+CV148+CV149-CV150</f>
        <v>154838</v>
      </c>
      <c r="CW151" s="1549"/>
      <c r="CX151" s="1549"/>
      <c r="CY151" s="1549"/>
      <c r="CZ151" s="1549"/>
      <c r="DA151" s="1549"/>
      <c r="DB151" s="1549"/>
      <c r="DC151" s="1549">
        <f>DC147+DC148+DC149-DC150</f>
        <v>154838</v>
      </c>
      <c r="DD151" s="1549"/>
      <c r="DE151" s="1549"/>
      <c r="DF151" s="1549"/>
      <c r="DG151" s="1549"/>
      <c r="DH151" s="1549"/>
      <c r="DI151" s="1549"/>
      <c r="DJ151" s="1549">
        <f>DJ147+DJ148+DJ149-DJ150</f>
        <v>154838</v>
      </c>
      <c r="DK151" s="1549"/>
      <c r="DL151" s="1549"/>
      <c r="DM151" s="1549"/>
      <c r="DN151" s="1549"/>
      <c r="DO151" s="1549"/>
      <c r="DP151" s="1549"/>
      <c r="DQ151" s="1549"/>
      <c r="DR151" s="1550">
        <v>982666</v>
      </c>
      <c r="DS151" s="1549"/>
      <c r="DT151" s="1549"/>
      <c r="DU151" s="1549"/>
      <c r="DV151" s="1549"/>
      <c r="DW151" s="1549"/>
      <c r="DX151" s="1549"/>
      <c r="DY151" s="1549"/>
      <c r="DZ151" s="1549"/>
      <c r="EA151" s="1549">
        <f>EA147+EA148+EA149-EA150</f>
        <v>251010</v>
      </c>
      <c r="EB151" s="1549"/>
      <c r="EC151" s="1549"/>
      <c r="ED151" s="1549"/>
      <c r="EE151" s="1549"/>
      <c r="EF151" s="1549">
        <f>EF147+EF148+EF149-EF150</f>
        <v>7115</v>
      </c>
      <c r="EG151" s="1549">
        <f>EG147+EG148+EG149-EG150</f>
        <v>-218</v>
      </c>
      <c r="EH151" s="1549"/>
      <c r="EI151" s="1549">
        <f>EI147+EI148+EI149-EI150</f>
        <v>2841</v>
      </c>
      <c r="EJ151" s="1549"/>
      <c r="EK151" s="1549"/>
      <c r="EL151" s="1549"/>
      <c r="EM151" s="1549">
        <f>EM147+EM148+EM149-EM150</f>
        <v>159747</v>
      </c>
      <c r="EN151" s="1549"/>
      <c r="EO151" s="1549"/>
      <c r="EP151" s="1549"/>
      <c r="EQ151" s="1549"/>
      <c r="ER151" s="1549"/>
      <c r="ES151" s="1549"/>
      <c r="ET151" s="1551">
        <f t="shared" ref="ET151" si="72">ET147+ET148+ET149-ET150</f>
        <v>2671</v>
      </c>
      <c r="EU151" s="1549"/>
      <c r="EV151" s="1549"/>
      <c r="EW151" s="1549"/>
      <c r="EX151" s="1549"/>
      <c r="EY151" s="1549">
        <f>EY147+EY148+EY149-EY150</f>
        <v>159747</v>
      </c>
      <c r="EZ151" s="1549"/>
      <c r="FA151" s="1549"/>
      <c r="FB151" s="1549"/>
      <c r="FC151" s="1549"/>
      <c r="FD151" s="1549"/>
      <c r="FE151" s="1549"/>
      <c r="FF151" s="1549">
        <f>FF147+FF148+FF149-FF150</f>
        <v>-22601</v>
      </c>
      <c r="FG151" s="1549"/>
      <c r="FH151" s="1549">
        <f>FH147+FH148+FH149-FH150</f>
        <v>154838</v>
      </c>
      <c r="FI151" s="1549"/>
      <c r="FJ151" s="1549"/>
      <c r="FK151" s="1549"/>
      <c r="FL151" s="1549"/>
      <c r="FM151" s="1549"/>
      <c r="FN151" s="1549"/>
      <c r="FO151" s="1549"/>
      <c r="FP151" s="1549"/>
      <c r="FQ151" s="1549"/>
      <c r="FR151" s="1549"/>
      <c r="FS151" s="1549"/>
      <c r="FT151" s="1549"/>
      <c r="FU151" s="1549"/>
      <c r="FV151" s="1549"/>
      <c r="FW151" s="1549"/>
      <c r="FX151" s="1549"/>
      <c r="FY151" s="1549"/>
      <c r="FZ151" s="1549"/>
      <c r="GA151" s="1549"/>
      <c r="GB151" s="1549"/>
      <c r="GC151" s="1549"/>
      <c r="GD151" s="1549">
        <f t="shared" ref="GD151" si="73">GD147+GD148+GD149-GD150</f>
        <v>8952</v>
      </c>
      <c r="GE151" s="1549"/>
      <c r="GF151" s="1549"/>
      <c r="GG151" s="1549"/>
      <c r="GH151" s="1549"/>
      <c r="GI151" s="1549"/>
      <c r="GJ151" s="1549">
        <f>GJ147+GJ148+GJ149-GJ150</f>
        <v>-4537</v>
      </c>
      <c r="GK151" s="1549"/>
      <c r="GL151" s="1549"/>
      <c r="GM151" s="1549"/>
      <c r="GN151" s="1549">
        <f t="shared" ref="GN151" si="74">GN147+GN148+GN149-GN150</f>
        <v>6875</v>
      </c>
      <c r="GO151" s="1549"/>
      <c r="GP151" s="1549"/>
      <c r="GQ151" s="1549"/>
      <c r="GR151" s="1549"/>
      <c r="GS151" s="1549"/>
      <c r="GT151" s="1549"/>
      <c r="GU151" s="1549">
        <f t="shared" ref="GU151" si="75">GU147+GU148+GU149-GU150</f>
        <v>9920</v>
      </c>
      <c r="GV151" s="1549"/>
      <c r="GW151" s="1549"/>
      <c r="GX151" s="1549">
        <f>GX147+GX148+GX149-GX150</f>
        <v>-52763</v>
      </c>
      <c r="GY151" s="1549"/>
      <c r="GZ151" s="1549"/>
      <c r="HA151" s="1549"/>
      <c r="HB151" s="1549">
        <f>HB147+HB148+HB149-HB150</f>
        <v>-5001</v>
      </c>
      <c r="HC151" s="1549">
        <f>HC147+HC148+HC149-HC150</f>
        <v>154838</v>
      </c>
      <c r="HD151" s="1549"/>
      <c r="HE151" s="1549"/>
      <c r="HF151" s="1549"/>
      <c r="HG151" s="1549"/>
      <c r="HH151" s="1549"/>
      <c r="HI151" s="1549"/>
      <c r="HJ151" s="1549"/>
      <c r="HK151" s="1549"/>
      <c r="HL151" s="1549"/>
      <c r="HM151" s="1549"/>
      <c r="HN151" s="1549"/>
      <c r="HO151" s="1549">
        <f>HO147+HO148+HO149-HO150</f>
        <v>17500</v>
      </c>
      <c r="HP151" s="1549"/>
      <c r="HQ151" s="1549"/>
      <c r="HR151" s="1549"/>
      <c r="HS151" s="1549"/>
      <c r="HT151" s="1549"/>
      <c r="HU151" s="1549"/>
      <c r="HV151" s="1549"/>
      <c r="HW151" s="1549">
        <f t="shared" ref="HW151" si="76">HW147+HW148+HW149-HW150</f>
        <v>26980</v>
      </c>
      <c r="HX151" s="1549"/>
      <c r="HY151" s="1549"/>
      <c r="HZ151" s="1549"/>
      <c r="IA151" s="1549"/>
      <c r="IB151" s="1549"/>
      <c r="IC151" s="1549"/>
      <c r="ID151" s="1549"/>
      <c r="IE151" s="1549"/>
      <c r="IF151" s="1549"/>
      <c r="IG151" s="1549"/>
      <c r="IH151" s="1549"/>
      <c r="II151" s="1549"/>
      <c r="IJ151" s="1549"/>
      <c r="IK151" s="1549"/>
      <c r="IL151" s="1551">
        <f t="shared" ref="IL151" si="77">IL147+IL148+IL149-IL150</f>
        <v>4237</v>
      </c>
      <c r="IM151" s="1549"/>
      <c r="IN151" s="1549"/>
      <c r="IO151" s="1549"/>
      <c r="IP151" s="1549"/>
      <c r="IQ151" s="1549"/>
      <c r="IR151" s="1549"/>
      <c r="IS151" s="1549"/>
      <c r="IT151" s="1549"/>
      <c r="IU151" s="1549"/>
      <c r="IV151" s="1549"/>
      <c r="IW151" s="1549"/>
      <c r="IX151" s="1551">
        <f>IX147+IX148+IX149-IX150</f>
        <v>5946227</v>
      </c>
      <c r="IY151" s="1549">
        <f>IY147+IY148+IY149-IY150</f>
        <v>-22601</v>
      </c>
      <c r="IZ151" s="1549"/>
      <c r="JA151" s="1549">
        <f>JA147+JA148+JA149-JA150</f>
        <v>159747</v>
      </c>
      <c r="JB151" s="1549"/>
      <c r="JC151" s="1549"/>
      <c r="JD151" s="1549"/>
      <c r="JE151" s="1549"/>
      <c r="JF151" s="1549"/>
      <c r="JG151" s="1549"/>
      <c r="JH151" s="1549"/>
      <c r="JI151" s="1549"/>
      <c r="JJ151" s="1549"/>
      <c r="JK151" s="1549"/>
      <c r="JL151" s="1549"/>
      <c r="JM151" s="1549"/>
      <c r="JN151" s="1549"/>
      <c r="JO151" s="1549"/>
      <c r="JP151" s="1549"/>
      <c r="JQ151" s="1549"/>
      <c r="JR151" s="351"/>
      <c r="JS151" s="1521" t="s">
        <v>3304</v>
      </c>
      <c r="JT151" s="1400" t="s">
        <v>2253</v>
      </c>
    </row>
    <row r="152" spans="1:280" x14ac:dyDescent="0.25">
      <c r="A152" s="1367">
        <v>105</v>
      </c>
      <c r="B152" s="1411" t="str">
        <f>IF(SE_B_IND&gt;1,IF(HLOOKUP(SE_B_IND-1,FSE_RANGE,A152)="","",HLOOKUP(SE_B_IND-1,FSE_RANGE,A152)),"")</f>
        <v/>
      </c>
      <c r="C152" s="1435" t="s">
        <v>3305</v>
      </c>
      <c r="D152" s="1436" t="str">
        <f>"If your total profits for "&amp;tax_year&amp;" are less than "&amp;DOLLAR(NIC2_SPT,0)&amp;" and you choose to pay Class 2 NICs voluntarily, put 'X' in the box"</f>
        <v>If your total profits for 2025-26 are less than £6,845 and you choose to pay Class 2 NICs voluntarily, put 'X' in the box</v>
      </c>
      <c r="E152" s="1782"/>
      <c r="F152" s="1782"/>
      <c r="G152" s="1782" t="str">
        <f>IF(SE_B_IND&gt;1,IF(SE_A_IND&gt;1,"",IF(LUN_IND&gt;1,"",IF(PS_A_IND&gt;1,"",IF(PS_B_IND&gt;1,"",IF(AND(G126&lt;NIC2_SPT,NIC2_Vol,NIC_ex_set=FALSE),"Y","N"))))),"")</f>
        <v/>
      </c>
      <c r="H152" s="1782"/>
      <c r="I152" s="1782" t="str">
        <f>IF(SE_B_IND&gt;1,IF(SE_A_IND&gt;1,"",IF(LUN_IND&gt;1,"",IF(PS_A_IND&gt;1,"",IF(PS_B_IND&gt;1,"",IF(AND(I126&lt;NIC2_SPT,NIC2_Vol,NIC_ex_set=FALSE),"Y","N"))))),"")</f>
        <v/>
      </c>
      <c r="J152" s="1782"/>
      <c r="K152" s="1782"/>
      <c r="L152" s="1782" t="str">
        <f>IF(SE_B_IND&gt;1,IF(SE_A_IND&gt;1,"",IF(LUN_IND&gt;1,"",IF(PS_A_IND&gt;1,"",IF(PS_B_IND&gt;1,"",IF(AND(L126&lt;NIC2_SPT,NIC2_Vol,NIC_ex_set=FALSE),"Y","N"))))),"")</f>
        <v/>
      </c>
      <c r="M152" s="1782"/>
      <c r="N152" s="1782"/>
      <c r="O152" s="1782"/>
      <c r="P152" s="1782"/>
      <c r="Q152" s="1782" t="str">
        <f>IF(SE_B_IND&gt;1,IF(SE_A_IND&gt;1,"",IF(LUN_IND&gt;1,"",IF(PS_A_IND&gt;1,"",IF(PS_B_IND&gt;1,"",IF(AND(Q126&lt;NIC2_SPT,NIC2_Vol,NIC_ex_set=FALSE),"Y","N"))))),"")</f>
        <v/>
      </c>
      <c r="R152" s="1782"/>
      <c r="S152" s="1782" t="str">
        <f>IF(SE_B_IND&gt;1,IF(SE_A_IND&gt;1,"",IF(LUN_IND&gt;1,"",IF(PS_A_IND&gt;1,"",IF(PS_B_IND&gt;1,"",IF(AND(S126&lt;NIC2_SPT,NIC2_Vol,NIC_ex_set=FALSE),"Y","N"))))),"")</f>
        <v/>
      </c>
      <c r="T152" s="2446"/>
      <c r="U152" s="2545"/>
      <c r="V152" s="2545"/>
      <c r="W152" s="2545"/>
      <c r="X152" s="2545"/>
      <c r="Y152" s="2545"/>
      <c r="Z152" s="2545"/>
      <c r="AA152" s="2545" t="str">
        <f>IF(SE_B_IND&gt;1,IF(SE_A_IND&gt;1,"",IF(LUN_IND&gt;1,"",IF(PS_A_IND&gt;1,"",IF(PS_B_IND&gt;1,"",IF(AND(AA126&lt;NIC2_SPT,NIC2_Vol,NIC_ex_set=FALSE),"Y","N"))))),"")</f>
        <v/>
      </c>
      <c r="AB152" s="2545"/>
      <c r="AC152" s="2545" t="str">
        <f>IF(SE_B_IND&gt;1,IF(SE_A_IND&gt;1,"",IF(LUN_IND&gt;1,"",IF(PS_A_IND&gt;1,"",IF(PS_B_IND&gt;1,"",IF(AND(AC126&lt;NIC2_SPT,NIC2_Vol,NIC_ex_set=FALSE),"Y","N"))))),"")</f>
        <v/>
      </c>
      <c r="AD152" s="2545"/>
      <c r="AE152" s="2545"/>
      <c r="AF152" s="2545"/>
      <c r="AG152" s="2545"/>
      <c r="AH152" s="2545"/>
      <c r="AI152" s="2545"/>
      <c r="AJ152" s="2545" t="str">
        <f>IF(SE_B_IND&gt;1,IF(SE_A_IND&gt;1,"",IF(LUN_IND&gt;1,"",IF(PS_A_IND&gt;1,"",IF(PS_B_IND&gt;1,"",IF(AND(AJ126&lt;NIC2_SPT,NIC2_Vol,NIC_ex_set=FALSE),"Y","N"))))),"")</f>
        <v/>
      </c>
      <c r="AK152" s="2545"/>
      <c r="AL152" s="2545" t="str">
        <f>IF(SE_B_IND&gt;1,IF(SE_A_IND&gt;1,"",IF(LUN_IND&gt;1,"",IF(PS_A_IND&gt;1,"",IF(PS_B_IND&gt;1,"",IF(AND(AL126&lt;NIC2_SPT,NIC2_Vol,NIC_ex_set=FALSE),"Y","N"))))),"")</f>
        <v/>
      </c>
      <c r="AM152" s="2545" t="s">
        <v>1707</v>
      </c>
      <c r="AN152" s="2545"/>
      <c r="AO152" s="2545"/>
      <c r="AP152" s="2545"/>
      <c r="AQ152" s="2545"/>
      <c r="AR152" s="2545"/>
      <c r="AS152" s="2545"/>
      <c r="AT152" s="2545"/>
      <c r="AU152" s="2545"/>
      <c r="AV152" s="2545" t="str">
        <f>IF(SE_B_IND&gt;1,IF(SE_A_IND&gt;1,"",IF(LUN_IND&gt;1,"",IF(PS_A_IND&gt;1,"",IF(PS_B_IND&gt;1,"",IF(AND(AV126&lt;NIC2_SPT,NIC2_Vol,NIC_ex_set=FALSE),"Y","N"))))),"")</f>
        <v/>
      </c>
      <c r="AW152" s="2545"/>
      <c r="AX152" s="2545"/>
      <c r="AY152" s="2545"/>
      <c r="AZ152" s="2545"/>
      <c r="BA152" s="2545"/>
      <c r="BB152" s="2545"/>
      <c r="BC152" s="2545"/>
      <c r="BD152" s="2545"/>
      <c r="BE152" s="2545"/>
      <c r="BF152" s="2545"/>
      <c r="BG152" s="2545"/>
      <c r="BH152" s="2545"/>
      <c r="BI152" s="2545"/>
      <c r="BJ152" s="2545" t="str">
        <f>IF(SE_B_IND&gt;1,IF(SE_A_IND&gt;1,"",IF(LUN_IND&gt;1,"",IF(PS_A_IND&gt;1,"",IF(PS_B_IND&gt;1,"",IF(AND(BJ126&lt;NIC2_SPT,NIC2_Vol,NIC_ex_set=FALSE),"Y","N"))))),"")</f>
        <v/>
      </c>
      <c r="BK152" s="2545"/>
      <c r="BL152" s="2545"/>
      <c r="BM152" s="2545"/>
      <c r="BN152" s="2545"/>
      <c r="BO152" s="2545"/>
      <c r="BP152" s="2545"/>
      <c r="BQ152" s="2545"/>
      <c r="BR152" s="2545"/>
      <c r="BS152" s="2545"/>
      <c r="BT152" s="2545"/>
      <c r="BU152" s="2545"/>
      <c r="BV152" s="2545"/>
      <c r="BW152" s="2545"/>
      <c r="BX152" s="2545"/>
      <c r="BY152" s="2545"/>
      <c r="BZ152" s="2545"/>
      <c r="CA152" s="2545"/>
      <c r="CB152" s="2545" t="str">
        <f>IF(SE_B_IND&gt;1,IF(SE_A_IND&gt;1,"",IF(LUN_IND&gt;1,"",IF(PS_A_IND&gt;1,"",IF(PS_B_IND&gt;1,"",IF(AND(CB126&lt;NIC2_SPT,NIC2_Vol,NIC_ex_set=FALSE),"Y","N"))))),"")</f>
        <v/>
      </c>
      <c r="CC152" s="2545"/>
      <c r="CD152" s="2545"/>
      <c r="CE152" s="2545"/>
      <c r="CF152" s="2545"/>
      <c r="CG152" s="2545"/>
      <c r="CH152" s="2545"/>
      <c r="CI152" s="2545"/>
      <c r="CJ152" s="2545"/>
      <c r="CK152" s="2545"/>
      <c r="CL152" s="2545"/>
      <c r="CM152" s="2545"/>
      <c r="CN152" s="2545"/>
      <c r="CO152" s="2545"/>
      <c r="CP152" s="2545"/>
      <c r="CQ152" s="2545"/>
      <c r="CR152" s="2545"/>
      <c r="CS152" s="2545"/>
      <c r="CT152" s="2545"/>
      <c r="CU152" s="2545"/>
      <c r="CV152" s="2545"/>
      <c r="CW152" s="2545"/>
      <c r="CX152" s="2545"/>
      <c r="CY152" s="2545"/>
      <c r="CZ152" s="2545"/>
      <c r="DA152" s="2545"/>
      <c r="DB152" s="2545"/>
      <c r="DC152" s="2545"/>
      <c r="DD152" s="2545"/>
      <c r="DE152" s="2545"/>
      <c r="DF152" s="2545"/>
      <c r="DG152" s="2545"/>
      <c r="DH152" s="2545"/>
      <c r="DI152" s="2545"/>
      <c r="DJ152" s="2545"/>
      <c r="DK152" s="2545"/>
      <c r="DL152" s="2545"/>
      <c r="DM152" s="2545"/>
      <c r="DN152" s="2545"/>
      <c r="DO152" s="2545"/>
      <c r="DP152" s="2545"/>
      <c r="DQ152" s="2545"/>
      <c r="DR152" s="2543" t="s">
        <v>1707</v>
      </c>
      <c r="DS152" s="2545"/>
      <c r="DT152" s="2545"/>
      <c r="DU152" s="2545"/>
      <c r="DV152" s="2545"/>
      <c r="DW152" s="2545"/>
      <c r="DX152" s="2545"/>
      <c r="DY152" s="2545"/>
      <c r="DZ152" s="2545"/>
      <c r="EA152" s="2446"/>
      <c r="EB152" s="2545"/>
      <c r="EC152" s="2545"/>
      <c r="ED152" s="2545"/>
      <c r="EE152" s="2446"/>
      <c r="EF152" s="1782"/>
      <c r="EG152" s="1782" t="s">
        <v>1707</v>
      </c>
      <c r="EH152" s="2446"/>
      <c r="EI152" s="1782"/>
      <c r="EJ152" s="2446"/>
      <c r="EK152" s="2446"/>
      <c r="EL152" s="2446"/>
      <c r="EM152" s="1782"/>
      <c r="EN152" s="2446"/>
      <c r="EO152" s="2446"/>
      <c r="EP152" s="2446"/>
      <c r="EQ152" s="2446"/>
      <c r="ER152" s="2446"/>
      <c r="ES152" s="2545"/>
      <c r="ET152" s="2545"/>
      <c r="EU152" s="2446"/>
      <c r="EV152" s="2446"/>
      <c r="EW152" s="2446"/>
      <c r="EX152" s="2446"/>
      <c r="EY152" s="1782"/>
      <c r="EZ152" s="2446"/>
      <c r="FA152" s="2446"/>
      <c r="FB152" s="2446"/>
      <c r="FC152" s="2446"/>
      <c r="FD152" s="2446"/>
      <c r="FE152" s="2446"/>
      <c r="FF152" s="1782"/>
      <c r="FG152" s="2446"/>
      <c r="FH152" s="1782"/>
      <c r="FI152" s="2543" t="s">
        <v>1707</v>
      </c>
      <c r="FJ152" s="2446"/>
      <c r="FK152" s="2446"/>
      <c r="FL152" s="2446"/>
      <c r="FM152" s="2446"/>
      <c r="FN152" s="2446"/>
      <c r="FO152" s="2446"/>
      <c r="FP152" s="2446"/>
      <c r="FQ152" s="2446"/>
      <c r="FR152" s="2446"/>
      <c r="FS152" s="2446"/>
      <c r="FT152" s="2446"/>
      <c r="FU152" s="2446"/>
      <c r="FV152" s="2446"/>
      <c r="FW152" s="2446"/>
      <c r="FX152" s="2446"/>
      <c r="FY152" s="2446"/>
      <c r="FZ152" s="2446"/>
      <c r="GA152" s="2446"/>
      <c r="GB152" s="2446"/>
      <c r="GC152" s="2446"/>
      <c r="GD152" s="2446"/>
      <c r="GE152" s="2446"/>
      <c r="GF152" s="2446"/>
      <c r="GG152" s="2446"/>
      <c r="GH152" s="2446"/>
      <c r="GI152" s="2446"/>
      <c r="GJ152" s="1782" t="s">
        <v>1615</v>
      </c>
      <c r="GK152" s="2446"/>
      <c r="GL152" s="2446"/>
      <c r="GM152" s="2446"/>
      <c r="GN152" s="2446" t="s">
        <v>1707</v>
      </c>
      <c r="GO152" s="2446"/>
      <c r="GP152" s="2446"/>
      <c r="GQ152" s="2446"/>
      <c r="GR152" s="2446"/>
      <c r="GS152" s="2446"/>
      <c r="GT152" s="2446"/>
      <c r="GU152" s="2446" t="s">
        <v>1615</v>
      </c>
      <c r="GV152" s="2446"/>
      <c r="GW152" s="2446"/>
      <c r="GX152" s="1781" t="s">
        <v>1615</v>
      </c>
      <c r="GY152" s="2446"/>
      <c r="GZ152" s="2446"/>
      <c r="HA152" s="2446"/>
      <c r="HB152" s="1782"/>
      <c r="HC152" s="1782" t="s">
        <v>1615</v>
      </c>
      <c r="HD152" s="2446"/>
      <c r="HE152" s="2446"/>
      <c r="HF152" s="2446"/>
      <c r="HG152" s="2446"/>
      <c r="HH152" s="2446"/>
      <c r="HI152" s="2446"/>
      <c r="HJ152" s="2446"/>
      <c r="HK152" s="2446"/>
      <c r="HL152" s="2446"/>
      <c r="HM152" s="2446"/>
      <c r="HN152" s="2446"/>
      <c r="HO152" s="1782" t="s">
        <v>1615</v>
      </c>
      <c r="HP152" s="1535"/>
      <c r="HQ152" s="1535"/>
      <c r="HR152" s="1535"/>
      <c r="HS152" s="1535"/>
      <c r="HT152" s="1535"/>
      <c r="HU152" s="1535"/>
      <c r="HV152" s="1535"/>
      <c r="HW152" s="1782" t="s">
        <v>1615</v>
      </c>
      <c r="HX152" s="2446"/>
      <c r="HY152" s="2446"/>
      <c r="HZ152" s="2446"/>
      <c r="IA152" s="2446"/>
      <c r="IB152" s="2446"/>
      <c r="IC152" s="2446"/>
      <c r="ID152" s="2446"/>
      <c r="IE152" s="2446"/>
      <c r="IF152" s="2446"/>
      <c r="IG152" s="2446"/>
      <c r="IH152" s="2446"/>
      <c r="II152" s="2446"/>
      <c r="IJ152" s="2446"/>
      <c r="IK152" s="2446"/>
      <c r="IL152" s="2446"/>
      <c r="IM152" s="2446"/>
      <c r="IN152" s="2446"/>
      <c r="IO152" s="2446"/>
      <c r="IP152" s="2446"/>
      <c r="IQ152" s="2446"/>
      <c r="IR152" s="2446"/>
      <c r="IS152" s="2446"/>
      <c r="IT152" s="2446"/>
      <c r="IU152" s="2446"/>
      <c r="IV152" s="2446"/>
      <c r="IW152" s="2446"/>
      <c r="IX152" s="2446"/>
      <c r="IY152" s="1782"/>
      <c r="IZ152" s="2446"/>
      <c r="JA152" s="1782" t="s">
        <v>1615</v>
      </c>
      <c r="JB152" s="2446"/>
      <c r="JC152" s="2446"/>
      <c r="JD152" s="2446"/>
      <c r="JE152" s="2446"/>
      <c r="JF152" s="2446"/>
      <c r="JG152" s="2446"/>
      <c r="JH152" s="2446"/>
      <c r="JI152" s="2446"/>
      <c r="JJ152" s="2446"/>
      <c r="JK152" s="2446"/>
      <c r="JL152" s="2446"/>
      <c r="JM152" s="2446"/>
      <c r="JN152" s="2446"/>
      <c r="JO152" s="2446"/>
      <c r="JP152" s="2446"/>
      <c r="JQ152" s="2447"/>
      <c r="JR152" s="351"/>
      <c r="JS152" s="1509"/>
      <c r="JT152" s="1400" t="s">
        <v>2319</v>
      </c>
    </row>
    <row r="153" spans="1:280" x14ac:dyDescent="0.25">
      <c r="A153" s="1367">
        <v>106</v>
      </c>
      <c r="B153" s="1411" t="str">
        <f t="shared" si="60"/>
        <v/>
      </c>
      <c r="C153" s="1435" t="s">
        <v>3306</v>
      </c>
      <c r="D153" s="1436" t="s">
        <v>3011</v>
      </c>
      <c r="E153" s="1782"/>
      <c r="F153" s="1782"/>
      <c r="G153" s="1782" t="str">
        <f>IF(SE_B_IND&gt;1,IF(SE_A_IND&gt;1,"",IF(NIC_ex_set,"Y","N")),"")</f>
        <v/>
      </c>
      <c r="H153" s="1782"/>
      <c r="I153" s="1782" t="str">
        <f>IF(SE_B_IND&gt;1,IF(SE_A_IND&gt;1,"",IF(NIC_ex_set,"Y","N")),"")</f>
        <v/>
      </c>
      <c r="J153" s="1782"/>
      <c r="K153" s="1782"/>
      <c r="L153" s="1782" t="s">
        <v>1707</v>
      </c>
      <c r="M153" s="1782"/>
      <c r="N153" s="1782"/>
      <c r="O153" s="1782"/>
      <c r="P153" s="1782"/>
      <c r="Q153" s="1782" t="str">
        <f>IF(SE_B_IND&gt;1,IF(SE_A_IND&gt;1,"",IF(NIC_ex_set,"Y","N")),"")</f>
        <v/>
      </c>
      <c r="R153" s="1782"/>
      <c r="S153" s="1782" t="str">
        <f>IF(SE_B_IND&gt;1,IF(SE_A_IND&gt;1,"",IF(NIC_ex_set,"Y","N")),"")</f>
        <v/>
      </c>
      <c r="T153" s="2446"/>
      <c r="U153" s="2545"/>
      <c r="V153" s="2545"/>
      <c r="W153" s="2545"/>
      <c r="X153" s="2545"/>
      <c r="Y153" s="2545"/>
      <c r="Z153" s="2545"/>
      <c r="AA153" s="2545" t="str">
        <f>IF(SE_B_IND&gt;1,IF(SE_A_IND&gt;1,"",IF(NIC_ex_set,"Y","N")),"")</f>
        <v/>
      </c>
      <c r="AB153" s="2545"/>
      <c r="AC153" s="2545" t="str">
        <f>IF(SE_B_IND&gt;1,IF(SE_A_IND&gt;1,"",IF(NIC_ex_set,"Y","N")),"")</f>
        <v/>
      </c>
      <c r="AD153" s="2545"/>
      <c r="AE153" s="2545"/>
      <c r="AF153" s="2545"/>
      <c r="AG153" s="2545"/>
      <c r="AH153" s="2545"/>
      <c r="AI153" s="2545"/>
      <c r="AJ153" s="2545" t="str">
        <f>IF(SE_B_IND&gt;1,IF(SE_A_IND&gt;1,"",IF(NIC_ex_set,"Y","N")),"")</f>
        <v/>
      </c>
      <c r="AK153" s="2545"/>
      <c r="AL153" s="2545" t="str">
        <f>IF(SE_B_IND&gt;1,IF(SE_A_IND&gt;1,"",IF(NIC_ex_set,"Y","N")),"")</f>
        <v/>
      </c>
      <c r="AM153" s="2545" t="s">
        <v>1615</v>
      </c>
      <c r="AN153" s="2545" t="s">
        <v>1707</v>
      </c>
      <c r="AO153" s="2545"/>
      <c r="AP153" s="2545"/>
      <c r="AQ153" s="2545"/>
      <c r="AR153" s="2545"/>
      <c r="AS153" s="2545"/>
      <c r="AT153" s="2545"/>
      <c r="AU153" s="2545"/>
      <c r="AV153" s="2545" t="str">
        <f>IF(SE_B_IND&gt;1,IF(SE_A_IND&gt;1,"",IF(NIC_ex_set,"Y","N")),"")</f>
        <v/>
      </c>
      <c r="AW153" s="2545"/>
      <c r="AX153" s="2545"/>
      <c r="AY153" s="2545"/>
      <c r="AZ153" s="2545"/>
      <c r="BA153" s="2545"/>
      <c r="BB153" s="2545"/>
      <c r="BC153" s="2545"/>
      <c r="BD153" s="2545"/>
      <c r="BE153" s="2545"/>
      <c r="BF153" s="2545"/>
      <c r="BG153" s="2545"/>
      <c r="BH153" s="2545"/>
      <c r="BI153" s="2545"/>
      <c r="BJ153" s="2545" t="str">
        <f>IF(SE_B_IND&gt;1,IF(SE_A_IND&gt;1,"",IF(NIC_ex_set,"Y","N")),"")</f>
        <v/>
      </c>
      <c r="BK153" s="2545"/>
      <c r="BL153" s="2545"/>
      <c r="BM153" s="2545"/>
      <c r="BN153" s="2545"/>
      <c r="BO153" s="2545"/>
      <c r="BP153" s="2545"/>
      <c r="BQ153" s="2545"/>
      <c r="BR153" s="2545"/>
      <c r="BS153" s="2545"/>
      <c r="BT153" s="2545"/>
      <c r="BU153" s="2545"/>
      <c r="BV153" s="2545"/>
      <c r="BW153" s="2545"/>
      <c r="BX153" s="2545"/>
      <c r="BY153" s="2545" t="s">
        <v>1707</v>
      </c>
      <c r="BZ153" s="2545"/>
      <c r="CA153" s="2545"/>
      <c r="CB153" s="2545" t="str">
        <f>IF(SE_B_IND&gt;1,IF(SE_A_IND&gt;1,"",IF(NIC_ex_set,"Y","N")),"")</f>
        <v/>
      </c>
      <c r="CC153" s="2545"/>
      <c r="CD153" s="1781" t="s">
        <v>1707</v>
      </c>
      <c r="CE153" s="2545"/>
      <c r="CF153" s="2545" t="s">
        <v>1707</v>
      </c>
      <c r="CG153" s="2545"/>
      <c r="CH153" s="2545" t="s">
        <v>1707</v>
      </c>
      <c r="CI153" s="2545"/>
      <c r="CJ153" s="2545"/>
      <c r="CK153" s="2545" t="s">
        <v>1707</v>
      </c>
      <c r="CL153" s="2545"/>
      <c r="CM153" s="2545" t="s">
        <v>1707</v>
      </c>
      <c r="CN153" s="2545" t="s">
        <v>1707</v>
      </c>
      <c r="CO153" s="2545"/>
      <c r="CP153" s="2545"/>
      <c r="CQ153" s="2545"/>
      <c r="CR153" s="2545"/>
      <c r="CS153" s="2545"/>
      <c r="CT153" s="2545"/>
      <c r="CU153" s="2545"/>
      <c r="CV153" s="2545"/>
      <c r="CW153" s="2545"/>
      <c r="CX153" s="2545"/>
      <c r="CY153" s="2545"/>
      <c r="CZ153" s="2545"/>
      <c r="DA153" s="2545"/>
      <c r="DB153" s="2545"/>
      <c r="DC153" s="2545"/>
      <c r="DD153" s="2545"/>
      <c r="DE153" s="2545"/>
      <c r="DF153" s="2545"/>
      <c r="DG153" s="2545"/>
      <c r="DH153" s="2545"/>
      <c r="DI153" s="2545"/>
      <c r="DJ153" s="2545"/>
      <c r="DK153" s="2545"/>
      <c r="DL153" s="2545"/>
      <c r="DM153" s="2545"/>
      <c r="DN153" s="2545"/>
      <c r="DO153" s="2545"/>
      <c r="DP153" s="2545"/>
      <c r="DQ153" s="2545"/>
      <c r="DR153" s="2545"/>
      <c r="DS153" s="2545"/>
      <c r="DT153" s="2545"/>
      <c r="DU153" s="2545"/>
      <c r="DV153" s="2545"/>
      <c r="DW153" s="2545"/>
      <c r="DX153" s="2545"/>
      <c r="DY153" s="2545"/>
      <c r="DZ153" s="2545"/>
      <c r="EA153" s="2545"/>
      <c r="EB153" s="2545"/>
      <c r="EC153" s="2545"/>
      <c r="ED153" s="2545"/>
      <c r="EE153" s="2446"/>
      <c r="EF153" s="1782"/>
      <c r="EG153" s="1782"/>
      <c r="EH153" s="2446"/>
      <c r="EI153" s="1782" t="s">
        <v>1707</v>
      </c>
      <c r="EJ153" s="2446"/>
      <c r="EK153" s="2446"/>
      <c r="EL153" s="2446"/>
      <c r="EM153" s="1782"/>
      <c r="EN153" s="2446"/>
      <c r="EO153" s="2446"/>
      <c r="EP153" s="2446"/>
      <c r="EQ153" s="2446"/>
      <c r="ER153" s="2446"/>
      <c r="ES153" s="2543" t="s">
        <v>1707</v>
      </c>
      <c r="ET153" s="2543" t="s">
        <v>1707</v>
      </c>
      <c r="EU153" s="2446"/>
      <c r="EV153" s="2446"/>
      <c r="EW153" s="2446"/>
      <c r="EX153" s="2446"/>
      <c r="EY153" s="1782"/>
      <c r="EZ153" s="2446"/>
      <c r="FA153" s="2446"/>
      <c r="FB153" s="2446"/>
      <c r="FC153" s="2446"/>
      <c r="FD153" s="2446"/>
      <c r="FE153" s="2446"/>
      <c r="FF153" s="1782"/>
      <c r="FG153" s="2446"/>
      <c r="FH153" s="1782"/>
      <c r="FI153" s="2446"/>
      <c r="FJ153" s="2446"/>
      <c r="FK153" s="2446"/>
      <c r="FL153" s="2446"/>
      <c r="FM153" s="2446"/>
      <c r="FN153" s="2446"/>
      <c r="FO153" s="2446"/>
      <c r="FP153" s="2446"/>
      <c r="FQ153" s="2446"/>
      <c r="FR153" s="2446"/>
      <c r="FS153" s="2446"/>
      <c r="FT153" s="2446"/>
      <c r="FU153" s="2446"/>
      <c r="FV153" s="2446"/>
      <c r="FW153" s="2446"/>
      <c r="FX153" s="2446"/>
      <c r="FY153" s="2446"/>
      <c r="FZ153" s="2446"/>
      <c r="GA153" s="2446"/>
      <c r="GB153" s="2446"/>
      <c r="GC153" s="2446"/>
      <c r="GD153" s="2446"/>
      <c r="GE153" s="2446"/>
      <c r="GF153" s="2446"/>
      <c r="GG153" s="2446"/>
      <c r="GH153" s="2446"/>
      <c r="GI153" s="2446"/>
      <c r="GJ153" s="1782" t="s">
        <v>1707</v>
      </c>
      <c r="GK153" s="2446"/>
      <c r="GL153" s="2446"/>
      <c r="GM153" s="2446"/>
      <c r="GN153" s="2446"/>
      <c r="GO153" s="2446"/>
      <c r="GP153" s="2446"/>
      <c r="GQ153" s="2446"/>
      <c r="GR153" s="2446"/>
      <c r="GS153" s="2446"/>
      <c r="GT153" s="2446"/>
      <c r="GU153" s="2446" t="s">
        <v>1707</v>
      </c>
      <c r="GV153" s="2446"/>
      <c r="GW153" s="2446"/>
      <c r="GX153" s="1782" t="s">
        <v>1615</v>
      </c>
      <c r="GY153" s="2446"/>
      <c r="GZ153" s="2446"/>
      <c r="HA153" s="2446"/>
      <c r="HB153" s="1782"/>
      <c r="HC153" s="1782" t="s">
        <v>1615</v>
      </c>
      <c r="HD153" s="2446"/>
      <c r="HE153" s="2446"/>
      <c r="HF153" s="2446"/>
      <c r="HG153" s="2446"/>
      <c r="HH153" s="2446"/>
      <c r="HI153" s="2446"/>
      <c r="HJ153" s="2446"/>
      <c r="HK153" s="2446"/>
      <c r="HL153" s="2446"/>
      <c r="HM153" s="2543" t="s">
        <v>1707</v>
      </c>
      <c r="HN153" s="2446"/>
      <c r="HO153" s="1782" t="s">
        <v>1615</v>
      </c>
      <c r="HP153" s="1535"/>
      <c r="HQ153" s="1535"/>
      <c r="HR153" s="1535"/>
      <c r="HS153" s="1535"/>
      <c r="HT153" s="1535"/>
      <c r="HU153" s="1535"/>
      <c r="HV153" s="1535"/>
      <c r="HW153" s="1782" t="s">
        <v>1615</v>
      </c>
      <c r="HX153" s="2446"/>
      <c r="HY153" s="2446"/>
      <c r="HZ153" s="2446"/>
      <c r="IA153" s="2446"/>
      <c r="IB153" s="2446"/>
      <c r="IC153" s="2446"/>
      <c r="ID153" s="2446"/>
      <c r="IE153" s="2446"/>
      <c r="IF153" s="2446"/>
      <c r="IG153" s="2446"/>
      <c r="IH153" s="2446"/>
      <c r="II153" s="2446"/>
      <c r="IJ153" s="2446"/>
      <c r="IK153" s="2446"/>
      <c r="IL153" s="2446"/>
      <c r="IM153" s="2446"/>
      <c r="IN153" s="2446"/>
      <c r="IO153" s="2446"/>
      <c r="IP153" s="2446"/>
      <c r="IQ153" s="2446"/>
      <c r="IR153" s="2446"/>
      <c r="IS153" s="2446"/>
      <c r="IT153" s="2446"/>
      <c r="IU153" s="2446"/>
      <c r="IV153" s="2446"/>
      <c r="IW153" s="2446"/>
      <c r="IX153" s="2446"/>
      <c r="IY153" s="1782" t="s">
        <v>1615</v>
      </c>
      <c r="IZ153" s="2446"/>
      <c r="JA153" s="1782" t="s">
        <v>1615</v>
      </c>
      <c r="JB153" s="2446"/>
      <c r="JC153" s="2446"/>
      <c r="JD153" s="2446"/>
      <c r="JE153" s="2446"/>
      <c r="JF153" s="2446"/>
      <c r="JG153" s="2446"/>
      <c r="JH153" s="2446"/>
      <c r="JI153" s="2446"/>
      <c r="JJ153" s="2446"/>
      <c r="JK153" s="2446"/>
      <c r="JL153" s="2446"/>
      <c r="JM153" s="2446"/>
      <c r="JN153" s="2446"/>
      <c r="JO153" s="2446"/>
      <c r="JP153" s="2446"/>
      <c r="JQ153" s="2447"/>
      <c r="JR153" s="351"/>
      <c r="JS153" s="1400"/>
      <c r="JT153" s="1400" t="s">
        <v>2319</v>
      </c>
    </row>
    <row r="154" spans="1:280" x14ac:dyDescent="0.25">
      <c r="A154" s="1367">
        <v>107</v>
      </c>
      <c r="B154" s="1411" t="str">
        <f>IF(SE_B_IND&gt;1,IF(HLOOKUP(SE_B_IND-1,FSE_RANGE,A154)="","",HLOOKUP(SE_B_IND-1,FSE_RANGE,A154)),"")</f>
        <v/>
      </c>
      <c r="C154" s="1435" t="s">
        <v>3307</v>
      </c>
      <c r="D154" s="1436" t="s">
        <v>3308</v>
      </c>
      <c r="E154" s="2546"/>
      <c r="F154" s="2546"/>
      <c r="G154" s="2546"/>
      <c r="H154" s="2546"/>
      <c r="I154" s="2546"/>
      <c r="J154" s="2546"/>
      <c r="K154" s="2546"/>
      <c r="L154" s="2546"/>
      <c r="M154" s="2546"/>
      <c r="N154" s="2546"/>
      <c r="O154" s="2546"/>
      <c r="P154" s="2546"/>
      <c r="Q154" s="2546"/>
      <c r="R154" s="2546"/>
      <c r="S154" s="2546"/>
      <c r="T154" s="2546"/>
      <c r="U154" s="2546"/>
      <c r="V154" s="2546"/>
      <c r="W154" s="2546"/>
      <c r="X154" s="2546"/>
      <c r="Y154" s="2546"/>
      <c r="Z154" s="2546"/>
      <c r="AA154" s="2546"/>
      <c r="AB154" s="2546"/>
      <c r="AC154" s="2546"/>
      <c r="AD154" s="2546"/>
      <c r="AE154" s="2546"/>
      <c r="AF154" s="2546"/>
      <c r="AG154" s="2546"/>
      <c r="AH154" s="2546"/>
      <c r="AI154" s="2546"/>
      <c r="AJ154" s="2546"/>
      <c r="AK154" s="2546"/>
      <c r="AL154" s="2546"/>
      <c r="AM154" s="2546"/>
      <c r="AN154" s="2546"/>
      <c r="AO154" s="2546"/>
      <c r="AP154" s="2546"/>
      <c r="AQ154" s="2546"/>
      <c r="AR154" s="2546"/>
      <c r="AS154" s="2546"/>
      <c r="AT154" s="2546"/>
      <c r="AU154" s="2546"/>
      <c r="AV154" s="2546"/>
      <c r="AW154" s="2546"/>
      <c r="AX154" s="2546"/>
      <c r="AY154" s="2546"/>
      <c r="AZ154" s="2546"/>
      <c r="BA154" s="2546"/>
      <c r="BB154" s="2546"/>
      <c r="BC154" s="2546"/>
      <c r="BD154" s="2546"/>
      <c r="BE154" s="2546"/>
      <c r="BF154" s="2546"/>
      <c r="BG154" s="2546"/>
      <c r="BH154" s="2546"/>
      <c r="BI154" s="2546"/>
      <c r="BJ154" s="2546"/>
      <c r="BK154" s="2546"/>
      <c r="BL154" s="2546"/>
      <c r="BM154" s="2546"/>
      <c r="BN154" s="2546"/>
      <c r="BO154" s="2546"/>
      <c r="BP154" s="2546"/>
      <c r="BQ154" s="2546"/>
      <c r="BR154" s="2546"/>
      <c r="BS154" s="2546"/>
      <c r="BT154" s="2546"/>
      <c r="BU154" s="2546"/>
      <c r="BV154" s="2546"/>
      <c r="BW154" s="2546"/>
      <c r="BX154" s="2546"/>
      <c r="BY154" s="2546"/>
      <c r="BZ154" s="2546"/>
      <c r="CA154" s="2546"/>
      <c r="CB154" s="2546"/>
      <c r="CC154" s="2546"/>
      <c r="CD154" s="2546"/>
      <c r="CE154" s="2546"/>
      <c r="CF154" s="2546"/>
      <c r="CG154" s="2546"/>
      <c r="CH154" s="2546"/>
      <c r="CI154" s="2546"/>
      <c r="CJ154" s="2546"/>
      <c r="CK154" s="2546"/>
      <c r="CL154" s="2546"/>
      <c r="CM154" s="2546"/>
      <c r="CN154" s="2546"/>
      <c r="CO154" s="2546"/>
      <c r="CP154" s="2546"/>
      <c r="CQ154" s="2546"/>
      <c r="CR154" s="2546"/>
      <c r="CS154" s="2546"/>
      <c r="CT154" s="2546"/>
      <c r="CU154" s="2546">
        <f>CU119</f>
        <v>15200</v>
      </c>
      <c r="CV154" s="2546">
        <f>CV119</f>
        <v>15200</v>
      </c>
      <c r="CW154" s="2546"/>
      <c r="CX154" s="2546"/>
      <c r="CY154" s="2546"/>
      <c r="CZ154" s="2546"/>
      <c r="DA154" s="2546"/>
      <c r="DB154" s="2546"/>
      <c r="DC154" s="2546">
        <f>DC119</f>
        <v>15200</v>
      </c>
      <c r="DD154" s="2546"/>
      <c r="DE154" s="2546"/>
      <c r="DF154" s="2546"/>
      <c r="DG154" s="2546"/>
      <c r="DH154" s="2546"/>
      <c r="DI154" s="2546"/>
      <c r="DJ154" s="2546">
        <f>DJ119</f>
        <v>15200</v>
      </c>
      <c r="DK154" s="2546"/>
      <c r="DL154" s="2546"/>
      <c r="DM154" s="2546"/>
      <c r="DN154" s="2546"/>
      <c r="DO154" s="2546"/>
      <c r="DP154" s="2546"/>
      <c r="DQ154" s="2546"/>
      <c r="DR154" s="2546"/>
      <c r="DS154" s="2546"/>
      <c r="DT154" s="2546"/>
      <c r="DU154" s="2546"/>
      <c r="DV154" s="2546"/>
      <c r="DW154" s="2546"/>
      <c r="DX154" s="2546"/>
      <c r="DY154" s="2546"/>
      <c r="DZ154" s="2546"/>
      <c r="EA154" s="2546"/>
      <c r="EB154" s="2546"/>
      <c r="EC154" s="2546"/>
      <c r="ED154" s="2546"/>
      <c r="EE154" s="2546"/>
      <c r="EF154" s="2546"/>
      <c r="EG154" s="2546"/>
      <c r="EH154" s="2546"/>
      <c r="EI154" s="2546"/>
      <c r="EJ154" s="2546"/>
      <c r="EK154" s="2546"/>
      <c r="EL154" s="2546"/>
      <c r="EM154" s="2546"/>
      <c r="EN154" s="2546"/>
      <c r="EO154" s="2546"/>
      <c r="EP154" s="2546"/>
      <c r="EQ154" s="2546"/>
      <c r="ER154" s="2546"/>
      <c r="ES154" s="2546"/>
      <c r="ET154" s="2546"/>
      <c r="EU154" s="2546"/>
      <c r="EV154" s="2546"/>
      <c r="EW154" s="2546"/>
      <c r="EX154" s="2546"/>
      <c r="EY154" s="2546"/>
      <c r="EZ154" s="2546"/>
      <c r="FA154" s="2546"/>
      <c r="FB154" s="2546"/>
      <c r="FC154" s="2546"/>
      <c r="FD154" s="2546"/>
      <c r="FE154" s="2546"/>
      <c r="FF154" s="2546"/>
      <c r="FG154" s="2546"/>
      <c r="FH154" s="2546">
        <f>FH119</f>
        <v>15200</v>
      </c>
      <c r="FI154" s="2546"/>
      <c r="FJ154" s="2546"/>
      <c r="FK154" s="2546"/>
      <c r="FL154" s="2546"/>
      <c r="FM154" s="2546"/>
      <c r="FN154" s="2546"/>
      <c r="FO154" s="2546"/>
      <c r="FP154" s="2546"/>
      <c r="FQ154" s="2546"/>
      <c r="FR154" s="2546"/>
      <c r="FS154" s="2546"/>
      <c r="FT154" s="2546"/>
      <c r="FU154" s="2546"/>
      <c r="FV154" s="2546"/>
      <c r="FW154" s="2546"/>
      <c r="FX154" s="2546"/>
      <c r="FY154" s="2546"/>
      <c r="FZ154" s="2546"/>
      <c r="GA154" s="2546"/>
      <c r="GB154" s="2546"/>
      <c r="GC154" s="2546"/>
      <c r="GD154" s="2546"/>
      <c r="GE154" s="2546"/>
      <c r="GF154" s="2546"/>
      <c r="GG154" s="2546"/>
      <c r="GH154" s="2546"/>
      <c r="GI154" s="2546"/>
      <c r="GJ154" s="2546"/>
      <c r="GK154" s="2546"/>
      <c r="GL154" s="2546"/>
      <c r="GM154" s="2546"/>
      <c r="GN154" s="2546"/>
      <c r="GO154" s="2546"/>
      <c r="GP154" s="2546"/>
      <c r="GQ154" s="2546"/>
      <c r="GR154" s="2546"/>
      <c r="GS154" s="2546"/>
      <c r="GT154" s="2546"/>
      <c r="GU154" s="2546"/>
      <c r="GV154" s="2546"/>
      <c r="GW154" s="2546"/>
      <c r="GX154" s="2546"/>
      <c r="GY154" s="2546"/>
      <c r="GZ154" s="2546"/>
      <c r="HA154" s="2546"/>
      <c r="HB154" s="2546"/>
      <c r="HC154" s="2546">
        <f>HC119</f>
        <v>15200</v>
      </c>
      <c r="HD154" s="2546"/>
      <c r="HE154" s="2546"/>
      <c r="HF154" s="2546"/>
      <c r="HG154" s="2546"/>
      <c r="HH154" s="2546"/>
      <c r="HI154" s="2546"/>
      <c r="HJ154" s="2546"/>
      <c r="HK154" s="2546"/>
      <c r="HL154" s="2546"/>
      <c r="HM154" s="2546"/>
      <c r="HN154" s="2546"/>
      <c r="HO154" s="2546"/>
      <c r="HP154" s="2546"/>
      <c r="HQ154" s="2546"/>
      <c r="HR154" s="2546"/>
      <c r="HS154" s="2546"/>
      <c r="HT154" s="2546"/>
      <c r="HU154" s="2546"/>
      <c r="HV154" s="2546"/>
      <c r="HW154" s="2546"/>
      <c r="HX154" s="2546"/>
      <c r="HY154" s="2546"/>
      <c r="HZ154" s="2546"/>
      <c r="IA154" s="2546"/>
      <c r="IB154" s="2546"/>
      <c r="IC154" s="2546"/>
      <c r="ID154" s="2546"/>
      <c r="IE154" s="2546"/>
      <c r="IF154" s="2546"/>
      <c r="IG154" s="2546"/>
      <c r="IH154" s="2546"/>
      <c r="II154" s="2546"/>
      <c r="IJ154" s="2546"/>
      <c r="IK154" s="2546"/>
      <c r="IL154" s="2546"/>
      <c r="IM154" s="2546"/>
      <c r="IN154" s="2546"/>
      <c r="IO154" s="2546"/>
      <c r="IP154" s="2546"/>
      <c r="IQ154" s="2546"/>
      <c r="IR154" s="2546"/>
      <c r="IS154" s="2546"/>
      <c r="IT154" s="2546"/>
      <c r="IU154" s="2546"/>
      <c r="IV154" s="2546"/>
      <c r="IW154" s="2546"/>
      <c r="IX154" s="2546"/>
      <c r="IY154" s="2546"/>
      <c r="IZ154" s="2546"/>
      <c r="JA154" s="2546"/>
      <c r="JB154" s="2546"/>
      <c r="JC154" s="2546"/>
      <c r="JD154" s="2546"/>
      <c r="JE154" s="2546"/>
      <c r="JF154" s="2546"/>
      <c r="JG154" s="2546"/>
      <c r="JH154" s="2546"/>
      <c r="JI154" s="2546"/>
      <c r="JJ154" s="2546"/>
      <c r="JK154" s="2546"/>
      <c r="JL154" s="2546"/>
      <c r="JM154" s="2546"/>
      <c r="JN154" s="2546"/>
      <c r="JO154" s="2546"/>
      <c r="JP154" s="2546"/>
      <c r="JQ154" s="2546"/>
      <c r="JR154" s="351"/>
      <c r="JS154" s="1400" t="s">
        <v>3309</v>
      </c>
      <c r="JT154" s="1400" t="s">
        <v>2242</v>
      </c>
    </row>
    <row r="155" spans="1:280" ht="12" thickBot="1" x14ac:dyDescent="0.3">
      <c r="A155" s="1367">
        <v>108</v>
      </c>
      <c r="B155" s="1411" t="str">
        <f>IF(SE_B_IND&gt;1,IF(HLOOKUP(SE_B_IND-1,FSE_RANGE,A155)="","",HLOOKUP(SE_B_IND-1,FSE_RANGE,A155)),"")</f>
        <v/>
      </c>
      <c r="C155" s="721" t="s">
        <v>3310</v>
      </c>
      <c r="D155" s="722" t="s">
        <v>3311</v>
      </c>
      <c r="E155" s="731"/>
      <c r="F155" s="731"/>
      <c r="G155" s="731"/>
      <c r="H155" s="731"/>
      <c r="I155" s="731"/>
      <c r="J155" s="731"/>
      <c r="K155" s="731"/>
      <c r="L155" s="731"/>
      <c r="M155" s="731"/>
      <c r="N155" s="731"/>
      <c r="O155" s="732"/>
      <c r="P155" s="732"/>
      <c r="Q155" s="731"/>
      <c r="R155" s="732"/>
      <c r="S155" s="731"/>
      <c r="T155" s="733"/>
      <c r="U155" s="733"/>
      <c r="V155" s="733"/>
      <c r="W155" s="733"/>
      <c r="X155" s="733"/>
      <c r="Y155" s="733"/>
      <c r="Z155" s="733"/>
      <c r="AA155" s="733"/>
      <c r="AB155" s="733"/>
      <c r="AC155" s="731"/>
      <c r="AD155" s="731"/>
      <c r="AE155" s="731"/>
      <c r="AF155" s="731"/>
      <c r="AG155" s="731"/>
      <c r="AH155" s="731"/>
      <c r="AI155" s="733"/>
      <c r="AJ155" s="731"/>
      <c r="AK155" s="733"/>
      <c r="AL155" s="731"/>
      <c r="AM155" s="733"/>
      <c r="AN155" s="733"/>
      <c r="AO155" s="733"/>
      <c r="AP155" s="733"/>
      <c r="AQ155" s="733"/>
      <c r="AR155" s="733"/>
      <c r="AS155" s="733"/>
      <c r="AT155" s="733"/>
      <c r="AU155" s="733"/>
      <c r="AV155" s="731"/>
      <c r="AW155" s="733"/>
      <c r="AX155" s="733"/>
      <c r="AY155" s="733"/>
      <c r="AZ155" s="733"/>
      <c r="BA155" s="733"/>
      <c r="BB155" s="733"/>
      <c r="BC155" s="733"/>
      <c r="BD155" s="733"/>
      <c r="BE155" s="733"/>
      <c r="BF155" s="733"/>
      <c r="BG155" s="733"/>
      <c r="BH155" s="733"/>
      <c r="BI155" s="733"/>
      <c r="BJ155" s="731"/>
      <c r="BK155" s="733"/>
      <c r="BL155" s="733"/>
      <c r="BM155" s="733"/>
      <c r="BN155" s="733"/>
      <c r="BO155" s="733"/>
      <c r="BP155" s="731"/>
      <c r="BQ155" s="733"/>
      <c r="BR155" s="733"/>
      <c r="BS155" s="733"/>
      <c r="BT155" s="733"/>
      <c r="BU155" s="733"/>
      <c r="BV155" s="733"/>
      <c r="BW155" s="733"/>
      <c r="BX155" s="733"/>
      <c r="BY155" s="733"/>
      <c r="BZ155" s="733"/>
      <c r="CA155" s="733"/>
      <c r="CB155" s="733"/>
      <c r="CC155" s="733"/>
      <c r="CD155" s="733"/>
      <c r="CE155" s="733"/>
      <c r="CF155" s="731"/>
      <c r="CG155" s="733"/>
      <c r="CH155" s="731"/>
      <c r="CI155" s="733"/>
      <c r="CJ155" s="733"/>
      <c r="CK155" s="733"/>
      <c r="CL155" s="731"/>
      <c r="CM155" s="733"/>
      <c r="CN155" s="733"/>
      <c r="CO155" s="733"/>
      <c r="CP155" s="733"/>
      <c r="CQ155" s="733"/>
      <c r="CR155" s="731"/>
      <c r="CS155" s="731"/>
      <c r="CT155" s="733"/>
      <c r="CU155" s="731"/>
      <c r="CV155" s="731"/>
      <c r="CW155" s="733"/>
      <c r="CX155" s="733"/>
      <c r="CY155" s="733"/>
      <c r="CZ155" s="733"/>
      <c r="DA155" s="733"/>
      <c r="DB155" s="733"/>
      <c r="DC155" s="733"/>
      <c r="DD155" s="733"/>
      <c r="DE155" s="733"/>
      <c r="DF155" s="733"/>
      <c r="DG155" s="733"/>
      <c r="DH155" s="733"/>
      <c r="DI155" s="733"/>
      <c r="DJ155" s="731"/>
      <c r="DK155" s="733"/>
      <c r="DL155" s="733"/>
      <c r="DM155" s="733"/>
      <c r="DN155" s="733"/>
      <c r="DO155" s="731"/>
      <c r="DP155" s="733"/>
      <c r="DQ155" s="733"/>
      <c r="DR155" s="733"/>
      <c r="DS155" s="733"/>
      <c r="DT155" s="733"/>
      <c r="DU155" s="733"/>
      <c r="DV155" s="733"/>
      <c r="DW155" s="733"/>
      <c r="DX155" s="733"/>
      <c r="DY155" s="733"/>
      <c r="DZ155" s="733"/>
      <c r="EA155" s="733"/>
      <c r="EB155" s="733"/>
      <c r="EC155" s="733"/>
      <c r="ED155" s="733"/>
      <c r="EE155" s="733"/>
      <c r="EF155" s="731"/>
      <c r="EG155" s="731"/>
      <c r="EH155" s="733"/>
      <c r="EI155" s="731"/>
      <c r="EJ155" s="733"/>
      <c r="EK155" s="733"/>
      <c r="EL155" s="733"/>
      <c r="EM155" s="731"/>
      <c r="EN155" s="733"/>
      <c r="EO155" s="733"/>
      <c r="EP155" s="733"/>
      <c r="EQ155" s="733"/>
      <c r="ER155" s="733"/>
      <c r="ES155" s="733"/>
      <c r="ET155" s="733"/>
      <c r="EU155" s="733"/>
      <c r="EV155" s="733"/>
      <c r="EW155" s="733"/>
      <c r="EX155" s="733"/>
      <c r="EY155" s="731"/>
      <c r="EZ155" s="733"/>
      <c r="FA155" s="733"/>
      <c r="FB155" s="733"/>
      <c r="FC155" s="733"/>
      <c r="FD155" s="733"/>
      <c r="FE155" s="733"/>
      <c r="FF155" s="731"/>
      <c r="FG155" s="733"/>
      <c r="FH155" s="731"/>
      <c r="FI155" s="733"/>
      <c r="FJ155" s="733"/>
      <c r="FK155" s="733"/>
      <c r="FL155" s="733"/>
      <c r="FM155" s="733"/>
      <c r="FN155" s="733"/>
      <c r="FO155" s="733"/>
      <c r="FP155" s="733"/>
      <c r="FQ155" s="733"/>
      <c r="FR155" s="733"/>
      <c r="FS155" s="733"/>
      <c r="FT155" s="733"/>
      <c r="FU155" s="733"/>
      <c r="FV155" s="733"/>
      <c r="FW155" s="733"/>
      <c r="FX155" s="733"/>
      <c r="FY155" s="733"/>
      <c r="FZ155" s="733"/>
      <c r="GA155" s="733"/>
      <c r="GB155" s="733"/>
      <c r="GC155" s="733"/>
      <c r="GD155" s="733"/>
      <c r="GE155" s="733"/>
      <c r="GF155" s="733"/>
      <c r="GG155" s="733"/>
      <c r="GH155" s="733"/>
      <c r="GI155" s="733"/>
      <c r="GJ155" s="731"/>
      <c r="GK155" s="733"/>
      <c r="GL155" s="733"/>
      <c r="GM155" s="733"/>
      <c r="GN155" s="733"/>
      <c r="GO155" s="733"/>
      <c r="GP155" s="733"/>
      <c r="GQ155" s="733"/>
      <c r="GR155" s="733"/>
      <c r="GS155" s="733"/>
      <c r="GT155" s="733"/>
      <c r="GU155" s="733"/>
      <c r="GV155" s="733"/>
      <c r="GW155" s="733"/>
      <c r="GX155" s="731"/>
      <c r="GY155" s="733"/>
      <c r="GZ155" s="733"/>
      <c r="HA155" s="733"/>
      <c r="HB155" s="731"/>
      <c r="HC155" s="731"/>
      <c r="HD155" s="733"/>
      <c r="HE155" s="733"/>
      <c r="HF155" s="733"/>
      <c r="HG155" s="733"/>
      <c r="HH155" s="733"/>
      <c r="HI155" s="733"/>
      <c r="HJ155" s="733"/>
      <c r="HK155" s="733"/>
      <c r="HL155" s="733"/>
      <c r="HM155" s="733"/>
      <c r="HN155" s="733"/>
      <c r="HO155" s="731"/>
      <c r="HP155" s="733"/>
      <c r="HQ155" s="733"/>
      <c r="HR155" s="733"/>
      <c r="HS155" s="733"/>
      <c r="HT155" s="733"/>
      <c r="HU155" s="733"/>
      <c r="HV155" s="733"/>
      <c r="HW155" s="731"/>
      <c r="HX155" s="733"/>
      <c r="HY155" s="733"/>
      <c r="HZ155" s="733"/>
      <c r="IA155" s="733"/>
      <c r="IB155" s="733"/>
      <c r="IC155" s="733"/>
      <c r="ID155" s="733"/>
      <c r="IE155" s="733"/>
      <c r="IF155" s="733"/>
      <c r="IG155" s="733"/>
      <c r="IH155" s="733"/>
      <c r="II155" s="733"/>
      <c r="IJ155" s="733"/>
      <c r="IK155" s="733"/>
      <c r="IL155" s="733"/>
      <c r="IM155" s="733"/>
      <c r="IN155" s="733"/>
      <c r="IO155" s="733"/>
      <c r="IP155" s="733"/>
      <c r="IQ155" s="733"/>
      <c r="IR155" s="733"/>
      <c r="IS155" s="733"/>
      <c r="IT155" s="733"/>
      <c r="IU155" s="733"/>
      <c r="IV155" s="733"/>
      <c r="IW155" s="733"/>
      <c r="IX155" s="733"/>
      <c r="IY155" s="731"/>
      <c r="IZ155" s="733"/>
      <c r="JA155" s="731"/>
      <c r="JB155" s="733"/>
      <c r="JC155" s="733"/>
      <c r="JD155" s="733"/>
      <c r="JE155" s="733"/>
      <c r="JF155" s="733"/>
      <c r="JG155" s="733"/>
      <c r="JH155" s="733"/>
      <c r="JI155" s="733"/>
      <c r="JJ155" s="733"/>
      <c r="JK155" s="733"/>
      <c r="JL155" s="733"/>
      <c r="JM155" s="733"/>
      <c r="JN155" s="733"/>
      <c r="JO155" s="733"/>
      <c r="JP155" s="733"/>
      <c r="JQ155" s="734"/>
      <c r="JR155" s="351"/>
      <c r="JS155" s="1400"/>
      <c r="JT155" s="1400" t="s">
        <v>2291</v>
      </c>
    </row>
    <row r="156" spans="1:280" ht="12" thickBot="1" x14ac:dyDescent="0.3"/>
    <row r="157" spans="1:280" x14ac:dyDescent="0.25">
      <c r="A157" s="1367" t="s">
        <v>2201</v>
      </c>
      <c r="B157" s="406" t="str">
        <f>"selected "&amp;LUN_IND-1</f>
        <v>selected 0</v>
      </c>
      <c r="C157" s="314" t="s">
        <v>26</v>
      </c>
      <c r="D157" s="594"/>
      <c r="E157" s="418">
        <v>1</v>
      </c>
      <c r="F157" s="418">
        <v>2</v>
      </c>
      <c r="G157" s="418">
        <v>3</v>
      </c>
      <c r="H157" s="418">
        <v>4</v>
      </c>
      <c r="I157" s="418">
        <v>5</v>
      </c>
      <c r="J157" s="418">
        <v>6</v>
      </c>
      <c r="K157" s="418">
        <v>7</v>
      </c>
      <c r="L157" s="418">
        <v>8</v>
      </c>
      <c r="M157" s="418">
        <v>9</v>
      </c>
      <c r="N157" s="418">
        <v>10</v>
      </c>
      <c r="O157" s="418">
        <v>11</v>
      </c>
      <c r="P157" s="418">
        <v>12</v>
      </c>
      <c r="Q157" s="418">
        <v>13</v>
      </c>
      <c r="R157" s="418">
        <v>14</v>
      </c>
      <c r="S157" s="418">
        <v>15</v>
      </c>
      <c r="T157" s="418">
        <v>16</v>
      </c>
      <c r="U157" s="418">
        <v>17</v>
      </c>
      <c r="V157" s="418">
        <v>18</v>
      </c>
      <c r="W157" s="418">
        <v>19</v>
      </c>
      <c r="X157" s="418">
        <v>20</v>
      </c>
      <c r="Y157" s="418">
        <v>21</v>
      </c>
      <c r="Z157" s="418">
        <v>22</v>
      </c>
      <c r="AA157" s="418">
        <v>23</v>
      </c>
      <c r="AB157" s="418">
        <v>24</v>
      </c>
      <c r="AC157" s="418">
        <v>25</v>
      </c>
      <c r="AD157" s="418">
        <v>26</v>
      </c>
      <c r="AE157" s="418">
        <v>27</v>
      </c>
      <c r="AF157" s="418">
        <v>28</v>
      </c>
      <c r="AG157" s="418">
        <v>29</v>
      </c>
      <c r="AH157" s="418">
        <v>30</v>
      </c>
      <c r="AI157" s="418">
        <v>31</v>
      </c>
      <c r="AJ157" s="418">
        <v>32</v>
      </c>
      <c r="AK157" s="418">
        <v>33</v>
      </c>
      <c r="AL157" s="418">
        <v>34</v>
      </c>
      <c r="AM157" s="418">
        <v>35</v>
      </c>
      <c r="AN157" s="418">
        <v>36</v>
      </c>
      <c r="AO157" s="418">
        <v>37</v>
      </c>
      <c r="AP157" s="418">
        <v>38</v>
      </c>
      <c r="AQ157" s="418">
        <v>39</v>
      </c>
      <c r="AR157" s="418">
        <v>40</v>
      </c>
      <c r="AS157" s="418">
        <v>41</v>
      </c>
      <c r="AT157" s="418">
        <v>42</v>
      </c>
      <c r="AU157" s="418">
        <v>43</v>
      </c>
      <c r="AV157" s="418">
        <v>44</v>
      </c>
      <c r="AW157" s="418">
        <v>45</v>
      </c>
      <c r="AX157" s="418">
        <v>46</v>
      </c>
      <c r="AY157" s="418">
        <v>47</v>
      </c>
      <c r="AZ157" s="418">
        <v>48</v>
      </c>
      <c r="BA157" s="418">
        <v>49</v>
      </c>
      <c r="BB157" s="418">
        <v>50</v>
      </c>
      <c r="BC157" s="418">
        <v>51</v>
      </c>
      <c r="BD157" s="418">
        <v>52</v>
      </c>
      <c r="BE157" s="418">
        <v>53</v>
      </c>
      <c r="BF157" s="418">
        <v>53</v>
      </c>
      <c r="BG157" s="418">
        <v>55</v>
      </c>
      <c r="BH157" s="418">
        <v>56</v>
      </c>
      <c r="BI157" s="418">
        <v>57</v>
      </c>
      <c r="BJ157" s="418">
        <v>58</v>
      </c>
      <c r="BK157" s="418">
        <v>59</v>
      </c>
      <c r="BL157" s="418">
        <v>60</v>
      </c>
      <c r="BM157" s="418">
        <v>61</v>
      </c>
      <c r="BN157" s="418">
        <v>62</v>
      </c>
      <c r="BO157" s="418">
        <v>63</v>
      </c>
      <c r="BP157" s="418">
        <v>64</v>
      </c>
      <c r="BQ157" s="418">
        <v>65</v>
      </c>
      <c r="BR157" s="418">
        <v>66</v>
      </c>
      <c r="BS157" s="418">
        <v>67</v>
      </c>
      <c r="BT157" s="418">
        <v>68</v>
      </c>
      <c r="BU157" s="418">
        <v>69</v>
      </c>
      <c r="BV157" s="418">
        <v>70</v>
      </c>
      <c r="BW157" s="418">
        <v>71</v>
      </c>
      <c r="BX157" s="418">
        <v>72</v>
      </c>
      <c r="BY157" s="418">
        <v>73</v>
      </c>
      <c r="BZ157" s="418">
        <v>74</v>
      </c>
      <c r="CA157" s="418">
        <v>75</v>
      </c>
      <c r="CB157" s="418">
        <v>76</v>
      </c>
      <c r="CC157" s="418">
        <v>77</v>
      </c>
      <c r="CD157" s="418">
        <v>78</v>
      </c>
      <c r="CE157" s="418">
        <v>79</v>
      </c>
      <c r="CF157" s="418">
        <v>80</v>
      </c>
      <c r="CG157" s="418">
        <v>81</v>
      </c>
      <c r="CH157" s="418">
        <v>82</v>
      </c>
      <c r="CI157" s="418">
        <v>83</v>
      </c>
      <c r="CJ157" s="418">
        <v>84</v>
      </c>
      <c r="CK157" s="418">
        <v>85</v>
      </c>
      <c r="CL157" s="418">
        <v>86</v>
      </c>
      <c r="CM157" s="418">
        <v>87</v>
      </c>
      <c r="CN157" s="418">
        <v>88</v>
      </c>
      <c r="CO157" s="418">
        <v>89</v>
      </c>
      <c r="CP157" s="418">
        <v>90</v>
      </c>
      <c r="CQ157" s="418">
        <v>91</v>
      </c>
      <c r="CR157" s="418">
        <v>92</v>
      </c>
      <c r="CS157" s="418">
        <v>93</v>
      </c>
      <c r="CT157" s="418">
        <v>94</v>
      </c>
      <c r="CU157" s="418">
        <v>95</v>
      </c>
      <c r="CV157" s="418">
        <v>96</v>
      </c>
      <c r="CW157" s="418">
        <v>97</v>
      </c>
      <c r="CX157" s="418">
        <v>98</v>
      </c>
      <c r="CY157" s="418">
        <v>99</v>
      </c>
      <c r="CZ157" s="418">
        <v>100</v>
      </c>
      <c r="DA157" s="418">
        <v>101</v>
      </c>
      <c r="DB157" s="418">
        <v>102</v>
      </c>
      <c r="DC157" s="418">
        <v>103</v>
      </c>
      <c r="DD157" s="418">
        <v>104</v>
      </c>
      <c r="DE157" s="418">
        <v>105</v>
      </c>
      <c r="DF157" s="418">
        <v>106</v>
      </c>
      <c r="DG157" s="418">
        <v>107</v>
      </c>
      <c r="DH157" s="418">
        <v>108</v>
      </c>
      <c r="DI157" s="418">
        <v>109</v>
      </c>
      <c r="DJ157" s="418">
        <v>110</v>
      </c>
      <c r="DK157" s="418">
        <v>111</v>
      </c>
      <c r="DL157" s="418">
        <v>112</v>
      </c>
      <c r="DM157" s="418">
        <v>113</v>
      </c>
      <c r="DN157" s="418">
        <v>114</v>
      </c>
      <c r="DO157" s="418">
        <v>115</v>
      </c>
      <c r="DP157" s="418">
        <v>116</v>
      </c>
      <c r="DQ157" s="418">
        <v>117</v>
      </c>
      <c r="DR157" s="418">
        <v>118</v>
      </c>
      <c r="DS157" s="418">
        <v>119</v>
      </c>
      <c r="DT157" s="418">
        <v>120</v>
      </c>
      <c r="DU157" s="418">
        <v>121</v>
      </c>
      <c r="DV157" s="418">
        <v>122</v>
      </c>
      <c r="DW157" s="418">
        <v>123</v>
      </c>
      <c r="DX157" s="418">
        <v>124</v>
      </c>
      <c r="DY157" s="418">
        <v>125</v>
      </c>
      <c r="DZ157" s="418">
        <v>126</v>
      </c>
      <c r="EA157" s="418">
        <v>127</v>
      </c>
      <c r="EB157" s="418">
        <v>128</v>
      </c>
      <c r="EC157" s="418">
        <v>129</v>
      </c>
      <c r="ED157" s="418">
        <v>130</v>
      </c>
      <c r="EE157" s="418">
        <v>131</v>
      </c>
      <c r="EF157" s="418">
        <v>132</v>
      </c>
      <c r="EG157" s="418">
        <v>133</v>
      </c>
      <c r="EH157" s="418">
        <v>134</v>
      </c>
      <c r="EI157" s="418">
        <v>135</v>
      </c>
      <c r="EJ157" s="418">
        <v>136</v>
      </c>
      <c r="EK157" s="418">
        <v>137</v>
      </c>
      <c r="EL157" s="418">
        <v>138</v>
      </c>
      <c r="EM157" s="418">
        <v>139</v>
      </c>
      <c r="EN157" s="418">
        <v>140</v>
      </c>
      <c r="EO157" s="418">
        <v>141</v>
      </c>
      <c r="EP157" s="418">
        <v>142</v>
      </c>
      <c r="EQ157" s="418">
        <v>143</v>
      </c>
      <c r="ER157" s="418">
        <v>144</v>
      </c>
      <c r="ES157" s="418">
        <v>145</v>
      </c>
      <c r="ET157" s="418">
        <v>146</v>
      </c>
      <c r="EU157" s="418">
        <v>147</v>
      </c>
      <c r="EV157" s="418">
        <v>148</v>
      </c>
      <c r="EW157" s="418">
        <v>149</v>
      </c>
      <c r="EX157" s="418">
        <v>150</v>
      </c>
      <c r="EY157" s="418">
        <v>151</v>
      </c>
      <c r="EZ157" s="418">
        <v>152</v>
      </c>
      <c r="FA157" s="418">
        <v>153</v>
      </c>
      <c r="FB157" s="418">
        <v>154</v>
      </c>
      <c r="FC157" s="418">
        <v>155</v>
      </c>
      <c r="FD157" s="418">
        <v>156</v>
      </c>
      <c r="FE157" s="418">
        <v>157</v>
      </c>
      <c r="FF157" s="418">
        <v>158</v>
      </c>
      <c r="FG157" s="418">
        <v>159</v>
      </c>
      <c r="FH157" s="418">
        <v>160</v>
      </c>
      <c r="FI157" s="418">
        <v>161</v>
      </c>
      <c r="FJ157" s="418">
        <v>162</v>
      </c>
      <c r="FK157" s="418">
        <v>163</v>
      </c>
      <c r="FL157" s="418">
        <v>164</v>
      </c>
      <c r="FM157" s="418">
        <v>165</v>
      </c>
      <c r="FN157" s="418">
        <v>166</v>
      </c>
      <c r="FO157" s="418">
        <v>167</v>
      </c>
      <c r="FP157" s="418">
        <v>168</v>
      </c>
      <c r="FQ157" s="418">
        <v>169</v>
      </c>
      <c r="FR157" s="418">
        <v>170</v>
      </c>
      <c r="FS157" s="418">
        <v>171</v>
      </c>
      <c r="FT157" s="418">
        <v>172</v>
      </c>
      <c r="FU157" s="418">
        <v>173</v>
      </c>
      <c r="FV157" s="418">
        <v>174</v>
      </c>
      <c r="FW157" s="418">
        <v>175</v>
      </c>
      <c r="FX157" s="418">
        <v>176</v>
      </c>
      <c r="FY157" s="418">
        <v>177</v>
      </c>
      <c r="FZ157" s="418">
        <v>178</v>
      </c>
      <c r="GA157" s="418">
        <v>179</v>
      </c>
      <c r="GB157" s="418">
        <v>180</v>
      </c>
      <c r="GC157" s="418">
        <v>181</v>
      </c>
      <c r="GD157" s="418">
        <v>182</v>
      </c>
      <c r="GE157" s="418">
        <v>183</v>
      </c>
      <c r="GF157" s="418">
        <v>184</v>
      </c>
      <c r="GG157" s="418">
        <v>185</v>
      </c>
      <c r="GH157" s="418">
        <v>186</v>
      </c>
      <c r="GI157" s="418">
        <v>187</v>
      </c>
      <c r="GJ157" s="418">
        <v>188</v>
      </c>
      <c r="GK157" s="418">
        <v>189</v>
      </c>
      <c r="GL157" s="418">
        <v>190</v>
      </c>
      <c r="GM157" s="418">
        <v>191</v>
      </c>
      <c r="GN157" s="418">
        <v>192</v>
      </c>
      <c r="GO157" s="418">
        <v>193</v>
      </c>
      <c r="GP157" s="418">
        <v>194</v>
      </c>
      <c r="GQ157" s="418">
        <v>195</v>
      </c>
      <c r="GR157" s="418">
        <v>196</v>
      </c>
      <c r="GS157" s="418">
        <v>197</v>
      </c>
      <c r="GT157" s="418">
        <v>198</v>
      </c>
      <c r="GU157" s="418">
        <v>199</v>
      </c>
      <c r="GV157" s="418">
        <v>200</v>
      </c>
      <c r="GW157" s="418">
        <v>201</v>
      </c>
      <c r="GX157" s="418">
        <v>202</v>
      </c>
      <c r="GY157" s="418">
        <v>203</v>
      </c>
      <c r="GZ157" s="418">
        <v>204</v>
      </c>
      <c r="HA157" s="418">
        <v>205</v>
      </c>
      <c r="HB157" s="418">
        <v>206</v>
      </c>
      <c r="HC157" s="418">
        <v>207</v>
      </c>
      <c r="HD157" s="418">
        <v>208</v>
      </c>
      <c r="HE157" s="418">
        <v>209</v>
      </c>
      <c r="HF157" s="418">
        <v>210</v>
      </c>
      <c r="HG157" s="418">
        <v>211</v>
      </c>
      <c r="HH157" s="418">
        <v>212</v>
      </c>
      <c r="HI157" s="418">
        <v>213</v>
      </c>
      <c r="HJ157" s="418">
        <v>214</v>
      </c>
      <c r="HK157" s="418">
        <v>215</v>
      </c>
      <c r="HL157" s="418">
        <v>216</v>
      </c>
      <c r="HM157" s="418">
        <v>217</v>
      </c>
      <c r="HN157" s="418">
        <v>218</v>
      </c>
      <c r="HO157" s="418">
        <v>219</v>
      </c>
      <c r="HP157" s="418">
        <v>220</v>
      </c>
      <c r="HQ157" s="418">
        <v>221</v>
      </c>
      <c r="HR157" s="418">
        <v>222</v>
      </c>
      <c r="HS157" s="418">
        <v>223</v>
      </c>
      <c r="HT157" s="418">
        <v>224</v>
      </c>
      <c r="HU157" s="418">
        <v>225</v>
      </c>
      <c r="HV157" s="418">
        <v>226</v>
      </c>
      <c r="HW157" s="418">
        <v>227</v>
      </c>
      <c r="HX157" s="418">
        <v>228</v>
      </c>
      <c r="HY157" s="418">
        <v>229</v>
      </c>
      <c r="HZ157" s="418">
        <v>230</v>
      </c>
      <c r="IA157" s="418">
        <v>231</v>
      </c>
      <c r="IB157" s="418">
        <v>232</v>
      </c>
      <c r="IC157" s="418">
        <v>233</v>
      </c>
      <c r="ID157" s="418">
        <v>234</v>
      </c>
      <c r="IE157" s="418">
        <v>235</v>
      </c>
      <c r="IF157" s="418">
        <v>236</v>
      </c>
      <c r="IG157" s="418">
        <v>237</v>
      </c>
      <c r="IH157" s="418">
        <v>238</v>
      </c>
      <c r="II157" s="418">
        <v>239</v>
      </c>
      <c r="IJ157" s="418">
        <v>240</v>
      </c>
      <c r="IK157" s="418">
        <v>241</v>
      </c>
      <c r="IL157" s="418">
        <v>242</v>
      </c>
      <c r="IM157" s="418">
        <v>243</v>
      </c>
      <c r="IN157" s="418">
        <v>244</v>
      </c>
      <c r="IO157" s="418">
        <v>245</v>
      </c>
      <c r="IP157" s="418">
        <v>246</v>
      </c>
      <c r="IQ157" s="418">
        <v>247</v>
      </c>
      <c r="IR157" s="418">
        <v>248</v>
      </c>
      <c r="IS157" s="418">
        <v>249</v>
      </c>
      <c r="IT157" s="418">
        <v>250</v>
      </c>
      <c r="IU157" s="418">
        <v>251</v>
      </c>
      <c r="IV157" s="418">
        <v>252</v>
      </c>
      <c r="IW157" s="418">
        <v>253</v>
      </c>
      <c r="IX157" s="418">
        <v>254</v>
      </c>
      <c r="IY157" s="418">
        <v>255</v>
      </c>
      <c r="IZ157" s="418">
        <v>256</v>
      </c>
      <c r="JA157" s="418">
        <v>257</v>
      </c>
      <c r="JB157" s="418">
        <v>258</v>
      </c>
      <c r="JC157" s="418">
        <v>259</v>
      </c>
      <c r="JD157" s="418">
        <v>260</v>
      </c>
      <c r="JE157" s="418">
        <v>261</v>
      </c>
      <c r="JF157" s="418">
        <v>262</v>
      </c>
      <c r="JG157" s="418">
        <v>263</v>
      </c>
      <c r="JH157" s="418">
        <v>264</v>
      </c>
      <c r="JI157" s="418">
        <v>265</v>
      </c>
      <c r="JJ157" s="418">
        <v>266</v>
      </c>
      <c r="JK157" s="418">
        <v>267</v>
      </c>
      <c r="JL157" s="418">
        <v>268</v>
      </c>
      <c r="JM157" s="418">
        <v>269</v>
      </c>
      <c r="JN157" s="418">
        <v>270</v>
      </c>
      <c r="JO157" s="418">
        <v>271</v>
      </c>
      <c r="JP157" s="418">
        <v>272</v>
      </c>
      <c r="JQ157" s="418">
        <v>273</v>
      </c>
      <c r="JR157" s="351"/>
      <c r="JS157" s="1400" t="s">
        <v>2198</v>
      </c>
      <c r="JT157" s="360" t="s">
        <v>2199</v>
      </c>
    </row>
    <row r="158" spans="1:280" x14ac:dyDescent="0.25">
      <c r="A158" s="1367">
        <v>2</v>
      </c>
      <c r="B158" s="1411" t="str">
        <f t="shared" ref="B158:B186" si="78">IF(LUN_IND&gt;1,IF(HLOOKUP(LUN_IND-1,LUN_RANGE,A158)="","",HLOOKUP(LUN_IND-1,LUN_RANGE,A158)),"")</f>
        <v/>
      </c>
      <c r="C158" s="1435" t="s">
        <v>3312</v>
      </c>
      <c r="D158" s="1436" t="s">
        <v>3313</v>
      </c>
      <c r="E158" s="1552"/>
      <c r="F158" s="1552"/>
      <c r="G158" s="1552"/>
      <c r="H158" s="1552"/>
      <c r="I158" s="1552"/>
      <c r="J158" s="1552"/>
      <c r="K158" s="1552"/>
      <c r="L158" s="1552"/>
      <c r="M158" s="1552"/>
      <c r="N158" s="1552"/>
      <c r="O158" s="1552"/>
      <c r="P158" s="1552"/>
      <c r="Q158" s="1552"/>
      <c r="R158" s="1553"/>
      <c r="S158" s="1553"/>
      <c r="T158" s="1553"/>
      <c r="U158" s="1553"/>
      <c r="V158" s="1553"/>
      <c r="W158" s="1553"/>
      <c r="X158" s="1553"/>
      <c r="Y158" s="1553"/>
      <c r="Z158" s="1553"/>
      <c r="AA158" s="1553"/>
      <c r="AB158" s="1553"/>
      <c r="AC158" s="1553"/>
      <c r="AD158" s="1553"/>
      <c r="AE158" s="1553"/>
      <c r="AF158" s="1553"/>
      <c r="AG158" s="1553"/>
      <c r="AH158" s="1553"/>
      <c r="AI158" s="1553"/>
      <c r="AJ158" s="1553"/>
      <c r="AK158" s="1553"/>
      <c r="AL158" s="1553"/>
      <c r="AM158" s="1553"/>
      <c r="AN158" s="1553"/>
      <c r="AO158" s="1553"/>
      <c r="AP158" s="1553"/>
      <c r="AQ158" s="1553"/>
      <c r="AR158" s="1553"/>
      <c r="AS158" s="1553"/>
      <c r="AT158" s="1553"/>
      <c r="AU158" s="1553"/>
      <c r="AV158" s="1553"/>
      <c r="AW158" s="1553"/>
      <c r="AX158" s="1553"/>
      <c r="AY158" s="1553"/>
      <c r="AZ158" s="1553"/>
      <c r="BA158" s="1553"/>
      <c r="BB158" s="1553"/>
      <c r="BC158" s="1553"/>
      <c r="BD158" s="1553"/>
      <c r="BE158" s="1553"/>
      <c r="BF158" s="1553"/>
      <c r="BG158" s="1553"/>
      <c r="BH158" s="1553"/>
      <c r="BI158" s="1553"/>
      <c r="BJ158" s="1553"/>
      <c r="BK158" s="1553"/>
      <c r="BL158" s="1553"/>
      <c r="BM158" s="1553"/>
      <c r="BN158" s="1553"/>
      <c r="BO158" s="1553"/>
      <c r="BP158" s="1553"/>
      <c r="BQ158" s="1553"/>
      <c r="BR158" s="1553"/>
      <c r="BS158" s="1553"/>
      <c r="BT158" s="1553"/>
      <c r="BU158" s="1553"/>
      <c r="BV158" s="1553"/>
      <c r="BW158" s="1553"/>
      <c r="BX158" s="1553"/>
      <c r="BY158" s="1553"/>
      <c r="BZ158" s="1553"/>
      <c r="CA158" s="1553"/>
      <c r="CB158" s="1553"/>
      <c r="CC158" s="1553"/>
      <c r="CD158" s="1553"/>
      <c r="CE158" s="1553"/>
      <c r="CF158" s="1553"/>
      <c r="CG158" s="1553"/>
      <c r="CH158" s="1553"/>
      <c r="CI158" s="1553"/>
      <c r="CJ158" s="1553"/>
      <c r="CK158" s="1553"/>
      <c r="CL158" s="1553"/>
      <c r="CM158" s="1553"/>
      <c r="CN158" s="1553"/>
      <c r="CO158" s="1553"/>
      <c r="CP158" s="1553"/>
      <c r="CQ158" s="1553"/>
      <c r="CR158" s="1553"/>
      <c r="CS158" s="1553"/>
      <c r="CT158" s="1553"/>
      <c r="CU158" s="1553"/>
      <c r="CV158" s="1553"/>
      <c r="CW158" s="1553"/>
      <c r="CX158" s="1553"/>
      <c r="CY158" s="1553"/>
      <c r="CZ158" s="1553"/>
      <c r="DA158" s="1553"/>
      <c r="DB158" s="1553"/>
      <c r="DC158" s="1553"/>
      <c r="DD158" s="1553"/>
      <c r="DE158" s="1553"/>
      <c r="DF158" s="1553"/>
      <c r="DG158" s="1553"/>
      <c r="DH158" s="1553"/>
      <c r="DI158" s="1553"/>
      <c r="DJ158" s="1553"/>
      <c r="DK158" s="1553"/>
      <c r="DL158" s="1553"/>
      <c r="DM158" s="1553"/>
      <c r="DN158" s="1553"/>
      <c r="DO158" s="1553"/>
      <c r="DP158" s="1553"/>
      <c r="DQ158" s="1553"/>
      <c r="DR158" s="1553"/>
      <c r="DS158" s="1553"/>
      <c r="DT158" s="1553"/>
      <c r="DU158" s="1553"/>
      <c r="DV158" s="1553"/>
      <c r="DW158" s="1553"/>
      <c r="DX158" s="1553"/>
      <c r="DY158" s="1553"/>
      <c r="DZ158" s="1553"/>
      <c r="EA158" s="1553"/>
      <c r="EB158" s="1553"/>
      <c r="EC158" s="1553"/>
      <c r="ED158" s="1553"/>
      <c r="EE158" s="1553"/>
      <c r="EF158" s="1553"/>
      <c r="EG158" s="1553"/>
      <c r="EH158" s="1553"/>
      <c r="EI158" s="1553"/>
      <c r="EJ158" s="1553"/>
      <c r="EK158" s="1553"/>
      <c r="EL158" s="1553"/>
      <c r="EM158" s="1553"/>
      <c r="EN158" s="1553"/>
      <c r="EO158" s="1553"/>
      <c r="EP158" s="1553"/>
      <c r="EQ158" s="1454">
        <v>24240</v>
      </c>
      <c r="ER158" s="1538">
        <v>1152</v>
      </c>
      <c r="ES158" s="1538">
        <v>665</v>
      </c>
      <c r="ET158" s="1538">
        <v>1749</v>
      </c>
      <c r="EU158" s="1454">
        <v>780</v>
      </c>
      <c r="EV158" s="1538">
        <v>623</v>
      </c>
      <c r="EW158" s="1452">
        <v>266</v>
      </c>
      <c r="EX158" s="1538">
        <v>6375</v>
      </c>
      <c r="EY158" s="1554">
        <v>195</v>
      </c>
      <c r="EZ158" s="1538">
        <v>9516</v>
      </c>
      <c r="FA158" s="1538"/>
      <c r="FB158" s="1553"/>
      <c r="FC158" s="1553"/>
      <c r="FD158" s="1553"/>
      <c r="FE158" s="1553"/>
      <c r="FF158" s="1553"/>
      <c r="FG158" s="1553"/>
      <c r="FH158" s="1553"/>
      <c r="FI158" s="1553"/>
      <c r="FJ158" s="1553"/>
      <c r="FK158" s="1553"/>
      <c r="FL158" s="1553"/>
      <c r="FM158" s="1553"/>
      <c r="FN158" s="1553"/>
      <c r="FO158" s="1553"/>
      <c r="FP158" s="1553"/>
      <c r="FQ158" s="1553"/>
      <c r="FR158" s="1553"/>
      <c r="FS158" s="1553"/>
      <c r="FT158" s="1553"/>
      <c r="FU158" s="1553"/>
      <c r="FV158" s="1553"/>
      <c r="FW158" s="1553"/>
      <c r="FX158" s="1553"/>
      <c r="FY158" s="1553"/>
      <c r="FZ158" s="1553"/>
      <c r="GA158" s="1553"/>
      <c r="GB158" s="1553"/>
      <c r="GC158" s="1553"/>
      <c r="GD158" s="1553"/>
      <c r="GE158" s="1553"/>
      <c r="GF158" s="1553"/>
      <c r="GG158" s="1553"/>
      <c r="GH158" s="1553"/>
      <c r="GI158" s="1553"/>
      <c r="GJ158" s="1553"/>
      <c r="GK158" s="1553"/>
      <c r="GL158" s="1553"/>
      <c r="GM158" s="1553"/>
      <c r="GN158" s="1553"/>
      <c r="GO158" s="1553"/>
      <c r="GP158" s="1553"/>
      <c r="GQ158" s="1553"/>
      <c r="GR158" s="1553"/>
      <c r="GS158" s="1553"/>
      <c r="GT158" s="1553"/>
      <c r="GU158" s="1553"/>
      <c r="GV158" s="1553"/>
      <c r="GW158" s="1553"/>
      <c r="GX158" s="1553"/>
      <c r="GY158" s="1553"/>
      <c r="GZ158" s="1553"/>
      <c r="HA158" s="1553"/>
      <c r="HB158" s="1553"/>
      <c r="HC158" s="1553"/>
      <c r="HD158" s="1553"/>
      <c r="HE158" s="1553"/>
      <c r="HF158" s="1553"/>
      <c r="HG158" s="1553"/>
      <c r="HH158" s="1553"/>
      <c r="HI158" s="1553"/>
      <c r="HJ158" s="1553"/>
      <c r="HK158" s="1553"/>
      <c r="HL158" s="1553"/>
      <c r="HM158" s="1553"/>
      <c r="HN158" s="1553"/>
      <c r="HO158" s="1553"/>
      <c r="HP158" s="1553"/>
      <c r="HQ158" s="1553"/>
      <c r="HR158" s="1553"/>
      <c r="HS158" s="1553"/>
      <c r="HT158" s="1553"/>
      <c r="HU158" s="1553"/>
      <c r="HV158" s="1553"/>
      <c r="HW158" s="1553"/>
      <c r="HX158" s="1553"/>
      <c r="HY158" s="1553"/>
      <c r="HZ158" s="1553"/>
      <c r="IA158" s="1553"/>
      <c r="IB158" s="1553"/>
      <c r="IC158" s="1553"/>
      <c r="ID158" s="1553"/>
      <c r="IE158" s="1553"/>
      <c r="IF158" s="1553"/>
      <c r="IG158" s="1553"/>
      <c r="IH158" s="1553"/>
      <c r="II158" s="1553"/>
      <c r="IJ158" s="1553"/>
      <c r="IK158" s="1553"/>
      <c r="IL158" s="1553"/>
      <c r="IM158" s="1553"/>
      <c r="IN158" s="1553"/>
      <c r="IO158" s="1553"/>
      <c r="IP158" s="1553"/>
      <c r="IQ158" s="1553"/>
      <c r="IR158" s="1553"/>
      <c r="IS158" s="1553"/>
      <c r="IT158" s="1553"/>
      <c r="IU158" s="1553"/>
      <c r="IV158" s="1553"/>
      <c r="IW158" s="1553"/>
      <c r="IX158" s="1553"/>
      <c r="IY158" s="1452">
        <v>213</v>
      </c>
      <c r="IZ158" s="1553"/>
      <c r="JA158" s="1553"/>
      <c r="JB158" s="1553"/>
      <c r="JC158" s="1553"/>
      <c r="JD158" s="1553"/>
      <c r="JE158" s="1553"/>
      <c r="JF158" s="1553"/>
      <c r="JG158" s="1553"/>
      <c r="JH158" s="1553"/>
      <c r="JI158" s="1553"/>
      <c r="JJ158" s="1553"/>
      <c r="JK158" s="1553"/>
      <c r="JL158" s="1553"/>
      <c r="JM158" s="1553"/>
      <c r="JN158" s="1553"/>
      <c r="JO158" s="1553"/>
      <c r="JP158" s="1553"/>
      <c r="JQ158" s="1555"/>
      <c r="JR158" s="351"/>
      <c r="JS158" s="1400"/>
      <c r="JT158" s="1400" t="s">
        <v>2224</v>
      </c>
    </row>
    <row r="159" spans="1:280" x14ac:dyDescent="0.25">
      <c r="A159" s="1367">
        <v>3</v>
      </c>
      <c r="B159" s="1411" t="str">
        <f t="shared" si="78"/>
        <v/>
      </c>
      <c r="C159" s="1435" t="s">
        <v>3314</v>
      </c>
      <c r="D159" s="1436" t="s">
        <v>3315</v>
      </c>
      <c r="E159" s="1552"/>
      <c r="F159" s="1552"/>
      <c r="G159" s="1552"/>
      <c r="H159" s="1552"/>
      <c r="I159" s="1552"/>
      <c r="J159" s="1552"/>
      <c r="K159" s="1552"/>
      <c r="L159" s="1552"/>
      <c r="M159" s="1552"/>
      <c r="N159" s="1552"/>
      <c r="O159" s="1552"/>
      <c r="P159" s="1552"/>
      <c r="Q159" s="1552"/>
      <c r="R159" s="1553"/>
      <c r="S159" s="1553"/>
      <c r="T159" s="1553"/>
      <c r="U159" s="1553"/>
      <c r="V159" s="1553"/>
      <c r="W159" s="1553"/>
      <c r="X159" s="1553"/>
      <c r="Y159" s="1553"/>
      <c r="Z159" s="1553"/>
      <c r="AA159" s="1553"/>
      <c r="AB159" s="1553"/>
      <c r="AC159" s="1553"/>
      <c r="AD159" s="1553"/>
      <c r="AE159" s="1553"/>
      <c r="AF159" s="1553"/>
      <c r="AG159" s="1553"/>
      <c r="AH159" s="1553"/>
      <c r="AI159" s="1553"/>
      <c r="AJ159" s="1553"/>
      <c r="AK159" s="1553"/>
      <c r="AL159" s="1553"/>
      <c r="AM159" s="1553"/>
      <c r="AN159" s="1553"/>
      <c r="AO159" s="1553"/>
      <c r="AP159" s="1553"/>
      <c r="AQ159" s="1553"/>
      <c r="AR159" s="1553"/>
      <c r="AS159" s="1553"/>
      <c r="AT159" s="1553"/>
      <c r="AU159" s="1553"/>
      <c r="AV159" s="1553"/>
      <c r="AW159" s="1553"/>
      <c r="AX159" s="1553"/>
      <c r="AY159" s="1553"/>
      <c r="AZ159" s="1553"/>
      <c r="BA159" s="1553"/>
      <c r="BB159" s="1553"/>
      <c r="BC159" s="1553"/>
      <c r="BD159" s="1553"/>
      <c r="BE159" s="1553"/>
      <c r="BF159" s="1553"/>
      <c r="BG159" s="1553"/>
      <c r="BH159" s="1553"/>
      <c r="BI159" s="1553"/>
      <c r="BJ159" s="1553"/>
      <c r="BK159" s="1553"/>
      <c r="BL159" s="1553"/>
      <c r="BM159" s="1553"/>
      <c r="BN159" s="1553"/>
      <c r="BO159" s="1553"/>
      <c r="BP159" s="1553"/>
      <c r="BQ159" s="1553"/>
      <c r="BR159" s="1553"/>
      <c r="BS159" s="1553"/>
      <c r="BT159" s="1553"/>
      <c r="BU159" s="1553"/>
      <c r="BV159" s="1553"/>
      <c r="BW159" s="1553"/>
      <c r="BX159" s="1553"/>
      <c r="BY159" s="1553"/>
      <c r="BZ159" s="1553"/>
      <c r="CA159" s="1553"/>
      <c r="CB159" s="1553"/>
      <c r="CC159" s="1553"/>
      <c r="CD159" s="1553"/>
      <c r="CE159" s="1553"/>
      <c r="CF159" s="1553"/>
      <c r="CG159" s="1553"/>
      <c r="CH159" s="1553"/>
      <c r="CI159" s="1553"/>
      <c r="CJ159" s="1553"/>
      <c r="CK159" s="1553"/>
      <c r="CL159" s="1553"/>
      <c r="CM159" s="1553"/>
      <c r="CN159" s="1553"/>
      <c r="CO159" s="1553"/>
      <c r="CP159" s="1553"/>
      <c r="CQ159" s="1553"/>
      <c r="CR159" s="1553"/>
      <c r="CS159" s="1553"/>
      <c r="CT159" s="1553"/>
      <c r="CU159" s="1553"/>
      <c r="CV159" s="1553"/>
      <c r="CW159" s="1553"/>
      <c r="CX159" s="1553"/>
      <c r="CY159" s="1553"/>
      <c r="CZ159" s="1553"/>
      <c r="DA159" s="1553"/>
      <c r="DB159" s="1553"/>
      <c r="DC159" s="1553"/>
      <c r="DD159" s="1553"/>
      <c r="DE159" s="1553"/>
      <c r="DF159" s="1553"/>
      <c r="DG159" s="1553"/>
      <c r="DH159" s="1553"/>
      <c r="DI159" s="1553"/>
      <c r="DJ159" s="1553"/>
      <c r="DK159" s="1553"/>
      <c r="DL159" s="1553"/>
      <c r="DM159" s="1553"/>
      <c r="DN159" s="1553"/>
      <c r="DO159" s="1553"/>
      <c r="DP159" s="1553"/>
      <c r="DQ159" s="1553"/>
      <c r="DR159" s="1553"/>
      <c r="DS159" s="1553"/>
      <c r="DT159" s="1553"/>
      <c r="DU159" s="1553"/>
      <c r="DV159" s="1553"/>
      <c r="DW159" s="1553"/>
      <c r="DX159" s="1553"/>
      <c r="DY159" s="1553"/>
      <c r="DZ159" s="1553"/>
      <c r="EA159" s="1553"/>
      <c r="EB159" s="1553"/>
      <c r="EC159" s="1553"/>
      <c r="ED159" s="1553"/>
      <c r="EE159" s="1553"/>
      <c r="EF159" s="1553"/>
      <c r="EG159" s="1553"/>
      <c r="EH159" s="1553"/>
      <c r="EI159" s="1553"/>
      <c r="EJ159" s="1553"/>
      <c r="EK159" s="1553"/>
      <c r="EL159" s="1553"/>
      <c r="EM159" s="1553"/>
      <c r="EN159" s="1553"/>
      <c r="EO159" s="1553"/>
      <c r="EP159" s="1553"/>
      <c r="EQ159" s="1452"/>
      <c r="ER159" s="1554"/>
      <c r="ES159" s="1554"/>
      <c r="ET159" s="1554"/>
      <c r="EU159" s="1452"/>
      <c r="EV159" s="1554"/>
      <c r="EW159" s="1452"/>
      <c r="EX159" s="1554"/>
      <c r="EY159" s="1554"/>
      <c r="EZ159" s="1554"/>
      <c r="FA159" s="1554"/>
      <c r="FB159" s="1553"/>
      <c r="FC159" s="1553"/>
      <c r="FD159" s="1553"/>
      <c r="FE159" s="1553"/>
      <c r="FF159" s="1553"/>
      <c r="FG159" s="1553"/>
      <c r="FH159" s="1553"/>
      <c r="FI159" s="1553"/>
      <c r="FJ159" s="1553"/>
      <c r="FK159" s="1553"/>
      <c r="FL159" s="1553"/>
      <c r="FM159" s="1553"/>
      <c r="FN159" s="1553"/>
      <c r="FO159" s="1553"/>
      <c r="FP159" s="1553"/>
      <c r="FQ159" s="1553"/>
      <c r="FR159" s="1553"/>
      <c r="FS159" s="1553"/>
      <c r="FT159" s="1553"/>
      <c r="FU159" s="1553"/>
      <c r="FV159" s="1553"/>
      <c r="FW159" s="1553"/>
      <c r="FX159" s="1553"/>
      <c r="FY159" s="1553"/>
      <c r="FZ159" s="1553"/>
      <c r="GA159" s="1553"/>
      <c r="GB159" s="1553"/>
      <c r="GC159" s="1553"/>
      <c r="GD159" s="1553"/>
      <c r="GE159" s="1553"/>
      <c r="GF159" s="1553"/>
      <c r="GG159" s="1553"/>
      <c r="GH159" s="1553"/>
      <c r="GI159" s="1553"/>
      <c r="GJ159" s="1553"/>
      <c r="GK159" s="1553"/>
      <c r="GL159" s="1553"/>
      <c r="GM159" s="1553"/>
      <c r="GN159" s="1553"/>
      <c r="GO159" s="1553"/>
      <c r="GP159" s="1553"/>
      <c r="GQ159" s="1553"/>
      <c r="GR159" s="1553"/>
      <c r="GS159" s="1553"/>
      <c r="GT159" s="1553"/>
      <c r="GU159" s="1553"/>
      <c r="GV159" s="1553"/>
      <c r="GW159" s="1553"/>
      <c r="GX159" s="1553"/>
      <c r="GY159" s="1553"/>
      <c r="GZ159" s="1553"/>
      <c r="HA159" s="1553"/>
      <c r="HB159" s="1553"/>
      <c r="HC159" s="1553"/>
      <c r="HD159" s="1553"/>
      <c r="HE159" s="1553"/>
      <c r="HF159" s="1553"/>
      <c r="HG159" s="1553"/>
      <c r="HH159" s="1553"/>
      <c r="HI159" s="1553"/>
      <c r="HJ159" s="1553"/>
      <c r="HK159" s="1553"/>
      <c r="HL159" s="1553"/>
      <c r="HM159" s="1553"/>
      <c r="HN159" s="1553"/>
      <c r="HO159" s="1553"/>
      <c r="HP159" s="1553"/>
      <c r="HQ159" s="1553"/>
      <c r="HR159" s="1553"/>
      <c r="HS159" s="1553"/>
      <c r="HT159" s="1553"/>
      <c r="HU159" s="1553"/>
      <c r="HV159" s="1553"/>
      <c r="HW159" s="1553"/>
      <c r="HX159" s="1553"/>
      <c r="HY159" s="1553"/>
      <c r="HZ159" s="1553"/>
      <c r="IA159" s="1553"/>
      <c r="IB159" s="1553"/>
      <c r="IC159" s="1553"/>
      <c r="ID159" s="1553"/>
      <c r="IE159" s="1553"/>
      <c r="IF159" s="1553"/>
      <c r="IG159" s="1553"/>
      <c r="IH159" s="1553"/>
      <c r="II159" s="1553"/>
      <c r="IJ159" s="1553"/>
      <c r="IK159" s="1553"/>
      <c r="IL159" s="1553"/>
      <c r="IM159" s="1553"/>
      <c r="IN159" s="1553"/>
      <c r="IO159" s="1553"/>
      <c r="IP159" s="1553"/>
      <c r="IQ159" s="1553"/>
      <c r="IR159" s="1553"/>
      <c r="IS159" s="1553"/>
      <c r="IT159" s="1553"/>
      <c r="IU159" s="1553"/>
      <c r="IV159" s="1553"/>
      <c r="IW159" s="1553"/>
      <c r="IX159" s="1553"/>
      <c r="IY159" s="1452"/>
      <c r="IZ159" s="1553"/>
      <c r="JA159" s="1553"/>
      <c r="JB159" s="1553"/>
      <c r="JC159" s="1553"/>
      <c r="JD159" s="1553"/>
      <c r="JE159" s="1553"/>
      <c r="JF159" s="1553"/>
      <c r="JG159" s="1553"/>
      <c r="JH159" s="1553"/>
      <c r="JI159" s="1553"/>
      <c r="JJ159" s="1553"/>
      <c r="JK159" s="1553"/>
      <c r="JL159" s="1553"/>
      <c r="JM159" s="1553"/>
      <c r="JN159" s="1553"/>
      <c r="JO159" s="1553"/>
      <c r="JP159" s="1553"/>
      <c r="JQ159" s="1555"/>
      <c r="JR159" s="351"/>
      <c r="JS159" s="1400"/>
      <c r="JT159" s="1400" t="s">
        <v>2224</v>
      </c>
    </row>
    <row r="160" spans="1:280" x14ac:dyDescent="0.25">
      <c r="A160" s="1367">
        <v>4</v>
      </c>
      <c r="B160" s="1411" t="str">
        <f t="shared" si="78"/>
        <v/>
      </c>
      <c r="C160" s="1435" t="s">
        <v>3316</v>
      </c>
      <c r="D160" s="1436" t="s">
        <v>3317</v>
      </c>
      <c r="E160" s="1552"/>
      <c r="F160" s="1552"/>
      <c r="G160" s="1552"/>
      <c r="H160" s="1552"/>
      <c r="I160" s="1552"/>
      <c r="J160" s="1552"/>
      <c r="K160" s="1552"/>
      <c r="L160" s="1552"/>
      <c r="M160" s="1552"/>
      <c r="N160" s="1552"/>
      <c r="O160" s="1552"/>
      <c r="P160" s="1552"/>
      <c r="Q160" s="1552"/>
      <c r="R160" s="1553"/>
      <c r="S160" s="1553"/>
      <c r="T160" s="1553"/>
      <c r="U160" s="1553"/>
      <c r="V160" s="1553"/>
      <c r="W160" s="1553"/>
      <c r="X160" s="1553"/>
      <c r="Y160" s="1553"/>
      <c r="Z160" s="1553"/>
      <c r="AA160" s="1553"/>
      <c r="AB160" s="1553"/>
      <c r="AC160" s="1553"/>
      <c r="AD160" s="1553"/>
      <c r="AE160" s="1553"/>
      <c r="AF160" s="1553"/>
      <c r="AG160" s="1553"/>
      <c r="AH160" s="1553"/>
      <c r="AI160" s="1553"/>
      <c r="AJ160" s="1553"/>
      <c r="AK160" s="1553"/>
      <c r="AL160" s="1553"/>
      <c r="AM160" s="1553"/>
      <c r="AN160" s="1553"/>
      <c r="AO160" s="1553"/>
      <c r="AP160" s="1553"/>
      <c r="AQ160" s="1553"/>
      <c r="AR160" s="1553"/>
      <c r="AS160" s="1553"/>
      <c r="AT160" s="1553"/>
      <c r="AU160" s="1553"/>
      <c r="AV160" s="1553"/>
      <c r="AW160" s="1553"/>
      <c r="AX160" s="1553"/>
      <c r="AY160" s="1553"/>
      <c r="AZ160" s="1553"/>
      <c r="BA160" s="1553"/>
      <c r="BB160" s="1553"/>
      <c r="BC160" s="1553"/>
      <c r="BD160" s="1553"/>
      <c r="BE160" s="1553"/>
      <c r="BF160" s="1553"/>
      <c r="BG160" s="1553"/>
      <c r="BH160" s="1553"/>
      <c r="BI160" s="1553"/>
      <c r="BJ160" s="1553"/>
      <c r="BK160" s="1553"/>
      <c r="BL160" s="1553"/>
      <c r="BM160" s="1553"/>
      <c r="BN160" s="1553"/>
      <c r="BO160" s="1553"/>
      <c r="BP160" s="1553"/>
      <c r="BQ160" s="1553"/>
      <c r="BR160" s="1553"/>
      <c r="BS160" s="1553"/>
      <c r="BT160" s="1553"/>
      <c r="BU160" s="1553"/>
      <c r="BV160" s="1553"/>
      <c r="BW160" s="1553"/>
      <c r="BX160" s="1553"/>
      <c r="BY160" s="1553"/>
      <c r="BZ160" s="1553"/>
      <c r="CA160" s="1553"/>
      <c r="CB160" s="1553"/>
      <c r="CC160" s="1553"/>
      <c r="CD160" s="1553"/>
      <c r="CE160" s="1553"/>
      <c r="CF160" s="1553"/>
      <c r="CG160" s="1553"/>
      <c r="CH160" s="1553"/>
      <c r="CI160" s="1553"/>
      <c r="CJ160" s="1553"/>
      <c r="CK160" s="1553"/>
      <c r="CL160" s="1553"/>
      <c r="CM160" s="1553"/>
      <c r="CN160" s="1553"/>
      <c r="CO160" s="1553"/>
      <c r="CP160" s="1553"/>
      <c r="CQ160" s="1553"/>
      <c r="CR160" s="1553"/>
      <c r="CS160" s="1553"/>
      <c r="CT160" s="1553"/>
      <c r="CU160" s="1553"/>
      <c r="CV160" s="1553"/>
      <c r="CW160" s="1553"/>
      <c r="CX160" s="1553"/>
      <c r="CY160" s="1553"/>
      <c r="CZ160" s="1553"/>
      <c r="DA160" s="1553"/>
      <c r="DB160" s="1553"/>
      <c r="DC160" s="1553"/>
      <c r="DD160" s="1553"/>
      <c r="DE160" s="1553"/>
      <c r="DF160" s="1553"/>
      <c r="DG160" s="1553"/>
      <c r="DH160" s="1553"/>
      <c r="DI160" s="1553"/>
      <c r="DJ160" s="1553"/>
      <c r="DK160" s="1553"/>
      <c r="DL160" s="1553"/>
      <c r="DM160" s="1553"/>
      <c r="DN160" s="1553"/>
      <c r="DO160" s="1553"/>
      <c r="DP160" s="1553"/>
      <c r="DQ160" s="1553"/>
      <c r="DR160" s="1553"/>
      <c r="DS160" s="1553"/>
      <c r="DT160" s="1553"/>
      <c r="DU160" s="1553"/>
      <c r="DV160" s="1553"/>
      <c r="DW160" s="1553"/>
      <c r="DX160" s="1553"/>
      <c r="DY160" s="1553"/>
      <c r="DZ160" s="1553"/>
      <c r="EA160" s="1553"/>
      <c r="EB160" s="1553"/>
      <c r="EC160" s="1553"/>
      <c r="ED160" s="1553"/>
      <c r="EE160" s="1553"/>
      <c r="EF160" s="1553"/>
      <c r="EG160" s="1553"/>
      <c r="EH160" s="1553"/>
      <c r="EI160" s="1553"/>
      <c r="EJ160" s="1553"/>
      <c r="EK160" s="1553"/>
      <c r="EL160" s="1553"/>
      <c r="EM160" s="1553"/>
      <c r="EN160" s="1553"/>
      <c r="EO160" s="1553"/>
      <c r="EP160" s="1553"/>
      <c r="EQ160" s="1454"/>
      <c r="ER160" s="1538"/>
      <c r="ES160" s="1538"/>
      <c r="ET160" s="1538"/>
      <c r="EU160" s="1454"/>
      <c r="EV160" s="1538"/>
      <c r="EW160" s="1452">
        <v>596</v>
      </c>
      <c r="EX160" s="1538">
        <v>1895</v>
      </c>
      <c r="EY160" s="1554">
        <v>338</v>
      </c>
      <c r="EZ160" s="1538"/>
      <c r="FA160" s="1538"/>
      <c r="FB160" s="1553"/>
      <c r="FC160" s="1553"/>
      <c r="FD160" s="1553"/>
      <c r="FE160" s="1553"/>
      <c r="FF160" s="1553"/>
      <c r="FG160" s="1553"/>
      <c r="FH160" s="1553"/>
      <c r="FI160" s="1553"/>
      <c r="FJ160" s="1553"/>
      <c r="FK160" s="1553"/>
      <c r="FL160" s="1553"/>
      <c r="FM160" s="1553"/>
      <c r="FN160" s="1553"/>
      <c r="FO160" s="1553"/>
      <c r="FP160" s="1553"/>
      <c r="FQ160" s="1553"/>
      <c r="FR160" s="1553"/>
      <c r="FS160" s="1553"/>
      <c r="FT160" s="1553"/>
      <c r="FU160" s="1553"/>
      <c r="FV160" s="1553"/>
      <c r="FW160" s="1553"/>
      <c r="FX160" s="1553"/>
      <c r="FY160" s="1553"/>
      <c r="FZ160" s="1553"/>
      <c r="GA160" s="1553"/>
      <c r="GB160" s="1553"/>
      <c r="GC160" s="1553"/>
      <c r="GD160" s="1553"/>
      <c r="GE160" s="1553"/>
      <c r="GF160" s="1553"/>
      <c r="GG160" s="1553"/>
      <c r="GH160" s="1553"/>
      <c r="GI160" s="1553"/>
      <c r="GJ160" s="1553"/>
      <c r="GK160" s="1553"/>
      <c r="GL160" s="1553"/>
      <c r="GM160" s="1553"/>
      <c r="GN160" s="1553"/>
      <c r="GO160" s="1553"/>
      <c r="GP160" s="1553"/>
      <c r="GQ160" s="1553"/>
      <c r="GR160" s="1553"/>
      <c r="GS160" s="1553"/>
      <c r="GT160" s="1553"/>
      <c r="GU160" s="1553"/>
      <c r="GV160" s="1553"/>
      <c r="GW160" s="1553"/>
      <c r="GX160" s="1553"/>
      <c r="GY160" s="1553"/>
      <c r="GZ160" s="1553"/>
      <c r="HA160" s="1553"/>
      <c r="HB160" s="1553"/>
      <c r="HC160" s="1553"/>
      <c r="HD160" s="1553"/>
      <c r="HE160" s="1553"/>
      <c r="HF160" s="1553"/>
      <c r="HG160" s="1553"/>
      <c r="HH160" s="1553"/>
      <c r="HI160" s="1553"/>
      <c r="HJ160" s="1553"/>
      <c r="HK160" s="1553"/>
      <c r="HL160" s="1553"/>
      <c r="HM160" s="1553"/>
      <c r="HN160" s="1553"/>
      <c r="HO160" s="1553"/>
      <c r="HP160" s="1553"/>
      <c r="HQ160" s="1553"/>
      <c r="HR160" s="1553"/>
      <c r="HS160" s="1553"/>
      <c r="HT160" s="1553"/>
      <c r="HU160" s="1553"/>
      <c r="HV160" s="1553"/>
      <c r="HW160" s="1553"/>
      <c r="HX160" s="1553"/>
      <c r="HY160" s="1553"/>
      <c r="HZ160" s="1553"/>
      <c r="IA160" s="1553"/>
      <c r="IB160" s="1553"/>
      <c r="IC160" s="1553"/>
      <c r="ID160" s="1553"/>
      <c r="IE160" s="1553"/>
      <c r="IF160" s="1553"/>
      <c r="IG160" s="1553"/>
      <c r="IH160" s="1553"/>
      <c r="II160" s="1553"/>
      <c r="IJ160" s="1553"/>
      <c r="IK160" s="1553"/>
      <c r="IL160" s="1553"/>
      <c r="IM160" s="1553"/>
      <c r="IN160" s="1553"/>
      <c r="IO160" s="1553"/>
      <c r="IP160" s="1553"/>
      <c r="IQ160" s="1553"/>
      <c r="IR160" s="1553"/>
      <c r="IS160" s="1553"/>
      <c r="IT160" s="1553"/>
      <c r="IU160" s="1553"/>
      <c r="IV160" s="1553"/>
      <c r="IW160" s="1553"/>
      <c r="IX160" s="1553"/>
      <c r="IY160" s="1452">
        <v>328</v>
      </c>
      <c r="IZ160" s="1553"/>
      <c r="JA160" s="1553"/>
      <c r="JB160" s="1553"/>
      <c r="JC160" s="1553"/>
      <c r="JD160" s="1553"/>
      <c r="JE160" s="1553"/>
      <c r="JF160" s="1553"/>
      <c r="JG160" s="1553"/>
      <c r="JH160" s="1553"/>
      <c r="JI160" s="1553"/>
      <c r="JJ160" s="1553"/>
      <c r="JK160" s="1553"/>
      <c r="JL160" s="1553"/>
      <c r="JM160" s="1553"/>
      <c r="JN160" s="1553"/>
      <c r="JO160" s="1553"/>
      <c r="JP160" s="1553"/>
      <c r="JQ160" s="1555"/>
      <c r="JR160" s="351"/>
      <c r="JS160" s="1400"/>
      <c r="JT160" s="1400" t="s">
        <v>2224</v>
      </c>
    </row>
    <row r="161" spans="1:280" x14ac:dyDescent="0.25">
      <c r="A161" s="1367">
        <v>5</v>
      </c>
      <c r="B161" s="1411" t="str">
        <f t="shared" si="78"/>
        <v/>
      </c>
      <c r="C161" s="1435" t="s">
        <v>3318</v>
      </c>
      <c r="D161" s="1436" t="s">
        <v>2412</v>
      </c>
      <c r="E161" s="1479"/>
      <c r="F161" s="1479"/>
      <c r="G161" s="1479"/>
      <c r="H161" s="1479"/>
      <c r="I161" s="1479"/>
      <c r="J161" s="1479"/>
      <c r="K161" s="1479"/>
      <c r="L161" s="1479"/>
      <c r="M161" s="1479"/>
      <c r="N161" s="1479"/>
      <c r="O161" s="1479"/>
      <c r="P161" s="1479"/>
      <c r="Q161" s="1479"/>
      <c r="R161" s="1479"/>
      <c r="S161" s="1479"/>
      <c r="T161" s="1479"/>
      <c r="U161" s="1479"/>
      <c r="V161" s="1479"/>
      <c r="W161" s="1479"/>
      <c r="X161" s="1479"/>
      <c r="Y161" s="1479"/>
      <c r="Z161" s="1479"/>
      <c r="AA161" s="1479"/>
      <c r="AB161" s="1479"/>
      <c r="AC161" s="1479"/>
      <c r="AD161" s="1479"/>
      <c r="AE161" s="1479"/>
      <c r="AF161" s="1479"/>
      <c r="AG161" s="1479"/>
      <c r="AH161" s="1479"/>
      <c r="AI161" s="1479"/>
      <c r="AJ161" s="1479"/>
      <c r="AK161" s="1479"/>
      <c r="AL161" s="1479"/>
      <c r="AM161" s="1479"/>
      <c r="AN161" s="1479"/>
      <c r="AO161" s="1479"/>
      <c r="AP161" s="1479"/>
      <c r="AQ161" s="1479"/>
      <c r="AR161" s="1479"/>
      <c r="AS161" s="1479"/>
      <c r="AT161" s="1479"/>
      <c r="AU161" s="1479"/>
      <c r="AV161" s="1479"/>
      <c r="AW161" s="1479"/>
      <c r="AX161" s="1479"/>
      <c r="AY161" s="1479"/>
      <c r="AZ161" s="1479"/>
      <c r="BA161" s="1479"/>
      <c r="BB161" s="1479"/>
      <c r="BC161" s="1479"/>
      <c r="BD161" s="1479"/>
      <c r="BE161" s="1479"/>
      <c r="BF161" s="1479"/>
      <c r="BG161" s="1479"/>
      <c r="BH161" s="1479"/>
      <c r="BI161" s="1479"/>
      <c r="BJ161" s="1479"/>
      <c r="BK161" s="1479"/>
      <c r="BL161" s="1479"/>
      <c r="BM161" s="1479"/>
      <c r="BN161" s="1479"/>
      <c r="BO161" s="1479"/>
      <c r="BP161" s="1479"/>
      <c r="BQ161" s="1479"/>
      <c r="BR161" s="1479"/>
      <c r="BS161" s="1479"/>
      <c r="BT161" s="1479"/>
      <c r="BU161" s="1479"/>
      <c r="BV161" s="1479"/>
      <c r="BW161" s="1479"/>
      <c r="BX161" s="1479"/>
      <c r="BY161" s="1479"/>
      <c r="BZ161" s="1479"/>
      <c r="CA161" s="1479"/>
      <c r="CB161" s="1479"/>
      <c r="CC161" s="1479"/>
      <c r="CD161" s="1479"/>
      <c r="CE161" s="1479"/>
      <c r="CF161" s="1479"/>
      <c r="CG161" s="1479"/>
      <c r="CH161" s="1479"/>
      <c r="CI161" s="1479"/>
      <c r="CJ161" s="1479"/>
      <c r="CK161" s="1479"/>
      <c r="CL161" s="1479"/>
      <c r="CM161" s="1479"/>
      <c r="CN161" s="1479"/>
      <c r="CO161" s="1479"/>
      <c r="CP161" s="1479"/>
      <c r="CQ161" s="1479"/>
      <c r="CR161" s="1479"/>
      <c r="CS161" s="1479"/>
      <c r="CT161" s="1479"/>
      <c r="CU161" s="1479"/>
      <c r="CV161" s="1479"/>
      <c r="CW161" s="1479"/>
      <c r="CX161" s="1479"/>
      <c r="CY161" s="1479"/>
      <c r="CZ161" s="1479"/>
      <c r="DA161" s="1479"/>
      <c r="DB161" s="1479"/>
      <c r="DC161" s="1479"/>
      <c r="DD161" s="1479"/>
      <c r="DE161" s="1479"/>
      <c r="DF161" s="1479"/>
      <c r="DG161" s="1479"/>
      <c r="DH161" s="1479"/>
      <c r="DI161" s="1479"/>
      <c r="DJ161" s="1479"/>
      <c r="DK161" s="1479"/>
      <c r="DL161" s="1479"/>
      <c r="DM161" s="1479"/>
      <c r="DN161" s="1479"/>
      <c r="DO161" s="1479"/>
      <c r="DP161" s="1479"/>
      <c r="DQ161" s="1479"/>
      <c r="DR161" s="1479"/>
      <c r="DS161" s="1479"/>
      <c r="DT161" s="1479"/>
      <c r="DU161" s="1479"/>
      <c r="DV161" s="1479"/>
      <c r="DW161" s="1479"/>
      <c r="DX161" s="1479"/>
      <c r="DY161" s="1479"/>
      <c r="DZ161" s="1479"/>
      <c r="EA161" s="1479"/>
      <c r="EB161" s="1479"/>
      <c r="EC161" s="1479"/>
      <c r="ED161" s="1479"/>
      <c r="EE161" s="1479"/>
      <c r="EF161" s="1479"/>
      <c r="EG161" s="1479"/>
      <c r="EH161" s="1479"/>
      <c r="EI161" s="1479"/>
      <c r="EJ161" s="1479"/>
      <c r="EK161" s="1479"/>
      <c r="EL161" s="1479"/>
      <c r="EM161" s="1479"/>
      <c r="EN161" s="1479"/>
      <c r="EO161" s="1479"/>
      <c r="EP161" s="1479"/>
      <c r="EQ161" s="1503"/>
      <c r="ER161" s="1503"/>
      <c r="ES161" s="1503"/>
      <c r="ET161" s="1503"/>
      <c r="EU161" s="1503"/>
      <c r="EV161" s="1503"/>
      <c r="EW161" s="1479">
        <f>TRUNC((EW160*savings_gross*BR_rate)+0.99,0)</f>
        <v>149</v>
      </c>
      <c r="EX161" s="1503"/>
      <c r="EY161" s="1479">
        <f>TRUNC((EY160*savings_gross*BR_rate)+0.99,0)</f>
        <v>85</v>
      </c>
      <c r="EZ161" s="1503"/>
      <c r="FA161" s="1503"/>
      <c r="FB161" s="1479"/>
      <c r="FC161" s="1479"/>
      <c r="FD161" s="1479"/>
      <c r="FE161" s="1479"/>
      <c r="FF161" s="1479"/>
      <c r="FG161" s="1479"/>
      <c r="FH161" s="1479"/>
      <c r="FI161" s="1479"/>
      <c r="FJ161" s="1479"/>
      <c r="FK161" s="1479"/>
      <c r="FL161" s="1479"/>
      <c r="FM161" s="1479"/>
      <c r="FN161" s="1479"/>
      <c r="FO161" s="1479"/>
      <c r="FP161" s="1479"/>
      <c r="FQ161" s="1479"/>
      <c r="FR161" s="1479"/>
      <c r="FS161" s="1479"/>
      <c r="FT161" s="1479"/>
      <c r="FU161" s="1479"/>
      <c r="FV161" s="1479"/>
      <c r="FW161" s="1479"/>
      <c r="FX161" s="1479"/>
      <c r="FY161" s="1479"/>
      <c r="FZ161" s="1479"/>
      <c r="GA161" s="1479"/>
      <c r="GB161" s="1479"/>
      <c r="GC161" s="1479"/>
      <c r="GD161" s="1479"/>
      <c r="GE161" s="1479"/>
      <c r="GF161" s="1479"/>
      <c r="GG161" s="1479"/>
      <c r="GH161" s="1479"/>
      <c r="GI161" s="1479"/>
      <c r="GJ161" s="1479"/>
      <c r="GK161" s="1479"/>
      <c r="GL161" s="1479"/>
      <c r="GM161" s="1479"/>
      <c r="GN161" s="1479"/>
      <c r="GO161" s="1479"/>
      <c r="GP161" s="1479"/>
      <c r="GQ161" s="1479"/>
      <c r="GR161" s="1479"/>
      <c r="GS161" s="1479"/>
      <c r="GT161" s="1479"/>
      <c r="GU161" s="1479"/>
      <c r="GV161" s="1479"/>
      <c r="GW161" s="1479"/>
      <c r="GX161" s="1479"/>
      <c r="GY161" s="1479"/>
      <c r="GZ161" s="1479"/>
      <c r="HA161" s="1479"/>
      <c r="HB161" s="1479"/>
      <c r="HC161" s="1479"/>
      <c r="HD161" s="1479"/>
      <c r="HE161" s="1479"/>
      <c r="HF161" s="1479"/>
      <c r="HG161" s="1479"/>
      <c r="HH161" s="1479"/>
      <c r="HI161" s="1479"/>
      <c r="HJ161" s="1479"/>
      <c r="HK161" s="1479"/>
      <c r="HL161" s="1479"/>
      <c r="HM161" s="1479"/>
      <c r="HN161" s="1479"/>
      <c r="HO161" s="1479"/>
      <c r="HP161" s="1479"/>
      <c r="HQ161" s="1479"/>
      <c r="HR161" s="1479"/>
      <c r="HS161" s="1479"/>
      <c r="HT161" s="1479"/>
      <c r="HU161" s="1479"/>
      <c r="HV161" s="1479"/>
      <c r="HW161" s="1479"/>
      <c r="HX161" s="1479"/>
      <c r="HY161" s="1479"/>
      <c r="HZ161" s="1479"/>
      <c r="IA161" s="1479"/>
      <c r="IB161" s="1479"/>
      <c r="IC161" s="1479"/>
      <c r="ID161" s="1479"/>
      <c r="IE161" s="1479"/>
      <c r="IF161" s="1479"/>
      <c r="IG161" s="1479"/>
      <c r="IH161" s="1479"/>
      <c r="II161" s="1479"/>
      <c r="IJ161" s="1479"/>
      <c r="IK161" s="1479"/>
      <c r="IL161" s="1479"/>
      <c r="IM161" s="1479"/>
      <c r="IN161" s="1479"/>
      <c r="IO161" s="1479"/>
      <c r="IP161" s="1479"/>
      <c r="IQ161" s="1479"/>
      <c r="IR161" s="1479"/>
      <c r="IS161" s="1479"/>
      <c r="IT161" s="1479"/>
      <c r="IU161" s="1479"/>
      <c r="IV161" s="1479"/>
      <c r="IW161" s="1479"/>
      <c r="IX161" s="1479"/>
      <c r="IY161" s="1479">
        <f>TRUNC((IY160*savings_gross*BR_rate)+0.99,0)</f>
        <v>82</v>
      </c>
      <c r="IZ161" s="1479"/>
      <c r="JA161" s="1479"/>
      <c r="JB161" s="1479"/>
      <c r="JC161" s="1479"/>
      <c r="JD161" s="1479"/>
      <c r="JE161" s="1479"/>
      <c r="JF161" s="1479"/>
      <c r="JG161" s="1479"/>
      <c r="JH161" s="1479"/>
      <c r="JI161" s="1479"/>
      <c r="JJ161" s="1479"/>
      <c r="JK161" s="1479"/>
      <c r="JL161" s="1479"/>
      <c r="JM161" s="1479"/>
      <c r="JN161" s="1479"/>
      <c r="JO161" s="1479"/>
      <c r="JP161" s="1479"/>
      <c r="JQ161" s="1479"/>
      <c r="JR161" s="351"/>
      <c r="JS161" s="1400" t="s">
        <v>3319</v>
      </c>
      <c r="JT161" s="1400" t="s">
        <v>2224</v>
      </c>
    </row>
    <row r="162" spans="1:280" x14ac:dyDescent="0.25">
      <c r="A162" s="1367">
        <v>6</v>
      </c>
      <c r="B162" s="1411" t="str">
        <f t="shared" si="78"/>
        <v/>
      </c>
      <c r="C162" s="1435" t="s">
        <v>3320</v>
      </c>
      <c r="D162" s="1436" t="s">
        <v>3321</v>
      </c>
      <c r="E162" s="1479"/>
      <c r="F162" s="1479"/>
      <c r="G162" s="1479"/>
      <c r="H162" s="1479"/>
      <c r="I162" s="1479"/>
      <c r="J162" s="1479"/>
      <c r="K162" s="1479"/>
      <c r="L162" s="1479"/>
      <c r="M162" s="1479"/>
      <c r="N162" s="1479"/>
      <c r="O162" s="1479"/>
      <c r="P162" s="1479"/>
      <c r="Q162" s="1479"/>
      <c r="R162" s="1479"/>
      <c r="S162" s="1479"/>
      <c r="T162" s="1479"/>
      <c r="U162" s="1479"/>
      <c r="V162" s="1479"/>
      <c r="W162" s="1479"/>
      <c r="X162" s="1479"/>
      <c r="Y162" s="1479"/>
      <c r="Z162" s="1479"/>
      <c r="AA162" s="1479"/>
      <c r="AB162" s="1479"/>
      <c r="AC162" s="1479"/>
      <c r="AD162" s="1479"/>
      <c r="AE162" s="1479"/>
      <c r="AF162" s="1479"/>
      <c r="AG162" s="1479"/>
      <c r="AH162" s="1479"/>
      <c r="AI162" s="1479"/>
      <c r="AJ162" s="1479"/>
      <c r="AK162" s="1479"/>
      <c r="AL162" s="1479"/>
      <c r="AM162" s="1479"/>
      <c r="AN162" s="1479"/>
      <c r="AO162" s="1479"/>
      <c r="AP162" s="1479"/>
      <c r="AQ162" s="1479"/>
      <c r="AR162" s="1479"/>
      <c r="AS162" s="1479"/>
      <c r="AT162" s="1479"/>
      <c r="AU162" s="1479"/>
      <c r="AV162" s="1479"/>
      <c r="AW162" s="1479"/>
      <c r="AX162" s="1479"/>
      <c r="AY162" s="1479"/>
      <c r="AZ162" s="1479"/>
      <c r="BA162" s="1479"/>
      <c r="BB162" s="1479"/>
      <c r="BC162" s="1479"/>
      <c r="BD162" s="1479"/>
      <c r="BE162" s="1479"/>
      <c r="BF162" s="1479"/>
      <c r="BG162" s="1479"/>
      <c r="BH162" s="1479"/>
      <c r="BI162" s="1479"/>
      <c r="BJ162" s="1479"/>
      <c r="BK162" s="1479"/>
      <c r="BL162" s="1479"/>
      <c r="BM162" s="1479"/>
      <c r="BN162" s="1479"/>
      <c r="BO162" s="1479"/>
      <c r="BP162" s="1479"/>
      <c r="BQ162" s="1479"/>
      <c r="BR162" s="1479"/>
      <c r="BS162" s="1479"/>
      <c r="BT162" s="1479"/>
      <c r="BU162" s="1479"/>
      <c r="BV162" s="1479"/>
      <c r="BW162" s="1479"/>
      <c r="BX162" s="1479"/>
      <c r="BY162" s="1479"/>
      <c r="BZ162" s="1479"/>
      <c r="CA162" s="1479"/>
      <c r="CB162" s="1479"/>
      <c r="CC162" s="1479"/>
      <c r="CD162" s="1479"/>
      <c r="CE162" s="1479"/>
      <c r="CF162" s="1479"/>
      <c r="CG162" s="1479"/>
      <c r="CH162" s="1479"/>
      <c r="CI162" s="1479"/>
      <c r="CJ162" s="1479"/>
      <c r="CK162" s="1479"/>
      <c r="CL162" s="1479"/>
      <c r="CM162" s="1479"/>
      <c r="CN162" s="1479"/>
      <c r="CO162" s="1479"/>
      <c r="CP162" s="1479"/>
      <c r="CQ162" s="1479"/>
      <c r="CR162" s="1479"/>
      <c r="CS162" s="1479"/>
      <c r="CT162" s="1479"/>
      <c r="CU162" s="1479"/>
      <c r="CV162" s="1479"/>
      <c r="CW162" s="1479"/>
      <c r="CX162" s="1479"/>
      <c r="CY162" s="1479"/>
      <c r="CZ162" s="1479"/>
      <c r="DA162" s="1479"/>
      <c r="DB162" s="1479"/>
      <c r="DC162" s="1479"/>
      <c r="DD162" s="1479"/>
      <c r="DE162" s="1479"/>
      <c r="DF162" s="1479"/>
      <c r="DG162" s="1479"/>
      <c r="DH162" s="1479"/>
      <c r="DI162" s="1479"/>
      <c r="DJ162" s="1479"/>
      <c r="DK162" s="1479"/>
      <c r="DL162" s="1479"/>
      <c r="DM162" s="1479"/>
      <c r="DN162" s="1479"/>
      <c r="DO162" s="1479"/>
      <c r="DP162" s="1479"/>
      <c r="DQ162" s="1479"/>
      <c r="DR162" s="1479"/>
      <c r="DS162" s="1479"/>
      <c r="DT162" s="1479"/>
      <c r="DU162" s="1479"/>
      <c r="DV162" s="1479"/>
      <c r="DW162" s="1479"/>
      <c r="DX162" s="1479"/>
      <c r="DY162" s="1479"/>
      <c r="DZ162" s="1479"/>
      <c r="EA162" s="1479"/>
      <c r="EB162" s="1479"/>
      <c r="EC162" s="1479"/>
      <c r="ED162" s="1479"/>
      <c r="EE162" s="1479"/>
      <c r="EF162" s="1479"/>
      <c r="EG162" s="1479"/>
      <c r="EH162" s="1479"/>
      <c r="EI162" s="1479"/>
      <c r="EJ162" s="1479"/>
      <c r="EK162" s="1479"/>
      <c r="EL162" s="1479"/>
      <c r="EM162" s="1479"/>
      <c r="EN162" s="1479"/>
      <c r="EO162" s="1479"/>
      <c r="EP162" s="1479"/>
      <c r="EQ162" s="1503">
        <f t="shared" ref="EQ162:EZ162" si="79">EQ158+EQ159+EQ160+EQ161</f>
        <v>24240</v>
      </c>
      <c r="ER162" s="1503">
        <f t="shared" si="79"/>
        <v>1152</v>
      </c>
      <c r="ES162" s="1503">
        <f t="shared" si="79"/>
        <v>665</v>
      </c>
      <c r="ET162" s="1503">
        <f t="shared" si="79"/>
        <v>1749</v>
      </c>
      <c r="EU162" s="1503">
        <f t="shared" si="79"/>
        <v>780</v>
      </c>
      <c r="EV162" s="1503">
        <f t="shared" si="79"/>
        <v>623</v>
      </c>
      <c r="EW162" s="1479">
        <f t="shared" si="79"/>
        <v>1011</v>
      </c>
      <c r="EX162" s="1503">
        <f t="shared" si="79"/>
        <v>8270</v>
      </c>
      <c r="EY162" s="1479">
        <f t="shared" si="79"/>
        <v>618</v>
      </c>
      <c r="EZ162" s="1503">
        <f t="shared" si="79"/>
        <v>9516</v>
      </c>
      <c r="FA162" s="1503"/>
      <c r="FB162" s="1479"/>
      <c r="FC162" s="1479"/>
      <c r="FD162" s="1479"/>
      <c r="FE162" s="1479"/>
      <c r="FF162" s="1479"/>
      <c r="FG162" s="1479"/>
      <c r="FH162" s="1479"/>
      <c r="FI162" s="1479"/>
      <c r="FJ162" s="1479"/>
      <c r="FK162" s="1479"/>
      <c r="FL162" s="1479"/>
      <c r="FM162" s="1479"/>
      <c r="FN162" s="1479"/>
      <c r="FO162" s="1479"/>
      <c r="FP162" s="1479"/>
      <c r="FQ162" s="1479"/>
      <c r="FR162" s="1479"/>
      <c r="FS162" s="1479"/>
      <c r="FT162" s="1479"/>
      <c r="FU162" s="1479"/>
      <c r="FV162" s="1479"/>
      <c r="FW162" s="1479"/>
      <c r="FX162" s="1479"/>
      <c r="FY162" s="1479"/>
      <c r="FZ162" s="1479"/>
      <c r="GA162" s="1479"/>
      <c r="GB162" s="1479"/>
      <c r="GC162" s="1479"/>
      <c r="GD162" s="1479"/>
      <c r="GE162" s="1479"/>
      <c r="GF162" s="1479"/>
      <c r="GG162" s="1479"/>
      <c r="GH162" s="1479"/>
      <c r="GI162" s="1479"/>
      <c r="GJ162" s="1479"/>
      <c r="GK162" s="1479"/>
      <c r="GL162" s="1479"/>
      <c r="GM162" s="1479"/>
      <c r="GN162" s="1479"/>
      <c r="GO162" s="1479"/>
      <c r="GP162" s="1479"/>
      <c r="GQ162" s="1479"/>
      <c r="GR162" s="1479"/>
      <c r="GS162" s="1479"/>
      <c r="GT162" s="1479"/>
      <c r="GU162" s="1479"/>
      <c r="GV162" s="1479"/>
      <c r="GW162" s="1479"/>
      <c r="GX162" s="1479"/>
      <c r="GY162" s="1479"/>
      <c r="GZ162" s="1479"/>
      <c r="HA162" s="1479"/>
      <c r="HB162" s="1479"/>
      <c r="HC162" s="1479"/>
      <c r="HD162" s="1479"/>
      <c r="HE162" s="1479"/>
      <c r="HF162" s="1479"/>
      <c r="HG162" s="1479"/>
      <c r="HH162" s="1479"/>
      <c r="HI162" s="1479"/>
      <c r="HJ162" s="1479"/>
      <c r="HK162" s="1479"/>
      <c r="HL162" s="1479"/>
      <c r="HM162" s="1479"/>
      <c r="HN162" s="1479"/>
      <c r="HO162" s="1479"/>
      <c r="HP162" s="1479"/>
      <c r="HQ162" s="1479"/>
      <c r="HR162" s="1479"/>
      <c r="HS162" s="1479"/>
      <c r="HT162" s="1479"/>
      <c r="HU162" s="1479"/>
      <c r="HV162" s="1479"/>
      <c r="HW162" s="1479"/>
      <c r="HX162" s="1479"/>
      <c r="HY162" s="1479"/>
      <c r="HZ162" s="1479"/>
      <c r="IA162" s="1479"/>
      <c r="IB162" s="1479"/>
      <c r="IC162" s="1479"/>
      <c r="ID162" s="1479"/>
      <c r="IE162" s="1479"/>
      <c r="IF162" s="1479"/>
      <c r="IG162" s="1479"/>
      <c r="IH162" s="1479"/>
      <c r="II162" s="1479"/>
      <c r="IJ162" s="1479"/>
      <c r="IK162" s="1479"/>
      <c r="IL162" s="1479"/>
      <c r="IM162" s="1479"/>
      <c r="IN162" s="1479"/>
      <c r="IO162" s="1479"/>
      <c r="IP162" s="1479"/>
      <c r="IQ162" s="1479"/>
      <c r="IR162" s="1479"/>
      <c r="IS162" s="1479"/>
      <c r="IT162" s="1479"/>
      <c r="IU162" s="1479"/>
      <c r="IV162" s="1479"/>
      <c r="IW162" s="1479"/>
      <c r="IX162" s="1479"/>
      <c r="IY162" s="1479">
        <f>IY158+IY159+IY160+IY161</f>
        <v>623</v>
      </c>
      <c r="IZ162" s="1479"/>
      <c r="JA162" s="1479"/>
      <c r="JB162" s="1479"/>
      <c r="JC162" s="1479"/>
      <c r="JD162" s="1479"/>
      <c r="JE162" s="1479"/>
      <c r="JF162" s="1479"/>
      <c r="JG162" s="1479"/>
      <c r="JH162" s="1479"/>
      <c r="JI162" s="1479"/>
      <c r="JJ162" s="1479"/>
      <c r="JK162" s="1479"/>
      <c r="JL162" s="1479"/>
      <c r="JM162" s="1479"/>
      <c r="JN162" s="1479"/>
      <c r="JO162" s="1479"/>
      <c r="JP162" s="1479"/>
      <c r="JQ162" s="1479"/>
      <c r="JR162" s="351"/>
      <c r="JS162" s="1400" t="s">
        <v>3322</v>
      </c>
      <c r="JT162" s="1400" t="s">
        <v>2224</v>
      </c>
    </row>
    <row r="163" spans="1:280" x14ac:dyDescent="0.25">
      <c r="A163" s="1367">
        <v>7</v>
      </c>
      <c r="B163" s="1411" t="str">
        <f t="shared" si="78"/>
        <v/>
      </c>
      <c r="C163" s="1435" t="s">
        <v>3323</v>
      </c>
      <c r="D163" s="1436" t="s">
        <v>3324</v>
      </c>
      <c r="E163" s="1553"/>
      <c r="F163" s="1553"/>
      <c r="G163" s="1553"/>
      <c r="H163" s="1553"/>
      <c r="I163" s="1553"/>
      <c r="J163" s="1553"/>
      <c r="K163" s="1553"/>
      <c r="L163" s="1553"/>
      <c r="M163" s="1553"/>
      <c r="N163" s="1553"/>
      <c r="O163" s="1553"/>
      <c r="P163" s="1553"/>
      <c r="Q163" s="1553"/>
      <c r="R163" s="1553"/>
      <c r="S163" s="1553"/>
      <c r="T163" s="1553"/>
      <c r="U163" s="1553"/>
      <c r="V163" s="1553"/>
      <c r="W163" s="1553"/>
      <c r="X163" s="1553"/>
      <c r="Y163" s="1553"/>
      <c r="Z163" s="1553"/>
      <c r="AA163" s="1553"/>
      <c r="AB163" s="1553"/>
      <c r="AC163" s="1553"/>
      <c r="AD163" s="1553"/>
      <c r="AE163" s="1553"/>
      <c r="AF163" s="1553"/>
      <c r="AG163" s="1553"/>
      <c r="AH163" s="1553"/>
      <c r="AI163" s="1553"/>
      <c r="AJ163" s="1553"/>
      <c r="AK163" s="1553"/>
      <c r="AL163" s="1553"/>
      <c r="AM163" s="1553"/>
      <c r="AN163" s="1553"/>
      <c r="AO163" s="1553"/>
      <c r="AP163" s="1553"/>
      <c r="AQ163" s="1553"/>
      <c r="AR163" s="1553"/>
      <c r="AS163" s="1553"/>
      <c r="AT163" s="1553"/>
      <c r="AU163" s="1553"/>
      <c r="AV163" s="1553"/>
      <c r="AW163" s="1553"/>
      <c r="AX163" s="1553"/>
      <c r="AY163" s="1553"/>
      <c r="AZ163" s="1553"/>
      <c r="BA163" s="1553"/>
      <c r="BB163" s="1553"/>
      <c r="BC163" s="1553"/>
      <c r="BD163" s="1553"/>
      <c r="BE163" s="1553"/>
      <c r="BF163" s="1553"/>
      <c r="BG163" s="1553"/>
      <c r="BH163" s="1553"/>
      <c r="BI163" s="1553"/>
      <c r="BJ163" s="1553"/>
      <c r="BK163" s="1553"/>
      <c r="BL163" s="1553"/>
      <c r="BM163" s="1553"/>
      <c r="BN163" s="1553"/>
      <c r="BO163" s="1553"/>
      <c r="BP163" s="1553"/>
      <c r="BQ163" s="1553"/>
      <c r="BR163" s="1553"/>
      <c r="BS163" s="1553"/>
      <c r="BT163" s="1553"/>
      <c r="BU163" s="1553"/>
      <c r="BV163" s="1553"/>
      <c r="BW163" s="1553"/>
      <c r="BX163" s="1553"/>
      <c r="BY163" s="1553"/>
      <c r="BZ163" s="1553"/>
      <c r="CA163" s="1553"/>
      <c r="CB163" s="1553"/>
      <c r="CC163" s="1553"/>
      <c r="CD163" s="1553"/>
      <c r="CE163" s="1553"/>
      <c r="CF163" s="1553"/>
      <c r="CG163" s="1553"/>
      <c r="CH163" s="1553"/>
      <c r="CI163" s="1553"/>
      <c r="CJ163" s="1553"/>
      <c r="CK163" s="1553"/>
      <c r="CL163" s="1553"/>
      <c r="CM163" s="1553"/>
      <c r="CN163" s="1553"/>
      <c r="CO163" s="1553"/>
      <c r="CP163" s="1553"/>
      <c r="CQ163" s="1553"/>
      <c r="CR163" s="1553"/>
      <c r="CS163" s="1553"/>
      <c r="CT163" s="1553"/>
      <c r="CU163" s="1553"/>
      <c r="CV163" s="1553"/>
      <c r="CW163" s="1553"/>
      <c r="CX163" s="1553"/>
      <c r="CY163" s="1553"/>
      <c r="CZ163" s="1553"/>
      <c r="DA163" s="1553"/>
      <c r="DB163" s="1553"/>
      <c r="DC163" s="1553"/>
      <c r="DD163" s="1553"/>
      <c r="DE163" s="1553"/>
      <c r="DF163" s="1553"/>
      <c r="DG163" s="1553"/>
      <c r="DH163" s="1553"/>
      <c r="DI163" s="1553"/>
      <c r="DJ163" s="1553"/>
      <c r="DK163" s="1553"/>
      <c r="DL163" s="1553"/>
      <c r="DM163" s="1553"/>
      <c r="DN163" s="1553"/>
      <c r="DO163" s="1553"/>
      <c r="DP163" s="1553"/>
      <c r="DQ163" s="1553"/>
      <c r="DR163" s="1553"/>
      <c r="DS163" s="1553"/>
      <c r="DT163" s="1553"/>
      <c r="DU163" s="1553"/>
      <c r="DV163" s="1553"/>
      <c r="DW163" s="1553"/>
      <c r="DX163" s="1553"/>
      <c r="DY163" s="1553"/>
      <c r="DZ163" s="1553"/>
      <c r="EA163" s="1553"/>
      <c r="EB163" s="1553"/>
      <c r="EC163" s="1553"/>
      <c r="ED163" s="1553"/>
      <c r="EE163" s="1553"/>
      <c r="EF163" s="1553"/>
      <c r="EG163" s="1553"/>
      <c r="EH163" s="1553"/>
      <c r="EI163" s="1553"/>
      <c r="EJ163" s="1553"/>
      <c r="EK163" s="1553"/>
      <c r="EL163" s="1553"/>
      <c r="EM163" s="1553"/>
      <c r="EN163" s="1553"/>
      <c r="EO163" s="1553"/>
      <c r="EP163" s="1553"/>
      <c r="EQ163" s="1454">
        <v>17039</v>
      </c>
      <c r="ER163" s="1538">
        <v>4040</v>
      </c>
      <c r="ES163" s="1554"/>
      <c r="ET163" s="1554"/>
      <c r="EU163" s="1452"/>
      <c r="EV163" s="1554"/>
      <c r="EW163" s="1553">
        <v>2986</v>
      </c>
      <c r="EX163" s="1554"/>
      <c r="EY163" s="1554"/>
      <c r="EZ163" s="1554"/>
      <c r="FA163" s="1554"/>
      <c r="FB163" s="1553"/>
      <c r="FC163" s="1553"/>
      <c r="FD163" s="1553"/>
      <c r="FE163" s="1553"/>
      <c r="FF163" s="1553"/>
      <c r="FG163" s="1553"/>
      <c r="FH163" s="1553"/>
      <c r="FI163" s="1553"/>
      <c r="FJ163" s="1553"/>
      <c r="FK163" s="1553"/>
      <c r="FL163" s="1553"/>
      <c r="FM163" s="1553"/>
      <c r="FN163" s="1553"/>
      <c r="FO163" s="1553"/>
      <c r="FP163" s="1553"/>
      <c r="FQ163" s="1553"/>
      <c r="FR163" s="1553"/>
      <c r="FS163" s="1553"/>
      <c r="FT163" s="1553"/>
      <c r="FU163" s="1553"/>
      <c r="FV163" s="1553"/>
      <c r="FW163" s="1553"/>
      <c r="FX163" s="1553"/>
      <c r="FY163" s="1553"/>
      <c r="FZ163" s="1553"/>
      <c r="GA163" s="1553"/>
      <c r="GB163" s="1553"/>
      <c r="GC163" s="1553"/>
      <c r="GD163" s="1553"/>
      <c r="GE163" s="1553"/>
      <c r="GF163" s="1553"/>
      <c r="GG163" s="1553"/>
      <c r="GH163" s="1553"/>
      <c r="GI163" s="1553"/>
      <c r="GJ163" s="1553"/>
      <c r="GK163" s="1553"/>
      <c r="GL163" s="1553"/>
      <c r="GM163" s="1553"/>
      <c r="GN163" s="1553"/>
      <c r="GO163" s="1553"/>
      <c r="GP163" s="1553"/>
      <c r="GQ163" s="1553"/>
      <c r="GR163" s="1553"/>
      <c r="GS163" s="1553"/>
      <c r="GT163" s="1553"/>
      <c r="GU163" s="1553"/>
      <c r="GV163" s="1553"/>
      <c r="GW163" s="1553"/>
      <c r="GX163" s="1553"/>
      <c r="GY163" s="1553"/>
      <c r="GZ163" s="1553"/>
      <c r="HA163" s="1553"/>
      <c r="HB163" s="1553"/>
      <c r="HC163" s="1553"/>
      <c r="HD163" s="1553"/>
      <c r="HE163" s="1553"/>
      <c r="HF163" s="1553"/>
      <c r="HG163" s="1553"/>
      <c r="HH163" s="1553"/>
      <c r="HI163" s="1553"/>
      <c r="HJ163" s="1553"/>
      <c r="HK163" s="1553"/>
      <c r="HL163" s="1553"/>
      <c r="HM163" s="1553"/>
      <c r="HN163" s="1553"/>
      <c r="HO163" s="1553"/>
      <c r="HP163" s="1553"/>
      <c r="HQ163" s="1553"/>
      <c r="HR163" s="1553"/>
      <c r="HS163" s="1553"/>
      <c r="HT163" s="1553"/>
      <c r="HU163" s="1553"/>
      <c r="HV163" s="1553"/>
      <c r="HW163" s="1553"/>
      <c r="HX163" s="1553"/>
      <c r="HY163" s="1553"/>
      <c r="HZ163" s="1553"/>
      <c r="IA163" s="1553"/>
      <c r="IB163" s="1553"/>
      <c r="IC163" s="1553"/>
      <c r="ID163" s="1553"/>
      <c r="IE163" s="1553"/>
      <c r="IF163" s="1553"/>
      <c r="IG163" s="1553"/>
      <c r="IH163" s="1553"/>
      <c r="II163" s="1553"/>
      <c r="IJ163" s="1553"/>
      <c r="IK163" s="1553"/>
      <c r="IL163" s="1553"/>
      <c r="IM163" s="1553"/>
      <c r="IN163" s="1553"/>
      <c r="IO163" s="1553"/>
      <c r="IP163" s="1553"/>
      <c r="IQ163" s="1553"/>
      <c r="IR163" s="1553"/>
      <c r="IS163" s="1553"/>
      <c r="IT163" s="1553"/>
      <c r="IU163" s="1553"/>
      <c r="IV163" s="1553"/>
      <c r="IW163" s="1553"/>
      <c r="IX163" s="1553"/>
      <c r="IY163" s="1553"/>
      <c r="IZ163" s="1553"/>
      <c r="JA163" s="1553"/>
      <c r="JB163" s="1553"/>
      <c r="JC163" s="1553"/>
      <c r="JD163" s="1553"/>
      <c r="JE163" s="1553"/>
      <c r="JF163" s="1553"/>
      <c r="JG163" s="1553"/>
      <c r="JH163" s="1553"/>
      <c r="JI163" s="1553"/>
      <c r="JJ163" s="1553"/>
      <c r="JK163" s="1553"/>
      <c r="JL163" s="1553"/>
      <c r="JM163" s="1553"/>
      <c r="JN163" s="1553"/>
      <c r="JO163" s="1553"/>
      <c r="JP163" s="1553"/>
      <c r="JQ163" s="1553"/>
      <c r="JR163" s="351"/>
      <c r="JS163" s="1400"/>
      <c r="JT163" s="1400" t="s">
        <v>2242</v>
      </c>
    </row>
    <row r="164" spans="1:280" x14ac:dyDescent="0.25">
      <c r="A164" s="1367">
        <v>8</v>
      </c>
      <c r="B164" s="1411" t="str">
        <f t="shared" si="78"/>
        <v/>
      </c>
      <c r="C164" s="1435" t="s">
        <v>3325</v>
      </c>
      <c r="D164" s="1436" t="s">
        <v>3326</v>
      </c>
      <c r="E164" s="1553"/>
      <c r="F164" s="1553"/>
      <c r="G164" s="1553"/>
      <c r="H164" s="1553"/>
      <c r="I164" s="1553"/>
      <c r="J164" s="1553"/>
      <c r="K164" s="1553"/>
      <c r="L164" s="1553"/>
      <c r="M164" s="1553"/>
      <c r="N164" s="1553"/>
      <c r="O164" s="1553"/>
      <c r="P164" s="1553"/>
      <c r="Q164" s="1553"/>
      <c r="R164" s="1553"/>
      <c r="S164" s="1553"/>
      <c r="T164" s="1553"/>
      <c r="U164" s="1553"/>
      <c r="V164" s="1553"/>
      <c r="W164" s="1553"/>
      <c r="X164" s="1553"/>
      <c r="Y164" s="1553"/>
      <c r="Z164" s="1553"/>
      <c r="AA164" s="1553"/>
      <c r="AB164" s="1553"/>
      <c r="AC164" s="1553"/>
      <c r="AD164" s="1553"/>
      <c r="AE164" s="1553"/>
      <c r="AF164" s="1553"/>
      <c r="AG164" s="1553"/>
      <c r="AH164" s="1553"/>
      <c r="AI164" s="1553"/>
      <c r="AJ164" s="1553"/>
      <c r="AK164" s="1553"/>
      <c r="AL164" s="1553"/>
      <c r="AM164" s="1553"/>
      <c r="AN164" s="1553"/>
      <c r="AO164" s="1553"/>
      <c r="AP164" s="1553"/>
      <c r="AQ164" s="1553"/>
      <c r="AR164" s="1553"/>
      <c r="AS164" s="1553"/>
      <c r="AT164" s="1553"/>
      <c r="AU164" s="1553"/>
      <c r="AV164" s="1553"/>
      <c r="AW164" s="1553"/>
      <c r="AX164" s="1553"/>
      <c r="AY164" s="1553"/>
      <c r="AZ164" s="1553"/>
      <c r="BA164" s="1553"/>
      <c r="BB164" s="1553"/>
      <c r="BC164" s="1553"/>
      <c r="BD164" s="1553"/>
      <c r="BE164" s="1553"/>
      <c r="BF164" s="1553"/>
      <c r="BG164" s="1553"/>
      <c r="BH164" s="1553"/>
      <c r="BI164" s="1553"/>
      <c r="BJ164" s="1553"/>
      <c r="BK164" s="1553"/>
      <c r="BL164" s="1553"/>
      <c r="BM164" s="1553"/>
      <c r="BN164" s="1553"/>
      <c r="BO164" s="1553"/>
      <c r="BP164" s="1553"/>
      <c r="BQ164" s="1553"/>
      <c r="BR164" s="1553"/>
      <c r="BS164" s="1553"/>
      <c r="BT164" s="1553"/>
      <c r="BU164" s="1553"/>
      <c r="BV164" s="1553"/>
      <c r="BW164" s="1553"/>
      <c r="BX164" s="1553"/>
      <c r="BY164" s="1553"/>
      <c r="BZ164" s="1553"/>
      <c r="CA164" s="1553"/>
      <c r="CB164" s="1553"/>
      <c r="CC164" s="1553"/>
      <c r="CD164" s="1553"/>
      <c r="CE164" s="1553"/>
      <c r="CF164" s="1553"/>
      <c r="CG164" s="1553"/>
      <c r="CH164" s="1553"/>
      <c r="CI164" s="1553"/>
      <c r="CJ164" s="1553"/>
      <c r="CK164" s="1553"/>
      <c r="CL164" s="1553"/>
      <c r="CM164" s="1553"/>
      <c r="CN164" s="1553"/>
      <c r="CO164" s="1553"/>
      <c r="CP164" s="1553"/>
      <c r="CQ164" s="1553"/>
      <c r="CR164" s="1553"/>
      <c r="CS164" s="1553"/>
      <c r="CT164" s="1553"/>
      <c r="CU164" s="1553"/>
      <c r="CV164" s="1553"/>
      <c r="CW164" s="1553"/>
      <c r="CX164" s="1553"/>
      <c r="CY164" s="1553"/>
      <c r="CZ164" s="1553"/>
      <c r="DA164" s="1553"/>
      <c r="DB164" s="1553"/>
      <c r="DC164" s="1553"/>
      <c r="DD164" s="1553"/>
      <c r="DE164" s="1553"/>
      <c r="DF164" s="1553"/>
      <c r="DG164" s="1553"/>
      <c r="DH164" s="1553"/>
      <c r="DI164" s="1553"/>
      <c r="DJ164" s="1553"/>
      <c r="DK164" s="1553"/>
      <c r="DL164" s="1553"/>
      <c r="DM164" s="1553"/>
      <c r="DN164" s="1553"/>
      <c r="DO164" s="1553"/>
      <c r="DP164" s="1553"/>
      <c r="DQ164" s="1553"/>
      <c r="DR164" s="1553"/>
      <c r="DS164" s="1553"/>
      <c r="DT164" s="1553"/>
      <c r="DU164" s="1553"/>
      <c r="DV164" s="1553"/>
      <c r="DW164" s="1553"/>
      <c r="DX164" s="1553"/>
      <c r="DY164" s="1553"/>
      <c r="DZ164" s="1553"/>
      <c r="EA164" s="1553"/>
      <c r="EB164" s="1553"/>
      <c r="EC164" s="1553"/>
      <c r="ED164" s="1553"/>
      <c r="EE164" s="1553"/>
      <c r="EF164" s="1553"/>
      <c r="EG164" s="1553"/>
      <c r="EH164" s="1553"/>
      <c r="EI164" s="1553"/>
      <c r="EJ164" s="1553"/>
      <c r="EK164" s="1553"/>
      <c r="EL164" s="1553"/>
      <c r="EM164" s="1553"/>
      <c r="EN164" s="1553"/>
      <c r="EO164" s="1553"/>
      <c r="EP164" s="1553"/>
      <c r="EQ164" s="1452"/>
      <c r="ER164" s="1554"/>
      <c r="ES164" s="1554"/>
      <c r="ET164" s="1554"/>
      <c r="EU164" s="1452"/>
      <c r="EV164" s="1554"/>
      <c r="EW164" s="1553">
        <v>670</v>
      </c>
      <c r="EX164" s="1554"/>
      <c r="EY164" s="1554"/>
      <c r="EZ164" s="1554"/>
      <c r="FA164" s="1554"/>
      <c r="FB164" s="1553"/>
      <c r="FC164" s="1553"/>
      <c r="FD164" s="1553"/>
      <c r="FE164" s="1553"/>
      <c r="FF164" s="1553"/>
      <c r="FG164" s="1553"/>
      <c r="FH164" s="1553"/>
      <c r="FI164" s="1553"/>
      <c r="FJ164" s="1553"/>
      <c r="FK164" s="1553"/>
      <c r="FL164" s="1553"/>
      <c r="FM164" s="1553"/>
      <c r="FN164" s="1553"/>
      <c r="FO164" s="1553"/>
      <c r="FP164" s="1553"/>
      <c r="FQ164" s="1553"/>
      <c r="FR164" s="1553"/>
      <c r="FS164" s="1553"/>
      <c r="FT164" s="1553"/>
      <c r="FU164" s="1553"/>
      <c r="FV164" s="1553"/>
      <c r="FW164" s="1553"/>
      <c r="FX164" s="1553"/>
      <c r="FY164" s="1553"/>
      <c r="FZ164" s="1553"/>
      <c r="GA164" s="1553"/>
      <c r="GB164" s="1553"/>
      <c r="GC164" s="1553"/>
      <c r="GD164" s="1553"/>
      <c r="GE164" s="1553"/>
      <c r="GF164" s="1553"/>
      <c r="GG164" s="1553"/>
      <c r="GH164" s="1553"/>
      <c r="GI164" s="1553"/>
      <c r="GJ164" s="1553"/>
      <c r="GK164" s="1553"/>
      <c r="GL164" s="1553"/>
      <c r="GM164" s="1553"/>
      <c r="GN164" s="1553"/>
      <c r="GO164" s="1553"/>
      <c r="GP164" s="1553"/>
      <c r="GQ164" s="1553"/>
      <c r="GR164" s="1553"/>
      <c r="GS164" s="1553"/>
      <c r="GT164" s="1553"/>
      <c r="GU164" s="1553"/>
      <c r="GV164" s="1553"/>
      <c r="GW164" s="1553"/>
      <c r="GX164" s="1553"/>
      <c r="GY164" s="1553"/>
      <c r="GZ164" s="1553"/>
      <c r="HA164" s="1553"/>
      <c r="HB164" s="1553"/>
      <c r="HC164" s="1553"/>
      <c r="HD164" s="1553"/>
      <c r="HE164" s="1553"/>
      <c r="HF164" s="1553"/>
      <c r="HG164" s="1553"/>
      <c r="HH164" s="1553"/>
      <c r="HI164" s="1553"/>
      <c r="HJ164" s="1553"/>
      <c r="HK164" s="1553"/>
      <c r="HL164" s="1553"/>
      <c r="HM164" s="1553"/>
      <c r="HN164" s="1553"/>
      <c r="HO164" s="1553"/>
      <c r="HP164" s="1553"/>
      <c r="HQ164" s="1553"/>
      <c r="HR164" s="1553"/>
      <c r="HS164" s="1553"/>
      <c r="HT164" s="1553"/>
      <c r="HU164" s="1553"/>
      <c r="HV164" s="1553"/>
      <c r="HW164" s="1553"/>
      <c r="HX164" s="1553"/>
      <c r="HY164" s="1553"/>
      <c r="HZ164" s="1553"/>
      <c r="IA164" s="1553"/>
      <c r="IB164" s="1553"/>
      <c r="IC164" s="1553"/>
      <c r="ID164" s="1553"/>
      <c r="IE164" s="1553"/>
      <c r="IF164" s="1553"/>
      <c r="IG164" s="1553"/>
      <c r="IH164" s="1553"/>
      <c r="II164" s="1553"/>
      <c r="IJ164" s="1553"/>
      <c r="IK164" s="1553"/>
      <c r="IL164" s="1553"/>
      <c r="IM164" s="1553"/>
      <c r="IN164" s="1553"/>
      <c r="IO164" s="1553"/>
      <c r="IP164" s="1553"/>
      <c r="IQ164" s="1553"/>
      <c r="IR164" s="1553"/>
      <c r="IS164" s="1553"/>
      <c r="IT164" s="1553"/>
      <c r="IU164" s="1553"/>
      <c r="IV164" s="1553"/>
      <c r="IW164" s="1553"/>
      <c r="IX164" s="1553"/>
      <c r="IY164" s="1553"/>
      <c r="IZ164" s="1553"/>
      <c r="JA164" s="1553"/>
      <c r="JB164" s="1553"/>
      <c r="JC164" s="1553"/>
      <c r="JD164" s="1553"/>
      <c r="JE164" s="1553"/>
      <c r="JF164" s="1553"/>
      <c r="JG164" s="1553"/>
      <c r="JH164" s="1553"/>
      <c r="JI164" s="1553"/>
      <c r="JJ164" s="1553"/>
      <c r="JK164" s="1553"/>
      <c r="JL164" s="1553"/>
      <c r="JM164" s="1553"/>
      <c r="JN164" s="1553"/>
      <c r="JO164" s="1553"/>
      <c r="JP164" s="1553"/>
      <c r="JQ164" s="1553"/>
      <c r="JR164" s="351"/>
      <c r="JS164" s="1400"/>
      <c r="JT164" s="1400" t="s">
        <v>2242</v>
      </c>
    </row>
    <row r="165" spans="1:280" x14ac:dyDescent="0.25">
      <c r="A165" s="1367">
        <v>9</v>
      </c>
      <c r="B165" s="1411" t="str">
        <f t="shared" si="78"/>
        <v/>
      </c>
      <c r="C165" s="1435" t="s">
        <v>3327</v>
      </c>
      <c r="D165" s="1436" t="s">
        <v>3328</v>
      </c>
      <c r="E165" s="1553"/>
      <c r="F165" s="1553"/>
      <c r="G165" s="1553"/>
      <c r="H165" s="1553"/>
      <c r="I165" s="1553"/>
      <c r="J165" s="1553"/>
      <c r="K165" s="1553"/>
      <c r="L165" s="1553"/>
      <c r="M165" s="1553"/>
      <c r="N165" s="1553"/>
      <c r="O165" s="1553"/>
      <c r="P165" s="1553"/>
      <c r="Q165" s="1553"/>
      <c r="R165" s="1553"/>
      <c r="S165" s="1553"/>
      <c r="T165" s="1553"/>
      <c r="U165" s="1553"/>
      <c r="V165" s="1553"/>
      <c r="W165" s="1553"/>
      <c r="X165" s="1553"/>
      <c r="Y165" s="1553"/>
      <c r="Z165" s="1553"/>
      <c r="AA165" s="1553"/>
      <c r="AB165" s="1553"/>
      <c r="AC165" s="1553"/>
      <c r="AD165" s="1553"/>
      <c r="AE165" s="1553"/>
      <c r="AF165" s="1553"/>
      <c r="AG165" s="1553"/>
      <c r="AH165" s="1553"/>
      <c r="AI165" s="1553"/>
      <c r="AJ165" s="1553"/>
      <c r="AK165" s="1553"/>
      <c r="AL165" s="1553"/>
      <c r="AM165" s="1553"/>
      <c r="AN165" s="1553"/>
      <c r="AO165" s="1553"/>
      <c r="AP165" s="1553"/>
      <c r="AQ165" s="1553"/>
      <c r="AR165" s="1553"/>
      <c r="AS165" s="1553"/>
      <c r="AT165" s="1553"/>
      <c r="AU165" s="1553"/>
      <c r="AV165" s="1553"/>
      <c r="AW165" s="1553"/>
      <c r="AX165" s="1553"/>
      <c r="AY165" s="1553"/>
      <c r="AZ165" s="1553"/>
      <c r="BA165" s="1553"/>
      <c r="BB165" s="1553"/>
      <c r="BC165" s="1553"/>
      <c r="BD165" s="1553"/>
      <c r="BE165" s="1553"/>
      <c r="BF165" s="1553"/>
      <c r="BG165" s="1553"/>
      <c r="BH165" s="1553"/>
      <c r="BI165" s="1553"/>
      <c r="BJ165" s="1553"/>
      <c r="BK165" s="1553"/>
      <c r="BL165" s="1553"/>
      <c r="BM165" s="1553"/>
      <c r="BN165" s="1553"/>
      <c r="BO165" s="1553"/>
      <c r="BP165" s="1553"/>
      <c r="BQ165" s="1553"/>
      <c r="BR165" s="1553"/>
      <c r="BS165" s="1553"/>
      <c r="BT165" s="1553"/>
      <c r="BU165" s="1553"/>
      <c r="BV165" s="1553"/>
      <c r="BW165" s="1553"/>
      <c r="BX165" s="1553"/>
      <c r="BY165" s="1553"/>
      <c r="BZ165" s="1553"/>
      <c r="CA165" s="1553"/>
      <c r="CB165" s="1553"/>
      <c r="CC165" s="1553"/>
      <c r="CD165" s="1553"/>
      <c r="CE165" s="1553"/>
      <c r="CF165" s="1553"/>
      <c r="CG165" s="1553"/>
      <c r="CH165" s="1553"/>
      <c r="CI165" s="1553"/>
      <c r="CJ165" s="1553"/>
      <c r="CK165" s="1553"/>
      <c r="CL165" s="1553"/>
      <c r="CM165" s="1553"/>
      <c r="CN165" s="1553"/>
      <c r="CO165" s="1553"/>
      <c r="CP165" s="1553"/>
      <c r="CQ165" s="1553"/>
      <c r="CR165" s="1553"/>
      <c r="CS165" s="1553"/>
      <c r="CT165" s="1553"/>
      <c r="CU165" s="1553"/>
      <c r="CV165" s="1553"/>
      <c r="CW165" s="1553"/>
      <c r="CX165" s="1553"/>
      <c r="CY165" s="1553"/>
      <c r="CZ165" s="1553"/>
      <c r="DA165" s="1553"/>
      <c r="DB165" s="1553"/>
      <c r="DC165" s="1553"/>
      <c r="DD165" s="1553"/>
      <c r="DE165" s="1553"/>
      <c r="DF165" s="1553"/>
      <c r="DG165" s="1553"/>
      <c r="DH165" s="1553"/>
      <c r="DI165" s="1553"/>
      <c r="DJ165" s="1553"/>
      <c r="DK165" s="1553"/>
      <c r="DL165" s="1553"/>
      <c r="DM165" s="1553"/>
      <c r="DN165" s="1553"/>
      <c r="DO165" s="1553"/>
      <c r="DP165" s="1553"/>
      <c r="DQ165" s="1553"/>
      <c r="DR165" s="1553"/>
      <c r="DS165" s="1553"/>
      <c r="DT165" s="1553"/>
      <c r="DU165" s="1553"/>
      <c r="DV165" s="1553"/>
      <c r="DW165" s="1553"/>
      <c r="DX165" s="1553"/>
      <c r="DY165" s="1553"/>
      <c r="DZ165" s="1553"/>
      <c r="EA165" s="1553"/>
      <c r="EB165" s="1553"/>
      <c r="EC165" s="1553"/>
      <c r="ED165" s="1553"/>
      <c r="EE165" s="1553"/>
      <c r="EF165" s="1553"/>
      <c r="EG165" s="1553"/>
      <c r="EH165" s="1553"/>
      <c r="EI165" s="1553"/>
      <c r="EJ165" s="1553"/>
      <c r="EK165" s="1553"/>
      <c r="EL165" s="1553"/>
      <c r="EM165" s="1553"/>
      <c r="EN165" s="1553"/>
      <c r="EO165" s="1553"/>
      <c r="EP165" s="1553"/>
      <c r="EQ165" s="1452"/>
      <c r="ER165" s="1538">
        <v>2458</v>
      </c>
      <c r="ES165" s="1538"/>
      <c r="ET165" s="1538"/>
      <c r="EU165" s="1454">
        <v>1123</v>
      </c>
      <c r="EV165" s="1538"/>
      <c r="EW165" s="1553"/>
      <c r="EX165" s="1538">
        <v>8022</v>
      </c>
      <c r="EY165" s="1554">
        <v>678</v>
      </c>
      <c r="EZ165" s="1538">
        <v>1192</v>
      </c>
      <c r="FA165" s="1538"/>
      <c r="FB165" s="1553"/>
      <c r="FC165" s="1553"/>
      <c r="FD165" s="1553"/>
      <c r="FE165" s="1553"/>
      <c r="FF165" s="1553"/>
      <c r="FG165" s="1553"/>
      <c r="FH165" s="1553"/>
      <c r="FI165" s="1553"/>
      <c r="FJ165" s="1553"/>
      <c r="FK165" s="1553"/>
      <c r="FL165" s="1553"/>
      <c r="FM165" s="1553"/>
      <c r="FN165" s="1553"/>
      <c r="FO165" s="1553"/>
      <c r="FP165" s="1553"/>
      <c r="FQ165" s="1553"/>
      <c r="FR165" s="1553"/>
      <c r="FS165" s="1553"/>
      <c r="FT165" s="1553"/>
      <c r="FU165" s="1553"/>
      <c r="FV165" s="1553"/>
      <c r="FW165" s="1553"/>
      <c r="FX165" s="1553"/>
      <c r="FY165" s="1553"/>
      <c r="FZ165" s="1553"/>
      <c r="GA165" s="1553"/>
      <c r="GB165" s="1553"/>
      <c r="GC165" s="1553"/>
      <c r="GD165" s="1553"/>
      <c r="GE165" s="1553"/>
      <c r="GF165" s="1553"/>
      <c r="GG165" s="1553"/>
      <c r="GH165" s="1553"/>
      <c r="GI165" s="1553"/>
      <c r="GJ165" s="1553"/>
      <c r="GK165" s="1553"/>
      <c r="GL165" s="1553"/>
      <c r="GM165" s="1553"/>
      <c r="GN165" s="1553"/>
      <c r="GO165" s="1553"/>
      <c r="GP165" s="1553"/>
      <c r="GQ165" s="1553"/>
      <c r="GR165" s="1553"/>
      <c r="GS165" s="1553"/>
      <c r="GT165" s="1553"/>
      <c r="GU165" s="1553"/>
      <c r="GV165" s="1553"/>
      <c r="GW165" s="1553"/>
      <c r="GX165" s="1553"/>
      <c r="GY165" s="1553"/>
      <c r="GZ165" s="1553"/>
      <c r="HA165" s="1553"/>
      <c r="HB165" s="1553"/>
      <c r="HC165" s="1553"/>
      <c r="HD165" s="1553"/>
      <c r="HE165" s="1553"/>
      <c r="HF165" s="1553"/>
      <c r="HG165" s="1553"/>
      <c r="HH165" s="1553"/>
      <c r="HI165" s="1553"/>
      <c r="HJ165" s="1553"/>
      <c r="HK165" s="1553"/>
      <c r="HL165" s="1553"/>
      <c r="HM165" s="1553"/>
      <c r="HN165" s="1553"/>
      <c r="HO165" s="1553"/>
      <c r="HP165" s="1553"/>
      <c r="HQ165" s="1553"/>
      <c r="HR165" s="1553"/>
      <c r="HS165" s="1553"/>
      <c r="HT165" s="1553"/>
      <c r="HU165" s="1553"/>
      <c r="HV165" s="1553"/>
      <c r="HW165" s="1553"/>
      <c r="HX165" s="1553"/>
      <c r="HY165" s="1553"/>
      <c r="HZ165" s="1553"/>
      <c r="IA165" s="1553"/>
      <c r="IB165" s="1553"/>
      <c r="IC165" s="1553"/>
      <c r="ID165" s="1553"/>
      <c r="IE165" s="1553"/>
      <c r="IF165" s="1553"/>
      <c r="IG165" s="1553"/>
      <c r="IH165" s="1553"/>
      <c r="II165" s="1553"/>
      <c r="IJ165" s="1553"/>
      <c r="IK165" s="1553"/>
      <c r="IL165" s="1553"/>
      <c r="IM165" s="1553"/>
      <c r="IN165" s="1553"/>
      <c r="IO165" s="1553"/>
      <c r="IP165" s="1553"/>
      <c r="IQ165" s="1553"/>
      <c r="IR165" s="1553"/>
      <c r="IS165" s="1553"/>
      <c r="IT165" s="1553"/>
      <c r="IU165" s="1553"/>
      <c r="IV165" s="1553"/>
      <c r="IW165" s="1553"/>
      <c r="IX165" s="1553"/>
      <c r="IY165" s="1553"/>
      <c r="IZ165" s="1553"/>
      <c r="JA165" s="1553"/>
      <c r="JB165" s="1553"/>
      <c r="JC165" s="1553"/>
      <c r="JD165" s="1553"/>
      <c r="JE165" s="1553"/>
      <c r="JF165" s="1553"/>
      <c r="JG165" s="1553"/>
      <c r="JH165" s="1553"/>
      <c r="JI165" s="1553"/>
      <c r="JJ165" s="1553"/>
      <c r="JK165" s="1553"/>
      <c r="JL165" s="1553"/>
      <c r="JM165" s="1553"/>
      <c r="JN165" s="1553"/>
      <c r="JO165" s="1553"/>
      <c r="JP165" s="1553"/>
      <c r="JQ165" s="1553"/>
      <c r="JR165" s="351"/>
      <c r="JS165" s="1400"/>
      <c r="JT165" s="1400" t="s">
        <v>2242</v>
      </c>
    </row>
    <row r="166" spans="1:280" x14ac:dyDescent="0.25">
      <c r="A166" s="1367">
        <v>10</v>
      </c>
      <c r="B166" s="1411" t="str">
        <f t="shared" si="78"/>
        <v/>
      </c>
      <c r="C166" s="1435" t="s">
        <v>3329</v>
      </c>
      <c r="D166" s="1436" t="s">
        <v>3330</v>
      </c>
      <c r="E166" s="1479"/>
      <c r="F166" s="1479"/>
      <c r="G166" s="1479"/>
      <c r="H166" s="1479"/>
      <c r="I166" s="1479"/>
      <c r="J166" s="1479"/>
      <c r="K166" s="1479"/>
      <c r="L166" s="1479"/>
      <c r="M166" s="1479"/>
      <c r="N166" s="1479"/>
      <c r="O166" s="1479"/>
      <c r="P166" s="1479"/>
      <c r="Q166" s="1479"/>
      <c r="R166" s="1479"/>
      <c r="S166" s="1479"/>
      <c r="T166" s="1479"/>
      <c r="U166" s="1479"/>
      <c r="V166" s="1479"/>
      <c r="W166" s="1479"/>
      <c r="X166" s="1479"/>
      <c r="Y166" s="1479"/>
      <c r="Z166" s="1479"/>
      <c r="AA166" s="1479"/>
      <c r="AB166" s="1479"/>
      <c r="AC166" s="1479"/>
      <c r="AD166" s="1479"/>
      <c r="AE166" s="1479"/>
      <c r="AF166" s="1479"/>
      <c r="AG166" s="1479"/>
      <c r="AH166" s="1479"/>
      <c r="AI166" s="1479"/>
      <c r="AJ166" s="1479"/>
      <c r="AK166" s="1479"/>
      <c r="AL166" s="1479"/>
      <c r="AM166" s="1479"/>
      <c r="AN166" s="1479"/>
      <c r="AO166" s="1479"/>
      <c r="AP166" s="1479"/>
      <c r="AQ166" s="1479"/>
      <c r="AR166" s="1479"/>
      <c r="AS166" s="1479"/>
      <c r="AT166" s="1479"/>
      <c r="AU166" s="1479"/>
      <c r="AV166" s="1479"/>
      <c r="AW166" s="1479"/>
      <c r="AX166" s="1479"/>
      <c r="AY166" s="1479"/>
      <c r="AZ166" s="1479"/>
      <c r="BA166" s="1479"/>
      <c r="BB166" s="1479"/>
      <c r="BC166" s="1479"/>
      <c r="BD166" s="1479"/>
      <c r="BE166" s="1479"/>
      <c r="BF166" s="1479"/>
      <c r="BG166" s="1479"/>
      <c r="BH166" s="1479"/>
      <c r="BI166" s="1479"/>
      <c r="BJ166" s="1479"/>
      <c r="BK166" s="1479"/>
      <c r="BL166" s="1479"/>
      <c r="BM166" s="1479"/>
      <c r="BN166" s="1479"/>
      <c r="BO166" s="1479"/>
      <c r="BP166" s="1479"/>
      <c r="BQ166" s="1479"/>
      <c r="BR166" s="1479"/>
      <c r="BS166" s="1479"/>
      <c r="BT166" s="1479"/>
      <c r="BU166" s="1479"/>
      <c r="BV166" s="1479"/>
      <c r="BW166" s="1479"/>
      <c r="BX166" s="1479"/>
      <c r="BY166" s="1479"/>
      <c r="BZ166" s="1479"/>
      <c r="CA166" s="1479"/>
      <c r="CB166" s="1479"/>
      <c r="CC166" s="1479"/>
      <c r="CD166" s="1479"/>
      <c r="CE166" s="1479"/>
      <c r="CF166" s="1479"/>
      <c r="CG166" s="1479"/>
      <c r="CH166" s="1479"/>
      <c r="CI166" s="1479"/>
      <c r="CJ166" s="1479"/>
      <c r="CK166" s="1479"/>
      <c r="CL166" s="1479"/>
      <c r="CM166" s="1479"/>
      <c r="CN166" s="1479"/>
      <c r="CO166" s="1479"/>
      <c r="CP166" s="1479"/>
      <c r="CQ166" s="1479"/>
      <c r="CR166" s="1479"/>
      <c r="CS166" s="1479"/>
      <c r="CT166" s="1479"/>
      <c r="CU166" s="1479"/>
      <c r="CV166" s="1479"/>
      <c r="CW166" s="1479"/>
      <c r="CX166" s="1479"/>
      <c r="CY166" s="1479"/>
      <c r="CZ166" s="1479"/>
      <c r="DA166" s="1479"/>
      <c r="DB166" s="1479"/>
      <c r="DC166" s="1479"/>
      <c r="DD166" s="1479"/>
      <c r="DE166" s="1479"/>
      <c r="DF166" s="1479"/>
      <c r="DG166" s="1479"/>
      <c r="DH166" s="1479"/>
      <c r="DI166" s="1479"/>
      <c r="DJ166" s="1479"/>
      <c r="DK166" s="1479"/>
      <c r="DL166" s="1479"/>
      <c r="DM166" s="1479"/>
      <c r="DN166" s="1479"/>
      <c r="DO166" s="1479"/>
      <c r="DP166" s="1479"/>
      <c r="DQ166" s="1479"/>
      <c r="DR166" s="1479"/>
      <c r="DS166" s="1479"/>
      <c r="DT166" s="1479"/>
      <c r="DU166" s="1479"/>
      <c r="DV166" s="1479"/>
      <c r="DW166" s="1479"/>
      <c r="DX166" s="1479"/>
      <c r="DY166" s="1479"/>
      <c r="DZ166" s="1479"/>
      <c r="EA166" s="1479"/>
      <c r="EB166" s="1479"/>
      <c r="EC166" s="1479"/>
      <c r="ED166" s="1479"/>
      <c r="EE166" s="1479"/>
      <c r="EF166" s="1479"/>
      <c r="EG166" s="1479"/>
      <c r="EH166" s="1479"/>
      <c r="EI166" s="1479"/>
      <c r="EJ166" s="1479"/>
      <c r="EK166" s="1479"/>
      <c r="EL166" s="1479"/>
      <c r="EM166" s="1479"/>
      <c r="EN166" s="1479"/>
      <c r="EO166" s="1479"/>
      <c r="EP166" s="1479"/>
      <c r="EQ166" s="1503">
        <f>EQ163+EQ164+EQ165</f>
        <v>17039</v>
      </c>
      <c r="ER166" s="1503">
        <f>ER163+ER164+ER165</f>
        <v>6498</v>
      </c>
      <c r="ES166" s="1503"/>
      <c r="ET166" s="1503"/>
      <c r="EU166" s="1503">
        <v>1123</v>
      </c>
      <c r="EV166" s="1503"/>
      <c r="EW166" s="1479">
        <f t="shared" ref="EW166:EZ166" si="80">EW163+EW164+EW165</f>
        <v>3656</v>
      </c>
      <c r="EX166" s="1503">
        <f t="shared" si="80"/>
        <v>8022</v>
      </c>
      <c r="EY166" s="1479">
        <f t="shared" si="80"/>
        <v>678</v>
      </c>
      <c r="EZ166" s="1503">
        <f t="shared" si="80"/>
        <v>1192</v>
      </c>
      <c r="FA166" s="1503"/>
      <c r="FB166" s="1479"/>
      <c r="FC166" s="1479"/>
      <c r="FD166" s="1479"/>
      <c r="FE166" s="1479"/>
      <c r="FF166" s="1479"/>
      <c r="FG166" s="1479"/>
      <c r="FH166" s="1479"/>
      <c r="FI166" s="1479"/>
      <c r="FJ166" s="1479"/>
      <c r="FK166" s="1479"/>
      <c r="FL166" s="1479"/>
      <c r="FM166" s="1479"/>
      <c r="FN166" s="1479"/>
      <c r="FO166" s="1479"/>
      <c r="FP166" s="1479"/>
      <c r="FQ166" s="1479"/>
      <c r="FR166" s="1479"/>
      <c r="FS166" s="1479"/>
      <c r="FT166" s="1479"/>
      <c r="FU166" s="1479"/>
      <c r="FV166" s="1479"/>
      <c r="FW166" s="1479"/>
      <c r="FX166" s="1479"/>
      <c r="FY166" s="1479"/>
      <c r="FZ166" s="1479"/>
      <c r="GA166" s="1479"/>
      <c r="GB166" s="1479"/>
      <c r="GC166" s="1479"/>
      <c r="GD166" s="1479"/>
      <c r="GE166" s="1479"/>
      <c r="GF166" s="1479"/>
      <c r="GG166" s="1479"/>
      <c r="GH166" s="1479"/>
      <c r="GI166" s="1479"/>
      <c r="GJ166" s="1479"/>
      <c r="GK166" s="1479"/>
      <c r="GL166" s="1479"/>
      <c r="GM166" s="1479"/>
      <c r="GN166" s="1479"/>
      <c r="GO166" s="1479"/>
      <c r="GP166" s="1479"/>
      <c r="GQ166" s="1479"/>
      <c r="GR166" s="1479"/>
      <c r="GS166" s="1479"/>
      <c r="GT166" s="1479"/>
      <c r="GU166" s="1479"/>
      <c r="GV166" s="1479"/>
      <c r="GW166" s="1479"/>
      <c r="GX166" s="1479"/>
      <c r="GY166" s="1479"/>
      <c r="GZ166" s="1479"/>
      <c r="HA166" s="1479"/>
      <c r="HB166" s="1479"/>
      <c r="HC166" s="1479"/>
      <c r="HD166" s="1479"/>
      <c r="HE166" s="1479"/>
      <c r="HF166" s="1479"/>
      <c r="HG166" s="1479"/>
      <c r="HH166" s="1479"/>
      <c r="HI166" s="1479"/>
      <c r="HJ166" s="1479"/>
      <c r="HK166" s="1479"/>
      <c r="HL166" s="1479"/>
      <c r="HM166" s="1479"/>
      <c r="HN166" s="1479"/>
      <c r="HO166" s="1479"/>
      <c r="HP166" s="1479"/>
      <c r="HQ166" s="1479"/>
      <c r="HR166" s="1479"/>
      <c r="HS166" s="1479"/>
      <c r="HT166" s="1479"/>
      <c r="HU166" s="1479"/>
      <c r="HV166" s="1479"/>
      <c r="HW166" s="1479"/>
      <c r="HX166" s="1479"/>
      <c r="HY166" s="1479"/>
      <c r="HZ166" s="1479"/>
      <c r="IA166" s="1479"/>
      <c r="IB166" s="1479"/>
      <c r="IC166" s="1479"/>
      <c r="ID166" s="1479"/>
      <c r="IE166" s="1479"/>
      <c r="IF166" s="1479"/>
      <c r="IG166" s="1479"/>
      <c r="IH166" s="1479"/>
      <c r="II166" s="1479"/>
      <c r="IJ166" s="1479"/>
      <c r="IK166" s="1479"/>
      <c r="IL166" s="1479"/>
      <c r="IM166" s="1479"/>
      <c r="IN166" s="1479"/>
      <c r="IO166" s="1479"/>
      <c r="IP166" s="1479"/>
      <c r="IQ166" s="1479"/>
      <c r="IR166" s="1479"/>
      <c r="IS166" s="1479"/>
      <c r="IT166" s="1479"/>
      <c r="IU166" s="1479"/>
      <c r="IV166" s="1479"/>
      <c r="IW166" s="1479"/>
      <c r="IX166" s="1479"/>
      <c r="IY166" s="1479"/>
      <c r="IZ166" s="1479"/>
      <c r="JA166" s="1479"/>
      <c r="JB166" s="1479"/>
      <c r="JC166" s="1479"/>
      <c r="JD166" s="1479"/>
      <c r="JE166" s="1479"/>
      <c r="JF166" s="1479"/>
      <c r="JG166" s="1479"/>
      <c r="JH166" s="1479"/>
      <c r="JI166" s="1479"/>
      <c r="JJ166" s="1479"/>
      <c r="JK166" s="1479"/>
      <c r="JL166" s="1479"/>
      <c r="JM166" s="1479"/>
      <c r="JN166" s="1479"/>
      <c r="JO166" s="1479"/>
      <c r="JP166" s="1479"/>
      <c r="JQ166" s="1479"/>
      <c r="JR166" s="351"/>
      <c r="JS166" s="1400" t="s">
        <v>3331</v>
      </c>
      <c r="JT166" s="1400" t="s">
        <v>2224</v>
      </c>
    </row>
    <row r="167" spans="1:280" x14ac:dyDescent="0.25">
      <c r="A167" s="1367">
        <v>11</v>
      </c>
      <c r="B167" s="1411" t="str">
        <f t="shared" si="78"/>
        <v/>
      </c>
      <c r="C167" s="1435" t="s">
        <v>3332</v>
      </c>
      <c r="D167" s="1436" t="s">
        <v>3333</v>
      </c>
      <c r="E167" s="1553"/>
      <c r="F167" s="1553"/>
      <c r="G167" s="1553"/>
      <c r="H167" s="1553"/>
      <c r="I167" s="1553"/>
      <c r="J167" s="1553"/>
      <c r="K167" s="1553"/>
      <c r="L167" s="1553"/>
      <c r="M167" s="1553"/>
      <c r="N167" s="1553"/>
      <c r="O167" s="1553"/>
      <c r="P167" s="1553"/>
      <c r="Q167" s="1553"/>
      <c r="R167" s="1553"/>
      <c r="S167" s="1553"/>
      <c r="T167" s="1553"/>
      <c r="U167" s="1553"/>
      <c r="V167" s="1553"/>
      <c r="W167" s="1553"/>
      <c r="X167" s="1553"/>
      <c r="Y167" s="1553"/>
      <c r="Z167" s="1553"/>
      <c r="AA167" s="1553"/>
      <c r="AB167" s="1553"/>
      <c r="AC167" s="1553"/>
      <c r="AD167" s="1553"/>
      <c r="AE167" s="1553"/>
      <c r="AF167" s="1553"/>
      <c r="AG167" s="1553"/>
      <c r="AH167" s="1553"/>
      <c r="AI167" s="1553"/>
      <c r="AJ167" s="1553"/>
      <c r="AK167" s="1553"/>
      <c r="AL167" s="1553"/>
      <c r="AM167" s="1553"/>
      <c r="AN167" s="1553"/>
      <c r="AO167" s="1553"/>
      <c r="AP167" s="1553"/>
      <c r="AQ167" s="1553"/>
      <c r="AR167" s="1553"/>
      <c r="AS167" s="1553"/>
      <c r="AT167" s="1553"/>
      <c r="AU167" s="1553"/>
      <c r="AV167" s="1553"/>
      <c r="AW167" s="1553"/>
      <c r="AX167" s="1553"/>
      <c r="AY167" s="1553"/>
      <c r="AZ167" s="1553"/>
      <c r="BA167" s="1553"/>
      <c r="BB167" s="1553"/>
      <c r="BC167" s="1553"/>
      <c r="BD167" s="1553"/>
      <c r="BE167" s="1553"/>
      <c r="BF167" s="1553"/>
      <c r="BG167" s="1553"/>
      <c r="BH167" s="1553"/>
      <c r="BI167" s="1553"/>
      <c r="BJ167" s="1553"/>
      <c r="BK167" s="1553"/>
      <c r="BL167" s="1553"/>
      <c r="BM167" s="1553"/>
      <c r="BN167" s="1553"/>
      <c r="BO167" s="1553"/>
      <c r="BP167" s="1553"/>
      <c r="BQ167" s="1553"/>
      <c r="BR167" s="1553"/>
      <c r="BS167" s="1553"/>
      <c r="BT167" s="1553"/>
      <c r="BU167" s="1553"/>
      <c r="BV167" s="1553"/>
      <c r="BW167" s="1553"/>
      <c r="BX167" s="1553"/>
      <c r="BY167" s="1553"/>
      <c r="BZ167" s="1553"/>
      <c r="CA167" s="1553"/>
      <c r="CB167" s="1553"/>
      <c r="CC167" s="1553"/>
      <c r="CD167" s="1553"/>
      <c r="CE167" s="1553"/>
      <c r="CF167" s="1553"/>
      <c r="CG167" s="1553"/>
      <c r="CH167" s="1553"/>
      <c r="CI167" s="1553"/>
      <c r="CJ167" s="1553"/>
      <c r="CK167" s="1553"/>
      <c r="CL167" s="1553"/>
      <c r="CM167" s="1553"/>
      <c r="CN167" s="1553"/>
      <c r="CO167" s="1553"/>
      <c r="CP167" s="1553"/>
      <c r="CQ167" s="1553"/>
      <c r="CR167" s="1553"/>
      <c r="CS167" s="1553"/>
      <c r="CT167" s="1553"/>
      <c r="CU167" s="1553"/>
      <c r="CV167" s="1553"/>
      <c r="CW167" s="1553"/>
      <c r="CX167" s="1553"/>
      <c r="CY167" s="1553"/>
      <c r="CZ167" s="1553"/>
      <c r="DA167" s="1553"/>
      <c r="DB167" s="1553"/>
      <c r="DC167" s="1553"/>
      <c r="DD167" s="1553"/>
      <c r="DE167" s="1553"/>
      <c r="DF167" s="1553"/>
      <c r="DG167" s="1553"/>
      <c r="DH167" s="1553"/>
      <c r="DI167" s="1553"/>
      <c r="DJ167" s="1553"/>
      <c r="DK167" s="1553"/>
      <c r="DL167" s="1553"/>
      <c r="DM167" s="1553"/>
      <c r="DN167" s="1553"/>
      <c r="DO167" s="1553"/>
      <c r="DP167" s="1553"/>
      <c r="DQ167" s="1553"/>
      <c r="DR167" s="1553"/>
      <c r="DS167" s="1553"/>
      <c r="DT167" s="1553"/>
      <c r="DU167" s="1553"/>
      <c r="DV167" s="1553"/>
      <c r="DW167" s="1553"/>
      <c r="DX167" s="1553"/>
      <c r="DY167" s="1553"/>
      <c r="DZ167" s="1553"/>
      <c r="EA167" s="1553"/>
      <c r="EB167" s="1553"/>
      <c r="EC167" s="1553"/>
      <c r="ED167" s="1553"/>
      <c r="EE167" s="1553"/>
      <c r="EF167" s="1553"/>
      <c r="EG167" s="1553"/>
      <c r="EH167" s="1553"/>
      <c r="EI167" s="1553"/>
      <c r="EJ167" s="1553"/>
      <c r="EK167" s="1553"/>
      <c r="EL167" s="1553"/>
      <c r="EM167" s="1553"/>
      <c r="EN167" s="1553"/>
      <c r="EO167" s="1553"/>
      <c r="EP167" s="1553"/>
      <c r="EQ167" s="1454"/>
      <c r="ER167" s="1554"/>
      <c r="ES167" s="1554"/>
      <c r="ET167" s="1554"/>
      <c r="EU167" s="1454"/>
      <c r="EV167" s="1554"/>
      <c r="EW167" s="1553">
        <v>866</v>
      </c>
      <c r="EX167" s="1554"/>
      <c r="EY167" s="1554"/>
      <c r="EZ167" s="1554"/>
      <c r="FA167" s="1554"/>
      <c r="FB167" s="1553"/>
      <c r="FC167" s="1553"/>
      <c r="FD167" s="1553"/>
      <c r="FE167" s="1553"/>
      <c r="FF167" s="1553"/>
      <c r="FG167" s="1553"/>
      <c r="FH167" s="1553"/>
      <c r="FI167" s="1553"/>
      <c r="FJ167" s="1553"/>
      <c r="FK167" s="1553"/>
      <c r="FL167" s="1553"/>
      <c r="FM167" s="1553"/>
      <c r="FN167" s="1553"/>
      <c r="FO167" s="1553"/>
      <c r="FP167" s="1553"/>
      <c r="FQ167" s="1553"/>
      <c r="FR167" s="1553"/>
      <c r="FS167" s="1553"/>
      <c r="FT167" s="1553"/>
      <c r="FU167" s="1553"/>
      <c r="FV167" s="1553"/>
      <c r="FW167" s="1553"/>
      <c r="FX167" s="1553"/>
      <c r="FY167" s="1553"/>
      <c r="FZ167" s="1553"/>
      <c r="GA167" s="1553"/>
      <c r="GB167" s="1553"/>
      <c r="GC167" s="1553"/>
      <c r="GD167" s="1553"/>
      <c r="GE167" s="1553"/>
      <c r="GF167" s="1553"/>
      <c r="GG167" s="1553"/>
      <c r="GH167" s="1553"/>
      <c r="GI167" s="1553"/>
      <c r="GJ167" s="1553"/>
      <c r="GK167" s="1553"/>
      <c r="GL167" s="1553"/>
      <c r="GM167" s="1553"/>
      <c r="GN167" s="1553"/>
      <c r="GO167" s="1553"/>
      <c r="GP167" s="1553"/>
      <c r="GQ167" s="1553"/>
      <c r="GR167" s="1553"/>
      <c r="GS167" s="1553"/>
      <c r="GT167" s="1553"/>
      <c r="GU167" s="1553"/>
      <c r="GV167" s="1553"/>
      <c r="GW167" s="1553"/>
      <c r="GX167" s="1553"/>
      <c r="GY167" s="1553"/>
      <c r="GZ167" s="1553"/>
      <c r="HA167" s="1553"/>
      <c r="HB167" s="1553"/>
      <c r="HC167" s="1553"/>
      <c r="HD167" s="1553"/>
      <c r="HE167" s="1553"/>
      <c r="HF167" s="1553"/>
      <c r="HG167" s="1553"/>
      <c r="HH167" s="1553"/>
      <c r="HI167" s="1553"/>
      <c r="HJ167" s="1553"/>
      <c r="HK167" s="1553"/>
      <c r="HL167" s="1553"/>
      <c r="HM167" s="1553"/>
      <c r="HN167" s="1553"/>
      <c r="HO167" s="1553"/>
      <c r="HP167" s="1553"/>
      <c r="HQ167" s="1553"/>
      <c r="HR167" s="1553"/>
      <c r="HS167" s="1553"/>
      <c r="HT167" s="1553"/>
      <c r="HU167" s="1553"/>
      <c r="HV167" s="1553"/>
      <c r="HW167" s="1553"/>
      <c r="HX167" s="1553"/>
      <c r="HY167" s="1553"/>
      <c r="HZ167" s="1553"/>
      <c r="IA167" s="1553"/>
      <c r="IB167" s="1553"/>
      <c r="IC167" s="1553"/>
      <c r="ID167" s="1553"/>
      <c r="IE167" s="1553"/>
      <c r="IF167" s="1553"/>
      <c r="IG167" s="1553"/>
      <c r="IH167" s="1553"/>
      <c r="II167" s="1553"/>
      <c r="IJ167" s="1553"/>
      <c r="IK167" s="1553"/>
      <c r="IL167" s="1553"/>
      <c r="IM167" s="1553"/>
      <c r="IN167" s="1553"/>
      <c r="IO167" s="1553"/>
      <c r="IP167" s="1553"/>
      <c r="IQ167" s="1553"/>
      <c r="IR167" s="1553"/>
      <c r="IS167" s="1553"/>
      <c r="IT167" s="1553"/>
      <c r="IU167" s="1553"/>
      <c r="IV167" s="1553"/>
      <c r="IW167" s="1553"/>
      <c r="IX167" s="1553"/>
      <c r="IY167" s="1553">
        <v>171</v>
      </c>
      <c r="IZ167" s="1553"/>
      <c r="JA167" s="1553"/>
      <c r="JB167" s="1553"/>
      <c r="JC167" s="1553"/>
      <c r="JD167" s="1553"/>
      <c r="JE167" s="1553"/>
      <c r="JF167" s="1553"/>
      <c r="JG167" s="1553"/>
      <c r="JH167" s="1553"/>
      <c r="JI167" s="1553"/>
      <c r="JJ167" s="1553"/>
      <c r="JK167" s="1553"/>
      <c r="JL167" s="1553"/>
      <c r="JM167" s="1553"/>
      <c r="JN167" s="1553"/>
      <c r="JO167" s="1553"/>
      <c r="JP167" s="1553"/>
      <c r="JQ167" s="1553"/>
      <c r="JR167" s="351"/>
      <c r="JS167" s="1400"/>
      <c r="JT167" s="1400" t="s">
        <v>2224</v>
      </c>
    </row>
    <row r="168" spans="1:280" x14ac:dyDescent="0.25">
      <c r="A168" s="1367">
        <v>12</v>
      </c>
      <c r="B168" s="1411" t="str">
        <f t="shared" si="78"/>
        <v/>
      </c>
      <c r="C168" s="1435" t="s">
        <v>3334</v>
      </c>
      <c r="D168" s="1436" t="s">
        <v>3335</v>
      </c>
      <c r="E168" s="1553"/>
      <c r="F168" s="1553"/>
      <c r="G168" s="1553"/>
      <c r="H168" s="1553"/>
      <c r="I168" s="1553"/>
      <c r="J168" s="1553"/>
      <c r="K168" s="1553"/>
      <c r="L168" s="1553"/>
      <c r="M168" s="1553"/>
      <c r="N168" s="1553"/>
      <c r="O168" s="1553"/>
      <c r="P168" s="1553"/>
      <c r="Q168" s="1553"/>
      <c r="R168" s="1553"/>
      <c r="S168" s="1553"/>
      <c r="T168" s="1553"/>
      <c r="U168" s="1553"/>
      <c r="V168" s="1553"/>
      <c r="W168" s="1553"/>
      <c r="X168" s="1553"/>
      <c r="Y168" s="1553"/>
      <c r="Z168" s="1553"/>
      <c r="AA168" s="1553"/>
      <c r="AB168" s="1553"/>
      <c r="AC168" s="1553"/>
      <c r="AD168" s="1553"/>
      <c r="AE168" s="1553"/>
      <c r="AF168" s="1553"/>
      <c r="AG168" s="1553"/>
      <c r="AH168" s="1553"/>
      <c r="AI168" s="1553"/>
      <c r="AJ168" s="1553"/>
      <c r="AK168" s="1553"/>
      <c r="AL168" s="1553"/>
      <c r="AM168" s="1553"/>
      <c r="AN168" s="1553"/>
      <c r="AO168" s="1553"/>
      <c r="AP168" s="1553"/>
      <c r="AQ168" s="1553"/>
      <c r="AR168" s="1553"/>
      <c r="AS168" s="1553"/>
      <c r="AT168" s="1553"/>
      <c r="AU168" s="1553"/>
      <c r="AV168" s="1553"/>
      <c r="AW168" s="1553"/>
      <c r="AX168" s="1553"/>
      <c r="AY168" s="1553"/>
      <c r="AZ168" s="1553"/>
      <c r="BA168" s="1553"/>
      <c r="BB168" s="1553"/>
      <c r="BC168" s="1553"/>
      <c r="BD168" s="1553"/>
      <c r="BE168" s="1553"/>
      <c r="BF168" s="1553"/>
      <c r="BG168" s="1553"/>
      <c r="BH168" s="1553"/>
      <c r="BI168" s="1553"/>
      <c r="BJ168" s="1553"/>
      <c r="BK168" s="1553"/>
      <c r="BL168" s="1553"/>
      <c r="BM168" s="1553"/>
      <c r="BN168" s="1553"/>
      <c r="BO168" s="1553"/>
      <c r="BP168" s="1553"/>
      <c r="BQ168" s="1553"/>
      <c r="BR168" s="1553"/>
      <c r="BS168" s="1553"/>
      <c r="BT168" s="1553"/>
      <c r="BU168" s="1553"/>
      <c r="BV168" s="1553"/>
      <c r="BW168" s="1553"/>
      <c r="BX168" s="1553"/>
      <c r="BY168" s="1553"/>
      <c r="BZ168" s="1553"/>
      <c r="CA168" s="1553"/>
      <c r="CB168" s="1553"/>
      <c r="CC168" s="1553"/>
      <c r="CD168" s="1553"/>
      <c r="CE168" s="1553"/>
      <c r="CF168" s="1553"/>
      <c r="CG168" s="1553"/>
      <c r="CH168" s="1553"/>
      <c r="CI168" s="1553"/>
      <c r="CJ168" s="1553"/>
      <c r="CK168" s="1553"/>
      <c r="CL168" s="1553"/>
      <c r="CM168" s="1553"/>
      <c r="CN168" s="1553"/>
      <c r="CO168" s="1553"/>
      <c r="CP168" s="1553"/>
      <c r="CQ168" s="1553"/>
      <c r="CR168" s="1553"/>
      <c r="CS168" s="1553"/>
      <c r="CT168" s="1553"/>
      <c r="CU168" s="1553"/>
      <c r="CV168" s="1553"/>
      <c r="CW168" s="1553"/>
      <c r="CX168" s="1553"/>
      <c r="CY168" s="1553"/>
      <c r="CZ168" s="1553"/>
      <c r="DA168" s="1553"/>
      <c r="DB168" s="1553"/>
      <c r="DC168" s="1553"/>
      <c r="DD168" s="1553"/>
      <c r="DE168" s="1553"/>
      <c r="DF168" s="1553"/>
      <c r="DG168" s="1553"/>
      <c r="DH168" s="1553"/>
      <c r="DI168" s="1553"/>
      <c r="DJ168" s="1553"/>
      <c r="DK168" s="1553"/>
      <c r="DL168" s="1553"/>
      <c r="DM168" s="1553"/>
      <c r="DN168" s="1553"/>
      <c r="DO168" s="1553"/>
      <c r="DP168" s="1553"/>
      <c r="DQ168" s="1553"/>
      <c r="DR168" s="1553"/>
      <c r="DS168" s="1553"/>
      <c r="DT168" s="1553"/>
      <c r="DU168" s="1553"/>
      <c r="DV168" s="1553"/>
      <c r="DW168" s="1553"/>
      <c r="DX168" s="1553"/>
      <c r="DY168" s="1553"/>
      <c r="DZ168" s="1553"/>
      <c r="EA168" s="1553"/>
      <c r="EB168" s="1553"/>
      <c r="EC168" s="1553"/>
      <c r="ED168" s="1553"/>
      <c r="EE168" s="1553"/>
      <c r="EF168" s="1553"/>
      <c r="EG168" s="1553"/>
      <c r="EH168" s="1553"/>
      <c r="EI168" s="1553"/>
      <c r="EJ168" s="1553"/>
      <c r="EK168" s="1553"/>
      <c r="EL168" s="1553"/>
      <c r="EM168" s="1553"/>
      <c r="EN168" s="1553"/>
      <c r="EO168" s="1553"/>
      <c r="EP168" s="1553"/>
      <c r="EQ168" s="1454"/>
      <c r="ER168" s="1554"/>
      <c r="ES168" s="1554"/>
      <c r="ET168" s="1554"/>
      <c r="EU168" s="1452"/>
      <c r="EV168" s="1554"/>
      <c r="EW168" s="1553">
        <v>233</v>
      </c>
      <c r="EX168" s="1554"/>
      <c r="EY168" s="1554"/>
      <c r="EZ168" s="1554"/>
      <c r="FA168" s="1554"/>
      <c r="FB168" s="1553"/>
      <c r="FC168" s="1553"/>
      <c r="FD168" s="1553"/>
      <c r="FE168" s="1553"/>
      <c r="FF168" s="1553"/>
      <c r="FG168" s="1553"/>
      <c r="FH168" s="1553"/>
      <c r="FI168" s="1553"/>
      <c r="FJ168" s="1553"/>
      <c r="FK168" s="1553"/>
      <c r="FL168" s="1553"/>
      <c r="FM168" s="1553"/>
      <c r="FN168" s="1553"/>
      <c r="FO168" s="1553"/>
      <c r="FP168" s="1553"/>
      <c r="FQ168" s="1553"/>
      <c r="FR168" s="1553"/>
      <c r="FS168" s="1553"/>
      <c r="FT168" s="1553"/>
      <c r="FU168" s="1553"/>
      <c r="FV168" s="1553"/>
      <c r="FW168" s="1553"/>
      <c r="FX168" s="1553"/>
      <c r="FY168" s="1553"/>
      <c r="FZ168" s="1553"/>
      <c r="GA168" s="1553"/>
      <c r="GB168" s="1553"/>
      <c r="GC168" s="1553"/>
      <c r="GD168" s="1553"/>
      <c r="GE168" s="1553"/>
      <c r="GF168" s="1553"/>
      <c r="GG168" s="1553"/>
      <c r="GH168" s="1553"/>
      <c r="GI168" s="1553"/>
      <c r="GJ168" s="1553"/>
      <c r="GK168" s="1553"/>
      <c r="GL168" s="1553"/>
      <c r="GM168" s="1553"/>
      <c r="GN168" s="1553"/>
      <c r="GO168" s="1553"/>
      <c r="GP168" s="1553"/>
      <c r="GQ168" s="1553"/>
      <c r="GR168" s="1553"/>
      <c r="GS168" s="1553"/>
      <c r="GT168" s="1553"/>
      <c r="GU168" s="1553"/>
      <c r="GV168" s="1553"/>
      <c r="GW168" s="1553"/>
      <c r="GX168" s="1553"/>
      <c r="GY168" s="1553"/>
      <c r="GZ168" s="1553"/>
      <c r="HA168" s="1553"/>
      <c r="HB168" s="1553"/>
      <c r="HC168" s="1553"/>
      <c r="HD168" s="1553"/>
      <c r="HE168" s="1553"/>
      <c r="HF168" s="1553"/>
      <c r="HG168" s="1553"/>
      <c r="HH168" s="1553"/>
      <c r="HI168" s="1553"/>
      <c r="HJ168" s="1553"/>
      <c r="HK168" s="1553"/>
      <c r="HL168" s="1553"/>
      <c r="HM168" s="1553"/>
      <c r="HN168" s="1553"/>
      <c r="HO168" s="1553"/>
      <c r="HP168" s="1553"/>
      <c r="HQ168" s="1553"/>
      <c r="HR168" s="1553"/>
      <c r="HS168" s="1553"/>
      <c r="HT168" s="1553"/>
      <c r="HU168" s="1553"/>
      <c r="HV168" s="1553"/>
      <c r="HW168" s="1553"/>
      <c r="HX168" s="1553"/>
      <c r="HY168" s="1553"/>
      <c r="HZ168" s="1553"/>
      <c r="IA168" s="1553"/>
      <c r="IB168" s="1553"/>
      <c r="IC168" s="1553"/>
      <c r="ID168" s="1553"/>
      <c r="IE168" s="1553"/>
      <c r="IF168" s="1553"/>
      <c r="IG168" s="1553"/>
      <c r="IH168" s="1553"/>
      <c r="II168" s="1553"/>
      <c r="IJ168" s="1553"/>
      <c r="IK168" s="1553"/>
      <c r="IL168" s="1553"/>
      <c r="IM168" s="1553"/>
      <c r="IN168" s="1553"/>
      <c r="IO168" s="1553"/>
      <c r="IP168" s="1553"/>
      <c r="IQ168" s="1553"/>
      <c r="IR168" s="1553"/>
      <c r="IS168" s="1553"/>
      <c r="IT168" s="1553"/>
      <c r="IU168" s="1553"/>
      <c r="IV168" s="1553"/>
      <c r="IW168" s="1553"/>
      <c r="IX168" s="1553"/>
      <c r="IY168" s="1553"/>
      <c r="IZ168" s="1553"/>
      <c r="JA168" s="1553"/>
      <c r="JB168" s="1553"/>
      <c r="JC168" s="1553"/>
      <c r="JD168" s="1553"/>
      <c r="JE168" s="1553"/>
      <c r="JF168" s="1553"/>
      <c r="JG168" s="1553"/>
      <c r="JH168" s="1553"/>
      <c r="JI168" s="1553"/>
      <c r="JJ168" s="1553"/>
      <c r="JK168" s="1553"/>
      <c r="JL168" s="1553"/>
      <c r="JM168" s="1553"/>
      <c r="JN168" s="1553"/>
      <c r="JO168" s="1553"/>
      <c r="JP168" s="1553"/>
      <c r="JQ168" s="1553"/>
      <c r="JR168" s="351"/>
      <c r="JS168" s="1400"/>
      <c r="JT168" s="1400" t="s">
        <v>2224</v>
      </c>
    </row>
    <row r="169" spans="1:280" x14ac:dyDescent="0.25">
      <c r="A169" s="1367">
        <v>13</v>
      </c>
      <c r="B169" s="1411" t="str">
        <f t="shared" si="78"/>
        <v/>
      </c>
      <c r="C169" s="1435" t="s">
        <v>3336</v>
      </c>
      <c r="D169" s="1436" t="s">
        <v>3337</v>
      </c>
      <c r="E169" s="1553"/>
      <c r="F169" s="1553"/>
      <c r="G169" s="1553"/>
      <c r="H169" s="1553"/>
      <c r="I169" s="1553"/>
      <c r="J169" s="1553"/>
      <c r="K169" s="1553"/>
      <c r="L169" s="1553"/>
      <c r="M169" s="1553"/>
      <c r="N169" s="1553"/>
      <c r="O169" s="1553"/>
      <c r="P169" s="1553"/>
      <c r="Q169" s="1553"/>
      <c r="R169" s="1553"/>
      <c r="S169" s="1553"/>
      <c r="T169" s="1553"/>
      <c r="U169" s="1553"/>
      <c r="V169" s="1553"/>
      <c r="W169" s="1553"/>
      <c r="X169" s="1553"/>
      <c r="Y169" s="1553"/>
      <c r="Z169" s="1553"/>
      <c r="AA169" s="1553"/>
      <c r="AB169" s="1553"/>
      <c r="AC169" s="1553"/>
      <c r="AD169" s="1553"/>
      <c r="AE169" s="1553"/>
      <c r="AF169" s="1553"/>
      <c r="AG169" s="1553"/>
      <c r="AH169" s="1553"/>
      <c r="AI169" s="1553"/>
      <c r="AJ169" s="1553"/>
      <c r="AK169" s="1553"/>
      <c r="AL169" s="1553"/>
      <c r="AM169" s="1553"/>
      <c r="AN169" s="1553"/>
      <c r="AO169" s="1553"/>
      <c r="AP169" s="1553"/>
      <c r="AQ169" s="1553"/>
      <c r="AR169" s="1553"/>
      <c r="AS169" s="1553"/>
      <c r="AT169" s="1553"/>
      <c r="AU169" s="1553"/>
      <c r="AV169" s="1553"/>
      <c r="AW169" s="1553"/>
      <c r="AX169" s="1553"/>
      <c r="AY169" s="1553"/>
      <c r="AZ169" s="1553"/>
      <c r="BA169" s="1553"/>
      <c r="BB169" s="1553"/>
      <c r="BC169" s="1553"/>
      <c r="BD169" s="1553"/>
      <c r="BE169" s="1553"/>
      <c r="BF169" s="1553"/>
      <c r="BG169" s="1553"/>
      <c r="BH169" s="1553"/>
      <c r="BI169" s="1553"/>
      <c r="BJ169" s="1553"/>
      <c r="BK169" s="1553"/>
      <c r="BL169" s="1553"/>
      <c r="BM169" s="1553"/>
      <c r="BN169" s="1553"/>
      <c r="BO169" s="1553"/>
      <c r="BP169" s="1553"/>
      <c r="BQ169" s="1553"/>
      <c r="BR169" s="1553"/>
      <c r="BS169" s="1553"/>
      <c r="BT169" s="1553"/>
      <c r="BU169" s="1553"/>
      <c r="BV169" s="1553"/>
      <c r="BW169" s="1553"/>
      <c r="BX169" s="1553"/>
      <c r="BY169" s="1553"/>
      <c r="BZ169" s="1553"/>
      <c r="CA169" s="1553"/>
      <c r="CB169" s="1553"/>
      <c r="CC169" s="1553"/>
      <c r="CD169" s="1553"/>
      <c r="CE169" s="1553"/>
      <c r="CF169" s="1553"/>
      <c r="CG169" s="1553"/>
      <c r="CH169" s="1553"/>
      <c r="CI169" s="1553"/>
      <c r="CJ169" s="1553"/>
      <c r="CK169" s="1553"/>
      <c r="CL169" s="1553"/>
      <c r="CM169" s="1553"/>
      <c r="CN169" s="1553"/>
      <c r="CO169" s="1553"/>
      <c r="CP169" s="1553"/>
      <c r="CQ169" s="1553"/>
      <c r="CR169" s="1553"/>
      <c r="CS169" s="1553"/>
      <c r="CT169" s="1553"/>
      <c r="CU169" s="1553"/>
      <c r="CV169" s="1553"/>
      <c r="CW169" s="1553"/>
      <c r="CX169" s="1553"/>
      <c r="CY169" s="1553"/>
      <c r="CZ169" s="1553"/>
      <c r="DA169" s="1553"/>
      <c r="DB169" s="1553"/>
      <c r="DC169" s="1553"/>
      <c r="DD169" s="1553"/>
      <c r="DE169" s="1553"/>
      <c r="DF169" s="1553"/>
      <c r="DG169" s="1553"/>
      <c r="DH169" s="1553"/>
      <c r="DI169" s="1553"/>
      <c r="DJ169" s="1553"/>
      <c r="DK169" s="1553"/>
      <c r="DL169" s="1553"/>
      <c r="DM169" s="1553"/>
      <c r="DN169" s="1553"/>
      <c r="DO169" s="1553"/>
      <c r="DP169" s="1553"/>
      <c r="DQ169" s="1553"/>
      <c r="DR169" s="1553"/>
      <c r="DS169" s="1553"/>
      <c r="DT169" s="1553"/>
      <c r="DU169" s="1553"/>
      <c r="DV169" s="1553"/>
      <c r="DW169" s="1553"/>
      <c r="DX169" s="1553"/>
      <c r="DY169" s="1553"/>
      <c r="DZ169" s="1553"/>
      <c r="EA169" s="1553"/>
      <c r="EB169" s="1553"/>
      <c r="EC169" s="1553"/>
      <c r="ED169" s="1553"/>
      <c r="EE169" s="1553"/>
      <c r="EF169" s="1553"/>
      <c r="EG169" s="1553"/>
      <c r="EH169" s="1553"/>
      <c r="EI169" s="1553"/>
      <c r="EJ169" s="1553"/>
      <c r="EK169" s="1553"/>
      <c r="EL169" s="1553"/>
      <c r="EM169" s="1553"/>
      <c r="EN169" s="1553"/>
      <c r="EO169" s="1553"/>
      <c r="EP169" s="1553"/>
      <c r="EQ169" s="1454"/>
      <c r="ER169" s="1554"/>
      <c r="ES169" s="1554"/>
      <c r="ET169" s="1554"/>
      <c r="EU169" s="1454"/>
      <c r="EV169" s="1554"/>
      <c r="EW169" s="1553">
        <v>103</v>
      </c>
      <c r="EX169" s="1554"/>
      <c r="EY169" s="1554"/>
      <c r="EZ169" s="1554"/>
      <c r="FA169" s="1554"/>
      <c r="FB169" s="1553"/>
      <c r="FC169" s="1553"/>
      <c r="FD169" s="1553"/>
      <c r="FE169" s="1553"/>
      <c r="FF169" s="1553"/>
      <c r="FG169" s="1553"/>
      <c r="FH169" s="1553"/>
      <c r="FI169" s="1553"/>
      <c r="FJ169" s="1553"/>
      <c r="FK169" s="1553"/>
      <c r="FL169" s="1553"/>
      <c r="FM169" s="1553"/>
      <c r="FN169" s="1553"/>
      <c r="FO169" s="1553"/>
      <c r="FP169" s="1553"/>
      <c r="FQ169" s="1553"/>
      <c r="FR169" s="1553"/>
      <c r="FS169" s="1553"/>
      <c r="FT169" s="1553"/>
      <c r="FU169" s="1553"/>
      <c r="FV169" s="1553"/>
      <c r="FW169" s="1553"/>
      <c r="FX169" s="1553"/>
      <c r="FY169" s="1553"/>
      <c r="FZ169" s="1553"/>
      <c r="GA169" s="1553"/>
      <c r="GB169" s="1553"/>
      <c r="GC169" s="1553"/>
      <c r="GD169" s="1553"/>
      <c r="GE169" s="1553"/>
      <c r="GF169" s="1553"/>
      <c r="GG169" s="1553"/>
      <c r="GH169" s="1553"/>
      <c r="GI169" s="1553"/>
      <c r="GJ169" s="1553"/>
      <c r="GK169" s="1553"/>
      <c r="GL169" s="1553"/>
      <c r="GM169" s="1553"/>
      <c r="GN169" s="1553"/>
      <c r="GO169" s="1553"/>
      <c r="GP169" s="1553"/>
      <c r="GQ169" s="1553"/>
      <c r="GR169" s="1553"/>
      <c r="GS169" s="1553"/>
      <c r="GT169" s="1553"/>
      <c r="GU169" s="1553"/>
      <c r="GV169" s="1553"/>
      <c r="GW169" s="1553"/>
      <c r="GX169" s="1553"/>
      <c r="GY169" s="1553"/>
      <c r="GZ169" s="1553"/>
      <c r="HA169" s="1553"/>
      <c r="HB169" s="1553"/>
      <c r="HC169" s="1553"/>
      <c r="HD169" s="1553"/>
      <c r="HE169" s="1553"/>
      <c r="HF169" s="1553"/>
      <c r="HG169" s="1553"/>
      <c r="HH169" s="1553"/>
      <c r="HI169" s="1553"/>
      <c r="HJ169" s="1553"/>
      <c r="HK169" s="1553"/>
      <c r="HL169" s="1553"/>
      <c r="HM169" s="1553"/>
      <c r="HN169" s="1553"/>
      <c r="HO169" s="1553"/>
      <c r="HP169" s="1553"/>
      <c r="HQ169" s="1553"/>
      <c r="HR169" s="1553"/>
      <c r="HS169" s="1553"/>
      <c r="HT169" s="1553"/>
      <c r="HU169" s="1553"/>
      <c r="HV169" s="1553"/>
      <c r="HW169" s="1553"/>
      <c r="HX169" s="1553"/>
      <c r="HY169" s="1553"/>
      <c r="HZ169" s="1553"/>
      <c r="IA169" s="1553"/>
      <c r="IB169" s="1553"/>
      <c r="IC169" s="1553"/>
      <c r="ID169" s="1553"/>
      <c r="IE169" s="1553"/>
      <c r="IF169" s="1553"/>
      <c r="IG169" s="1553"/>
      <c r="IH169" s="1553"/>
      <c r="II169" s="1553"/>
      <c r="IJ169" s="1553"/>
      <c r="IK169" s="1553"/>
      <c r="IL169" s="1553"/>
      <c r="IM169" s="1553"/>
      <c r="IN169" s="1553"/>
      <c r="IO169" s="1553"/>
      <c r="IP169" s="1553"/>
      <c r="IQ169" s="1553"/>
      <c r="IR169" s="1553"/>
      <c r="IS169" s="1553"/>
      <c r="IT169" s="1553"/>
      <c r="IU169" s="1553"/>
      <c r="IV169" s="1553"/>
      <c r="IW169" s="1553"/>
      <c r="IX169" s="1553"/>
      <c r="IY169" s="1553">
        <v>49</v>
      </c>
      <c r="IZ169" s="1553"/>
      <c r="JA169" s="1553"/>
      <c r="JB169" s="1553"/>
      <c r="JC169" s="1553"/>
      <c r="JD169" s="1553"/>
      <c r="JE169" s="1553"/>
      <c r="JF169" s="1553"/>
      <c r="JG169" s="1553"/>
      <c r="JH169" s="1553"/>
      <c r="JI169" s="1553"/>
      <c r="JJ169" s="1553"/>
      <c r="JK169" s="1553"/>
      <c r="JL169" s="1553"/>
      <c r="JM169" s="1553"/>
      <c r="JN169" s="1553"/>
      <c r="JO169" s="1553"/>
      <c r="JP169" s="1553"/>
      <c r="JQ169" s="1553"/>
      <c r="JR169" s="351"/>
      <c r="JS169" s="1400"/>
      <c r="JT169" s="1400" t="s">
        <v>2224</v>
      </c>
    </row>
    <row r="170" spans="1:280" x14ac:dyDescent="0.25">
      <c r="A170" s="1367">
        <v>14</v>
      </c>
      <c r="B170" s="1411" t="str">
        <f t="shared" si="78"/>
        <v/>
      </c>
      <c r="C170" s="1435" t="s">
        <v>3338</v>
      </c>
      <c r="D170" s="1436" t="s">
        <v>3339</v>
      </c>
      <c r="E170" s="1553"/>
      <c r="F170" s="1553"/>
      <c r="G170" s="1553"/>
      <c r="H170" s="1553"/>
      <c r="I170" s="1553"/>
      <c r="J170" s="1553"/>
      <c r="K170" s="1553"/>
      <c r="L170" s="1553"/>
      <c r="M170" s="1553"/>
      <c r="N170" s="1553"/>
      <c r="O170" s="1553"/>
      <c r="P170" s="1553"/>
      <c r="Q170" s="1553"/>
      <c r="R170" s="1553"/>
      <c r="S170" s="1553"/>
      <c r="T170" s="1553"/>
      <c r="U170" s="1553"/>
      <c r="V170" s="1553"/>
      <c r="W170" s="1553"/>
      <c r="X170" s="1553"/>
      <c r="Y170" s="1553"/>
      <c r="Z170" s="1553"/>
      <c r="AA170" s="1553"/>
      <c r="AB170" s="1553"/>
      <c r="AC170" s="1553"/>
      <c r="AD170" s="1553"/>
      <c r="AE170" s="1553"/>
      <c r="AF170" s="1553"/>
      <c r="AG170" s="1553"/>
      <c r="AH170" s="1553"/>
      <c r="AI170" s="1553"/>
      <c r="AJ170" s="1553"/>
      <c r="AK170" s="1553"/>
      <c r="AL170" s="1553"/>
      <c r="AM170" s="1553"/>
      <c r="AN170" s="1553"/>
      <c r="AO170" s="1553"/>
      <c r="AP170" s="1553"/>
      <c r="AQ170" s="1553"/>
      <c r="AR170" s="1553"/>
      <c r="AS170" s="1553"/>
      <c r="AT170" s="1553"/>
      <c r="AU170" s="1553"/>
      <c r="AV170" s="1553"/>
      <c r="AW170" s="1553"/>
      <c r="AX170" s="1553"/>
      <c r="AY170" s="1553"/>
      <c r="AZ170" s="1553"/>
      <c r="BA170" s="1553"/>
      <c r="BB170" s="1553"/>
      <c r="BC170" s="1553"/>
      <c r="BD170" s="1553"/>
      <c r="BE170" s="1553"/>
      <c r="BF170" s="1553"/>
      <c r="BG170" s="1553"/>
      <c r="BH170" s="1553"/>
      <c r="BI170" s="1553"/>
      <c r="BJ170" s="1553"/>
      <c r="BK170" s="1553"/>
      <c r="BL170" s="1553"/>
      <c r="BM170" s="1553"/>
      <c r="BN170" s="1553"/>
      <c r="BO170" s="1553"/>
      <c r="BP170" s="1553"/>
      <c r="BQ170" s="1553"/>
      <c r="BR170" s="1553"/>
      <c r="BS170" s="1553"/>
      <c r="BT170" s="1553"/>
      <c r="BU170" s="1553"/>
      <c r="BV170" s="1553"/>
      <c r="BW170" s="1553"/>
      <c r="BX170" s="1553"/>
      <c r="BY170" s="1553"/>
      <c r="BZ170" s="1553"/>
      <c r="CA170" s="1553"/>
      <c r="CB170" s="1553"/>
      <c r="CC170" s="1553"/>
      <c r="CD170" s="1553"/>
      <c r="CE170" s="1553"/>
      <c r="CF170" s="1553"/>
      <c r="CG170" s="1553"/>
      <c r="CH170" s="1553"/>
      <c r="CI170" s="1553"/>
      <c r="CJ170" s="1553"/>
      <c r="CK170" s="1553"/>
      <c r="CL170" s="1553"/>
      <c r="CM170" s="1553"/>
      <c r="CN170" s="1553"/>
      <c r="CO170" s="1553"/>
      <c r="CP170" s="1553"/>
      <c r="CQ170" s="1553"/>
      <c r="CR170" s="1553"/>
      <c r="CS170" s="1553"/>
      <c r="CT170" s="1553"/>
      <c r="CU170" s="1553"/>
      <c r="CV170" s="1553"/>
      <c r="CW170" s="1553"/>
      <c r="CX170" s="1553"/>
      <c r="CY170" s="1553"/>
      <c r="CZ170" s="1553"/>
      <c r="DA170" s="1553"/>
      <c r="DB170" s="1553"/>
      <c r="DC170" s="1553"/>
      <c r="DD170" s="1553"/>
      <c r="DE170" s="1553"/>
      <c r="DF170" s="1553"/>
      <c r="DG170" s="1553"/>
      <c r="DH170" s="1553"/>
      <c r="DI170" s="1553"/>
      <c r="DJ170" s="1553"/>
      <c r="DK170" s="1553"/>
      <c r="DL170" s="1553"/>
      <c r="DM170" s="1553"/>
      <c r="DN170" s="1553"/>
      <c r="DO170" s="1553"/>
      <c r="DP170" s="1553"/>
      <c r="DQ170" s="1553"/>
      <c r="DR170" s="1553"/>
      <c r="DS170" s="1553"/>
      <c r="DT170" s="1553"/>
      <c r="DU170" s="1553"/>
      <c r="DV170" s="1553"/>
      <c r="DW170" s="1553"/>
      <c r="DX170" s="1553"/>
      <c r="DY170" s="1553"/>
      <c r="DZ170" s="1553"/>
      <c r="EA170" s="1553"/>
      <c r="EB170" s="1553"/>
      <c r="EC170" s="1553"/>
      <c r="ED170" s="1553"/>
      <c r="EE170" s="1553"/>
      <c r="EF170" s="1553"/>
      <c r="EG170" s="1553"/>
      <c r="EH170" s="1553"/>
      <c r="EI170" s="1553"/>
      <c r="EJ170" s="1553"/>
      <c r="EK170" s="1553"/>
      <c r="EL170" s="1553"/>
      <c r="EM170" s="1553"/>
      <c r="EN170" s="1553"/>
      <c r="EO170" s="1553"/>
      <c r="EP170" s="1553"/>
      <c r="EQ170" s="1454"/>
      <c r="ER170" s="1538"/>
      <c r="ES170" s="1538"/>
      <c r="ET170" s="1538"/>
      <c r="EU170" s="1454"/>
      <c r="EV170" s="1538"/>
      <c r="EW170" s="1553">
        <v>405</v>
      </c>
      <c r="EX170" s="1538">
        <v>18501</v>
      </c>
      <c r="EY170" s="1554">
        <v>678</v>
      </c>
      <c r="EZ170" s="1538">
        <v>484</v>
      </c>
      <c r="FA170" s="1538"/>
      <c r="FB170" s="1553"/>
      <c r="FC170" s="1553"/>
      <c r="FD170" s="1553"/>
      <c r="FE170" s="1553"/>
      <c r="FF170" s="1553"/>
      <c r="FG170" s="1553"/>
      <c r="FH170" s="1553"/>
      <c r="FI170" s="1553"/>
      <c r="FJ170" s="1553"/>
      <c r="FK170" s="1553"/>
      <c r="FL170" s="1553"/>
      <c r="FM170" s="1553"/>
      <c r="FN170" s="1553"/>
      <c r="FO170" s="1553"/>
      <c r="FP170" s="1553"/>
      <c r="FQ170" s="1553"/>
      <c r="FR170" s="1553"/>
      <c r="FS170" s="1553"/>
      <c r="FT170" s="1553"/>
      <c r="FU170" s="1553"/>
      <c r="FV170" s="1553"/>
      <c r="FW170" s="1553"/>
      <c r="FX170" s="1553"/>
      <c r="FY170" s="1553"/>
      <c r="FZ170" s="1553"/>
      <c r="GA170" s="1553"/>
      <c r="GB170" s="1553"/>
      <c r="GC170" s="1553"/>
      <c r="GD170" s="1553"/>
      <c r="GE170" s="1553"/>
      <c r="GF170" s="1553"/>
      <c r="GG170" s="1553"/>
      <c r="GH170" s="1553"/>
      <c r="GI170" s="1553"/>
      <c r="GJ170" s="1553"/>
      <c r="GK170" s="1553"/>
      <c r="GL170" s="1553"/>
      <c r="GM170" s="1553"/>
      <c r="GN170" s="1553"/>
      <c r="GO170" s="1553"/>
      <c r="GP170" s="1553"/>
      <c r="GQ170" s="1553"/>
      <c r="GR170" s="1553"/>
      <c r="GS170" s="1553"/>
      <c r="GT170" s="1553"/>
      <c r="GU170" s="1553"/>
      <c r="GV170" s="1553"/>
      <c r="GW170" s="1553"/>
      <c r="GX170" s="1553"/>
      <c r="GY170" s="1553"/>
      <c r="GZ170" s="1553"/>
      <c r="HA170" s="1553"/>
      <c r="HB170" s="1553"/>
      <c r="HC170" s="1553"/>
      <c r="HD170" s="1553"/>
      <c r="HE170" s="1553"/>
      <c r="HF170" s="1553"/>
      <c r="HG170" s="1553"/>
      <c r="HH170" s="1553"/>
      <c r="HI170" s="1553"/>
      <c r="HJ170" s="1553"/>
      <c r="HK170" s="1553"/>
      <c r="HL170" s="1553"/>
      <c r="HM170" s="1553"/>
      <c r="HN170" s="1553"/>
      <c r="HO170" s="1553"/>
      <c r="HP170" s="1553"/>
      <c r="HQ170" s="1553"/>
      <c r="HR170" s="1553"/>
      <c r="HS170" s="1553"/>
      <c r="HT170" s="1553"/>
      <c r="HU170" s="1553"/>
      <c r="HV170" s="1553"/>
      <c r="HW170" s="1553"/>
      <c r="HX170" s="1553"/>
      <c r="HY170" s="1553"/>
      <c r="HZ170" s="1553"/>
      <c r="IA170" s="1553"/>
      <c r="IB170" s="1553"/>
      <c r="IC170" s="1553"/>
      <c r="ID170" s="1553"/>
      <c r="IE170" s="1553"/>
      <c r="IF170" s="1553"/>
      <c r="IG170" s="1553"/>
      <c r="IH170" s="1553"/>
      <c r="II170" s="1553"/>
      <c r="IJ170" s="1553"/>
      <c r="IK170" s="1553"/>
      <c r="IL170" s="1553"/>
      <c r="IM170" s="1553"/>
      <c r="IN170" s="1553"/>
      <c r="IO170" s="1553"/>
      <c r="IP170" s="1553"/>
      <c r="IQ170" s="1553"/>
      <c r="IR170" s="1553"/>
      <c r="IS170" s="1553"/>
      <c r="IT170" s="1553"/>
      <c r="IU170" s="1553"/>
      <c r="IV170" s="1553"/>
      <c r="IW170" s="1553"/>
      <c r="IX170" s="1553"/>
      <c r="IY170" s="1553">
        <v>293</v>
      </c>
      <c r="IZ170" s="1553"/>
      <c r="JA170" s="1553"/>
      <c r="JB170" s="1553"/>
      <c r="JC170" s="1553"/>
      <c r="JD170" s="1553"/>
      <c r="JE170" s="1553"/>
      <c r="JF170" s="1553"/>
      <c r="JG170" s="1553"/>
      <c r="JH170" s="1553"/>
      <c r="JI170" s="1553"/>
      <c r="JJ170" s="1553"/>
      <c r="JK170" s="1553"/>
      <c r="JL170" s="1553"/>
      <c r="JM170" s="1553"/>
      <c r="JN170" s="1553"/>
      <c r="JO170" s="1553"/>
      <c r="JP170" s="1553"/>
      <c r="JQ170" s="1553"/>
      <c r="JR170" s="351"/>
      <c r="JS170" s="1400"/>
      <c r="JT170" s="1400" t="s">
        <v>2224</v>
      </c>
    </row>
    <row r="171" spans="1:280" x14ac:dyDescent="0.25">
      <c r="A171" s="1367">
        <v>15</v>
      </c>
      <c r="B171" s="1411" t="str">
        <f t="shared" si="78"/>
        <v/>
      </c>
      <c r="C171" s="1435" t="s">
        <v>3340</v>
      </c>
      <c r="D171" s="1436" t="s">
        <v>3335</v>
      </c>
      <c r="E171" s="1553"/>
      <c r="F171" s="1553"/>
      <c r="G171" s="1553"/>
      <c r="H171" s="1553"/>
      <c r="I171" s="1553"/>
      <c r="J171" s="1553"/>
      <c r="K171" s="1553"/>
      <c r="L171" s="1553"/>
      <c r="M171" s="1553"/>
      <c r="N171" s="1553"/>
      <c r="O171" s="1553"/>
      <c r="P171" s="1553"/>
      <c r="Q171" s="1553"/>
      <c r="R171" s="1553"/>
      <c r="S171" s="1553"/>
      <c r="T171" s="1553"/>
      <c r="U171" s="1553"/>
      <c r="V171" s="1553"/>
      <c r="W171" s="1553"/>
      <c r="X171" s="1553"/>
      <c r="Y171" s="1553"/>
      <c r="Z171" s="1553"/>
      <c r="AA171" s="1553"/>
      <c r="AB171" s="1553"/>
      <c r="AC171" s="1553"/>
      <c r="AD171" s="1553"/>
      <c r="AE171" s="1553"/>
      <c r="AF171" s="1553"/>
      <c r="AG171" s="1553"/>
      <c r="AH171" s="1553"/>
      <c r="AI171" s="1553"/>
      <c r="AJ171" s="1553"/>
      <c r="AK171" s="1553"/>
      <c r="AL171" s="1553"/>
      <c r="AM171" s="1553"/>
      <c r="AN171" s="1553"/>
      <c r="AO171" s="1553"/>
      <c r="AP171" s="1553"/>
      <c r="AQ171" s="1553"/>
      <c r="AR171" s="1553"/>
      <c r="AS171" s="1553"/>
      <c r="AT171" s="1553"/>
      <c r="AU171" s="1553"/>
      <c r="AV171" s="1553"/>
      <c r="AW171" s="1553"/>
      <c r="AX171" s="1553"/>
      <c r="AY171" s="1553"/>
      <c r="AZ171" s="1553"/>
      <c r="BA171" s="1553"/>
      <c r="BB171" s="1553"/>
      <c r="BC171" s="1553"/>
      <c r="BD171" s="1553"/>
      <c r="BE171" s="1553"/>
      <c r="BF171" s="1553"/>
      <c r="BG171" s="1553"/>
      <c r="BH171" s="1553"/>
      <c r="BI171" s="1553"/>
      <c r="BJ171" s="1553"/>
      <c r="BK171" s="1553"/>
      <c r="BL171" s="1553"/>
      <c r="BM171" s="1553"/>
      <c r="BN171" s="1553"/>
      <c r="BO171" s="1553"/>
      <c r="BP171" s="1553"/>
      <c r="BQ171" s="1553"/>
      <c r="BR171" s="1553"/>
      <c r="BS171" s="1553"/>
      <c r="BT171" s="1553"/>
      <c r="BU171" s="1553"/>
      <c r="BV171" s="1553"/>
      <c r="BW171" s="1553"/>
      <c r="BX171" s="1553"/>
      <c r="BY171" s="1553"/>
      <c r="BZ171" s="1553"/>
      <c r="CA171" s="1553"/>
      <c r="CB171" s="1553"/>
      <c r="CC171" s="1553"/>
      <c r="CD171" s="1553"/>
      <c r="CE171" s="1553"/>
      <c r="CF171" s="1553"/>
      <c r="CG171" s="1553"/>
      <c r="CH171" s="1553"/>
      <c r="CI171" s="1553"/>
      <c r="CJ171" s="1553"/>
      <c r="CK171" s="1553"/>
      <c r="CL171" s="1553"/>
      <c r="CM171" s="1553"/>
      <c r="CN171" s="1553"/>
      <c r="CO171" s="1553"/>
      <c r="CP171" s="1553"/>
      <c r="CQ171" s="1553"/>
      <c r="CR171" s="1553"/>
      <c r="CS171" s="1553"/>
      <c r="CT171" s="1553"/>
      <c r="CU171" s="1553"/>
      <c r="CV171" s="1553"/>
      <c r="CW171" s="1553"/>
      <c r="CX171" s="1553"/>
      <c r="CY171" s="1553"/>
      <c r="CZ171" s="1553"/>
      <c r="DA171" s="1553"/>
      <c r="DB171" s="1553"/>
      <c r="DC171" s="1553"/>
      <c r="DD171" s="1553"/>
      <c r="DE171" s="1553"/>
      <c r="DF171" s="1553"/>
      <c r="DG171" s="1553"/>
      <c r="DH171" s="1553"/>
      <c r="DI171" s="1553"/>
      <c r="DJ171" s="1553"/>
      <c r="DK171" s="1553"/>
      <c r="DL171" s="1553"/>
      <c r="DM171" s="1553"/>
      <c r="DN171" s="1553"/>
      <c r="DO171" s="1553"/>
      <c r="DP171" s="1553"/>
      <c r="DQ171" s="1553"/>
      <c r="DR171" s="1553"/>
      <c r="DS171" s="1553"/>
      <c r="DT171" s="1553"/>
      <c r="DU171" s="1553"/>
      <c r="DV171" s="1553"/>
      <c r="DW171" s="1553"/>
      <c r="DX171" s="1553"/>
      <c r="DY171" s="1553"/>
      <c r="DZ171" s="1553"/>
      <c r="EA171" s="1553"/>
      <c r="EB171" s="1553"/>
      <c r="EC171" s="1553"/>
      <c r="ED171" s="1553"/>
      <c r="EE171" s="1553"/>
      <c r="EF171" s="1553"/>
      <c r="EG171" s="1553"/>
      <c r="EH171" s="1553"/>
      <c r="EI171" s="1553"/>
      <c r="EJ171" s="1553"/>
      <c r="EK171" s="1553"/>
      <c r="EL171" s="1553"/>
      <c r="EM171" s="1553"/>
      <c r="EN171" s="1553"/>
      <c r="EO171" s="1553"/>
      <c r="EP171" s="1553"/>
      <c r="EQ171" s="1454"/>
      <c r="ER171" s="1538"/>
      <c r="ES171" s="1538"/>
      <c r="ET171" s="1538"/>
      <c r="EU171" s="1454"/>
      <c r="EV171" s="1538"/>
      <c r="EW171" s="1553"/>
      <c r="EX171" s="1538">
        <v>3593</v>
      </c>
      <c r="EY171" s="1554">
        <v>76</v>
      </c>
      <c r="EZ171" s="1538"/>
      <c r="FA171" s="1538"/>
      <c r="FB171" s="1553"/>
      <c r="FC171" s="1553"/>
      <c r="FD171" s="1553"/>
      <c r="FE171" s="1553"/>
      <c r="FF171" s="1553"/>
      <c r="FG171" s="1553"/>
      <c r="FH171" s="1553"/>
      <c r="FI171" s="1553"/>
      <c r="FJ171" s="1553"/>
      <c r="FK171" s="1553"/>
      <c r="FL171" s="1553"/>
      <c r="FM171" s="1553"/>
      <c r="FN171" s="1553"/>
      <c r="FO171" s="1553"/>
      <c r="FP171" s="1553"/>
      <c r="FQ171" s="1553"/>
      <c r="FR171" s="1553"/>
      <c r="FS171" s="1553"/>
      <c r="FT171" s="1553"/>
      <c r="FU171" s="1553"/>
      <c r="FV171" s="1553"/>
      <c r="FW171" s="1553"/>
      <c r="FX171" s="1553"/>
      <c r="FY171" s="1553"/>
      <c r="FZ171" s="1553"/>
      <c r="GA171" s="1553"/>
      <c r="GB171" s="1553"/>
      <c r="GC171" s="1553"/>
      <c r="GD171" s="1553"/>
      <c r="GE171" s="1553"/>
      <c r="GF171" s="1553"/>
      <c r="GG171" s="1553"/>
      <c r="GH171" s="1553"/>
      <c r="GI171" s="1553"/>
      <c r="GJ171" s="1553"/>
      <c r="GK171" s="1553"/>
      <c r="GL171" s="1553"/>
      <c r="GM171" s="1553"/>
      <c r="GN171" s="1553"/>
      <c r="GO171" s="1553"/>
      <c r="GP171" s="1553"/>
      <c r="GQ171" s="1553"/>
      <c r="GR171" s="1553"/>
      <c r="GS171" s="1553"/>
      <c r="GT171" s="1553"/>
      <c r="GU171" s="1553"/>
      <c r="GV171" s="1553"/>
      <c r="GW171" s="1553"/>
      <c r="GX171" s="1553"/>
      <c r="GY171" s="1553"/>
      <c r="GZ171" s="1553"/>
      <c r="HA171" s="1553"/>
      <c r="HB171" s="1553"/>
      <c r="HC171" s="1553"/>
      <c r="HD171" s="1553"/>
      <c r="HE171" s="1553"/>
      <c r="HF171" s="1553"/>
      <c r="HG171" s="1553"/>
      <c r="HH171" s="1553"/>
      <c r="HI171" s="1553"/>
      <c r="HJ171" s="1553"/>
      <c r="HK171" s="1553"/>
      <c r="HL171" s="1553"/>
      <c r="HM171" s="1553"/>
      <c r="HN171" s="1553"/>
      <c r="HO171" s="1553"/>
      <c r="HP171" s="1553"/>
      <c r="HQ171" s="1553"/>
      <c r="HR171" s="1553"/>
      <c r="HS171" s="1553"/>
      <c r="HT171" s="1553"/>
      <c r="HU171" s="1553"/>
      <c r="HV171" s="1553"/>
      <c r="HW171" s="1553"/>
      <c r="HX171" s="1553"/>
      <c r="HY171" s="1553"/>
      <c r="HZ171" s="1553"/>
      <c r="IA171" s="1553"/>
      <c r="IB171" s="1553"/>
      <c r="IC171" s="1553"/>
      <c r="ID171" s="1553"/>
      <c r="IE171" s="1553"/>
      <c r="IF171" s="1553"/>
      <c r="IG171" s="1553"/>
      <c r="IH171" s="1553"/>
      <c r="II171" s="1553"/>
      <c r="IJ171" s="1553"/>
      <c r="IK171" s="1553"/>
      <c r="IL171" s="1553"/>
      <c r="IM171" s="1553"/>
      <c r="IN171" s="1553"/>
      <c r="IO171" s="1553"/>
      <c r="IP171" s="1553"/>
      <c r="IQ171" s="1553"/>
      <c r="IR171" s="1553"/>
      <c r="IS171" s="1553"/>
      <c r="IT171" s="1553"/>
      <c r="IU171" s="1553"/>
      <c r="IV171" s="1553"/>
      <c r="IW171" s="1553"/>
      <c r="IX171" s="1553"/>
      <c r="IY171" s="1553">
        <v>22</v>
      </c>
      <c r="IZ171" s="1553"/>
      <c r="JA171" s="1553"/>
      <c r="JB171" s="1553"/>
      <c r="JC171" s="1553"/>
      <c r="JD171" s="1553"/>
      <c r="JE171" s="1553"/>
      <c r="JF171" s="1553"/>
      <c r="JG171" s="1553"/>
      <c r="JH171" s="1553"/>
      <c r="JI171" s="1553"/>
      <c r="JJ171" s="1553"/>
      <c r="JK171" s="1553"/>
      <c r="JL171" s="1553"/>
      <c r="JM171" s="1553"/>
      <c r="JN171" s="1553"/>
      <c r="JO171" s="1553"/>
      <c r="JP171" s="1553"/>
      <c r="JQ171" s="1553"/>
      <c r="JR171" s="351"/>
      <c r="JS171" s="1400"/>
      <c r="JT171" s="1400" t="s">
        <v>2224</v>
      </c>
    </row>
    <row r="172" spans="1:280" x14ac:dyDescent="0.25">
      <c r="A172" s="1367">
        <v>16</v>
      </c>
      <c r="B172" s="1411" t="str">
        <f t="shared" si="78"/>
        <v/>
      </c>
      <c r="C172" s="1435" t="s">
        <v>3341</v>
      </c>
      <c r="D172" s="1436" t="s">
        <v>3337</v>
      </c>
      <c r="E172" s="1500"/>
      <c r="F172" s="1500"/>
      <c r="G172" s="1500"/>
      <c r="H172" s="1500"/>
      <c r="I172" s="1500"/>
      <c r="J172" s="1500"/>
      <c r="K172" s="1500"/>
      <c r="L172" s="1500"/>
      <c r="M172" s="1500"/>
      <c r="N172" s="1500"/>
      <c r="O172" s="1500"/>
      <c r="P172" s="1500"/>
      <c r="Q172" s="1500"/>
      <c r="R172" s="1500"/>
      <c r="S172" s="1500"/>
      <c r="T172" s="1500"/>
      <c r="U172" s="1500"/>
      <c r="V172" s="1500"/>
      <c r="W172" s="1500"/>
      <c r="X172" s="1500"/>
      <c r="Y172" s="1500"/>
      <c r="Z172" s="1500"/>
      <c r="AA172" s="1500"/>
      <c r="AB172" s="1500"/>
      <c r="AC172" s="1500"/>
      <c r="AD172" s="1500"/>
      <c r="AE172" s="1500"/>
      <c r="AF172" s="1500"/>
      <c r="AG172" s="1500"/>
      <c r="AH172" s="1500"/>
      <c r="AI172" s="1500"/>
      <c r="AJ172" s="1500"/>
      <c r="AK172" s="1500"/>
      <c r="AL172" s="1500"/>
      <c r="AM172" s="1500"/>
      <c r="AN172" s="1500"/>
      <c r="AO172" s="1500"/>
      <c r="AP172" s="1500"/>
      <c r="AQ172" s="1500"/>
      <c r="AR172" s="1500"/>
      <c r="AS172" s="1500"/>
      <c r="AT172" s="1500"/>
      <c r="AU172" s="1500"/>
      <c r="AV172" s="1500"/>
      <c r="AW172" s="1500"/>
      <c r="AX172" s="1500"/>
      <c r="AY172" s="1500"/>
      <c r="AZ172" s="1500"/>
      <c r="BA172" s="1500"/>
      <c r="BB172" s="1500"/>
      <c r="BC172" s="1500"/>
      <c r="BD172" s="1500"/>
      <c r="BE172" s="1500"/>
      <c r="BF172" s="1500"/>
      <c r="BG172" s="1500"/>
      <c r="BH172" s="1500"/>
      <c r="BI172" s="1500"/>
      <c r="BJ172" s="1500"/>
      <c r="BK172" s="1500"/>
      <c r="BL172" s="1500"/>
      <c r="BM172" s="1500"/>
      <c r="BN172" s="1500"/>
      <c r="BO172" s="1500"/>
      <c r="BP172" s="1500"/>
      <c r="BQ172" s="1500"/>
      <c r="BR172" s="1500"/>
      <c r="BS172" s="1500"/>
      <c r="BT172" s="1500"/>
      <c r="BU172" s="1500"/>
      <c r="BV172" s="1500"/>
      <c r="BW172" s="1500"/>
      <c r="BX172" s="1500"/>
      <c r="BY172" s="1500"/>
      <c r="BZ172" s="1500"/>
      <c r="CA172" s="1500"/>
      <c r="CB172" s="1500"/>
      <c r="CC172" s="1500"/>
      <c r="CD172" s="1500"/>
      <c r="CE172" s="1500"/>
      <c r="CF172" s="1500"/>
      <c r="CG172" s="1500"/>
      <c r="CH172" s="1500"/>
      <c r="CI172" s="1500"/>
      <c r="CJ172" s="1500"/>
      <c r="CK172" s="1500"/>
      <c r="CL172" s="1500"/>
      <c r="CM172" s="1500"/>
      <c r="CN172" s="1500"/>
      <c r="CO172" s="1500"/>
      <c r="CP172" s="1500"/>
      <c r="CQ172" s="1500"/>
      <c r="CR172" s="1500"/>
      <c r="CS172" s="1500"/>
      <c r="CT172" s="1500"/>
      <c r="CU172" s="1500"/>
      <c r="CV172" s="1500"/>
      <c r="CW172" s="1500"/>
      <c r="CX172" s="1500"/>
      <c r="CY172" s="1500"/>
      <c r="CZ172" s="1500"/>
      <c r="DA172" s="1500"/>
      <c r="DB172" s="1500"/>
      <c r="DC172" s="1500"/>
      <c r="DD172" s="1500"/>
      <c r="DE172" s="1500"/>
      <c r="DF172" s="1500"/>
      <c r="DG172" s="1500"/>
      <c r="DH172" s="1500"/>
      <c r="DI172" s="1500"/>
      <c r="DJ172" s="1500"/>
      <c r="DK172" s="1500"/>
      <c r="DL172" s="1500"/>
      <c r="DM172" s="1500"/>
      <c r="DN172" s="1500"/>
      <c r="DO172" s="1500"/>
      <c r="DP172" s="1500"/>
      <c r="DQ172" s="1500"/>
      <c r="DR172" s="1500"/>
      <c r="DS172" s="1500"/>
      <c r="DT172" s="1500"/>
      <c r="DU172" s="1500"/>
      <c r="DV172" s="1500"/>
      <c r="DW172" s="1500"/>
      <c r="DX172" s="1500"/>
      <c r="DY172" s="1500"/>
      <c r="DZ172" s="1500"/>
      <c r="EA172" s="1500"/>
      <c r="EB172" s="1500"/>
      <c r="EC172" s="1500"/>
      <c r="ED172" s="1500"/>
      <c r="EE172" s="1500"/>
      <c r="EF172" s="1500"/>
      <c r="EG172" s="1500"/>
      <c r="EH172" s="1500"/>
      <c r="EI172" s="1500"/>
      <c r="EJ172" s="1500"/>
      <c r="EK172" s="1500"/>
      <c r="EL172" s="1500"/>
      <c r="EM172" s="1500"/>
      <c r="EN172" s="1500"/>
      <c r="EO172" s="1500"/>
      <c r="EP172" s="1500"/>
      <c r="EQ172" s="1454"/>
      <c r="ER172" s="1454"/>
      <c r="ES172" s="1452"/>
      <c r="ET172" s="1452"/>
      <c r="EU172" s="1454"/>
      <c r="EV172" s="1452"/>
      <c r="EW172" s="1500">
        <v>101</v>
      </c>
      <c r="EX172" s="1452"/>
      <c r="EY172" s="1452"/>
      <c r="EZ172" s="1452"/>
      <c r="FA172" s="1452"/>
      <c r="FB172" s="1500"/>
      <c r="FC172" s="1500"/>
      <c r="FD172" s="1500"/>
      <c r="FE172" s="1500"/>
      <c r="FF172" s="1500"/>
      <c r="FG172" s="1500"/>
      <c r="FH172" s="1500"/>
      <c r="FI172" s="1500"/>
      <c r="FJ172" s="1500"/>
      <c r="FK172" s="1500"/>
      <c r="FL172" s="1500"/>
      <c r="FM172" s="1500"/>
      <c r="FN172" s="1500"/>
      <c r="FO172" s="1500"/>
      <c r="FP172" s="1500"/>
      <c r="FQ172" s="1500"/>
      <c r="FR172" s="1500"/>
      <c r="FS172" s="1500"/>
      <c r="FT172" s="1500"/>
      <c r="FU172" s="1500"/>
      <c r="FV172" s="1500"/>
      <c r="FW172" s="1500"/>
      <c r="FX172" s="1500"/>
      <c r="FY172" s="1500"/>
      <c r="FZ172" s="1500"/>
      <c r="GA172" s="1500"/>
      <c r="GB172" s="1500"/>
      <c r="GC172" s="1500"/>
      <c r="GD172" s="1500"/>
      <c r="GE172" s="1500"/>
      <c r="GF172" s="1500"/>
      <c r="GG172" s="1500"/>
      <c r="GH172" s="1500"/>
      <c r="GI172" s="1500"/>
      <c r="GJ172" s="1500"/>
      <c r="GK172" s="1500"/>
      <c r="GL172" s="1500"/>
      <c r="GM172" s="1500"/>
      <c r="GN172" s="1500"/>
      <c r="GO172" s="1500"/>
      <c r="GP172" s="1500"/>
      <c r="GQ172" s="1500"/>
      <c r="GR172" s="1500"/>
      <c r="GS172" s="1500"/>
      <c r="GT172" s="1500"/>
      <c r="GU172" s="1500"/>
      <c r="GV172" s="1500"/>
      <c r="GW172" s="1500"/>
      <c r="GX172" s="1500"/>
      <c r="GY172" s="1500"/>
      <c r="GZ172" s="1500"/>
      <c r="HA172" s="1500"/>
      <c r="HB172" s="1500"/>
      <c r="HC172" s="1500"/>
      <c r="HD172" s="1500"/>
      <c r="HE172" s="1500"/>
      <c r="HF172" s="1500"/>
      <c r="HG172" s="1500"/>
      <c r="HH172" s="1500"/>
      <c r="HI172" s="1500"/>
      <c r="HJ172" s="1500"/>
      <c r="HK172" s="1500"/>
      <c r="HL172" s="1500"/>
      <c r="HM172" s="1500"/>
      <c r="HN172" s="1500"/>
      <c r="HO172" s="1500"/>
      <c r="HP172" s="1500"/>
      <c r="HQ172" s="1500"/>
      <c r="HR172" s="1500"/>
      <c r="HS172" s="1500"/>
      <c r="HT172" s="1500"/>
      <c r="HU172" s="1500"/>
      <c r="HV172" s="1500"/>
      <c r="HW172" s="1500"/>
      <c r="HX172" s="1500"/>
      <c r="HY172" s="1500"/>
      <c r="HZ172" s="1500"/>
      <c r="IA172" s="1500"/>
      <c r="IB172" s="1500"/>
      <c r="IC172" s="1500"/>
      <c r="ID172" s="1500"/>
      <c r="IE172" s="1500"/>
      <c r="IF172" s="1500"/>
      <c r="IG172" s="1500"/>
      <c r="IH172" s="1500"/>
      <c r="II172" s="1500"/>
      <c r="IJ172" s="1500"/>
      <c r="IK172" s="1500"/>
      <c r="IL172" s="1500"/>
      <c r="IM172" s="1500"/>
      <c r="IN172" s="1500"/>
      <c r="IO172" s="1500"/>
      <c r="IP172" s="1500"/>
      <c r="IQ172" s="1500"/>
      <c r="IR172" s="1500"/>
      <c r="IS172" s="1500"/>
      <c r="IT172" s="1500"/>
      <c r="IU172" s="1500"/>
      <c r="IV172" s="1500"/>
      <c r="IW172" s="1500"/>
      <c r="IX172" s="1500"/>
      <c r="IY172" s="1500">
        <v>35</v>
      </c>
      <c r="IZ172" s="1500"/>
      <c r="JA172" s="1500"/>
      <c r="JB172" s="1500"/>
      <c r="JC172" s="1500"/>
      <c r="JD172" s="1500"/>
      <c r="JE172" s="1500"/>
      <c r="JF172" s="1500"/>
      <c r="JG172" s="1500"/>
      <c r="JH172" s="1500"/>
      <c r="JI172" s="1500"/>
      <c r="JJ172" s="1500"/>
      <c r="JK172" s="1500"/>
      <c r="JL172" s="1500"/>
      <c r="JM172" s="1500"/>
      <c r="JN172" s="1500"/>
      <c r="JO172" s="1500"/>
      <c r="JP172" s="1500"/>
      <c r="JQ172" s="1500"/>
      <c r="JR172" s="351"/>
      <c r="JS172" s="1400"/>
      <c r="JT172" s="1400" t="s">
        <v>2224</v>
      </c>
    </row>
    <row r="173" spans="1:280" ht="20" x14ac:dyDescent="0.25">
      <c r="A173" s="1367">
        <v>17</v>
      </c>
      <c r="B173" s="1411" t="str">
        <f t="shared" si="78"/>
        <v/>
      </c>
      <c r="C173" s="1435" t="s">
        <v>3342</v>
      </c>
      <c r="D173" s="1436" t="s">
        <v>3343</v>
      </c>
      <c r="E173" s="1479"/>
      <c r="F173" s="1479"/>
      <c r="G173" s="1479"/>
      <c r="H173" s="1479"/>
      <c r="I173" s="1479"/>
      <c r="J173" s="1479"/>
      <c r="K173" s="1479"/>
      <c r="L173" s="1479"/>
      <c r="M173" s="1479"/>
      <c r="N173" s="1479"/>
      <c r="O173" s="1479"/>
      <c r="P173" s="1479"/>
      <c r="Q173" s="1479"/>
      <c r="R173" s="1479"/>
      <c r="S173" s="1479"/>
      <c r="T173" s="1479"/>
      <c r="U173" s="1479"/>
      <c r="V173" s="1479"/>
      <c r="W173" s="1479"/>
      <c r="X173" s="1479"/>
      <c r="Y173" s="1479"/>
      <c r="Z173" s="1479"/>
      <c r="AA173" s="1479"/>
      <c r="AB173" s="1479"/>
      <c r="AC173" s="1479"/>
      <c r="AD173" s="1479"/>
      <c r="AE173" s="1479"/>
      <c r="AF173" s="1479"/>
      <c r="AG173" s="1479"/>
      <c r="AH173" s="1479"/>
      <c r="AI173" s="1479"/>
      <c r="AJ173" s="1479"/>
      <c r="AK173" s="1479"/>
      <c r="AL173" s="1479"/>
      <c r="AM173" s="1479"/>
      <c r="AN173" s="1479"/>
      <c r="AO173" s="1479"/>
      <c r="AP173" s="1479"/>
      <c r="AQ173" s="1479"/>
      <c r="AR173" s="1479"/>
      <c r="AS173" s="1479"/>
      <c r="AT173" s="1479"/>
      <c r="AU173" s="1479"/>
      <c r="AV173" s="1479"/>
      <c r="AW173" s="1479"/>
      <c r="AX173" s="1479"/>
      <c r="AY173" s="1479"/>
      <c r="AZ173" s="1479"/>
      <c r="BA173" s="1479"/>
      <c r="BB173" s="1479"/>
      <c r="BC173" s="1479"/>
      <c r="BD173" s="1479"/>
      <c r="BE173" s="1479"/>
      <c r="BF173" s="1479"/>
      <c r="BG173" s="1479"/>
      <c r="BH173" s="1479"/>
      <c r="BI173" s="1479"/>
      <c r="BJ173" s="1479"/>
      <c r="BK173" s="1479"/>
      <c r="BL173" s="1479"/>
      <c r="BM173" s="1479"/>
      <c r="BN173" s="1479"/>
      <c r="BO173" s="1479"/>
      <c r="BP173" s="1479"/>
      <c r="BQ173" s="1479"/>
      <c r="BR173" s="1479"/>
      <c r="BS173" s="1479"/>
      <c r="BT173" s="1479"/>
      <c r="BU173" s="1479"/>
      <c r="BV173" s="1479"/>
      <c r="BW173" s="1479"/>
      <c r="BX173" s="1479"/>
      <c r="BY173" s="1479"/>
      <c r="BZ173" s="1479"/>
      <c r="CA173" s="1479"/>
      <c r="CB173" s="1479"/>
      <c r="CC173" s="1479"/>
      <c r="CD173" s="1479"/>
      <c r="CE173" s="1479"/>
      <c r="CF173" s="1479"/>
      <c r="CG173" s="1479"/>
      <c r="CH173" s="1479"/>
      <c r="CI173" s="1479"/>
      <c r="CJ173" s="1479"/>
      <c r="CK173" s="1479"/>
      <c r="CL173" s="1479"/>
      <c r="CM173" s="1479"/>
      <c r="CN173" s="1479"/>
      <c r="CO173" s="1479"/>
      <c r="CP173" s="1479"/>
      <c r="CQ173" s="1479"/>
      <c r="CR173" s="1479"/>
      <c r="CS173" s="1479"/>
      <c r="CT173" s="1479"/>
      <c r="CU173" s="1479"/>
      <c r="CV173" s="1479"/>
      <c r="CW173" s="1479"/>
      <c r="CX173" s="1479"/>
      <c r="CY173" s="1479"/>
      <c r="CZ173" s="1479"/>
      <c r="DA173" s="1479"/>
      <c r="DB173" s="1479"/>
      <c r="DC173" s="1479"/>
      <c r="DD173" s="1479"/>
      <c r="DE173" s="1479"/>
      <c r="DF173" s="1479"/>
      <c r="DG173" s="1479"/>
      <c r="DH173" s="1479"/>
      <c r="DI173" s="1479"/>
      <c r="DJ173" s="1479"/>
      <c r="DK173" s="1479"/>
      <c r="DL173" s="1479"/>
      <c r="DM173" s="1479"/>
      <c r="DN173" s="1479"/>
      <c r="DO173" s="1479"/>
      <c r="DP173" s="1479"/>
      <c r="DQ173" s="1479"/>
      <c r="DR173" s="1479"/>
      <c r="DS173" s="1479"/>
      <c r="DT173" s="1479"/>
      <c r="DU173" s="1479"/>
      <c r="DV173" s="1479"/>
      <c r="DW173" s="1479"/>
      <c r="DX173" s="1479"/>
      <c r="DY173" s="1479"/>
      <c r="DZ173" s="1479"/>
      <c r="EA173" s="1479"/>
      <c r="EB173" s="1479"/>
      <c r="EC173" s="1479"/>
      <c r="ED173" s="1479"/>
      <c r="EE173" s="1479"/>
      <c r="EF173" s="1479"/>
      <c r="EG173" s="1479"/>
      <c r="EH173" s="1479"/>
      <c r="EI173" s="1479"/>
      <c r="EJ173" s="1479"/>
      <c r="EK173" s="1479"/>
      <c r="EL173" s="1479"/>
      <c r="EM173" s="1479"/>
      <c r="EN173" s="1479"/>
      <c r="EO173" s="1479"/>
      <c r="EP173" s="1479"/>
      <c r="EQ173" s="1503"/>
      <c r="ER173" s="1503"/>
      <c r="ES173" s="1503"/>
      <c r="ET173" s="1503"/>
      <c r="EU173" s="1503"/>
      <c r="EV173" s="1503"/>
      <c r="EW173" s="1479">
        <f t="shared" ref="EW173:EZ173" si="81">EW167+EW168+EW169+EW170+EW171+EW172</f>
        <v>1708</v>
      </c>
      <c r="EX173" s="1503">
        <f t="shared" si="81"/>
        <v>22094</v>
      </c>
      <c r="EY173" s="1479">
        <f t="shared" si="81"/>
        <v>754</v>
      </c>
      <c r="EZ173" s="1503">
        <f t="shared" si="81"/>
        <v>484</v>
      </c>
      <c r="FA173" s="1503"/>
      <c r="FB173" s="1479"/>
      <c r="FC173" s="1479"/>
      <c r="FD173" s="1479"/>
      <c r="FE173" s="1479"/>
      <c r="FF173" s="1479"/>
      <c r="FG173" s="1479"/>
      <c r="FH173" s="1479"/>
      <c r="FI173" s="1479"/>
      <c r="FJ173" s="1479"/>
      <c r="FK173" s="1479"/>
      <c r="FL173" s="1479"/>
      <c r="FM173" s="1479"/>
      <c r="FN173" s="1479"/>
      <c r="FO173" s="1479"/>
      <c r="FP173" s="1479"/>
      <c r="FQ173" s="1479"/>
      <c r="FR173" s="1479"/>
      <c r="FS173" s="1479"/>
      <c r="FT173" s="1479"/>
      <c r="FU173" s="1479"/>
      <c r="FV173" s="1479"/>
      <c r="FW173" s="1479"/>
      <c r="FX173" s="1479"/>
      <c r="FY173" s="1479"/>
      <c r="FZ173" s="1479"/>
      <c r="GA173" s="1479"/>
      <c r="GB173" s="1479"/>
      <c r="GC173" s="1479"/>
      <c r="GD173" s="1479"/>
      <c r="GE173" s="1479"/>
      <c r="GF173" s="1479"/>
      <c r="GG173" s="1479"/>
      <c r="GH173" s="1479"/>
      <c r="GI173" s="1479"/>
      <c r="GJ173" s="1479"/>
      <c r="GK173" s="1479"/>
      <c r="GL173" s="1479"/>
      <c r="GM173" s="1479"/>
      <c r="GN173" s="1479"/>
      <c r="GO173" s="1479"/>
      <c r="GP173" s="1479"/>
      <c r="GQ173" s="1479"/>
      <c r="GR173" s="1479"/>
      <c r="GS173" s="1479"/>
      <c r="GT173" s="1479"/>
      <c r="GU173" s="1479"/>
      <c r="GV173" s="1479"/>
      <c r="GW173" s="1479"/>
      <c r="GX173" s="1479"/>
      <c r="GY173" s="1479"/>
      <c r="GZ173" s="1479"/>
      <c r="HA173" s="1479"/>
      <c r="HB173" s="1479"/>
      <c r="HC173" s="1479"/>
      <c r="HD173" s="1479"/>
      <c r="HE173" s="1479"/>
      <c r="HF173" s="1479"/>
      <c r="HG173" s="1479"/>
      <c r="HH173" s="1479"/>
      <c r="HI173" s="1479"/>
      <c r="HJ173" s="1479"/>
      <c r="HK173" s="1479"/>
      <c r="HL173" s="1479"/>
      <c r="HM173" s="1479"/>
      <c r="HN173" s="1479"/>
      <c r="HO173" s="1479"/>
      <c r="HP173" s="1479"/>
      <c r="HQ173" s="1479"/>
      <c r="HR173" s="1479"/>
      <c r="HS173" s="1479"/>
      <c r="HT173" s="1479"/>
      <c r="HU173" s="1479"/>
      <c r="HV173" s="1479"/>
      <c r="HW173" s="1479"/>
      <c r="HX173" s="1479"/>
      <c r="HY173" s="1479"/>
      <c r="HZ173" s="1479"/>
      <c r="IA173" s="1479"/>
      <c r="IB173" s="1479"/>
      <c r="IC173" s="1479"/>
      <c r="ID173" s="1479"/>
      <c r="IE173" s="1479"/>
      <c r="IF173" s="1479"/>
      <c r="IG173" s="1479"/>
      <c r="IH173" s="1479"/>
      <c r="II173" s="1479"/>
      <c r="IJ173" s="1479"/>
      <c r="IK173" s="1479"/>
      <c r="IL173" s="1479"/>
      <c r="IM173" s="1479"/>
      <c r="IN173" s="1479"/>
      <c r="IO173" s="1479"/>
      <c r="IP173" s="1479"/>
      <c r="IQ173" s="1479"/>
      <c r="IR173" s="1479"/>
      <c r="IS173" s="1479"/>
      <c r="IT173" s="1479"/>
      <c r="IU173" s="1479"/>
      <c r="IV173" s="1479"/>
      <c r="IW173" s="1479"/>
      <c r="IX173" s="1479"/>
      <c r="IY173" s="1479">
        <f>IY167+IY168+IY169+IY170+IY171+IY172</f>
        <v>570</v>
      </c>
      <c r="IZ173" s="1479"/>
      <c r="JA173" s="1479"/>
      <c r="JB173" s="1479"/>
      <c r="JC173" s="1479"/>
      <c r="JD173" s="1479"/>
      <c r="JE173" s="1479"/>
      <c r="JF173" s="1479"/>
      <c r="JG173" s="1479"/>
      <c r="JH173" s="1479"/>
      <c r="JI173" s="1479"/>
      <c r="JJ173" s="1479"/>
      <c r="JK173" s="1479"/>
      <c r="JL173" s="1479"/>
      <c r="JM173" s="1479"/>
      <c r="JN173" s="1479"/>
      <c r="JO173" s="1479"/>
      <c r="JP173" s="1479"/>
      <c r="JQ173" s="1479"/>
      <c r="JR173" s="351"/>
      <c r="JS173" s="1400" t="s">
        <v>3344</v>
      </c>
      <c r="JT173" s="1400" t="s">
        <v>2224</v>
      </c>
    </row>
    <row r="174" spans="1:280" x14ac:dyDescent="0.25">
      <c r="A174" s="1367">
        <v>18</v>
      </c>
      <c r="B174" s="1411" t="str">
        <f t="shared" si="78"/>
        <v/>
      </c>
      <c r="C174" s="1435" t="s">
        <v>3345</v>
      </c>
      <c r="D174" s="1436" t="s">
        <v>3346</v>
      </c>
      <c r="E174" s="1552"/>
      <c r="F174" s="1552"/>
      <c r="G174" s="1552"/>
      <c r="H174" s="1552"/>
      <c r="I174" s="1552"/>
      <c r="J174" s="1552"/>
      <c r="K174" s="1552"/>
      <c r="L174" s="1552"/>
      <c r="M174" s="1552"/>
      <c r="N174" s="1552"/>
      <c r="O174" s="1552"/>
      <c r="P174" s="1552"/>
      <c r="Q174" s="1552"/>
      <c r="R174" s="1553"/>
      <c r="S174" s="1553"/>
      <c r="T174" s="1553"/>
      <c r="U174" s="1553"/>
      <c r="V174" s="1553"/>
      <c r="W174" s="1553"/>
      <c r="X174" s="1553"/>
      <c r="Y174" s="1553"/>
      <c r="Z174" s="1553"/>
      <c r="AA174" s="1553"/>
      <c r="AB174" s="1553"/>
      <c r="AC174" s="1553"/>
      <c r="AD174" s="1553"/>
      <c r="AE174" s="1553"/>
      <c r="AF174" s="1553"/>
      <c r="AG174" s="1553"/>
      <c r="AH174" s="1553"/>
      <c r="AI174" s="1553"/>
      <c r="AJ174" s="1553"/>
      <c r="AK174" s="1553"/>
      <c r="AL174" s="1553"/>
      <c r="AM174" s="1553"/>
      <c r="AN174" s="1553"/>
      <c r="AO174" s="1553"/>
      <c r="AP174" s="1553"/>
      <c r="AQ174" s="1553"/>
      <c r="AR174" s="1553"/>
      <c r="AS174" s="1553"/>
      <c r="AT174" s="1553"/>
      <c r="AU174" s="1553"/>
      <c r="AV174" s="1553"/>
      <c r="AW174" s="1553"/>
      <c r="AX174" s="1553"/>
      <c r="AY174" s="1553"/>
      <c r="AZ174" s="1553"/>
      <c r="BA174" s="1553"/>
      <c r="BB174" s="1553"/>
      <c r="BC174" s="1553"/>
      <c r="BD174" s="1553"/>
      <c r="BE174" s="1553"/>
      <c r="BF174" s="1553"/>
      <c r="BG174" s="1553"/>
      <c r="BH174" s="1553"/>
      <c r="BI174" s="1553"/>
      <c r="BJ174" s="1553"/>
      <c r="BK174" s="1553"/>
      <c r="BL174" s="1553"/>
      <c r="BM174" s="1553"/>
      <c r="BN174" s="1553"/>
      <c r="BO174" s="1553"/>
      <c r="BP174" s="1553"/>
      <c r="BQ174" s="1553"/>
      <c r="BR174" s="1553"/>
      <c r="BS174" s="1553"/>
      <c r="BT174" s="1553"/>
      <c r="BU174" s="1553"/>
      <c r="BV174" s="1553"/>
      <c r="BW174" s="1553"/>
      <c r="BX174" s="1553"/>
      <c r="BY174" s="1553"/>
      <c r="BZ174" s="1553"/>
      <c r="CA174" s="1553"/>
      <c r="CB174" s="1553"/>
      <c r="CC174" s="1553"/>
      <c r="CD174" s="1553"/>
      <c r="CE174" s="1553"/>
      <c r="CF174" s="1553"/>
      <c r="CG174" s="1553"/>
      <c r="CH174" s="1553"/>
      <c r="CI174" s="1553"/>
      <c r="CJ174" s="1553"/>
      <c r="CK174" s="1553"/>
      <c r="CL174" s="1553"/>
      <c r="CM174" s="1553"/>
      <c r="CN174" s="1553"/>
      <c r="CO174" s="1553"/>
      <c r="CP174" s="1553"/>
      <c r="CQ174" s="1553"/>
      <c r="CR174" s="1553"/>
      <c r="CS174" s="1553"/>
      <c r="CT174" s="1553"/>
      <c r="CU174" s="1553"/>
      <c r="CV174" s="1553"/>
      <c r="CW174" s="1553"/>
      <c r="CX174" s="1553"/>
      <c r="CY174" s="1553"/>
      <c r="CZ174" s="1553"/>
      <c r="DA174" s="1553"/>
      <c r="DB174" s="1553"/>
      <c r="DC174" s="1553"/>
      <c r="DD174" s="1553"/>
      <c r="DE174" s="1553"/>
      <c r="DF174" s="1553"/>
      <c r="DG174" s="1553"/>
      <c r="DH174" s="1553"/>
      <c r="DI174" s="1553"/>
      <c r="DJ174" s="1553"/>
      <c r="DK174" s="1553"/>
      <c r="DL174" s="1553"/>
      <c r="DM174" s="1553"/>
      <c r="DN174" s="1553"/>
      <c r="DO174" s="1553"/>
      <c r="DP174" s="1553"/>
      <c r="DQ174" s="1553"/>
      <c r="DR174" s="1553"/>
      <c r="DS174" s="1553"/>
      <c r="DT174" s="1553"/>
      <c r="DU174" s="1553"/>
      <c r="DV174" s="1553"/>
      <c r="DW174" s="1553"/>
      <c r="DX174" s="1553"/>
      <c r="DY174" s="1553"/>
      <c r="DZ174" s="1553"/>
      <c r="EA174" s="1553"/>
      <c r="EB174" s="1553"/>
      <c r="EC174" s="1553"/>
      <c r="ED174" s="1553"/>
      <c r="EE174" s="1553"/>
      <c r="EF174" s="1553"/>
      <c r="EG174" s="1553"/>
      <c r="EH174" s="1553"/>
      <c r="EI174" s="1553"/>
      <c r="EJ174" s="1553"/>
      <c r="EK174" s="1553"/>
      <c r="EL174" s="1553"/>
      <c r="EM174" s="1553"/>
      <c r="EN174" s="1553"/>
      <c r="EO174" s="1553"/>
      <c r="EP174" s="1553"/>
      <c r="EQ174" s="1454">
        <v>20183</v>
      </c>
      <c r="ER174" s="1538">
        <v>4448</v>
      </c>
      <c r="ES174" s="1538">
        <v>670</v>
      </c>
      <c r="ET174" s="1538">
        <v>4</v>
      </c>
      <c r="EU174" s="1454">
        <v>12733</v>
      </c>
      <c r="EV174" s="1538">
        <v>93118</v>
      </c>
      <c r="EW174" s="1452"/>
      <c r="EX174" s="1538"/>
      <c r="EY174" s="1554">
        <v>19463</v>
      </c>
      <c r="EZ174" s="1538">
        <v>61864</v>
      </c>
      <c r="FA174" s="1538"/>
      <c r="FB174" s="1559"/>
      <c r="FC174" s="1559"/>
      <c r="FD174" s="1559"/>
      <c r="FE174" s="1559"/>
      <c r="FF174" s="1559"/>
      <c r="FG174" s="1559"/>
      <c r="FH174" s="1559"/>
      <c r="FI174" s="1559"/>
      <c r="FJ174" s="1559"/>
      <c r="FK174" s="1559"/>
      <c r="FL174" s="1559"/>
      <c r="FM174" s="1559"/>
      <c r="FN174" s="1559"/>
      <c r="FO174" s="1559"/>
      <c r="FP174" s="1559"/>
      <c r="FQ174" s="1559"/>
      <c r="FR174" s="1559"/>
      <c r="FS174" s="1559"/>
      <c r="FT174" s="1559"/>
      <c r="FU174" s="1559"/>
      <c r="FV174" s="1559"/>
      <c r="FW174" s="1559"/>
      <c r="FX174" s="1559"/>
      <c r="FY174" s="1559"/>
      <c r="FZ174" s="1559"/>
      <c r="GA174" s="1559"/>
      <c r="GB174" s="1559"/>
      <c r="GC174" s="1559"/>
      <c r="GD174" s="1559"/>
      <c r="GE174" s="1559"/>
      <c r="GF174" s="1559"/>
      <c r="GG174" s="1559"/>
      <c r="GH174" s="1559"/>
      <c r="GI174" s="1559"/>
      <c r="GJ174" s="1559"/>
      <c r="GK174" s="1559"/>
      <c r="GL174" s="1559"/>
      <c r="GM174" s="1559"/>
      <c r="GN174" s="1559"/>
      <c r="GO174" s="1559"/>
      <c r="GP174" s="1559"/>
      <c r="GQ174" s="1559"/>
      <c r="GR174" s="1559"/>
      <c r="GS174" s="1559"/>
      <c r="GT174" s="1559"/>
      <c r="GU174" s="1559"/>
      <c r="GV174" s="1559"/>
      <c r="GW174" s="1559"/>
      <c r="GX174" s="1559"/>
      <c r="GY174" s="1559"/>
      <c r="GZ174" s="1559"/>
      <c r="HA174" s="1559"/>
      <c r="HB174" s="1559"/>
      <c r="HC174" s="1559"/>
      <c r="HD174" s="1559"/>
      <c r="HE174" s="1559"/>
      <c r="HF174" s="1559"/>
      <c r="HG174" s="1559"/>
      <c r="HH174" s="1559"/>
      <c r="HI174" s="1559"/>
      <c r="HJ174" s="1559"/>
      <c r="HK174" s="1559"/>
      <c r="HL174" s="1559"/>
      <c r="HM174" s="1559"/>
      <c r="HN174" s="1559"/>
      <c r="HO174" s="1559"/>
      <c r="HP174" s="1559"/>
      <c r="HQ174" s="1559"/>
      <c r="HR174" s="1559"/>
      <c r="HS174" s="1559"/>
      <c r="HT174" s="1559"/>
      <c r="HU174" s="1559"/>
      <c r="HV174" s="1559"/>
      <c r="HW174" s="1559"/>
      <c r="HX174" s="1559"/>
      <c r="HY174" s="1559"/>
      <c r="HZ174" s="1559"/>
      <c r="IA174" s="1559"/>
      <c r="IB174" s="1559"/>
      <c r="IC174" s="1559"/>
      <c r="ID174" s="1559"/>
      <c r="IE174" s="1559"/>
      <c r="IF174" s="1559"/>
      <c r="IG174" s="1559"/>
      <c r="IH174" s="1559"/>
      <c r="II174" s="1559"/>
      <c r="IJ174" s="1559"/>
      <c r="IK174" s="1559"/>
      <c r="IL174" s="1559"/>
      <c r="IM174" s="1559"/>
      <c r="IN174" s="1559"/>
      <c r="IO174" s="1559"/>
      <c r="IP174" s="1559"/>
      <c r="IQ174" s="1559"/>
      <c r="IR174" s="1559"/>
      <c r="IS174" s="1559"/>
      <c r="IT174" s="1559"/>
      <c r="IU174" s="1559"/>
      <c r="IV174" s="1559"/>
      <c r="IW174" s="1559"/>
      <c r="IX174" s="1559"/>
      <c r="IY174" s="1559"/>
      <c r="IZ174" s="1559"/>
      <c r="JA174" s="1559"/>
      <c r="JB174" s="1559"/>
      <c r="JC174" s="1559"/>
      <c r="JD174" s="1559"/>
      <c r="JE174" s="1559"/>
      <c r="JF174" s="1559"/>
      <c r="JG174" s="1559"/>
      <c r="JH174" s="1559"/>
      <c r="JI174" s="1559"/>
      <c r="JJ174" s="1559"/>
      <c r="JK174" s="1559"/>
      <c r="JL174" s="1559"/>
      <c r="JM174" s="1559"/>
      <c r="JN174" s="1559"/>
      <c r="JO174" s="1559"/>
      <c r="JP174" s="1559"/>
      <c r="JQ174" s="1559"/>
      <c r="JR174" s="11"/>
      <c r="JS174" s="1400"/>
      <c r="JT174" s="1400" t="s">
        <v>2242</v>
      </c>
    </row>
    <row r="175" spans="1:280" x14ac:dyDescent="0.25">
      <c r="A175" s="1367">
        <v>19</v>
      </c>
      <c r="B175" s="1411" t="str">
        <f t="shared" si="78"/>
        <v/>
      </c>
      <c r="C175" s="1435" t="s">
        <v>3347</v>
      </c>
      <c r="D175" s="1436" t="s">
        <v>3348</v>
      </c>
      <c r="E175" s="1552"/>
      <c r="F175" s="1552"/>
      <c r="G175" s="1552"/>
      <c r="H175" s="1552"/>
      <c r="I175" s="1552"/>
      <c r="J175" s="1552"/>
      <c r="K175" s="1552"/>
      <c r="L175" s="1552"/>
      <c r="M175" s="1552"/>
      <c r="N175" s="1552"/>
      <c r="O175" s="1552"/>
      <c r="P175" s="1552"/>
      <c r="Q175" s="1552"/>
      <c r="R175" s="1553"/>
      <c r="S175" s="1553"/>
      <c r="T175" s="1553"/>
      <c r="U175" s="1553"/>
      <c r="V175" s="1553"/>
      <c r="W175" s="1553"/>
      <c r="X175" s="1553"/>
      <c r="Y175" s="1553"/>
      <c r="Z175" s="1553"/>
      <c r="AA175" s="1553"/>
      <c r="AB175" s="1553"/>
      <c r="AC175" s="1553"/>
      <c r="AD175" s="1553"/>
      <c r="AE175" s="1553"/>
      <c r="AF175" s="1553"/>
      <c r="AG175" s="1553"/>
      <c r="AH175" s="1553"/>
      <c r="AI175" s="1553"/>
      <c r="AJ175" s="1553"/>
      <c r="AK175" s="1553"/>
      <c r="AL175" s="1553"/>
      <c r="AM175" s="1553"/>
      <c r="AN175" s="1553"/>
      <c r="AO175" s="1553"/>
      <c r="AP175" s="1553"/>
      <c r="AQ175" s="1553"/>
      <c r="AR175" s="1553"/>
      <c r="AS175" s="1553"/>
      <c r="AT175" s="1553"/>
      <c r="AU175" s="1553"/>
      <c r="AV175" s="1553"/>
      <c r="AW175" s="1553"/>
      <c r="AX175" s="1553"/>
      <c r="AY175" s="1553"/>
      <c r="AZ175" s="1553"/>
      <c r="BA175" s="1553"/>
      <c r="BB175" s="1553"/>
      <c r="BC175" s="1553"/>
      <c r="BD175" s="1553"/>
      <c r="BE175" s="1553"/>
      <c r="BF175" s="1553"/>
      <c r="BG175" s="1553"/>
      <c r="BH175" s="1553"/>
      <c r="BI175" s="1553"/>
      <c r="BJ175" s="1553"/>
      <c r="BK175" s="1553"/>
      <c r="BL175" s="1553"/>
      <c r="BM175" s="1553"/>
      <c r="BN175" s="1553"/>
      <c r="BO175" s="1553"/>
      <c r="BP175" s="1553"/>
      <c r="BQ175" s="1553"/>
      <c r="BR175" s="1553"/>
      <c r="BS175" s="1553"/>
      <c r="BT175" s="1553"/>
      <c r="BU175" s="1553"/>
      <c r="BV175" s="1553"/>
      <c r="BW175" s="1553"/>
      <c r="BX175" s="1553"/>
      <c r="BY175" s="1553"/>
      <c r="BZ175" s="1553"/>
      <c r="CA175" s="1553"/>
      <c r="CB175" s="1553"/>
      <c r="CC175" s="1553"/>
      <c r="CD175" s="1553"/>
      <c r="CE175" s="1553"/>
      <c r="CF175" s="1553"/>
      <c r="CG175" s="1553"/>
      <c r="CH175" s="1553"/>
      <c r="CI175" s="1553"/>
      <c r="CJ175" s="1553"/>
      <c r="CK175" s="1553"/>
      <c r="CL175" s="1553"/>
      <c r="CM175" s="1553"/>
      <c r="CN175" s="1553"/>
      <c r="CO175" s="1553"/>
      <c r="CP175" s="1553"/>
      <c r="CQ175" s="1553"/>
      <c r="CR175" s="1553"/>
      <c r="CS175" s="1553"/>
      <c r="CT175" s="1553"/>
      <c r="CU175" s="1553"/>
      <c r="CV175" s="1553"/>
      <c r="CW175" s="1553"/>
      <c r="CX175" s="1553"/>
      <c r="CY175" s="1553"/>
      <c r="CZ175" s="1553"/>
      <c r="DA175" s="1553"/>
      <c r="DB175" s="1553"/>
      <c r="DC175" s="1553"/>
      <c r="DD175" s="1553"/>
      <c r="DE175" s="1553"/>
      <c r="DF175" s="1553"/>
      <c r="DG175" s="1553"/>
      <c r="DH175" s="1553"/>
      <c r="DI175" s="1553"/>
      <c r="DJ175" s="1553"/>
      <c r="DK175" s="1553"/>
      <c r="DL175" s="1553"/>
      <c r="DM175" s="1553"/>
      <c r="DN175" s="1553"/>
      <c r="DO175" s="1553"/>
      <c r="DP175" s="1553"/>
      <c r="DQ175" s="1553"/>
      <c r="DR175" s="1553"/>
      <c r="DS175" s="1553"/>
      <c r="DT175" s="1553"/>
      <c r="DU175" s="1553"/>
      <c r="DV175" s="1553"/>
      <c r="DW175" s="1553"/>
      <c r="DX175" s="1553"/>
      <c r="DY175" s="1553"/>
      <c r="DZ175" s="1553"/>
      <c r="EA175" s="1553"/>
      <c r="EB175" s="1553"/>
      <c r="EC175" s="1553"/>
      <c r="ED175" s="1553"/>
      <c r="EE175" s="1553"/>
      <c r="EF175" s="1553"/>
      <c r="EG175" s="1553"/>
      <c r="EH175" s="1553"/>
      <c r="EI175" s="1553"/>
      <c r="EJ175" s="1553"/>
      <c r="EK175" s="1553"/>
      <c r="EL175" s="1553"/>
      <c r="EM175" s="1553"/>
      <c r="EN175" s="1553"/>
      <c r="EO175" s="1553"/>
      <c r="EP175" s="1553"/>
      <c r="EQ175" s="1452"/>
      <c r="ER175" s="1554"/>
      <c r="ES175" s="1554"/>
      <c r="ET175" s="1538">
        <v>61</v>
      </c>
      <c r="EU175" s="1452"/>
      <c r="EV175" s="1554"/>
      <c r="EW175" s="1452"/>
      <c r="EX175" s="1538">
        <v>45057.58</v>
      </c>
      <c r="EY175" s="1554"/>
      <c r="EZ175" s="1554"/>
      <c r="FA175" s="1554"/>
      <c r="FB175" s="1553"/>
      <c r="FC175" s="1553"/>
      <c r="FD175" s="1553"/>
      <c r="FE175" s="1553"/>
      <c r="FF175" s="1553"/>
      <c r="FG175" s="1553"/>
      <c r="FH175" s="1553"/>
      <c r="FI175" s="1553"/>
      <c r="FJ175" s="1553"/>
      <c r="FK175" s="1553"/>
      <c r="FL175" s="1553"/>
      <c r="FM175" s="1553"/>
      <c r="FN175" s="1553"/>
      <c r="FO175" s="1553"/>
      <c r="FP175" s="1553"/>
      <c r="FQ175" s="1553"/>
      <c r="FR175" s="1553"/>
      <c r="FS175" s="1553"/>
      <c r="FT175" s="1553"/>
      <c r="FU175" s="1553"/>
      <c r="FV175" s="1553"/>
      <c r="FW175" s="1553"/>
      <c r="FX175" s="1553"/>
      <c r="FY175" s="1553"/>
      <c r="FZ175" s="1553"/>
      <c r="GA175" s="1553"/>
      <c r="GB175" s="1553"/>
      <c r="GC175" s="1553"/>
      <c r="GD175" s="1553"/>
      <c r="GE175" s="1553"/>
      <c r="GF175" s="1553"/>
      <c r="GG175" s="1553"/>
      <c r="GH175" s="1553"/>
      <c r="GI175" s="1553"/>
      <c r="GJ175" s="1553"/>
      <c r="GK175" s="1553"/>
      <c r="GL175" s="1553"/>
      <c r="GM175" s="1553"/>
      <c r="GN175" s="1553"/>
      <c r="GO175" s="1553"/>
      <c r="GP175" s="1553"/>
      <c r="GQ175" s="1553"/>
      <c r="GR175" s="1553"/>
      <c r="GS175" s="1553"/>
      <c r="GT175" s="1553"/>
      <c r="GU175" s="1553"/>
      <c r="GV175" s="1553"/>
      <c r="GW175" s="1553"/>
      <c r="GX175" s="1553"/>
      <c r="GY175" s="1553"/>
      <c r="GZ175" s="1553"/>
      <c r="HA175" s="1553"/>
      <c r="HB175" s="1553"/>
      <c r="HC175" s="1553"/>
      <c r="HD175" s="1553"/>
      <c r="HE175" s="1553"/>
      <c r="HF175" s="1553"/>
      <c r="HG175" s="1553"/>
      <c r="HH175" s="1553"/>
      <c r="HI175" s="1553"/>
      <c r="HJ175" s="1553"/>
      <c r="HK175" s="1553"/>
      <c r="HL175" s="1553"/>
      <c r="HM175" s="1553"/>
      <c r="HN175" s="1553"/>
      <c r="HO175" s="1553"/>
      <c r="HP175" s="1553"/>
      <c r="HQ175" s="1553"/>
      <c r="HR175" s="1553"/>
      <c r="HS175" s="1553"/>
      <c r="HT175" s="1553"/>
      <c r="HU175" s="1553"/>
      <c r="HV175" s="1553"/>
      <c r="HW175" s="1553"/>
      <c r="HX175" s="1553"/>
      <c r="HY175" s="1553"/>
      <c r="HZ175" s="1553"/>
      <c r="IA175" s="1553"/>
      <c r="IB175" s="1553"/>
      <c r="IC175" s="1553"/>
      <c r="ID175" s="1553"/>
      <c r="IE175" s="1553"/>
      <c r="IF175" s="1553"/>
      <c r="IG175" s="1553"/>
      <c r="IH175" s="1553"/>
      <c r="II175" s="1553"/>
      <c r="IJ175" s="1553"/>
      <c r="IK175" s="1553"/>
      <c r="IL175" s="1553"/>
      <c r="IM175" s="1553"/>
      <c r="IN175" s="1553"/>
      <c r="IO175" s="1553"/>
      <c r="IP175" s="1553"/>
      <c r="IQ175" s="1553"/>
      <c r="IR175" s="1553"/>
      <c r="IS175" s="1553"/>
      <c r="IT175" s="1553"/>
      <c r="IU175" s="1553"/>
      <c r="IV175" s="1553"/>
      <c r="IW175" s="1553"/>
      <c r="IX175" s="1553"/>
      <c r="IY175" s="1452"/>
      <c r="IZ175" s="1553"/>
      <c r="JA175" s="1553"/>
      <c r="JB175" s="1553"/>
      <c r="JC175" s="1553"/>
      <c r="JD175" s="1553"/>
      <c r="JE175" s="1553"/>
      <c r="JF175" s="1553"/>
      <c r="JG175" s="1553"/>
      <c r="JH175" s="1553"/>
      <c r="JI175" s="1553"/>
      <c r="JJ175" s="1553"/>
      <c r="JK175" s="1553"/>
      <c r="JL175" s="1553"/>
      <c r="JM175" s="1553"/>
      <c r="JN175" s="1553"/>
      <c r="JO175" s="1553"/>
      <c r="JP175" s="1553"/>
      <c r="JQ175" s="1555"/>
      <c r="JR175" s="351"/>
      <c r="JS175" s="1400"/>
      <c r="JT175" s="1400" t="s">
        <v>2242</v>
      </c>
    </row>
    <row r="176" spans="1:280" x14ac:dyDescent="0.25">
      <c r="A176" s="1367">
        <v>20</v>
      </c>
      <c r="B176" s="1411" t="str">
        <f t="shared" si="78"/>
        <v/>
      </c>
      <c r="C176" s="1435" t="s">
        <v>3349</v>
      </c>
      <c r="D176" s="1436" t="s">
        <v>3350</v>
      </c>
      <c r="E176" s="1552"/>
      <c r="F176" s="1552"/>
      <c r="G176" s="1552"/>
      <c r="H176" s="1552"/>
      <c r="I176" s="1552"/>
      <c r="J176" s="1552"/>
      <c r="K176" s="1552"/>
      <c r="L176" s="1552"/>
      <c r="M176" s="1552"/>
      <c r="N176" s="1552"/>
      <c r="O176" s="1552"/>
      <c r="P176" s="1552"/>
      <c r="Q176" s="1552"/>
      <c r="R176" s="1553"/>
      <c r="S176" s="1553"/>
      <c r="T176" s="1553"/>
      <c r="U176" s="1553"/>
      <c r="V176" s="1553"/>
      <c r="W176" s="1553"/>
      <c r="X176" s="1553"/>
      <c r="Y176" s="1553"/>
      <c r="Z176" s="1553"/>
      <c r="AA176" s="1553"/>
      <c r="AB176" s="1553"/>
      <c r="AC176" s="1553"/>
      <c r="AD176" s="1553"/>
      <c r="AE176" s="1553"/>
      <c r="AF176" s="1553"/>
      <c r="AG176" s="1553"/>
      <c r="AH176" s="1553"/>
      <c r="AI176" s="1553"/>
      <c r="AJ176" s="1553"/>
      <c r="AK176" s="1553"/>
      <c r="AL176" s="1553"/>
      <c r="AM176" s="1553"/>
      <c r="AN176" s="1553"/>
      <c r="AO176" s="1553"/>
      <c r="AP176" s="1553"/>
      <c r="AQ176" s="1553"/>
      <c r="AR176" s="1553"/>
      <c r="AS176" s="1553"/>
      <c r="AT176" s="1553"/>
      <c r="AU176" s="1553"/>
      <c r="AV176" s="1553"/>
      <c r="AW176" s="1553"/>
      <c r="AX176" s="1553"/>
      <c r="AY176" s="1553"/>
      <c r="AZ176" s="1553"/>
      <c r="BA176" s="1553"/>
      <c r="BB176" s="1553"/>
      <c r="BC176" s="1553"/>
      <c r="BD176" s="1553"/>
      <c r="BE176" s="1553"/>
      <c r="BF176" s="1553"/>
      <c r="BG176" s="1553"/>
      <c r="BH176" s="1553"/>
      <c r="BI176" s="1553"/>
      <c r="BJ176" s="1553"/>
      <c r="BK176" s="1553"/>
      <c r="BL176" s="1553"/>
      <c r="BM176" s="1553"/>
      <c r="BN176" s="1553"/>
      <c r="BO176" s="1553"/>
      <c r="BP176" s="1553"/>
      <c r="BQ176" s="1553"/>
      <c r="BR176" s="1553"/>
      <c r="BS176" s="1553"/>
      <c r="BT176" s="1553"/>
      <c r="BU176" s="1553"/>
      <c r="BV176" s="1553"/>
      <c r="BW176" s="1553"/>
      <c r="BX176" s="1553"/>
      <c r="BY176" s="1553"/>
      <c r="BZ176" s="1553"/>
      <c r="CA176" s="1553"/>
      <c r="CB176" s="1553"/>
      <c r="CC176" s="1553"/>
      <c r="CD176" s="1553"/>
      <c r="CE176" s="1553"/>
      <c r="CF176" s="1553"/>
      <c r="CG176" s="1553"/>
      <c r="CH176" s="1553"/>
      <c r="CI176" s="1553"/>
      <c r="CJ176" s="1553"/>
      <c r="CK176" s="1553"/>
      <c r="CL176" s="1553"/>
      <c r="CM176" s="1553"/>
      <c r="CN176" s="1553"/>
      <c r="CO176" s="1553"/>
      <c r="CP176" s="1553"/>
      <c r="CQ176" s="1553"/>
      <c r="CR176" s="1553"/>
      <c r="CS176" s="1553"/>
      <c r="CT176" s="1553"/>
      <c r="CU176" s="1553"/>
      <c r="CV176" s="1553"/>
      <c r="CW176" s="1553"/>
      <c r="CX176" s="1553"/>
      <c r="CY176" s="1553"/>
      <c r="CZ176" s="1553"/>
      <c r="DA176" s="1553"/>
      <c r="DB176" s="1553"/>
      <c r="DC176" s="1553"/>
      <c r="DD176" s="1553"/>
      <c r="DE176" s="1553"/>
      <c r="DF176" s="1553"/>
      <c r="DG176" s="1553"/>
      <c r="DH176" s="1553"/>
      <c r="DI176" s="1553"/>
      <c r="DJ176" s="1553"/>
      <c r="DK176" s="1553"/>
      <c r="DL176" s="1553"/>
      <c r="DM176" s="1553"/>
      <c r="DN176" s="1553"/>
      <c r="DO176" s="1553"/>
      <c r="DP176" s="1553"/>
      <c r="DQ176" s="1553"/>
      <c r="DR176" s="1553"/>
      <c r="DS176" s="1553"/>
      <c r="DT176" s="1553"/>
      <c r="DU176" s="1553"/>
      <c r="DV176" s="1553"/>
      <c r="DW176" s="1553"/>
      <c r="DX176" s="1553"/>
      <c r="DY176" s="1553"/>
      <c r="DZ176" s="1553"/>
      <c r="EA176" s="1553"/>
      <c r="EB176" s="1553"/>
      <c r="EC176" s="1553"/>
      <c r="ED176" s="1553"/>
      <c r="EE176" s="1553"/>
      <c r="EF176" s="1553"/>
      <c r="EG176" s="1553"/>
      <c r="EH176" s="1553"/>
      <c r="EI176" s="1553"/>
      <c r="EJ176" s="1553"/>
      <c r="EK176" s="1553"/>
      <c r="EL176" s="1553"/>
      <c r="EM176" s="1553"/>
      <c r="EN176" s="1553"/>
      <c r="EO176" s="1553"/>
      <c r="EP176" s="1553"/>
      <c r="EQ176" s="1452"/>
      <c r="ER176" s="1554"/>
      <c r="ES176" s="1554"/>
      <c r="ET176" s="1554"/>
      <c r="EU176" s="1452"/>
      <c r="EV176" s="1538"/>
      <c r="EW176" s="1452"/>
      <c r="EX176" s="1554"/>
      <c r="EY176" s="1554">
        <v>945</v>
      </c>
      <c r="EZ176" s="1538"/>
      <c r="FA176" s="1554"/>
      <c r="FB176" s="1553"/>
      <c r="FC176" s="1553"/>
      <c r="FD176" s="1553"/>
      <c r="FE176" s="1553"/>
      <c r="FF176" s="1553"/>
      <c r="FG176" s="1553"/>
      <c r="FH176" s="1553"/>
      <c r="FI176" s="1553"/>
      <c r="FJ176" s="1553"/>
      <c r="FK176" s="1553"/>
      <c r="FL176" s="1553"/>
      <c r="FM176" s="1553"/>
      <c r="FN176" s="1553"/>
      <c r="FO176" s="1553"/>
      <c r="FP176" s="1553"/>
      <c r="FQ176" s="1553"/>
      <c r="FR176" s="1553"/>
      <c r="FS176" s="1553"/>
      <c r="FT176" s="1553"/>
      <c r="FU176" s="1553"/>
      <c r="FV176" s="1553"/>
      <c r="FW176" s="1553"/>
      <c r="FX176" s="1553"/>
      <c r="FY176" s="1553"/>
      <c r="FZ176" s="1553"/>
      <c r="GA176" s="1553"/>
      <c r="GB176" s="1553"/>
      <c r="GC176" s="1553"/>
      <c r="GD176" s="1553"/>
      <c r="GE176" s="1553"/>
      <c r="GF176" s="1553"/>
      <c r="GG176" s="1553"/>
      <c r="GH176" s="1553"/>
      <c r="GI176" s="1553"/>
      <c r="GJ176" s="1553"/>
      <c r="GK176" s="1553"/>
      <c r="GL176" s="1553"/>
      <c r="GM176" s="1553"/>
      <c r="GN176" s="1553"/>
      <c r="GO176" s="1553"/>
      <c r="GP176" s="1553"/>
      <c r="GQ176" s="1553"/>
      <c r="GR176" s="1553"/>
      <c r="GS176" s="1553"/>
      <c r="GT176" s="1553"/>
      <c r="GU176" s="1553"/>
      <c r="GV176" s="1553"/>
      <c r="GW176" s="1553"/>
      <c r="GX176" s="1553"/>
      <c r="GY176" s="1553"/>
      <c r="GZ176" s="1553"/>
      <c r="HA176" s="1553"/>
      <c r="HB176" s="1553"/>
      <c r="HC176" s="1553"/>
      <c r="HD176" s="1553"/>
      <c r="HE176" s="1553"/>
      <c r="HF176" s="1553"/>
      <c r="HG176" s="1553"/>
      <c r="HH176" s="1553"/>
      <c r="HI176" s="1553"/>
      <c r="HJ176" s="1553"/>
      <c r="HK176" s="1553"/>
      <c r="HL176" s="1553"/>
      <c r="HM176" s="1553"/>
      <c r="HN176" s="1553"/>
      <c r="HO176" s="1553"/>
      <c r="HP176" s="1553"/>
      <c r="HQ176" s="1553"/>
      <c r="HR176" s="1553"/>
      <c r="HS176" s="1553"/>
      <c r="HT176" s="1553"/>
      <c r="HU176" s="1553"/>
      <c r="HV176" s="1553"/>
      <c r="HW176" s="1553"/>
      <c r="HX176" s="1553"/>
      <c r="HY176" s="1553"/>
      <c r="HZ176" s="1553"/>
      <c r="IA176" s="1553"/>
      <c r="IB176" s="1553"/>
      <c r="IC176" s="1553"/>
      <c r="ID176" s="1553"/>
      <c r="IE176" s="1553"/>
      <c r="IF176" s="1553"/>
      <c r="IG176" s="1553"/>
      <c r="IH176" s="1553"/>
      <c r="II176" s="1553"/>
      <c r="IJ176" s="1553"/>
      <c r="IK176" s="1553"/>
      <c r="IL176" s="1553"/>
      <c r="IM176" s="1553"/>
      <c r="IN176" s="1553"/>
      <c r="IO176" s="1553"/>
      <c r="IP176" s="1553"/>
      <c r="IQ176" s="1553"/>
      <c r="IR176" s="1553"/>
      <c r="IS176" s="1553"/>
      <c r="IT176" s="1553"/>
      <c r="IU176" s="1553"/>
      <c r="IV176" s="1553"/>
      <c r="IW176" s="1553"/>
      <c r="IX176" s="1553"/>
      <c r="IY176" s="1452"/>
      <c r="IZ176" s="1553"/>
      <c r="JA176" s="1553"/>
      <c r="JB176" s="1553"/>
      <c r="JC176" s="1553"/>
      <c r="JD176" s="1553"/>
      <c r="JE176" s="1553"/>
      <c r="JF176" s="1553"/>
      <c r="JG176" s="1553"/>
      <c r="JH176" s="1553"/>
      <c r="JI176" s="1553"/>
      <c r="JJ176" s="1553"/>
      <c r="JK176" s="1553"/>
      <c r="JL176" s="1553"/>
      <c r="JM176" s="1553"/>
      <c r="JN176" s="1553"/>
      <c r="JO176" s="1553"/>
      <c r="JP176" s="1553"/>
      <c r="JQ176" s="1555"/>
      <c r="JR176" s="351"/>
      <c r="JS176" s="1400"/>
      <c r="JT176" s="1400" t="s">
        <v>2242</v>
      </c>
    </row>
    <row r="177" spans="1:280" x14ac:dyDescent="0.25">
      <c r="A177" s="1367">
        <v>21</v>
      </c>
      <c r="B177" s="1411" t="str">
        <f t="shared" si="78"/>
        <v/>
      </c>
      <c r="C177" s="1435" t="s">
        <v>3351</v>
      </c>
      <c r="D177" s="1436" t="s">
        <v>3352</v>
      </c>
      <c r="E177" s="1552"/>
      <c r="F177" s="1552"/>
      <c r="G177" s="1552"/>
      <c r="H177" s="1552"/>
      <c r="I177" s="1552"/>
      <c r="J177" s="1552"/>
      <c r="K177" s="1552"/>
      <c r="L177" s="1552"/>
      <c r="M177" s="1552"/>
      <c r="N177" s="1552"/>
      <c r="O177" s="1552"/>
      <c r="P177" s="1552"/>
      <c r="Q177" s="1552"/>
      <c r="R177" s="1553"/>
      <c r="S177" s="1553"/>
      <c r="T177" s="1553"/>
      <c r="U177" s="1553"/>
      <c r="V177" s="1553"/>
      <c r="W177" s="1553"/>
      <c r="X177" s="1553"/>
      <c r="Y177" s="1553"/>
      <c r="Z177" s="1553"/>
      <c r="AA177" s="1553"/>
      <c r="AB177" s="1553"/>
      <c r="AC177" s="1553"/>
      <c r="AD177" s="1553"/>
      <c r="AE177" s="1553"/>
      <c r="AF177" s="1553"/>
      <c r="AG177" s="1553"/>
      <c r="AH177" s="1553"/>
      <c r="AI177" s="1553"/>
      <c r="AJ177" s="1553"/>
      <c r="AK177" s="1553"/>
      <c r="AL177" s="1553"/>
      <c r="AM177" s="1553"/>
      <c r="AN177" s="1553"/>
      <c r="AO177" s="1553"/>
      <c r="AP177" s="1553"/>
      <c r="AQ177" s="1553"/>
      <c r="AR177" s="1553"/>
      <c r="AS177" s="1553"/>
      <c r="AT177" s="1553"/>
      <c r="AU177" s="1553"/>
      <c r="AV177" s="1553"/>
      <c r="AW177" s="1553"/>
      <c r="AX177" s="1553"/>
      <c r="AY177" s="1553"/>
      <c r="AZ177" s="1553"/>
      <c r="BA177" s="1553"/>
      <c r="BB177" s="1553"/>
      <c r="BC177" s="1553"/>
      <c r="BD177" s="1553"/>
      <c r="BE177" s="1553"/>
      <c r="BF177" s="1553"/>
      <c r="BG177" s="1553"/>
      <c r="BH177" s="1553"/>
      <c r="BI177" s="1553"/>
      <c r="BJ177" s="1553"/>
      <c r="BK177" s="1553"/>
      <c r="BL177" s="1553"/>
      <c r="BM177" s="1553"/>
      <c r="BN177" s="1553"/>
      <c r="BO177" s="1553"/>
      <c r="BP177" s="1553"/>
      <c r="BQ177" s="1553"/>
      <c r="BR177" s="1553"/>
      <c r="BS177" s="1553"/>
      <c r="BT177" s="1553"/>
      <c r="BU177" s="1553"/>
      <c r="BV177" s="1553"/>
      <c r="BW177" s="1553"/>
      <c r="BX177" s="1553"/>
      <c r="BY177" s="1553"/>
      <c r="BZ177" s="1553"/>
      <c r="CA177" s="1553"/>
      <c r="CB177" s="1553"/>
      <c r="CC177" s="1553"/>
      <c r="CD177" s="1553"/>
      <c r="CE177" s="1553"/>
      <c r="CF177" s="1553"/>
      <c r="CG177" s="1553"/>
      <c r="CH177" s="1553"/>
      <c r="CI177" s="1553"/>
      <c r="CJ177" s="1553"/>
      <c r="CK177" s="1553"/>
      <c r="CL177" s="1553"/>
      <c r="CM177" s="1553"/>
      <c r="CN177" s="1553"/>
      <c r="CO177" s="1553"/>
      <c r="CP177" s="1553"/>
      <c r="CQ177" s="1553"/>
      <c r="CR177" s="1553"/>
      <c r="CS177" s="1553"/>
      <c r="CT177" s="1553"/>
      <c r="CU177" s="1553"/>
      <c r="CV177" s="1553"/>
      <c r="CW177" s="1553"/>
      <c r="CX177" s="1553"/>
      <c r="CY177" s="1553"/>
      <c r="CZ177" s="1553"/>
      <c r="DA177" s="1553"/>
      <c r="DB177" s="1553"/>
      <c r="DC177" s="1553"/>
      <c r="DD177" s="1553"/>
      <c r="DE177" s="1553"/>
      <c r="DF177" s="1553"/>
      <c r="DG177" s="1553"/>
      <c r="DH177" s="1553"/>
      <c r="DI177" s="1553"/>
      <c r="DJ177" s="1553"/>
      <c r="DK177" s="1553"/>
      <c r="DL177" s="1553"/>
      <c r="DM177" s="1553"/>
      <c r="DN177" s="1553"/>
      <c r="DO177" s="1553"/>
      <c r="DP177" s="1553"/>
      <c r="DQ177" s="1553"/>
      <c r="DR177" s="1553"/>
      <c r="DS177" s="1553"/>
      <c r="DT177" s="1553"/>
      <c r="DU177" s="1553"/>
      <c r="DV177" s="1553"/>
      <c r="DW177" s="1553"/>
      <c r="DX177" s="1553"/>
      <c r="DY177" s="1553"/>
      <c r="DZ177" s="1553"/>
      <c r="EA177" s="1553"/>
      <c r="EB177" s="1553"/>
      <c r="EC177" s="1553"/>
      <c r="ED177" s="1553"/>
      <c r="EE177" s="1553"/>
      <c r="EF177" s="1553"/>
      <c r="EG177" s="1553"/>
      <c r="EH177" s="1553"/>
      <c r="EI177" s="1553"/>
      <c r="EJ177" s="1553"/>
      <c r="EK177" s="1553"/>
      <c r="EL177" s="1553"/>
      <c r="EM177" s="1553"/>
      <c r="EN177" s="1553"/>
      <c r="EO177" s="1553"/>
      <c r="EP177" s="1553"/>
      <c r="EQ177" s="1452"/>
      <c r="ER177" s="1554"/>
      <c r="ES177" s="1554"/>
      <c r="ET177" s="1554"/>
      <c r="EU177" s="1454"/>
      <c r="EV177" s="1554"/>
      <c r="EW177" s="1452"/>
      <c r="EX177" s="1554"/>
      <c r="EY177" s="1554"/>
      <c r="EZ177" s="1554"/>
      <c r="FA177" s="1554"/>
      <c r="FB177" s="1553"/>
      <c r="FC177" s="1553"/>
      <c r="FD177" s="1553"/>
      <c r="FE177" s="1553"/>
      <c r="FF177" s="1553"/>
      <c r="FG177" s="1553"/>
      <c r="FH177" s="1553"/>
      <c r="FI177" s="1553"/>
      <c r="FJ177" s="1553"/>
      <c r="FK177" s="1553"/>
      <c r="FL177" s="1553"/>
      <c r="FM177" s="1553"/>
      <c r="FN177" s="1553"/>
      <c r="FO177" s="1553"/>
      <c r="FP177" s="1553"/>
      <c r="FQ177" s="1553"/>
      <c r="FR177" s="1553"/>
      <c r="FS177" s="1553"/>
      <c r="FT177" s="1553"/>
      <c r="FU177" s="1553"/>
      <c r="FV177" s="1553"/>
      <c r="FW177" s="1553"/>
      <c r="FX177" s="1553"/>
      <c r="FY177" s="1553"/>
      <c r="FZ177" s="1553"/>
      <c r="GA177" s="1553"/>
      <c r="GB177" s="1553"/>
      <c r="GC177" s="1553"/>
      <c r="GD177" s="1553"/>
      <c r="GE177" s="1553"/>
      <c r="GF177" s="1553"/>
      <c r="GG177" s="1553"/>
      <c r="GH177" s="1553"/>
      <c r="GI177" s="1553"/>
      <c r="GJ177" s="1553"/>
      <c r="GK177" s="1553"/>
      <c r="GL177" s="1553"/>
      <c r="GM177" s="1553"/>
      <c r="GN177" s="1553"/>
      <c r="GO177" s="1553"/>
      <c r="GP177" s="1553"/>
      <c r="GQ177" s="1553"/>
      <c r="GR177" s="1553"/>
      <c r="GS177" s="1553"/>
      <c r="GT177" s="1553"/>
      <c r="GU177" s="1553"/>
      <c r="GV177" s="1553"/>
      <c r="GW177" s="1553"/>
      <c r="GX177" s="1553"/>
      <c r="GY177" s="1553"/>
      <c r="GZ177" s="1553"/>
      <c r="HA177" s="1553"/>
      <c r="HB177" s="1553"/>
      <c r="HC177" s="1553"/>
      <c r="HD177" s="1553"/>
      <c r="HE177" s="1553"/>
      <c r="HF177" s="1553"/>
      <c r="HG177" s="1553"/>
      <c r="HH177" s="1553"/>
      <c r="HI177" s="1553"/>
      <c r="HJ177" s="1553"/>
      <c r="HK177" s="1553"/>
      <c r="HL177" s="1553"/>
      <c r="HM177" s="1553"/>
      <c r="HN177" s="1553"/>
      <c r="HO177" s="1553"/>
      <c r="HP177" s="1553"/>
      <c r="HQ177" s="1553"/>
      <c r="HR177" s="1553"/>
      <c r="HS177" s="1553"/>
      <c r="HT177" s="1553"/>
      <c r="HU177" s="1553"/>
      <c r="HV177" s="1553"/>
      <c r="HW177" s="1553"/>
      <c r="HX177" s="1553"/>
      <c r="HY177" s="1553"/>
      <c r="HZ177" s="1553"/>
      <c r="IA177" s="1553"/>
      <c r="IB177" s="1553"/>
      <c r="IC177" s="1553"/>
      <c r="ID177" s="1553"/>
      <c r="IE177" s="1553"/>
      <c r="IF177" s="1553"/>
      <c r="IG177" s="1553"/>
      <c r="IH177" s="1553"/>
      <c r="II177" s="1553"/>
      <c r="IJ177" s="1553"/>
      <c r="IK177" s="1553"/>
      <c r="IL177" s="1553"/>
      <c r="IM177" s="1553"/>
      <c r="IN177" s="1553"/>
      <c r="IO177" s="1553"/>
      <c r="IP177" s="1553"/>
      <c r="IQ177" s="1553"/>
      <c r="IR177" s="1553"/>
      <c r="IS177" s="1553"/>
      <c r="IT177" s="1553"/>
      <c r="IU177" s="1553"/>
      <c r="IV177" s="1553"/>
      <c r="IW177" s="1553"/>
      <c r="IX177" s="1553"/>
      <c r="IY177" s="1452">
        <v>521</v>
      </c>
      <c r="IZ177" s="1553"/>
      <c r="JA177" s="1553"/>
      <c r="JB177" s="1553"/>
      <c r="JC177" s="1553"/>
      <c r="JD177" s="1553"/>
      <c r="JE177" s="1553"/>
      <c r="JF177" s="1553"/>
      <c r="JG177" s="1553"/>
      <c r="JH177" s="1553"/>
      <c r="JI177" s="1553"/>
      <c r="JJ177" s="1553"/>
      <c r="JK177" s="1553"/>
      <c r="JL177" s="1553"/>
      <c r="JM177" s="1553"/>
      <c r="JN177" s="1553"/>
      <c r="JO177" s="1553"/>
      <c r="JP177" s="1553"/>
      <c r="JQ177" s="1555"/>
      <c r="JR177" s="351"/>
      <c r="JS177" s="1400"/>
      <c r="JT177" s="1400" t="s">
        <v>2242</v>
      </c>
    </row>
    <row r="178" spans="1:280" x14ac:dyDescent="0.25">
      <c r="A178" s="1367">
        <v>22</v>
      </c>
      <c r="B178" s="1411" t="str">
        <f t="shared" si="78"/>
        <v/>
      </c>
      <c r="C178" s="1435" t="s">
        <v>3353</v>
      </c>
      <c r="D178" s="1436" t="s">
        <v>3354</v>
      </c>
      <c r="E178" s="1552"/>
      <c r="F178" s="1552"/>
      <c r="G178" s="1552"/>
      <c r="H178" s="1552"/>
      <c r="I178" s="1552"/>
      <c r="J178" s="1552"/>
      <c r="K178" s="1552"/>
      <c r="L178" s="1552"/>
      <c r="M178" s="1552"/>
      <c r="N178" s="1552"/>
      <c r="O178" s="1552"/>
      <c r="P178" s="1552"/>
      <c r="Q178" s="1552"/>
      <c r="R178" s="1553"/>
      <c r="S178" s="1553"/>
      <c r="T178" s="1553"/>
      <c r="U178" s="1553"/>
      <c r="V178" s="1553"/>
      <c r="W178" s="1553"/>
      <c r="X178" s="1553"/>
      <c r="Y178" s="1553"/>
      <c r="Z178" s="1553"/>
      <c r="AA178" s="1553"/>
      <c r="AB178" s="1553"/>
      <c r="AC178" s="1553"/>
      <c r="AD178" s="1553"/>
      <c r="AE178" s="1553"/>
      <c r="AF178" s="1553"/>
      <c r="AG178" s="1553"/>
      <c r="AH178" s="1553"/>
      <c r="AI178" s="1553"/>
      <c r="AJ178" s="1553"/>
      <c r="AK178" s="1553"/>
      <c r="AL178" s="1553"/>
      <c r="AM178" s="1553"/>
      <c r="AN178" s="1553"/>
      <c r="AO178" s="1553"/>
      <c r="AP178" s="1553"/>
      <c r="AQ178" s="1553"/>
      <c r="AR178" s="1553"/>
      <c r="AS178" s="1553"/>
      <c r="AT178" s="1553"/>
      <c r="AU178" s="1553"/>
      <c r="AV178" s="1553"/>
      <c r="AW178" s="1553"/>
      <c r="AX178" s="1553"/>
      <c r="AY178" s="1553"/>
      <c r="AZ178" s="1553"/>
      <c r="BA178" s="1553"/>
      <c r="BB178" s="1553"/>
      <c r="BC178" s="1553"/>
      <c r="BD178" s="1553"/>
      <c r="BE178" s="1553"/>
      <c r="BF178" s="1553"/>
      <c r="BG178" s="1553"/>
      <c r="BH178" s="1553"/>
      <c r="BI178" s="1553"/>
      <c r="BJ178" s="1553"/>
      <c r="BK178" s="1553"/>
      <c r="BL178" s="1553"/>
      <c r="BM178" s="1553"/>
      <c r="BN178" s="1553"/>
      <c r="BO178" s="1553"/>
      <c r="BP178" s="1553"/>
      <c r="BQ178" s="1553"/>
      <c r="BR178" s="1553"/>
      <c r="BS178" s="1553"/>
      <c r="BT178" s="1553"/>
      <c r="BU178" s="1553"/>
      <c r="BV178" s="1553"/>
      <c r="BW178" s="1553"/>
      <c r="BX178" s="1553"/>
      <c r="BY178" s="1553"/>
      <c r="BZ178" s="1553"/>
      <c r="CA178" s="1553"/>
      <c r="CB178" s="1553"/>
      <c r="CC178" s="1553"/>
      <c r="CD178" s="1553"/>
      <c r="CE178" s="1553"/>
      <c r="CF178" s="1553"/>
      <c r="CG178" s="1553"/>
      <c r="CH178" s="1553"/>
      <c r="CI178" s="1553"/>
      <c r="CJ178" s="1553"/>
      <c r="CK178" s="1553"/>
      <c r="CL178" s="1553"/>
      <c r="CM178" s="1553"/>
      <c r="CN178" s="1553"/>
      <c r="CO178" s="1553"/>
      <c r="CP178" s="1553"/>
      <c r="CQ178" s="1553"/>
      <c r="CR178" s="1553"/>
      <c r="CS178" s="1553"/>
      <c r="CT178" s="1553"/>
      <c r="CU178" s="1553"/>
      <c r="CV178" s="1553"/>
      <c r="CW178" s="1553"/>
      <c r="CX178" s="1553"/>
      <c r="CY178" s="1553"/>
      <c r="CZ178" s="1553"/>
      <c r="DA178" s="1553"/>
      <c r="DB178" s="1553"/>
      <c r="DC178" s="1553"/>
      <c r="DD178" s="1553"/>
      <c r="DE178" s="1553"/>
      <c r="DF178" s="1553"/>
      <c r="DG178" s="1553"/>
      <c r="DH178" s="1553"/>
      <c r="DI178" s="1553"/>
      <c r="DJ178" s="1553"/>
      <c r="DK178" s="1553"/>
      <c r="DL178" s="1553"/>
      <c r="DM178" s="1553"/>
      <c r="DN178" s="1553"/>
      <c r="DO178" s="1553"/>
      <c r="DP178" s="1553"/>
      <c r="DQ178" s="1553"/>
      <c r="DR178" s="1553"/>
      <c r="DS178" s="1553"/>
      <c r="DT178" s="1553"/>
      <c r="DU178" s="1553"/>
      <c r="DV178" s="1553"/>
      <c r="DW178" s="1553"/>
      <c r="DX178" s="1553"/>
      <c r="DY178" s="1553"/>
      <c r="DZ178" s="1553"/>
      <c r="EA178" s="1553"/>
      <c r="EB178" s="1553"/>
      <c r="EC178" s="1553"/>
      <c r="ED178" s="1553"/>
      <c r="EE178" s="1553"/>
      <c r="EF178" s="1553"/>
      <c r="EG178" s="1553"/>
      <c r="EH178" s="1553"/>
      <c r="EI178" s="1553"/>
      <c r="EJ178" s="1553"/>
      <c r="EK178" s="1553"/>
      <c r="EL178" s="1553"/>
      <c r="EM178" s="1553"/>
      <c r="EN178" s="1553"/>
      <c r="EO178" s="1553"/>
      <c r="EP178" s="1553"/>
      <c r="EQ178" s="1452"/>
      <c r="ER178" s="1554"/>
      <c r="ES178" s="1554"/>
      <c r="ET178" s="1554"/>
      <c r="EU178" s="1452"/>
      <c r="EV178" s="1554"/>
      <c r="EW178" s="1452"/>
      <c r="EX178" s="1554"/>
      <c r="EY178" s="1554"/>
      <c r="EZ178" s="1554"/>
      <c r="FA178" s="1554"/>
      <c r="FB178" s="1553"/>
      <c r="FC178" s="1553"/>
      <c r="FD178" s="1553"/>
      <c r="FE178" s="1553"/>
      <c r="FF178" s="1553"/>
      <c r="FG178" s="1553"/>
      <c r="FH178" s="1553"/>
      <c r="FI178" s="1553"/>
      <c r="FJ178" s="1553"/>
      <c r="FK178" s="1553"/>
      <c r="FL178" s="1553"/>
      <c r="FM178" s="1553"/>
      <c r="FN178" s="1553"/>
      <c r="FO178" s="1553"/>
      <c r="FP178" s="1553"/>
      <c r="FQ178" s="1553"/>
      <c r="FR178" s="1553"/>
      <c r="FS178" s="1553"/>
      <c r="FT178" s="1553"/>
      <c r="FU178" s="1553"/>
      <c r="FV178" s="1553"/>
      <c r="FW178" s="1553"/>
      <c r="FX178" s="1553"/>
      <c r="FY178" s="1553"/>
      <c r="FZ178" s="1553"/>
      <c r="GA178" s="1553"/>
      <c r="GB178" s="1553"/>
      <c r="GC178" s="1553"/>
      <c r="GD178" s="1553"/>
      <c r="GE178" s="1553"/>
      <c r="GF178" s="1553"/>
      <c r="GG178" s="1553"/>
      <c r="GH178" s="1553"/>
      <c r="GI178" s="1553"/>
      <c r="GJ178" s="1553"/>
      <c r="GK178" s="1553"/>
      <c r="GL178" s="1553"/>
      <c r="GM178" s="1553"/>
      <c r="GN178" s="1553"/>
      <c r="GO178" s="1553"/>
      <c r="GP178" s="1553"/>
      <c r="GQ178" s="1553"/>
      <c r="GR178" s="1553"/>
      <c r="GS178" s="1553"/>
      <c r="GT178" s="1553"/>
      <c r="GU178" s="1553"/>
      <c r="GV178" s="1553"/>
      <c r="GW178" s="1553"/>
      <c r="GX178" s="1553"/>
      <c r="GY178" s="1553"/>
      <c r="GZ178" s="1553"/>
      <c r="HA178" s="1553"/>
      <c r="HB178" s="1553"/>
      <c r="HC178" s="1553"/>
      <c r="HD178" s="1553"/>
      <c r="HE178" s="1553"/>
      <c r="HF178" s="1553"/>
      <c r="HG178" s="1553"/>
      <c r="HH178" s="1553"/>
      <c r="HI178" s="1553"/>
      <c r="HJ178" s="1553"/>
      <c r="HK178" s="1553"/>
      <c r="HL178" s="1553"/>
      <c r="HM178" s="1553"/>
      <c r="HN178" s="1553"/>
      <c r="HO178" s="1553"/>
      <c r="HP178" s="1553"/>
      <c r="HQ178" s="1553"/>
      <c r="HR178" s="1553"/>
      <c r="HS178" s="1553"/>
      <c r="HT178" s="1553"/>
      <c r="HU178" s="1553"/>
      <c r="HV178" s="1553"/>
      <c r="HW178" s="1553"/>
      <c r="HX178" s="1553"/>
      <c r="HY178" s="1553"/>
      <c r="HZ178" s="1553"/>
      <c r="IA178" s="1553"/>
      <c r="IB178" s="1553"/>
      <c r="IC178" s="1553"/>
      <c r="ID178" s="1553"/>
      <c r="IE178" s="1553"/>
      <c r="IF178" s="1553"/>
      <c r="IG178" s="1553"/>
      <c r="IH178" s="1553"/>
      <c r="II178" s="1553"/>
      <c r="IJ178" s="1553"/>
      <c r="IK178" s="1553"/>
      <c r="IL178" s="1553"/>
      <c r="IM178" s="1553"/>
      <c r="IN178" s="1553"/>
      <c r="IO178" s="1553"/>
      <c r="IP178" s="1553"/>
      <c r="IQ178" s="1553"/>
      <c r="IR178" s="1553"/>
      <c r="IS178" s="1553"/>
      <c r="IT178" s="1553"/>
      <c r="IU178" s="1553"/>
      <c r="IV178" s="1553"/>
      <c r="IW178" s="1553"/>
      <c r="IX178" s="1553"/>
      <c r="IY178" s="1452"/>
      <c r="IZ178" s="1553"/>
      <c r="JA178" s="1553"/>
      <c r="JB178" s="1553"/>
      <c r="JC178" s="1553"/>
      <c r="JD178" s="1553"/>
      <c r="JE178" s="1553"/>
      <c r="JF178" s="1553"/>
      <c r="JG178" s="1553"/>
      <c r="JH178" s="1553"/>
      <c r="JI178" s="1553"/>
      <c r="JJ178" s="1553"/>
      <c r="JK178" s="1553"/>
      <c r="JL178" s="1553"/>
      <c r="JM178" s="1553"/>
      <c r="JN178" s="1553"/>
      <c r="JO178" s="1553"/>
      <c r="JP178" s="1553"/>
      <c r="JQ178" s="1555"/>
      <c r="JR178" s="351"/>
      <c r="JS178" s="1400"/>
      <c r="JT178" s="1400" t="s">
        <v>2242</v>
      </c>
    </row>
    <row r="179" spans="1:280" x14ac:dyDescent="0.25">
      <c r="A179" s="1367">
        <v>23</v>
      </c>
      <c r="B179" s="1411" t="str">
        <f t="shared" si="78"/>
        <v/>
      </c>
      <c r="C179" s="1435" t="s">
        <v>3355</v>
      </c>
      <c r="D179" s="1436" t="s">
        <v>3356</v>
      </c>
      <c r="E179" s="1552"/>
      <c r="F179" s="1552"/>
      <c r="G179" s="1552"/>
      <c r="H179" s="1552"/>
      <c r="I179" s="1552"/>
      <c r="J179" s="1552"/>
      <c r="K179" s="1552"/>
      <c r="L179" s="1552"/>
      <c r="M179" s="1552"/>
      <c r="N179" s="1552"/>
      <c r="O179" s="1552"/>
      <c r="P179" s="1552"/>
      <c r="Q179" s="1552"/>
      <c r="R179" s="1553"/>
      <c r="S179" s="1553"/>
      <c r="T179" s="1553"/>
      <c r="U179" s="1553"/>
      <c r="V179" s="1553"/>
      <c r="W179" s="1553"/>
      <c r="X179" s="1553"/>
      <c r="Y179" s="1553"/>
      <c r="Z179" s="1553"/>
      <c r="AA179" s="1553"/>
      <c r="AB179" s="1553"/>
      <c r="AC179" s="1553"/>
      <c r="AD179" s="1553"/>
      <c r="AE179" s="1553"/>
      <c r="AF179" s="1553"/>
      <c r="AG179" s="1553"/>
      <c r="AH179" s="1553"/>
      <c r="AI179" s="1553"/>
      <c r="AJ179" s="1553"/>
      <c r="AK179" s="1553"/>
      <c r="AL179" s="1553"/>
      <c r="AM179" s="1553"/>
      <c r="AN179" s="1553"/>
      <c r="AO179" s="1553"/>
      <c r="AP179" s="1553"/>
      <c r="AQ179" s="1553"/>
      <c r="AR179" s="1553"/>
      <c r="AS179" s="1553"/>
      <c r="AT179" s="1553"/>
      <c r="AU179" s="1553"/>
      <c r="AV179" s="1553"/>
      <c r="AW179" s="1553"/>
      <c r="AX179" s="1553"/>
      <c r="AY179" s="1553"/>
      <c r="AZ179" s="1553"/>
      <c r="BA179" s="1553"/>
      <c r="BB179" s="1553"/>
      <c r="BC179" s="1553"/>
      <c r="BD179" s="1553"/>
      <c r="BE179" s="1553"/>
      <c r="BF179" s="1553"/>
      <c r="BG179" s="1553"/>
      <c r="BH179" s="1553"/>
      <c r="BI179" s="1553"/>
      <c r="BJ179" s="1553"/>
      <c r="BK179" s="1553"/>
      <c r="BL179" s="1553"/>
      <c r="BM179" s="1553"/>
      <c r="BN179" s="1553"/>
      <c r="BO179" s="1553"/>
      <c r="BP179" s="1553"/>
      <c r="BQ179" s="1553"/>
      <c r="BR179" s="1553"/>
      <c r="BS179" s="1553"/>
      <c r="BT179" s="1553"/>
      <c r="BU179" s="1553"/>
      <c r="BV179" s="1553"/>
      <c r="BW179" s="1553"/>
      <c r="BX179" s="1553"/>
      <c r="BY179" s="1553"/>
      <c r="BZ179" s="1553"/>
      <c r="CA179" s="1553"/>
      <c r="CB179" s="1553"/>
      <c r="CC179" s="1553"/>
      <c r="CD179" s="1553"/>
      <c r="CE179" s="1553"/>
      <c r="CF179" s="1553"/>
      <c r="CG179" s="1553"/>
      <c r="CH179" s="1553"/>
      <c r="CI179" s="1553"/>
      <c r="CJ179" s="1553"/>
      <c r="CK179" s="1553"/>
      <c r="CL179" s="1553"/>
      <c r="CM179" s="1553"/>
      <c r="CN179" s="1553"/>
      <c r="CO179" s="1553"/>
      <c r="CP179" s="1553"/>
      <c r="CQ179" s="1553"/>
      <c r="CR179" s="1553"/>
      <c r="CS179" s="1553"/>
      <c r="CT179" s="1553"/>
      <c r="CU179" s="1553"/>
      <c r="CV179" s="1553"/>
      <c r="CW179" s="1553"/>
      <c r="CX179" s="1553"/>
      <c r="CY179" s="1553"/>
      <c r="CZ179" s="1553"/>
      <c r="DA179" s="1553"/>
      <c r="DB179" s="1553"/>
      <c r="DC179" s="1553"/>
      <c r="DD179" s="1553"/>
      <c r="DE179" s="1553"/>
      <c r="DF179" s="1553"/>
      <c r="DG179" s="1553"/>
      <c r="DH179" s="1553"/>
      <c r="DI179" s="1553"/>
      <c r="DJ179" s="1553"/>
      <c r="DK179" s="1553"/>
      <c r="DL179" s="1553"/>
      <c r="DM179" s="1553"/>
      <c r="DN179" s="1553"/>
      <c r="DO179" s="1553"/>
      <c r="DP179" s="1553"/>
      <c r="DQ179" s="1553"/>
      <c r="DR179" s="1553"/>
      <c r="DS179" s="1553"/>
      <c r="DT179" s="1553"/>
      <c r="DU179" s="1553"/>
      <c r="DV179" s="1553"/>
      <c r="DW179" s="1553"/>
      <c r="DX179" s="1553"/>
      <c r="DY179" s="1553"/>
      <c r="DZ179" s="1553"/>
      <c r="EA179" s="1553"/>
      <c r="EB179" s="1553"/>
      <c r="EC179" s="1553"/>
      <c r="ED179" s="1553"/>
      <c r="EE179" s="1553"/>
      <c r="EF179" s="1553"/>
      <c r="EG179" s="1553"/>
      <c r="EH179" s="1553"/>
      <c r="EI179" s="1553"/>
      <c r="EJ179" s="1553"/>
      <c r="EK179" s="1553"/>
      <c r="EL179" s="1553"/>
      <c r="EM179" s="1553"/>
      <c r="EN179" s="1553"/>
      <c r="EO179" s="1553"/>
      <c r="EP179" s="1553"/>
      <c r="EQ179" s="1454">
        <v>943</v>
      </c>
      <c r="ER179" s="1538">
        <v>382</v>
      </c>
      <c r="ES179" s="1554"/>
      <c r="ET179" s="1538">
        <v>404</v>
      </c>
      <c r="EU179" s="1454">
        <v>495</v>
      </c>
      <c r="EV179" s="1538">
        <v>1044</v>
      </c>
      <c r="EW179" s="1452"/>
      <c r="EX179" s="1538">
        <v>5424</v>
      </c>
      <c r="EY179" s="1554"/>
      <c r="EZ179" s="1538">
        <v>853</v>
      </c>
      <c r="FA179" s="1554"/>
      <c r="FB179" s="1553"/>
      <c r="FC179" s="1553"/>
      <c r="FD179" s="1553"/>
      <c r="FE179" s="1553"/>
      <c r="FF179" s="1553"/>
      <c r="FG179" s="1553"/>
      <c r="FH179" s="1553"/>
      <c r="FI179" s="1553"/>
      <c r="FJ179" s="1553"/>
      <c r="FK179" s="1553"/>
      <c r="FL179" s="1553"/>
      <c r="FM179" s="1553"/>
      <c r="FN179" s="1553"/>
      <c r="FO179" s="1553"/>
      <c r="FP179" s="1553"/>
      <c r="FQ179" s="1553"/>
      <c r="FR179" s="1553"/>
      <c r="FS179" s="1553"/>
      <c r="FT179" s="1553"/>
      <c r="FU179" s="1553"/>
      <c r="FV179" s="1553"/>
      <c r="FW179" s="1553"/>
      <c r="FX179" s="1553"/>
      <c r="FY179" s="1553"/>
      <c r="FZ179" s="1553"/>
      <c r="GA179" s="1553"/>
      <c r="GB179" s="1553"/>
      <c r="GC179" s="1553"/>
      <c r="GD179" s="1553"/>
      <c r="GE179" s="1553"/>
      <c r="GF179" s="1553"/>
      <c r="GG179" s="1553"/>
      <c r="GH179" s="1553"/>
      <c r="GI179" s="1553"/>
      <c r="GJ179" s="1553"/>
      <c r="GK179" s="1553"/>
      <c r="GL179" s="1553"/>
      <c r="GM179" s="1553"/>
      <c r="GN179" s="1553"/>
      <c r="GO179" s="1553"/>
      <c r="GP179" s="1553"/>
      <c r="GQ179" s="1553"/>
      <c r="GR179" s="1553"/>
      <c r="GS179" s="1553"/>
      <c r="GT179" s="1553"/>
      <c r="GU179" s="1553"/>
      <c r="GV179" s="1553"/>
      <c r="GW179" s="1553"/>
      <c r="GX179" s="1553"/>
      <c r="GY179" s="1553"/>
      <c r="GZ179" s="1553"/>
      <c r="HA179" s="1553"/>
      <c r="HB179" s="1553"/>
      <c r="HC179" s="1553"/>
      <c r="HD179" s="1553"/>
      <c r="HE179" s="1553"/>
      <c r="HF179" s="1553"/>
      <c r="HG179" s="1553"/>
      <c r="HH179" s="1553"/>
      <c r="HI179" s="1553"/>
      <c r="HJ179" s="1553"/>
      <c r="HK179" s="1553"/>
      <c r="HL179" s="1553"/>
      <c r="HM179" s="1553"/>
      <c r="HN179" s="1553"/>
      <c r="HO179" s="1553"/>
      <c r="HP179" s="1553"/>
      <c r="HQ179" s="1553"/>
      <c r="HR179" s="1553"/>
      <c r="HS179" s="1553"/>
      <c r="HT179" s="1553"/>
      <c r="HU179" s="1553"/>
      <c r="HV179" s="1553"/>
      <c r="HW179" s="1553"/>
      <c r="HX179" s="1553"/>
      <c r="HY179" s="1553"/>
      <c r="HZ179" s="1553"/>
      <c r="IA179" s="1553"/>
      <c r="IB179" s="1553"/>
      <c r="IC179" s="1553"/>
      <c r="ID179" s="1553"/>
      <c r="IE179" s="1553"/>
      <c r="IF179" s="1553"/>
      <c r="IG179" s="1553"/>
      <c r="IH179" s="1553"/>
      <c r="II179" s="1553"/>
      <c r="IJ179" s="1553"/>
      <c r="IK179" s="1553"/>
      <c r="IL179" s="1553"/>
      <c r="IM179" s="1553"/>
      <c r="IN179" s="1553"/>
      <c r="IO179" s="1553"/>
      <c r="IP179" s="1553"/>
      <c r="IQ179" s="1553"/>
      <c r="IR179" s="1553"/>
      <c r="IS179" s="1553"/>
      <c r="IT179" s="1553"/>
      <c r="IU179" s="1553"/>
      <c r="IV179" s="1553"/>
      <c r="IW179" s="1553"/>
      <c r="IX179" s="1553"/>
      <c r="IY179" s="1452"/>
      <c r="IZ179" s="1553"/>
      <c r="JA179" s="1553"/>
      <c r="JB179" s="1553"/>
      <c r="JC179" s="1553"/>
      <c r="JD179" s="1553"/>
      <c r="JE179" s="1553"/>
      <c r="JF179" s="1553"/>
      <c r="JG179" s="1553"/>
      <c r="JH179" s="1553"/>
      <c r="JI179" s="1553"/>
      <c r="JJ179" s="1553"/>
      <c r="JK179" s="1553"/>
      <c r="JL179" s="1553"/>
      <c r="JM179" s="1553"/>
      <c r="JN179" s="1553"/>
      <c r="JO179" s="1553"/>
      <c r="JP179" s="1553"/>
      <c r="JQ179" s="1555"/>
      <c r="JR179" s="351"/>
      <c r="JS179" s="1400"/>
      <c r="JT179" s="1400" t="s">
        <v>2242</v>
      </c>
    </row>
    <row r="180" spans="1:280" ht="20" x14ac:dyDescent="0.25">
      <c r="A180" s="1367">
        <v>24</v>
      </c>
      <c r="B180" s="1411" t="str">
        <f t="shared" si="78"/>
        <v/>
      </c>
      <c r="C180" s="1435" t="s">
        <v>3357</v>
      </c>
      <c r="D180" s="1436" t="s">
        <v>3358</v>
      </c>
      <c r="E180" s="1479"/>
      <c r="F180" s="1479"/>
      <c r="G180" s="1479"/>
      <c r="H180" s="1479"/>
      <c r="I180" s="1479"/>
      <c r="J180" s="1479"/>
      <c r="K180" s="1479"/>
      <c r="L180" s="1479"/>
      <c r="M180" s="1479"/>
      <c r="N180" s="1479"/>
      <c r="O180" s="1479"/>
      <c r="P180" s="1479"/>
      <c r="Q180" s="1479"/>
      <c r="R180" s="1479"/>
      <c r="S180" s="1479"/>
      <c r="T180" s="1479"/>
      <c r="U180" s="1479"/>
      <c r="V180" s="1479"/>
      <c r="W180" s="1479"/>
      <c r="X180" s="1479"/>
      <c r="Y180" s="1479"/>
      <c r="Z180" s="1479"/>
      <c r="AA180" s="1479"/>
      <c r="AB180" s="1479"/>
      <c r="AC180" s="1479"/>
      <c r="AD180" s="1479"/>
      <c r="AE180" s="1479"/>
      <c r="AF180" s="1479"/>
      <c r="AG180" s="1479"/>
      <c r="AH180" s="1479"/>
      <c r="AI180" s="1479"/>
      <c r="AJ180" s="1479"/>
      <c r="AK180" s="1479"/>
      <c r="AL180" s="1479"/>
      <c r="AM180" s="1479"/>
      <c r="AN180" s="1479"/>
      <c r="AO180" s="1479"/>
      <c r="AP180" s="1479"/>
      <c r="AQ180" s="1479"/>
      <c r="AR180" s="1479"/>
      <c r="AS180" s="1479"/>
      <c r="AT180" s="1479"/>
      <c r="AU180" s="1479"/>
      <c r="AV180" s="1479"/>
      <c r="AW180" s="1479"/>
      <c r="AX180" s="1479"/>
      <c r="AY180" s="1479"/>
      <c r="AZ180" s="1479"/>
      <c r="BA180" s="1479"/>
      <c r="BB180" s="1479"/>
      <c r="BC180" s="1479"/>
      <c r="BD180" s="1479"/>
      <c r="BE180" s="1479"/>
      <c r="BF180" s="1479"/>
      <c r="BG180" s="1479"/>
      <c r="BH180" s="1479"/>
      <c r="BI180" s="1479"/>
      <c r="BJ180" s="1479"/>
      <c r="BK180" s="1479"/>
      <c r="BL180" s="1479"/>
      <c r="BM180" s="1479"/>
      <c r="BN180" s="1479"/>
      <c r="BO180" s="1479"/>
      <c r="BP180" s="1479"/>
      <c r="BQ180" s="1479"/>
      <c r="BR180" s="1479"/>
      <c r="BS180" s="1479"/>
      <c r="BT180" s="1479"/>
      <c r="BU180" s="1479"/>
      <c r="BV180" s="1479"/>
      <c r="BW180" s="1479"/>
      <c r="BX180" s="1479"/>
      <c r="BY180" s="1479"/>
      <c r="BZ180" s="1479"/>
      <c r="CA180" s="1479"/>
      <c r="CB180" s="1479"/>
      <c r="CC180" s="1479"/>
      <c r="CD180" s="1479"/>
      <c r="CE180" s="1479"/>
      <c r="CF180" s="1479"/>
      <c r="CG180" s="1479"/>
      <c r="CH180" s="1479"/>
      <c r="CI180" s="1479"/>
      <c r="CJ180" s="1479"/>
      <c r="CK180" s="1479"/>
      <c r="CL180" s="1479"/>
      <c r="CM180" s="1479"/>
      <c r="CN180" s="1479"/>
      <c r="CO180" s="1479"/>
      <c r="CP180" s="1479"/>
      <c r="CQ180" s="1479"/>
      <c r="CR180" s="1479"/>
      <c r="CS180" s="1479"/>
      <c r="CT180" s="1479"/>
      <c r="CU180" s="1479"/>
      <c r="CV180" s="1479"/>
      <c r="CW180" s="1479"/>
      <c r="CX180" s="1479"/>
      <c r="CY180" s="1479"/>
      <c r="CZ180" s="1479"/>
      <c r="DA180" s="1479"/>
      <c r="DB180" s="1479"/>
      <c r="DC180" s="1479"/>
      <c r="DD180" s="1479"/>
      <c r="DE180" s="1479"/>
      <c r="DF180" s="1479"/>
      <c r="DG180" s="1479"/>
      <c r="DH180" s="1479"/>
      <c r="DI180" s="1479"/>
      <c r="DJ180" s="1479"/>
      <c r="DK180" s="1479"/>
      <c r="DL180" s="1479"/>
      <c r="DM180" s="1479"/>
      <c r="DN180" s="1479"/>
      <c r="DO180" s="1479"/>
      <c r="DP180" s="1479"/>
      <c r="DQ180" s="1479"/>
      <c r="DR180" s="1479"/>
      <c r="DS180" s="1479"/>
      <c r="DT180" s="1479"/>
      <c r="DU180" s="1479"/>
      <c r="DV180" s="1479"/>
      <c r="DW180" s="1479"/>
      <c r="DX180" s="1479"/>
      <c r="DY180" s="1479"/>
      <c r="DZ180" s="1479"/>
      <c r="EA180" s="1479"/>
      <c r="EB180" s="1479"/>
      <c r="EC180" s="1479"/>
      <c r="ED180" s="1479"/>
      <c r="EE180" s="1479"/>
      <c r="EF180" s="1479"/>
      <c r="EG180" s="1479"/>
      <c r="EH180" s="1479"/>
      <c r="EI180" s="1479"/>
      <c r="EJ180" s="1479"/>
      <c r="EK180" s="1479"/>
      <c r="EL180" s="1479"/>
      <c r="EM180" s="1479"/>
      <c r="EN180" s="1479"/>
      <c r="EO180" s="1479"/>
      <c r="EP180" s="1479"/>
      <c r="EQ180" s="1503">
        <f t="shared" ref="EQ180:EV180" si="82">EQ174+EQ175+EQ176+EQ177+EQ178+EQ179</f>
        <v>21126</v>
      </c>
      <c r="ER180" s="1503">
        <f t="shared" si="82"/>
        <v>4830</v>
      </c>
      <c r="ES180" s="1503">
        <f t="shared" si="82"/>
        <v>670</v>
      </c>
      <c r="ET180" s="1503">
        <f t="shared" si="82"/>
        <v>469</v>
      </c>
      <c r="EU180" s="1503">
        <f t="shared" si="82"/>
        <v>13228</v>
      </c>
      <c r="EV180" s="1503">
        <f t="shared" si="82"/>
        <v>94162</v>
      </c>
      <c r="EW180" s="1479"/>
      <c r="EX180" s="1503">
        <f>EX174+EX175+EX176+EX177+EX178+EX179</f>
        <v>50481.58</v>
      </c>
      <c r="EY180" s="1479">
        <f>EY174+EY175+EY176+EY177+EY178+EY179</f>
        <v>20408</v>
      </c>
      <c r="EZ180" s="1503">
        <f>EZ174+EZ175+EZ176+EZ177+EZ178+EZ179</f>
        <v>62717</v>
      </c>
      <c r="FA180" s="1503"/>
      <c r="FB180" s="1479"/>
      <c r="FC180" s="1479"/>
      <c r="FD180" s="1479"/>
      <c r="FE180" s="1479"/>
      <c r="FF180" s="1479"/>
      <c r="FG180" s="1479"/>
      <c r="FH180" s="1479"/>
      <c r="FI180" s="1479"/>
      <c r="FJ180" s="1479"/>
      <c r="FK180" s="1479"/>
      <c r="FL180" s="1479"/>
      <c r="FM180" s="1479"/>
      <c r="FN180" s="1479"/>
      <c r="FO180" s="1479"/>
      <c r="FP180" s="1479"/>
      <c r="FQ180" s="1479"/>
      <c r="FR180" s="1479"/>
      <c r="FS180" s="1479"/>
      <c r="FT180" s="1479"/>
      <c r="FU180" s="1479"/>
      <c r="FV180" s="1479"/>
      <c r="FW180" s="1479"/>
      <c r="FX180" s="1479"/>
      <c r="FY180" s="1479"/>
      <c r="FZ180" s="1479"/>
      <c r="GA180" s="1479"/>
      <c r="GB180" s="1479"/>
      <c r="GC180" s="1479"/>
      <c r="GD180" s="1479"/>
      <c r="GE180" s="1479"/>
      <c r="GF180" s="1479"/>
      <c r="GG180" s="1479"/>
      <c r="GH180" s="1479"/>
      <c r="GI180" s="1479"/>
      <c r="GJ180" s="1479"/>
      <c r="GK180" s="1479"/>
      <c r="GL180" s="1479"/>
      <c r="GM180" s="1479"/>
      <c r="GN180" s="1479"/>
      <c r="GO180" s="1479"/>
      <c r="GP180" s="1479"/>
      <c r="GQ180" s="1479"/>
      <c r="GR180" s="1479"/>
      <c r="GS180" s="1479"/>
      <c r="GT180" s="1479"/>
      <c r="GU180" s="1479"/>
      <c r="GV180" s="1479"/>
      <c r="GW180" s="1479"/>
      <c r="GX180" s="1479"/>
      <c r="GY180" s="1479"/>
      <c r="GZ180" s="1479"/>
      <c r="HA180" s="1479"/>
      <c r="HB180" s="1479"/>
      <c r="HC180" s="1479"/>
      <c r="HD180" s="1479"/>
      <c r="HE180" s="1479"/>
      <c r="HF180" s="1479"/>
      <c r="HG180" s="1479"/>
      <c r="HH180" s="1479"/>
      <c r="HI180" s="1479"/>
      <c r="HJ180" s="1479"/>
      <c r="HK180" s="1479"/>
      <c r="HL180" s="1479"/>
      <c r="HM180" s="1479"/>
      <c r="HN180" s="1479"/>
      <c r="HO180" s="1479"/>
      <c r="HP180" s="1479"/>
      <c r="HQ180" s="1479"/>
      <c r="HR180" s="1479"/>
      <c r="HS180" s="1479"/>
      <c r="HT180" s="1479"/>
      <c r="HU180" s="1479"/>
      <c r="HV180" s="1479"/>
      <c r="HW180" s="1479"/>
      <c r="HX180" s="1479"/>
      <c r="HY180" s="1479"/>
      <c r="HZ180" s="1479"/>
      <c r="IA180" s="1479"/>
      <c r="IB180" s="1479"/>
      <c r="IC180" s="1479"/>
      <c r="ID180" s="1479"/>
      <c r="IE180" s="1479"/>
      <c r="IF180" s="1479"/>
      <c r="IG180" s="1479"/>
      <c r="IH180" s="1479"/>
      <c r="II180" s="1479"/>
      <c r="IJ180" s="1479"/>
      <c r="IK180" s="1479"/>
      <c r="IL180" s="1479"/>
      <c r="IM180" s="1479"/>
      <c r="IN180" s="1479"/>
      <c r="IO180" s="1479"/>
      <c r="IP180" s="1479"/>
      <c r="IQ180" s="1479"/>
      <c r="IR180" s="1479"/>
      <c r="IS180" s="1479"/>
      <c r="IT180" s="1479"/>
      <c r="IU180" s="1479"/>
      <c r="IV180" s="1479"/>
      <c r="IW180" s="1479"/>
      <c r="IX180" s="1479"/>
      <c r="IY180" s="1479">
        <f>IY174+IY175+IY176+IY177+IY178+IY179</f>
        <v>521</v>
      </c>
      <c r="IZ180" s="1479"/>
      <c r="JA180" s="1479"/>
      <c r="JB180" s="1479"/>
      <c r="JC180" s="1479"/>
      <c r="JD180" s="1479"/>
      <c r="JE180" s="1479"/>
      <c r="JF180" s="1479"/>
      <c r="JG180" s="1479"/>
      <c r="JH180" s="1479"/>
      <c r="JI180" s="1479"/>
      <c r="JJ180" s="1479"/>
      <c r="JK180" s="1479"/>
      <c r="JL180" s="1479"/>
      <c r="JM180" s="1479"/>
      <c r="JN180" s="1479"/>
      <c r="JO180" s="1479"/>
      <c r="JP180" s="1479"/>
      <c r="JQ180" s="1479"/>
      <c r="JR180" s="351"/>
      <c r="JS180" s="1400" t="s">
        <v>3359</v>
      </c>
      <c r="JT180" s="1400" t="s">
        <v>2242</v>
      </c>
    </row>
    <row r="181" spans="1:280" x14ac:dyDescent="0.25">
      <c r="A181" s="1367">
        <v>25</v>
      </c>
      <c r="B181" s="1411" t="str">
        <f t="shared" si="78"/>
        <v/>
      </c>
      <c r="C181" s="1435" t="s">
        <v>3360</v>
      </c>
      <c r="D181" s="1436" t="s">
        <v>3361</v>
      </c>
      <c r="E181" s="1479"/>
      <c r="F181" s="1479"/>
      <c r="G181" s="1479"/>
      <c r="H181" s="1479"/>
      <c r="I181" s="1479"/>
      <c r="J181" s="1479"/>
      <c r="K181" s="1479"/>
      <c r="L181" s="1479"/>
      <c r="M181" s="1479"/>
      <c r="N181" s="1479"/>
      <c r="O181" s="1479"/>
      <c r="P181" s="1479"/>
      <c r="Q181" s="1479"/>
      <c r="R181" s="1479"/>
      <c r="S181" s="1479"/>
      <c r="T181" s="1479"/>
      <c r="U181" s="1479"/>
      <c r="V181" s="1479"/>
      <c r="W181" s="1479"/>
      <c r="X181" s="1479"/>
      <c r="Y181" s="1479"/>
      <c r="Z181" s="1479"/>
      <c r="AA181" s="1479"/>
      <c r="AB181" s="1479"/>
      <c r="AC181" s="1479"/>
      <c r="AD181" s="1479"/>
      <c r="AE181" s="1479"/>
      <c r="AF181" s="1479"/>
      <c r="AG181" s="1479"/>
      <c r="AH181" s="1479"/>
      <c r="AI181" s="1479"/>
      <c r="AJ181" s="1479"/>
      <c r="AK181" s="1479"/>
      <c r="AL181" s="1479"/>
      <c r="AM181" s="1479"/>
      <c r="AN181" s="1479"/>
      <c r="AO181" s="1479"/>
      <c r="AP181" s="1479"/>
      <c r="AQ181" s="1479"/>
      <c r="AR181" s="1479"/>
      <c r="AS181" s="1479"/>
      <c r="AT181" s="1479"/>
      <c r="AU181" s="1479"/>
      <c r="AV181" s="1479"/>
      <c r="AW181" s="1479"/>
      <c r="AX181" s="1479"/>
      <c r="AY181" s="1479"/>
      <c r="AZ181" s="1479"/>
      <c r="BA181" s="1479"/>
      <c r="BB181" s="1479"/>
      <c r="BC181" s="1479"/>
      <c r="BD181" s="1479"/>
      <c r="BE181" s="1479"/>
      <c r="BF181" s="1479"/>
      <c r="BG181" s="1479"/>
      <c r="BH181" s="1479"/>
      <c r="BI181" s="1479"/>
      <c r="BJ181" s="1479"/>
      <c r="BK181" s="1479"/>
      <c r="BL181" s="1479"/>
      <c r="BM181" s="1479"/>
      <c r="BN181" s="1479"/>
      <c r="BO181" s="1479"/>
      <c r="BP181" s="1479"/>
      <c r="BQ181" s="1479"/>
      <c r="BR181" s="1479"/>
      <c r="BS181" s="1479"/>
      <c r="BT181" s="1479"/>
      <c r="BU181" s="1479"/>
      <c r="BV181" s="1479"/>
      <c r="BW181" s="1479"/>
      <c r="BX181" s="1479"/>
      <c r="BY181" s="1479"/>
      <c r="BZ181" s="1479"/>
      <c r="CA181" s="1479"/>
      <c r="CB181" s="1479"/>
      <c r="CC181" s="1479"/>
      <c r="CD181" s="1479"/>
      <c r="CE181" s="1479"/>
      <c r="CF181" s="1479"/>
      <c r="CG181" s="1479"/>
      <c r="CH181" s="1479"/>
      <c r="CI181" s="1479"/>
      <c r="CJ181" s="1479"/>
      <c r="CK181" s="1479"/>
      <c r="CL181" s="1479"/>
      <c r="CM181" s="1479"/>
      <c r="CN181" s="1479"/>
      <c r="CO181" s="1479"/>
      <c r="CP181" s="1479"/>
      <c r="CQ181" s="1479"/>
      <c r="CR181" s="1479"/>
      <c r="CS181" s="1479"/>
      <c r="CT181" s="1479"/>
      <c r="CU181" s="1479"/>
      <c r="CV181" s="1479"/>
      <c r="CW181" s="1479"/>
      <c r="CX181" s="1479"/>
      <c r="CY181" s="1479"/>
      <c r="CZ181" s="1479"/>
      <c r="DA181" s="1479"/>
      <c r="DB181" s="1479"/>
      <c r="DC181" s="1479"/>
      <c r="DD181" s="1479"/>
      <c r="DE181" s="1479"/>
      <c r="DF181" s="1479"/>
      <c r="DG181" s="1479"/>
      <c r="DH181" s="1479"/>
      <c r="DI181" s="1479"/>
      <c r="DJ181" s="1479"/>
      <c r="DK181" s="1479"/>
      <c r="DL181" s="1479"/>
      <c r="DM181" s="1479"/>
      <c r="DN181" s="1479"/>
      <c r="DO181" s="1479"/>
      <c r="DP181" s="1479"/>
      <c r="DQ181" s="1479"/>
      <c r="DR181" s="1479"/>
      <c r="DS181" s="1479"/>
      <c r="DT181" s="1479"/>
      <c r="DU181" s="1479"/>
      <c r="DV181" s="1479"/>
      <c r="DW181" s="1479"/>
      <c r="DX181" s="1479"/>
      <c r="DY181" s="1479"/>
      <c r="DZ181" s="1479"/>
      <c r="EA181" s="1479"/>
      <c r="EB181" s="1479"/>
      <c r="EC181" s="1479"/>
      <c r="ED181" s="1479"/>
      <c r="EE181" s="1479"/>
      <c r="EF181" s="1479"/>
      <c r="EG181" s="1479"/>
      <c r="EH181" s="1479"/>
      <c r="EI181" s="1479"/>
      <c r="EJ181" s="1479"/>
      <c r="EK181" s="1479"/>
      <c r="EL181" s="1479"/>
      <c r="EM181" s="1479"/>
      <c r="EN181" s="1479"/>
      <c r="EO181" s="1479"/>
      <c r="EP181" s="1479"/>
      <c r="EQ181" s="1503">
        <f t="shared" ref="EQ181:EZ181" si="83">EQ162+EQ166+EQ173+EQ180</f>
        <v>62405</v>
      </c>
      <c r="ER181" s="1503">
        <f t="shared" si="83"/>
        <v>12480</v>
      </c>
      <c r="ES181" s="1503">
        <f t="shared" si="83"/>
        <v>1335</v>
      </c>
      <c r="ET181" s="1503">
        <v>2226</v>
      </c>
      <c r="EU181" s="1503">
        <f t="shared" si="83"/>
        <v>15131</v>
      </c>
      <c r="EV181" s="1503">
        <f t="shared" si="83"/>
        <v>94785</v>
      </c>
      <c r="EW181" s="1479">
        <f t="shared" si="83"/>
        <v>6375</v>
      </c>
      <c r="EX181" s="1503">
        <f t="shared" si="83"/>
        <v>88867.58</v>
      </c>
      <c r="EY181" s="1479">
        <f t="shared" si="83"/>
        <v>22458</v>
      </c>
      <c r="EZ181" s="1503">
        <f t="shared" si="83"/>
        <v>73909</v>
      </c>
      <c r="FA181" s="1503"/>
      <c r="FB181" s="1479"/>
      <c r="FC181" s="1479"/>
      <c r="FD181" s="1479"/>
      <c r="FE181" s="1479"/>
      <c r="FF181" s="1479"/>
      <c r="FG181" s="1479"/>
      <c r="FH181" s="1479"/>
      <c r="FI181" s="1479"/>
      <c r="FJ181" s="1479"/>
      <c r="FK181" s="1479"/>
      <c r="FL181" s="1479"/>
      <c r="FM181" s="1479"/>
      <c r="FN181" s="1479"/>
      <c r="FO181" s="1479"/>
      <c r="FP181" s="1479"/>
      <c r="FQ181" s="1479"/>
      <c r="FR181" s="1479"/>
      <c r="FS181" s="1479"/>
      <c r="FT181" s="1479"/>
      <c r="FU181" s="1479"/>
      <c r="FV181" s="1479"/>
      <c r="FW181" s="1479"/>
      <c r="FX181" s="1479"/>
      <c r="FY181" s="1479"/>
      <c r="FZ181" s="1479"/>
      <c r="GA181" s="1479"/>
      <c r="GB181" s="1479"/>
      <c r="GC181" s="1479"/>
      <c r="GD181" s="1479"/>
      <c r="GE181" s="1479"/>
      <c r="GF181" s="1479"/>
      <c r="GG181" s="1479"/>
      <c r="GH181" s="1479"/>
      <c r="GI181" s="1479"/>
      <c r="GJ181" s="1479"/>
      <c r="GK181" s="1479"/>
      <c r="GL181" s="1479"/>
      <c r="GM181" s="1479"/>
      <c r="GN181" s="1479"/>
      <c r="GO181" s="1479"/>
      <c r="GP181" s="1479"/>
      <c r="GQ181" s="1479"/>
      <c r="GR181" s="1479"/>
      <c r="GS181" s="1479"/>
      <c r="GT181" s="1479"/>
      <c r="GU181" s="1479"/>
      <c r="GV181" s="1479"/>
      <c r="GW181" s="1479"/>
      <c r="GX181" s="1479"/>
      <c r="GY181" s="1479"/>
      <c r="GZ181" s="1479"/>
      <c r="HA181" s="1479"/>
      <c r="HB181" s="1479"/>
      <c r="HC181" s="1479"/>
      <c r="HD181" s="1479"/>
      <c r="HE181" s="1479"/>
      <c r="HF181" s="1479"/>
      <c r="HG181" s="1479"/>
      <c r="HH181" s="1479"/>
      <c r="HI181" s="1479"/>
      <c r="HJ181" s="1479"/>
      <c r="HK181" s="1479"/>
      <c r="HL181" s="1479"/>
      <c r="HM181" s="1479"/>
      <c r="HN181" s="1479"/>
      <c r="HO181" s="1479"/>
      <c r="HP181" s="1479"/>
      <c r="HQ181" s="1479"/>
      <c r="HR181" s="1479"/>
      <c r="HS181" s="1479"/>
      <c r="HT181" s="1479"/>
      <c r="HU181" s="1479"/>
      <c r="HV181" s="1479"/>
      <c r="HW181" s="1479"/>
      <c r="HX181" s="1479"/>
      <c r="HY181" s="1479"/>
      <c r="HZ181" s="1479"/>
      <c r="IA181" s="1479"/>
      <c r="IB181" s="1479"/>
      <c r="IC181" s="1479"/>
      <c r="ID181" s="1479"/>
      <c r="IE181" s="1479"/>
      <c r="IF181" s="1479"/>
      <c r="IG181" s="1479"/>
      <c r="IH181" s="1479"/>
      <c r="II181" s="1479"/>
      <c r="IJ181" s="1479"/>
      <c r="IK181" s="1479"/>
      <c r="IL181" s="1479"/>
      <c r="IM181" s="1479"/>
      <c r="IN181" s="1479"/>
      <c r="IO181" s="1479"/>
      <c r="IP181" s="1479"/>
      <c r="IQ181" s="1479"/>
      <c r="IR181" s="1479"/>
      <c r="IS181" s="1479"/>
      <c r="IT181" s="1479"/>
      <c r="IU181" s="1479"/>
      <c r="IV181" s="1479"/>
      <c r="IW181" s="1479"/>
      <c r="IX181" s="1479"/>
      <c r="IY181" s="1479">
        <f>IY162+IY166+IY173+IY180</f>
        <v>1714</v>
      </c>
      <c r="IZ181" s="1479"/>
      <c r="JA181" s="1479"/>
      <c r="JB181" s="1479"/>
      <c r="JC181" s="1479"/>
      <c r="JD181" s="1479"/>
      <c r="JE181" s="1479"/>
      <c r="JF181" s="1479"/>
      <c r="JG181" s="1479"/>
      <c r="JH181" s="1479"/>
      <c r="JI181" s="1479"/>
      <c r="JJ181" s="1479"/>
      <c r="JK181" s="1479"/>
      <c r="JL181" s="1479"/>
      <c r="JM181" s="1479"/>
      <c r="JN181" s="1479"/>
      <c r="JO181" s="1479"/>
      <c r="JP181" s="1479"/>
      <c r="JQ181" s="1479"/>
      <c r="JR181" s="351"/>
      <c r="JS181" s="1400" t="s">
        <v>3362</v>
      </c>
      <c r="JT181" s="1400" t="s">
        <v>2242</v>
      </c>
    </row>
    <row r="182" spans="1:280" x14ac:dyDescent="0.25">
      <c r="A182" s="1367">
        <v>26</v>
      </c>
      <c r="B182" s="1411" t="str">
        <f t="shared" si="78"/>
        <v/>
      </c>
      <c r="C182" s="1435" t="s">
        <v>3363</v>
      </c>
      <c r="D182" s="1436" t="s">
        <v>3364</v>
      </c>
      <c r="E182" s="1552"/>
      <c r="F182" s="1552"/>
      <c r="G182" s="1552"/>
      <c r="H182" s="1552"/>
      <c r="I182" s="1552"/>
      <c r="J182" s="1552"/>
      <c r="K182" s="1552"/>
      <c r="L182" s="1552"/>
      <c r="M182" s="1552"/>
      <c r="N182" s="1552"/>
      <c r="O182" s="1552"/>
      <c r="P182" s="1552"/>
      <c r="Q182" s="1552"/>
      <c r="R182" s="1553"/>
      <c r="S182" s="1553"/>
      <c r="T182" s="1553"/>
      <c r="U182" s="1553"/>
      <c r="V182" s="1553"/>
      <c r="W182" s="1553"/>
      <c r="X182" s="1553"/>
      <c r="Y182" s="1553"/>
      <c r="Z182" s="1553"/>
      <c r="AA182" s="1553"/>
      <c r="AB182" s="1553"/>
      <c r="AC182" s="1553"/>
      <c r="AD182" s="1553"/>
      <c r="AE182" s="1553"/>
      <c r="AF182" s="1553"/>
      <c r="AG182" s="1553"/>
      <c r="AH182" s="1553"/>
      <c r="AI182" s="1553"/>
      <c r="AJ182" s="1553"/>
      <c r="AK182" s="1553"/>
      <c r="AL182" s="1553"/>
      <c r="AM182" s="1553"/>
      <c r="AN182" s="1553"/>
      <c r="AO182" s="1553"/>
      <c r="AP182" s="1553"/>
      <c r="AQ182" s="1553"/>
      <c r="AR182" s="1553"/>
      <c r="AS182" s="1553"/>
      <c r="AT182" s="1553"/>
      <c r="AU182" s="1553"/>
      <c r="AV182" s="1553"/>
      <c r="AW182" s="1553"/>
      <c r="AX182" s="1553"/>
      <c r="AY182" s="1553"/>
      <c r="AZ182" s="1553"/>
      <c r="BA182" s="1553"/>
      <c r="BB182" s="1553"/>
      <c r="BC182" s="1553"/>
      <c r="BD182" s="1553"/>
      <c r="BE182" s="1553"/>
      <c r="BF182" s="1553"/>
      <c r="BG182" s="1553"/>
      <c r="BH182" s="1553"/>
      <c r="BI182" s="1553"/>
      <c r="BJ182" s="1553"/>
      <c r="BK182" s="1553"/>
      <c r="BL182" s="1553"/>
      <c r="BM182" s="1553"/>
      <c r="BN182" s="1553"/>
      <c r="BO182" s="1553"/>
      <c r="BP182" s="1553"/>
      <c r="BQ182" s="1553"/>
      <c r="BR182" s="1553"/>
      <c r="BS182" s="1553"/>
      <c r="BT182" s="1553"/>
      <c r="BU182" s="1553"/>
      <c r="BV182" s="1553"/>
      <c r="BW182" s="1553"/>
      <c r="BX182" s="1553"/>
      <c r="BY182" s="1553"/>
      <c r="BZ182" s="1553"/>
      <c r="CA182" s="1553"/>
      <c r="CB182" s="1553"/>
      <c r="CC182" s="1553"/>
      <c r="CD182" s="1553"/>
      <c r="CE182" s="1553"/>
      <c r="CF182" s="1553"/>
      <c r="CG182" s="1553"/>
      <c r="CH182" s="1553"/>
      <c r="CI182" s="1553"/>
      <c r="CJ182" s="1553"/>
      <c r="CK182" s="1553"/>
      <c r="CL182" s="1553"/>
      <c r="CM182" s="1553"/>
      <c r="CN182" s="1553"/>
      <c r="CO182" s="1553"/>
      <c r="CP182" s="1553"/>
      <c r="CQ182" s="1553"/>
      <c r="CR182" s="1553"/>
      <c r="CS182" s="1553"/>
      <c r="CT182" s="1553"/>
      <c r="CU182" s="1553"/>
      <c r="CV182" s="1553"/>
      <c r="CW182" s="1553"/>
      <c r="CX182" s="1553"/>
      <c r="CY182" s="1553"/>
      <c r="CZ182" s="1553"/>
      <c r="DA182" s="1553"/>
      <c r="DB182" s="1553"/>
      <c r="DC182" s="1553"/>
      <c r="DD182" s="1553"/>
      <c r="DE182" s="1553"/>
      <c r="DF182" s="1553"/>
      <c r="DG182" s="1553"/>
      <c r="DH182" s="1553"/>
      <c r="DI182" s="1553"/>
      <c r="DJ182" s="1553"/>
      <c r="DK182" s="1553"/>
      <c r="DL182" s="1553"/>
      <c r="DM182" s="1553"/>
      <c r="DN182" s="1553"/>
      <c r="DO182" s="1553"/>
      <c r="DP182" s="1553"/>
      <c r="DQ182" s="1553"/>
      <c r="DR182" s="1553"/>
      <c r="DS182" s="1553"/>
      <c r="DT182" s="1553"/>
      <c r="DU182" s="1553"/>
      <c r="DV182" s="1553"/>
      <c r="DW182" s="1553"/>
      <c r="DX182" s="1553"/>
      <c r="DY182" s="1553"/>
      <c r="DZ182" s="1553"/>
      <c r="EA182" s="1553"/>
      <c r="EB182" s="1553"/>
      <c r="EC182" s="1553"/>
      <c r="ED182" s="1553"/>
      <c r="EE182" s="1553"/>
      <c r="EF182" s="1553"/>
      <c r="EG182" s="1553"/>
      <c r="EH182" s="1553"/>
      <c r="EI182" s="1553"/>
      <c r="EJ182" s="1553"/>
      <c r="EK182" s="1553"/>
      <c r="EL182" s="1553"/>
      <c r="EM182" s="1553"/>
      <c r="EN182" s="1553"/>
      <c r="EO182" s="1553"/>
      <c r="EP182" s="1553"/>
      <c r="EQ182" s="1452"/>
      <c r="ER182" s="1554"/>
      <c r="ES182" s="1554"/>
      <c r="ET182" s="1554"/>
      <c r="EU182" s="1452"/>
      <c r="EV182" s="1554"/>
      <c r="EW182" s="1452"/>
      <c r="EX182" s="1554"/>
      <c r="EY182" s="1554"/>
      <c r="EZ182" s="1554"/>
      <c r="FA182" s="1554"/>
      <c r="FB182" s="1553"/>
      <c r="FC182" s="1553"/>
      <c r="FD182" s="1553"/>
      <c r="FE182" s="1553"/>
      <c r="FF182" s="1553"/>
      <c r="FG182" s="1553"/>
      <c r="FH182" s="1553"/>
      <c r="FI182" s="1553"/>
      <c r="FJ182" s="1553"/>
      <c r="FK182" s="1553"/>
      <c r="FL182" s="1553"/>
      <c r="FM182" s="1553"/>
      <c r="FN182" s="1553"/>
      <c r="FO182" s="1553"/>
      <c r="FP182" s="1553"/>
      <c r="FQ182" s="1553"/>
      <c r="FR182" s="1553"/>
      <c r="FS182" s="1553"/>
      <c r="FT182" s="1553"/>
      <c r="FU182" s="1553"/>
      <c r="FV182" s="1553"/>
      <c r="FW182" s="1553"/>
      <c r="FX182" s="1553"/>
      <c r="FY182" s="1553"/>
      <c r="FZ182" s="1553"/>
      <c r="GA182" s="1553"/>
      <c r="GB182" s="1553"/>
      <c r="GC182" s="1553"/>
      <c r="GD182" s="1553"/>
      <c r="GE182" s="1553"/>
      <c r="GF182" s="1553"/>
      <c r="GG182" s="1553"/>
      <c r="GH182" s="1553"/>
      <c r="GI182" s="1553"/>
      <c r="GJ182" s="1553"/>
      <c r="GK182" s="1553"/>
      <c r="GL182" s="1553"/>
      <c r="GM182" s="1553"/>
      <c r="GN182" s="1553"/>
      <c r="GO182" s="1553"/>
      <c r="GP182" s="1553"/>
      <c r="GQ182" s="1553"/>
      <c r="GR182" s="1553"/>
      <c r="GS182" s="1553"/>
      <c r="GT182" s="1553"/>
      <c r="GU182" s="1553"/>
      <c r="GV182" s="1553"/>
      <c r="GW182" s="1553"/>
      <c r="GX182" s="1553"/>
      <c r="GY182" s="1553"/>
      <c r="GZ182" s="1553"/>
      <c r="HA182" s="1553"/>
      <c r="HB182" s="1553"/>
      <c r="HC182" s="1553"/>
      <c r="HD182" s="1553"/>
      <c r="HE182" s="1553"/>
      <c r="HF182" s="1553"/>
      <c r="HG182" s="1553"/>
      <c r="HH182" s="1553"/>
      <c r="HI182" s="1553"/>
      <c r="HJ182" s="1553"/>
      <c r="HK182" s="1553"/>
      <c r="HL182" s="1553"/>
      <c r="HM182" s="1553"/>
      <c r="HN182" s="1553"/>
      <c r="HO182" s="1553"/>
      <c r="HP182" s="1553"/>
      <c r="HQ182" s="1553"/>
      <c r="HR182" s="1553"/>
      <c r="HS182" s="1553"/>
      <c r="HT182" s="1553"/>
      <c r="HU182" s="1553"/>
      <c r="HV182" s="1553"/>
      <c r="HW182" s="1553"/>
      <c r="HX182" s="1553"/>
      <c r="HY182" s="1553"/>
      <c r="HZ182" s="1553"/>
      <c r="IA182" s="1553"/>
      <c r="IB182" s="1553"/>
      <c r="IC182" s="1553"/>
      <c r="ID182" s="1553"/>
      <c r="IE182" s="1553"/>
      <c r="IF182" s="1553"/>
      <c r="IG182" s="1553"/>
      <c r="IH182" s="1553"/>
      <c r="II182" s="1553"/>
      <c r="IJ182" s="1553"/>
      <c r="IK182" s="1553"/>
      <c r="IL182" s="1553"/>
      <c r="IM182" s="1553"/>
      <c r="IN182" s="1553"/>
      <c r="IO182" s="1553"/>
      <c r="IP182" s="1553"/>
      <c r="IQ182" s="1553"/>
      <c r="IR182" s="1553"/>
      <c r="IS182" s="1553"/>
      <c r="IT182" s="1553"/>
      <c r="IU182" s="1553"/>
      <c r="IV182" s="1553"/>
      <c r="IW182" s="1553"/>
      <c r="IX182" s="1553"/>
      <c r="IY182" s="1452"/>
      <c r="IZ182" s="1553"/>
      <c r="JA182" s="1553"/>
      <c r="JB182" s="1553"/>
      <c r="JC182" s="1553"/>
      <c r="JD182" s="1553"/>
      <c r="JE182" s="1553"/>
      <c r="JF182" s="1553"/>
      <c r="JG182" s="1553"/>
      <c r="JH182" s="1553"/>
      <c r="JI182" s="1553"/>
      <c r="JJ182" s="1553"/>
      <c r="JK182" s="1553"/>
      <c r="JL182" s="1553"/>
      <c r="JM182" s="1553"/>
      <c r="JN182" s="1553"/>
      <c r="JO182" s="1553"/>
      <c r="JP182" s="1553"/>
      <c r="JQ182" s="1555"/>
      <c r="JR182" s="351"/>
      <c r="JS182" s="1400"/>
      <c r="JT182" s="1400" t="s">
        <v>2242</v>
      </c>
    </row>
    <row r="183" spans="1:280" ht="20" x14ac:dyDescent="0.25">
      <c r="A183" s="1367">
        <v>27</v>
      </c>
      <c r="B183" s="1411" t="str">
        <f t="shared" si="78"/>
        <v/>
      </c>
      <c r="C183" s="1435" t="s">
        <v>3365</v>
      </c>
      <c r="D183" s="1436" t="s">
        <v>3366</v>
      </c>
      <c r="E183" s="1552"/>
      <c r="F183" s="1552"/>
      <c r="G183" s="1552"/>
      <c r="H183" s="1552"/>
      <c r="I183" s="1552"/>
      <c r="J183" s="1552"/>
      <c r="K183" s="1552"/>
      <c r="L183" s="1552"/>
      <c r="M183" s="1552"/>
      <c r="N183" s="1552"/>
      <c r="O183" s="1552"/>
      <c r="P183" s="1552"/>
      <c r="Q183" s="1552"/>
      <c r="R183" s="1553"/>
      <c r="S183" s="1553"/>
      <c r="T183" s="1553"/>
      <c r="U183" s="1553"/>
      <c r="V183" s="1553"/>
      <c r="W183" s="1553"/>
      <c r="X183" s="1553"/>
      <c r="Y183" s="1553"/>
      <c r="Z183" s="1553"/>
      <c r="AA183" s="1553"/>
      <c r="AB183" s="1553"/>
      <c r="AC183" s="1553"/>
      <c r="AD183" s="1553"/>
      <c r="AE183" s="1553"/>
      <c r="AF183" s="1553"/>
      <c r="AG183" s="1553"/>
      <c r="AH183" s="1553"/>
      <c r="AI183" s="1553"/>
      <c r="AJ183" s="1553"/>
      <c r="AK183" s="1553"/>
      <c r="AL183" s="1553"/>
      <c r="AM183" s="1553"/>
      <c r="AN183" s="1553"/>
      <c r="AO183" s="1553"/>
      <c r="AP183" s="1553"/>
      <c r="AQ183" s="1553"/>
      <c r="AR183" s="1553"/>
      <c r="AS183" s="1553"/>
      <c r="AT183" s="1553"/>
      <c r="AU183" s="1553"/>
      <c r="AV183" s="1553"/>
      <c r="AW183" s="1553"/>
      <c r="AX183" s="1553"/>
      <c r="AY183" s="1553"/>
      <c r="AZ183" s="1553"/>
      <c r="BA183" s="1553"/>
      <c r="BB183" s="1553"/>
      <c r="BC183" s="1553"/>
      <c r="BD183" s="1553"/>
      <c r="BE183" s="1553"/>
      <c r="BF183" s="1553"/>
      <c r="BG183" s="1553"/>
      <c r="BH183" s="1553"/>
      <c r="BI183" s="1553"/>
      <c r="BJ183" s="1553"/>
      <c r="BK183" s="1553"/>
      <c r="BL183" s="1553"/>
      <c r="BM183" s="1553"/>
      <c r="BN183" s="1553"/>
      <c r="BO183" s="1553"/>
      <c r="BP183" s="1553"/>
      <c r="BQ183" s="1553"/>
      <c r="BR183" s="1553"/>
      <c r="BS183" s="1553"/>
      <c r="BT183" s="1553"/>
      <c r="BU183" s="1553"/>
      <c r="BV183" s="1553"/>
      <c r="BW183" s="1553"/>
      <c r="BX183" s="1553"/>
      <c r="BY183" s="1553"/>
      <c r="BZ183" s="1553"/>
      <c r="CA183" s="1553"/>
      <c r="CB183" s="1553"/>
      <c r="CC183" s="1553"/>
      <c r="CD183" s="1553"/>
      <c r="CE183" s="1553"/>
      <c r="CF183" s="1553"/>
      <c r="CG183" s="1553"/>
      <c r="CH183" s="1553"/>
      <c r="CI183" s="1553"/>
      <c r="CJ183" s="1553"/>
      <c r="CK183" s="1553"/>
      <c r="CL183" s="1553"/>
      <c r="CM183" s="1553"/>
      <c r="CN183" s="1553"/>
      <c r="CO183" s="1553"/>
      <c r="CP183" s="1553"/>
      <c r="CQ183" s="1553"/>
      <c r="CR183" s="1553"/>
      <c r="CS183" s="1553"/>
      <c r="CT183" s="1553"/>
      <c r="CU183" s="1553"/>
      <c r="CV183" s="1553"/>
      <c r="CW183" s="1553"/>
      <c r="CX183" s="1553"/>
      <c r="CY183" s="1553"/>
      <c r="CZ183" s="1553"/>
      <c r="DA183" s="1553"/>
      <c r="DB183" s="1553"/>
      <c r="DC183" s="1553"/>
      <c r="DD183" s="1553"/>
      <c r="DE183" s="1553"/>
      <c r="DF183" s="1553"/>
      <c r="DG183" s="1553"/>
      <c r="DH183" s="1553"/>
      <c r="DI183" s="1553"/>
      <c r="DJ183" s="1553"/>
      <c r="DK183" s="1553"/>
      <c r="DL183" s="1553"/>
      <c r="DM183" s="1553"/>
      <c r="DN183" s="1553"/>
      <c r="DO183" s="1553"/>
      <c r="DP183" s="1553"/>
      <c r="DQ183" s="1553"/>
      <c r="DR183" s="1553"/>
      <c r="DS183" s="1553"/>
      <c r="DT183" s="1553"/>
      <c r="DU183" s="1553"/>
      <c r="DV183" s="1553"/>
      <c r="DW183" s="1553"/>
      <c r="DX183" s="1553"/>
      <c r="DY183" s="1553"/>
      <c r="DZ183" s="1553"/>
      <c r="EA183" s="1553"/>
      <c r="EB183" s="1553"/>
      <c r="EC183" s="1553"/>
      <c r="ED183" s="1553"/>
      <c r="EE183" s="1553"/>
      <c r="EF183" s="1553"/>
      <c r="EG183" s="1553"/>
      <c r="EH183" s="1553"/>
      <c r="EI183" s="1553"/>
      <c r="EJ183" s="1553"/>
      <c r="EK183" s="1553"/>
      <c r="EL183" s="1553"/>
      <c r="EM183" s="1553"/>
      <c r="EN183" s="1553"/>
      <c r="EO183" s="1553"/>
      <c r="EP183" s="1553"/>
      <c r="EQ183" s="1452"/>
      <c r="ER183" s="1554"/>
      <c r="ES183" s="1554"/>
      <c r="ET183" s="1554"/>
      <c r="EU183" s="1454"/>
      <c r="EV183" s="1554"/>
      <c r="EW183" s="1452"/>
      <c r="EX183" s="1538">
        <v>43213</v>
      </c>
      <c r="EY183" s="1554"/>
      <c r="EZ183" s="1554"/>
      <c r="FA183" s="1554"/>
      <c r="FB183" s="1553"/>
      <c r="FC183" s="1553"/>
      <c r="FD183" s="1553"/>
      <c r="FE183" s="1553"/>
      <c r="FF183" s="1553"/>
      <c r="FG183" s="1553"/>
      <c r="FH183" s="1553"/>
      <c r="FI183" s="1553"/>
      <c r="FJ183" s="1553"/>
      <c r="FK183" s="1553"/>
      <c r="FL183" s="1553"/>
      <c r="FM183" s="1553"/>
      <c r="FN183" s="1553"/>
      <c r="FO183" s="1553"/>
      <c r="FP183" s="1553"/>
      <c r="FQ183" s="1553"/>
      <c r="FR183" s="1553"/>
      <c r="FS183" s="1553"/>
      <c r="FT183" s="1553"/>
      <c r="FU183" s="1553"/>
      <c r="FV183" s="1553"/>
      <c r="FW183" s="1553"/>
      <c r="FX183" s="1553"/>
      <c r="FY183" s="1553"/>
      <c r="FZ183" s="1553"/>
      <c r="GA183" s="1553"/>
      <c r="GB183" s="1553"/>
      <c r="GC183" s="1553"/>
      <c r="GD183" s="1553"/>
      <c r="GE183" s="1553"/>
      <c r="GF183" s="1553"/>
      <c r="GG183" s="1553"/>
      <c r="GH183" s="1553"/>
      <c r="GI183" s="1553"/>
      <c r="GJ183" s="1553"/>
      <c r="GK183" s="1553"/>
      <c r="GL183" s="1553"/>
      <c r="GM183" s="1553"/>
      <c r="GN183" s="1553"/>
      <c r="GO183" s="1553"/>
      <c r="GP183" s="1553"/>
      <c r="GQ183" s="1553"/>
      <c r="GR183" s="1553"/>
      <c r="GS183" s="1553"/>
      <c r="GT183" s="1553"/>
      <c r="GU183" s="1553"/>
      <c r="GV183" s="1553"/>
      <c r="GW183" s="1553"/>
      <c r="GX183" s="1553"/>
      <c r="GY183" s="1553"/>
      <c r="GZ183" s="1553"/>
      <c r="HA183" s="1553"/>
      <c r="HB183" s="1553"/>
      <c r="HC183" s="1553"/>
      <c r="HD183" s="1553"/>
      <c r="HE183" s="1553"/>
      <c r="HF183" s="1553"/>
      <c r="HG183" s="1553"/>
      <c r="HH183" s="1553"/>
      <c r="HI183" s="1553"/>
      <c r="HJ183" s="1553"/>
      <c r="HK183" s="1553"/>
      <c r="HL183" s="1553"/>
      <c r="HM183" s="1553"/>
      <c r="HN183" s="1553"/>
      <c r="HO183" s="1553"/>
      <c r="HP183" s="1553"/>
      <c r="HQ183" s="1553"/>
      <c r="HR183" s="1553"/>
      <c r="HS183" s="1553"/>
      <c r="HT183" s="1553"/>
      <c r="HU183" s="1553"/>
      <c r="HV183" s="1553"/>
      <c r="HW183" s="1553"/>
      <c r="HX183" s="1553"/>
      <c r="HY183" s="1553"/>
      <c r="HZ183" s="1553"/>
      <c r="IA183" s="1553"/>
      <c r="IB183" s="1553"/>
      <c r="IC183" s="1553"/>
      <c r="ID183" s="1553"/>
      <c r="IE183" s="1553"/>
      <c r="IF183" s="1553"/>
      <c r="IG183" s="1553"/>
      <c r="IH183" s="1553"/>
      <c r="II183" s="1553"/>
      <c r="IJ183" s="1553"/>
      <c r="IK183" s="1553"/>
      <c r="IL183" s="1553"/>
      <c r="IM183" s="1553"/>
      <c r="IN183" s="1553"/>
      <c r="IO183" s="1553"/>
      <c r="IP183" s="1553"/>
      <c r="IQ183" s="1553"/>
      <c r="IR183" s="1553"/>
      <c r="IS183" s="1553"/>
      <c r="IT183" s="1553"/>
      <c r="IU183" s="1553"/>
      <c r="IV183" s="1553"/>
      <c r="IW183" s="1553"/>
      <c r="IX183" s="1553"/>
      <c r="IY183" s="1452">
        <v>13816</v>
      </c>
      <c r="IZ183" s="1553"/>
      <c r="JA183" s="1553"/>
      <c r="JB183" s="1553"/>
      <c r="JC183" s="1553"/>
      <c r="JD183" s="1553"/>
      <c r="JE183" s="1553"/>
      <c r="JF183" s="1553"/>
      <c r="JG183" s="1553"/>
      <c r="JH183" s="1553"/>
      <c r="JI183" s="1553"/>
      <c r="JJ183" s="1553"/>
      <c r="JK183" s="1553"/>
      <c r="JL183" s="1553"/>
      <c r="JM183" s="1553"/>
      <c r="JN183" s="1553"/>
      <c r="JO183" s="1553"/>
      <c r="JP183" s="1553"/>
      <c r="JQ183" s="1555"/>
      <c r="JR183" s="351"/>
      <c r="JS183" s="1400" t="s">
        <v>3367</v>
      </c>
      <c r="JT183" s="1400" t="s">
        <v>2242</v>
      </c>
    </row>
    <row r="184" spans="1:280" x14ac:dyDescent="0.25">
      <c r="A184" s="1367">
        <v>28</v>
      </c>
      <c r="B184" s="1411" t="str">
        <f t="shared" si="78"/>
        <v/>
      </c>
      <c r="C184" s="1435" t="s">
        <v>3368</v>
      </c>
      <c r="D184" s="1436" t="s">
        <v>3369</v>
      </c>
      <c r="E184" s="1552"/>
      <c r="F184" s="1552"/>
      <c r="G184" s="1552"/>
      <c r="H184" s="1552"/>
      <c r="I184" s="1552"/>
      <c r="J184" s="1552"/>
      <c r="K184" s="1552"/>
      <c r="L184" s="1552"/>
      <c r="M184" s="1552"/>
      <c r="N184" s="1552"/>
      <c r="O184" s="1552"/>
      <c r="P184" s="1552"/>
      <c r="Q184" s="1552"/>
      <c r="R184" s="1553"/>
      <c r="S184" s="1553"/>
      <c r="T184" s="1553"/>
      <c r="U184" s="1553"/>
      <c r="V184" s="1553"/>
      <c r="W184" s="1553"/>
      <c r="X184" s="1553"/>
      <c r="Y184" s="1553"/>
      <c r="Z184" s="1553"/>
      <c r="AA184" s="1553"/>
      <c r="AB184" s="1553"/>
      <c r="AC184" s="1553"/>
      <c r="AD184" s="1553"/>
      <c r="AE184" s="1553"/>
      <c r="AF184" s="1553"/>
      <c r="AG184" s="1553"/>
      <c r="AH184" s="1553"/>
      <c r="AI184" s="1553"/>
      <c r="AJ184" s="1553"/>
      <c r="AK184" s="1553"/>
      <c r="AL184" s="1553"/>
      <c r="AM184" s="1553"/>
      <c r="AN184" s="1553"/>
      <c r="AO184" s="1553"/>
      <c r="AP184" s="1553"/>
      <c r="AQ184" s="1553"/>
      <c r="AR184" s="1553"/>
      <c r="AS184" s="1553"/>
      <c r="AT184" s="1553"/>
      <c r="AU184" s="1553"/>
      <c r="AV184" s="1553"/>
      <c r="AW184" s="1553"/>
      <c r="AX184" s="1553"/>
      <c r="AY184" s="1553"/>
      <c r="AZ184" s="1553"/>
      <c r="BA184" s="1553"/>
      <c r="BB184" s="1553"/>
      <c r="BC184" s="1553"/>
      <c r="BD184" s="1553"/>
      <c r="BE184" s="1553"/>
      <c r="BF184" s="1553"/>
      <c r="BG184" s="1553"/>
      <c r="BH184" s="1553"/>
      <c r="BI184" s="1553"/>
      <c r="BJ184" s="1553"/>
      <c r="BK184" s="1553"/>
      <c r="BL184" s="1553"/>
      <c r="BM184" s="1553"/>
      <c r="BN184" s="1553"/>
      <c r="BO184" s="1553"/>
      <c r="BP184" s="1553"/>
      <c r="BQ184" s="1553"/>
      <c r="BR184" s="1553"/>
      <c r="BS184" s="1553"/>
      <c r="BT184" s="1553"/>
      <c r="BU184" s="1553"/>
      <c r="BV184" s="1553"/>
      <c r="BW184" s="1553"/>
      <c r="BX184" s="1553"/>
      <c r="BY184" s="1553"/>
      <c r="BZ184" s="1553"/>
      <c r="CA184" s="1553"/>
      <c r="CB184" s="1553"/>
      <c r="CC184" s="1553"/>
      <c r="CD184" s="1553"/>
      <c r="CE184" s="1553"/>
      <c r="CF184" s="1553"/>
      <c r="CG184" s="1553"/>
      <c r="CH184" s="1553"/>
      <c r="CI184" s="1553"/>
      <c r="CJ184" s="1553"/>
      <c r="CK184" s="1553"/>
      <c r="CL184" s="1553"/>
      <c r="CM184" s="1553"/>
      <c r="CN184" s="1553"/>
      <c r="CO184" s="1553"/>
      <c r="CP184" s="1553"/>
      <c r="CQ184" s="1553"/>
      <c r="CR184" s="1553"/>
      <c r="CS184" s="1553"/>
      <c r="CT184" s="1553"/>
      <c r="CU184" s="1553"/>
      <c r="CV184" s="1553"/>
      <c r="CW184" s="1553"/>
      <c r="CX184" s="1553"/>
      <c r="CY184" s="1553"/>
      <c r="CZ184" s="1553"/>
      <c r="DA184" s="1553"/>
      <c r="DB184" s="1553"/>
      <c r="DC184" s="1553"/>
      <c r="DD184" s="1553"/>
      <c r="DE184" s="1553"/>
      <c r="DF184" s="1553"/>
      <c r="DG184" s="1553"/>
      <c r="DH184" s="1553"/>
      <c r="DI184" s="1553"/>
      <c r="DJ184" s="1553"/>
      <c r="DK184" s="1553"/>
      <c r="DL184" s="1553"/>
      <c r="DM184" s="1553"/>
      <c r="DN184" s="1553"/>
      <c r="DO184" s="1553"/>
      <c r="DP184" s="1553"/>
      <c r="DQ184" s="1553"/>
      <c r="DR184" s="1553"/>
      <c r="DS184" s="1553"/>
      <c r="DT184" s="1553"/>
      <c r="DU184" s="1553"/>
      <c r="DV184" s="1553"/>
      <c r="DW184" s="1553"/>
      <c r="DX184" s="1553"/>
      <c r="DY184" s="1553"/>
      <c r="DZ184" s="1553"/>
      <c r="EA184" s="1553"/>
      <c r="EB184" s="1553"/>
      <c r="EC184" s="1553"/>
      <c r="ED184" s="1553"/>
      <c r="EE184" s="1553"/>
      <c r="EF184" s="1553"/>
      <c r="EG184" s="1553"/>
      <c r="EH184" s="1553"/>
      <c r="EI184" s="1553"/>
      <c r="EJ184" s="1553"/>
      <c r="EK184" s="1553"/>
      <c r="EL184" s="1553"/>
      <c r="EM184" s="1553"/>
      <c r="EN184" s="1553"/>
      <c r="EO184" s="1553"/>
      <c r="EP184" s="1553"/>
      <c r="EQ184" s="1454">
        <v>5345</v>
      </c>
      <c r="ER184" s="1538">
        <v>1125</v>
      </c>
      <c r="ES184" s="1538"/>
      <c r="ET184" s="1538"/>
      <c r="EU184" s="1452"/>
      <c r="EV184" s="1554"/>
      <c r="EW184" s="1452"/>
      <c r="EX184" s="1538"/>
      <c r="EY184" s="1554"/>
      <c r="EZ184" s="1554"/>
      <c r="FA184" s="1538"/>
      <c r="FB184" s="1553"/>
      <c r="FC184" s="1553"/>
      <c r="FD184" s="1553"/>
      <c r="FE184" s="1553"/>
      <c r="FF184" s="1553"/>
      <c r="FG184" s="1553"/>
      <c r="FH184" s="1553"/>
      <c r="FI184" s="1553"/>
      <c r="FJ184" s="1553"/>
      <c r="FK184" s="1553"/>
      <c r="FL184" s="1553"/>
      <c r="FM184" s="1553"/>
      <c r="FN184" s="1553"/>
      <c r="FO184" s="1553"/>
      <c r="FP184" s="1553"/>
      <c r="FQ184" s="1553"/>
      <c r="FR184" s="1553"/>
      <c r="FS184" s="1553"/>
      <c r="FT184" s="1553"/>
      <c r="FU184" s="1553"/>
      <c r="FV184" s="1553"/>
      <c r="FW184" s="1553"/>
      <c r="FX184" s="1553"/>
      <c r="FY184" s="1553"/>
      <c r="FZ184" s="1553"/>
      <c r="GA184" s="1553"/>
      <c r="GB184" s="1553"/>
      <c r="GC184" s="1553"/>
      <c r="GD184" s="1553"/>
      <c r="GE184" s="1553"/>
      <c r="GF184" s="1553"/>
      <c r="GG184" s="1553"/>
      <c r="GH184" s="1553"/>
      <c r="GI184" s="1553"/>
      <c r="GJ184" s="1553"/>
      <c r="GK184" s="1553"/>
      <c r="GL184" s="1553"/>
      <c r="GM184" s="1553"/>
      <c r="GN184" s="1553"/>
      <c r="GO184" s="1553"/>
      <c r="GP184" s="1553"/>
      <c r="GQ184" s="1553"/>
      <c r="GR184" s="1553"/>
      <c r="GS184" s="1553"/>
      <c r="GT184" s="1553"/>
      <c r="GU184" s="1553"/>
      <c r="GV184" s="1553"/>
      <c r="GW184" s="1553"/>
      <c r="GX184" s="1553"/>
      <c r="GY184" s="1553"/>
      <c r="GZ184" s="1553"/>
      <c r="HA184" s="1553"/>
      <c r="HB184" s="1553"/>
      <c r="HC184" s="1553"/>
      <c r="HD184" s="1553"/>
      <c r="HE184" s="1553"/>
      <c r="HF184" s="1553"/>
      <c r="HG184" s="1553"/>
      <c r="HH184" s="1553"/>
      <c r="HI184" s="1553"/>
      <c r="HJ184" s="1553"/>
      <c r="HK184" s="1553"/>
      <c r="HL184" s="1553"/>
      <c r="HM184" s="1553"/>
      <c r="HN184" s="1553"/>
      <c r="HO184" s="1553"/>
      <c r="HP184" s="1553"/>
      <c r="HQ184" s="1553"/>
      <c r="HR184" s="1553"/>
      <c r="HS184" s="1553"/>
      <c r="HT184" s="1553"/>
      <c r="HU184" s="1553"/>
      <c r="HV184" s="1553"/>
      <c r="HW184" s="1553"/>
      <c r="HX184" s="1553"/>
      <c r="HY184" s="1553"/>
      <c r="HZ184" s="1553"/>
      <c r="IA184" s="1553"/>
      <c r="IB184" s="1553"/>
      <c r="IC184" s="1553"/>
      <c r="ID184" s="1553"/>
      <c r="IE184" s="1553"/>
      <c r="IF184" s="1553"/>
      <c r="IG184" s="1553"/>
      <c r="IH184" s="1553"/>
      <c r="II184" s="1553"/>
      <c r="IJ184" s="1553"/>
      <c r="IK184" s="1553"/>
      <c r="IL184" s="1553"/>
      <c r="IM184" s="1553"/>
      <c r="IN184" s="1553"/>
      <c r="IO184" s="1553"/>
      <c r="IP184" s="1553"/>
      <c r="IQ184" s="1553"/>
      <c r="IR184" s="1553"/>
      <c r="IS184" s="1553"/>
      <c r="IT184" s="1553"/>
      <c r="IU184" s="1553"/>
      <c r="IV184" s="1553"/>
      <c r="IW184" s="1553"/>
      <c r="IX184" s="1553"/>
      <c r="IY184" s="1452"/>
      <c r="IZ184" s="1553"/>
      <c r="JA184" s="1553"/>
      <c r="JB184" s="1553"/>
      <c r="JC184" s="1553"/>
      <c r="JD184" s="1553"/>
      <c r="JE184" s="1553"/>
      <c r="JF184" s="1553"/>
      <c r="JG184" s="1553"/>
      <c r="JH184" s="1553"/>
      <c r="JI184" s="1553"/>
      <c r="JJ184" s="1553"/>
      <c r="JK184" s="1553"/>
      <c r="JL184" s="1553"/>
      <c r="JM184" s="1553"/>
      <c r="JN184" s="1553"/>
      <c r="JO184" s="1553"/>
      <c r="JP184" s="1553"/>
      <c r="JQ184" s="1555"/>
      <c r="JR184" s="351"/>
      <c r="JS184" s="1400"/>
      <c r="JT184" s="1400" t="s">
        <v>2242</v>
      </c>
    </row>
    <row r="185" spans="1:280" x14ac:dyDescent="0.25">
      <c r="A185" s="1367">
        <v>29</v>
      </c>
      <c r="B185" s="1411" t="str">
        <f t="shared" si="78"/>
        <v/>
      </c>
      <c r="C185" s="1435" t="s">
        <v>3370</v>
      </c>
      <c r="D185" s="1436" t="s">
        <v>3371</v>
      </c>
      <c r="E185" s="1552"/>
      <c r="F185" s="1552"/>
      <c r="G185" s="1552"/>
      <c r="H185" s="1552"/>
      <c r="I185" s="1552"/>
      <c r="J185" s="1552"/>
      <c r="K185" s="1552"/>
      <c r="L185" s="1552"/>
      <c r="M185" s="1552"/>
      <c r="N185" s="1552"/>
      <c r="O185" s="1552"/>
      <c r="P185" s="1552"/>
      <c r="Q185" s="1552"/>
      <c r="R185" s="1553"/>
      <c r="S185" s="1553"/>
      <c r="T185" s="1553"/>
      <c r="U185" s="1553"/>
      <c r="V185" s="1553"/>
      <c r="W185" s="1553"/>
      <c r="X185" s="1553"/>
      <c r="Y185" s="1553"/>
      <c r="Z185" s="1553"/>
      <c r="AA185" s="1553"/>
      <c r="AB185" s="1553"/>
      <c r="AC185" s="1553"/>
      <c r="AD185" s="1553"/>
      <c r="AE185" s="1553"/>
      <c r="AF185" s="1553"/>
      <c r="AG185" s="1553"/>
      <c r="AH185" s="1553"/>
      <c r="AI185" s="1553"/>
      <c r="AJ185" s="1553"/>
      <c r="AK185" s="1553"/>
      <c r="AL185" s="1553"/>
      <c r="AM185" s="1553"/>
      <c r="AN185" s="1553"/>
      <c r="AO185" s="1553"/>
      <c r="AP185" s="1553"/>
      <c r="AQ185" s="1553"/>
      <c r="AR185" s="1553"/>
      <c r="AS185" s="1553"/>
      <c r="AT185" s="1553"/>
      <c r="AU185" s="1553"/>
      <c r="AV185" s="1553"/>
      <c r="AW185" s="1553"/>
      <c r="AX185" s="1553"/>
      <c r="AY185" s="1553"/>
      <c r="AZ185" s="1553"/>
      <c r="BA185" s="1553"/>
      <c r="BB185" s="1553"/>
      <c r="BC185" s="1553"/>
      <c r="BD185" s="1553"/>
      <c r="BE185" s="1553"/>
      <c r="BF185" s="1553"/>
      <c r="BG185" s="1553"/>
      <c r="BH185" s="1553"/>
      <c r="BI185" s="1553"/>
      <c r="BJ185" s="1553"/>
      <c r="BK185" s="1553"/>
      <c r="BL185" s="1553"/>
      <c r="BM185" s="1553"/>
      <c r="BN185" s="1553"/>
      <c r="BO185" s="1553"/>
      <c r="BP185" s="1553"/>
      <c r="BQ185" s="1553"/>
      <c r="BR185" s="1553"/>
      <c r="BS185" s="1553"/>
      <c r="BT185" s="1553"/>
      <c r="BU185" s="1553"/>
      <c r="BV185" s="1553"/>
      <c r="BW185" s="1553"/>
      <c r="BX185" s="1553"/>
      <c r="BY185" s="1553"/>
      <c r="BZ185" s="1553"/>
      <c r="CA185" s="1553"/>
      <c r="CB185" s="1553"/>
      <c r="CC185" s="1553"/>
      <c r="CD185" s="1553"/>
      <c r="CE185" s="1553"/>
      <c r="CF185" s="1553"/>
      <c r="CG185" s="1553"/>
      <c r="CH185" s="1553"/>
      <c r="CI185" s="1553"/>
      <c r="CJ185" s="1553"/>
      <c r="CK185" s="1553"/>
      <c r="CL185" s="1553"/>
      <c r="CM185" s="1553"/>
      <c r="CN185" s="1553"/>
      <c r="CO185" s="1553"/>
      <c r="CP185" s="1553"/>
      <c r="CQ185" s="1553"/>
      <c r="CR185" s="1553"/>
      <c r="CS185" s="1553"/>
      <c r="CT185" s="1553"/>
      <c r="CU185" s="1553"/>
      <c r="CV185" s="1553"/>
      <c r="CW185" s="1553"/>
      <c r="CX185" s="1553"/>
      <c r="CY185" s="1553"/>
      <c r="CZ185" s="1553"/>
      <c r="DA185" s="1553"/>
      <c r="DB185" s="1553"/>
      <c r="DC185" s="1553"/>
      <c r="DD185" s="1553"/>
      <c r="DE185" s="1553"/>
      <c r="DF185" s="1553"/>
      <c r="DG185" s="1553"/>
      <c r="DH185" s="1553"/>
      <c r="DI185" s="1553"/>
      <c r="DJ185" s="1553"/>
      <c r="DK185" s="1553"/>
      <c r="DL185" s="1553"/>
      <c r="DM185" s="1553"/>
      <c r="DN185" s="1553"/>
      <c r="DO185" s="1553"/>
      <c r="DP185" s="1553"/>
      <c r="DQ185" s="1553"/>
      <c r="DR185" s="1553"/>
      <c r="DS185" s="1553"/>
      <c r="DT185" s="1553"/>
      <c r="DU185" s="1553"/>
      <c r="DV185" s="1553"/>
      <c r="DW185" s="1553"/>
      <c r="DX185" s="1553"/>
      <c r="DY185" s="1553"/>
      <c r="DZ185" s="1553"/>
      <c r="EA185" s="1553"/>
      <c r="EB185" s="1553"/>
      <c r="EC185" s="1553"/>
      <c r="ED185" s="1553"/>
      <c r="EE185" s="1553"/>
      <c r="EF185" s="1553"/>
      <c r="EG185" s="1553"/>
      <c r="EH185" s="1553"/>
      <c r="EI185" s="1553"/>
      <c r="EJ185" s="1553"/>
      <c r="EK185" s="1553"/>
      <c r="EL185" s="1553"/>
      <c r="EM185" s="1553"/>
      <c r="EN185" s="1553"/>
      <c r="EO185" s="1553"/>
      <c r="EP185" s="1553"/>
      <c r="EQ185" s="1452"/>
      <c r="ER185" s="1554"/>
      <c r="ES185" s="1554"/>
      <c r="ET185" s="1554"/>
      <c r="EU185" s="1454">
        <v>697</v>
      </c>
      <c r="EV185" s="1538"/>
      <c r="EW185" s="1452"/>
      <c r="EX185" s="1554"/>
      <c r="EY185" s="1554">
        <v>7580</v>
      </c>
      <c r="EZ185" s="1538"/>
      <c r="FA185" s="1554"/>
      <c r="FB185" s="1553"/>
      <c r="FC185" s="1553"/>
      <c r="FD185" s="1553"/>
      <c r="FE185" s="1553"/>
      <c r="FF185" s="1553"/>
      <c r="FG185" s="1553"/>
      <c r="FH185" s="1553"/>
      <c r="FI185" s="1553"/>
      <c r="FJ185" s="1553"/>
      <c r="FK185" s="1553"/>
      <c r="FL185" s="1553"/>
      <c r="FM185" s="1553"/>
      <c r="FN185" s="1553"/>
      <c r="FO185" s="1553"/>
      <c r="FP185" s="1553"/>
      <c r="FQ185" s="1553"/>
      <c r="FR185" s="1553"/>
      <c r="FS185" s="1553"/>
      <c r="FT185" s="1553"/>
      <c r="FU185" s="1553"/>
      <c r="FV185" s="1553"/>
      <c r="FW185" s="1553"/>
      <c r="FX185" s="1553"/>
      <c r="FY185" s="1553"/>
      <c r="FZ185" s="1553"/>
      <c r="GA185" s="1553"/>
      <c r="GB185" s="1553"/>
      <c r="GC185" s="1553"/>
      <c r="GD185" s="1553"/>
      <c r="GE185" s="1553"/>
      <c r="GF185" s="1553"/>
      <c r="GG185" s="1553"/>
      <c r="GH185" s="1553"/>
      <c r="GI185" s="1553"/>
      <c r="GJ185" s="1553"/>
      <c r="GK185" s="1553"/>
      <c r="GL185" s="1553"/>
      <c r="GM185" s="1553"/>
      <c r="GN185" s="1553"/>
      <c r="GO185" s="1553"/>
      <c r="GP185" s="1553"/>
      <c r="GQ185" s="1553"/>
      <c r="GR185" s="1553"/>
      <c r="GS185" s="1553"/>
      <c r="GT185" s="1553"/>
      <c r="GU185" s="1553"/>
      <c r="GV185" s="1553"/>
      <c r="GW185" s="1553"/>
      <c r="GX185" s="1553"/>
      <c r="GY185" s="1553"/>
      <c r="GZ185" s="1553"/>
      <c r="HA185" s="1553"/>
      <c r="HB185" s="1553"/>
      <c r="HC185" s="1553"/>
      <c r="HD185" s="1553"/>
      <c r="HE185" s="1553"/>
      <c r="HF185" s="1553"/>
      <c r="HG185" s="1553"/>
      <c r="HH185" s="1553"/>
      <c r="HI185" s="1553"/>
      <c r="HJ185" s="1553"/>
      <c r="HK185" s="1553"/>
      <c r="HL185" s="1553"/>
      <c r="HM185" s="1553"/>
      <c r="HN185" s="1553"/>
      <c r="HO185" s="1553"/>
      <c r="HP185" s="1553"/>
      <c r="HQ185" s="1553"/>
      <c r="HR185" s="1553"/>
      <c r="HS185" s="1553"/>
      <c r="HT185" s="1553"/>
      <c r="HU185" s="1553"/>
      <c r="HV185" s="1553"/>
      <c r="HW185" s="1553"/>
      <c r="HX185" s="1553"/>
      <c r="HY185" s="1553"/>
      <c r="HZ185" s="1553"/>
      <c r="IA185" s="1553"/>
      <c r="IB185" s="1553"/>
      <c r="IC185" s="1553"/>
      <c r="ID185" s="1553"/>
      <c r="IE185" s="1553"/>
      <c r="IF185" s="1553"/>
      <c r="IG185" s="1553"/>
      <c r="IH185" s="1553"/>
      <c r="II185" s="1553"/>
      <c r="IJ185" s="1553"/>
      <c r="IK185" s="1553"/>
      <c r="IL185" s="1553"/>
      <c r="IM185" s="1553"/>
      <c r="IN185" s="1553"/>
      <c r="IO185" s="1553"/>
      <c r="IP185" s="1553"/>
      <c r="IQ185" s="1553"/>
      <c r="IR185" s="1553"/>
      <c r="IS185" s="1553"/>
      <c r="IT185" s="1553"/>
      <c r="IU185" s="1553"/>
      <c r="IV185" s="1553"/>
      <c r="IW185" s="1553"/>
      <c r="IX185" s="1553"/>
      <c r="IY185" s="1452"/>
      <c r="IZ185" s="1553"/>
      <c r="JA185" s="1553"/>
      <c r="JB185" s="1553"/>
      <c r="JC185" s="1553"/>
      <c r="JD185" s="1553"/>
      <c r="JE185" s="1553"/>
      <c r="JF185" s="1553"/>
      <c r="JG185" s="1553"/>
      <c r="JH185" s="1553"/>
      <c r="JI185" s="1553"/>
      <c r="JJ185" s="1553"/>
      <c r="JK185" s="1553"/>
      <c r="JL185" s="1553"/>
      <c r="JM185" s="1553"/>
      <c r="JN185" s="1553"/>
      <c r="JO185" s="1553"/>
      <c r="JP185" s="1553"/>
      <c r="JQ185" s="1555"/>
      <c r="JR185" s="351"/>
      <c r="JS185" s="1400"/>
      <c r="JT185" s="1400" t="s">
        <v>2242</v>
      </c>
    </row>
    <row r="186" spans="1:280" x14ac:dyDescent="0.25">
      <c r="A186" s="1367">
        <v>30</v>
      </c>
      <c r="B186" s="1411" t="str">
        <f t="shared" si="78"/>
        <v/>
      </c>
      <c r="C186" s="1435" t="s">
        <v>3372</v>
      </c>
      <c r="D186" s="1436" t="s">
        <v>3373</v>
      </c>
      <c r="E186" s="1552"/>
      <c r="F186" s="1552"/>
      <c r="G186" s="1552"/>
      <c r="H186" s="1552"/>
      <c r="I186" s="1552"/>
      <c r="J186" s="1552"/>
      <c r="K186" s="1552"/>
      <c r="L186" s="1552"/>
      <c r="M186" s="1552"/>
      <c r="N186" s="1552"/>
      <c r="O186" s="1552"/>
      <c r="P186" s="1552"/>
      <c r="Q186" s="1552"/>
      <c r="R186" s="1553"/>
      <c r="S186" s="1553"/>
      <c r="T186" s="1553"/>
      <c r="U186" s="1553"/>
      <c r="V186" s="1553"/>
      <c r="W186" s="1553"/>
      <c r="X186" s="1553"/>
      <c r="Y186" s="1553"/>
      <c r="Z186" s="1553"/>
      <c r="AA186" s="1553"/>
      <c r="AB186" s="1553"/>
      <c r="AC186" s="1553"/>
      <c r="AD186" s="1553"/>
      <c r="AE186" s="1553"/>
      <c r="AF186" s="1553"/>
      <c r="AG186" s="1553"/>
      <c r="AH186" s="1553"/>
      <c r="AI186" s="1553"/>
      <c r="AJ186" s="1553"/>
      <c r="AK186" s="1553"/>
      <c r="AL186" s="1553"/>
      <c r="AM186" s="1553"/>
      <c r="AN186" s="1553"/>
      <c r="AO186" s="1553"/>
      <c r="AP186" s="1553"/>
      <c r="AQ186" s="1553"/>
      <c r="AR186" s="1553"/>
      <c r="AS186" s="1553"/>
      <c r="AT186" s="1553"/>
      <c r="AU186" s="1553"/>
      <c r="AV186" s="1553"/>
      <c r="AW186" s="1553"/>
      <c r="AX186" s="1553"/>
      <c r="AY186" s="1553"/>
      <c r="AZ186" s="1553"/>
      <c r="BA186" s="1553"/>
      <c r="BB186" s="1553"/>
      <c r="BC186" s="1553"/>
      <c r="BD186" s="1553"/>
      <c r="BE186" s="1553"/>
      <c r="BF186" s="1553"/>
      <c r="BG186" s="1553"/>
      <c r="BH186" s="1553"/>
      <c r="BI186" s="1553"/>
      <c r="BJ186" s="1553"/>
      <c r="BK186" s="1553"/>
      <c r="BL186" s="1553"/>
      <c r="BM186" s="1553"/>
      <c r="BN186" s="1553"/>
      <c r="BO186" s="1553"/>
      <c r="BP186" s="1553"/>
      <c r="BQ186" s="1553"/>
      <c r="BR186" s="1553"/>
      <c r="BS186" s="1553"/>
      <c r="BT186" s="1553"/>
      <c r="BU186" s="1553"/>
      <c r="BV186" s="1553"/>
      <c r="BW186" s="1553"/>
      <c r="BX186" s="1553"/>
      <c r="BY186" s="1553"/>
      <c r="BZ186" s="1553"/>
      <c r="CA186" s="1553"/>
      <c r="CB186" s="1553"/>
      <c r="CC186" s="1553"/>
      <c r="CD186" s="1553"/>
      <c r="CE186" s="1553"/>
      <c r="CF186" s="1553"/>
      <c r="CG186" s="1553"/>
      <c r="CH186" s="1553"/>
      <c r="CI186" s="1553"/>
      <c r="CJ186" s="1553"/>
      <c r="CK186" s="1553"/>
      <c r="CL186" s="1553"/>
      <c r="CM186" s="1553"/>
      <c r="CN186" s="1553"/>
      <c r="CO186" s="1553"/>
      <c r="CP186" s="1553"/>
      <c r="CQ186" s="1553"/>
      <c r="CR186" s="1553"/>
      <c r="CS186" s="1553"/>
      <c r="CT186" s="1553"/>
      <c r="CU186" s="1553"/>
      <c r="CV186" s="1553"/>
      <c r="CW186" s="1553"/>
      <c r="CX186" s="1553"/>
      <c r="CY186" s="1553"/>
      <c r="CZ186" s="1553"/>
      <c r="DA186" s="1553"/>
      <c r="DB186" s="1553"/>
      <c r="DC186" s="1553"/>
      <c r="DD186" s="1553"/>
      <c r="DE186" s="1553"/>
      <c r="DF186" s="1553"/>
      <c r="DG186" s="1553"/>
      <c r="DH186" s="1553"/>
      <c r="DI186" s="1553"/>
      <c r="DJ186" s="1553"/>
      <c r="DK186" s="1553"/>
      <c r="DL186" s="1553"/>
      <c r="DM186" s="1553"/>
      <c r="DN186" s="1553"/>
      <c r="DO186" s="1553"/>
      <c r="DP186" s="1553"/>
      <c r="DQ186" s="1553"/>
      <c r="DR186" s="1553"/>
      <c r="DS186" s="1553"/>
      <c r="DT186" s="1553"/>
      <c r="DU186" s="1553"/>
      <c r="DV186" s="1553"/>
      <c r="DW186" s="1553"/>
      <c r="DX186" s="1553"/>
      <c r="DY186" s="1553"/>
      <c r="DZ186" s="1553"/>
      <c r="EA186" s="1553"/>
      <c r="EB186" s="1553"/>
      <c r="EC186" s="1553"/>
      <c r="ED186" s="1553"/>
      <c r="EE186" s="1553"/>
      <c r="EF186" s="1553"/>
      <c r="EG186" s="1553"/>
      <c r="EH186" s="1553"/>
      <c r="EI186" s="1553"/>
      <c r="EJ186" s="1553"/>
      <c r="EK186" s="1553"/>
      <c r="EL186" s="1553"/>
      <c r="EM186" s="1553"/>
      <c r="EN186" s="1553"/>
      <c r="EO186" s="1553"/>
      <c r="EP186" s="1553"/>
      <c r="EQ186" s="1452"/>
      <c r="ER186" s="1554"/>
      <c r="ES186" s="1554"/>
      <c r="ET186" s="1554"/>
      <c r="EU186" s="1452"/>
      <c r="EV186" s="1554"/>
      <c r="EW186" s="1452"/>
      <c r="EX186" s="1554"/>
      <c r="EY186" s="1554"/>
      <c r="EZ186" s="1554"/>
      <c r="FA186" s="1554"/>
      <c r="FB186" s="1553"/>
      <c r="FC186" s="1553"/>
      <c r="FD186" s="1553"/>
      <c r="FE186" s="1553"/>
      <c r="FF186" s="1553"/>
      <c r="FG186" s="1553"/>
      <c r="FH186" s="1553"/>
      <c r="FI186" s="1553"/>
      <c r="FJ186" s="1553"/>
      <c r="FK186" s="1553"/>
      <c r="FL186" s="1553"/>
      <c r="FM186" s="1553"/>
      <c r="FN186" s="1553"/>
      <c r="FO186" s="1553"/>
      <c r="FP186" s="1553"/>
      <c r="FQ186" s="1553"/>
      <c r="FR186" s="1553"/>
      <c r="FS186" s="1553"/>
      <c r="FT186" s="1553"/>
      <c r="FU186" s="1553"/>
      <c r="FV186" s="1553"/>
      <c r="FW186" s="1553"/>
      <c r="FX186" s="1553"/>
      <c r="FY186" s="1553"/>
      <c r="FZ186" s="1553"/>
      <c r="GA186" s="1553"/>
      <c r="GB186" s="1553"/>
      <c r="GC186" s="1553"/>
      <c r="GD186" s="1553"/>
      <c r="GE186" s="1553"/>
      <c r="GF186" s="1553"/>
      <c r="GG186" s="1553"/>
      <c r="GH186" s="1553"/>
      <c r="GI186" s="1553"/>
      <c r="GJ186" s="1553"/>
      <c r="GK186" s="1553"/>
      <c r="GL186" s="1553"/>
      <c r="GM186" s="1553"/>
      <c r="GN186" s="1553"/>
      <c r="GO186" s="1553"/>
      <c r="GP186" s="1553"/>
      <c r="GQ186" s="1553"/>
      <c r="GR186" s="1553"/>
      <c r="GS186" s="1553"/>
      <c r="GT186" s="1553"/>
      <c r="GU186" s="1553"/>
      <c r="GV186" s="1553"/>
      <c r="GW186" s="1553"/>
      <c r="GX186" s="1553"/>
      <c r="GY186" s="1553"/>
      <c r="GZ186" s="1553"/>
      <c r="HA186" s="1553"/>
      <c r="HB186" s="1553"/>
      <c r="HC186" s="1553"/>
      <c r="HD186" s="1553"/>
      <c r="HE186" s="1553"/>
      <c r="HF186" s="1553"/>
      <c r="HG186" s="1553"/>
      <c r="HH186" s="1553"/>
      <c r="HI186" s="1553"/>
      <c r="HJ186" s="1553"/>
      <c r="HK186" s="1553"/>
      <c r="HL186" s="1553"/>
      <c r="HM186" s="1553"/>
      <c r="HN186" s="1553"/>
      <c r="HO186" s="1553"/>
      <c r="HP186" s="1553"/>
      <c r="HQ186" s="1553"/>
      <c r="HR186" s="1553"/>
      <c r="HS186" s="1553"/>
      <c r="HT186" s="1553"/>
      <c r="HU186" s="1553"/>
      <c r="HV186" s="1553"/>
      <c r="HW186" s="1553"/>
      <c r="HX186" s="1553"/>
      <c r="HY186" s="1553"/>
      <c r="HZ186" s="1553"/>
      <c r="IA186" s="1553"/>
      <c r="IB186" s="1553"/>
      <c r="IC186" s="1553"/>
      <c r="ID186" s="1553"/>
      <c r="IE186" s="1553"/>
      <c r="IF186" s="1553"/>
      <c r="IG186" s="1553"/>
      <c r="IH186" s="1553"/>
      <c r="II186" s="1553"/>
      <c r="IJ186" s="1553"/>
      <c r="IK186" s="1553"/>
      <c r="IL186" s="1553"/>
      <c r="IM186" s="1553"/>
      <c r="IN186" s="1553"/>
      <c r="IO186" s="1553"/>
      <c r="IP186" s="1553"/>
      <c r="IQ186" s="1553"/>
      <c r="IR186" s="1553"/>
      <c r="IS186" s="1553"/>
      <c r="IT186" s="1553"/>
      <c r="IU186" s="1553"/>
      <c r="IV186" s="1553"/>
      <c r="IW186" s="1553"/>
      <c r="IX186" s="1553"/>
      <c r="IY186" s="1452"/>
      <c r="IZ186" s="1553"/>
      <c r="JA186" s="1553"/>
      <c r="JB186" s="1553"/>
      <c r="JC186" s="1553"/>
      <c r="JD186" s="1553"/>
      <c r="JE186" s="1553"/>
      <c r="JF186" s="1553"/>
      <c r="JG186" s="1553"/>
      <c r="JH186" s="1553"/>
      <c r="JI186" s="1553"/>
      <c r="JJ186" s="1553"/>
      <c r="JK186" s="1553"/>
      <c r="JL186" s="1553"/>
      <c r="JM186" s="1553"/>
      <c r="JN186" s="1553"/>
      <c r="JO186" s="1553"/>
      <c r="JP186" s="1553"/>
      <c r="JQ186" s="1555"/>
      <c r="JR186" s="351"/>
      <c r="JS186" s="1400"/>
      <c r="JT186" s="1400" t="s">
        <v>2242</v>
      </c>
    </row>
    <row r="187" spans="1:280" x14ac:dyDescent="0.25">
      <c r="A187" s="1367">
        <v>31</v>
      </c>
      <c r="B187" s="1411" t="str">
        <f t="shared" ref="B187:B217" si="84">IF(LUN_IND&gt;1,IF(HLOOKUP(LUN_IND-1,LUN_RANGE,A187)="","",HLOOKUP(LUN_IND-1,LUN_RANGE,A187)),"")</f>
        <v/>
      </c>
      <c r="C187" s="1435" t="s">
        <v>3374</v>
      </c>
      <c r="D187" s="1436" t="s">
        <v>3375</v>
      </c>
      <c r="E187" s="1552"/>
      <c r="F187" s="1552"/>
      <c r="G187" s="1552"/>
      <c r="H187" s="1552"/>
      <c r="I187" s="1552"/>
      <c r="J187" s="1552"/>
      <c r="K187" s="1552"/>
      <c r="L187" s="1552"/>
      <c r="M187" s="1552"/>
      <c r="N187" s="1552"/>
      <c r="O187" s="1552"/>
      <c r="P187" s="1552"/>
      <c r="Q187" s="1552"/>
      <c r="R187" s="1553"/>
      <c r="S187" s="1553"/>
      <c r="T187" s="1553"/>
      <c r="U187" s="1553"/>
      <c r="V187" s="1553"/>
      <c r="W187" s="1553"/>
      <c r="X187" s="1553"/>
      <c r="Y187" s="1553"/>
      <c r="Z187" s="1553"/>
      <c r="AA187" s="1553"/>
      <c r="AB187" s="1553"/>
      <c r="AC187" s="1553"/>
      <c r="AD187" s="1553"/>
      <c r="AE187" s="1553"/>
      <c r="AF187" s="1553"/>
      <c r="AG187" s="1553"/>
      <c r="AH187" s="1553"/>
      <c r="AI187" s="1553"/>
      <c r="AJ187" s="1553"/>
      <c r="AK187" s="1553"/>
      <c r="AL187" s="1553"/>
      <c r="AM187" s="1553"/>
      <c r="AN187" s="1553"/>
      <c r="AO187" s="1553"/>
      <c r="AP187" s="1553"/>
      <c r="AQ187" s="1553"/>
      <c r="AR187" s="1553"/>
      <c r="AS187" s="1553"/>
      <c r="AT187" s="1553"/>
      <c r="AU187" s="1553"/>
      <c r="AV187" s="1553"/>
      <c r="AW187" s="1553"/>
      <c r="AX187" s="1553"/>
      <c r="AY187" s="1553"/>
      <c r="AZ187" s="1553"/>
      <c r="BA187" s="1553"/>
      <c r="BB187" s="1553"/>
      <c r="BC187" s="1553"/>
      <c r="BD187" s="1553"/>
      <c r="BE187" s="1553"/>
      <c r="BF187" s="1553"/>
      <c r="BG187" s="1553"/>
      <c r="BH187" s="1553"/>
      <c r="BI187" s="1553"/>
      <c r="BJ187" s="1553"/>
      <c r="BK187" s="1553"/>
      <c r="BL187" s="1553"/>
      <c r="BM187" s="1553"/>
      <c r="BN187" s="1553"/>
      <c r="BO187" s="1553"/>
      <c r="BP187" s="1553"/>
      <c r="BQ187" s="1553"/>
      <c r="BR187" s="1553"/>
      <c r="BS187" s="1553"/>
      <c r="BT187" s="1553"/>
      <c r="BU187" s="1553"/>
      <c r="BV187" s="1553"/>
      <c r="BW187" s="1553"/>
      <c r="BX187" s="1553"/>
      <c r="BY187" s="1553"/>
      <c r="BZ187" s="1553"/>
      <c r="CA187" s="1553"/>
      <c r="CB187" s="1553"/>
      <c r="CC187" s="1553"/>
      <c r="CD187" s="1553"/>
      <c r="CE187" s="1553"/>
      <c r="CF187" s="1553"/>
      <c r="CG187" s="1553"/>
      <c r="CH187" s="1553"/>
      <c r="CI187" s="1553"/>
      <c r="CJ187" s="1553"/>
      <c r="CK187" s="1553"/>
      <c r="CL187" s="1553"/>
      <c r="CM187" s="1553"/>
      <c r="CN187" s="1553"/>
      <c r="CO187" s="1553"/>
      <c r="CP187" s="1553"/>
      <c r="CQ187" s="1553"/>
      <c r="CR187" s="1553"/>
      <c r="CS187" s="1553"/>
      <c r="CT187" s="1553"/>
      <c r="CU187" s="1553"/>
      <c r="CV187" s="1553"/>
      <c r="CW187" s="1553"/>
      <c r="CX187" s="1553"/>
      <c r="CY187" s="1553"/>
      <c r="CZ187" s="1553"/>
      <c r="DA187" s="1553"/>
      <c r="DB187" s="1553"/>
      <c r="DC187" s="1553"/>
      <c r="DD187" s="1553"/>
      <c r="DE187" s="1553"/>
      <c r="DF187" s="1553"/>
      <c r="DG187" s="1553"/>
      <c r="DH187" s="1553"/>
      <c r="DI187" s="1553"/>
      <c r="DJ187" s="1553"/>
      <c r="DK187" s="1553"/>
      <c r="DL187" s="1553"/>
      <c r="DM187" s="1553"/>
      <c r="DN187" s="1553"/>
      <c r="DO187" s="1553"/>
      <c r="DP187" s="1553"/>
      <c r="DQ187" s="1553"/>
      <c r="DR187" s="1553"/>
      <c r="DS187" s="1553"/>
      <c r="DT187" s="1553"/>
      <c r="DU187" s="1553"/>
      <c r="DV187" s="1553"/>
      <c r="DW187" s="1553"/>
      <c r="DX187" s="1553"/>
      <c r="DY187" s="1553"/>
      <c r="DZ187" s="1553"/>
      <c r="EA187" s="1553"/>
      <c r="EB187" s="1553"/>
      <c r="EC187" s="1553"/>
      <c r="ED187" s="1553"/>
      <c r="EE187" s="1553"/>
      <c r="EF187" s="1553"/>
      <c r="EG187" s="1553"/>
      <c r="EH187" s="1553"/>
      <c r="EI187" s="1553"/>
      <c r="EJ187" s="1553"/>
      <c r="EK187" s="1553"/>
      <c r="EL187" s="1553"/>
      <c r="EM187" s="1553"/>
      <c r="EN187" s="1553"/>
      <c r="EO187" s="1553"/>
      <c r="EP187" s="1553"/>
      <c r="EQ187" s="1452"/>
      <c r="ER187" s="1554"/>
      <c r="ES187" s="1554"/>
      <c r="ET187" s="1554"/>
      <c r="EU187" s="1452"/>
      <c r="EV187" s="1554"/>
      <c r="EW187" s="1452"/>
      <c r="EX187" s="1554"/>
      <c r="EY187" s="1554"/>
      <c r="EZ187" s="1554"/>
      <c r="FA187" s="1554"/>
      <c r="FB187" s="1553"/>
      <c r="FC187" s="1553"/>
      <c r="FD187" s="1553"/>
      <c r="FE187" s="1553"/>
      <c r="FF187" s="1553"/>
      <c r="FG187" s="1553"/>
      <c r="FH187" s="1553"/>
      <c r="FI187" s="1553"/>
      <c r="FJ187" s="1553"/>
      <c r="FK187" s="1553"/>
      <c r="FL187" s="1553"/>
      <c r="FM187" s="1553"/>
      <c r="FN187" s="1553"/>
      <c r="FO187" s="1553"/>
      <c r="FP187" s="1553"/>
      <c r="FQ187" s="1553"/>
      <c r="FR187" s="1553"/>
      <c r="FS187" s="1553"/>
      <c r="FT187" s="1553"/>
      <c r="FU187" s="1553"/>
      <c r="FV187" s="1553"/>
      <c r="FW187" s="1553"/>
      <c r="FX187" s="1553"/>
      <c r="FY187" s="1553"/>
      <c r="FZ187" s="1553"/>
      <c r="GA187" s="1553"/>
      <c r="GB187" s="1553"/>
      <c r="GC187" s="1553"/>
      <c r="GD187" s="1553"/>
      <c r="GE187" s="1553"/>
      <c r="GF187" s="1553"/>
      <c r="GG187" s="1553"/>
      <c r="GH187" s="1553"/>
      <c r="GI187" s="1553"/>
      <c r="GJ187" s="1553"/>
      <c r="GK187" s="1553"/>
      <c r="GL187" s="1553"/>
      <c r="GM187" s="1553"/>
      <c r="GN187" s="1553"/>
      <c r="GO187" s="1553"/>
      <c r="GP187" s="1553"/>
      <c r="GQ187" s="1553"/>
      <c r="GR187" s="1553"/>
      <c r="GS187" s="1553"/>
      <c r="GT187" s="1553"/>
      <c r="GU187" s="1553"/>
      <c r="GV187" s="1553"/>
      <c r="GW187" s="1553"/>
      <c r="GX187" s="1553"/>
      <c r="GY187" s="1553"/>
      <c r="GZ187" s="1553"/>
      <c r="HA187" s="1553"/>
      <c r="HB187" s="1553"/>
      <c r="HC187" s="1553"/>
      <c r="HD187" s="1553"/>
      <c r="HE187" s="1553"/>
      <c r="HF187" s="1553"/>
      <c r="HG187" s="1553"/>
      <c r="HH187" s="1553"/>
      <c r="HI187" s="1553"/>
      <c r="HJ187" s="1553"/>
      <c r="HK187" s="1553"/>
      <c r="HL187" s="1553"/>
      <c r="HM187" s="1553"/>
      <c r="HN187" s="1553"/>
      <c r="HO187" s="1553"/>
      <c r="HP187" s="1553"/>
      <c r="HQ187" s="1553"/>
      <c r="HR187" s="1553"/>
      <c r="HS187" s="1553"/>
      <c r="HT187" s="1553"/>
      <c r="HU187" s="1553"/>
      <c r="HV187" s="1553"/>
      <c r="HW187" s="1553"/>
      <c r="HX187" s="1553"/>
      <c r="HY187" s="1553"/>
      <c r="HZ187" s="1553"/>
      <c r="IA187" s="1553"/>
      <c r="IB187" s="1553"/>
      <c r="IC187" s="1553"/>
      <c r="ID187" s="1553"/>
      <c r="IE187" s="1553"/>
      <c r="IF187" s="1553"/>
      <c r="IG187" s="1553"/>
      <c r="IH187" s="1553"/>
      <c r="II187" s="1553"/>
      <c r="IJ187" s="1553"/>
      <c r="IK187" s="1553"/>
      <c r="IL187" s="1553"/>
      <c r="IM187" s="1553"/>
      <c r="IN187" s="1553"/>
      <c r="IO187" s="1553"/>
      <c r="IP187" s="1553"/>
      <c r="IQ187" s="1553"/>
      <c r="IR187" s="1553"/>
      <c r="IS187" s="1553"/>
      <c r="IT187" s="1553"/>
      <c r="IU187" s="1553"/>
      <c r="IV187" s="1553"/>
      <c r="IW187" s="1553"/>
      <c r="IX187" s="1553"/>
      <c r="IY187" s="1452"/>
      <c r="IZ187" s="1553"/>
      <c r="JA187" s="1553"/>
      <c r="JB187" s="1553"/>
      <c r="JC187" s="1553"/>
      <c r="JD187" s="1553"/>
      <c r="JE187" s="1553"/>
      <c r="JF187" s="1553"/>
      <c r="JG187" s="1553"/>
      <c r="JH187" s="1553"/>
      <c r="JI187" s="1553"/>
      <c r="JJ187" s="1553"/>
      <c r="JK187" s="1553"/>
      <c r="JL187" s="1553"/>
      <c r="JM187" s="1553"/>
      <c r="JN187" s="1553"/>
      <c r="JO187" s="1553"/>
      <c r="JP187" s="1553"/>
      <c r="JQ187" s="1555"/>
      <c r="JR187" s="351"/>
      <c r="JS187" s="1400"/>
      <c r="JT187" s="1400" t="s">
        <v>2242</v>
      </c>
    </row>
    <row r="188" spans="1:280" x14ac:dyDescent="0.25">
      <c r="A188" s="1367">
        <v>32</v>
      </c>
      <c r="B188" s="1411" t="str">
        <f t="shared" si="84"/>
        <v/>
      </c>
      <c r="C188" s="1435" t="s">
        <v>3376</v>
      </c>
      <c r="D188" s="1436" t="s">
        <v>3377</v>
      </c>
      <c r="E188" s="1552"/>
      <c r="F188" s="1552"/>
      <c r="G188" s="1552"/>
      <c r="H188" s="1552"/>
      <c r="I188" s="1552"/>
      <c r="J188" s="1552"/>
      <c r="K188" s="1552"/>
      <c r="L188" s="1552"/>
      <c r="M188" s="1552"/>
      <c r="N188" s="1552"/>
      <c r="O188" s="1552"/>
      <c r="P188" s="1552"/>
      <c r="Q188" s="1552"/>
      <c r="R188" s="1553"/>
      <c r="S188" s="1553"/>
      <c r="T188" s="1553"/>
      <c r="U188" s="1553"/>
      <c r="V188" s="1553"/>
      <c r="W188" s="1553"/>
      <c r="X188" s="1553"/>
      <c r="Y188" s="1553"/>
      <c r="Z188" s="1553"/>
      <c r="AA188" s="1553"/>
      <c r="AB188" s="1553"/>
      <c r="AC188" s="1553"/>
      <c r="AD188" s="1553"/>
      <c r="AE188" s="1553"/>
      <c r="AF188" s="1553"/>
      <c r="AG188" s="1553"/>
      <c r="AH188" s="1553"/>
      <c r="AI188" s="1553"/>
      <c r="AJ188" s="1553"/>
      <c r="AK188" s="1553"/>
      <c r="AL188" s="1553"/>
      <c r="AM188" s="1553"/>
      <c r="AN188" s="1553"/>
      <c r="AO188" s="1553"/>
      <c r="AP188" s="1553"/>
      <c r="AQ188" s="1553"/>
      <c r="AR188" s="1553"/>
      <c r="AS188" s="1553"/>
      <c r="AT188" s="1553"/>
      <c r="AU188" s="1553"/>
      <c r="AV188" s="1553"/>
      <c r="AW188" s="1553"/>
      <c r="AX188" s="1553"/>
      <c r="AY188" s="1553"/>
      <c r="AZ188" s="1553"/>
      <c r="BA188" s="1553"/>
      <c r="BB188" s="1553"/>
      <c r="BC188" s="1553"/>
      <c r="BD188" s="1553"/>
      <c r="BE188" s="1553"/>
      <c r="BF188" s="1553"/>
      <c r="BG188" s="1553"/>
      <c r="BH188" s="1553"/>
      <c r="BI188" s="1553"/>
      <c r="BJ188" s="1553"/>
      <c r="BK188" s="1553"/>
      <c r="BL188" s="1553"/>
      <c r="BM188" s="1553"/>
      <c r="BN188" s="1553"/>
      <c r="BO188" s="1553"/>
      <c r="BP188" s="1553"/>
      <c r="BQ188" s="1553"/>
      <c r="BR188" s="1553"/>
      <c r="BS188" s="1553"/>
      <c r="BT188" s="1553"/>
      <c r="BU188" s="1553"/>
      <c r="BV188" s="1553"/>
      <c r="BW188" s="1553"/>
      <c r="BX188" s="1553"/>
      <c r="BY188" s="1553"/>
      <c r="BZ188" s="1553"/>
      <c r="CA188" s="1553"/>
      <c r="CB188" s="1553"/>
      <c r="CC188" s="1553"/>
      <c r="CD188" s="1553"/>
      <c r="CE188" s="1553"/>
      <c r="CF188" s="1553"/>
      <c r="CG188" s="1553"/>
      <c r="CH188" s="1553"/>
      <c r="CI188" s="1553"/>
      <c r="CJ188" s="1553"/>
      <c r="CK188" s="1553"/>
      <c r="CL188" s="1553"/>
      <c r="CM188" s="1553"/>
      <c r="CN188" s="1553"/>
      <c r="CO188" s="1553"/>
      <c r="CP188" s="1553"/>
      <c r="CQ188" s="1553"/>
      <c r="CR188" s="1553"/>
      <c r="CS188" s="1553"/>
      <c r="CT188" s="1553"/>
      <c r="CU188" s="1553"/>
      <c r="CV188" s="1553"/>
      <c r="CW188" s="1553"/>
      <c r="CX188" s="1553"/>
      <c r="CY188" s="1553"/>
      <c r="CZ188" s="1553"/>
      <c r="DA188" s="1553"/>
      <c r="DB188" s="1553"/>
      <c r="DC188" s="1553"/>
      <c r="DD188" s="1553"/>
      <c r="DE188" s="1553"/>
      <c r="DF188" s="1553"/>
      <c r="DG188" s="1553"/>
      <c r="DH188" s="1553"/>
      <c r="DI188" s="1553"/>
      <c r="DJ188" s="1553"/>
      <c r="DK188" s="1553"/>
      <c r="DL188" s="1553"/>
      <c r="DM188" s="1553"/>
      <c r="DN188" s="1553"/>
      <c r="DO188" s="1553"/>
      <c r="DP188" s="1553"/>
      <c r="DQ188" s="1553"/>
      <c r="DR188" s="1553"/>
      <c r="DS188" s="1553"/>
      <c r="DT188" s="1553"/>
      <c r="DU188" s="1553"/>
      <c r="DV188" s="1553"/>
      <c r="DW188" s="1553"/>
      <c r="DX188" s="1553"/>
      <c r="DY188" s="1553"/>
      <c r="DZ188" s="1553"/>
      <c r="EA188" s="1553"/>
      <c r="EB188" s="1553"/>
      <c r="EC188" s="1553"/>
      <c r="ED188" s="1553"/>
      <c r="EE188" s="1553"/>
      <c r="EF188" s="1553"/>
      <c r="EG188" s="1553"/>
      <c r="EH188" s="1553"/>
      <c r="EI188" s="1553"/>
      <c r="EJ188" s="1553"/>
      <c r="EK188" s="1553"/>
      <c r="EL188" s="1553"/>
      <c r="EM188" s="1553"/>
      <c r="EN188" s="1553"/>
      <c r="EO188" s="1553"/>
      <c r="EP188" s="1553"/>
      <c r="EQ188" s="1452"/>
      <c r="ER188" s="1554"/>
      <c r="ES188" s="1554"/>
      <c r="ET188" s="1554"/>
      <c r="EU188" s="1452"/>
      <c r="EV188" s="1554"/>
      <c r="EW188" s="1452"/>
      <c r="EX188" s="1554"/>
      <c r="EY188" s="1554"/>
      <c r="EZ188" s="1554"/>
      <c r="FA188" s="1554"/>
      <c r="FB188" s="1553"/>
      <c r="FC188" s="1553"/>
      <c r="FD188" s="1553"/>
      <c r="FE188" s="1553"/>
      <c r="FF188" s="1553"/>
      <c r="FG188" s="1553"/>
      <c r="FH188" s="1553"/>
      <c r="FI188" s="1553"/>
      <c r="FJ188" s="1553"/>
      <c r="FK188" s="1553"/>
      <c r="FL188" s="1553"/>
      <c r="FM188" s="1553"/>
      <c r="FN188" s="1553"/>
      <c r="FO188" s="1553"/>
      <c r="FP188" s="1553"/>
      <c r="FQ188" s="1553"/>
      <c r="FR188" s="1553"/>
      <c r="FS188" s="1553"/>
      <c r="FT188" s="1553"/>
      <c r="FU188" s="1553"/>
      <c r="FV188" s="1553"/>
      <c r="FW188" s="1553"/>
      <c r="FX188" s="1553"/>
      <c r="FY188" s="1553"/>
      <c r="FZ188" s="1553"/>
      <c r="GA188" s="1553"/>
      <c r="GB188" s="1553"/>
      <c r="GC188" s="1553"/>
      <c r="GD188" s="1553"/>
      <c r="GE188" s="1553"/>
      <c r="GF188" s="1553"/>
      <c r="GG188" s="1553"/>
      <c r="GH188" s="1553"/>
      <c r="GI188" s="1553"/>
      <c r="GJ188" s="1553"/>
      <c r="GK188" s="1553"/>
      <c r="GL188" s="1553"/>
      <c r="GM188" s="1553"/>
      <c r="GN188" s="1553"/>
      <c r="GO188" s="1553"/>
      <c r="GP188" s="1553"/>
      <c r="GQ188" s="1553"/>
      <c r="GR188" s="1553"/>
      <c r="GS188" s="1553"/>
      <c r="GT188" s="1553"/>
      <c r="GU188" s="1553"/>
      <c r="GV188" s="1553"/>
      <c r="GW188" s="1553"/>
      <c r="GX188" s="1553"/>
      <c r="GY188" s="1553"/>
      <c r="GZ188" s="1553"/>
      <c r="HA188" s="1553"/>
      <c r="HB188" s="1553"/>
      <c r="HC188" s="1553"/>
      <c r="HD188" s="1553"/>
      <c r="HE188" s="1553"/>
      <c r="HF188" s="1553"/>
      <c r="HG188" s="1553"/>
      <c r="HH188" s="1553"/>
      <c r="HI188" s="1553"/>
      <c r="HJ188" s="1553"/>
      <c r="HK188" s="1553"/>
      <c r="HL188" s="1553"/>
      <c r="HM188" s="1553"/>
      <c r="HN188" s="1553"/>
      <c r="HO188" s="1553"/>
      <c r="HP188" s="1553"/>
      <c r="HQ188" s="1553"/>
      <c r="HR188" s="1553"/>
      <c r="HS188" s="1553"/>
      <c r="HT188" s="1553"/>
      <c r="HU188" s="1553"/>
      <c r="HV188" s="1553"/>
      <c r="HW188" s="1553"/>
      <c r="HX188" s="1553"/>
      <c r="HY188" s="1553"/>
      <c r="HZ188" s="1553"/>
      <c r="IA188" s="1553"/>
      <c r="IB188" s="1553"/>
      <c r="IC188" s="1553"/>
      <c r="ID188" s="1553"/>
      <c r="IE188" s="1553"/>
      <c r="IF188" s="1553"/>
      <c r="IG188" s="1553"/>
      <c r="IH188" s="1553"/>
      <c r="II188" s="1553"/>
      <c r="IJ188" s="1553"/>
      <c r="IK188" s="1553"/>
      <c r="IL188" s="1553"/>
      <c r="IM188" s="1553"/>
      <c r="IN188" s="1553"/>
      <c r="IO188" s="1553"/>
      <c r="IP188" s="1553"/>
      <c r="IQ188" s="1553"/>
      <c r="IR188" s="1553"/>
      <c r="IS188" s="1553"/>
      <c r="IT188" s="1553"/>
      <c r="IU188" s="1553"/>
      <c r="IV188" s="1553"/>
      <c r="IW188" s="1553"/>
      <c r="IX188" s="1553"/>
      <c r="IY188" s="1452"/>
      <c r="IZ188" s="1553"/>
      <c r="JA188" s="1553"/>
      <c r="JB188" s="1553"/>
      <c r="JC188" s="1553"/>
      <c r="JD188" s="1553"/>
      <c r="JE188" s="1553"/>
      <c r="JF188" s="1553"/>
      <c r="JG188" s="1553"/>
      <c r="JH188" s="1553"/>
      <c r="JI188" s="1553"/>
      <c r="JJ188" s="1553"/>
      <c r="JK188" s="1553"/>
      <c r="JL188" s="1553"/>
      <c r="JM188" s="1553"/>
      <c r="JN188" s="1553"/>
      <c r="JO188" s="1553"/>
      <c r="JP188" s="1553"/>
      <c r="JQ188" s="1555"/>
      <c r="JR188" s="351"/>
      <c r="JS188" s="1400"/>
      <c r="JT188" s="1400" t="s">
        <v>2242</v>
      </c>
    </row>
    <row r="189" spans="1:280" x14ac:dyDescent="0.25">
      <c r="A189" s="1367">
        <v>33</v>
      </c>
      <c r="B189" s="1411" t="str">
        <f t="shared" si="84"/>
        <v/>
      </c>
      <c r="C189" s="1435" t="s">
        <v>3378</v>
      </c>
      <c r="D189" s="1436" t="s">
        <v>3379</v>
      </c>
      <c r="E189" s="1552"/>
      <c r="F189" s="1552"/>
      <c r="G189" s="1552"/>
      <c r="H189" s="1552"/>
      <c r="I189" s="1552"/>
      <c r="J189" s="1552"/>
      <c r="K189" s="1552"/>
      <c r="L189" s="1552"/>
      <c r="M189" s="1552"/>
      <c r="N189" s="1552"/>
      <c r="O189" s="1552"/>
      <c r="P189" s="1552"/>
      <c r="Q189" s="1552"/>
      <c r="R189" s="1553"/>
      <c r="S189" s="1553"/>
      <c r="T189" s="1553"/>
      <c r="U189" s="1553"/>
      <c r="V189" s="1553"/>
      <c r="W189" s="1553"/>
      <c r="X189" s="1553"/>
      <c r="Y189" s="1553"/>
      <c r="Z189" s="1553"/>
      <c r="AA189" s="1553"/>
      <c r="AB189" s="1553"/>
      <c r="AC189" s="1553"/>
      <c r="AD189" s="1553"/>
      <c r="AE189" s="1553"/>
      <c r="AF189" s="1553"/>
      <c r="AG189" s="1553"/>
      <c r="AH189" s="1553"/>
      <c r="AI189" s="1553"/>
      <c r="AJ189" s="1553"/>
      <c r="AK189" s="1553"/>
      <c r="AL189" s="1553"/>
      <c r="AM189" s="1553"/>
      <c r="AN189" s="1553"/>
      <c r="AO189" s="1553"/>
      <c r="AP189" s="1553"/>
      <c r="AQ189" s="1553"/>
      <c r="AR189" s="1553"/>
      <c r="AS189" s="1553"/>
      <c r="AT189" s="1553"/>
      <c r="AU189" s="1553"/>
      <c r="AV189" s="1553"/>
      <c r="AW189" s="1553"/>
      <c r="AX189" s="1553"/>
      <c r="AY189" s="1553"/>
      <c r="AZ189" s="1553"/>
      <c r="BA189" s="1553"/>
      <c r="BB189" s="1553"/>
      <c r="BC189" s="1553"/>
      <c r="BD189" s="1553"/>
      <c r="BE189" s="1553"/>
      <c r="BF189" s="1553"/>
      <c r="BG189" s="1553"/>
      <c r="BH189" s="1553"/>
      <c r="BI189" s="1553"/>
      <c r="BJ189" s="1553"/>
      <c r="BK189" s="1553"/>
      <c r="BL189" s="1553"/>
      <c r="BM189" s="1553"/>
      <c r="BN189" s="1553"/>
      <c r="BO189" s="1553"/>
      <c r="BP189" s="1553"/>
      <c r="BQ189" s="1553"/>
      <c r="BR189" s="1553"/>
      <c r="BS189" s="1553"/>
      <c r="BT189" s="1553"/>
      <c r="BU189" s="1553"/>
      <c r="BV189" s="1553"/>
      <c r="BW189" s="1553"/>
      <c r="BX189" s="1553"/>
      <c r="BY189" s="1553"/>
      <c r="BZ189" s="1553"/>
      <c r="CA189" s="1553"/>
      <c r="CB189" s="1553"/>
      <c r="CC189" s="1553"/>
      <c r="CD189" s="1553"/>
      <c r="CE189" s="1553"/>
      <c r="CF189" s="1553"/>
      <c r="CG189" s="1553"/>
      <c r="CH189" s="1553"/>
      <c r="CI189" s="1553"/>
      <c r="CJ189" s="1553"/>
      <c r="CK189" s="1553"/>
      <c r="CL189" s="1553"/>
      <c r="CM189" s="1553"/>
      <c r="CN189" s="1553"/>
      <c r="CO189" s="1553"/>
      <c r="CP189" s="1553"/>
      <c r="CQ189" s="1553"/>
      <c r="CR189" s="1553"/>
      <c r="CS189" s="1553"/>
      <c r="CT189" s="1553"/>
      <c r="CU189" s="1553"/>
      <c r="CV189" s="1553"/>
      <c r="CW189" s="1553"/>
      <c r="CX189" s="1553"/>
      <c r="CY189" s="1553"/>
      <c r="CZ189" s="1553"/>
      <c r="DA189" s="1553"/>
      <c r="DB189" s="1553"/>
      <c r="DC189" s="1553"/>
      <c r="DD189" s="1553"/>
      <c r="DE189" s="1553"/>
      <c r="DF189" s="1553"/>
      <c r="DG189" s="1553"/>
      <c r="DH189" s="1553"/>
      <c r="DI189" s="1553"/>
      <c r="DJ189" s="1553"/>
      <c r="DK189" s="1553"/>
      <c r="DL189" s="1553"/>
      <c r="DM189" s="1553"/>
      <c r="DN189" s="1553"/>
      <c r="DO189" s="1553"/>
      <c r="DP189" s="1553"/>
      <c r="DQ189" s="1553"/>
      <c r="DR189" s="1553"/>
      <c r="DS189" s="1553"/>
      <c r="DT189" s="1553"/>
      <c r="DU189" s="1553"/>
      <c r="DV189" s="1553"/>
      <c r="DW189" s="1553"/>
      <c r="DX189" s="1553"/>
      <c r="DY189" s="1553"/>
      <c r="DZ189" s="1553"/>
      <c r="EA189" s="1553"/>
      <c r="EB189" s="1553"/>
      <c r="EC189" s="1553"/>
      <c r="ED189" s="1553"/>
      <c r="EE189" s="1553"/>
      <c r="EF189" s="1553"/>
      <c r="EG189" s="1553"/>
      <c r="EH189" s="1553"/>
      <c r="EI189" s="1553"/>
      <c r="EJ189" s="1553"/>
      <c r="EK189" s="1553"/>
      <c r="EL189" s="1553"/>
      <c r="EM189" s="1553"/>
      <c r="EN189" s="1553"/>
      <c r="EO189" s="1553"/>
      <c r="EP189" s="1553"/>
      <c r="EQ189" s="1452"/>
      <c r="ER189" s="1538">
        <v>645</v>
      </c>
      <c r="ES189" s="1538"/>
      <c r="ET189" s="1538"/>
      <c r="EU189" s="1452"/>
      <c r="EV189" s="1554"/>
      <c r="EW189" s="1452"/>
      <c r="EX189" s="1538"/>
      <c r="EY189" s="1554"/>
      <c r="EZ189" s="1538">
        <v>1194</v>
      </c>
      <c r="FA189" s="1538"/>
      <c r="FB189" s="1553"/>
      <c r="FC189" s="1553"/>
      <c r="FD189" s="1553"/>
      <c r="FE189" s="1553"/>
      <c r="FF189" s="1553"/>
      <c r="FG189" s="1553"/>
      <c r="FH189" s="1553"/>
      <c r="FI189" s="1553"/>
      <c r="FJ189" s="1553"/>
      <c r="FK189" s="1553"/>
      <c r="FL189" s="1553"/>
      <c r="FM189" s="1553"/>
      <c r="FN189" s="1553"/>
      <c r="FO189" s="1553"/>
      <c r="FP189" s="1553"/>
      <c r="FQ189" s="1553"/>
      <c r="FR189" s="1553"/>
      <c r="FS189" s="1553"/>
      <c r="FT189" s="1553"/>
      <c r="FU189" s="1553"/>
      <c r="FV189" s="1553"/>
      <c r="FW189" s="1553"/>
      <c r="FX189" s="1553"/>
      <c r="FY189" s="1553"/>
      <c r="FZ189" s="1553"/>
      <c r="GA189" s="1553"/>
      <c r="GB189" s="1553"/>
      <c r="GC189" s="1553"/>
      <c r="GD189" s="1553"/>
      <c r="GE189" s="1553"/>
      <c r="GF189" s="1553"/>
      <c r="GG189" s="1553"/>
      <c r="GH189" s="1553"/>
      <c r="GI189" s="1553"/>
      <c r="GJ189" s="1553"/>
      <c r="GK189" s="1553"/>
      <c r="GL189" s="1553"/>
      <c r="GM189" s="1553"/>
      <c r="GN189" s="1553"/>
      <c r="GO189" s="1553"/>
      <c r="GP189" s="1553"/>
      <c r="GQ189" s="1553"/>
      <c r="GR189" s="1553"/>
      <c r="GS189" s="1553"/>
      <c r="GT189" s="1553"/>
      <c r="GU189" s="1553"/>
      <c r="GV189" s="1553"/>
      <c r="GW189" s="1553"/>
      <c r="GX189" s="1553"/>
      <c r="GY189" s="1553"/>
      <c r="GZ189" s="1553"/>
      <c r="HA189" s="1553"/>
      <c r="HB189" s="1553"/>
      <c r="HC189" s="1553"/>
      <c r="HD189" s="1553"/>
      <c r="HE189" s="1553"/>
      <c r="HF189" s="1553"/>
      <c r="HG189" s="1553"/>
      <c r="HH189" s="1553"/>
      <c r="HI189" s="1553"/>
      <c r="HJ189" s="1553"/>
      <c r="HK189" s="1553"/>
      <c r="HL189" s="1553"/>
      <c r="HM189" s="1553"/>
      <c r="HN189" s="1553"/>
      <c r="HO189" s="1553"/>
      <c r="HP189" s="1553"/>
      <c r="HQ189" s="1553"/>
      <c r="HR189" s="1553"/>
      <c r="HS189" s="1553"/>
      <c r="HT189" s="1553"/>
      <c r="HU189" s="1553"/>
      <c r="HV189" s="1553"/>
      <c r="HW189" s="1553"/>
      <c r="HX189" s="1553"/>
      <c r="HY189" s="1553"/>
      <c r="HZ189" s="1553"/>
      <c r="IA189" s="1553"/>
      <c r="IB189" s="1553"/>
      <c r="IC189" s="1553"/>
      <c r="ID189" s="1553"/>
      <c r="IE189" s="1553"/>
      <c r="IF189" s="1553"/>
      <c r="IG189" s="1553"/>
      <c r="IH189" s="1553"/>
      <c r="II189" s="1553"/>
      <c r="IJ189" s="1553"/>
      <c r="IK189" s="1553"/>
      <c r="IL189" s="1553"/>
      <c r="IM189" s="1553"/>
      <c r="IN189" s="1553"/>
      <c r="IO189" s="1553"/>
      <c r="IP189" s="1553"/>
      <c r="IQ189" s="1553"/>
      <c r="IR189" s="1553"/>
      <c r="IS189" s="1553"/>
      <c r="IT189" s="1553"/>
      <c r="IU189" s="1553"/>
      <c r="IV189" s="1553"/>
      <c r="IW189" s="1553"/>
      <c r="IX189" s="1553"/>
      <c r="IY189" s="1452"/>
      <c r="IZ189" s="1553"/>
      <c r="JA189" s="1553"/>
      <c r="JB189" s="1553"/>
      <c r="JC189" s="1553"/>
      <c r="JD189" s="1553"/>
      <c r="JE189" s="1553"/>
      <c r="JF189" s="1553"/>
      <c r="JG189" s="1553"/>
      <c r="JH189" s="1553"/>
      <c r="JI189" s="1553"/>
      <c r="JJ189" s="1553"/>
      <c r="JK189" s="1553"/>
      <c r="JL189" s="1553"/>
      <c r="JM189" s="1553"/>
      <c r="JN189" s="1553"/>
      <c r="JO189" s="1553"/>
      <c r="JP189" s="1553"/>
      <c r="JQ189" s="1555"/>
      <c r="JR189" s="351"/>
      <c r="JS189" s="1400"/>
      <c r="JT189" s="1400" t="s">
        <v>2242</v>
      </c>
    </row>
    <row r="190" spans="1:280" x14ac:dyDescent="0.25">
      <c r="A190" s="1367">
        <v>34</v>
      </c>
      <c r="B190" s="1411" t="str">
        <f t="shared" si="84"/>
        <v/>
      </c>
      <c r="C190" s="1435" t="s">
        <v>3380</v>
      </c>
      <c r="D190" s="1436" t="s">
        <v>3381</v>
      </c>
      <c r="E190" s="1552"/>
      <c r="F190" s="1552"/>
      <c r="G190" s="1552"/>
      <c r="H190" s="1552"/>
      <c r="I190" s="1552"/>
      <c r="J190" s="1552"/>
      <c r="K190" s="1552"/>
      <c r="L190" s="1552"/>
      <c r="M190" s="1552"/>
      <c r="N190" s="1552"/>
      <c r="O190" s="1552"/>
      <c r="P190" s="1552"/>
      <c r="Q190" s="1552"/>
      <c r="R190" s="1553"/>
      <c r="S190" s="1553"/>
      <c r="T190" s="1553"/>
      <c r="U190" s="1553"/>
      <c r="V190" s="1553"/>
      <c r="W190" s="1553"/>
      <c r="X190" s="1553"/>
      <c r="Y190" s="1553"/>
      <c r="Z190" s="1553"/>
      <c r="AA190" s="1553"/>
      <c r="AB190" s="1553"/>
      <c r="AC190" s="1553"/>
      <c r="AD190" s="1553"/>
      <c r="AE190" s="1553"/>
      <c r="AF190" s="1553"/>
      <c r="AG190" s="1553"/>
      <c r="AH190" s="1553"/>
      <c r="AI190" s="1553"/>
      <c r="AJ190" s="1553"/>
      <c r="AK190" s="1553"/>
      <c r="AL190" s="1553"/>
      <c r="AM190" s="1553"/>
      <c r="AN190" s="1553"/>
      <c r="AO190" s="1553"/>
      <c r="AP190" s="1553"/>
      <c r="AQ190" s="1553"/>
      <c r="AR190" s="1553"/>
      <c r="AS190" s="1553"/>
      <c r="AT190" s="1553"/>
      <c r="AU190" s="1553"/>
      <c r="AV190" s="1553"/>
      <c r="AW190" s="1553"/>
      <c r="AX190" s="1553"/>
      <c r="AY190" s="1553"/>
      <c r="AZ190" s="1553"/>
      <c r="BA190" s="1553"/>
      <c r="BB190" s="1553"/>
      <c r="BC190" s="1553"/>
      <c r="BD190" s="1553"/>
      <c r="BE190" s="1553"/>
      <c r="BF190" s="1553"/>
      <c r="BG190" s="1553"/>
      <c r="BH190" s="1553"/>
      <c r="BI190" s="1553"/>
      <c r="BJ190" s="1553"/>
      <c r="BK190" s="1553"/>
      <c r="BL190" s="1553"/>
      <c r="BM190" s="1553"/>
      <c r="BN190" s="1553"/>
      <c r="BO190" s="1553"/>
      <c r="BP190" s="1553"/>
      <c r="BQ190" s="1553"/>
      <c r="BR190" s="1553"/>
      <c r="BS190" s="1553"/>
      <c r="BT190" s="1553"/>
      <c r="BU190" s="1553"/>
      <c r="BV190" s="1553"/>
      <c r="BW190" s="1553"/>
      <c r="BX190" s="1553"/>
      <c r="BY190" s="1553"/>
      <c r="BZ190" s="1553"/>
      <c r="CA190" s="1553"/>
      <c r="CB190" s="1553"/>
      <c r="CC190" s="1553"/>
      <c r="CD190" s="1553"/>
      <c r="CE190" s="1553"/>
      <c r="CF190" s="1553"/>
      <c r="CG190" s="1553"/>
      <c r="CH190" s="1553"/>
      <c r="CI190" s="1553"/>
      <c r="CJ190" s="1553"/>
      <c r="CK190" s="1553"/>
      <c r="CL190" s="1553"/>
      <c r="CM190" s="1553"/>
      <c r="CN190" s="1553"/>
      <c r="CO190" s="1553"/>
      <c r="CP190" s="1553"/>
      <c r="CQ190" s="1553"/>
      <c r="CR190" s="1553"/>
      <c r="CS190" s="1553"/>
      <c r="CT190" s="1553"/>
      <c r="CU190" s="1553"/>
      <c r="CV190" s="1553"/>
      <c r="CW190" s="1553"/>
      <c r="CX190" s="1553"/>
      <c r="CY190" s="1553"/>
      <c r="CZ190" s="1553"/>
      <c r="DA190" s="1553"/>
      <c r="DB190" s="1553"/>
      <c r="DC190" s="1553"/>
      <c r="DD190" s="1553"/>
      <c r="DE190" s="1553"/>
      <c r="DF190" s="1553"/>
      <c r="DG190" s="1553"/>
      <c r="DH190" s="1553"/>
      <c r="DI190" s="1553"/>
      <c r="DJ190" s="1553"/>
      <c r="DK190" s="1553"/>
      <c r="DL190" s="1553"/>
      <c r="DM190" s="1553"/>
      <c r="DN190" s="1553"/>
      <c r="DO190" s="1553"/>
      <c r="DP190" s="1553"/>
      <c r="DQ190" s="1553"/>
      <c r="DR190" s="1553"/>
      <c r="DS190" s="1553"/>
      <c r="DT190" s="1553"/>
      <c r="DU190" s="1553"/>
      <c r="DV190" s="1553"/>
      <c r="DW190" s="1553"/>
      <c r="DX190" s="1553"/>
      <c r="DY190" s="1553"/>
      <c r="DZ190" s="1553"/>
      <c r="EA190" s="1553"/>
      <c r="EB190" s="1553"/>
      <c r="EC190" s="1553"/>
      <c r="ED190" s="1553"/>
      <c r="EE190" s="1553"/>
      <c r="EF190" s="1553"/>
      <c r="EG190" s="1553"/>
      <c r="EH190" s="1553"/>
      <c r="EI190" s="1553"/>
      <c r="EJ190" s="1553"/>
      <c r="EK190" s="1553"/>
      <c r="EL190" s="1553"/>
      <c r="EM190" s="1553"/>
      <c r="EN190" s="1553"/>
      <c r="EO190" s="1553"/>
      <c r="EP190" s="1553"/>
      <c r="EQ190" s="1454">
        <v>11188</v>
      </c>
      <c r="ER190" s="1538">
        <v>5000</v>
      </c>
      <c r="ES190" s="1538">
        <v>2495</v>
      </c>
      <c r="ET190" s="1538">
        <v>6300</v>
      </c>
      <c r="EU190" s="1454">
        <v>6658</v>
      </c>
      <c r="EV190" s="1538">
        <v>17666</v>
      </c>
      <c r="EW190" s="1452"/>
      <c r="EX190" s="1538">
        <v>9921</v>
      </c>
      <c r="EY190" s="1554">
        <v>4912</v>
      </c>
      <c r="EZ190" s="1538">
        <v>15608</v>
      </c>
      <c r="FA190" s="1538"/>
      <c r="FB190" s="1553"/>
      <c r="FC190" s="1553"/>
      <c r="FD190" s="1553"/>
      <c r="FE190" s="1553"/>
      <c r="FF190" s="1553"/>
      <c r="FG190" s="1553"/>
      <c r="FH190" s="1553"/>
      <c r="FI190" s="1553"/>
      <c r="FJ190" s="1553"/>
      <c r="FK190" s="1553"/>
      <c r="FL190" s="1553"/>
      <c r="FM190" s="1553"/>
      <c r="FN190" s="1553"/>
      <c r="FO190" s="1553"/>
      <c r="FP190" s="1553"/>
      <c r="FQ190" s="1553"/>
      <c r="FR190" s="1553"/>
      <c r="FS190" s="1553"/>
      <c r="FT190" s="1553"/>
      <c r="FU190" s="1553"/>
      <c r="FV190" s="1553"/>
      <c r="FW190" s="1553"/>
      <c r="FX190" s="1553"/>
      <c r="FY190" s="1553"/>
      <c r="FZ190" s="1553"/>
      <c r="GA190" s="1553"/>
      <c r="GB190" s="1553"/>
      <c r="GC190" s="1553"/>
      <c r="GD190" s="1553"/>
      <c r="GE190" s="1553"/>
      <c r="GF190" s="1553"/>
      <c r="GG190" s="1553"/>
      <c r="GH190" s="1553"/>
      <c r="GI190" s="1553"/>
      <c r="GJ190" s="1553"/>
      <c r="GK190" s="1553"/>
      <c r="GL190" s="1553"/>
      <c r="GM190" s="1553"/>
      <c r="GN190" s="1553"/>
      <c r="GO190" s="1553"/>
      <c r="GP190" s="1553"/>
      <c r="GQ190" s="1553"/>
      <c r="GR190" s="1553"/>
      <c r="GS190" s="1553"/>
      <c r="GT190" s="1553"/>
      <c r="GU190" s="1553"/>
      <c r="GV190" s="1553"/>
      <c r="GW190" s="1553"/>
      <c r="GX190" s="1553"/>
      <c r="GY190" s="1553"/>
      <c r="GZ190" s="1553"/>
      <c r="HA190" s="1553"/>
      <c r="HB190" s="1553"/>
      <c r="HC190" s="1553"/>
      <c r="HD190" s="1553"/>
      <c r="HE190" s="1553"/>
      <c r="HF190" s="1553"/>
      <c r="HG190" s="1553"/>
      <c r="HH190" s="1553"/>
      <c r="HI190" s="1553"/>
      <c r="HJ190" s="1553"/>
      <c r="HK190" s="1553"/>
      <c r="HL190" s="1553"/>
      <c r="HM190" s="1553"/>
      <c r="HN190" s="1553"/>
      <c r="HO190" s="1553"/>
      <c r="HP190" s="1553"/>
      <c r="HQ190" s="1553"/>
      <c r="HR190" s="1553"/>
      <c r="HS190" s="1553"/>
      <c r="HT190" s="1553"/>
      <c r="HU190" s="1553"/>
      <c r="HV190" s="1553"/>
      <c r="HW190" s="1553"/>
      <c r="HX190" s="1553"/>
      <c r="HY190" s="1553"/>
      <c r="HZ190" s="1553"/>
      <c r="IA190" s="1553"/>
      <c r="IB190" s="1553"/>
      <c r="IC190" s="1553"/>
      <c r="ID190" s="1553"/>
      <c r="IE190" s="1553"/>
      <c r="IF190" s="1553"/>
      <c r="IG190" s="1553"/>
      <c r="IH190" s="1553"/>
      <c r="II190" s="1553"/>
      <c r="IJ190" s="1553"/>
      <c r="IK190" s="1553"/>
      <c r="IL190" s="1553"/>
      <c r="IM190" s="1553"/>
      <c r="IN190" s="1553"/>
      <c r="IO190" s="1553"/>
      <c r="IP190" s="1553"/>
      <c r="IQ190" s="1553"/>
      <c r="IR190" s="1553"/>
      <c r="IS190" s="1553"/>
      <c r="IT190" s="1553"/>
      <c r="IU190" s="1553"/>
      <c r="IV190" s="1553"/>
      <c r="IW190" s="1553"/>
      <c r="IX190" s="1553"/>
      <c r="IY190" s="1452"/>
      <c r="IZ190" s="1553"/>
      <c r="JA190" s="1553"/>
      <c r="JB190" s="1553"/>
      <c r="JC190" s="1553"/>
      <c r="JD190" s="1553"/>
      <c r="JE190" s="1553"/>
      <c r="JF190" s="1553"/>
      <c r="JG190" s="1553"/>
      <c r="JH190" s="1553"/>
      <c r="JI190" s="1553"/>
      <c r="JJ190" s="1553"/>
      <c r="JK190" s="1553"/>
      <c r="JL190" s="1553"/>
      <c r="JM190" s="1553"/>
      <c r="JN190" s="1553"/>
      <c r="JO190" s="1553"/>
      <c r="JP190" s="1553"/>
      <c r="JQ190" s="1555"/>
      <c r="JR190" s="351"/>
      <c r="JS190" s="1400"/>
      <c r="JT190" s="1400" t="s">
        <v>2242</v>
      </c>
    </row>
    <row r="191" spans="1:280" x14ac:dyDescent="0.25">
      <c r="A191" s="1367">
        <v>35</v>
      </c>
      <c r="B191" s="1411" t="str">
        <f t="shared" si="84"/>
        <v/>
      </c>
      <c r="C191" s="1435" t="s">
        <v>3382</v>
      </c>
      <c r="D191" s="1436" t="s">
        <v>3383</v>
      </c>
      <c r="E191" s="1552"/>
      <c r="F191" s="1552"/>
      <c r="G191" s="1552"/>
      <c r="H191" s="1552"/>
      <c r="I191" s="1552"/>
      <c r="J191" s="1552"/>
      <c r="K191" s="1552"/>
      <c r="L191" s="1552"/>
      <c r="M191" s="1552"/>
      <c r="N191" s="1552"/>
      <c r="O191" s="1552"/>
      <c r="P191" s="1552"/>
      <c r="Q191" s="1552"/>
      <c r="R191" s="1553"/>
      <c r="S191" s="1553"/>
      <c r="T191" s="1553"/>
      <c r="U191" s="1553"/>
      <c r="V191" s="1553"/>
      <c r="W191" s="1553"/>
      <c r="X191" s="1553"/>
      <c r="Y191" s="1553"/>
      <c r="Z191" s="1553"/>
      <c r="AA191" s="1553"/>
      <c r="AB191" s="1553"/>
      <c r="AC191" s="1553"/>
      <c r="AD191" s="1553"/>
      <c r="AE191" s="1553"/>
      <c r="AF191" s="1553"/>
      <c r="AG191" s="1553"/>
      <c r="AH191" s="1553"/>
      <c r="AI191" s="1553"/>
      <c r="AJ191" s="1553"/>
      <c r="AK191" s="1553"/>
      <c r="AL191" s="1553"/>
      <c r="AM191" s="1553"/>
      <c r="AN191" s="1553"/>
      <c r="AO191" s="1553"/>
      <c r="AP191" s="1553"/>
      <c r="AQ191" s="1553"/>
      <c r="AR191" s="1553"/>
      <c r="AS191" s="1553"/>
      <c r="AT191" s="1553"/>
      <c r="AU191" s="1553"/>
      <c r="AV191" s="1553"/>
      <c r="AW191" s="1553"/>
      <c r="AX191" s="1553"/>
      <c r="AY191" s="1553"/>
      <c r="AZ191" s="1553"/>
      <c r="BA191" s="1553"/>
      <c r="BB191" s="1553"/>
      <c r="BC191" s="1553"/>
      <c r="BD191" s="1553"/>
      <c r="BE191" s="1553"/>
      <c r="BF191" s="1553"/>
      <c r="BG191" s="1553"/>
      <c r="BH191" s="1553"/>
      <c r="BI191" s="1553"/>
      <c r="BJ191" s="1553"/>
      <c r="BK191" s="1553"/>
      <c r="BL191" s="1553"/>
      <c r="BM191" s="1553"/>
      <c r="BN191" s="1553"/>
      <c r="BO191" s="1553"/>
      <c r="BP191" s="1553"/>
      <c r="BQ191" s="1553"/>
      <c r="BR191" s="1553"/>
      <c r="BS191" s="1553"/>
      <c r="BT191" s="1553"/>
      <c r="BU191" s="1553"/>
      <c r="BV191" s="1553"/>
      <c r="BW191" s="1553"/>
      <c r="BX191" s="1553"/>
      <c r="BY191" s="1553"/>
      <c r="BZ191" s="1553"/>
      <c r="CA191" s="1553"/>
      <c r="CB191" s="1553"/>
      <c r="CC191" s="1553"/>
      <c r="CD191" s="1553"/>
      <c r="CE191" s="1553"/>
      <c r="CF191" s="1553"/>
      <c r="CG191" s="1553"/>
      <c r="CH191" s="1553"/>
      <c r="CI191" s="1553"/>
      <c r="CJ191" s="1553"/>
      <c r="CK191" s="1553"/>
      <c r="CL191" s="1553"/>
      <c r="CM191" s="1553"/>
      <c r="CN191" s="1553"/>
      <c r="CO191" s="1553"/>
      <c r="CP191" s="1553"/>
      <c r="CQ191" s="1553"/>
      <c r="CR191" s="1553"/>
      <c r="CS191" s="1553"/>
      <c r="CT191" s="1553"/>
      <c r="CU191" s="1553"/>
      <c r="CV191" s="1553"/>
      <c r="CW191" s="1553"/>
      <c r="CX191" s="1553"/>
      <c r="CY191" s="1553"/>
      <c r="CZ191" s="1553"/>
      <c r="DA191" s="1553"/>
      <c r="DB191" s="1553"/>
      <c r="DC191" s="1553"/>
      <c r="DD191" s="1553"/>
      <c r="DE191" s="1553"/>
      <c r="DF191" s="1553"/>
      <c r="DG191" s="1553"/>
      <c r="DH191" s="1553"/>
      <c r="DI191" s="1553"/>
      <c r="DJ191" s="1553"/>
      <c r="DK191" s="1553"/>
      <c r="DL191" s="1553"/>
      <c r="DM191" s="1553"/>
      <c r="DN191" s="1553"/>
      <c r="DO191" s="1553"/>
      <c r="DP191" s="1553"/>
      <c r="DQ191" s="1553"/>
      <c r="DR191" s="1553"/>
      <c r="DS191" s="1553"/>
      <c r="DT191" s="1553"/>
      <c r="DU191" s="1553"/>
      <c r="DV191" s="1553"/>
      <c r="DW191" s="1553"/>
      <c r="DX191" s="1553"/>
      <c r="DY191" s="1553"/>
      <c r="DZ191" s="1553"/>
      <c r="EA191" s="1553"/>
      <c r="EB191" s="1553"/>
      <c r="EC191" s="1553"/>
      <c r="ED191" s="1553"/>
      <c r="EE191" s="1553"/>
      <c r="EF191" s="1553"/>
      <c r="EG191" s="1553"/>
      <c r="EH191" s="1553"/>
      <c r="EI191" s="1553"/>
      <c r="EJ191" s="1553"/>
      <c r="EK191" s="1553"/>
      <c r="EL191" s="1553"/>
      <c r="EM191" s="1553"/>
      <c r="EN191" s="1553"/>
      <c r="EO191" s="1553"/>
      <c r="EP191" s="1553"/>
      <c r="EQ191" s="1452"/>
      <c r="ER191" s="1538"/>
      <c r="ES191" s="1538"/>
      <c r="ET191" s="1538">
        <v>3200</v>
      </c>
      <c r="EU191" s="1454">
        <v>1800</v>
      </c>
      <c r="EV191" s="1538">
        <v>4451</v>
      </c>
      <c r="EW191" s="1452"/>
      <c r="EX191" s="1538"/>
      <c r="EY191" s="1554"/>
      <c r="EZ191" s="1554"/>
      <c r="FA191" s="1538"/>
      <c r="FB191" s="1553"/>
      <c r="FC191" s="1553"/>
      <c r="FD191" s="1553"/>
      <c r="FE191" s="1553"/>
      <c r="FF191" s="1553"/>
      <c r="FG191" s="1553"/>
      <c r="FH191" s="1553"/>
      <c r="FI191" s="1553"/>
      <c r="FJ191" s="1553"/>
      <c r="FK191" s="1553"/>
      <c r="FL191" s="1553"/>
      <c r="FM191" s="1553"/>
      <c r="FN191" s="1553"/>
      <c r="FO191" s="1553"/>
      <c r="FP191" s="1553"/>
      <c r="FQ191" s="1553"/>
      <c r="FR191" s="1553"/>
      <c r="FS191" s="1553"/>
      <c r="FT191" s="1553"/>
      <c r="FU191" s="1553"/>
      <c r="FV191" s="1553"/>
      <c r="FW191" s="1553"/>
      <c r="FX191" s="1553"/>
      <c r="FY191" s="1553"/>
      <c r="FZ191" s="1553"/>
      <c r="GA191" s="1553"/>
      <c r="GB191" s="1553"/>
      <c r="GC191" s="1553"/>
      <c r="GD191" s="1553"/>
      <c r="GE191" s="1553"/>
      <c r="GF191" s="1553"/>
      <c r="GG191" s="1553"/>
      <c r="GH191" s="1553"/>
      <c r="GI191" s="1553"/>
      <c r="GJ191" s="1553"/>
      <c r="GK191" s="1553"/>
      <c r="GL191" s="1553"/>
      <c r="GM191" s="1553"/>
      <c r="GN191" s="1553"/>
      <c r="GO191" s="1553"/>
      <c r="GP191" s="1553"/>
      <c r="GQ191" s="1553"/>
      <c r="GR191" s="1553"/>
      <c r="GS191" s="1553"/>
      <c r="GT191" s="1553"/>
      <c r="GU191" s="1553"/>
      <c r="GV191" s="1553"/>
      <c r="GW191" s="1553"/>
      <c r="GX191" s="1553"/>
      <c r="GY191" s="1553"/>
      <c r="GZ191" s="1553"/>
      <c r="HA191" s="1553"/>
      <c r="HB191" s="1553"/>
      <c r="HC191" s="1553"/>
      <c r="HD191" s="1553"/>
      <c r="HE191" s="1553"/>
      <c r="HF191" s="1553"/>
      <c r="HG191" s="1553"/>
      <c r="HH191" s="1553"/>
      <c r="HI191" s="1553"/>
      <c r="HJ191" s="1553"/>
      <c r="HK191" s="1553"/>
      <c r="HL191" s="1553"/>
      <c r="HM191" s="1553"/>
      <c r="HN191" s="1553"/>
      <c r="HO191" s="1553"/>
      <c r="HP191" s="1553"/>
      <c r="HQ191" s="1553"/>
      <c r="HR191" s="1553"/>
      <c r="HS191" s="1553"/>
      <c r="HT191" s="1553"/>
      <c r="HU191" s="1553"/>
      <c r="HV191" s="1553"/>
      <c r="HW191" s="1553"/>
      <c r="HX191" s="1553"/>
      <c r="HY191" s="1553"/>
      <c r="HZ191" s="1553"/>
      <c r="IA191" s="1553"/>
      <c r="IB191" s="1553"/>
      <c r="IC191" s="1553"/>
      <c r="ID191" s="1553"/>
      <c r="IE191" s="1553"/>
      <c r="IF191" s="1553"/>
      <c r="IG191" s="1553"/>
      <c r="IH191" s="1553"/>
      <c r="II191" s="1553"/>
      <c r="IJ191" s="1553"/>
      <c r="IK191" s="1553"/>
      <c r="IL191" s="1553"/>
      <c r="IM191" s="1553"/>
      <c r="IN191" s="1553"/>
      <c r="IO191" s="1553"/>
      <c r="IP191" s="1553"/>
      <c r="IQ191" s="1553"/>
      <c r="IR191" s="1553"/>
      <c r="IS191" s="1553"/>
      <c r="IT191" s="1553"/>
      <c r="IU191" s="1553"/>
      <c r="IV191" s="1553"/>
      <c r="IW191" s="1553"/>
      <c r="IX191" s="1553"/>
      <c r="IY191" s="1452"/>
      <c r="IZ191" s="1553"/>
      <c r="JA191" s="1553"/>
      <c r="JB191" s="1553"/>
      <c r="JC191" s="1553"/>
      <c r="JD191" s="1553"/>
      <c r="JE191" s="1553"/>
      <c r="JF191" s="1553"/>
      <c r="JG191" s="1553"/>
      <c r="JH191" s="1553"/>
      <c r="JI191" s="1553"/>
      <c r="JJ191" s="1553"/>
      <c r="JK191" s="1553"/>
      <c r="JL191" s="1553"/>
      <c r="JM191" s="1553"/>
      <c r="JN191" s="1553"/>
      <c r="JO191" s="1553"/>
      <c r="JP191" s="1553"/>
      <c r="JQ191" s="1555"/>
      <c r="JR191" s="351"/>
      <c r="JS191" s="1400"/>
      <c r="JT191" s="1400" t="s">
        <v>2242</v>
      </c>
    </row>
    <row r="192" spans="1:280" x14ac:dyDescent="0.25">
      <c r="A192" s="1367">
        <v>36</v>
      </c>
      <c r="B192" s="1411" t="str">
        <f t="shared" si="84"/>
        <v/>
      </c>
      <c r="C192" s="1435" t="s">
        <v>3384</v>
      </c>
      <c r="D192" s="1436" t="s">
        <v>3385</v>
      </c>
      <c r="E192" s="1552"/>
      <c r="F192" s="1552"/>
      <c r="G192" s="1552"/>
      <c r="H192" s="1552"/>
      <c r="I192" s="1552"/>
      <c r="J192" s="1552"/>
      <c r="K192" s="1552"/>
      <c r="L192" s="1552"/>
      <c r="M192" s="1552"/>
      <c r="N192" s="1552"/>
      <c r="O192" s="1552"/>
      <c r="P192" s="1552"/>
      <c r="Q192" s="1552"/>
      <c r="R192" s="1553"/>
      <c r="S192" s="1553"/>
      <c r="T192" s="1553"/>
      <c r="U192" s="1553"/>
      <c r="V192" s="1553"/>
      <c r="W192" s="1553"/>
      <c r="X192" s="1553"/>
      <c r="Y192" s="1553"/>
      <c r="Z192" s="1553"/>
      <c r="AA192" s="1553"/>
      <c r="AB192" s="1553"/>
      <c r="AC192" s="1553"/>
      <c r="AD192" s="1553"/>
      <c r="AE192" s="1553"/>
      <c r="AF192" s="1553"/>
      <c r="AG192" s="1553"/>
      <c r="AH192" s="1553"/>
      <c r="AI192" s="1553"/>
      <c r="AJ192" s="1553"/>
      <c r="AK192" s="1553"/>
      <c r="AL192" s="1553"/>
      <c r="AM192" s="1553"/>
      <c r="AN192" s="1553"/>
      <c r="AO192" s="1553"/>
      <c r="AP192" s="1553"/>
      <c r="AQ192" s="1553"/>
      <c r="AR192" s="1553"/>
      <c r="AS192" s="1553"/>
      <c r="AT192" s="1553"/>
      <c r="AU192" s="1553"/>
      <c r="AV192" s="1553"/>
      <c r="AW192" s="1553"/>
      <c r="AX192" s="1553"/>
      <c r="AY192" s="1553"/>
      <c r="AZ192" s="1553"/>
      <c r="BA192" s="1553"/>
      <c r="BB192" s="1553"/>
      <c r="BC192" s="1553"/>
      <c r="BD192" s="1553"/>
      <c r="BE192" s="1553"/>
      <c r="BF192" s="1553"/>
      <c r="BG192" s="1553"/>
      <c r="BH192" s="1553"/>
      <c r="BI192" s="1553"/>
      <c r="BJ192" s="1553"/>
      <c r="BK192" s="1553"/>
      <c r="BL192" s="1553"/>
      <c r="BM192" s="1553"/>
      <c r="BN192" s="1553"/>
      <c r="BO192" s="1553"/>
      <c r="BP192" s="1553"/>
      <c r="BQ192" s="1553"/>
      <c r="BR192" s="1553"/>
      <c r="BS192" s="1553"/>
      <c r="BT192" s="1553"/>
      <c r="BU192" s="1553"/>
      <c r="BV192" s="1553"/>
      <c r="BW192" s="1553"/>
      <c r="BX192" s="1553"/>
      <c r="BY192" s="1553"/>
      <c r="BZ192" s="1553"/>
      <c r="CA192" s="1553"/>
      <c r="CB192" s="1553"/>
      <c r="CC192" s="1553"/>
      <c r="CD192" s="1553"/>
      <c r="CE192" s="1553"/>
      <c r="CF192" s="1553"/>
      <c r="CG192" s="1553"/>
      <c r="CH192" s="1553"/>
      <c r="CI192" s="1553"/>
      <c r="CJ192" s="1553"/>
      <c r="CK192" s="1553"/>
      <c r="CL192" s="1553"/>
      <c r="CM192" s="1553"/>
      <c r="CN192" s="1553"/>
      <c r="CO192" s="1553"/>
      <c r="CP192" s="1553"/>
      <c r="CQ192" s="1553"/>
      <c r="CR192" s="1553"/>
      <c r="CS192" s="1553"/>
      <c r="CT192" s="1553"/>
      <c r="CU192" s="1553"/>
      <c r="CV192" s="1553"/>
      <c r="CW192" s="1553"/>
      <c r="CX192" s="1553"/>
      <c r="CY192" s="1553"/>
      <c r="CZ192" s="1553"/>
      <c r="DA192" s="1553"/>
      <c r="DB192" s="1553"/>
      <c r="DC192" s="1553"/>
      <c r="DD192" s="1553"/>
      <c r="DE192" s="1553"/>
      <c r="DF192" s="1553"/>
      <c r="DG192" s="1553"/>
      <c r="DH192" s="1553"/>
      <c r="DI192" s="1553"/>
      <c r="DJ192" s="1553"/>
      <c r="DK192" s="1553"/>
      <c r="DL192" s="1553"/>
      <c r="DM192" s="1553"/>
      <c r="DN192" s="1553"/>
      <c r="DO192" s="1553"/>
      <c r="DP192" s="1553"/>
      <c r="DQ192" s="1553"/>
      <c r="DR192" s="1553"/>
      <c r="DS192" s="1553"/>
      <c r="DT192" s="1553"/>
      <c r="DU192" s="1553"/>
      <c r="DV192" s="1553"/>
      <c r="DW192" s="1553"/>
      <c r="DX192" s="1553"/>
      <c r="DY192" s="1553"/>
      <c r="DZ192" s="1553"/>
      <c r="EA192" s="1553"/>
      <c r="EB192" s="1553"/>
      <c r="EC192" s="1553"/>
      <c r="ED192" s="1553"/>
      <c r="EE192" s="1553"/>
      <c r="EF192" s="1553"/>
      <c r="EG192" s="1553"/>
      <c r="EH192" s="1553"/>
      <c r="EI192" s="1553"/>
      <c r="EJ192" s="1553"/>
      <c r="EK192" s="1553"/>
      <c r="EL192" s="1553"/>
      <c r="EM192" s="1553"/>
      <c r="EN192" s="1553"/>
      <c r="EO192" s="1553"/>
      <c r="EP192" s="1553"/>
      <c r="EQ192" s="1452"/>
      <c r="ER192" s="1538">
        <v>1206</v>
      </c>
      <c r="ES192" s="1554"/>
      <c r="ET192" s="1538">
        <v>1505</v>
      </c>
      <c r="EU192" s="1454">
        <v>1000</v>
      </c>
      <c r="EV192" s="1538">
        <v>613</v>
      </c>
      <c r="EW192" s="1452"/>
      <c r="EX192" s="1538">
        <v>800</v>
      </c>
      <c r="EY192" s="1554">
        <v>613</v>
      </c>
      <c r="EZ192" s="1538">
        <v>2466</v>
      </c>
      <c r="FA192" s="1554"/>
      <c r="FB192" s="1553"/>
      <c r="FC192" s="1553"/>
      <c r="FD192" s="1553"/>
      <c r="FE192" s="1553"/>
      <c r="FF192" s="1553"/>
      <c r="FG192" s="1553"/>
      <c r="FH192" s="1553"/>
      <c r="FI192" s="1553"/>
      <c r="FJ192" s="1553"/>
      <c r="FK192" s="1553"/>
      <c r="FL192" s="1553"/>
      <c r="FM192" s="1553"/>
      <c r="FN192" s="1553"/>
      <c r="FO192" s="1553"/>
      <c r="FP192" s="1553"/>
      <c r="FQ192" s="1553"/>
      <c r="FR192" s="1553"/>
      <c r="FS192" s="1553"/>
      <c r="FT192" s="1553"/>
      <c r="FU192" s="1553"/>
      <c r="FV192" s="1553"/>
      <c r="FW192" s="1553"/>
      <c r="FX192" s="1553"/>
      <c r="FY192" s="1553"/>
      <c r="FZ192" s="1553"/>
      <c r="GA192" s="1553"/>
      <c r="GB192" s="1553"/>
      <c r="GC192" s="1553"/>
      <c r="GD192" s="1553"/>
      <c r="GE192" s="1553"/>
      <c r="GF192" s="1553"/>
      <c r="GG192" s="1553"/>
      <c r="GH192" s="1553"/>
      <c r="GI192" s="1553"/>
      <c r="GJ192" s="1553"/>
      <c r="GK192" s="1553"/>
      <c r="GL192" s="1553"/>
      <c r="GM192" s="1553"/>
      <c r="GN192" s="1553"/>
      <c r="GO192" s="1553"/>
      <c r="GP192" s="1553"/>
      <c r="GQ192" s="1553"/>
      <c r="GR192" s="1553"/>
      <c r="GS192" s="1553"/>
      <c r="GT192" s="1553"/>
      <c r="GU192" s="1553"/>
      <c r="GV192" s="1553"/>
      <c r="GW192" s="1553"/>
      <c r="GX192" s="1553"/>
      <c r="GY192" s="1553"/>
      <c r="GZ192" s="1553"/>
      <c r="HA192" s="1553"/>
      <c r="HB192" s="1553"/>
      <c r="HC192" s="1553"/>
      <c r="HD192" s="1553"/>
      <c r="HE192" s="1553"/>
      <c r="HF192" s="1553"/>
      <c r="HG192" s="1553"/>
      <c r="HH192" s="1553"/>
      <c r="HI192" s="1553"/>
      <c r="HJ192" s="1553"/>
      <c r="HK192" s="1553"/>
      <c r="HL192" s="1553"/>
      <c r="HM192" s="1553"/>
      <c r="HN192" s="1553"/>
      <c r="HO192" s="1553"/>
      <c r="HP192" s="1553"/>
      <c r="HQ192" s="1553"/>
      <c r="HR192" s="1553"/>
      <c r="HS192" s="1553"/>
      <c r="HT192" s="1553"/>
      <c r="HU192" s="1553"/>
      <c r="HV192" s="1553"/>
      <c r="HW192" s="1553"/>
      <c r="HX192" s="1553"/>
      <c r="HY192" s="1553"/>
      <c r="HZ192" s="1553"/>
      <c r="IA192" s="1553"/>
      <c r="IB192" s="1553"/>
      <c r="IC192" s="1553"/>
      <c r="ID192" s="1553"/>
      <c r="IE192" s="1553"/>
      <c r="IF192" s="1553"/>
      <c r="IG192" s="1553"/>
      <c r="IH192" s="1553"/>
      <c r="II192" s="1553"/>
      <c r="IJ192" s="1553"/>
      <c r="IK192" s="1553"/>
      <c r="IL192" s="1553"/>
      <c r="IM192" s="1553"/>
      <c r="IN192" s="1553"/>
      <c r="IO192" s="1553"/>
      <c r="IP192" s="1553"/>
      <c r="IQ192" s="1553"/>
      <c r="IR192" s="1553"/>
      <c r="IS192" s="1553"/>
      <c r="IT192" s="1553"/>
      <c r="IU192" s="1553"/>
      <c r="IV192" s="1553"/>
      <c r="IW192" s="1553"/>
      <c r="IX192" s="1553"/>
      <c r="IY192" s="1452">
        <v>235</v>
      </c>
      <c r="IZ192" s="1553"/>
      <c r="JA192" s="1553"/>
      <c r="JB192" s="1553"/>
      <c r="JC192" s="1553"/>
      <c r="JD192" s="1553"/>
      <c r="JE192" s="1553"/>
      <c r="JF192" s="1553"/>
      <c r="JG192" s="1553"/>
      <c r="JH192" s="1553"/>
      <c r="JI192" s="1553"/>
      <c r="JJ192" s="1553"/>
      <c r="JK192" s="1553"/>
      <c r="JL192" s="1553"/>
      <c r="JM192" s="1553"/>
      <c r="JN192" s="1553"/>
      <c r="JO192" s="1553"/>
      <c r="JP192" s="1553"/>
      <c r="JQ192" s="1555"/>
      <c r="JR192" s="351"/>
      <c r="JS192" s="1400"/>
      <c r="JT192" s="1400" t="s">
        <v>2242</v>
      </c>
    </row>
    <row r="193" spans="1:280" x14ac:dyDescent="0.25">
      <c r="A193" s="1367">
        <v>37</v>
      </c>
      <c r="B193" s="1411" t="str">
        <f t="shared" si="84"/>
        <v/>
      </c>
      <c r="C193" s="1435" t="s">
        <v>3386</v>
      </c>
      <c r="D193" s="1436" t="s">
        <v>3387</v>
      </c>
      <c r="E193" s="1552"/>
      <c r="F193" s="1552"/>
      <c r="G193" s="1552"/>
      <c r="H193" s="1552"/>
      <c r="I193" s="1552"/>
      <c r="J193" s="1552"/>
      <c r="K193" s="1552"/>
      <c r="L193" s="1552"/>
      <c r="M193" s="1552"/>
      <c r="N193" s="1552"/>
      <c r="O193" s="1552"/>
      <c r="P193" s="1552"/>
      <c r="Q193" s="1552"/>
      <c r="R193" s="1553"/>
      <c r="S193" s="1553"/>
      <c r="T193" s="1553"/>
      <c r="U193" s="1553"/>
      <c r="V193" s="1553"/>
      <c r="W193" s="1553"/>
      <c r="X193" s="1553"/>
      <c r="Y193" s="1553"/>
      <c r="Z193" s="1553"/>
      <c r="AA193" s="1553"/>
      <c r="AB193" s="1553"/>
      <c r="AC193" s="1553"/>
      <c r="AD193" s="1553"/>
      <c r="AE193" s="1553"/>
      <c r="AF193" s="1553"/>
      <c r="AG193" s="1553"/>
      <c r="AH193" s="1553"/>
      <c r="AI193" s="1553"/>
      <c r="AJ193" s="1553"/>
      <c r="AK193" s="1553"/>
      <c r="AL193" s="1553"/>
      <c r="AM193" s="1553"/>
      <c r="AN193" s="1553"/>
      <c r="AO193" s="1553"/>
      <c r="AP193" s="1553"/>
      <c r="AQ193" s="1553"/>
      <c r="AR193" s="1553"/>
      <c r="AS193" s="1553"/>
      <c r="AT193" s="1553"/>
      <c r="AU193" s="1553"/>
      <c r="AV193" s="1553"/>
      <c r="AW193" s="1553"/>
      <c r="AX193" s="1553"/>
      <c r="AY193" s="1553"/>
      <c r="AZ193" s="1553"/>
      <c r="BA193" s="1553"/>
      <c r="BB193" s="1553"/>
      <c r="BC193" s="1553"/>
      <c r="BD193" s="1553"/>
      <c r="BE193" s="1553"/>
      <c r="BF193" s="1553"/>
      <c r="BG193" s="1553"/>
      <c r="BH193" s="1553"/>
      <c r="BI193" s="1553"/>
      <c r="BJ193" s="1553"/>
      <c r="BK193" s="1553"/>
      <c r="BL193" s="1553"/>
      <c r="BM193" s="1553"/>
      <c r="BN193" s="1553"/>
      <c r="BO193" s="1553"/>
      <c r="BP193" s="1553"/>
      <c r="BQ193" s="1553"/>
      <c r="BR193" s="1553"/>
      <c r="BS193" s="1553"/>
      <c r="BT193" s="1553"/>
      <c r="BU193" s="1553"/>
      <c r="BV193" s="1553"/>
      <c r="BW193" s="1553"/>
      <c r="BX193" s="1553"/>
      <c r="BY193" s="1553"/>
      <c r="BZ193" s="1553"/>
      <c r="CA193" s="1553"/>
      <c r="CB193" s="1553"/>
      <c r="CC193" s="1553"/>
      <c r="CD193" s="1553"/>
      <c r="CE193" s="1553"/>
      <c r="CF193" s="1553"/>
      <c r="CG193" s="1553"/>
      <c r="CH193" s="1553"/>
      <c r="CI193" s="1553"/>
      <c r="CJ193" s="1553"/>
      <c r="CK193" s="1553"/>
      <c r="CL193" s="1553"/>
      <c r="CM193" s="1553"/>
      <c r="CN193" s="1553"/>
      <c r="CO193" s="1553"/>
      <c r="CP193" s="1553"/>
      <c r="CQ193" s="1553"/>
      <c r="CR193" s="1553"/>
      <c r="CS193" s="1553"/>
      <c r="CT193" s="1553"/>
      <c r="CU193" s="1553"/>
      <c r="CV193" s="1553"/>
      <c r="CW193" s="1553"/>
      <c r="CX193" s="1553"/>
      <c r="CY193" s="1553"/>
      <c r="CZ193" s="1553"/>
      <c r="DA193" s="1553"/>
      <c r="DB193" s="1553"/>
      <c r="DC193" s="1553"/>
      <c r="DD193" s="1553"/>
      <c r="DE193" s="1553"/>
      <c r="DF193" s="1553"/>
      <c r="DG193" s="1553"/>
      <c r="DH193" s="1553"/>
      <c r="DI193" s="1553"/>
      <c r="DJ193" s="1553"/>
      <c r="DK193" s="1553"/>
      <c r="DL193" s="1553"/>
      <c r="DM193" s="1553"/>
      <c r="DN193" s="1553"/>
      <c r="DO193" s="1553"/>
      <c r="DP193" s="1553"/>
      <c r="DQ193" s="1553"/>
      <c r="DR193" s="1553"/>
      <c r="DS193" s="1553"/>
      <c r="DT193" s="1553"/>
      <c r="DU193" s="1553"/>
      <c r="DV193" s="1553"/>
      <c r="DW193" s="1553"/>
      <c r="DX193" s="1553"/>
      <c r="DY193" s="1553"/>
      <c r="DZ193" s="1553"/>
      <c r="EA193" s="1553"/>
      <c r="EB193" s="1553"/>
      <c r="EC193" s="1553"/>
      <c r="ED193" s="1553"/>
      <c r="EE193" s="1553"/>
      <c r="EF193" s="1553"/>
      <c r="EG193" s="1553"/>
      <c r="EH193" s="1553"/>
      <c r="EI193" s="1553"/>
      <c r="EJ193" s="1553"/>
      <c r="EK193" s="1553"/>
      <c r="EL193" s="1553"/>
      <c r="EM193" s="1553"/>
      <c r="EN193" s="1553"/>
      <c r="EO193" s="1553"/>
      <c r="EP193" s="1553"/>
      <c r="EQ193" s="1454">
        <v>2563</v>
      </c>
      <c r="ER193" s="1538">
        <v>2472</v>
      </c>
      <c r="ES193" s="1538">
        <v>1768</v>
      </c>
      <c r="ET193" s="1538">
        <v>1179</v>
      </c>
      <c r="EU193" s="1454">
        <v>2435</v>
      </c>
      <c r="EV193" s="1538">
        <v>4144</v>
      </c>
      <c r="EW193" s="1452"/>
      <c r="EX193" s="1538">
        <v>2315</v>
      </c>
      <c r="EY193" s="1554"/>
      <c r="EZ193" s="1538">
        <v>3327</v>
      </c>
      <c r="FA193" s="1538"/>
      <c r="FB193" s="1553"/>
      <c r="FC193" s="1553"/>
      <c r="FD193" s="1553"/>
      <c r="FE193" s="1553"/>
      <c r="FF193" s="1553"/>
      <c r="FG193" s="1553"/>
      <c r="FH193" s="1553"/>
      <c r="FI193" s="1553"/>
      <c r="FJ193" s="1553"/>
      <c r="FK193" s="1553"/>
      <c r="FL193" s="1553"/>
      <c r="FM193" s="1553"/>
      <c r="FN193" s="1553"/>
      <c r="FO193" s="1553"/>
      <c r="FP193" s="1553"/>
      <c r="FQ193" s="1553"/>
      <c r="FR193" s="1553"/>
      <c r="FS193" s="1553"/>
      <c r="FT193" s="1553"/>
      <c r="FU193" s="1553"/>
      <c r="FV193" s="1553"/>
      <c r="FW193" s="1553"/>
      <c r="FX193" s="1553"/>
      <c r="FY193" s="1553"/>
      <c r="FZ193" s="1553"/>
      <c r="GA193" s="1553"/>
      <c r="GB193" s="1553"/>
      <c r="GC193" s="1553"/>
      <c r="GD193" s="1553"/>
      <c r="GE193" s="1553"/>
      <c r="GF193" s="1553"/>
      <c r="GG193" s="1553"/>
      <c r="GH193" s="1553"/>
      <c r="GI193" s="1553"/>
      <c r="GJ193" s="1553"/>
      <c r="GK193" s="1553"/>
      <c r="GL193" s="1553"/>
      <c r="GM193" s="1553"/>
      <c r="GN193" s="1553"/>
      <c r="GO193" s="1553"/>
      <c r="GP193" s="1553"/>
      <c r="GQ193" s="1553"/>
      <c r="GR193" s="1553"/>
      <c r="GS193" s="1553"/>
      <c r="GT193" s="1553"/>
      <c r="GU193" s="1553"/>
      <c r="GV193" s="1553"/>
      <c r="GW193" s="1553"/>
      <c r="GX193" s="1553"/>
      <c r="GY193" s="1553"/>
      <c r="GZ193" s="1553"/>
      <c r="HA193" s="1553"/>
      <c r="HB193" s="1553"/>
      <c r="HC193" s="1553"/>
      <c r="HD193" s="1553"/>
      <c r="HE193" s="1553"/>
      <c r="HF193" s="1553"/>
      <c r="HG193" s="1553"/>
      <c r="HH193" s="1553"/>
      <c r="HI193" s="1553"/>
      <c r="HJ193" s="1553"/>
      <c r="HK193" s="1553"/>
      <c r="HL193" s="1553"/>
      <c r="HM193" s="1553"/>
      <c r="HN193" s="1553"/>
      <c r="HO193" s="1553"/>
      <c r="HP193" s="1553"/>
      <c r="HQ193" s="1553"/>
      <c r="HR193" s="1553"/>
      <c r="HS193" s="1553"/>
      <c r="HT193" s="1553"/>
      <c r="HU193" s="1553"/>
      <c r="HV193" s="1553"/>
      <c r="HW193" s="1553"/>
      <c r="HX193" s="1553"/>
      <c r="HY193" s="1553"/>
      <c r="HZ193" s="1553"/>
      <c r="IA193" s="1553"/>
      <c r="IB193" s="1553"/>
      <c r="IC193" s="1553"/>
      <c r="ID193" s="1553"/>
      <c r="IE193" s="1553"/>
      <c r="IF193" s="1553"/>
      <c r="IG193" s="1553"/>
      <c r="IH193" s="1553"/>
      <c r="II193" s="1553"/>
      <c r="IJ193" s="1553"/>
      <c r="IK193" s="1553"/>
      <c r="IL193" s="1553"/>
      <c r="IM193" s="1553"/>
      <c r="IN193" s="1553"/>
      <c r="IO193" s="1553"/>
      <c r="IP193" s="1553"/>
      <c r="IQ193" s="1553"/>
      <c r="IR193" s="1553"/>
      <c r="IS193" s="1553"/>
      <c r="IT193" s="1553"/>
      <c r="IU193" s="1553"/>
      <c r="IV193" s="1553"/>
      <c r="IW193" s="1553"/>
      <c r="IX193" s="1553"/>
      <c r="IY193" s="1452">
        <v>128</v>
      </c>
      <c r="IZ193" s="1553"/>
      <c r="JA193" s="1553"/>
      <c r="JB193" s="1553"/>
      <c r="JC193" s="1553"/>
      <c r="JD193" s="1553"/>
      <c r="JE193" s="1553"/>
      <c r="JF193" s="1553"/>
      <c r="JG193" s="1553"/>
      <c r="JH193" s="1553"/>
      <c r="JI193" s="1553"/>
      <c r="JJ193" s="1553"/>
      <c r="JK193" s="1553"/>
      <c r="JL193" s="1553"/>
      <c r="JM193" s="1553"/>
      <c r="JN193" s="1553"/>
      <c r="JO193" s="1553"/>
      <c r="JP193" s="1553"/>
      <c r="JQ193" s="1555"/>
      <c r="JR193" s="351"/>
      <c r="JS193" s="1400"/>
      <c r="JT193" s="1400" t="s">
        <v>2242</v>
      </c>
    </row>
    <row r="194" spans="1:280" ht="30" x14ac:dyDescent="0.25">
      <c r="A194" s="1367">
        <v>38</v>
      </c>
      <c r="B194" s="1411" t="str">
        <f t="shared" si="84"/>
        <v/>
      </c>
      <c r="C194" s="1435" t="s">
        <v>3388</v>
      </c>
      <c r="D194" s="1436" t="s">
        <v>3389</v>
      </c>
      <c r="E194" s="1479"/>
      <c r="F194" s="1479"/>
      <c r="G194" s="1479"/>
      <c r="H194" s="1479"/>
      <c r="I194" s="1479"/>
      <c r="J194" s="1479"/>
      <c r="K194" s="1479"/>
      <c r="L194" s="1479"/>
      <c r="M194" s="1479"/>
      <c r="N194" s="1479"/>
      <c r="O194" s="1479"/>
      <c r="P194" s="1479"/>
      <c r="Q194" s="1479"/>
      <c r="R194" s="1479"/>
      <c r="S194" s="1479"/>
      <c r="T194" s="1479"/>
      <c r="U194" s="1479"/>
      <c r="V194" s="1479"/>
      <c r="W194" s="1479"/>
      <c r="X194" s="1479"/>
      <c r="Y194" s="1479"/>
      <c r="Z194" s="1479"/>
      <c r="AA194" s="1479"/>
      <c r="AB194" s="1479"/>
      <c r="AC194" s="1479"/>
      <c r="AD194" s="1479"/>
      <c r="AE194" s="1479"/>
      <c r="AF194" s="1479"/>
      <c r="AG194" s="1479"/>
      <c r="AH194" s="1479"/>
      <c r="AI194" s="1479"/>
      <c r="AJ194" s="1479"/>
      <c r="AK194" s="1479"/>
      <c r="AL194" s="1479"/>
      <c r="AM194" s="1479"/>
      <c r="AN194" s="1479"/>
      <c r="AO194" s="1479"/>
      <c r="AP194" s="1479"/>
      <c r="AQ194" s="1479"/>
      <c r="AR194" s="1479"/>
      <c r="AS194" s="1479"/>
      <c r="AT194" s="1479"/>
      <c r="AU194" s="1479"/>
      <c r="AV194" s="1479"/>
      <c r="AW194" s="1479"/>
      <c r="AX194" s="1479"/>
      <c r="AY194" s="1479"/>
      <c r="AZ194" s="1479"/>
      <c r="BA194" s="1479"/>
      <c r="BB194" s="1479"/>
      <c r="BC194" s="1479"/>
      <c r="BD194" s="1479"/>
      <c r="BE194" s="1479"/>
      <c r="BF194" s="1479"/>
      <c r="BG194" s="1479"/>
      <c r="BH194" s="1479"/>
      <c r="BI194" s="1479"/>
      <c r="BJ194" s="1479"/>
      <c r="BK194" s="1479"/>
      <c r="BL194" s="1479"/>
      <c r="BM194" s="1479"/>
      <c r="BN194" s="1479"/>
      <c r="BO194" s="1479"/>
      <c r="BP194" s="1479"/>
      <c r="BQ194" s="1479"/>
      <c r="BR194" s="1479"/>
      <c r="BS194" s="1479"/>
      <c r="BT194" s="1479"/>
      <c r="BU194" s="1479"/>
      <c r="BV194" s="1479"/>
      <c r="BW194" s="1479"/>
      <c r="BX194" s="1479"/>
      <c r="BY194" s="1479"/>
      <c r="BZ194" s="1479"/>
      <c r="CA194" s="1479"/>
      <c r="CB194" s="1479"/>
      <c r="CC194" s="1479"/>
      <c r="CD194" s="1479"/>
      <c r="CE194" s="1479"/>
      <c r="CF194" s="1479"/>
      <c r="CG194" s="1479"/>
      <c r="CH194" s="1479"/>
      <c r="CI194" s="1479"/>
      <c r="CJ194" s="1479"/>
      <c r="CK194" s="1479"/>
      <c r="CL194" s="1479"/>
      <c r="CM194" s="1479"/>
      <c r="CN194" s="1479"/>
      <c r="CO194" s="1479"/>
      <c r="CP194" s="1479"/>
      <c r="CQ194" s="1479"/>
      <c r="CR194" s="1479"/>
      <c r="CS194" s="1479"/>
      <c r="CT194" s="1479"/>
      <c r="CU194" s="1479"/>
      <c r="CV194" s="1479"/>
      <c r="CW194" s="1479"/>
      <c r="CX194" s="1479"/>
      <c r="CY194" s="1479"/>
      <c r="CZ194" s="1479"/>
      <c r="DA194" s="1479"/>
      <c r="DB194" s="1479"/>
      <c r="DC194" s="1479"/>
      <c r="DD194" s="1479"/>
      <c r="DE194" s="1479"/>
      <c r="DF194" s="1479"/>
      <c r="DG194" s="1479"/>
      <c r="DH194" s="1479"/>
      <c r="DI194" s="1479"/>
      <c r="DJ194" s="1479"/>
      <c r="DK194" s="1479"/>
      <c r="DL194" s="1479"/>
      <c r="DM194" s="1479"/>
      <c r="DN194" s="1479"/>
      <c r="DO194" s="1479"/>
      <c r="DP194" s="1479"/>
      <c r="DQ194" s="1479"/>
      <c r="DR194" s="1479"/>
      <c r="DS194" s="1479"/>
      <c r="DT194" s="1479"/>
      <c r="DU194" s="1479"/>
      <c r="DV194" s="1479"/>
      <c r="DW194" s="1479"/>
      <c r="DX194" s="1479"/>
      <c r="DY194" s="1479"/>
      <c r="DZ194" s="1479"/>
      <c r="EA194" s="1479"/>
      <c r="EB194" s="1479"/>
      <c r="EC194" s="1479"/>
      <c r="ED194" s="1479"/>
      <c r="EE194" s="1479"/>
      <c r="EF194" s="1479"/>
      <c r="EG194" s="1479"/>
      <c r="EH194" s="1479"/>
      <c r="EI194" s="1479"/>
      <c r="EJ194" s="1479"/>
      <c r="EK194" s="1479"/>
      <c r="EL194" s="1479"/>
      <c r="EM194" s="1479"/>
      <c r="EN194" s="1479"/>
      <c r="EO194" s="1479"/>
      <c r="EP194" s="1479"/>
      <c r="EQ194" s="1503">
        <f t="shared" ref="EQ194:EV194" si="85">EQ183+EQ184+EQ185+EQ186+EQ187+EQ188+EQ189+EQ190+EQ191+EQ192+EQ193</f>
        <v>19096</v>
      </c>
      <c r="ER194" s="1503">
        <f t="shared" si="85"/>
        <v>10448</v>
      </c>
      <c r="ES194" s="1503">
        <f t="shared" si="85"/>
        <v>4263</v>
      </c>
      <c r="ET194" s="1503">
        <v>14050</v>
      </c>
      <c r="EU194" s="1503">
        <f>EU183+EU184+EU185+EU186+EU187+EU188+EU189+EU190+EU191+EU192+EU193</f>
        <v>12590</v>
      </c>
      <c r="EV194" s="1503">
        <f t="shared" si="85"/>
        <v>26874</v>
      </c>
      <c r="EW194" s="1479"/>
      <c r="EX194" s="1503">
        <f>EX183+EX184+EX185+EX186+EX187+EX188+EX189+EX190+EX191+EX192+EX193</f>
        <v>56249</v>
      </c>
      <c r="EY194" s="1479">
        <f>EY183+EY184+EY185+EY186+EY187+EY188+EY189+EY190+EY191+EY192+EY193</f>
        <v>13105</v>
      </c>
      <c r="EZ194" s="1503">
        <f>EZ183+EZ184+EZ185+EZ186+EZ187+EZ188+EZ189+EZ190+EZ191+EZ192+EZ193</f>
        <v>22595</v>
      </c>
      <c r="FA194" s="1503"/>
      <c r="FB194" s="1479"/>
      <c r="FC194" s="1479"/>
      <c r="FD194" s="1479"/>
      <c r="FE194" s="1479"/>
      <c r="FF194" s="1479"/>
      <c r="FG194" s="1479"/>
      <c r="FH194" s="1479"/>
      <c r="FI194" s="1479"/>
      <c r="FJ194" s="1479"/>
      <c r="FK194" s="1479"/>
      <c r="FL194" s="1479"/>
      <c r="FM194" s="1479"/>
      <c r="FN194" s="1479"/>
      <c r="FO194" s="1479"/>
      <c r="FP194" s="1479"/>
      <c r="FQ194" s="1479"/>
      <c r="FR194" s="1479"/>
      <c r="FS194" s="1479"/>
      <c r="FT194" s="1479"/>
      <c r="FU194" s="1479"/>
      <c r="FV194" s="1479"/>
      <c r="FW194" s="1479"/>
      <c r="FX194" s="1479"/>
      <c r="FY194" s="1479"/>
      <c r="FZ194" s="1479"/>
      <c r="GA194" s="1479"/>
      <c r="GB194" s="1479"/>
      <c r="GC194" s="1479"/>
      <c r="GD194" s="1479"/>
      <c r="GE194" s="1479"/>
      <c r="GF194" s="1479"/>
      <c r="GG194" s="1479"/>
      <c r="GH194" s="1479"/>
      <c r="GI194" s="1479"/>
      <c r="GJ194" s="1479"/>
      <c r="GK194" s="1479"/>
      <c r="GL194" s="1479"/>
      <c r="GM194" s="1479"/>
      <c r="GN194" s="1479"/>
      <c r="GO194" s="1479"/>
      <c r="GP194" s="1479"/>
      <c r="GQ194" s="1479"/>
      <c r="GR194" s="1479"/>
      <c r="GS194" s="1479"/>
      <c r="GT194" s="1479"/>
      <c r="GU194" s="1479"/>
      <c r="GV194" s="1479"/>
      <c r="GW194" s="1479"/>
      <c r="GX194" s="1479"/>
      <c r="GY194" s="1479"/>
      <c r="GZ194" s="1479"/>
      <c r="HA194" s="1479"/>
      <c r="HB194" s="1479"/>
      <c r="HC194" s="1479"/>
      <c r="HD194" s="1479"/>
      <c r="HE194" s="1479"/>
      <c r="HF194" s="1479"/>
      <c r="HG194" s="1479"/>
      <c r="HH194" s="1479"/>
      <c r="HI194" s="1479"/>
      <c r="HJ194" s="1479"/>
      <c r="HK194" s="1479"/>
      <c r="HL194" s="1479"/>
      <c r="HM194" s="1479"/>
      <c r="HN194" s="1479"/>
      <c r="HO194" s="1479"/>
      <c r="HP194" s="1479"/>
      <c r="HQ194" s="1479"/>
      <c r="HR194" s="1479"/>
      <c r="HS194" s="1479"/>
      <c r="HT194" s="1479"/>
      <c r="HU194" s="1479"/>
      <c r="HV194" s="1479"/>
      <c r="HW194" s="1479"/>
      <c r="HX194" s="1479"/>
      <c r="HY194" s="1479"/>
      <c r="HZ194" s="1479"/>
      <c r="IA194" s="1479"/>
      <c r="IB194" s="1479"/>
      <c r="IC194" s="1479"/>
      <c r="ID194" s="1479"/>
      <c r="IE194" s="1479"/>
      <c r="IF194" s="1479"/>
      <c r="IG194" s="1479"/>
      <c r="IH194" s="1479"/>
      <c r="II194" s="1479"/>
      <c r="IJ194" s="1479"/>
      <c r="IK194" s="1479"/>
      <c r="IL194" s="1479"/>
      <c r="IM194" s="1479"/>
      <c r="IN194" s="1479"/>
      <c r="IO194" s="1479"/>
      <c r="IP194" s="1479"/>
      <c r="IQ194" s="1479"/>
      <c r="IR194" s="1479"/>
      <c r="IS194" s="1479"/>
      <c r="IT194" s="1479"/>
      <c r="IU194" s="1479"/>
      <c r="IV194" s="1479"/>
      <c r="IW194" s="1479"/>
      <c r="IX194" s="1479"/>
      <c r="IY194" s="1479">
        <f>IY183+IY184+IY185+IY186+IY187+IY188+IY189+IY190+IY191+IY192+IY193</f>
        <v>14179</v>
      </c>
      <c r="IZ194" s="1479"/>
      <c r="JA194" s="1479"/>
      <c r="JB194" s="1479"/>
      <c r="JC194" s="1479"/>
      <c r="JD194" s="1479"/>
      <c r="JE194" s="1479"/>
      <c r="JF194" s="1479"/>
      <c r="JG194" s="1479"/>
      <c r="JH194" s="1479"/>
      <c r="JI194" s="1479"/>
      <c r="JJ194" s="1479"/>
      <c r="JK194" s="1479"/>
      <c r="JL194" s="1479"/>
      <c r="JM194" s="1479"/>
      <c r="JN194" s="1479"/>
      <c r="JO194" s="1479"/>
      <c r="JP194" s="1479"/>
      <c r="JQ194" s="1479"/>
      <c r="JR194" s="351"/>
      <c r="JS194" s="1400" t="s">
        <v>3390</v>
      </c>
      <c r="JT194" s="1400" t="s">
        <v>2242</v>
      </c>
    </row>
    <row r="195" spans="1:280" ht="30" x14ac:dyDescent="0.25">
      <c r="A195" s="1367">
        <v>39</v>
      </c>
      <c r="B195" s="1411" t="str">
        <f t="shared" si="84"/>
        <v/>
      </c>
      <c r="C195" s="1435" t="s">
        <v>3391</v>
      </c>
      <c r="D195" s="1436" t="s">
        <v>3392</v>
      </c>
      <c r="E195" s="1479"/>
      <c r="F195" s="1479"/>
      <c r="G195" s="1479"/>
      <c r="H195" s="1479"/>
      <c r="I195" s="1479"/>
      <c r="J195" s="1479"/>
      <c r="K195" s="1479"/>
      <c r="L195" s="1479"/>
      <c r="M195" s="1479"/>
      <c r="N195" s="1479"/>
      <c r="O195" s="1479"/>
      <c r="P195" s="1479"/>
      <c r="Q195" s="1479"/>
      <c r="R195" s="1479"/>
      <c r="S195" s="1479"/>
      <c r="T195" s="1479"/>
      <c r="U195" s="1479"/>
      <c r="V195" s="1479"/>
      <c r="W195" s="1479"/>
      <c r="X195" s="1479"/>
      <c r="Y195" s="1479"/>
      <c r="Z195" s="1479"/>
      <c r="AA195" s="1479"/>
      <c r="AB195" s="1479"/>
      <c r="AC195" s="1479"/>
      <c r="AD195" s="1479"/>
      <c r="AE195" s="1479"/>
      <c r="AF195" s="1479"/>
      <c r="AG195" s="1479"/>
      <c r="AH195" s="1479"/>
      <c r="AI195" s="1479"/>
      <c r="AJ195" s="1479"/>
      <c r="AK195" s="1479"/>
      <c r="AL195" s="1479"/>
      <c r="AM195" s="1479"/>
      <c r="AN195" s="1479"/>
      <c r="AO195" s="1479"/>
      <c r="AP195" s="1479"/>
      <c r="AQ195" s="1479"/>
      <c r="AR195" s="1479"/>
      <c r="AS195" s="1479"/>
      <c r="AT195" s="1479"/>
      <c r="AU195" s="1479"/>
      <c r="AV195" s="1479"/>
      <c r="AW195" s="1479"/>
      <c r="AX195" s="1479"/>
      <c r="AY195" s="1479"/>
      <c r="AZ195" s="1479"/>
      <c r="BA195" s="1479"/>
      <c r="BB195" s="1479"/>
      <c r="BC195" s="1479"/>
      <c r="BD195" s="1479"/>
      <c r="BE195" s="1479"/>
      <c r="BF195" s="1479"/>
      <c r="BG195" s="1479"/>
      <c r="BH195" s="1479"/>
      <c r="BI195" s="1479"/>
      <c r="BJ195" s="1479"/>
      <c r="BK195" s="1479"/>
      <c r="BL195" s="1479"/>
      <c r="BM195" s="1479"/>
      <c r="BN195" s="1479"/>
      <c r="BO195" s="1479"/>
      <c r="BP195" s="1479"/>
      <c r="BQ195" s="1479"/>
      <c r="BR195" s="1479"/>
      <c r="BS195" s="1479"/>
      <c r="BT195" s="1479"/>
      <c r="BU195" s="1479"/>
      <c r="BV195" s="1479"/>
      <c r="BW195" s="1479"/>
      <c r="BX195" s="1479"/>
      <c r="BY195" s="1479"/>
      <c r="BZ195" s="1479"/>
      <c r="CA195" s="1479"/>
      <c r="CB195" s="1479"/>
      <c r="CC195" s="1479"/>
      <c r="CD195" s="1479"/>
      <c r="CE195" s="1479"/>
      <c r="CF195" s="1479"/>
      <c r="CG195" s="1479"/>
      <c r="CH195" s="1479"/>
      <c r="CI195" s="1479"/>
      <c r="CJ195" s="1479"/>
      <c r="CK195" s="1479"/>
      <c r="CL195" s="1479"/>
      <c r="CM195" s="1479"/>
      <c r="CN195" s="1479"/>
      <c r="CO195" s="1479"/>
      <c r="CP195" s="1479"/>
      <c r="CQ195" s="1479"/>
      <c r="CR195" s="1479"/>
      <c r="CS195" s="1479"/>
      <c r="CT195" s="1479"/>
      <c r="CU195" s="1479"/>
      <c r="CV195" s="1479"/>
      <c r="CW195" s="1479"/>
      <c r="CX195" s="1479"/>
      <c r="CY195" s="1479"/>
      <c r="CZ195" s="1479"/>
      <c r="DA195" s="1479"/>
      <c r="DB195" s="1479"/>
      <c r="DC195" s="1479"/>
      <c r="DD195" s="1479"/>
      <c r="DE195" s="1479"/>
      <c r="DF195" s="1479"/>
      <c r="DG195" s="1479"/>
      <c r="DH195" s="1479"/>
      <c r="DI195" s="1479"/>
      <c r="DJ195" s="1479"/>
      <c r="DK195" s="1479"/>
      <c r="DL195" s="1479"/>
      <c r="DM195" s="1479"/>
      <c r="DN195" s="1479"/>
      <c r="DO195" s="1479"/>
      <c r="DP195" s="1479"/>
      <c r="DQ195" s="1479"/>
      <c r="DR195" s="1479"/>
      <c r="DS195" s="1479"/>
      <c r="DT195" s="1479"/>
      <c r="DU195" s="1479"/>
      <c r="DV195" s="1479"/>
      <c r="DW195" s="1479"/>
      <c r="DX195" s="1479"/>
      <c r="DY195" s="1479"/>
      <c r="DZ195" s="1479"/>
      <c r="EA195" s="1479"/>
      <c r="EB195" s="1479"/>
      <c r="EC195" s="1479"/>
      <c r="ED195" s="1479"/>
      <c r="EE195" s="1479"/>
      <c r="EF195" s="1479"/>
      <c r="EG195" s="1479"/>
      <c r="EH195" s="1479"/>
      <c r="EI195" s="1479"/>
      <c r="EJ195" s="1479"/>
      <c r="EK195" s="1479"/>
      <c r="EL195" s="1479"/>
      <c r="EM195" s="1479"/>
      <c r="EN195" s="1479"/>
      <c r="EO195" s="1479"/>
      <c r="EP195" s="1479"/>
      <c r="EQ195" s="1454">
        <f t="shared" ref="EQ195:EZ195" si="86">MAX(0,EQ181-EQ194)</f>
        <v>43309</v>
      </c>
      <c r="ER195" s="1454">
        <f t="shared" si="86"/>
        <v>2032</v>
      </c>
      <c r="ES195" s="1556">
        <f>MAX(0,ES181-ES194)</f>
        <v>0</v>
      </c>
      <c r="ET195" s="1556">
        <f t="shared" si="86"/>
        <v>0</v>
      </c>
      <c r="EU195" s="1454">
        <f t="shared" si="86"/>
        <v>2541</v>
      </c>
      <c r="EV195" s="1454">
        <f t="shared" si="86"/>
        <v>67911</v>
      </c>
      <c r="EW195" s="1556">
        <f t="shared" si="86"/>
        <v>6375</v>
      </c>
      <c r="EX195" s="1556">
        <f t="shared" si="86"/>
        <v>32618.58</v>
      </c>
      <c r="EY195" s="1556">
        <f t="shared" si="86"/>
        <v>9353</v>
      </c>
      <c r="EZ195" s="1454">
        <f t="shared" si="86"/>
        <v>51314</v>
      </c>
      <c r="FA195" s="1454"/>
      <c r="FB195" s="1556"/>
      <c r="FC195" s="1556"/>
      <c r="FD195" s="1556"/>
      <c r="FE195" s="1556"/>
      <c r="FF195" s="1556"/>
      <c r="FG195" s="1556"/>
      <c r="FH195" s="1556"/>
      <c r="FI195" s="1556"/>
      <c r="FJ195" s="1556"/>
      <c r="FK195" s="1556"/>
      <c r="FL195" s="1556"/>
      <c r="FM195" s="1556"/>
      <c r="FN195" s="1556"/>
      <c r="FO195" s="1556"/>
      <c r="FP195" s="1556"/>
      <c r="FQ195" s="1556"/>
      <c r="FR195" s="1556"/>
      <c r="FS195" s="1556"/>
      <c r="FT195" s="1556"/>
      <c r="FU195" s="1556"/>
      <c r="FV195" s="1556"/>
      <c r="FW195" s="1556"/>
      <c r="FX195" s="1556"/>
      <c r="FY195" s="1556"/>
      <c r="FZ195" s="1556"/>
      <c r="GA195" s="1556"/>
      <c r="GB195" s="1556"/>
      <c r="GC195" s="1556"/>
      <c r="GD195" s="1556"/>
      <c r="GE195" s="1556"/>
      <c r="GF195" s="1556"/>
      <c r="GG195" s="1556"/>
      <c r="GH195" s="1556"/>
      <c r="GI195" s="1556"/>
      <c r="GJ195" s="1556"/>
      <c r="GK195" s="1556"/>
      <c r="GL195" s="1556"/>
      <c r="GM195" s="1556"/>
      <c r="GN195" s="1556"/>
      <c r="GO195" s="1556"/>
      <c r="GP195" s="1556"/>
      <c r="GQ195" s="1556"/>
      <c r="GR195" s="1556"/>
      <c r="GS195" s="1556"/>
      <c r="GT195" s="1556"/>
      <c r="GU195" s="1556"/>
      <c r="GV195" s="1556"/>
      <c r="GW195" s="1556"/>
      <c r="GX195" s="1556"/>
      <c r="GY195" s="1556"/>
      <c r="GZ195" s="1556"/>
      <c r="HA195" s="1556"/>
      <c r="HB195" s="1556"/>
      <c r="HC195" s="1556"/>
      <c r="HD195" s="1556"/>
      <c r="HE195" s="1556"/>
      <c r="HF195" s="1556"/>
      <c r="HG195" s="1556"/>
      <c r="HH195" s="1556"/>
      <c r="HI195" s="1556"/>
      <c r="HJ195" s="1556"/>
      <c r="HK195" s="1556"/>
      <c r="HL195" s="1556"/>
      <c r="HM195" s="1556"/>
      <c r="HN195" s="1556"/>
      <c r="HO195" s="1556"/>
      <c r="HP195" s="1556"/>
      <c r="HQ195" s="1556"/>
      <c r="HR195" s="1556"/>
      <c r="HS195" s="1556"/>
      <c r="HT195" s="1556"/>
      <c r="HU195" s="1556"/>
      <c r="HV195" s="1556"/>
      <c r="HW195" s="1556"/>
      <c r="HX195" s="1556"/>
      <c r="HY195" s="1556"/>
      <c r="HZ195" s="1556"/>
      <c r="IA195" s="1556"/>
      <c r="IB195" s="1556"/>
      <c r="IC195" s="1556"/>
      <c r="ID195" s="1556"/>
      <c r="IE195" s="1556"/>
      <c r="IF195" s="1556"/>
      <c r="IG195" s="1556"/>
      <c r="IH195" s="1556"/>
      <c r="II195" s="1556"/>
      <c r="IJ195" s="1556"/>
      <c r="IK195" s="1556"/>
      <c r="IL195" s="1556"/>
      <c r="IM195" s="1556"/>
      <c r="IN195" s="1556"/>
      <c r="IO195" s="1556"/>
      <c r="IP195" s="1556"/>
      <c r="IQ195" s="1556"/>
      <c r="IR195" s="1556"/>
      <c r="IS195" s="1556"/>
      <c r="IT195" s="1556"/>
      <c r="IU195" s="1556"/>
      <c r="IV195" s="1556"/>
      <c r="IW195" s="1556"/>
      <c r="IX195" s="1556"/>
      <c r="IY195" s="1556">
        <f>MAX(0,IY181-IY194)</f>
        <v>0</v>
      </c>
      <c r="IZ195" s="1556"/>
      <c r="JA195" s="1556"/>
      <c r="JB195" s="1556"/>
      <c r="JC195" s="1556"/>
      <c r="JD195" s="1556"/>
      <c r="JE195" s="1556"/>
      <c r="JF195" s="1556"/>
      <c r="JG195" s="1556"/>
      <c r="JH195" s="1556"/>
      <c r="JI195" s="1556"/>
      <c r="JJ195" s="1556"/>
      <c r="JK195" s="1556"/>
      <c r="JL195" s="1556"/>
      <c r="JM195" s="1556"/>
      <c r="JN195" s="1556"/>
      <c r="JO195" s="1556"/>
      <c r="JP195" s="1556"/>
      <c r="JQ195" s="1556"/>
      <c r="JR195" s="351"/>
      <c r="JS195" s="1400" t="s">
        <v>3393</v>
      </c>
      <c r="JT195" s="1400" t="s">
        <v>2224</v>
      </c>
    </row>
    <row r="196" spans="1:280" ht="30" x14ac:dyDescent="0.25">
      <c r="A196" s="1367">
        <v>40</v>
      </c>
      <c r="B196" s="1411" t="str">
        <f t="shared" si="84"/>
        <v/>
      </c>
      <c r="C196" s="1435" t="s">
        <v>3394</v>
      </c>
      <c r="D196" s="1436" t="s">
        <v>3395</v>
      </c>
      <c r="E196" s="1479"/>
      <c r="F196" s="1479"/>
      <c r="G196" s="1479"/>
      <c r="H196" s="1479"/>
      <c r="I196" s="1479"/>
      <c r="J196" s="1479"/>
      <c r="K196" s="1479"/>
      <c r="L196" s="1479"/>
      <c r="M196" s="1479"/>
      <c r="N196" s="1479"/>
      <c r="O196" s="1479"/>
      <c r="P196" s="1479"/>
      <c r="Q196" s="1479"/>
      <c r="R196" s="1479"/>
      <c r="S196" s="1479"/>
      <c r="T196" s="1479"/>
      <c r="U196" s="1479"/>
      <c r="V196" s="1479"/>
      <c r="W196" s="1479"/>
      <c r="X196" s="1479"/>
      <c r="Y196" s="1479"/>
      <c r="Z196" s="1479"/>
      <c r="AA196" s="1479"/>
      <c r="AB196" s="1479"/>
      <c r="AC196" s="1479"/>
      <c r="AD196" s="1479"/>
      <c r="AE196" s="1479"/>
      <c r="AF196" s="1479"/>
      <c r="AG196" s="1479"/>
      <c r="AH196" s="1479"/>
      <c r="AI196" s="1479"/>
      <c r="AJ196" s="1479"/>
      <c r="AK196" s="1479"/>
      <c r="AL196" s="1479"/>
      <c r="AM196" s="1479"/>
      <c r="AN196" s="1479"/>
      <c r="AO196" s="1479"/>
      <c r="AP196" s="1479"/>
      <c r="AQ196" s="1479"/>
      <c r="AR196" s="1479"/>
      <c r="AS196" s="1479"/>
      <c r="AT196" s="1479"/>
      <c r="AU196" s="1479"/>
      <c r="AV196" s="1479"/>
      <c r="AW196" s="1479"/>
      <c r="AX196" s="1479"/>
      <c r="AY196" s="1479"/>
      <c r="AZ196" s="1479"/>
      <c r="BA196" s="1479"/>
      <c r="BB196" s="1479"/>
      <c r="BC196" s="1479"/>
      <c r="BD196" s="1479"/>
      <c r="BE196" s="1479"/>
      <c r="BF196" s="1479"/>
      <c r="BG196" s="1479"/>
      <c r="BH196" s="1479"/>
      <c r="BI196" s="1479"/>
      <c r="BJ196" s="1479"/>
      <c r="BK196" s="1479"/>
      <c r="BL196" s="1479"/>
      <c r="BM196" s="1479"/>
      <c r="BN196" s="1479"/>
      <c r="BO196" s="1479"/>
      <c r="BP196" s="1479"/>
      <c r="BQ196" s="1479"/>
      <c r="BR196" s="1479"/>
      <c r="BS196" s="1479"/>
      <c r="BT196" s="1479"/>
      <c r="BU196" s="1479"/>
      <c r="BV196" s="1479"/>
      <c r="BW196" s="1479"/>
      <c r="BX196" s="1479"/>
      <c r="BY196" s="1479"/>
      <c r="BZ196" s="1479"/>
      <c r="CA196" s="1479"/>
      <c r="CB196" s="1479"/>
      <c r="CC196" s="1479"/>
      <c r="CD196" s="1479"/>
      <c r="CE196" s="1479"/>
      <c r="CF196" s="1479"/>
      <c r="CG196" s="1479"/>
      <c r="CH196" s="1479"/>
      <c r="CI196" s="1479"/>
      <c r="CJ196" s="1479"/>
      <c r="CK196" s="1479"/>
      <c r="CL196" s="1479"/>
      <c r="CM196" s="1479"/>
      <c r="CN196" s="1479"/>
      <c r="CO196" s="1479"/>
      <c r="CP196" s="1479"/>
      <c r="CQ196" s="1479"/>
      <c r="CR196" s="1479"/>
      <c r="CS196" s="1479"/>
      <c r="CT196" s="1479"/>
      <c r="CU196" s="1479"/>
      <c r="CV196" s="1479"/>
      <c r="CW196" s="1479"/>
      <c r="CX196" s="1479"/>
      <c r="CY196" s="1479"/>
      <c r="CZ196" s="1479"/>
      <c r="DA196" s="1479"/>
      <c r="DB196" s="1479"/>
      <c r="DC196" s="1479"/>
      <c r="DD196" s="1479"/>
      <c r="DE196" s="1479"/>
      <c r="DF196" s="1479"/>
      <c r="DG196" s="1479"/>
      <c r="DH196" s="1479"/>
      <c r="DI196" s="1479"/>
      <c r="DJ196" s="1479"/>
      <c r="DK196" s="1479"/>
      <c r="DL196" s="1479"/>
      <c r="DM196" s="1479"/>
      <c r="DN196" s="1479"/>
      <c r="DO196" s="1479"/>
      <c r="DP196" s="1479"/>
      <c r="DQ196" s="1479"/>
      <c r="DR196" s="1479"/>
      <c r="DS196" s="1479"/>
      <c r="DT196" s="1479"/>
      <c r="DU196" s="1479"/>
      <c r="DV196" s="1479"/>
      <c r="DW196" s="1479"/>
      <c r="DX196" s="1479"/>
      <c r="DY196" s="1479"/>
      <c r="DZ196" s="1479"/>
      <c r="EA196" s="1479"/>
      <c r="EB196" s="1479"/>
      <c r="EC196" s="1479"/>
      <c r="ED196" s="1479"/>
      <c r="EE196" s="1479"/>
      <c r="EF196" s="1479"/>
      <c r="EG196" s="1479"/>
      <c r="EH196" s="1479"/>
      <c r="EI196" s="1479"/>
      <c r="EJ196" s="1479"/>
      <c r="EK196" s="1479"/>
      <c r="EL196" s="1479"/>
      <c r="EM196" s="1479"/>
      <c r="EN196" s="1479"/>
      <c r="EO196" s="1479"/>
      <c r="EP196" s="1479"/>
      <c r="EQ196" s="1479"/>
      <c r="ER196" s="1479"/>
      <c r="ES196" s="1503">
        <v>2928</v>
      </c>
      <c r="ET196" s="1479">
        <f>MAX(0,ET194-ET181)</f>
        <v>11824</v>
      </c>
      <c r="EU196" s="1479">
        <f>MAX(0,EU194-EU181)</f>
        <v>0</v>
      </c>
      <c r="EV196" s="1479"/>
      <c r="EW196" s="1479"/>
      <c r="EX196" s="1479"/>
      <c r="EY196" s="1479"/>
      <c r="EZ196" s="1479"/>
      <c r="FA196" s="1479"/>
      <c r="FB196" s="1479"/>
      <c r="FC196" s="1479"/>
      <c r="FD196" s="1479"/>
      <c r="FE196" s="1479"/>
      <c r="FF196" s="1479"/>
      <c r="FG196" s="1479"/>
      <c r="FH196" s="1479"/>
      <c r="FI196" s="1479"/>
      <c r="FJ196" s="1479"/>
      <c r="FK196" s="1479"/>
      <c r="FL196" s="1479"/>
      <c r="FM196" s="1479"/>
      <c r="FN196" s="1479"/>
      <c r="FO196" s="1479"/>
      <c r="FP196" s="1479"/>
      <c r="FQ196" s="1479"/>
      <c r="FR196" s="1479"/>
      <c r="FS196" s="1479"/>
      <c r="FT196" s="1479"/>
      <c r="FU196" s="1479"/>
      <c r="FV196" s="1479"/>
      <c r="FW196" s="1479"/>
      <c r="FX196" s="1479"/>
      <c r="FY196" s="1479"/>
      <c r="FZ196" s="1479"/>
      <c r="GA196" s="1479"/>
      <c r="GB196" s="1479"/>
      <c r="GC196" s="1479"/>
      <c r="GD196" s="1479"/>
      <c r="GE196" s="1479"/>
      <c r="GF196" s="1479"/>
      <c r="GG196" s="1479"/>
      <c r="GH196" s="1479"/>
      <c r="GI196" s="1479"/>
      <c r="GJ196" s="1479"/>
      <c r="GK196" s="1479"/>
      <c r="GL196" s="1479"/>
      <c r="GM196" s="1479"/>
      <c r="GN196" s="1479"/>
      <c r="GO196" s="1479"/>
      <c r="GP196" s="1479"/>
      <c r="GQ196" s="1479"/>
      <c r="GR196" s="1479"/>
      <c r="GS196" s="1479"/>
      <c r="GT196" s="1479"/>
      <c r="GU196" s="1479"/>
      <c r="GV196" s="1479"/>
      <c r="GW196" s="1479"/>
      <c r="GX196" s="1479"/>
      <c r="GY196" s="1479"/>
      <c r="GZ196" s="1479"/>
      <c r="HA196" s="1479"/>
      <c r="HB196" s="1479"/>
      <c r="HC196" s="1479"/>
      <c r="HD196" s="1479"/>
      <c r="HE196" s="1479"/>
      <c r="HF196" s="1479"/>
      <c r="HG196" s="1479"/>
      <c r="HH196" s="1479"/>
      <c r="HI196" s="1479"/>
      <c r="HJ196" s="1479"/>
      <c r="HK196" s="1479"/>
      <c r="HL196" s="1479"/>
      <c r="HM196" s="1479"/>
      <c r="HN196" s="1479"/>
      <c r="HO196" s="1479"/>
      <c r="HP196" s="1479"/>
      <c r="HQ196" s="1479"/>
      <c r="HR196" s="1479"/>
      <c r="HS196" s="1479"/>
      <c r="HT196" s="1479"/>
      <c r="HU196" s="1479"/>
      <c r="HV196" s="1479"/>
      <c r="HW196" s="1479"/>
      <c r="HX196" s="1479"/>
      <c r="HY196" s="1479"/>
      <c r="HZ196" s="1479"/>
      <c r="IA196" s="1479"/>
      <c r="IB196" s="1479"/>
      <c r="IC196" s="1479"/>
      <c r="ID196" s="1479"/>
      <c r="IE196" s="1479"/>
      <c r="IF196" s="1479"/>
      <c r="IG196" s="1479"/>
      <c r="IH196" s="1479"/>
      <c r="II196" s="1479"/>
      <c r="IJ196" s="1479"/>
      <c r="IK196" s="1479"/>
      <c r="IL196" s="1479"/>
      <c r="IM196" s="1479"/>
      <c r="IN196" s="1479"/>
      <c r="IO196" s="1479"/>
      <c r="IP196" s="1479"/>
      <c r="IQ196" s="1479"/>
      <c r="IR196" s="1479"/>
      <c r="IS196" s="1479"/>
      <c r="IT196" s="1479"/>
      <c r="IU196" s="1479"/>
      <c r="IV196" s="1479"/>
      <c r="IW196" s="1479"/>
      <c r="IX196" s="1479"/>
      <c r="IY196" s="1479">
        <f>MAX(0,IY194-IY181)</f>
        <v>12465</v>
      </c>
      <c r="IZ196" s="1479"/>
      <c r="JA196" s="1479"/>
      <c r="JB196" s="1479"/>
      <c r="JC196" s="1479"/>
      <c r="JD196" s="1479"/>
      <c r="JE196" s="1479"/>
      <c r="JF196" s="1479"/>
      <c r="JG196" s="1479"/>
      <c r="JH196" s="1479"/>
      <c r="JI196" s="1479"/>
      <c r="JJ196" s="1479"/>
      <c r="JK196" s="1479"/>
      <c r="JL196" s="1479"/>
      <c r="JM196" s="1479"/>
      <c r="JN196" s="1479"/>
      <c r="JO196" s="1479"/>
      <c r="JP196" s="1479"/>
      <c r="JQ196" s="1479"/>
      <c r="JR196" s="351"/>
      <c r="JS196" s="1400" t="s">
        <v>3396</v>
      </c>
      <c r="JT196" s="1400" t="s">
        <v>2224</v>
      </c>
    </row>
    <row r="197" spans="1:280" x14ac:dyDescent="0.25">
      <c r="A197" s="1367">
        <v>41</v>
      </c>
      <c r="B197" s="1411" t="str">
        <f t="shared" si="84"/>
        <v/>
      </c>
      <c r="C197" s="1435" t="s">
        <v>3397</v>
      </c>
      <c r="D197" s="1436" t="s">
        <v>3398</v>
      </c>
      <c r="E197" s="1479"/>
      <c r="F197" s="1479"/>
      <c r="G197" s="1479"/>
      <c r="H197" s="1479"/>
      <c r="I197" s="1479"/>
      <c r="J197" s="1479"/>
      <c r="K197" s="1479"/>
      <c r="L197" s="1479"/>
      <c r="M197" s="1479"/>
      <c r="N197" s="1479"/>
      <c r="O197" s="1479"/>
      <c r="P197" s="1479"/>
      <c r="Q197" s="1479"/>
      <c r="R197" s="1479"/>
      <c r="S197" s="1479"/>
      <c r="T197" s="1479"/>
      <c r="U197" s="1479"/>
      <c r="V197" s="1479"/>
      <c r="W197" s="1479"/>
      <c r="X197" s="1479"/>
      <c r="Y197" s="1479"/>
      <c r="Z197" s="1479"/>
      <c r="AA197" s="1479"/>
      <c r="AB197" s="1479"/>
      <c r="AC197" s="1479"/>
      <c r="AD197" s="1479"/>
      <c r="AE197" s="1479"/>
      <c r="AF197" s="1479"/>
      <c r="AG197" s="1479"/>
      <c r="AH197" s="1479"/>
      <c r="AI197" s="1479"/>
      <c r="AJ197" s="1479"/>
      <c r="AK197" s="1479"/>
      <c r="AL197" s="1479"/>
      <c r="AM197" s="1479"/>
      <c r="AN197" s="1479"/>
      <c r="AO197" s="1479"/>
      <c r="AP197" s="1479"/>
      <c r="AQ197" s="1479"/>
      <c r="AR197" s="1479"/>
      <c r="AS197" s="1479"/>
      <c r="AT197" s="1479"/>
      <c r="AU197" s="1479"/>
      <c r="AV197" s="1479"/>
      <c r="AW197" s="1479"/>
      <c r="AX197" s="1479"/>
      <c r="AY197" s="1479"/>
      <c r="AZ197" s="1479"/>
      <c r="BA197" s="1479"/>
      <c r="BB197" s="1479"/>
      <c r="BC197" s="1479"/>
      <c r="BD197" s="1479"/>
      <c r="BE197" s="1479"/>
      <c r="BF197" s="1479"/>
      <c r="BG197" s="1479"/>
      <c r="BH197" s="1479"/>
      <c r="BI197" s="1479"/>
      <c r="BJ197" s="1479"/>
      <c r="BK197" s="1479"/>
      <c r="BL197" s="1479"/>
      <c r="BM197" s="1479"/>
      <c r="BN197" s="1479"/>
      <c r="BO197" s="1479"/>
      <c r="BP197" s="1479"/>
      <c r="BQ197" s="1479"/>
      <c r="BR197" s="1479"/>
      <c r="BS197" s="1479"/>
      <c r="BT197" s="1479"/>
      <c r="BU197" s="1479"/>
      <c r="BV197" s="1479"/>
      <c r="BW197" s="1479"/>
      <c r="BX197" s="1479"/>
      <c r="BY197" s="1479"/>
      <c r="BZ197" s="1479"/>
      <c r="CA197" s="1479"/>
      <c r="CB197" s="1479"/>
      <c r="CC197" s="1479"/>
      <c r="CD197" s="1479"/>
      <c r="CE197" s="1479"/>
      <c r="CF197" s="1479"/>
      <c r="CG197" s="1479"/>
      <c r="CH197" s="1479"/>
      <c r="CI197" s="1479"/>
      <c r="CJ197" s="1479"/>
      <c r="CK197" s="1479"/>
      <c r="CL197" s="1479"/>
      <c r="CM197" s="1479"/>
      <c r="CN197" s="1479"/>
      <c r="CO197" s="1479"/>
      <c r="CP197" s="1479"/>
      <c r="CQ197" s="1479"/>
      <c r="CR197" s="1479"/>
      <c r="CS197" s="1479"/>
      <c r="CT197" s="1479"/>
      <c r="CU197" s="1479"/>
      <c r="CV197" s="1479"/>
      <c r="CW197" s="1479"/>
      <c r="CX197" s="1479"/>
      <c r="CY197" s="1479"/>
      <c r="CZ197" s="1479"/>
      <c r="DA197" s="1479"/>
      <c r="DB197" s="1479"/>
      <c r="DC197" s="1479"/>
      <c r="DD197" s="1479"/>
      <c r="DE197" s="1479"/>
      <c r="DF197" s="1479"/>
      <c r="DG197" s="1479"/>
      <c r="DH197" s="1479"/>
      <c r="DI197" s="1479"/>
      <c r="DJ197" s="1479"/>
      <c r="DK197" s="1479"/>
      <c r="DL197" s="1479"/>
      <c r="DM197" s="1479"/>
      <c r="DN197" s="1479"/>
      <c r="DO197" s="1479"/>
      <c r="DP197" s="1479"/>
      <c r="DQ197" s="1479"/>
      <c r="DR197" s="1479"/>
      <c r="DS197" s="1479"/>
      <c r="DT197" s="1479"/>
      <c r="DU197" s="1479"/>
      <c r="DV197" s="1479"/>
      <c r="DW197" s="1479"/>
      <c r="DX197" s="1479"/>
      <c r="DY197" s="1479"/>
      <c r="DZ197" s="1479"/>
      <c r="EA197" s="1479"/>
      <c r="EB197" s="1479"/>
      <c r="EC197" s="1479"/>
      <c r="ED197" s="1479"/>
      <c r="EE197" s="1479"/>
      <c r="EF197" s="1479"/>
      <c r="EG197" s="1479"/>
      <c r="EH197" s="1479"/>
      <c r="EI197" s="1479"/>
      <c r="EJ197" s="1479"/>
      <c r="EK197" s="1479"/>
      <c r="EL197" s="1479"/>
      <c r="EM197" s="1479"/>
      <c r="EN197" s="1479"/>
      <c r="EO197" s="1479"/>
      <c r="EP197" s="1479"/>
      <c r="EQ197" s="1479">
        <f t="shared" ref="EQ197:EZ197" si="87">EQ168+EQ171</f>
        <v>0</v>
      </c>
      <c r="ER197" s="1479">
        <f t="shared" si="87"/>
        <v>0</v>
      </c>
      <c r="ES197" s="1479">
        <f t="shared" si="87"/>
        <v>0</v>
      </c>
      <c r="ET197" s="1479">
        <f t="shared" si="87"/>
        <v>0</v>
      </c>
      <c r="EU197" s="1479">
        <f t="shared" si="87"/>
        <v>0</v>
      </c>
      <c r="EV197" s="1479">
        <f t="shared" si="87"/>
        <v>0</v>
      </c>
      <c r="EW197" s="1479">
        <f t="shared" si="87"/>
        <v>233</v>
      </c>
      <c r="EX197" s="1503">
        <f t="shared" si="87"/>
        <v>3593</v>
      </c>
      <c r="EY197" s="1479">
        <f t="shared" si="87"/>
        <v>76</v>
      </c>
      <c r="EZ197" s="1479">
        <f t="shared" si="87"/>
        <v>0</v>
      </c>
      <c r="FA197" s="1479"/>
      <c r="FB197" s="1479"/>
      <c r="FC197" s="1479"/>
      <c r="FD197" s="1479"/>
      <c r="FE197" s="1479"/>
      <c r="FF197" s="1479"/>
      <c r="FG197" s="1479"/>
      <c r="FH197" s="1479"/>
      <c r="FI197" s="1479"/>
      <c r="FJ197" s="1479"/>
      <c r="FK197" s="1479"/>
      <c r="FL197" s="1479"/>
      <c r="FM197" s="1479"/>
      <c r="FN197" s="1479"/>
      <c r="FO197" s="1479"/>
      <c r="FP197" s="1479"/>
      <c r="FQ197" s="1479"/>
      <c r="FR197" s="1479"/>
      <c r="FS197" s="1479"/>
      <c r="FT197" s="1479"/>
      <c r="FU197" s="1479"/>
      <c r="FV197" s="1479"/>
      <c r="FW197" s="1479"/>
      <c r="FX197" s="1479"/>
      <c r="FY197" s="1479"/>
      <c r="FZ197" s="1479"/>
      <c r="GA197" s="1479"/>
      <c r="GB197" s="1479"/>
      <c r="GC197" s="1479"/>
      <c r="GD197" s="1479"/>
      <c r="GE197" s="1479"/>
      <c r="GF197" s="1479"/>
      <c r="GG197" s="1479"/>
      <c r="GH197" s="1479"/>
      <c r="GI197" s="1479"/>
      <c r="GJ197" s="1479"/>
      <c r="GK197" s="1479"/>
      <c r="GL197" s="1479"/>
      <c r="GM197" s="1479"/>
      <c r="GN197" s="1479"/>
      <c r="GO197" s="1479"/>
      <c r="GP197" s="1479"/>
      <c r="GQ197" s="1479"/>
      <c r="GR197" s="1479"/>
      <c r="GS197" s="1479"/>
      <c r="GT197" s="1479"/>
      <c r="GU197" s="1479"/>
      <c r="GV197" s="1479"/>
      <c r="GW197" s="1479"/>
      <c r="GX197" s="1479"/>
      <c r="GY197" s="1479"/>
      <c r="GZ197" s="1479"/>
      <c r="HA197" s="1479"/>
      <c r="HB197" s="1479"/>
      <c r="HC197" s="1479"/>
      <c r="HD197" s="1479"/>
      <c r="HE197" s="1479"/>
      <c r="HF197" s="1479"/>
      <c r="HG197" s="1479"/>
      <c r="HH197" s="1479"/>
      <c r="HI197" s="1479"/>
      <c r="HJ197" s="1479"/>
      <c r="HK197" s="1479"/>
      <c r="HL197" s="1479"/>
      <c r="HM197" s="1479"/>
      <c r="HN197" s="1479"/>
      <c r="HO197" s="1479"/>
      <c r="HP197" s="1479"/>
      <c r="HQ197" s="1479"/>
      <c r="HR197" s="1479"/>
      <c r="HS197" s="1479"/>
      <c r="HT197" s="1479"/>
      <c r="HU197" s="1479"/>
      <c r="HV197" s="1479"/>
      <c r="HW197" s="1479"/>
      <c r="HX197" s="1479"/>
      <c r="HY197" s="1479"/>
      <c r="HZ197" s="1479"/>
      <c r="IA197" s="1479"/>
      <c r="IB197" s="1479"/>
      <c r="IC197" s="1479"/>
      <c r="ID197" s="1479"/>
      <c r="IE197" s="1479"/>
      <c r="IF197" s="1479"/>
      <c r="IG197" s="1479"/>
      <c r="IH197" s="1479"/>
      <c r="II197" s="1479"/>
      <c r="IJ197" s="1479"/>
      <c r="IK197" s="1479"/>
      <c r="IL197" s="1479"/>
      <c r="IM197" s="1479"/>
      <c r="IN197" s="1479"/>
      <c r="IO197" s="1479"/>
      <c r="IP197" s="1479"/>
      <c r="IQ197" s="1479"/>
      <c r="IR197" s="1479"/>
      <c r="IS197" s="1479"/>
      <c r="IT197" s="1479"/>
      <c r="IU197" s="1479"/>
      <c r="IV197" s="1479"/>
      <c r="IW197" s="1479"/>
      <c r="IX197" s="1479"/>
      <c r="IY197" s="1479">
        <f>IY168+IY171</f>
        <v>22</v>
      </c>
      <c r="IZ197" s="1479"/>
      <c r="JA197" s="1479"/>
      <c r="JB197" s="1479"/>
      <c r="JC197" s="1479"/>
      <c r="JD197" s="1479"/>
      <c r="JE197" s="1479"/>
      <c r="JF197" s="1479"/>
      <c r="JG197" s="1479"/>
      <c r="JH197" s="1479"/>
      <c r="JI197" s="1479"/>
      <c r="JJ197" s="1479"/>
      <c r="JK197" s="1479"/>
      <c r="JL197" s="1479"/>
      <c r="JM197" s="1479"/>
      <c r="JN197" s="1479"/>
      <c r="JO197" s="1479"/>
      <c r="JP197" s="1479"/>
      <c r="JQ197" s="1479"/>
      <c r="JR197" s="351"/>
      <c r="JS197" s="1400" t="s">
        <v>3399</v>
      </c>
      <c r="JT197" s="1400" t="s">
        <v>2242</v>
      </c>
    </row>
    <row r="198" spans="1:280" x14ac:dyDescent="0.25">
      <c r="A198" s="1367">
        <v>42</v>
      </c>
      <c r="B198" s="1411" t="str">
        <f t="shared" si="84"/>
        <v/>
      </c>
      <c r="C198" s="1435" t="s">
        <v>3400</v>
      </c>
      <c r="D198" s="1436" t="s">
        <v>3401</v>
      </c>
      <c r="E198" s="1552"/>
      <c r="F198" s="1552"/>
      <c r="G198" s="1552"/>
      <c r="H198" s="1552"/>
      <c r="I198" s="1552"/>
      <c r="J198" s="1552"/>
      <c r="K198" s="1552"/>
      <c r="L198" s="1552"/>
      <c r="M198" s="1552"/>
      <c r="N198" s="1552"/>
      <c r="O198" s="1552"/>
      <c r="P198" s="1552"/>
      <c r="Q198" s="1552"/>
      <c r="R198" s="1553"/>
      <c r="S198" s="1553"/>
      <c r="T198" s="1553"/>
      <c r="U198" s="1553"/>
      <c r="V198" s="1553"/>
      <c r="W198" s="1553"/>
      <c r="X198" s="1553"/>
      <c r="Y198" s="1553"/>
      <c r="Z198" s="1553"/>
      <c r="AA198" s="1553"/>
      <c r="AB198" s="1553"/>
      <c r="AC198" s="1553"/>
      <c r="AD198" s="1553"/>
      <c r="AE198" s="1553"/>
      <c r="AF198" s="1553"/>
      <c r="AG198" s="1553"/>
      <c r="AH198" s="1553"/>
      <c r="AI198" s="1553"/>
      <c r="AJ198" s="1553"/>
      <c r="AK198" s="1553"/>
      <c r="AL198" s="1553"/>
      <c r="AM198" s="1553"/>
      <c r="AN198" s="1553"/>
      <c r="AO198" s="1553"/>
      <c r="AP198" s="1553"/>
      <c r="AQ198" s="1553"/>
      <c r="AR198" s="1553"/>
      <c r="AS198" s="1553"/>
      <c r="AT198" s="1553"/>
      <c r="AU198" s="1553"/>
      <c r="AV198" s="1553"/>
      <c r="AW198" s="1553"/>
      <c r="AX198" s="1553"/>
      <c r="AY198" s="1553"/>
      <c r="AZ198" s="1553"/>
      <c r="BA198" s="1553"/>
      <c r="BB198" s="1553"/>
      <c r="BC198" s="1553"/>
      <c r="BD198" s="1553"/>
      <c r="BE198" s="1553"/>
      <c r="BF198" s="1553"/>
      <c r="BG198" s="1553"/>
      <c r="BH198" s="1553"/>
      <c r="BI198" s="1553"/>
      <c r="BJ198" s="1553"/>
      <c r="BK198" s="1553"/>
      <c r="BL198" s="1553"/>
      <c r="BM198" s="1553"/>
      <c r="BN198" s="1553"/>
      <c r="BO198" s="1553"/>
      <c r="BP198" s="1553"/>
      <c r="BQ198" s="1553"/>
      <c r="BR198" s="1553"/>
      <c r="BS198" s="1553"/>
      <c r="BT198" s="1553"/>
      <c r="BU198" s="1553"/>
      <c r="BV198" s="1553"/>
      <c r="BW198" s="1553"/>
      <c r="BX198" s="1553"/>
      <c r="BY198" s="1553"/>
      <c r="BZ198" s="1553"/>
      <c r="CA198" s="1553"/>
      <c r="CB198" s="1553"/>
      <c r="CC198" s="1553"/>
      <c r="CD198" s="1553"/>
      <c r="CE198" s="1553"/>
      <c r="CF198" s="1553"/>
      <c r="CG198" s="1553"/>
      <c r="CH198" s="1553"/>
      <c r="CI198" s="1553"/>
      <c r="CJ198" s="1553"/>
      <c r="CK198" s="1553"/>
      <c r="CL198" s="1553"/>
      <c r="CM198" s="1553"/>
      <c r="CN198" s="1553"/>
      <c r="CO198" s="1553"/>
      <c r="CP198" s="1553"/>
      <c r="CQ198" s="1553"/>
      <c r="CR198" s="1553"/>
      <c r="CS198" s="1553"/>
      <c r="CT198" s="1553"/>
      <c r="CU198" s="1553"/>
      <c r="CV198" s="1553"/>
      <c r="CW198" s="1553"/>
      <c r="CX198" s="1553"/>
      <c r="CY198" s="1553"/>
      <c r="CZ198" s="1553"/>
      <c r="DA198" s="1553"/>
      <c r="DB198" s="1553"/>
      <c r="DC198" s="1553"/>
      <c r="DD198" s="1553"/>
      <c r="DE198" s="1553"/>
      <c r="DF198" s="1553"/>
      <c r="DG198" s="1553"/>
      <c r="DH198" s="1553"/>
      <c r="DI198" s="1553"/>
      <c r="DJ198" s="1553"/>
      <c r="DK198" s="1553"/>
      <c r="DL198" s="1553"/>
      <c r="DM198" s="1553"/>
      <c r="DN198" s="1553"/>
      <c r="DO198" s="1553"/>
      <c r="DP198" s="1553"/>
      <c r="DQ198" s="1553"/>
      <c r="DR198" s="1553"/>
      <c r="DS198" s="1553"/>
      <c r="DT198" s="1553"/>
      <c r="DU198" s="1553"/>
      <c r="DV198" s="1553"/>
      <c r="DW198" s="1553"/>
      <c r="DX198" s="1553"/>
      <c r="DY198" s="1553"/>
      <c r="DZ198" s="1553"/>
      <c r="EA198" s="1553"/>
      <c r="EB198" s="1553"/>
      <c r="EC198" s="1553"/>
      <c r="ED198" s="1553"/>
      <c r="EE198" s="1553"/>
      <c r="EF198" s="1553"/>
      <c r="EG198" s="1553"/>
      <c r="EH198" s="1553"/>
      <c r="EI198" s="1553"/>
      <c r="EJ198" s="1553"/>
      <c r="EK198" s="1553"/>
      <c r="EL198" s="1553"/>
      <c r="EM198" s="1553"/>
      <c r="EN198" s="1553"/>
      <c r="EO198" s="1553"/>
      <c r="EP198" s="1553"/>
      <c r="EQ198" s="1452"/>
      <c r="ER198" s="1538"/>
      <c r="ES198" s="1538"/>
      <c r="ET198" s="1538"/>
      <c r="EU198" s="1452"/>
      <c r="EV198" s="1538">
        <v>4106</v>
      </c>
      <c r="EW198" s="1452"/>
      <c r="EX198" s="1538">
        <v>2</v>
      </c>
      <c r="EY198" s="1554">
        <v>17</v>
      </c>
      <c r="EZ198" s="1538">
        <v>3418</v>
      </c>
      <c r="FA198" s="1538"/>
      <c r="FB198" s="1553"/>
      <c r="FC198" s="1553"/>
      <c r="FD198" s="1553"/>
      <c r="FE198" s="1553"/>
      <c r="FF198" s="1553"/>
      <c r="FG198" s="1553"/>
      <c r="FH198" s="1553"/>
      <c r="FI198" s="1553"/>
      <c r="FJ198" s="1553"/>
      <c r="FK198" s="1553"/>
      <c r="FL198" s="1553"/>
      <c r="FM198" s="1553"/>
      <c r="FN198" s="1553"/>
      <c r="FO198" s="1553"/>
      <c r="FP198" s="1553"/>
      <c r="FQ198" s="1553"/>
      <c r="FR198" s="1553"/>
      <c r="FS198" s="1553"/>
      <c r="FT198" s="1553"/>
      <c r="FU198" s="1553"/>
      <c r="FV198" s="1553"/>
      <c r="FW198" s="1553"/>
      <c r="FX198" s="1553"/>
      <c r="FY198" s="1553"/>
      <c r="FZ198" s="1553"/>
      <c r="GA198" s="1553"/>
      <c r="GB198" s="1553"/>
      <c r="GC198" s="1553"/>
      <c r="GD198" s="1553"/>
      <c r="GE198" s="1553"/>
      <c r="GF198" s="1553"/>
      <c r="GG198" s="1553"/>
      <c r="GH198" s="1553"/>
      <c r="GI198" s="1553"/>
      <c r="GJ198" s="1553"/>
      <c r="GK198" s="1553"/>
      <c r="GL198" s="1553"/>
      <c r="GM198" s="1553"/>
      <c r="GN198" s="1553"/>
      <c r="GO198" s="1553"/>
      <c r="GP198" s="1553"/>
      <c r="GQ198" s="1553"/>
      <c r="GR198" s="1553"/>
      <c r="GS198" s="1553"/>
      <c r="GT198" s="1553"/>
      <c r="GU198" s="1553"/>
      <c r="GV198" s="1553"/>
      <c r="GW198" s="1553"/>
      <c r="GX198" s="1553"/>
      <c r="GY198" s="1553"/>
      <c r="GZ198" s="1553"/>
      <c r="HA198" s="1553"/>
      <c r="HB198" s="1553"/>
      <c r="HC198" s="1553"/>
      <c r="HD198" s="1553"/>
      <c r="HE198" s="1553"/>
      <c r="HF198" s="1553"/>
      <c r="HG198" s="1553"/>
      <c r="HH198" s="1553"/>
      <c r="HI198" s="1553"/>
      <c r="HJ198" s="1553"/>
      <c r="HK198" s="1553"/>
      <c r="HL198" s="1553"/>
      <c r="HM198" s="1553"/>
      <c r="HN198" s="1553"/>
      <c r="HO198" s="1553"/>
      <c r="HP198" s="1553"/>
      <c r="HQ198" s="1553"/>
      <c r="HR198" s="1553"/>
      <c r="HS198" s="1553"/>
      <c r="HT198" s="1553"/>
      <c r="HU198" s="1553"/>
      <c r="HV198" s="1553"/>
      <c r="HW198" s="1553"/>
      <c r="HX198" s="1553"/>
      <c r="HY198" s="1553"/>
      <c r="HZ198" s="1553"/>
      <c r="IA198" s="1553"/>
      <c r="IB198" s="1553"/>
      <c r="IC198" s="1553"/>
      <c r="ID198" s="1553"/>
      <c r="IE198" s="1553"/>
      <c r="IF198" s="1553"/>
      <c r="IG198" s="1553"/>
      <c r="IH198" s="1553"/>
      <c r="II198" s="1553"/>
      <c r="IJ198" s="1553"/>
      <c r="IK198" s="1553"/>
      <c r="IL198" s="1553"/>
      <c r="IM198" s="1553"/>
      <c r="IN198" s="1553"/>
      <c r="IO198" s="1553"/>
      <c r="IP198" s="1553"/>
      <c r="IQ198" s="1553"/>
      <c r="IR198" s="1553"/>
      <c r="IS198" s="1553"/>
      <c r="IT198" s="1553"/>
      <c r="IU198" s="1553"/>
      <c r="IV198" s="1553"/>
      <c r="IW198" s="1553"/>
      <c r="IX198" s="1553"/>
      <c r="IY198" s="1452"/>
      <c r="IZ198" s="1553"/>
      <c r="JA198" s="1553"/>
      <c r="JB198" s="1553"/>
      <c r="JC198" s="1553"/>
      <c r="JD198" s="1553"/>
      <c r="JE198" s="1553"/>
      <c r="JF198" s="1553"/>
      <c r="JG198" s="1553"/>
      <c r="JH198" s="1553"/>
      <c r="JI198" s="1553"/>
      <c r="JJ198" s="1553"/>
      <c r="JK198" s="1553"/>
      <c r="JL198" s="1553"/>
      <c r="JM198" s="1553"/>
      <c r="JN198" s="1553"/>
      <c r="JO198" s="1553"/>
      <c r="JP198" s="1553"/>
      <c r="JQ198" s="1555"/>
      <c r="JR198" s="351"/>
      <c r="JS198" s="1400"/>
      <c r="JT198" s="1400" t="s">
        <v>2242</v>
      </c>
    </row>
    <row r="199" spans="1:280" x14ac:dyDescent="0.25">
      <c r="A199" s="1367">
        <v>43</v>
      </c>
      <c r="B199" s="1411" t="str">
        <f t="shared" si="84"/>
        <v/>
      </c>
      <c r="C199" s="1435" t="s">
        <v>3402</v>
      </c>
      <c r="D199" s="1436" t="s">
        <v>3403</v>
      </c>
      <c r="E199" s="1552"/>
      <c r="F199" s="1552"/>
      <c r="G199" s="1552"/>
      <c r="H199" s="1552"/>
      <c r="I199" s="1552"/>
      <c r="J199" s="1552"/>
      <c r="K199" s="1552"/>
      <c r="L199" s="1552"/>
      <c r="M199" s="1552"/>
      <c r="N199" s="1552"/>
      <c r="O199" s="1552"/>
      <c r="P199" s="1552"/>
      <c r="Q199" s="1552"/>
      <c r="R199" s="1553"/>
      <c r="S199" s="1553"/>
      <c r="T199" s="1553"/>
      <c r="U199" s="1553"/>
      <c r="V199" s="1553"/>
      <c r="W199" s="1553"/>
      <c r="X199" s="1553"/>
      <c r="Y199" s="1553"/>
      <c r="Z199" s="1553"/>
      <c r="AA199" s="1553"/>
      <c r="AB199" s="1553"/>
      <c r="AC199" s="1553"/>
      <c r="AD199" s="1553"/>
      <c r="AE199" s="1553"/>
      <c r="AF199" s="1553"/>
      <c r="AG199" s="1553"/>
      <c r="AH199" s="1553"/>
      <c r="AI199" s="1553"/>
      <c r="AJ199" s="1553"/>
      <c r="AK199" s="1553"/>
      <c r="AL199" s="1553"/>
      <c r="AM199" s="1553"/>
      <c r="AN199" s="1553"/>
      <c r="AO199" s="1553"/>
      <c r="AP199" s="1553"/>
      <c r="AQ199" s="1553"/>
      <c r="AR199" s="1553"/>
      <c r="AS199" s="1553"/>
      <c r="AT199" s="1553"/>
      <c r="AU199" s="1553"/>
      <c r="AV199" s="1553"/>
      <c r="AW199" s="1553"/>
      <c r="AX199" s="1553"/>
      <c r="AY199" s="1553"/>
      <c r="AZ199" s="1553"/>
      <c r="BA199" s="1553"/>
      <c r="BB199" s="1553"/>
      <c r="BC199" s="1553"/>
      <c r="BD199" s="1553"/>
      <c r="BE199" s="1553"/>
      <c r="BF199" s="1553"/>
      <c r="BG199" s="1553"/>
      <c r="BH199" s="1553"/>
      <c r="BI199" s="1553"/>
      <c r="BJ199" s="1553"/>
      <c r="BK199" s="1553"/>
      <c r="BL199" s="1553"/>
      <c r="BM199" s="1553"/>
      <c r="BN199" s="1553"/>
      <c r="BO199" s="1553"/>
      <c r="BP199" s="1553"/>
      <c r="BQ199" s="1553"/>
      <c r="BR199" s="1553"/>
      <c r="BS199" s="1553"/>
      <c r="BT199" s="1553"/>
      <c r="BU199" s="1553"/>
      <c r="BV199" s="1553"/>
      <c r="BW199" s="1553"/>
      <c r="BX199" s="1553"/>
      <c r="BY199" s="1553"/>
      <c r="BZ199" s="1553"/>
      <c r="CA199" s="1553"/>
      <c r="CB199" s="1553"/>
      <c r="CC199" s="1553"/>
      <c r="CD199" s="1553"/>
      <c r="CE199" s="1553"/>
      <c r="CF199" s="1553"/>
      <c r="CG199" s="1553"/>
      <c r="CH199" s="1553"/>
      <c r="CI199" s="1553"/>
      <c r="CJ199" s="1553"/>
      <c r="CK199" s="1553"/>
      <c r="CL199" s="1553"/>
      <c r="CM199" s="1553"/>
      <c r="CN199" s="1553"/>
      <c r="CO199" s="1553"/>
      <c r="CP199" s="1553"/>
      <c r="CQ199" s="1553"/>
      <c r="CR199" s="1553"/>
      <c r="CS199" s="1553"/>
      <c r="CT199" s="1553"/>
      <c r="CU199" s="1553"/>
      <c r="CV199" s="1553"/>
      <c r="CW199" s="1553"/>
      <c r="CX199" s="1553"/>
      <c r="CY199" s="1553"/>
      <c r="CZ199" s="1553"/>
      <c r="DA199" s="1553"/>
      <c r="DB199" s="1553"/>
      <c r="DC199" s="1553"/>
      <c r="DD199" s="1553"/>
      <c r="DE199" s="1553"/>
      <c r="DF199" s="1553"/>
      <c r="DG199" s="1553"/>
      <c r="DH199" s="1553"/>
      <c r="DI199" s="1553"/>
      <c r="DJ199" s="1553"/>
      <c r="DK199" s="1553"/>
      <c r="DL199" s="1553"/>
      <c r="DM199" s="1553"/>
      <c r="DN199" s="1553"/>
      <c r="DO199" s="1553"/>
      <c r="DP199" s="1553"/>
      <c r="DQ199" s="1553"/>
      <c r="DR199" s="1553"/>
      <c r="DS199" s="1553"/>
      <c r="DT199" s="1553"/>
      <c r="DU199" s="1553"/>
      <c r="DV199" s="1553"/>
      <c r="DW199" s="1553"/>
      <c r="DX199" s="1553"/>
      <c r="DY199" s="1553"/>
      <c r="DZ199" s="1553"/>
      <c r="EA199" s="1553"/>
      <c r="EB199" s="1553"/>
      <c r="EC199" s="1553"/>
      <c r="ED199" s="1553"/>
      <c r="EE199" s="1553"/>
      <c r="EF199" s="1553"/>
      <c r="EG199" s="1553"/>
      <c r="EH199" s="1553"/>
      <c r="EI199" s="1553"/>
      <c r="EJ199" s="1553"/>
      <c r="EK199" s="1553"/>
      <c r="EL199" s="1553"/>
      <c r="EM199" s="1553"/>
      <c r="EN199" s="1553"/>
      <c r="EO199" s="1553"/>
      <c r="EP199" s="1553"/>
      <c r="EQ199" s="1452"/>
      <c r="ER199" s="1538">
        <v>113</v>
      </c>
      <c r="ES199" s="1554"/>
      <c r="ET199" s="1538">
        <v>129</v>
      </c>
      <c r="EU199" s="1454">
        <v>730</v>
      </c>
      <c r="EV199" s="1538">
        <v>2567</v>
      </c>
      <c r="EW199" s="1452"/>
      <c r="EX199" s="1554"/>
      <c r="EY199" s="1554"/>
      <c r="EZ199" s="1538">
        <v>870</v>
      </c>
      <c r="FA199" s="1554"/>
      <c r="FB199" s="1553"/>
      <c r="FC199" s="1553"/>
      <c r="FD199" s="1553"/>
      <c r="FE199" s="1553"/>
      <c r="FF199" s="1553"/>
      <c r="FG199" s="1553"/>
      <c r="FH199" s="1553"/>
      <c r="FI199" s="1553"/>
      <c r="FJ199" s="1553"/>
      <c r="FK199" s="1553"/>
      <c r="FL199" s="1553"/>
      <c r="FM199" s="1553"/>
      <c r="FN199" s="1553"/>
      <c r="FO199" s="1553"/>
      <c r="FP199" s="1553"/>
      <c r="FQ199" s="1553"/>
      <c r="FR199" s="1553"/>
      <c r="FS199" s="1553"/>
      <c r="FT199" s="1553"/>
      <c r="FU199" s="1553"/>
      <c r="FV199" s="1553"/>
      <c r="FW199" s="1553"/>
      <c r="FX199" s="1553"/>
      <c r="FY199" s="1553"/>
      <c r="FZ199" s="1553"/>
      <c r="GA199" s="1553"/>
      <c r="GB199" s="1553"/>
      <c r="GC199" s="1553"/>
      <c r="GD199" s="1553"/>
      <c r="GE199" s="1553"/>
      <c r="GF199" s="1553"/>
      <c r="GG199" s="1553"/>
      <c r="GH199" s="1553"/>
      <c r="GI199" s="1553"/>
      <c r="GJ199" s="1553"/>
      <c r="GK199" s="1553"/>
      <c r="GL199" s="1553"/>
      <c r="GM199" s="1553"/>
      <c r="GN199" s="1553"/>
      <c r="GO199" s="1553"/>
      <c r="GP199" s="1553"/>
      <c r="GQ199" s="1553"/>
      <c r="GR199" s="1553"/>
      <c r="GS199" s="1553"/>
      <c r="GT199" s="1553"/>
      <c r="GU199" s="1553"/>
      <c r="GV199" s="1553"/>
      <c r="GW199" s="1553"/>
      <c r="GX199" s="1553"/>
      <c r="GY199" s="1553"/>
      <c r="GZ199" s="1553"/>
      <c r="HA199" s="1553"/>
      <c r="HB199" s="1553"/>
      <c r="HC199" s="1553"/>
      <c r="HD199" s="1553"/>
      <c r="HE199" s="1553"/>
      <c r="HF199" s="1553"/>
      <c r="HG199" s="1553"/>
      <c r="HH199" s="1553"/>
      <c r="HI199" s="1553"/>
      <c r="HJ199" s="1553"/>
      <c r="HK199" s="1553"/>
      <c r="HL199" s="1553"/>
      <c r="HM199" s="1553"/>
      <c r="HN199" s="1553"/>
      <c r="HO199" s="1553"/>
      <c r="HP199" s="1553"/>
      <c r="HQ199" s="1553"/>
      <c r="HR199" s="1553"/>
      <c r="HS199" s="1553"/>
      <c r="HT199" s="1553"/>
      <c r="HU199" s="1553"/>
      <c r="HV199" s="1553"/>
      <c r="HW199" s="1553"/>
      <c r="HX199" s="1553"/>
      <c r="HY199" s="1553"/>
      <c r="HZ199" s="1553"/>
      <c r="IA199" s="1553"/>
      <c r="IB199" s="1553"/>
      <c r="IC199" s="1553"/>
      <c r="ID199" s="1553"/>
      <c r="IE199" s="1553"/>
      <c r="IF199" s="1553"/>
      <c r="IG199" s="1553"/>
      <c r="IH199" s="1553"/>
      <c r="II199" s="1553"/>
      <c r="IJ199" s="1553"/>
      <c r="IK199" s="1553"/>
      <c r="IL199" s="1553"/>
      <c r="IM199" s="1553"/>
      <c r="IN199" s="1553"/>
      <c r="IO199" s="1553"/>
      <c r="IP199" s="1553"/>
      <c r="IQ199" s="1553"/>
      <c r="IR199" s="1553"/>
      <c r="IS199" s="1553"/>
      <c r="IT199" s="1553"/>
      <c r="IU199" s="1553"/>
      <c r="IV199" s="1553"/>
      <c r="IW199" s="1553"/>
      <c r="IX199" s="1553"/>
      <c r="IY199" s="1452"/>
      <c r="IZ199" s="1553"/>
      <c r="JA199" s="1553"/>
      <c r="JB199" s="1553"/>
      <c r="JC199" s="1553"/>
      <c r="JD199" s="1553"/>
      <c r="JE199" s="1553"/>
      <c r="JF199" s="1553"/>
      <c r="JG199" s="1553"/>
      <c r="JH199" s="1553"/>
      <c r="JI199" s="1553"/>
      <c r="JJ199" s="1553"/>
      <c r="JK199" s="1553"/>
      <c r="JL199" s="1553"/>
      <c r="JM199" s="1553"/>
      <c r="JN199" s="1553"/>
      <c r="JO199" s="1553"/>
      <c r="JP199" s="1553"/>
      <c r="JQ199" s="1555"/>
      <c r="JR199" s="351"/>
      <c r="JS199" s="1400"/>
      <c r="JT199" s="1400" t="s">
        <v>2242</v>
      </c>
    </row>
    <row r="200" spans="1:280" x14ac:dyDescent="0.25">
      <c r="A200" s="1367">
        <v>44</v>
      </c>
      <c r="B200" s="1411" t="str">
        <f t="shared" si="84"/>
        <v/>
      </c>
      <c r="C200" s="1435" t="s">
        <v>3404</v>
      </c>
      <c r="D200" s="1436" t="s">
        <v>3405</v>
      </c>
      <c r="E200" s="1552"/>
      <c r="F200" s="1552"/>
      <c r="G200" s="1552"/>
      <c r="H200" s="1552"/>
      <c r="I200" s="1552"/>
      <c r="J200" s="1552"/>
      <c r="K200" s="1552"/>
      <c r="L200" s="1552"/>
      <c r="M200" s="1552"/>
      <c r="N200" s="1552"/>
      <c r="O200" s="1552"/>
      <c r="P200" s="1552"/>
      <c r="Q200" s="1552"/>
      <c r="R200" s="1553"/>
      <c r="S200" s="1553"/>
      <c r="T200" s="1553"/>
      <c r="U200" s="1553"/>
      <c r="V200" s="1553"/>
      <c r="W200" s="1553"/>
      <c r="X200" s="1553"/>
      <c r="Y200" s="1553"/>
      <c r="Z200" s="1553"/>
      <c r="AA200" s="1553"/>
      <c r="AB200" s="1553"/>
      <c r="AC200" s="1553"/>
      <c r="AD200" s="1553"/>
      <c r="AE200" s="1553"/>
      <c r="AF200" s="1553"/>
      <c r="AG200" s="1553"/>
      <c r="AH200" s="1553"/>
      <c r="AI200" s="1553"/>
      <c r="AJ200" s="1553"/>
      <c r="AK200" s="1553"/>
      <c r="AL200" s="1553"/>
      <c r="AM200" s="1553"/>
      <c r="AN200" s="1553"/>
      <c r="AO200" s="1553"/>
      <c r="AP200" s="1553"/>
      <c r="AQ200" s="1553"/>
      <c r="AR200" s="1553"/>
      <c r="AS200" s="1553"/>
      <c r="AT200" s="1553"/>
      <c r="AU200" s="1553"/>
      <c r="AV200" s="1553"/>
      <c r="AW200" s="1553"/>
      <c r="AX200" s="1553"/>
      <c r="AY200" s="1553"/>
      <c r="AZ200" s="1553"/>
      <c r="BA200" s="1553"/>
      <c r="BB200" s="1553"/>
      <c r="BC200" s="1553"/>
      <c r="BD200" s="1553"/>
      <c r="BE200" s="1553"/>
      <c r="BF200" s="1553"/>
      <c r="BG200" s="1553"/>
      <c r="BH200" s="1553"/>
      <c r="BI200" s="1553"/>
      <c r="BJ200" s="1553"/>
      <c r="BK200" s="1553"/>
      <c r="BL200" s="1553"/>
      <c r="BM200" s="1553"/>
      <c r="BN200" s="1553"/>
      <c r="BO200" s="1553"/>
      <c r="BP200" s="1553"/>
      <c r="BQ200" s="1553"/>
      <c r="BR200" s="1553"/>
      <c r="BS200" s="1553"/>
      <c r="BT200" s="1553"/>
      <c r="BU200" s="1553"/>
      <c r="BV200" s="1553"/>
      <c r="BW200" s="1553"/>
      <c r="BX200" s="1553"/>
      <c r="BY200" s="1553"/>
      <c r="BZ200" s="1553"/>
      <c r="CA200" s="1553"/>
      <c r="CB200" s="1553"/>
      <c r="CC200" s="1553"/>
      <c r="CD200" s="1553"/>
      <c r="CE200" s="1553"/>
      <c r="CF200" s="1553"/>
      <c r="CG200" s="1553"/>
      <c r="CH200" s="1553"/>
      <c r="CI200" s="1553"/>
      <c r="CJ200" s="1553"/>
      <c r="CK200" s="1553"/>
      <c r="CL200" s="1553"/>
      <c r="CM200" s="1553"/>
      <c r="CN200" s="1553"/>
      <c r="CO200" s="1553"/>
      <c r="CP200" s="1553"/>
      <c r="CQ200" s="1553"/>
      <c r="CR200" s="1553"/>
      <c r="CS200" s="1553"/>
      <c r="CT200" s="1553"/>
      <c r="CU200" s="1553"/>
      <c r="CV200" s="1553"/>
      <c r="CW200" s="1553"/>
      <c r="CX200" s="1553"/>
      <c r="CY200" s="1553"/>
      <c r="CZ200" s="1553"/>
      <c r="DA200" s="1553"/>
      <c r="DB200" s="1553"/>
      <c r="DC200" s="1553"/>
      <c r="DD200" s="1553"/>
      <c r="DE200" s="1553"/>
      <c r="DF200" s="1553"/>
      <c r="DG200" s="1553"/>
      <c r="DH200" s="1553"/>
      <c r="DI200" s="1553"/>
      <c r="DJ200" s="1553"/>
      <c r="DK200" s="1553"/>
      <c r="DL200" s="1553"/>
      <c r="DM200" s="1553"/>
      <c r="DN200" s="1553"/>
      <c r="DO200" s="1553"/>
      <c r="DP200" s="1553"/>
      <c r="DQ200" s="1553"/>
      <c r="DR200" s="1553"/>
      <c r="DS200" s="1553"/>
      <c r="DT200" s="1553"/>
      <c r="DU200" s="1553"/>
      <c r="DV200" s="1553"/>
      <c r="DW200" s="1553"/>
      <c r="DX200" s="1553"/>
      <c r="DY200" s="1553"/>
      <c r="DZ200" s="1553"/>
      <c r="EA200" s="1553"/>
      <c r="EB200" s="1553"/>
      <c r="EC200" s="1553"/>
      <c r="ED200" s="1553"/>
      <c r="EE200" s="1553"/>
      <c r="EF200" s="1553"/>
      <c r="EG200" s="1553"/>
      <c r="EH200" s="1553"/>
      <c r="EI200" s="1553"/>
      <c r="EJ200" s="1553"/>
      <c r="EK200" s="1553"/>
      <c r="EL200" s="1553"/>
      <c r="EM200" s="1553"/>
      <c r="EN200" s="1553"/>
      <c r="EO200" s="1553"/>
      <c r="EP200" s="1553"/>
      <c r="EQ200" s="1454">
        <v>3078</v>
      </c>
      <c r="ER200" s="1538">
        <v>916</v>
      </c>
      <c r="ES200" s="1538">
        <v>341.71</v>
      </c>
      <c r="ET200" s="1538">
        <v>70</v>
      </c>
      <c r="EU200" s="1454">
        <v>816</v>
      </c>
      <c r="EV200" s="1538">
        <v>343</v>
      </c>
      <c r="EW200" s="1452"/>
      <c r="EX200" s="1538">
        <v>2471</v>
      </c>
      <c r="EY200" s="1554">
        <v>294</v>
      </c>
      <c r="EZ200" s="1538">
        <v>3659</v>
      </c>
      <c r="FA200" s="1538"/>
      <c r="FB200" s="1553"/>
      <c r="FC200" s="1553"/>
      <c r="FD200" s="1553"/>
      <c r="FE200" s="1553"/>
      <c r="FF200" s="1553"/>
      <c r="FG200" s="1553"/>
      <c r="FH200" s="1553"/>
      <c r="FI200" s="1553"/>
      <c r="FJ200" s="1553"/>
      <c r="FK200" s="1553"/>
      <c r="FL200" s="1553"/>
      <c r="FM200" s="1553"/>
      <c r="FN200" s="1553"/>
      <c r="FO200" s="1553"/>
      <c r="FP200" s="1553"/>
      <c r="FQ200" s="1553"/>
      <c r="FR200" s="1553"/>
      <c r="FS200" s="1553"/>
      <c r="FT200" s="1553"/>
      <c r="FU200" s="1553"/>
      <c r="FV200" s="1553"/>
      <c r="FW200" s="1553"/>
      <c r="FX200" s="1553"/>
      <c r="FY200" s="1553"/>
      <c r="FZ200" s="1553"/>
      <c r="GA200" s="1553"/>
      <c r="GB200" s="1553"/>
      <c r="GC200" s="1553"/>
      <c r="GD200" s="1553"/>
      <c r="GE200" s="1553"/>
      <c r="GF200" s="1553"/>
      <c r="GG200" s="1553"/>
      <c r="GH200" s="1553"/>
      <c r="GI200" s="1553"/>
      <c r="GJ200" s="1553"/>
      <c r="GK200" s="1553"/>
      <c r="GL200" s="1553"/>
      <c r="GM200" s="1553"/>
      <c r="GN200" s="1553"/>
      <c r="GO200" s="1553"/>
      <c r="GP200" s="1553"/>
      <c r="GQ200" s="1553"/>
      <c r="GR200" s="1553"/>
      <c r="GS200" s="1553"/>
      <c r="GT200" s="1553"/>
      <c r="GU200" s="1553"/>
      <c r="GV200" s="1553"/>
      <c r="GW200" s="1553"/>
      <c r="GX200" s="1553"/>
      <c r="GY200" s="1553"/>
      <c r="GZ200" s="1553"/>
      <c r="HA200" s="1553"/>
      <c r="HB200" s="1553"/>
      <c r="HC200" s="1553"/>
      <c r="HD200" s="1553"/>
      <c r="HE200" s="1553"/>
      <c r="HF200" s="1553"/>
      <c r="HG200" s="1553"/>
      <c r="HH200" s="1553"/>
      <c r="HI200" s="1553"/>
      <c r="HJ200" s="1553"/>
      <c r="HK200" s="1553"/>
      <c r="HL200" s="1553"/>
      <c r="HM200" s="1553"/>
      <c r="HN200" s="1553"/>
      <c r="HO200" s="1553"/>
      <c r="HP200" s="1553"/>
      <c r="HQ200" s="1553"/>
      <c r="HR200" s="1553"/>
      <c r="HS200" s="1553"/>
      <c r="HT200" s="1553"/>
      <c r="HU200" s="1553"/>
      <c r="HV200" s="1553"/>
      <c r="HW200" s="1553"/>
      <c r="HX200" s="1553"/>
      <c r="HY200" s="1553"/>
      <c r="HZ200" s="1553"/>
      <c r="IA200" s="1553"/>
      <c r="IB200" s="1553"/>
      <c r="IC200" s="1553"/>
      <c r="ID200" s="1553"/>
      <c r="IE200" s="1553"/>
      <c r="IF200" s="1553"/>
      <c r="IG200" s="1553"/>
      <c r="IH200" s="1553"/>
      <c r="II200" s="1553"/>
      <c r="IJ200" s="1553"/>
      <c r="IK200" s="1553"/>
      <c r="IL200" s="1553"/>
      <c r="IM200" s="1553"/>
      <c r="IN200" s="1553"/>
      <c r="IO200" s="1553"/>
      <c r="IP200" s="1553"/>
      <c r="IQ200" s="1553"/>
      <c r="IR200" s="1553"/>
      <c r="IS200" s="1553"/>
      <c r="IT200" s="1553"/>
      <c r="IU200" s="1553"/>
      <c r="IV200" s="1553"/>
      <c r="IW200" s="1553"/>
      <c r="IX200" s="1553"/>
      <c r="IY200" s="1452"/>
      <c r="IZ200" s="1553"/>
      <c r="JA200" s="1553"/>
      <c r="JB200" s="1553"/>
      <c r="JC200" s="1553"/>
      <c r="JD200" s="1553"/>
      <c r="JE200" s="1553"/>
      <c r="JF200" s="1553"/>
      <c r="JG200" s="1553"/>
      <c r="JH200" s="1553"/>
      <c r="JI200" s="1553"/>
      <c r="JJ200" s="1553"/>
      <c r="JK200" s="1553"/>
      <c r="JL200" s="1553"/>
      <c r="JM200" s="1553"/>
      <c r="JN200" s="1553"/>
      <c r="JO200" s="1553"/>
      <c r="JP200" s="1553"/>
      <c r="JQ200" s="1555"/>
      <c r="JR200" s="351"/>
      <c r="JS200" s="1400"/>
      <c r="JT200" s="1400" t="s">
        <v>2242</v>
      </c>
    </row>
    <row r="201" spans="1:280" x14ac:dyDescent="0.25">
      <c r="A201" s="1367">
        <v>45</v>
      </c>
      <c r="B201" s="1411" t="str">
        <f t="shared" si="84"/>
        <v/>
      </c>
      <c r="C201" s="1435" t="s">
        <v>3406</v>
      </c>
      <c r="D201" s="1436" t="s">
        <v>3407</v>
      </c>
      <c r="E201" s="1552"/>
      <c r="F201" s="1552"/>
      <c r="G201" s="1552"/>
      <c r="H201" s="1552"/>
      <c r="I201" s="1552"/>
      <c r="J201" s="1552"/>
      <c r="K201" s="1552"/>
      <c r="L201" s="1552"/>
      <c r="M201" s="1552"/>
      <c r="N201" s="1552"/>
      <c r="O201" s="1552"/>
      <c r="P201" s="1552"/>
      <c r="Q201" s="1552"/>
      <c r="R201" s="1553"/>
      <c r="S201" s="1553"/>
      <c r="T201" s="1553"/>
      <c r="U201" s="1553"/>
      <c r="V201" s="1553"/>
      <c r="W201" s="1553"/>
      <c r="X201" s="1553"/>
      <c r="Y201" s="1553"/>
      <c r="Z201" s="1553"/>
      <c r="AA201" s="1553"/>
      <c r="AB201" s="1553"/>
      <c r="AC201" s="1553"/>
      <c r="AD201" s="1553"/>
      <c r="AE201" s="1553"/>
      <c r="AF201" s="1553"/>
      <c r="AG201" s="1553"/>
      <c r="AH201" s="1553"/>
      <c r="AI201" s="1553"/>
      <c r="AJ201" s="1553"/>
      <c r="AK201" s="1553"/>
      <c r="AL201" s="1553"/>
      <c r="AM201" s="1553"/>
      <c r="AN201" s="1553"/>
      <c r="AO201" s="1553"/>
      <c r="AP201" s="1553"/>
      <c r="AQ201" s="1553"/>
      <c r="AR201" s="1553"/>
      <c r="AS201" s="1553"/>
      <c r="AT201" s="1553"/>
      <c r="AU201" s="1553"/>
      <c r="AV201" s="1553"/>
      <c r="AW201" s="1553"/>
      <c r="AX201" s="1553"/>
      <c r="AY201" s="1553"/>
      <c r="AZ201" s="1553"/>
      <c r="BA201" s="1553"/>
      <c r="BB201" s="1553"/>
      <c r="BC201" s="1553"/>
      <c r="BD201" s="1553"/>
      <c r="BE201" s="1553"/>
      <c r="BF201" s="1553"/>
      <c r="BG201" s="1553"/>
      <c r="BH201" s="1553"/>
      <c r="BI201" s="1553"/>
      <c r="BJ201" s="1553"/>
      <c r="BK201" s="1553"/>
      <c r="BL201" s="1553"/>
      <c r="BM201" s="1553"/>
      <c r="BN201" s="1553"/>
      <c r="BO201" s="1553"/>
      <c r="BP201" s="1553"/>
      <c r="BQ201" s="1553"/>
      <c r="BR201" s="1553"/>
      <c r="BS201" s="1553"/>
      <c r="BT201" s="1553"/>
      <c r="BU201" s="1553"/>
      <c r="BV201" s="1553"/>
      <c r="BW201" s="1553"/>
      <c r="BX201" s="1553"/>
      <c r="BY201" s="1553"/>
      <c r="BZ201" s="1553"/>
      <c r="CA201" s="1553"/>
      <c r="CB201" s="1553"/>
      <c r="CC201" s="1553"/>
      <c r="CD201" s="1553"/>
      <c r="CE201" s="1553"/>
      <c r="CF201" s="1553"/>
      <c r="CG201" s="1553"/>
      <c r="CH201" s="1553"/>
      <c r="CI201" s="1553"/>
      <c r="CJ201" s="1553"/>
      <c r="CK201" s="1553"/>
      <c r="CL201" s="1553"/>
      <c r="CM201" s="1553"/>
      <c r="CN201" s="1553"/>
      <c r="CO201" s="1553"/>
      <c r="CP201" s="1553"/>
      <c r="CQ201" s="1553"/>
      <c r="CR201" s="1553"/>
      <c r="CS201" s="1553"/>
      <c r="CT201" s="1553"/>
      <c r="CU201" s="1553"/>
      <c r="CV201" s="1553"/>
      <c r="CW201" s="1553"/>
      <c r="CX201" s="1553"/>
      <c r="CY201" s="1553"/>
      <c r="CZ201" s="1553"/>
      <c r="DA201" s="1553"/>
      <c r="DB201" s="1553"/>
      <c r="DC201" s="1553"/>
      <c r="DD201" s="1553"/>
      <c r="DE201" s="1553"/>
      <c r="DF201" s="1553"/>
      <c r="DG201" s="1553"/>
      <c r="DH201" s="1553"/>
      <c r="DI201" s="1553"/>
      <c r="DJ201" s="1553"/>
      <c r="DK201" s="1553"/>
      <c r="DL201" s="1553"/>
      <c r="DM201" s="1553"/>
      <c r="DN201" s="1553"/>
      <c r="DO201" s="1553"/>
      <c r="DP201" s="1553"/>
      <c r="DQ201" s="1553"/>
      <c r="DR201" s="1553"/>
      <c r="DS201" s="1553"/>
      <c r="DT201" s="1553"/>
      <c r="DU201" s="1553"/>
      <c r="DV201" s="1553"/>
      <c r="DW201" s="1553"/>
      <c r="DX201" s="1553"/>
      <c r="DY201" s="1553"/>
      <c r="DZ201" s="1553"/>
      <c r="EA201" s="1553"/>
      <c r="EB201" s="1553"/>
      <c r="EC201" s="1553"/>
      <c r="ED201" s="1553"/>
      <c r="EE201" s="1553"/>
      <c r="EF201" s="1553"/>
      <c r="EG201" s="1553"/>
      <c r="EH201" s="1553"/>
      <c r="EI201" s="1553"/>
      <c r="EJ201" s="1553"/>
      <c r="EK201" s="1553"/>
      <c r="EL201" s="1553"/>
      <c r="EM201" s="1553"/>
      <c r="EN201" s="1553"/>
      <c r="EO201" s="1553"/>
      <c r="EP201" s="1553"/>
      <c r="EQ201" s="1454">
        <v>919</v>
      </c>
      <c r="ER201" s="1538">
        <v>191</v>
      </c>
      <c r="ES201" s="1538">
        <v>65.3</v>
      </c>
      <c r="ET201" s="1538">
        <v>29</v>
      </c>
      <c r="EU201" s="1454">
        <v>248</v>
      </c>
      <c r="EV201" s="1554"/>
      <c r="EW201" s="1452"/>
      <c r="EX201" s="1538">
        <v>141</v>
      </c>
      <c r="EY201" s="1554"/>
      <c r="EZ201" s="1538">
        <v>1194</v>
      </c>
      <c r="FA201" s="1554"/>
      <c r="FB201" s="1553"/>
      <c r="FC201" s="1553"/>
      <c r="FD201" s="1553"/>
      <c r="FE201" s="1553"/>
      <c r="FF201" s="1553"/>
      <c r="FG201" s="1553"/>
      <c r="FH201" s="1553"/>
      <c r="FI201" s="1553"/>
      <c r="FJ201" s="1553"/>
      <c r="FK201" s="1553"/>
      <c r="FL201" s="1553"/>
      <c r="FM201" s="1553"/>
      <c r="FN201" s="1553"/>
      <c r="FO201" s="1553"/>
      <c r="FP201" s="1553"/>
      <c r="FQ201" s="1553"/>
      <c r="FR201" s="1553"/>
      <c r="FS201" s="1553"/>
      <c r="FT201" s="1553"/>
      <c r="FU201" s="1553"/>
      <c r="FV201" s="1553"/>
      <c r="FW201" s="1553"/>
      <c r="FX201" s="1553"/>
      <c r="FY201" s="1553"/>
      <c r="FZ201" s="1553"/>
      <c r="GA201" s="1553"/>
      <c r="GB201" s="1553"/>
      <c r="GC201" s="1553"/>
      <c r="GD201" s="1553"/>
      <c r="GE201" s="1553"/>
      <c r="GF201" s="1553"/>
      <c r="GG201" s="1553"/>
      <c r="GH201" s="1553"/>
      <c r="GI201" s="1553"/>
      <c r="GJ201" s="1553"/>
      <c r="GK201" s="1553"/>
      <c r="GL201" s="1553"/>
      <c r="GM201" s="1553"/>
      <c r="GN201" s="1553"/>
      <c r="GO201" s="1553"/>
      <c r="GP201" s="1553"/>
      <c r="GQ201" s="1553"/>
      <c r="GR201" s="1553"/>
      <c r="GS201" s="1553"/>
      <c r="GT201" s="1553"/>
      <c r="GU201" s="1553"/>
      <c r="GV201" s="1553"/>
      <c r="GW201" s="1553"/>
      <c r="GX201" s="1553"/>
      <c r="GY201" s="1553"/>
      <c r="GZ201" s="1553"/>
      <c r="HA201" s="1553"/>
      <c r="HB201" s="1553"/>
      <c r="HC201" s="1553"/>
      <c r="HD201" s="1553"/>
      <c r="HE201" s="1553"/>
      <c r="HF201" s="1553"/>
      <c r="HG201" s="1553"/>
      <c r="HH201" s="1553"/>
      <c r="HI201" s="1553"/>
      <c r="HJ201" s="1553"/>
      <c r="HK201" s="1553"/>
      <c r="HL201" s="1553"/>
      <c r="HM201" s="1553"/>
      <c r="HN201" s="1553"/>
      <c r="HO201" s="1553"/>
      <c r="HP201" s="1553"/>
      <c r="HQ201" s="1553"/>
      <c r="HR201" s="1553"/>
      <c r="HS201" s="1553"/>
      <c r="HT201" s="1553"/>
      <c r="HU201" s="1553"/>
      <c r="HV201" s="1553"/>
      <c r="HW201" s="1553"/>
      <c r="HX201" s="1553"/>
      <c r="HY201" s="1553"/>
      <c r="HZ201" s="1553"/>
      <c r="IA201" s="1553"/>
      <c r="IB201" s="1553"/>
      <c r="IC201" s="1553"/>
      <c r="ID201" s="1553"/>
      <c r="IE201" s="1553"/>
      <c r="IF201" s="1553"/>
      <c r="IG201" s="1553"/>
      <c r="IH201" s="1553"/>
      <c r="II201" s="1553"/>
      <c r="IJ201" s="1553"/>
      <c r="IK201" s="1553"/>
      <c r="IL201" s="1553"/>
      <c r="IM201" s="1553"/>
      <c r="IN201" s="1553"/>
      <c r="IO201" s="1553"/>
      <c r="IP201" s="1553"/>
      <c r="IQ201" s="1553"/>
      <c r="IR201" s="1553"/>
      <c r="IS201" s="1553"/>
      <c r="IT201" s="1553"/>
      <c r="IU201" s="1553"/>
      <c r="IV201" s="1553"/>
      <c r="IW201" s="1553"/>
      <c r="IX201" s="1553"/>
      <c r="IY201" s="1452"/>
      <c r="IZ201" s="1553"/>
      <c r="JA201" s="1553"/>
      <c r="JB201" s="1553"/>
      <c r="JC201" s="1553"/>
      <c r="JD201" s="1553"/>
      <c r="JE201" s="1553"/>
      <c r="JF201" s="1553"/>
      <c r="JG201" s="1553"/>
      <c r="JH201" s="1553"/>
      <c r="JI201" s="1553"/>
      <c r="JJ201" s="1553"/>
      <c r="JK201" s="1553"/>
      <c r="JL201" s="1553"/>
      <c r="JM201" s="1553"/>
      <c r="JN201" s="1553"/>
      <c r="JO201" s="1553"/>
      <c r="JP201" s="1553"/>
      <c r="JQ201" s="1555"/>
      <c r="JR201" s="351"/>
      <c r="JS201" s="1400"/>
      <c r="JT201" s="1400" t="s">
        <v>2242</v>
      </c>
    </row>
    <row r="202" spans="1:280" ht="20" x14ac:dyDescent="0.25">
      <c r="A202" s="1367">
        <v>46</v>
      </c>
      <c r="B202" s="1411" t="str">
        <f t="shared" si="84"/>
        <v/>
      </c>
      <c r="C202" s="1435" t="s">
        <v>3408</v>
      </c>
      <c r="D202" s="1436" t="s">
        <v>3409</v>
      </c>
      <c r="E202" s="1479"/>
      <c r="F202" s="1479"/>
      <c r="G202" s="1479"/>
      <c r="H202" s="1479"/>
      <c r="I202" s="1479"/>
      <c r="J202" s="1479"/>
      <c r="K202" s="1479"/>
      <c r="L202" s="1479"/>
      <c r="M202" s="1479"/>
      <c r="N202" s="1479"/>
      <c r="O202" s="1479"/>
      <c r="P202" s="1479"/>
      <c r="Q202" s="1479"/>
      <c r="R202" s="1479"/>
      <c r="S202" s="1479"/>
      <c r="T202" s="1479"/>
      <c r="U202" s="1479"/>
      <c r="V202" s="1479"/>
      <c r="W202" s="1479"/>
      <c r="X202" s="1479"/>
      <c r="Y202" s="1479"/>
      <c r="Z202" s="1479"/>
      <c r="AA202" s="1479"/>
      <c r="AB202" s="1479"/>
      <c r="AC202" s="1479"/>
      <c r="AD202" s="1479"/>
      <c r="AE202" s="1479"/>
      <c r="AF202" s="1479"/>
      <c r="AG202" s="1479"/>
      <c r="AH202" s="1479"/>
      <c r="AI202" s="1479"/>
      <c r="AJ202" s="1479"/>
      <c r="AK202" s="1479"/>
      <c r="AL202" s="1479"/>
      <c r="AM202" s="1479"/>
      <c r="AN202" s="1479"/>
      <c r="AO202" s="1479"/>
      <c r="AP202" s="1479"/>
      <c r="AQ202" s="1479"/>
      <c r="AR202" s="1479"/>
      <c r="AS202" s="1479"/>
      <c r="AT202" s="1479"/>
      <c r="AU202" s="1479"/>
      <c r="AV202" s="1479"/>
      <c r="AW202" s="1479"/>
      <c r="AX202" s="1479"/>
      <c r="AY202" s="1479"/>
      <c r="AZ202" s="1479"/>
      <c r="BA202" s="1479"/>
      <c r="BB202" s="1479"/>
      <c r="BC202" s="1479"/>
      <c r="BD202" s="1479"/>
      <c r="BE202" s="1479"/>
      <c r="BF202" s="1479"/>
      <c r="BG202" s="1479"/>
      <c r="BH202" s="1479"/>
      <c r="BI202" s="1479"/>
      <c r="BJ202" s="1479"/>
      <c r="BK202" s="1479"/>
      <c r="BL202" s="1479"/>
      <c r="BM202" s="1479"/>
      <c r="BN202" s="1479"/>
      <c r="BO202" s="1479"/>
      <c r="BP202" s="1479"/>
      <c r="BQ202" s="1479"/>
      <c r="BR202" s="1479"/>
      <c r="BS202" s="1479"/>
      <c r="BT202" s="1479"/>
      <c r="BU202" s="1479"/>
      <c r="BV202" s="1479"/>
      <c r="BW202" s="1479"/>
      <c r="BX202" s="1479"/>
      <c r="BY202" s="1479"/>
      <c r="BZ202" s="1479"/>
      <c r="CA202" s="1479"/>
      <c r="CB202" s="1479"/>
      <c r="CC202" s="1479"/>
      <c r="CD202" s="1479"/>
      <c r="CE202" s="1479"/>
      <c r="CF202" s="1479"/>
      <c r="CG202" s="1479"/>
      <c r="CH202" s="1479"/>
      <c r="CI202" s="1479"/>
      <c r="CJ202" s="1479"/>
      <c r="CK202" s="1479"/>
      <c r="CL202" s="1479"/>
      <c r="CM202" s="1479"/>
      <c r="CN202" s="1479"/>
      <c r="CO202" s="1479"/>
      <c r="CP202" s="1479"/>
      <c r="CQ202" s="1479"/>
      <c r="CR202" s="1479"/>
      <c r="CS202" s="1479"/>
      <c r="CT202" s="1479"/>
      <c r="CU202" s="1479"/>
      <c r="CV202" s="1479"/>
      <c r="CW202" s="1479"/>
      <c r="CX202" s="1479"/>
      <c r="CY202" s="1479"/>
      <c r="CZ202" s="1479"/>
      <c r="DA202" s="1479"/>
      <c r="DB202" s="1479"/>
      <c r="DC202" s="1479"/>
      <c r="DD202" s="1479"/>
      <c r="DE202" s="1479"/>
      <c r="DF202" s="1479"/>
      <c r="DG202" s="1479"/>
      <c r="DH202" s="1479"/>
      <c r="DI202" s="1479"/>
      <c r="DJ202" s="1479"/>
      <c r="DK202" s="1479"/>
      <c r="DL202" s="1479"/>
      <c r="DM202" s="1479"/>
      <c r="DN202" s="1479"/>
      <c r="DO202" s="1479"/>
      <c r="DP202" s="1479"/>
      <c r="DQ202" s="1479"/>
      <c r="DR202" s="1479"/>
      <c r="DS202" s="1479"/>
      <c r="DT202" s="1479"/>
      <c r="DU202" s="1479"/>
      <c r="DV202" s="1479"/>
      <c r="DW202" s="1479"/>
      <c r="DX202" s="1479"/>
      <c r="DY202" s="1479"/>
      <c r="DZ202" s="1479"/>
      <c r="EA202" s="1479"/>
      <c r="EB202" s="1479"/>
      <c r="EC202" s="1479"/>
      <c r="ED202" s="1479"/>
      <c r="EE202" s="1479"/>
      <c r="EF202" s="1479"/>
      <c r="EG202" s="1479"/>
      <c r="EH202" s="1479"/>
      <c r="EI202" s="1479"/>
      <c r="EJ202" s="1479"/>
      <c r="EK202" s="1479"/>
      <c r="EL202" s="1479"/>
      <c r="EM202" s="1479"/>
      <c r="EN202" s="1479"/>
      <c r="EO202" s="1479"/>
      <c r="EP202" s="1479"/>
      <c r="EQ202" s="1503">
        <f t="shared" ref="EQ202:EZ202" si="88">EQ197+EQ198+EQ199+EQ200+EQ201</f>
        <v>3997</v>
      </c>
      <c r="ER202" s="1503">
        <f t="shared" si="88"/>
        <v>1220</v>
      </c>
      <c r="ES202" s="1503">
        <f>ES197+ES198+ES199+ES200+ES201</f>
        <v>407.01</v>
      </c>
      <c r="ET202" s="1503">
        <v>239.4</v>
      </c>
      <c r="EU202" s="1503">
        <f t="shared" si="88"/>
        <v>1794</v>
      </c>
      <c r="EV202" s="1503">
        <f t="shared" si="88"/>
        <v>7016</v>
      </c>
      <c r="EW202" s="1479">
        <f t="shared" si="88"/>
        <v>233</v>
      </c>
      <c r="EX202" s="1503">
        <f t="shared" si="88"/>
        <v>6207</v>
      </c>
      <c r="EY202" s="1479">
        <f t="shared" si="88"/>
        <v>387</v>
      </c>
      <c r="EZ202" s="1503">
        <f t="shared" si="88"/>
        <v>9141</v>
      </c>
      <c r="FA202" s="1503"/>
      <c r="FB202" s="1479"/>
      <c r="FC202" s="1479"/>
      <c r="FD202" s="1479"/>
      <c r="FE202" s="1479"/>
      <c r="FF202" s="1479"/>
      <c r="FG202" s="1479"/>
      <c r="FH202" s="1479"/>
      <c r="FI202" s="1479"/>
      <c r="FJ202" s="1479"/>
      <c r="FK202" s="1479"/>
      <c r="FL202" s="1479"/>
      <c r="FM202" s="1479"/>
      <c r="FN202" s="1479"/>
      <c r="FO202" s="1479"/>
      <c r="FP202" s="1479"/>
      <c r="FQ202" s="1479"/>
      <c r="FR202" s="1479"/>
      <c r="FS202" s="1479"/>
      <c r="FT202" s="1479"/>
      <c r="FU202" s="1479"/>
      <c r="FV202" s="1479"/>
      <c r="FW202" s="1479"/>
      <c r="FX202" s="1479"/>
      <c r="FY202" s="1479"/>
      <c r="FZ202" s="1479"/>
      <c r="GA202" s="1479"/>
      <c r="GB202" s="1479"/>
      <c r="GC202" s="1479"/>
      <c r="GD202" s="1479"/>
      <c r="GE202" s="1479"/>
      <c r="GF202" s="1479"/>
      <c r="GG202" s="1479"/>
      <c r="GH202" s="1479"/>
      <c r="GI202" s="1479"/>
      <c r="GJ202" s="1479"/>
      <c r="GK202" s="1479"/>
      <c r="GL202" s="1479"/>
      <c r="GM202" s="1479"/>
      <c r="GN202" s="1479"/>
      <c r="GO202" s="1479"/>
      <c r="GP202" s="1479"/>
      <c r="GQ202" s="1479"/>
      <c r="GR202" s="1479"/>
      <c r="GS202" s="1479"/>
      <c r="GT202" s="1479"/>
      <c r="GU202" s="1479"/>
      <c r="GV202" s="1479"/>
      <c r="GW202" s="1479"/>
      <c r="GX202" s="1479"/>
      <c r="GY202" s="1479"/>
      <c r="GZ202" s="1479"/>
      <c r="HA202" s="1479"/>
      <c r="HB202" s="1479"/>
      <c r="HC202" s="1479"/>
      <c r="HD202" s="1479"/>
      <c r="HE202" s="1479"/>
      <c r="HF202" s="1479"/>
      <c r="HG202" s="1479"/>
      <c r="HH202" s="1479"/>
      <c r="HI202" s="1479"/>
      <c r="HJ202" s="1479"/>
      <c r="HK202" s="1479"/>
      <c r="HL202" s="1479"/>
      <c r="HM202" s="1479"/>
      <c r="HN202" s="1479"/>
      <c r="HO202" s="1479"/>
      <c r="HP202" s="1479"/>
      <c r="HQ202" s="1479"/>
      <c r="HR202" s="1479"/>
      <c r="HS202" s="1479"/>
      <c r="HT202" s="1479"/>
      <c r="HU202" s="1479"/>
      <c r="HV202" s="1479"/>
      <c r="HW202" s="1479"/>
      <c r="HX202" s="1479"/>
      <c r="HY202" s="1479"/>
      <c r="HZ202" s="1479"/>
      <c r="IA202" s="1479"/>
      <c r="IB202" s="1479"/>
      <c r="IC202" s="1479"/>
      <c r="ID202" s="1479"/>
      <c r="IE202" s="1479"/>
      <c r="IF202" s="1479"/>
      <c r="IG202" s="1479"/>
      <c r="IH202" s="1479"/>
      <c r="II202" s="1479"/>
      <c r="IJ202" s="1479"/>
      <c r="IK202" s="1479"/>
      <c r="IL202" s="1479"/>
      <c r="IM202" s="1479"/>
      <c r="IN202" s="1479"/>
      <c r="IO202" s="1479"/>
      <c r="IP202" s="1479"/>
      <c r="IQ202" s="1479"/>
      <c r="IR202" s="1479"/>
      <c r="IS202" s="1479"/>
      <c r="IT202" s="1479"/>
      <c r="IU202" s="1479"/>
      <c r="IV202" s="1479"/>
      <c r="IW202" s="1479"/>
      <c r="IX202" s="1479"/>
      <c r="IY202" s="1479">
        <f>IY197+IY198+IY199+IY200+IY201</f>
        <v>22</v>
      </c>
      <c r="IZ202" s="1479"/>
      <c r="JA202" s="1479"/>
      <c r="JB202" s="1479"/>
      <c r="JC202" s="1479"/>
      <c r="JD202" s="1479"/>
      <c r="JE202" s="1479"/>
      <c r="JF202" s="1479"/>
      <c r="JG202" s="1479"/>
      <c r="JH202" s="1479"/>
      <c r="JI202" s="1479"/>
      <c r="JJ202" s="1479"/>
      <c r="JK202" s="1479"/>
      <c r="JL202" s="1479"/>
      <c r="JM202" s="1479"/>
      <c r="JN202" s="1479"/>
      <c r="JO202" s="1479"/>
      <c r="JP202" s="1479"/>
      <c r="JQ202" s="1479"/>
      <c r="JR202" s="351"/>
      <c r="JS202" s="1400" t="s">
        <v>3410</v>
      </c>
      <c r="JT202" s="1400" t="s">
        <v>2242</v>
      </c>
    </row>
    <row r="203" spans="1:280" ht="20" x14ac:dyDescent="0.25">
      <c r="A203" s="1367">
        <v>47</v>
      </c>
      <c r="B203" s="1411" t="str">
        <f t="shared" si="84"/>
        <v/>
      </c>
      <c r="C203" s="1435" t="s">
        <v>3411</v>
      </c>
      <c r="D203" s="1436" t="s">
        <v>3412</v>
      </c>
      <c r="E203" s="1556"/>
      <c r="F203" s="1556"/>
      <c r="G203" s="1556"/>
      <c r="H203" s="1556"/>
      <c r="I203" s="1556"/>
      <c r="J203" s="1556"/>
      <c r="K203" s="1556"/>
      <c r="L203" s="1556"/>
      <c r="M203" s="1556"/>
      <c r="N203" s="1556"/>
      <c r="O203" s="1556"/>
      <c r="P203" s="1556"/>
      <c r="Q203" s="1556"/>
      <c r="R203" s="1556"/>
      <c r="S203" s="1556"/>
      <c r="T203" s="1556"/>
      <c r="U203" s="1556"/>
      <c r="V203" s="1556"/>
      <c r="W203" s="1556"/>
      <c r="X203" s="1556"/>
      <c r="Y203" s="1556"/>
      <c r="Z203" s="1556"/>
      <c r="AA203" s="1556"/>
      <c r="AB203" s="1556"/>
      <c r="AC203" s="1556"/>
      <c r="AD203" s="1556"/>
      <c r="AE203" s="1556"/>
      <c r="AF203" s="1556"/>
      <c r="AG203" s="1556"/>
      <c r="AH203" s="1556"/>
      <c r="AI203" s="1556"/>
      <c r="AJ203" s="1556"/>
      <c r="AK203" s="1556"/>
      <c r="AL203" s="1556"/>
      <c r="AM203" s="1556"/>
      <c r="AN203" s="1556"/>
      <c r="AO203" s="1556"/>
      <c r="AP203" s="1556"/>
      <c r="AQ203" s="1556"/>
      <c r="AR203" s="1556"/>
      <c r="AS203" s="1556"/>
      <c r="AT203" s="1556"/>
      <c r="AU203" s="1556"/>
      <c r="AV203" s="1556"/>
      <c r="AW203" s="1556"/>
      <c r="AX203" s="1556"/>
      <c r="AY203" s="1556"/>
      <c r="AZ203" s="1556"/>
      <c r="BA203" s="1556"/>
      <c r="BB203" s="1556"/>
      <c r="BC203" s="1556"/>
      <c r="BD203" s="1556"/>
      <c r="BE203" s="1556"/>
      <c r="BF203" s="1556"/>
      <c r="BG203" s="1556"/>
      <c r="BH203" s="1556"/>
      <c r="BI203" s="1556"/>
      <c r="BJ203" s="1556"/>
      <c r="BK203" s="1556"/>
      <c r="BL203" s="1556"/>
      <c r="BM203" s="1556"/>
      <c r="BN203" s="1556"/>
      <c r="BO203" s="1556"/>
      <c r="BP203" s="1556"/>
      <c r="BQ203" s="1556"/>
      <c r="BR203" s="1556"/>
      <c r="BS203" s="1556"/>
      <c r="BT203" s="1556"/>
      <c r="BU203" s="1556"/>
      <c r="BV203" s="1556"/>
      <c r="BW203" s="1556"/>
      <c r="BX203" s="1556"/>
      <c r="BY203" s="1556"/>
      <c r="BZ203" s="1556"/>
      <c r="CA203" s="1556"/>
      <c r="CB203" s="1556"/>
      <c r="CC203" s="1556"/>
      <c r="CD203" s="1556"/>
      <c r="CE203" s="1556"/>
      <c r="CF203" s="1556"/>
      <c r="CG203" s="1556"/>
      <c r="CH203" s="1556"/>
      <c r="CI203" s="1556"/>
      <c r="CJ203" s="1556"/>
      <c r="CK203" s="1556"/>
      <c r="CL203" s="1556"/>
      <c r="CM203" s="1556"/>
      <c r="CN203" s="1556"/>
      <c r="CO203" s="1556"/>
      <c r="CP203" s="1556"/>
      <c r="CQ203" s="1556"/>
      <c r="CR203" s="1556"/>
      <c r="CS203" s="1556"/>
      <c r="CT203" s="1556"/>
      <c r="CU203" s="1556"/>
      <c r="CV203" s="1556"/>
      <c r="CW203" s="1556"/>
      <c r="CX203" s="1556"/>
      <c r="CY203" s="1556"/>
      <c r="CZ203" s="1556"/>
      <c r="DA203" s="1556"/>
      <c r="DB203" s="1556"/>
      <c r="DC203" s="1556"/>
      <c r="DD203" s="1556"/>
      <c r="DE203" s="1556"/>
      <c r="DF203" s="1556"/>
      <c r="DG203" s="1556"/>
      <c r="DH203" s="1556"/>
      <c r="DI203" s="1556"/>
      <c r="DJ203" s="1556"/>
      <c r="DK203" s="1556"/>
      <c r="DL203" s="1556"/>
      <c r="DM203" s="1556"/>
      <c r="DN203" s="1556"/>
      <c r="DO203" s="1556"/>
      <c r="DP203" s="1556"/>
      <c r="DQ203" s="1556"/>
      <c r="DR203" s="1556"/>
      <c r="DS203" s="1556"/>
      <c r="DT203" s="1556"/>
      <c r="DU203" s="1556"/>
      <c r="DV203" s="1556"/>
      <c r="DW203" s="1556"/>
      <c r="DX203" s="1556"/>
      <c r="DY203" s="1556"/>
      <c r="DZ203" s="1556"/>
      <c r="EA203" s="1556"/>
      <c r="EB203" s="1556"/>
      <c r="EC203" s="1556"/>
      <c r="ED203" s="1556"/>
      <c r="EE203" s="1556"/>
      <c r="EF203" s="1556"/>
      <c r="EG203" s="1556"/>
      <c r="EH203" s="1556"/>
      <c r="EI203" s="1556"/>
      <c r="EJ203" s="1556"/>
      <c r="EK203" s="1556"/>
      <c r="EL203" s="1556"/>
      <c r="EM203" s="1556"/>
      <c r="EN203" s="1556"/>
      <c r="EO203" s="1556"/>
      <c r="EP203" s="1556"/>
      <c r="EQ203" s="1454">
        <f>EQ195</f>
        <v>43309</v>
      </c>
      <c r="ER203" s="1454">
        <f>ER195</f>
        <v>2032</v>
      </c>
      <c r="ES203" s="1556">
        <f>ES195</f>
        <v>0</v>
      </c>
      <c r="ET203" s="1556">
        <f>ET195</f>
        <v>0</v>
      </c>
      <c r="EU203" s="1454">
        <v>2650</v>
      </c>
      <c r="EV203" s="1454">
        <f t="shared" ref="EV203:EZ203" si="89">EV195</f>
        <v>67911</v>
      </c>
      <c r="EW203" s="1556">
        <f t="shared" si="89"/>
        <v>6375</v>
      </c>
      <c r="EX203" s="1454">
        <f t="shared" si="89"/>
        <v>32618.58</v>
      </c>
      <c r="EY203" s="1556">
        <f t="shared" si="89"/>
        <v>9353</v>
      </c>
      <c r="EZ203" s="1454">
        <f t="shared" si="89"/>
        <v>51314</v>
      </c>
      <c r="FA203" s="1556"/>
      <c r="FB203" s="1556"/>
      <c r="FC203" s="1556"/>
      <c r="FD203" s="1556"/>
      <c r="FE203" s="1556"/>
      <c r="FF203" s="1556"/>
      <c r="FG203" s="1556"/>
      <c r="FH203" s="1556"/>
      <c r="FI203" s="1556"/>
      <c r="FJ203" s="1556"/>
      <c r="FK203" s="1556"/>
      <c r="FL203" s="1556"/>
      <c r="FM203" s="1556"/>
      <c r="FN203" s="1556"/>
      <c r="FO203" s="1556"/>
      <c r="FP203" s="1556"/>
      <c r="FQ203" s="1556"/>
      <c r="FR203" s="1556"/>
      <c r="FS203" s="1556"/>
      <c r="FT203" s="1556"/>
      <c r="FU203" s="1556"/>
      <c r="FV203" s="1556"/>
      <c r="FW203" s="1556"/>
      <c r="FX203" s="1556"/>
      <c r="FY203" s="1556"/>
      <c r="FZ203" s="1556"/>
      <c r="GA203" s="1556"/>
      <c r="GB203" s="1556"/>
      <c r="GC203" s="1556"/>
      <c r="GD203" s="1556"/>
      <c r="GE203" s="1556"/>
      <c r="GF203" s="1556"/>
      <c r="GG203" s="1556"/>
      <c r="GH203" s="1556"/>
      <c r="GI203" s="1556"/>
      <c r="GJ203" s="1556"/>
      <c r="GK203" s="1556"/>
      <c r="GL203" s="1556"/>
      <c r="GM203" s="1556"/>
      <c r="GN203" s="1556"/>
      <c r="GO203" s="1556"/>
      <c r="GP203" s="1556"/>
      <c r="GQ203" s="1556"/>
      <c r="GR203" s="1556"/>
      <c r="GS203" s="1556"/>
      <c r="GT203" s="1556"/>
      <c r="GU203" s="1556"/>
      <c r="GV203" s="1556"/>
      <c r="GW203" s="1556"/>
      <c r="GX203" s="1556"/>
      <c r="GY203" s="1556"/>
      <c r="GZ203" s="1556"/>
      <c r="HA203" s="1556"/>
      <c r="HB203" s="1556"/>
      <c r="HC203" s="1556"/>
      <c r="HD203" s="1556"/>
      <c r="HE203" s="1556"/>
      <c r="HF203" s="1556"/>
      <c r="HG203" s="1556"/>
      <c r="HH203" s="1556"/>
      <c r="HI203" s="1556"/>
      <c r="HJ203" s="1556"/>
      <c r="HK203" s="1556"/>
      <c r="HL203" s="1556"/>
      <c r="HM203" s="1556"/>
      <c r="HN203" s="1556"/>
      <c r="HO203" s="1556"/>
      <c r="HP203" s="1556"/>
      <c r="HQ203" s="1556"/>
      <c r="HR203" s="1556"/>
      <c r="HS203" s="1556"/>
      <c r="HT203" s="1556"/>
      <c r="HU203" s="1556"/>
      <c r="HV203" s="1556"/>
      <c r="HW203" s="1556"/>
      <c r="HX203" s="1556"/>
      <c r="HY203" s="1556"/>
      <c r="HZ203" s="1556"/>
      <c r="IA203" s="1556"/>
      <c r="IB203" s="1556"/>
      <c r="IC203" s="1556"/>
      <c r="ID203" s="1556"/>
      <c r="IE203" s="1556"/>
      <c r="IF203" s="1556"/>
      <c r="IG203" s="1556"/>
      <c r="IH203" s="1556"/>
      <c r="II203" s="1556"/>
      <c r="IJ203" s="1556"/>
      <c r="IK203" s="1556"/>
      <c r="IL203" s="1556"/>
      <c r="IM203" s="1556"/>
      <c r="IN203" s="1556"/>
      <c r="IO203" s="1556"/>
      <c r="IP203" s="1556"/>
      <c r="IQ203" s="1556"/>
      <c r="IR203" s="1556"/>
      <c r="IS203" s="1556"/>
      <c r="IT203" s="1556"/>
      <c r="IU203" s="1556"/>
      <c r="IV203" s="1556"/>
      <c r="IW203" s="1556"/>
      <c r="IX203" s="1556"/>
      <c r="IY203" s="1556"/>
      <c r="IZ203" s="1556"/>
      <c r="JA203" s="1556"/>
      <c r="JB203" s="1556"/>
      <c r="JC203" s="1556"/>
      <c r="JD203" s="1556"/>
      <c r="JE203" s="1556"/>
      <c r="JF203" s="1556"/>
      <c r="JG203" s="1556"/>
      <c r="JH203" s="1556"/>
      <c r="JI203" s="1556"/>
      <c r="JJ203" s="1556"/>
      <c r="JK203" s="1556"/>
      <c r="JL203" s="1556"/>
      <c r="JM203" s="1556"/>
      <c r="JN203" s="1556"/>
      <c r="JO203" s="1556"/>
      <c r="JP203" s="1556"/>
      <c r="JQ203" s="1556"/>
      <c r="JR203" s="351"/>
      <c r="JS203" s="1400" t="s">
        <v>3413</v>
      </c>
      <c r="JT203" s="1400" t="s">
        <v>2224</v>
      </c>
    </row>
    <row r="204" spans="1:280" ht="20" x14ac:dyDescent="0.25">
      <c r="A204" s="1367">
        <v>48</v>
      </c>
      <c r="B204" s="1411" t="str">
        <f t="shared" si="84"/>
        <v/>
      </c>
      <c r="C204" s="1435" t="s">
        <v>3414</v>
      </c>
      <c r="D204" s="1436" t="s">
        <v>3415</v>
      </c>
      <c r="E204" s="1500"/>
      <c r="F204" s="1500"/>
      <c r="G204" s="1500"/>
      <c r="H204" s="1500"/>
      <c r="I204" s="1500"/>
      <c r="J204" s="1500"/>
      <c r="K204" s="1500"/>
      <c r="L204" s="1500"/>
      <c r="M204" s="1500"/>
      <c r="N204" s="1500"/>
      <c r="O204" s="1500"/>
      <c r="P204" s="1500"/>
      <c r="Q204" s="1500"/>
      <c r="R204" s="1500"/>
      <c r="S204" s="1500"/>
      <c r="T204" s="1500"/>
      <c r="U204" s="1500"/>
      <c r="V204" s="1500"/>
      <c r="W204" s="1500"/>
      <c r="X204" s="1500"/>
      <c r="Y204" s="1500"/>
      <c r="Z204" s="1500"/>
      <c r="AA204" s="1500"/>
      <c r="AB204" s="1500"/>
      <c r="AC204" s="1500"/>
      <c r="AD204" s="1500"/>
      <c r="AE204" s="1500"/>
      <c r="AF204" s="1500"/>
      <c r="AG204" s="1500"/>
      <c r="AH204" s="1500"/>
      <c r="AI204" s="1500"/>
      <c r="AJ204" s="1500"/>
      <c r="AK204" s="1500"/>
      <c r="AL204" s="1500"/>
      <c r="AM204" s="1500"/>
      <c r="AN204" s="1500"/>
      <c r="AO204" s="1500"/>
      <c r="AP204" s="1500"/>
      <c r="AQ204" s="1500"/>
      <c r="AR204" s="1500"/>
      <c r="AS204" s="1500"/>
      <c r="AT204" s="1500"/>
      <c r="AU204" s="1500"/>
      <c r="AV204" s="1500"/>
      <c r="AW204" s="1500"/>
      <c r="AX204" s="1500"/>
      <c r="AY204" s="1500"/>
      <c r="AZ204" s="1500"/>
      <c r="BA204" s="1500"/>
      <c r="BB204" s="1500"/>
      <c r="BC204" s="1500"/>
      <c r="BD204" s="1500"/>
      <c r="BE204" s="1500"/>
      <c r="BF204" s="1500"/>
      <c r="BG204" s="1500"/>
      <c r="BH204" s="1500"/>
      <c r="BI204" s="1500"/>
      <c r="BJ204" s="1500"/>
      <c r="BK204" s="1500"/>
      <c r="BL204" s="1500"/>
      <c r="BM204" s="1500"/>
      <c r="BN204" s="1500"/>
      <c r="BO204" s="1500"/>
      <c r="BP204" s="1500"/>
      <c r="BQ204" s="1500"/>
      <c r="BR204" s="1500"/>
      <c r="BS204" s="1500"/>
      <c r="BT204" s="1500"/>
      <c r="BU204" s="1500"/>
      <c r="BV204" s="1500"/>
      <c r="BW204" s="1500"/>
      <c r="BX204" s="1500"/>
      <c r="BY204" s="1500"/>
      <c r="BZ204" s="1500"/>
      <c r="CA204" s="1500"/>
      <c r="CB204" s="1500"/>
      <c r="CC204" s="1500"/>
      <c r="CD204" s="1500"/>
      <c r="CE204" s="1500"/>
      <c r="CF204" s="1500"/>
      <c r="CG204" s="1500"/>
      <c r="CH204" s="1500"/>
      <c r="CI204" s="1500"/>
      <c r="CJ204" s="1500"/>
      <c r="CK204" s="1500"/>
      <c r="CL204" s="1500"/>
      <c r="CM204" s="1500"/>
      <c r="CN204" s="1500"/>
      <c r="CO204" s="1500"/>
      <c r="CP204" s="1500"/>
      <c r="CQ204" s="1500"/>
      <c r="CR204" s="1500"/>
      <c r="CS204" s="1500"/>
      <c r="CT204" s="1500"/>
      <c r="CU204" s="1500"/>
      <c r="CV204" s="1500"/>
      <c r="CW204" s="1500"/>
      <c r="CX204" s="1500"/>
      <c r="CY204" s="1500"/>
      <c r="CZ204" s="1500"/>
      <c r="DA204" s="1500"/>
      <c r="DB204" s="1500"/>
      <c r="DC204" s="1500"/>
      <c r="DD204" s="1500"/>
      <c r="DE204" s="1500"/>
      <c r="DF204" s="1500"/>
      <c r="DG204" s="1500"/>
      <c r="DH204" s="1500"/>
      <c r="DI204" s="1500"/>
      <c r="DJ204" s="1500"/>
      <c r="DK204" s="1500"/>
      <c r="DL204" s="1500"/>
      <c r="DM204" s="1500"/>
      <c r="DN204" s="1500"/>
      <c r="DO204" s="1500"/>
      <c r="DP204" s="1500"/>
      <c r="DQ204" s="1500"/>
      <c r="DR204" s="1500"/>
      <c r="DS204" s="1500"/>
      <c r="DT204" s="1500"/>
      <c r="DU204" s="1500"/>
      <c r="DV204" s="1500"/>
      <c r="DW204" s="1500"/>
      <c r="DX204" s="1500"/>
      <c r="DY204" s="1500"/>
      <c r="DZ204" s="1500"/>
      <c r="EA204" s="1500"/>
      <c r="EB204" s="1500"/>
      <c r="EC204" s="1500"/>
      <c r="ED204" s="1500"/>
      <c r="EE204" s="1500"/>
      <c r="EF204" s="1500"/>
      <c r="EG204" s="1500"/>
      <c r="EH204" s="1500"/>
      <c r="EI204" s="1500"/>
      <c r="EJ204" s="1500"/>
      <c r="EK204" s="1500"/>
      <c r="EL204" s="1500"/>
      <c r="EM204" s="1500"/>
      <c r="EN204" s="1500"/>
      <c r="EO204" s="1500"/>
      <c r="EP204" s="1500"/>
      <c r="EQ204" s="1454">
        <v>3997</v>
      </c>
      <c r="ER204" s="1454">
        <v>1220</v>
      </c>
      <c r="ES204" s="1454"/>
      <c r="ET204" s="1454"/>
      <c r="EU204" s="1452"/>
      <c r="EV204" s="1454"/>
      <c r="EW204" s="1452">
        <v>233</v>
      </c>
      <c r="EX204" s="1454">
        <v>6207</v>
      </c>
      <c r="EY204" s="1452">
        <f>EY202</f>
        <v>387</v>
      </c>
      <c r="EZ204" s="1454"/>
      <c r="FA204" s="1454"/>
      <c r="FB204" s="1500"/>
      <c r="FC204" s="1500"/>
      <c r="FD204" s="1500"/>
      <c r="FE204" s="1500"/>
      <c r="FF204" s="1500"/>
      <c r="FG204" s="1500"/>
      <c r="FH204" s="1500"/>
      <c r="FI204" s="1500"/>
      <c r="FJ204" s="1500"/>
      <c r="FK204" s="1500"/>
      <c r="FL204" s="1500"/>
      <c r="FM204" s="1500"/>
      <c r="FN204" s="1500"/>
      <c r="FO204" s="1500"/>
      <c r="FP204" s="1500"/>
      <c r="FQ204" s="1500"/>
      <c r="FR204" s="1500"/>
      <c r="FS204" s="1500"/>
      <c r="FT204" s="1500"/>
      <c r="FU204" s="1500"/>
      <c r="FV204" s="1500"/>
      <c r="FW204" s="1500"/>
      <c r="FX204" s="1500"/>
      <c r="FY204" s="1500"/>
      <c r="FZ204" s="1500"/>
      <c r="GA204" s="1500"/>
      <c r="GB204" s="1500"/>
      <c r="GC204" s="1500"/>
      <c r="GD204" s="1500"/>
      <c r="GE204" s="1500"/>
      <c r="GF204" s="1500"/>
      <c r="GG204" s="1500"/>
      <c r="GH204" s="1500"/>
      <c r="GI204" s="1500"/>
      <c r="GJ204" s="1500"/>
      <c r="GK204" s="1500"/>
      <c r="GL204" s="1500"/>
      <c r="GM204" s="1500"/>
      <c r="GN204" s="1500"/>
      <c r="GO204" s="1500"/>
      <c r="GP204" s="1500"/>
      <c r="GQ204" s="1500"/>
      <c r="GR204" s="1500"/>
      <c r="GS204" s="1500"/>
      <c r="GT204" s="1500"/>
      <c r="GU204" s="1500"/>
      <c r="GV204" s="1500"/>
      <c r="GW204" s="1500"/>
      <c r="GX204" s="1500"/>
      <c r="GY204" s="1500"/>
      <c r="GZ204" s="1500"/>
      <c r="HA204" s="1500"/>
      <c r="HB204" s="1500"/>
      <c r="HC204" s="1500"/>
      <c r="HD204" s="1500"/>
      <c r="HE204" s="1500"/>
      <c r="HF204" s="1500"/>
      <c r="HG204" s="1500"/>
      <c r="HH204" s="1500"/>
      <c r="HI204" s="1500"/>
      <c r="HJ204" s="1500"/>
      <c r="HK204" s="1500"/>
      <c r="HL204" s="1500"/>
      <c r="HM204" s="1500"/>
      <c r="HN204" s="1500"/>
      <c r="HO204" s="1500"/>
      <c r="HP204" s="1500"/>
      <c r="HQ204" s="1500"/>
      <c r="HR204" s="1500"/>
      <c r="HS204" s="1500"/>
      <c r="HT204" s="1500"/>
      <c r="HU204" s="1500"/>
      <c r="HV204" s="1500"/>
      <c r="HW204" s="1500"/>
      <c r="HX204" s="1500"/>
      <c r="HY204" s="1500"/>
      <c r="HZ204" s="1500"/>
      <c r="IA204" s="1500"/>
      <c r="IB204" s="1500"/>
      <c r="IC204" s="1500"/>
      <c r="ID204" s="1500"/>
      <c r="IE204" s="1500"/>
      <c r="IF204" s="1500"/>
      <c r="IG204" s="1500"/>
      <c r="IH204" s="1500"/>
      <c r="II204" s="1500"/>
      <c r="IJ204" s="1500"/>
      <c r="IK204" s="1500"/>
      <c r="IL204" s="1500"/>
      <c r="IM204" s="1500"/>
      <c r="IN204" s="1500"/>
      <c r="IO204" s="1500"/>
      <c r="IP204" s="1500"/>
      <c r="IQ204" s="1500"/>
      <c r="IR204" s="1500"/>
      <c r="IS204" s="1500"/>
      <c r="IT204" s="1500"/>
      <c r="IU204" s="1500"/>
      <c r="IV204" s="1500"/>
      <c r="IW204" s="1500"/>
      <c r="IX204" s="1500"/>
      <c r="IY204" s="1500"/>
      <c r="IZ204" s="1500"/>
      <c r="JA204" s="1500"/>
      <c r="JB204" s="1500"/>
      <c r="JC204" s="1500"/>
      <c r="JD204" s="1500"/>
      <c r="JE204" s="1500"/>
      <c r="JF204" s="1500"/>
      <c r="JG204" s="1500"/>
      <c r="JH204" s="1500"/>
      <c r="JI204" s="1500"/>
      <c r="JJ204" s="1500"/>
      <c r="JK204" s="1500"/>
      <c r="JL204" s="1500"/>
      <c r="JM204" s="1500"/>
      <c r="JN204" s="1500"/>
      <c r="JO204" s="1500"/>
      <c r="JP204" s="1500"/>
      <c r="JQ204" s="1500"/>
      <c r="JR204" s="351"/>
      <c r="JS204" s="1400" t="s">
        <v>3416</v>
      </c>
      <c r="JT204" s="1400" t="s">
        <v>2242</v>
      </c>
    </row>
    <row r="205" spans="1:280" ht="20" x14ac:dyDescent="0.25">
      <c r="A205" s="1367">
        <v>49</v>
      </c>
      <c r="B205" s="1411" t="str">
        <f t="shared" si="84"/>
        <v/>
      </c>
      <c r="C205" s="1435" t="s">
        <v>3417</v>
      </c>
      <c r="D205" s="1436" t="s">
        <v>3418</v>
      </c>
      <c r="E205" s="1553"/>
      <c r="F205" s="1553"/>
      <c r="G205" s="1553"/>
      <c r="H205" s="1553"/>
      <c r="I205" s="1553"/>
      <c r="J205" s="1553"/>
      <c r="K205" s="1553"/>
      <c r="L205" s="1553"/>
      <c r="M205" s="1553"/>
      <c r="N205" s="1553"/>
      <c r="O205" s="1553"/>
      <c r="P205" s="1553"/>
      <c r="Q205" s="1553"/>
      <c r="R205" s="1553"/>
      <c r="S205" s="1553"/>
      <c r="T205" s="1553"/>
      <c r="U205" s="1553"/>
      <c r="V205" s="1553"/>
      <c r="W205" s="1553"/>
      <c r="X205" s="1553"/>
      <c r="Y205" s="1553"/>
      <c r="Z205" s="1553"/>
      <c r="AA205" s="1553"/>
      <c r="AB205" s="1553"/>
      <c r="AC205" s="1553"/>
      <c r="AD205" s="1553"/>
      <c r="AE205" s="1553"/>
      <c r="AF205" s="1553"/>
      <c r="AG205" s="1553"/>
      <c r="AH205" s="1553"/>
      <c r="AI205" s="1553"/>
      <c r="AJ205" s="1553"/>
      <c r="AK205" s="1553"/>
      <c r="AL205" s="1553"/>
      <c r="AM205" s="1553"/>
      <c r="AN205" s="1553"/>
      <c r="AO205" s="1553"/>
      <c r="AP205" s="1553"/>
      <c r="AQ205" s="1553"/>
      <c r="AR205" s="1553"/>
      <c r="AS205" s="1553"/>
      <c r="AT205" s="1553"/>
      <c r="AU205" s="1553"/>
      <c r="AV205" s="1553"/>
      <c r="AW205" s="1553"/>
      <c r="AX205" s="1553"/>
      <c r="AY205" s="1553"/>
      <c r="AZ205" s="1553"/>
      <c r="BA205" s="1553"/>
      <c r="BB205" s="1553"/>
      <c r="BC205" s="1553"/>
      <c r="BD205" s="1553"/>
      <c r="BE205" s="1553"/>
      <c r="BF205" s="1553"/>
      <c r="BG205" s="1553"/>
      <c r="BH205" s="1553"/>
      <c r="BI205" s="1553"/>
      <c r="BJ205" s="1553"/>
      <c r="BK205" s="1553"/>
      <c r="BL205" s="1553"/>
      <c r="BM205" s="1553"/>
      <c r="BN205" s="1553"/>
      <c r="BO205" s="1553"/>
      <c r="BP205" s="1553"/>
      <c r="BQ205" s="1553"/>
      <c r="BR205" s="1553"/>
      <c r="BS205" s="1553"/>
      <c r="BT205" s="1553"/>
      <c r="BU205" s="1553"/>
      <c r="BV205" s="1553"/>
      <c r="BW205" s="1553"/>
      <c r="BX205" s="1553"/>
      <c r="BY205" s="1553"/>
      <c r="BZ205" s="1553"/>
      <c r="CA205" s="1553"/>
      <c r="CB205" s="1553"/>
      <c r="CC205" s="1553"/>
      <c r="CD205" s="1553"/>
      <c r="CE205" s="1553"/>
      <c r="CF205" s="1553"/>
      <c r="CG205" s="1553"/>
      <c r="CH205" s="1553"/>
      <c r="CI205" s="1553"/>
      <c r="CJ205" s="1553"/>
      <c r="CK205" s="1553"/>
      <c r="CL205" s="1553"/>
      <c r="CM205" s="1553"/>
      <c r="CN205" s="1553"/>
      <c r="CO205" s="1553"/>
      <c r="CP205" s="1553"/>
      <c r="CQ205" s="1553"/>
      <c r="CR205" s="1553"/>
      <c r="CS205" s="1553"/>
      <c r="CT205" s="1553"/>
      <c r="CU205" s="1553"/>
      <c r="CV205" s="1553"/>
      <c r="CW205" s="1553"/>
      <c r="CX205" s="1553"/>
      <c r="CY205" s="1553"/>
      <c r="CZ205" s="1553"/>
      <c r="DA205" s="1553"/>
      <c r="DB205" s="1553"/>
      <c r="DC205" s="1553"/>
      <c r="DD205" s="1553"/>
      <c r="DE205" s="1553"/>
      <c r="DF205" s="1553"/>
      <c r="DG205" s="1553"/>
      <c r="DH205" s="1553"/>
      <c r="DI205" s="1553"/>
      <c r="DJ205" s="1553"/>
      <c r="DK205" s="1553"/>
      <c r="DL205" s="1553"/>
      <c r="DM205" s="1553"/>
      <c r="DN205" s="1553"/>
      <c r="DO205" s="1553"/>
      <c r="DP205" s="1553"/>
      <c r="DQ205" s="1553"/>
      <c r="DR205" s="1553"/>
      <c r="DS205" s="1553"/>
      <c r="DT205" s="1553"/>
      <c r="DU205" s="1553"/>
      <c r="DV205" s="1553"/>
      <c r="DW205" s="1553"/>
      <c r="DX205" s="1553"/>
      <c r="DY205" s="1553"/>
      <c r="DZ205" s="1553"/>
      <c r="EA205" s="1553"/>
      <c r="EB205" s="1553"/>
      <c r="EC205" s="1553"/>
      <c r="ED205" s="1553"/>
      <c r="EE205" s="1553"/>
      <c r="EF205" s="1553"/>
      <c r="EG205" s="1553"/>
      <c r="EH205" s="1553"/>
      <c r="EI205" s="1553"/>
      <c r="EJ205" s="1553"/>
      <c r="EK205" s="1553"/>
      <c r="EL205" s="1553"/>
      <c r="EM205" s="1553"/>
      <c r="EN205" s="1553"/>
      <c r="EO205" s="1553"/>
      <c r="EP205" s="1553"/>
      <c r="EQ205" s="1452"/>
      <c r="ER205" s="1538"/>
      <c r="ES205" s="1538"/>
      <c r="ET205" s="1538"/>
      <c r="EU205" s="1452"/>
      <c r="EV205" s="1538"/>
      <c r="EW205" s="1452"/>
      <c r="EX205" s="1538">
        <v>26411.58</v>
      </c>
      <c r="EY205" s="1554">
        <v>2000</v>
      </c>
      <c r="EZ205" s="1538"/>
      <c r="FA205" s="1538"/>
      <c r="FB205" s="1553"/>
      <c r="FC205" s="1553"/>
      <c r="FD205" s="1553"/>
      <c r="FE205" s="1553"/>
      <c r="FF205" s="1553"/>
      <c r="FG205" s="1553"/>
      <c r="FH205" s="1553"/>
      <c r="FI205" s="1553"/>
      <c r="FJ205" s="1553"/>
      <c r="FK205" s="1553"/>
      <c r="FL205" s="1553"/>
      <c r="FM205" s="1553"/>
      <c r="FN205" s="1553"/>
      <c r="FO205" s="1553"/>
      <c r="FP205" s="1553"/>
      <c r="FQ205" s="1553"/>
      <c r="FR205" s="1553"/>
      <c r="FS205" s="1553"/>
      <c r="FT205" s="1553"/>
      <c r="FU205" s="1553"/>
      <c r="FV205" s="1553"/>
      <c r="FW205" s="1553"/>
      <c r="FX205" s="1553"/>
      <c r="FY205" s="1553"/>
      <c r="FZ205" s="1553"/>
      <c r="GA205" s="1553"/>
      <c r="GB205" s="1553"/>
      <c r="GC205" s="1553"/>
      <c r="GD205" s="1553"/>
      <c r="GE205" s="1553"/>
      <c r="GF205" s="1553"/>
      <c r="GG205" s="1553"/>
      <c r="GH205" s="1553"/>
      <c r="GI205" s="1553"/>
      <c r="GJ205" s="1553"/>
      <c r="GK205" s="1553"/>
      <c r="GL205" s="1553"/>
      <c r="GM205" s="1553"/>
      <c r="GN205" s="1553"/>
      <c r="GO205" s="1553"/>
      <c r="GP205" s="1553"/>
      <c r="GQ205" s="1553"/>
      <c r="GR205" s="1553"/>
      <c r="GS205" s="1553"/>
      <c r="GT205" s="1553"/>
      <c r="GU205" s="1553"/>
      <c r="GV205" s="1553"/>
      <c r="GW205" s="1553"/>
      <c r="GX205" s="1553"/>
      <c r="GY205" s="1553"/>
      <c r="GZ205" s="1553"/>
      <c r="HA205" s="1553"/>
      <c r="HB205" s="1553"/>
      <c r="HC205" s="1553"/>
      <c r="HD205" s="1553"/>
      <c r="HE205" s="1553"/>
      <c r="HF205" s="1553"/>
      <c r="HG205" s="1553"/>
      <c r="HH205" s="1553"/>
      <c r="HI205" s="1553"/>
      <c r="HJ205" s="1553"/>
      <c r="HK205" s="1553"/>
      <c r="HL205" s="1553"/>
      <c r="HM205" s="1553"/>
      <c r="HN205" s="1553"/>
      <c r="HO205" s="1553"/>
      <c r="HP205" s="1553"/>
      <c r="HQ205" s="1553"/>
      <c r="HR205" s="1553"/>
      <c r="HS205" s="1553"/>
      <c r="HT205" s="1553"/>
      <c r="HU205" s="1553"/>
      <c r="HV205" s="1553"/>
      <c r="HW205" s="1553"/>
      <c r="HX205" s="1553"/>
      <c r="HY205" s="1553"/>
      <c r="HZ205" s="1553"/>
      <c r="IA205" s="1553"/>
      <c r="IB205" s="1553"/>
      <c r="IC205" s="1553"/>
      <c r="ID205" s="1553"/>
      <c r="IE205" s="1553"/>
      <c r="IF205" s="1553"/>
      <c r="IG205" s="1553"/>
      <c r="IH205" s="1553"/>
      <c r="II205" s="1553"/>
      <c r="IJ205" s="1553"/>
      <c r="IK205" s="1553"/>
      <c r="IL205" s="1553"/>
      <c r="IM205" s="1553"/>
      <c r="IN205" s="1553"/>
      <c r="IO205" s="1553"/>
      <c r="IP205" s="1553"/>
      <c r="IQ205" s="1553"/>
      <c r="IR205" s="1553"/>
      <c r="IS205" s="1553"/>
      <c r="IT205" s="1553"/>
      <c r="IU205" s="1553"/>
      <c r="IV205" s="1553"/>
      <c r="IW205" s="1553"/>
      <c r="IX205" s="1553"/>
      <c r="IY205" s="1553"/>
      <c r="IZ205" s="1553"/>
      <c r="JA205" s="1553"/>
      <c r="JB205" s="1553"/>
      <c r="JC205" s="1553"/>
      <c r="JD205" s="1553"/>
      <c r="JE205" s="1553"/>
      <c r="JF205" s="1553"/>
      <c r="JG205" s="1553"/>
      <c r="JH205" s="1553"/>
      <c r="JI205" s="1553"/>
      <c r="JJ205" s="1553"/>
      <c r="JK205" s="1553"/>
      <c r="JL205" s="1553"/>
      <c r="JM205" s="1553"/>
      <c r="JN205" s="1553"/>
      <c r="JO205" s="1553"/>
      <c r="JP205" s="1553"/>
      <c r="JQ205" s="1553"/>
      <c r="JR205" s="351"/>
      <c r="JS205" s="1400" t="s">
        <v>3419</v>
      </c>
      <c r="JT205" s="1400" t="s">
        <v>2242</v>
      </c>
    </row>
    <row r="206" spans="1:280" ht="30" x14ac:dyDescent="0.25">
      <c r="A206" s="1367">
        <v>50</v>
      </c>
      <c r="B206" s="1411" t="str">
        <f t="shared" si="84"/>
        <v/>
      </c>
      <c r="C206" s="1435" t="s">
        <v>3420</v>
      </c>
      <c r="D206" s="1436" t="s">
        <v>3421</v>
      </c>
      <c r="E206" s="1479"/>
      <c r="F206" s="1479"/>
      <c r="G206" s="1479"/>
      <c r="H206" s="1479"/>
      <c r="I206" s="1479"/>
      <c r="J206" s="1479"/>
      <c r="K206" s="1479"/>
      <c r="L206" s="1479"/>
      <c r="M206" s="1479"/>
      <c r="N206" s="1479"/>
      <c r="O206" s="1479"/>
      <c r="P206" s="1479"/>
      <c r="Q206" s="1479"/>
      <c r="R206" s="1479"/>
      <c r="S206" s="1479"/>
      <c r="T206" s="1479"/>
      <c r="U206" s="1479"/>
      <c r="V206" s="1479"/>
      <c r="W206" s="1479"/>
      <c r="X206" s="1479"/>
      <c r="Y206" s="1479"/>
      <c r="Z206" s="1479"/>
      <c r="AA206" s="1479"/>
      <c r="AB206" s="1479"/>
      <c r="AC206" s="1479"/>
      <c r="AD206" s="1479"/>
      <c r="AE206" s="1479"/>
      <c r="AF206" s="1479"/>
      <c r="AG206" s="1479"/>
      <c r="AH206" s="1479"/>
      <c r="AI206" s="1479"/>
      <c r="AJ206" s="1479"/>
      <c r="AK206" s="1479"/>
      <c r="AL206" s="1479"/>
      <c r="AM206" s="1479"/>
      <c r="AN206" s="1479"/>
      <c r="AO206" s="1479"/>
      <c r="AP206" s="1479"/>
      <c r="AQ206" s="1479"/>
      <c r="AR206" s="1479"/>
      <c r="AS206" s="1479"/>
      <c r="AT206" s="1479"/>
      <c r="AU206" s="1479"/>
      <c r="AV206" s="1479"/>
      <c r="AW206" s="1479"/>
      <c r="AX206" s="1479"/>
      <c r="AY206" s="1479"/>
      <c r="AZ206" s="1479"/>
      <c r="BA206" s="1479"/>
      <c r="BB206" s="1479"/>
      <c r="BC206" s="1479"/>
      <c r="BD206" s="1479"/>
      <c r="BE206" s="1479"/>
      <c r="BF206" s="1479"/>
      <c r="BG206" s="1479"/>
      <c r="BH206" s="1479"/>
      <c r="BI206" s="1479"/>
      <c r="BJ206" s="1479"/>
      <c r="BK206" s="1479"/>
      <c r="BL206" s="1479"/>
      <c r="BM206" s="1479"/>
      <c r="BN206" s="1479"/>
      <c r="BO206" s="1479"/>
      <c r="BP206" s="1479"/>
      <c r="BQ206" s="1479"/>
      <c r="BR206" s="1479"/>
      <c r="BS206" s="1479"/>
      <c r="BT206" s="1479"/>
      <c r="BU206" s="1479"/>
      <c r="BV206" s="1479"/>
      <c r="BW206" s="1479"/>
      <c r="BX206" s="1479"/>
      <c r="BY206" s="1479"/>
      <c r="BZ206" s="1479"/>
      <c r="CA206" s="1479"/>
      <c r="CB206" s="1479"/>
      <c r="CC206" s="1479"/>
      <c r="CD206" s="1479"/>
      <c r="CE206" s="1479"/>
      <c r="CF206" s="1479"/>
      <c r="CG206" s="1479"/>
      <c r="CH206" s="1479"/>
      <c r="CI206" s="1479"/>
      <c r="CJ206" s="1479"/>
      <c r="CK206" s="1479"/>
      <c r="CL206" s="1479"/>
      <c r="CM206" s="1479"/>
      <c r="CN206" s="1479"/>
      <c r="CO206" s="1479"/>
      <c r="CP206" s="1479"/>
      <c r="CQ206" s="1479"/>
      <c r="CR206" s="1479"/>
      <c r="CS206" s="1479"/>
      <c r="CT206" s="1479"/>
      <c r="CU206" s="1479"/>
      <c r="CV206" s="1479"/>
      <c r="CW206" s="1479"/>
      <c r="CX206" s="1479"/>
      <c r="CY206" s="1479"/>
      <c r="CZ206" s="1479"/>
      <c r="DA206" s="1479"/>
      <c r="DB206" s="1479"/>
      <c r="DC206" s="1479"/>
      <c r="DD206" s="1479"/>
      <c r="DE206" s="1479"/>
      <c r="DF206" s="1479"/>
      <c r="DG206" s="1479"/>
      <c r="DH206" s="1479"/>
      <c r="DI206" s="1479"/>
      <c r="DJ206" s="1479"/>
      <c r="DK206" s="1479"/>
      <c r="DL206" s="1479"/>
      <c r="DM206" s="1479"/>
      <c r="DN206" s="1479"/>
      <c r="DO206" s="1479"/>
      <c r="DP206" s="1479"/>
      <c r="DQ206" s="1479"/>
      <c r="DR206" s="1479"/>
      <c r="DS206" s="1479"/>
      <c r="DT206" s="1479"/>
      <c r="DU206" s="1479"/>
      <c r="DV206" s="1479"/>
      <c r="DW206" s="1479"/>
      <c r="DX206" s="1479"/>
      <c r="DY206" s="1479"/>
      <c r="DZ206" s="1479"/>
      <c r="EA206" s="1479"/>
      <c r="EB206" s="1479"/>
      <c r="EC206" s="1479"/>
      <c r="ED206" s="1479"/>
      <c r="EE206" s="1479"/>
      <c r="EF206" s="1479"/>
      <c r="EG206" s="1479"/>
      <c r="EH206" s="1479"/>
      <c r="EI206" s="1479"/>
      <c r="EJ206" s="1479"/>
      <c r="EK206" s="1479"/>
      <c r="EL206" s="1479"/>
      <c r="EM206" s="1479"/>
      <c r="EN206" s="1479"/>
      <c r="EO206" s="1479"/>
      <c r="EP206" s="1479"/>
      <c r="EQ206" s="1503">
        <f t="shared" ref="EQ206:EZ206" si="90">MAX(0,EQ195-(EQ204+EQ205))</f>
        <v>39312</v>
      </c>
      <c r="ER206" s="1503">
        <f t="shared" si="90"/>
        <v>812</v>
      </c>
      <c r="ES206" s="1479">
        <f t="shared" si="90"/>
        <v>0</v>
      </c>
      <c r="ET206" s="1479">
        <f t="shared" si="90"/>
        <v>0</v>
      </c>
      <c r="EU206" s="1503">
        <f t="shared" si="90"/>
        <v>2541</v>
      </c>
      <c r="EV206" s="1503">
        <f t="shared" si="90"/>
        <v>67911</v>
      </c>
      <c r="EW206" s="1479">
        <f t="shared" si="90"/>
        <v>6142</v>
      </c>
      <c r="EX206" s="1503">
        <f t="shared" si="90"/>
        <v>0</v>
      </c>
      <c r="EY206" s="1479">
        <f t="shared" si="90"/>
        <v>6966</v>
      </c>
      <c r="EZ206" s="1503">
        <f t="shared" si="90"/>
        <v>51314</v>
      </c>
      <c r="FA206" s="1479"/>
      <c r="FB206" s="1479"/>
      <c r="FC206" s="1479"/>
      <c r="FD206" s="1479"/>
      <c r="FE206" s="1479"/>
      <c r="FF206" s="1479"/>
      <c r="FG206" s="1479"/>
      <c r="FH206" s="1479"/>
      <c r="FI206" s="1479"/>
      <c r="FJ206" s="1479"/>
      <c r="FK206" s="1479"/>
      <c r="FL206" s="1479"/>
      <c r="FM206" s="1479"/>
      <c r="FN206" s="1479"/>
      <c r="FO206" s="1479"/>
      <c r="FP206" s="1479"/>
      <c r="FQ206" s="1479"/>
      <c r="FR206" s="1479"/>
      <c r="FS206" s="1479"/>
      <c r="FT206" s="1479"/>
      <c r="FU206" s="1479"/>
      <c r="FV206" s="1479"/>
      <c r="FW206" s="1479"/>
      <c r="FX206" s="1479"/>
      <c r="FY206" s="1479"/>
      <c r="FZ206" s="1479"/>
      <c r="GA206" s="1479"/>
      <c r="GB206" s="1479"/>
      <c r="GC206" s="1479"/>
      <c r="GD206" s="1479"/>
      <c r="GE206" s="1479"/>
      <c r="GF206" s="1479"/>
      <c r="GG206" s="1479"/>
      <c r="GH206" s="1479"/>
      <c r="GI206" s="1479"/>
      <c r="GJ206" s="1479"/>
      <c r="GK206" s="1479"/>
      <c r="GL206" s="1479"/>
      <c r="GM206" s="1479"/>
      <c r="GN206" s="1479"/>
      <c r="GO206" s="1479"/>
      <c r="GP206" s="1479"/>
      <c r="GQ206" s="1479"/>
      <c r="GR206" s="1479"/>
      <c r="GS206" s="1479"/>
      <c r="GT206" s="1479"/>
      <c r="GU206" s="1479"/>
      <c r="GV206" s="1479"/>
      <c r="GW206" s="1479"/>
      <c r="GX206" s="1479"/>
      <c r="GY206" s="1479"/>
      <c r="GZ206" s="1479"/>
      <c r="HA206" s="1479"/>
      <c r="HB206" s="1479"/>
      <c r="HC206" s="1479"/>
      <c r="HD206" s="1479"/>
      <c r="HE206" s="1479"/>
      <c r="HF206" s="1479"/>
      <c r="HG206" s="1479"/>
      <c r="HH206" s="1479"/>
      <c r="HI206" s="1479"/>
      <c r="HJ206" s="1479"/>
      <c r="HK206" s="1479"/>
      <c r="HL206" s="1479"/>
      <c r="HM206" s="1479"/>
      <c r="HN206" s="1479"/>
      <c r="HO206" s="1479"/>
      <c r="HP206" s="1479"/>
      <c r="HQ206" s="1479"/>
      <c r="HR206" s="1479"/>
      <c r="HS206" s="1479"/>
      <c r="HT206" s="1479"/>
      <c r="HU206" s="1479"/>
      <c r="HV206" s="1479"/>
      <c r="HW206" s="1479"/>
      <c r="HX206" s="1479"/>
      <c r="HY206" s="1479"/>
      <c r="HZ206" s="1479"/>
      <c r="IA206" s="1479"/>
      <c r="IB206" s="1479"/>
      <c r="IC206" s="1479"/>
      <c r="ID206" s="1479"/>
      <c r="IE206" s="1479"/>
      <c r="IF206" s="1479"/>
      <c r="IG206" s="1479"/>
      <c r="IH206" s="1479"/>
      <c r="II206" s="1479"/>
      <c r="IJ206" s="1479"/>
      <c r="IK206" s="1479"/>
      <c r="IL206" s="1479"/>
      <c r="IM206" s="1479"/>
      <c r="IN206" s="1479"/>
      <c r="IO206" s="1479"/>
      <c r="IP206" s="1479"/>
      <c r="IQ206" s="1479"/>
      <c r="IR206" s="1479"/>
      <c r="IS206" s="1479"/>
      <c r="IT206" s="1479"/>
      <c r="IU206" s="1479"/>
      <c r="IV206" s="1479"/>
      <c r="IW206" s="1479"/>
      <c r="IX206" s="1479"/>
      <c r="IY206" s="1479">
        <f>MAX(0,IY195-(IY204+IY205))</f>
        <v>0</v>
      </c>
      <c r="IZ206" s="1479"/>
      <c r="JA206" s="1479"/>
      <c r="JB206" s="1479"/>
      <c r="JC206" s="1479"/>
      <c r="JD206" s="1479"/>
      <c r="JE206" s="1479"/>
      <c r="JF206" s="1479"/>
      <c r="JG206" s="1479"/>
      <c r="JH206" s="1479"/>
      <c r="JI206" s="1479"/>
      <c r="JJ206" s="1479"/>
      <c r="JK206" s="1479"/>
      <c r="JL206" s="1479"/>
      <c r="JM206" s="1479"/>
      <c r="JN206" s="1479"/>
      <c r="JO206" s="1479"/>
      <c r="JP206" s="1479"/>
      <c r="JQ206" s="1479"/>
      <c r="JR206" s="351"/>
      <c r="JS206" s="1400" t="s">
        <v>3422</v>
      </c>
      <c r="JT206" s="1400" t="s">
        <v>2224</v>
      </c>
    </row>
    <row r="207" spans="1:280" x14ac:dyDescent="0.25">
      <c r="A207" s="1367">
        <v>51</v>
      </c>
      <c r="B207" s="1411" t="str">
        <f t="shared" si="84"/>
        <v/>
      </c>
      <c r="C207" s="1435" t="s">
        <v>3423</v>
      </c>
      <c r="D207" s="1436" t="s">
        <v>3424</v>
      </c>
      <c r="E207" s="1479"/>
      <c r="F207" s="1479"/>
      <c r="G207" s="1479"/>
      <c r="H207" s="1479"/>
      <c r="I207" s="1479"/>
      <c r="J207" s="1479"/>
      <c r="K207" s="1479"/>
      <c r="L207" s="1479"/>
      <c r="M207" s="1479"/>
      <c r="N207" s="1479"/>
      <c r="O207" s="1479"/>
      <c r="P207" s="1479"/>
      <c r="Q207" s="1479"/>
      <c r="R207" s="1479"/>
      <c r="S207" s="1479"/>
      <c r="T207" s="1479"/>
      <c r="U207" s="1479"/>
      <c r="V207" s="1479"/>
      <c r="W207" s="1479"/>
      <c r="X207" s="1479"/>
      <c r="Y207" s="1479"/>
      <c r="Z207" s="1479"/>
      <c r="AA207" s="1479"/>
      <c r="AB207" s="1479"/>
      <c r="AC207" s="1479"/>
      <c r="AD207" s="1479"/>
      <c r="AE207" s="1479"/>
      <c r="AF207" s="1479"/>
      <c r="AG207" s="1479"/>
      <c r="AH207" s="1479"/>
      <c r="AI207" s="1479"/>
      <c r="AJ207" s="1479"/>
      <c r="AK207" s="1479"/>
      <c r="AL207" s="1479"/>
      <c r="AM207" s="1479"/>
      <c r="AN207" s="1479"/>
      <c r="AO207" s="1479"/>
      <c r="AP207" s="1479"/>
      <c r="AQ207" s="1479"/>
      <c r="AR207" s="1479"/>
      <c r="AS207" s="1479"/>
      <c r="AT207" s="1479"/>
      <c r="AU207" s="1479"/>
      <c r="AV207" s="1479"/>
      <c r="AW207" s="1479"/>
      <c r="AX207" s="1479"/>
      <c r="AY207" s="1479"/>
      <c r="AZ207" s="1479"/>
      <c r="BA207" s="1479"/>
      <c r="BB207" s="1479"/>
      <c r="BC207" s="1479"/>
      <c r="BD207" s="1479"/>
      <c r="BE207" s="1479"/>
      <c r="BF207" s="1479"/>
      <c r="BG207" s="1479"/>
      <c r="BH207" s="1479"/>
      <c r="BI207" s="1479"/>
      <c r="BJ207" s="1479"/>
      <c r="BK207" s="1479"/>
      <c r="BL207" s="1479"/>
      <c r="BM207" s="1479"/>
      <c r="BN207" s="1479"/>
      <c r="BO207" s="1479"/>
      <c r="BP207" s="1479"/>
      <c r="BQ207" s="1479"/>
      <c r="BR207" s="1479"/>
      <c r="BS207" s="1479"/>
      <c r="BT207" s="1479"/>
      <c r="BU207" s="1479"/>
      <c r="BV207" s="1479"/>
      <c r="BW207" s="1479"/>
      <c r="BX207" s="1479"/>
      <c r="BY207" s="1479"/>
      <c r="BZ207" s="1479"/>
      <c r="CA207" s="1479"/>
      <c r="CB207" s="1479"/>
      <c r="CC207" s="1479"/>
      <c r="CD207" s="1479"/>
      <c r="CE207" s="1479"/>
      <c r="CF207" s="1479"/>
      <c r="CG207" s="1479"/>
      <c r="CH207" s="1479"/>
      <c r="CI207" s="1479"/>
      <c r="CJ207" s="1479"/>
      <c r="CK207" s="1479"/>
      <c r="CL207" s="1479"/>
      <c r="CM207" s="1479"/>
      <c r="CN207" s="1479"/>
      <c r="CO207" s="1479"/>
      <c r="CP207" s="1479"/>
      <c r="CQ207" s="1479"/>
      <c r="CR207" s="1479"/>
      <c r="CS207" s="1479"/>
      <c r="CT207" s="1479"/>
      <c r="CU207" s="1479"/>
      <c r="CV207" s="1479"/>
      <c r="CW207" s="1479"/>
      <c r="CX207" s="1479"/>
      <c r="CY207" s="1479"/>
      <c r="CZ207" s="1479"/>
      <c r="DA207" s="1479"/>
      <c r="DB207" s="1479"/>
      <c r="DC207" s="1479"/>
      <c r="DD207" s="1479"/>
      <c r="DE207" s="1479"/>
      <c r="DF207" s="1479"/>
      <c r="DG207" s="1479"/>
      <c r="DH207" s="1479"/>
      <c r="DI207" s="1479"/>
      <c r="DJ207" s="1479"/>
      <c r="DK207" s="1479"/>
      <c r="DL207" s="1479"/>
      <c r="DM207" s="1479"/>
      <c r="DN207" s="1479"/>
      <c r="DO207" s="1479"/>
      <c r="DP207" s="1479"/>
      <c r="DQ207" s="1479"/>
      <c r="DR207" s="1479"/>
      <c r="DS207" s="1479"/>
      <c r="DT207" s="1479"/>
      <c r="DU207" s="1479"/>
      <c r="DV207" s="1479"/>
      <c r="DW207" s="1479"/>
      <c r="DX207" s="1479"/>
      <c r="DY207" s="1479"/>
      <c r="DZ207" s="1479"/>
      <c r="EA207" s="1479"/>
      <c r="EB207" s="1479"/>
      <c r="EC207" s="1479"/>
      <c r="ED207" s="1479"/>
      <c r="EE207" s="1479"/>
      <c r="EF207" s="1479"/>
      <c r="EG207" s="1479"/>
      <c r="EH207" s="1479"/>
      <c r="EI207" s="1479"/>
      <c r="EJ207" s="1479"/>
      <c r="EK207" s="1479"/>
      <c r="EL207" s="1479"/>
      <c r="EM207" s="1479"/>
      <c r="EN207" s="1479"/>
      <c r="EO207" s="1479"/>
      <c r="EP207" s="1479"/>
      <c r="EQ207" s="1479"/>
      <c r="ER207" s="1479"/>
      <c r="ES207" s="1479">
        <f t="shared" ref="ES207:ET207" si="91">ES196</f>
        <v>2928</v>
      </c>
      <c r="ET207" s="1479">
        <f t="shared" si="91"/>
        <v>11824</v>
      </c>
      <c r="EU207" s="1479">
        <f>EU196</f>
        <v>0</v>
      </c>
      <c r="EV207" s="1479"/>
      <c r="EW207" s="1479"/>
      <c r="EX207" s="1479"/>
      <c r="EY207" s="1479"/>
      <c r="EZ207" s="1479"/>
      <c r="FA207" s="1479"/>
      <c r="FB207" s="1479"/>
      <c r="FC207" s="1479"/>
      <c r="FD207" s="1479"/>
      <c r="FE207" s="1479"/>
      <c r="FF207" s="1479"/>
      <c r="FG207" s="1479"/>
      <c r="FH207" s="1479"/>
      <c r="FI207" s="1479"/>
      <c r="FJ207" s="1479"/>
      <c r="FK207" s="1479"/>
      <c r="FL207" s="1479"/>
      <c r="FM207" s="1479"/>
      <c r="FN207" s="1479"/>
      <c r="FO207" s="1479"/>
      <c r="FP207" s="1479"/>
      <c r="FQ207" s="1479"/>
      <c r="FR207" s="1479"/>
      <c r="FS207" s="1479"/>
      <c r="FT207" s="1479"/>
      <c r="FU207" s="1479"/>
      <c r="FV207" s="1479"/>
      <c r="FW207" s="1479"/>
      <c r="FX207" s="1479"/>
      <c r="FY207" s="1479"/>
      <c r="FZ207" s="1479"/>
      <c r="GA207" s="1479"/>
      <c r="GB207" s="1479"/>
      <c r="GC207" s="1479"/>
      <c r="GD207" s="1479"/>
      <c r="GE207" s="1479"/>
      <c r="GF207" s="1479"/>
      <c r="GG207" s="1479"/>
      <c r="GH207" s="1479"/>
      <c r="GI207" s="1479"/>
      <c r="GJ207" s="1479"/>
      <c r="GK207" s="1479"/>
      <c r="GL207" s="1479"/>
      <c r="GM207" s="1479"/>
      <c r="GN207" s="1479"/>
      <c r="GO207" s="1479"/>
      <c r="GP207" s="1479"/>
      <c r="GQ207" s="1479"/>
      <c r="GR207" s="1479"/>
      <c r="GS207" s="1479"/>
      <c r="GT207" s="1479"/>
      <c r="GU207" s="1479"/>
      <c r="GV207" s="1479"/>
      <c r="GW207" s="1479"/>
      <c r="GX207" s="1479"/>
      <c r="GY207" s="1479"/>
      <c r="GZ207" s="1479"/>
      <c r="HA207" s="1479"/>
      <c r="HB207" s="1479"/>
      <c r="HC207" s="1479"/>
      <c r="HD207" s="1479"/>
      <c r="HE207" s="1479"/>
      <c r="HF207" s="1479"/>
      <c r="HG207" s="1479"/>
      <c r="HH207" s="1479"/>
      <c r="HI207" s="1479"/>
      <c r="HJ207" s="1479"/>
      <c r="HK207" s="1479"/>
      <c r="HL207" s="1479"/>
      <c r="HM207" s="1479"/>
      <c r="HN207" s="1479"/>
      <c r="HO207" s="1479"/>
      <c r="HP207" s="1479"/>
      <c r="HQ207" s="1479"/>
      <c r="HR207" s="1479"/>
      <c r="HS207" s="1479"/>
      <c r="HT207" s="1479"/>
      <c r="HU207" s="1479"/>
      <c r="HV207" s="1479"/>
      <c r="HW207" s="1479"/>
      <c r="HX207" s="1479"/>
      <c r="HY207" s="1479"/>
      <c r="HZ207" s="1479"/>
      <c r="IA207" s="1479"/>
      <c r="IB207" s="1479"/>
      <c r="IC207" s="1479"/>
      <c r="ID207" s="1479"/>
      <c r="IE207" s="1479"/>
      <c r="IF207" s="1479"/>
      <c r="IG207" s="1479"/>
      <c r="IH207" s="1479"/>
      <c r="II207" s="1479"/>
      <c r="IJ207" s="1479"/>
      <c r="IK207" s="1479"/>
      <c r="IL207" s="1479"/>
      <c r="IM207" s="1479"/>
      <c r="IN207" s="1479"/>
      <c r="IO207" s="1479"/>
      <c r="IP207" s="1479"/>
      <c r="IQ207" s="1479"/>
      <c r="IR207" s="1479"/>
      <c r="IS207" s="1479"/>
      <c r="IT207" s="1479"/>
      <c r="IU207" s="1479"/>
      <c r="IV207" s="1479"/>
      <c r="IW207" s="1479"/>
      <c r="IX207" s="1479"/>
      <c r="IY207" s="1479">
        <f>IY196</f>
        <v>12465</v>
      </c>
      <c r="IZ207" s="1479"/>
      <c r="JA207" s="1479"/>
      <c r="JB207" s="1479"/>
      <c r="JC207" s="1479"/>
      <c r="JD207" s="1479"/>
      <c r="JE207" s="1479"/>
      <c r="JF207" s="1479"/>
      <c r="JG207" s="1479"/>
      <c r="JH207" s="1479"/>
      <c r="JI207" s="1479"/>
      <c r="JJ207" s="1479"/>
      <c r="JK207" s="1479"/>
      <c r="JL207" s="1479"/>
      <c r="JM207" s="1479"/>
      <c r="JN207" s="1479"/>
      <c r="JO207" s="1479"/>
      <c r="JP207" s="1479"/>
      <c r="JQ207" s="1479"/>
      <c r="JR207" s="351"/>
      <c r="JS207" s="1400" t="s">
        <v>3425</v>
      </c>
      <c r="JT207" s="1400" t="s">
        <v>2224</v>
      </c>
    </row>
    <row r="208" spans="1:280" ht="40" x14ac:dyDescent="0.25">
      <c r="A208" s="1367">
        <v>52</v>
      </c>
      <c r="B208" s="1411" t="str">
        <f t="shared" si="84"/>
        <v/>
      </c>
      <c r="C208" s="1435" t="s">
        <v>3426</v>
      </c>
      <c r="D208" s="1436" t="s">
        <v>3427</v>
      </c>
      <c r="E208" s="1479"/>
      <c r="F208" s="1479"/>
      <c r="G208" s="1479"/>
      <c r="H208" s="1479"/>
      <c r="I208" s="1479"/>
      <c r="J208" s="1479"/>
      <c r="K208" s="1479"/>
      <c r="L208" s="1479"/>
      <c r="M208" s="1479"/>
      <c r="N208" s="1479"/>
      <c r="O208" s="1479"/>
      <c r="P208" s="1479"/>
      <c r="Q208" s="1479"/>
      <c r="R208" s="1479"/>
      <c r="S208" s="1479"/>
      <c r="T208" s="1479"/>
      <c r="U208" s="1479"/>
      <c r="V208" s="1479"/>
      <c r="W208" s="1479"/>
      <c r="X208" s="1479"/>
      <c r="Y208" s="1479"/>
      <c r="Z208" s="1479"/>
      <c r="AA208" s="1479"/>
      <c r="AB208" s="1479"/>
      <c r="AC208" s="1479"/>
      <c r="AD208" s="1479"/>
      <c r="AE208" s="1479"/>
      <c r="AF208" s="1479"/>
      <c r="AG208" s="1479"/>
      <c r="AH208" s="1479"/>
      <c r="AI208" s="1479"/>
      <c r="AJ208" s="1479"/>
      <c r="AK208" s="1479"/>
      <c r="AL208" s="1479"/>
      <c r="AM208" s="1479"/>
      <c r="AN208" s="1479"/>
      <c r="AO208" s="1479"/>
      <c r="AP208" s="1479"/>
      <c r="AQ208" s="1479"/>
      <c r="AR208" s="1479"/>
      <c r="AS208" s="1479"/>
      <c r="AT208" s="1479"/>
      <c r="AU208" s="1479"/>
      <c r="AV208" s="1479"/>
      <c r="AW208" s="1479"/>
      <c r="AX208" s="1479"/>
      <c r="AY208" s="1479"/>
      <c r="AZ208" s="1479"/>
      <c r="BA208" s="1479"/>
      <c r="BB208" s="1479"/>
      <c r="BC208" s="1479"/>
      <c r="BD208" s="1479"/>
      <c r="BE208" s="1479"/>
      <c r="BF208" s="1479"/>
      <c r="BG208" s="1479"/>
      <c r="BH208" s="1479"/>
      <c r="BI208" s="1479"/>
      <c r="BJ208" s="1479"/>
      <c r="BK208" s="1479"/>
      <c r="BL208" s="1479"/>
      <c r="BM208" s="1479"/>
      <c r="BN208" s="1479"/>
      <c r="BO208" s="1479"/>
      <c r="BP208" s="1479"/>
      <c r="BQ208" s="1479"/>
      <c r="BR208" s="1479"/>
      <c r="BS208" s="1479"/>
      <c r="BT208" s="1479"/>
      <c r="BU208" s="1479"/>
      <c r="BV208" s="1479"/>
      <c r="BW208" s="1479"/>
      <c r="BX208" s="1479"/>
      <c r="BY208" s="1479"/>
      <c r="BZ208" s="1479"/>
      <c r="CA208" s="1479"/>
      <c r="CB208" s="1479"/>
      <c r="CC208" s="1479"/>
      <c r="CD208" s="1479"/>
      <c r="CE208" s="1479"/>
      <c r="CF208" s="1479"/>
      <c r="CG208" s="1479"/>
      <c r="CH208" s="1479"/>
      <c r="CI208" s="1479"/>
      <c r="CJ208" s="1479"/>
      <c r="CK208" s="1479"/>
      <c r="CL208" s="1479"/>
      <c r="CM208" s="1479"/>
      <c r="CN208" s="1479"/>
      <c r="CO208" s="1479"/>
      <c r="CP208" s="1479"/>
      <c r="CQ208" s="1479"/>
      <c r="CR208" s="1479"/>
      <c r="CS208" s="1479"/>
      <c r="CT208" s="1479"/>
      <c r="CU208" s="1479"/>
      <c r="CV208" s="1479"/>
      <c r="CW208" s="1479"/>
      <c r="CX208" s="1479"/>
      <c r="CY208" s="1479"/>
      <c r="CZ208" s="1479"/>
      <c r="DA208" s="1479"/>
      <c r="DB208" s="1479"/>
      <c r="DC208" s="1479"/>
      <c r="DD208" s="1479"/>
      <c r="DE208" s="1479"/>
      <c r="DF208" s="1479"/>
      <c r="DG208" s="1479"/>
      <c r="DH208" s="1479"/>
      <c r="DI208" s="1479"/>
      <c r="DJ208" s="1479"/>
      <c r="DK208" s="1479"/>
      <c r="DL208" s="1479"/>
      <c r="DM208" s="1479"/>
      <c r="DN208" s="1479"/>
      <c r="DO208" s="1479"/>
      <c r="DP208" s="1479"/>
      <c r="DQ208" s="1479"/>
      <c r="DR208" s="1479"/>
      <c r="DS208" s="1479"/>
      <c r="DT208" s="1479"/>
      <c r="DU208" s="1479"/>
      <c r="DV208" s="1479"/>
      <c r="DW208" s="1479"/>
      <c r="DX208" s="1479"/>
      <c r="DY208" s="1479"/>
      <c r="DZ208" s="1479"/>
      <c r="EA208" s="1479"/>
      <c r="EB208" s="1479"/>
      <c r="EC208" s="1479"/>
      <c r="ED208" s="1479"/>
      <c r="EE208" s="1479"/>
      <c r="EF208" s="1479"/>
      <c r="EG208" s="1479"/>
      <c r="EH208" s="1479"/>
      <c r="EI208" s="1479"/>
      <c r="EJ208" s="1479"/>
      <c r="EK208" s="1479"/>
      <c r="EL208" s="1479"/>
      <c r="EM208" s="1479"/>
      <c r="EN208" s="1479"/>
      <c r="EO208" s="1479"/>
      <c r="EP208" s="1479"/>
      <c r="EQ208" s="1479"/>
      <c r="ER208" s="1479"/>
      <c r="ES208" s="1479">
        <f>IF(ES207&gt;0,ES202,0)</f>
        <v>407.01</v>
      </c>
      <c r="ET208" s="1479">
        <f>IF(ET207&gt;0,ET202,0)</f>
        <v>239.4</v>
      </c>
      <c r="EU208" s="1479">
        <f>IF(EU207&gt;0,EU202,0)</f>
        <v>0</v>
      </c>
      <c r="EV208" s="1479"/>
      <c r="EW208" s="1479"/>
      <c r="EX208" s="1479"/>
      <c r="EY208" s="1479"/>
      <c r="EZ208" s="1479"/>
      <c r="FA208" s="1479"/>
      <c r="FB208" s="1479"/>
      <c r="FC208" s="1479"/>
      <c r="FD208" s="1479"/>
      <c r="FE208" s="1479"/>
      <c r="FF208" s="1479"/>
      <c r="FG208" s="1479"/>
      <c r="FH208" s="1479"/>
      <c r="FI208" s="1479"/>
      <c r="FJ208" s="1479"/>
      <c r="FK208" s="1479"/>
      <c r="FL208" s="1479"/>
      <c r="FM208" s="1479"/>
      <c r="FN208" s="1479"/>
      <c r="FO208" s="1479"/>
      <c r="FP208" s="1479"/>
      <c r="FQ208" s="1479"/>
      <c r="FR208" s="1479"/>
      <c r="FS208" s="1479"/>
      <c r="FT208" s="1479"/>
      <c r="FU208" s="1479"/>
      <c r="FV208" s="1479"/>
      <c r="FW208" s="1479"/>
      <c r="FX208" s="1479"/>
      <c r="FY208" s="1479"/>
      <c r="FZ208" s="1479"/>
      <c r="GA208" s="1479"/>
      <c r="GB208" s="1479"/>
      <c r="GC208" s="1479"/>
      <c r="GD208" s="1479"/>
      <c r="GE208" s="1479"/>
      <c r="GF208" s="1479"/>
      <c r="GG208" s="1479"/>
      <c r="GH208" s="1479"/>
      <c r="GI208" s="1479"/>
      <c r="GJ208" s="1479"/>
      <c r="GK208" s="1479"/>
      <c r="GL208" s="1479"/>
      <c r="GM208" s="1479"/>
      <c r="GN208" s="1479"/>
      <c r="GO208" s="1479"/>
      <c r="GP208" s="1479"/>
      <c r="GQ208" s="1479"/>
      <c r="GR208" s="1479"/>
      <c r="GS208" s="1479"/>
      <c r="GT208" s="1479"/>
      <c r="GU208" s="1479"/>
      <c r="GV208" s="1479"/>
      <c r="GW208" s="1479"/>
      <c r="GX208" s="1479"/>
      <c r="GY208" s="1479"/>
      <c r="GZ208" s="1479"/>
      <c r="HA208" s="1479"/>
      <c r="HB208" s="1479"/>
      <c r="HC208" s="1479"/>
      <c r="HD208" s="1479"/>
      <c r="HE208" s="1479"/>
      <c r="HF208" s="1479"/>
      <c r="HG208" s="1479"/>
      <c r="HH208" s="1479"/>
      <c r="HI208" s="1479"/>
      <c r="HJ208" s="1479"/>
      <c r="HK208" s="1479"/>
      <c r="HL208" s="1479"/>
      <c r="HM208" s="1479"/>
      <c r="HN208" s="1479"/>
      <c r="HO208" s="1479"/>
      <c r="HP208" s="1479"/>
      <c r="HQ208" s="1479"/>
      <c r="HR208" s="1479"/>
      <c r="HS208" s="1479"/>
      <c r="HT208" s="1479"/>
      <c r="HU208" s="1479"/>
      <c r="HV208" s="1479"/>
      <c r="HW208" s="1479"/>
      <c r="HX208" s="1479"/>
      <c r="HY208" s="1479"/>
      <c r="HZ208" s="1479"/>
      <c r="IA208" s="1479"/>
      <c r="IB208" s="1479"/>
      <c r="IC208" s="1479"/>
      <c r="ID208" s="1479"/>
      <c r="IE208" s="1479"/>
      <c r="IF208" s="1479"/>
      <c r="IG208" s="1479"/>
      <c r="IH208" s="1479"/>
      <c r="II208" s="1479"/>
      <c r="IJ208" s="1479"/>
      <c r="IK208" s="1479"/>
      <c r="IL208" s="1479"/>
      <c r="IM208" s="1479"/>
      <c r="IN208" s="1479"/>
      <c r="IO208" s="1479"/>
      <c r="IP208" s="1479"/>
      <c r="IQ208" s="1479"/>
      <c r="IR208" s="1479"/>
      <c r="IS208" s="1479"/>
      <c r="IT208" s="1479"/>
      <c r="IU208" s="1479"/>
      <c r="IV208" s="1479"/>
      <c r="IW208" s="1479"/>
      <c r="IX208" s="1479"/>
      <c r="IY208" s="1479">
        <f>IF(IY207&gt;0,IY202,0)</f>
        <v>22</v>
      </c>
      <c r="IZ208" s="1479"/>
      <c r="JA208" s="1479"/>
      <c r="JB208" s="1479"/>
      <c r="JC208" s="1479"/>
      <c r="JD208" s="1479"/>
      <c r="JE208" s="1479"/>
      <c r="JF208" s="1479"/>
      <c r="JG208" s="1479"/>
      <c r="JH208" s="1479"/>
      <c r="JI208" s="1479"/>
      <c r="JJ208" s="1479"/>
      <c r="JK208" s="1479"/>
      <c r="JL208" s="1479"/>
      <c r="JM208" s="1479"/>
      <c r="JN208" s="1479"/>
      <c r="JO208" s="1479"/>
      <c r="JP208" s="1479"/>
      <c r="JQ208" s="1479"/>
      <c r="JR208" s="351"/>
      <c r="JS208" s="1400" t="s">
        <v>3428</v>
      </c>
      <c r="JT208" s="1400" t="s">
        <v>2347</v>
      </c>
    </row>
    <row r="209" spans="1:280" x14ac:dyDescent="0.25">
      <c r="A209" s="1367">
        <v>53</v>
      </c>
      <c r="B209" s="1411" t="str">
        <f t="shared" si="84"/>
        <v/>
      </c>
      <c r="C209" s="1435" t="s">
        <v>3429</v>
      </c>
      <c r="D209" s="1436" t="s">
        <v>3430</v>
      </c>
      <c r="E209" s="1557"/>
      <c r="F209" s="1557"/>
      <c r="G209" s="1557"/>
      <c r="H209" s="1557"/>
      <c r="I209" s="1557"/>
      <c r="J209" s="1557"/>
      <c r="K209" s="1557"/>
      <c r="L209" s="1557"/>
      <c r="M209" s="1557"/>
      <c r="N209" s="1557"/>
      <c r="O209" s="1557"/>
      <c r="P209" s="1557"/>
      <c r="Q209" s="1557"/>
      <c r="R209" s="1558"/>
      <c r="S209" s="1558"/>
      <c r="T209" s="1558"/>
      <c r="U209" s="1558"/>
      <c r="V209" s="1558"/>
      <c r="W209" s="1558"/>
      <c r="X209" s="1558"/>
      <c r="Y209" s="1558"/>
      <c r="Z209" s="1558"/>
      <c r="AA209" s="1558"/>
      <c r="AB209" s="1558"/>
      <c r="AC209" s="1558"/>
      <c r="AD209" s="1558"/>
      <c r="AE209" s="1558"/>
      <c r="AF209" s="1558"/>
      <c r="AG209" s="1558"/>
      <c r="AH209" s="1558"/>
      <c r="AI209" s="1558"/>
      <c r="AJ209" s="1558"/>
      <c r="AK209" s="1558"/>
      <c r="AL209" s="1558"/>
      <c r="AM209" s="1558"/>
      <c r="AN209" s="1558"/>
      <c r="AO209" s="1558"/>
      <c r="AP209" s="1558"/>
      <c r="AQ209" s="1558"/>
      <c r="AR209" s="1558"/>
      <c r="AS209" s="1558"/>
      <c r="AT209" s="1558"/>
      <c r="AU209" s="1558"/>
      <c r="AV209" s="1558"/>
      <c r="AW209" s="1558"/>
      <c r="AX209" s="1558"/>
      <c r="AY209" s="1558"/>
      <c r="AZ209" s="1558"/>
      <c r="BA209" s="1558"/>
      <c r="BB209" s="1558"/>
      <c r="BC209" s="1558"/>
      <c r="BD209" s="1558"/>
      <c r="BE209" s="1558"/>
      <c r="BF209" s="1558"/>
      <c r="BG209" s="1558"/>
      <c r="BH209" s="1558"/>
      <c r="BI209" s="1558"/>
      <c r="BJ209" s="1558"/>
      <c r="BK209" s="1558"/>
      <c r="BL209" s="1558"/>
      <c r="BM209" s="1558"/>
      <c r="BN209" s="1558"/>
      <c r="BO209" s="1558"/>
      <c r="BP209" s="1558"/>
      <c r="BQ209" s="1558"/>
      <c r="BR209" s="1558"/>
      <c r="BS209" s="1558"/>
      <c r="BT209" s="1558"/>
      <c r="BU209" s="1558"/>
      <c r="BV209" s="1558"/>
      <c r="BW209" s="1558"/>
      <c r="BX209" s="1558"/>
      <c r="BY209" s="1558"/>
      <c r="BZ209" s="1558"/>
      <c r="CA209" s="1558"/>
      <c r="CB209" s="1558"/>
      <c r="CC209" s="1558"/>
      <c r="CD209" s="1558"/>
      <c r="CE209" s="1558"/>
      <c r="CF209" s="1558"/>
      <c r="CG209" s="1558"/>
      <c r="CH209" s="1558"/>
      <c r="CI209" s="1558"/>
      <c r="CJ209" s="1558"/>
      <c r="CK209" s="1558"/>
      <c r="CL209" s="1558"/>
      <c r="CM209" s="1558"/>
      <c r="CN209" s="1558"/>
      <c r="CO209" s="1558"/>
      <c r="CP209" s="1558"/>
      <c r="CQ209" s="1558"/>
      <c r="CR209" s="1558"/>
      <c r="CS209" s="1558"/>
      <c r="CT209" s="1558"/>
      <c r="CU209" s="1558"/>
      <c r="CV209" s="1558"/>
      <c r="CW209" s="1558"/>
      <c r="CX209" s="1558"/>
      <c r="CY209" s="1558"/>
      <c r="CZ209" s="1558"/>
      <c r="DA209" s="1558"/>
      <c r="DB209" s="1558"/>
      <c r="DC209" s="1558"/>
      <c r="DD209" s="1558"/>
      <c r="DE209" s="1558"/>
      <c r="DF209" s="1558"/>
      <c r="DG209" s="1558"/>
      <c r="DH209" s="1558"/>
      <c r="DI209" s="1558"/>
      <c r="DJ209" s="1558"/>
      <c r="DK209" s="1558"/>
      <c r="DL209" s="1558"/>
      <c r="DM209" s="1558"/>
      <c r="DN209" s="1558"/>
      <c r="DO209" s="1558"/>
      <c r="DP209" s="1558"/>
      <c r="DQ209" s="1558"/>
      <c r="DR209" s="1558"/>
      <c r="DS209" s="1558"/>
      <c r="DT209" s="1558"/>
      <c r="DU209" s="1558"/>
      <c r="DV209" s="1558"/>
      <c r="DW209" s="1558"/>
      <c r="DX209" s="1558"/>
      <c r="DY209" s="1558"/>
      <c r="DZ209" s="1558"/>
      <c r="EA209" s="1558"/>
      <c r="EB209" s="1558"/>
      <c r="EC209" s="1558"/>
      <c r="ED209" s="1558"/>
      <c r="EE209" s="1558"/>
      <c r="EF209" s="1558"/>
      <c r="EG209" s="1558"/>
      <c r="EH209" s="1558"/>
      <c r="EI209" s="1558"/>
      <c r="EJ209" s="1558"/>
      <c r="EK209" s="1558"/>
      <c r="EL209" s="1558"/>
      <c r="EM209" s="1558"/>
      <c r="EN209" s="1558"/>
      <c r="EO209" s="1558"/>
      <c r="EP209" s="1558"/>
      <c r="EQ209" s="1559"/>
      <c r="ER209" s="1559"/>
      <c r="ES209" s="1479">
        <f t="shared" ref="ES209:ET209" si="92">ES207+ES208</f>
        <v>3335.01</v>
      </c>
      <c r="ET209" s="1479">
        <f t="shared" si="92"/>
        <v>12063.4</v>
      </c>
      <c r="EU209" s="1479">
        <f>EU207+EU208</f>
        <v>0</v>
      </c>
      <c r="EV209" s="1559"/>
      <c r="EW209" s="1559"/>
      <c r="EX209" s="1559"/>
      <c r="EY209" s="1559"/>
      <c r="EZ209" s="1559"/>
      <c r="FA209" s="1559"/>
      <c r="FB209" s="1558"/>
      <c r="FC209" s="1558"/>
      <c r="FD209" s="1558"/>
      <c r="FE209" s="1558"/>
      <c r="FF209" s="1558"/>
      <c r="FG209" s="1558"/>
      <c r="FH209" s="1558"/>
      <c r="FI209" s="1558"/>
      <c r="FJ209" s="1558"/>
      <c r="FK209" s="1558"/>
      <c r="FL209" s="1558"/>
      <c r="FM209" s="1558"/>
      <c r="FN209" s="1558"/>
      <c r="FO209" s="1558"/>
      <c r="FP209" s="1558"/>
      <c r="FQ209" s="1558"/>
      <c r="FR209" s="1558"/>
      <c r="FS209" s="1558"/>
      <c r="FT209" s="1558"/>
      <c r="FU209" s="1558"/>
      <c r="FV209" s="1558"/>
      <c r="FW209" s="1558"/>
      <c r="FX209" s="1558"/>
      <c r="FY209" s="1558"/>
      <c r="FZ209" s="1558"/>
      <c r="GA209" s="1558"/>
      <c r="GB209" s="1558"/>
      <c r="GC209" s="1558"/>
      <c r="GD209" s="1558"/>
      <c r="GE209" s="1558"/>
      <c r="GF209" s="1558"/>
      <c r="GG209" s="1558"/>
      <c r="GH209" s="1558"/>
      <c r="GI209" s="1558"/>
      <c r="GJ209" s="1558"/>
      <c r="GK209" s="1558"/>
      <c r="GL209" s="1558"/>
      <c r="GM209" s="1558"/>
      <c r="GN209" s="1558"/>
      <c r="GO209" s="1558"/>
      <c r="GP209" s="1558"/>
      <c r="GQ209" s="1558"/>
      <c r="GR209" s="1558"/>
      <c r="GS209" s="1558"/>
      <c r="GT209" s="1558"/>
      <c r="GU209" s="1558"/>
      <c r="GV209" s="1558"/>
      <c r="GW209" s="1558"/>
      <c r="GX209" s="1558"/>
      <c r="GY209" s="1558"/>
      <c r="GZ209" s="1558"/>
      <c r="HA209" s="1558"/>
      <c r="HB209" s="1558"/>
      <c r="HC209" s="1558"/>
      <c r="HD209" s="1558"/>
      <c r="HE209" s="1558"/>
      <c r="HF209" s="1558"/>
      <c r="HG209" s="1558"/>
      <c r="HH209" s="1558"/>
      <c r="HI209" s="1558"/>
      <c r="HJ209" s="1558"/>
      <c r="HK209" s="1558"/>
      <c r="HL209" s="1558"/>
      <c r="HM209" s="1558"/>
      <c r="HN209" s="1558"/>
      <c r="HO209" s="1558"/>
      <c r="HP209" s="1558"/>
      <c r="HQ209" s="1558"/>
      <c r="HR209" s="1558"/>
      <c r="HS209" s="1558"/>
      <c r="HT209" s="1558"/>
      <c r="HU209" s="1558"/>
      <c r="HV209" s="1558"/>
      <c r="HW209" s="1558"/>
      <c r="HX209" s="1558"/>
      <c r="HY209" s="1558"/>
      <c r="HZ209" s="1558"/>
      <c r="IA209" s="1558"/>
      <c r="IB209" s="1558"/>
      <c r="IC209" s="1558"/>
      <c r="ID209" s="1558"/>
      <c r="IE209" s="1558"/>
      <c r="IF209" s="1558"/>
      <c r="IG209" s="1558"/>
      <c r="IH209" s="1558"/>
      <c r="II209" s="1558"/>
      <c r="IJ209" s="1558"/>
      <c r="IK209" s="1558"/>
      <c r="IL209" s="1558"/>
      <c r="IM209" s="1558"/>
      <c r="IN209" s="1558"/>
      <c r="IO209" s="1558"/>
      <c r="IP209" s="1558"/>
      <c r="IQ209" s="1558"/>
      <c r="IR209" s="1558"/>
      <c r="IS209" s="1558"/>
      <c r="IT209" s="1558"/>
      <c r="IU209" s="1558"/>
      <c r="IV209" s="1558"/>
      <c r="IW209" s="1558"/>
      <c r="IX209" s="1558"/>
      <c r="IY209" s="1479">
        <f>IY207+IY208</f>
        <v>12487</v>
      </c>
      <c r="IZ209" s="1558"/>
      <c r="JA209" s="1558"/>
      <c r="JB209" s="1558"/>
      <c r="JC209" s="1558"/>
      <c r="JD209" s="1558"/>
      <c r="JE209" s="1558"/>
      <c r="JF209" s="1558"/>
      <c r="JG209" s="1558"/>
      <c r="JH209" s="1558"/>
      <c r="JI209" s="1558"/>
      <c r="JJ209" s="1558"/>
      <c r="JK209" s="1558"/>
      <c r="JL209" s="1558"/>
      <c r="JM209" s="1558"/>
      <c r="JN209" s="1558"/>
      <c r="JO209" s="1558"/>
      <c r="JP209" s="1558"/>
      <c r="JQ209" s="1560"/>
      <c r="JR209" s="351"/>
      <c r="JS209" s="1400" t="s">
        <v>3431</v>
      </c>
      <c r="JT209" s="1400" t="s">
        <v>2242</v>
      </c>
    </row>
    <row r="210" spans="1:280" x14ac:dyDescent="0.25">
      <c r="A210" s="1367">
        <v>54</v>
      </c>
      <c r="B210" s="1411" t="str">
        <f t="shared" si="84"/>
        <v/>
      </c>
      <c r="C210" s="1435" t="s">
        <v>3432</v>
      </c>
      <c r="D210" s="1436" t="s">
        <v>3433</v>
      </c>
      <c r="E210" s="1528"/>
      <c r="F210" s="1528"/>
      <c r="G210" s="1528"/>
      <c r="H210" s="1528"/>
      <c r="I210" s="1528"/>
      <c r="J210" s="1528"/>
      <c r="K210" s="1528"/>
      <c r="L210" s="1528"/>
      <c r="M210" s="1528"/>
      <c r="N210" s="1528"/>
      <c r="O210" s="1528"/>
      <c r="P210" s="1528"/>
      <c r="Q210" s="1528"/>
      <c r="R210" s="1500"/>
      <c r="S210" s="1500"/>
      <c r="T210" s="1500"/>
      <c r="U210" s="1500"/>
      <c r="V210" s="1500"/>
      <c r="W210" s="1500"/>
      <c r="X210" s="1500"/>
      <c r="Y210" s="1500"/>
      <c r="Z210" s="1500"/>
      <c r="AA210" s="1500"/>
      <c r="AB210" s="1500"/>
      <c r="AC210" s="1500"/>
      <c r="AD210" s="1500"/>
      <c r="AE210" s="1500"/>
      <c r="AF210" s="1500"/>
      <c r="AG210" s="1500"/>
      <c r="AH210" s="1500"/>
      <c r="AI210" s="1500"/>
      <c r="AJ210" s="1500"/>
      <c r="AK210" s="1500"/>
      <c r="AL210" s="1500"/>
      <c r="AM210" s="1500"/>
      <c r="AN210" s="1500"/>
      <c r="AO210" s="1500"/>
      <c r="AP210" s="1500"/>
      <c r="AQ210" s="1500"/>
      <c r="AR210" s="1500"/>
      <c r="AS210" s="1500"/>
      <c r="AT210" s="1500"/>
      <c r="AU210" s="1500"/>
      <c r="AV210" s="1500"/>
      <c r="AW210" s="1500"/>
      <c r="AX210" s="1500"/>
      <c r="AY210" s="1500"/>
      <c r="AZ210" s="1500"/>
      <c r="BA210" s="1500"/>
      <c r="BB210" s="1500"/>
      <c r="BC210" s="1500"/>
      <c r="BD210" s="1500"/>
      <c r="BE210" s="1500"/>
      <c r="BF210" s="1500"/>
      <c r="BG210" s="1500"/>
      <c r="BH210" s="1500"/>
      <c r="BI210" s="1500"/>
      <c r="BJ210" s="1500"/>
      <c r="BK210" s="1500"/>
      <c r="BL210" s="1500"/>
      <c r="BM210" s="1500"/>
      <c r="BN210" s="1500"/>
      <c r="BO210" s="1500"/>
      <c r="BP210" s="1500"/>
      <c r="BQ210" s="1500"/>
      <c r="BR210" s="1500"/>
      <c r="BS210" s="1500"/>
      <c r="BT210" s="1500"/>
      <c r="BU210" s="1500"/>
      <c r="BV210" s="1500"/>
      <c r="BW210" s="1500"/>
      <c r="BX210" s="1500"/>
      <c r="BY210" s="1500"/>
      <c r="BZ210" s="1500"/>
      <c r="CA210" s="1500"/>
      <c r="CB210" s="1500"/>
      <c r="CC210" s="1500"/>
      <c r="CD210" s="1500"/>
      <c r="CE210" s="1500"/>
      <c r="CF210" s="1500"/>
      <c r="CG210" s="1500"/>
      <c r="CH210" s="1500"/>
      <c r="CI210" s="1500"/>
      <c r="CJ210" s="1500"/>
      <c r="CK210" s="1500"/>
      <c r="CL210" s="1500"/>
      <c r="CM210" s="1500"/>
      <c r="CN210" s="1500"/>
      <c r="CO210" s="1500"/>
      <c r="CP210" s="1500"/>
      <c r="CQ210" s="1500"/>
      <c r="CR210" s="1500"/>
      <c r="CS210" s="1500"/>
      <c r="CT210" s="1500"/>
      <c r="CU210" s="1500"/>
      <c r="CV210" s="1500"/>
      <c r="CW210" s="1500"/>
      <c r="CX210" s="1500"/>
      <c r="CY210" s="1500"/>
      <c r="CZ210" s="1500"/>
      <c r="DA210" s="1500"/>
      <c r="DB210" s="1500"/>
      <c r="DC210" s="1500"/>
      <c r="DD210" s="1500"/>
      <c r="DE210" s="1500"/>
      <c r="DF210" s="1500"/>
      <c r="DG210" s="1500"/>
      <c r="DH210" s="1500"/>
      <c r="DI210" s="1500"/>
      <c r="DJ210" s="1500"/>
      <c r="DK210" s="1500"/>
      <c r="DL210" s="1500"/>
      <c r="DM210" s="1500"/>
      <c r="DN210" s="1500"/>
      <c r="DO210" s="1500"/>
      <c r="DP210" s="1500"/>
      <c r="DQ210" s="1500"/>
      <c r="DR210" s="1500"/>
      <c r="DS210" s="1500"/>
      <c r="DT210" s="1500"/>
      <c r="DU210" s="1500"/>
      <c r="DV210" s="1500"/>
      <c r="DW210" s="1500"/>
      <c r="DX210" s="1500"/>
      <c r="DY210" s="1500"/>
      <c r="DZ210" s="1500"/>
      <c r="EA210" s="1500"/>
      <c r="EB210" s="1500"/>
      <c r="EC210" s="1500"/>
      <c r="ED210" s="1500"/>
      <c r="EE210" s="1500"/>
      <c r="EF210" s="1500"/>
      <c r="EG210" s="1500"/>
      <c r="EH210" s="1500"/>
      <c r="EI210" s="1500"/>
      <c r="EJ210" s="1500"/>
      <c r="EK210" s="1500"/>
      <c r="EL210" s="1500"/>
      <c r="EM210" s="1500"/>
      <c r="EN210" s="1500"/>
      <c r="EO210" s="1500"/>
      <c r="EP210" s="1500"/>
      <c r="EQ210" s="1452"/>
      <c r="ER210" s="1452"/>
      <c r="ES210" s="1454">
        <v>1446</v>
      </c>
      <c r="ET210" s="1454">
        <v>12074.55</v>
      </c>
      <c r="EU210" s="1452">
        <v>11300</v>
      </c>
      <c r="EV210" s="1452"/>
      <c r="EW210" s="1452"/>
      <c r="EX210" s="1452"/>
      <c r="EY210" s="1452"/>
      <c r="EZ210" s="1452"/>
      <c r="FA210" s="1452"/>
      <c r="FB210" s="1500"/>
      <c r="FC210" s="1500"/>
      <c r="FD210" s="1500"/>
      <c r="FE210" s="1500"/>
      <c r="FF210" s="1500"/>
      <c r="FG210" s="1500"/>
      <c r="FH210" s="1500"/>
      <c r="FI210" s="1500"/>
      <c r="FJ210" s="1500"/>
      <c r="FK210" s="1500"/>
      <c r="FL210" s="1500"/>
      <c r="FM210" s="1500"/>
      <c r="FN210" s="1500"/>
      <c r="FO210" s="1500"/>
      <c r="FP210" s="1500"/>
      <c r="FQ210" s="1500"/>
      <c r="FR210" s="1500"/>
      <c r="FS210" s="1500"/>
      <c r="FT210" s="1500"/>
      <c r="FU210" s="1500"/>
      <c r="FV210" s="1500"/>
      <c r="FW210" s="1500"/>
      <c r="FX210" s="1500"/>
      <c r="FY210" s="1500"/>
      <c r="FZ210" s="1500"/>
      <c r="GA210" s="1500"/>
      <c r="GB210" s="1500"/>
      <c r="GC210" s="1500"/>
      <c r="GD210" s="1500"/>
      <c r="GE210" s="1500"/>
      <c r="GF210" s="1500"/>
      <c r="GG210" s="1500"/>
      <c r="GH210" s="1500"/>
      <c r="GI210" s="1500"/>
      <c r="GJ210" s="1500"/>
      <c r="GK210" s="1500"/>
      <c r="GL210" s="1500"/>
      <c r="GM210" s="1500"/>
      <c r="GN210" s="1500"/>
      <c r="GO210" s="1500"/>
      <c r="GP210" s="1500"/>
      <c r="GQ210" s="1500"/>
      <c r="GR210" s="1500"/>
      <c r="GS210" s="1500"/>
      <c r="GT210" s="1500"/>
      <c r="GU210" s="1500"/>
      <c r="GV210" s="1500"/>
      <c r="GW210" s="1500"/>
      <c r="GX210" s="1500"/>
      <c r="GY210" s="1500"/>
      <c r="GZ210" s="1500"/>
      <c r="HA210" s="1500"/>
      <c r="HB210" s="1500"/>
      <c r="HC210" s="1500"/>
      <c r="HD210" s="1500"/>
      <c r="HE210" s="1500"/>
      <c r="HF210" s="1500"/>
      <c r="HG210" s="1500"/>
      <c r="HH210" s="1500"/>
      <c r="HI210" s="1500"/>
      <c r="HJ210" s="1500"/>
      <c r="HK210" s="1500"/>
      <c r="HL210" s="1500"/>
      <c r="HM210" s="1500"/>
      <c r="HN210" s="1500"/>
      <c r="HO210" s="1500"/>
      <c r="HP210" s="1500"/>
      <c r="HQ210" s="1500"/>
      <c r="HR210" s="1500"/>
      <c r="HS210" s="1500"/>
      <c r="HT210" s="1500"/>
      <c r="HU210" s="1500"/>
      <c r="HV210" s="1500"/>
      <c r="HW210" s="1500"/>
      <c r="HX210" s="1500"/>
      <c r="HY210" s="1500"/>
      <c r="HZ210" s="1500"/>
      <c r="IA210" s="1500"/>
      <c r="IB210" s="1500"/>
      <c r="IC210" s="1500"/>
      <c r="ID210" s="1500"/>
      <c r="IE210" s="1500"/>
      <c r="IF210" s="1500"/>
      <c r="IG210" s="1500"/>
      <c r="IH210" s="1500"/>
      <c r="II210" s="1500"/>
      <c r="IJ210" s="1500"/>
      <c r="IK210" s="1500"/>
      <c r="IL210" s="1500"/>
      <c r="IM210" s="1500"/>
      <c r="IN210" s="1500"/>
      <c r="IO210" s="1500"/>
      <c r="IP210" s="1500"/>
      <c r="IQ210" s="1500"/>
      <c r="IR210" s="1500"/>
      <c r="IS210" s="1500"/>
      <c r="IT210" s="1500"/>
      <c r="IU210" s="1500"/>
      <c r="IV210" s="1500"/>
      <c r="IW210" s="1500"/>
      <c r="IX210" s="1500"/>
      <c r="IY210" s="1452">
        <v>11300</v>
      </c>
      <c r="IZ210" s="1500"/>
      <c r="JA210" s="1500"/>
      <c r="JB210" s="1500"/>
      <c r="JC210" s="1500"/>
      <c r="JD210" s="1500"/>
      <c r="JE210" s="1500"/>
      <c r="JF210" s="1500"/>
      <c r="JG210" s="1500"/>
      <c r="JH210" s="1500"/>
      <c r="JI210" s="1500"/>
      <c r="JJ210" s="1500"/>
      <c r="JK210" s="1500"/>
      <c r="JL210" s="1500"/>
      <c r="JM210" s="1500"/>
      <c r="JN210" s="1500"/>
      <c r="JO210" s="1500"/>
      <c r="JP210" s="1500"/>
      <c r="JQ210" s="1477"/>
      <c r="JR210" s="351"/>
      <c r="JS210" s="1400" t="s">
        <v>3434</v>
      </c>
      <c r="JT210" s="1400" t="s">
        <v>2242</v>
      </c>
    </row>
    <row r="211" spans="1:280" x14ac:dyDescent="0.25">
      <c r="A211" s="1367">
        <v>55</v>
      </c>
      <c r="B211" s="1411" t="str">
        <f t="shared" si="84"/>
        <v/>
      </c>
      <c r="C211" s="1435" t="s">
        <v>3435</v>
      </c>
      <c r="D211" s="1436" t="s">
        <v>3436</v>
      </c>
      <c r="E211" s="1528"/>
      <c r="F211" s="1528"/>
      <c r="G211" s="1528"/>
      <c r="H211" s="1528"/>
      <c r="I211" s="1528"/>
      <c r="J211" s="1528"/>
      <c r="K211" s="1528"/>
      <c r="L211" s="1528"/>
      <c r="M211" s="1528"/>
      <c r="N211" s="1528"/>
      <c r="O211" s="1528"/>
      <c r="P211" s="1528"/>
      <c r="Q211" s="1528"/>
      <c r="R211" s="1500"/>
      <c r="S211" s="1500"/>
      <c r="T211" s="1500"/>
      <c r="U211" s="1500"/>
      <c r="V211" s="1500"/>
      <c r="W211" s="1500"/>
      <c r="X211" s="1500"/>
      <c r="Y211" s="1500"/>
      <c r="Z211" s="1500"/>
      <c r="AA211" s="1500"/>
      <c r="AB211" s="1500"/>
      <c r="AC211" s="1500"/>
      <c r="AD211" s="1500"/>
      <c r="AE211" s="1500"/>
      <c r="AF211" s="1500"/>
      <c r="AG211" s="1500"/>
      <c r="AH211" s="1500"/>
      <c r="AI211" s="1500"/>
      <c r="AJ211" s="1500"/>
      <c r="AK211" s="1500"/>
      <c r="AL211" s="1500"/>
      <c r="AM211" s="1500"/>
      <c r="AN211" s="1500"/>
      <c r="AO211" s="1500"/>
      <c r="AP211" s="1500"/>
      <c r="AQ211" s="1500"/>
      <c r="AR211" s="1500"/>
      <c r="AS211" s="1500"/>
      <c r="AT211" s="1500"/>
      <c r="AU211" s="1500"/>
      <c r="AV211" s="1500"/>
      <c r="AW211" s="1500"/>
      <c r="AX211" s="1500"/>
      <c r="AY211" s="1500"/>
      <c r="AZ211" s="1500"/>
      <c r="BA211" s="1500"/>
      <c r="BB211" s="1500"/>
      <c r="BC211" s="1500"/>
      <c r="BD211" s="1500"/>
      <c r="BE211" s="1500"/>
      <c r="BF211" s="1500"/>
      <c r="BG211" s="1500"/>
      <c r="BH211" s="1500"/>
      <c r="BI211" s="1500"/>
      <c r="BJ211" s="1500"/>
      <c r="BK211" s="1500"/>
      <c r="BL211" s="1500"/>
      <c r="BM211" s="1500"/>
      <c r="BN211" s="1500"/>
      <c r="BO211" s="1500"/>
      <c r="BP211" s="1500"/>
      <c r="BQ211" s="1500"/>
      <c r="BR211" s="1500"/>
      <c r="BS211" s="1500"/>
      <c r="BT211" s="1500"/>
      <c r="BU211" s="1500"/>
      <c r="BV211" s="1500"/>
      <c r="BW211" s="1500"/>
      <c r="BX211" s="1500"/>
      <c r="BY211" s="1500"/>
      <c r="BZ211" s="1500"/>
      <c r="CA211" s="1500"/>
      <c r="CB211" s="1500"/>
      <c r="CC211" s="1500"/>
      <c r="CD211" s="1500"/>
      <c r="CE211" s="1500"/>
      <c r="CF211" s="1500"/>
      <c r="CG211" s="1500"/>
      <c r="CH211" s="1500"/>
      <c r="CI211" s="1500"/>
      <c r="CJ211" s="1500"/>
      <c r="CK211" s="1500"/>
      <c r="CL211" s="1500"/>
      <c r="CM211" s="1500"/>
      <c r="CN211" s="1500"/>
      <c r="CO211" s="1500"/>
      <c r="CP211" s="1500"/>
      <c r="CQ211" s="1500"/>
      <c r="CR211" s="1500"/>
      <c r="CS211" s="1500"/>
      <c r="CT211" s="1500"/>
      <c r="CU211" s="1500"/>
      <c r="CV211" s="1500"/>
      <c r="CW211" s="1500"/>
      <c r="CX211" s="1500"/>
      <c r="CY211" s="1500"/>
      <c r="CZ211" s="1500"/>
      <c r="DA211" s="1500"/>
      <c r="DB211" s="1500"/>
      <c r="DC211" s="1500"/>
      <c r="DD211" s="1500"/>
      <c r="DE211" s="1500"/>
      <c r="DF211" s="1500"/>
      <c r="DG211" s="1500"/>
      <c r="DH211" s="1500"/>
      <c r="DI211" s="1500"/>
      <c r="DJ211" s="1500"/>
      <c r="DK211" s="1500"/>
      <c r="DL211" s="1500"/>
      <c r="DM211" s="1500"/>
      <c r="DN211" s="1500"/>
      <c r="DO211" s="1500"/>
      <c r="DP211" s="1500"/>
      <c r="DQ211" s="1500"/>
      <c r="DR211" s="1500"/>
      <c r="DS211" s="1500"/>
      <c r="DT211" s="1500"/>
      <c r="DU211" s="1500"/>
      <c r="DV211" s="1500"/>
      <c r="DW211" s="1500"/>
      <c r="DX211" s="1500"/>
      <c r="DY211" s="1500"/>
      <c r="DZ211" s="1500"/>
      <c r="EA211" s="1500"/>
      <c r="EB211" s="1500"/>
      <c r="EC211" s="1500"/>
      <c r="ED211" s="1500"/>
      <c r="EE211" s="1500"/>
      <c r="EF211" s="1500"/>
      <c r="EG211" s="1500"/>
      <c r="EH211" s="1500"/>
      <c r="EI211" s="1500"/>
      <c r="EJ211" s="1500"/>
      <c r="EK211" s="1500"/>
      <c r="EL211" s="1500"/>
      <c r="EM211" s="1500"/>
      <c r="EN211" s="1500"/>
      <c r="EO211" s="1500"/>
      <c r="EP211" s="1500"/>
      <c r="EQ211" s="1452"/>
      <c r="ER211" s="1452"/>
      <c r="ES211" s="1454">
        <v>1889.01</v>
      </c>
      <c r="ET211" s="1452"/>
      <c r="EU211" s="1452"/>
      <c r="EV211" s="1452"/>
      <c r="EW211" s="1452"/>
      <c r="EX211" s="1452"/>
      <c r="EY211" s="1452"/>
      <c r="EZ211" s="1452"/>
      <c r="FA211" s="1452"/>
      <c r="FB211" s="1500"/>
      <c r="FC211" s="1500"/>
      <c r="FD211" s="1500"/>
      <c r="FE211" s="1500"/>
      <c r="FF211" s="1500"/>
      <c r="FG211" s="1500"/>
      <c r="FH211" s="1500"/>
      <c r="FI211" s="1500"/>
      <c r="FJ211" s="1500"/>
      <c r="FK211" s="1500"/>
      <c r="FL211" s="1500"/>
      <c r="FM211" s="1500"/>
      <c r="FN211" s="1500"/>
      <c r="FO211" s="1500"/>
      <c r="FP211" s="1500"/>
      <c r="FQ211" s="1500"/>
      <c r="FR211" s="1500"/>
      <c r="FS211" s="1500"/>
      <c r="FT211" s="1500"/>
      <c r="FU211" s="1500"/>
      <c r="FV211" s="1500"/>
      <c r="FW211" s="1500"/>
      <c r="FX211" s="1500"/>
      <c r="FY211" s="1500"/>
      <c r="FZ211" s="1500"/>
      <c r="GA211" s="1500"/>
      <c r="GB211" s="1500"/>
      <c r="GC211" s="1500"/>
      <c r="GD211" s="1500"/>
      <c r="GE211" s="1500"/>
      <c r="GF211" s="1500"/>
      <c r="GG211" s="1500"/>
      <c r="GH211" s="1500"/>
      <c r="GI211" s="1500"/>
      <c r="GJ211" s="1500"/>
      <c r="GK211" s="1500"/>
      <c r="GL211" s="1500"/>
      <c r="GM211" s="1500"/>
      <c r="GN211" s="1500"/>
      <c r="GO211" s="1500"/>
      <c r="GP211" s="1500"/>
      <c r="GQ211" s="1500"/>
      <c r="GR211" s="1500"/>
      <c r="GS211" s="1500"/>
      <c r="GT211" s="1500"/>
      <c r="GU211" s="1500"/>
      <c r="GV211" s="1500"/>
      <c r="GW211" s="1500"/>
      <c r="GX211" s="1500"/>
      <c r="GY211" s="1500"/>
      <c r="GZ211" s="1500"/>
      <c r="HA211" s="1500"/>
      <c r="HB211" s="1500"/>
      <c r="HC211" s="1500"/>
      <c r="HD211" s="1500"/>
      <c r="HE211" s="1500"/>
      <c r="HF211" s="1500"/>
      <c r="HG211" s="1500"/>
      <c r="HH211" s="1500"/>
      <c r="HI211" s="1500"/>
      <c r="HJ211" s="1500"/>
      <c r="HK211" s="1500"/>
      <c r="HL211" s="1500"/>
      <c r="HM211" s="1500"/>
      <c r="HN211" s="1500"/>
      <c r="HO211" s="1500"/>
      <c r="HP211" s="1500"/>
      <c r="HQ211" s="1500"/>
      <c r="HR211" s="1500"/>
      <c r="HS211" s="1500"/>
      <c r="HT211" s="1500"/>
      <c r="HU211" s="1500"/>
      <c r="HV211" s="1500"/>
      <c r="HW211" s="1500"/>
      <c r="HX211" s="1500"/>
      <c r="HY211" s="1500"/>
      <c r="HZ211" s="1500"/>
      <c r="IA211" s="1500"/>
      <c r="IB211" s="1500"/>
      <c r="IC211" s="1500"/>
      <c r="ID211" s="1500"/>
      <c r="IE211" s="1500"/>
      <c r="IF211" s="1500"/>
      <c r="IG211" s="1500"/>
      <c r="IH211" s="1500"/>
      <c r="II211" s="1500"/>
      <c r="IJ211" s="1500"/>
      <c r="IK211" s="1500"/>
      <c r="IL211" s="1500"/>
      <c r="IM211" s="1500"/>
      <c r="IN211" s="1500"/>
      <c r="IO211" s="1500"/>
      <c r="IP211" s="1500"/>
      <c r="IQ211" s="1500"/>
      <c r="IR211" s="1500"/>
      <c r="IS211" s="1500"/>
      <c r="IT211" s="1500"/>
      <c r="IU211" s="1500"/>
      <c r="IV211" s="1500"/>
      <c r="IW211" s="1500"/>
      <c r="IX211" s="1500"/>
      <c r="IY211" s="1452"/>
      <c r="IZ211" s="1500"/>
      <c r="JA211" s="1500"/>
      <c r="JB211" s="1500"/>
      <c r="JC211" s="1500"/>
      <c r="JD211" s="1500"/>
      <c r="JE211" s="1500"/>
      <c r="JF211" s="1500"/>
      <c r="JG211" s="1500"/>
      <c r="JH211" s="1500"/>
      <c r="JI211" s="1500"/>
      <c r="JJ211" s="1500"/>
      <c r="JK211" s="1500"/>
      <c r="JL211" s="1500"/>
      <c r="JM211" s="1500"/>
      <c r="JN211" s="1500"/>
      <c r="JO211" s="1500"/>
      <c r="JP211" s="1500"/>
      <c r="JQ211" s="1477"/>
      <c r="JR211" s="351"/>
      <c r="JS211" s="1400" t="s">
        <v>3437</v>
      </c>
      <c r="JT211" s="1400" t="s">
        <v>2242</v>
      </c>
    </row>
    <row r="212" spans="1:280" x14ac:dyDescent="0.25">
      <c r="A212" s="1367">
        <v>56</v>
      </c>
      <c r="B212" s="1411" t="str">
        <f t="shared" si="84"/>
        <v/>
      </c>
      <c r="C212" s="1435" t="s">
        <v>3438</v>
      </c>
      <c r="D212" s="1436" t="s">
        <v>3439</v>
      </c>
      <c r="E212" s="1528"/>
      <c r="F212" s="1528"/>
      <c r="G212" s="1528"/>
      <c r="H212" s="1528"/>
      <c r="I212" s="1528"/>
      <c r="J212" s="1528"/>
      <c r="K212" s="1528"/>
      <c r="L212" s="1528"/>
      <c r="M212" s="1528"/>
      <c r="N212" s="1528"/>
      <c r="O212" s="1528"/>
      <c r="P212" s="1528"/>
      <c r="Q212" s="1528"/>
      <c r="R212" s="1500"/>
      <c r="S212" s="1500"/>
      <c r="T212" s="1500"/>
      <c r="U212" s="1500"/>
      <c r="V212" s="1500"/>
      <c r="W212" s="1500"/>
      <c r="X212" s="1500"/>
      <c r="Y212" s="1500"/>
      <c r="Z212" s="1500"/>
      <c r="AA212" s="1500"/>
      <c r="AB212" s="1500"/>
      <c r="AC212" s="1500"/>
      <c r="AD212" s="1500"/>
      <c r="AE212" s="1500"/>
      <c r="AF212" s="1500"/>
      <c r="AG212" s="1500"/>
      <c r="AH212" s="1500"/>
      <c r="AI212" s="1500"/>
      <c r="AJ212" s="1500"/>
      <c r="AK212" s="1500"/>
      <c r="AL212" s="1500"/>
      <c r="AM212" s="1500"/>
      <c r="AN212" s="1500"/>
      <c r="AO212" s="1500"/>
      <c r="AP212" s="1500"/>
      <c r="AQ212" s="1500"/>
      <c r="AR212" s="1500"/>
      <c r="AS212" s="1500"/>
      <c r="AT212" s="1500"/>
      <c r="AU212" s="1500"/>
      <c r="AV212" s="1500"/>
      <c r="AW212" s="1500"/>
      <c r="AX212" s="1500"/>
      <c r="AY212" s="1500"/>
      <c r="AZ212" s="1500"/>
      <c r="BA212" s="1500"/>
      <c r="BB212" s="1500"/>
      <c r="BC212" s="1500"/>
      <c r="BD212" s="1500"/>
      <c r="BE212" s="1500"/>
      <c r="BF212" s="1500"/>
      <c r="BG212" s="1500"/>
      <c r="BH212" s="1500"/>
      <c r="BI212" s="1500"/>
      <c r="BJ212" s="1500"/>
      <c r="BK212" s="1500"/>
      <c r="BL212" s="1500"/>
      <c r="BM212" s="1500"/>
      <c r="BN212" s="1500"/>
      <c r="BO212" s="1500"/>
      <c r="BP212" s="1500"/>
      <c r="BQ212" s="1500"/>
      <c r="BR212" s="1500"/>
      <c r="BS212" s="1500"/>
      <c r="BT212" s="1500"/>
      <c r="BU212" s="1500"/>
      <c r="BV212" s="1500"/>
      <c r="BW212" s="1500"/>
      <c r="BX212" s="1500"/>
      <c r="BY212" s="1500"/>
      <c r="BZ212" s="1500"/>
      <c r="CA212" s="1500"/>
      <c r="CB212" s="1500"/>
      <c r="CC212" s="1500"/>
      <c r="CD212" s="1500"/>
      <c r="CE212" s="1500"/>
      <c r="CF212" s="1500"/>
      <c r="CG212" s="1500"/>
      <c r="CH212" s="1500"/>
      <c r="CI212" s="1500"/>
      <c r="CJ212" s="1500"/>
      <c r="CK212" s="1500"/>
      <c r="CL212" s="1500"/>
      <c r="CM212" s="1500"/>
      <c r="CN212" s="1500"/>
      <c r="CO212" s="1500"/>
      <c r="CP212" s="1500"/>
      <c r="CQ212" s="1500"/>
      <c r="CR212" s="1500"/>
      <c r="CS212" s="1500"/>
      <c r="CT212" s="1500"/>
      <c r="CU212" s="1500"/>
      <c r="CV212" s="1500"/>
      <c r="CW212" s="1500"/>
      <c r="CX212" s="1500"/>
      <c r="CY212" s="1500"/>
      <c r="CZ212" s="1500"/>
      <c r="DA212" s="1500"/>
      <c r="DB212" s="1500"/>
      <c r="DC212" s="1500"/>
      <c r="DD212" s="1500"/>
      <c r="DE212" s="1500"/>
      <c r="DF212" s="1500"/>
      <c r="DG212" s="1500"/>
      <c r="DH212" s="1500"/>
      <c r="DI212" s="1500"/>
      <c r="DJ212" s="1500"/>
      <c r="DK212" s="1500"/>
      <c r="DL212" s="1500"/>
      <c r="DM212" s="1500"/>
      <c r="DN212" s="1500"/>
      <c r="DO212" s="1500"/>
      <c r="DP212" s="1500"/>
      <c r="DQ212" s="1500"/>
      <c r="DR212" s="1500"/>
      <c r="DS212" s="1500"/>
      <c r="DT212" s="1500"/>
      <c r="DU212" s="1500"/>
      <c r="DV212" s="1500"/>
      <c r="DW212" s="1500"/>
      <c r="DX212" s="1500"/>
      <c r="DY212" s="1500"/>
      <c r="DZ212" s="1500"/>
      <c r="EA212" s="1500"/>
      <c r="EB212" s="1500"/>
      <c r="EC212" s="1500"/>
      <c r="ED212" s="1500"/>
      <c r="EE212" s="1500"/>
      <c r="EF212" s="1500"/>
      <c r="EG212" s="1500"/>
      <c r="EH212" s="1500"/>
      <c r="EI212" s="1500"/>
      <c r="EJ212" s="1500"/>
      <c r="EK212" s="1500"/>
      <c r="EL212" s="1500"/>
      <c r="EM212" s="1500"/>
      <c r="EN212" s="1500"/>
      <c r="EO212" s="1500"/>
      <c r="EP212" s="1500"/>
      <c r="EQ212" s="1452"/>
      <c r="ER212" s="1452"/>
      <c r="ES212" s="1452"/>
      <c r="ET212" s="1452"/>
      <c r="EU212" s="1452">
        <v>1187</v>
      </c>
      <c r="EV212" s="1452"/>
      <c r="EW212" s="1452"/>
      <c r="EX212" s="1452"/>
      <c r="EY212" s="1452"/>
      <c r="EZ212" s="1452"/>
      <c r="FA212" s="1452"/>
      <c r="FB212" s="1500"/>
      <c r="FC212" s="1500"/>
      <c r="FD212" s="1500"/>
      <c r="FE212" s="1500"/>
      <c r="FF212" s="1500"/>
      <c r="FG212" s="1500"/>
      <c r="FH212" s="1500"/>
      <c r="FI212" s="1500"/>
      <c r="FJ212" s="1500"/>
      <c r="FK212" s="1500"/>
      <c r="FL212" s="1500"/>
      <c r="FM212" s="1500"/>
      <c r="FN212" s="1500"/>
      <c r="FO212" s="1500"/>
      <c r="FP212" s="1500"/>
      <c r="FQ212" s="1500"/>
      <c r="FR212" s="1500"/>
      <c r="FS212" s="1500"/>
      <c r="FT212" s="1500"/>
      <c r="FU212" s="1500"/>
      <c r="FV212" s="1500"/>
      <c r="FW212" s="1500"/>
      <c r="FX212" s="1500"/>
      <c r="FY212" s="1500"/>
      <c r="FZ212" s="1500"/>
      <c r="GA212" s="1500"/>
      <c r="GB212" s="1500"/>
      <c r="GC212" s="1500"/>
      <c r="GD212" s="1500"/>
      <c r="GE212" s="1500"/>
      <c r="GF212" s="1500"/>
      <c r="GG212" s="1500"/>
      <c r="GH212" s="1500"/>
      <c r="GI212" s="1500"/>
      <c r="GJ212" s="1500"/>
      <c r="GK212" s="1500"/>
      <c r="GL212" s="1500"/>
      <c r="GM212" s="1500"/>
      <c r="GN212" s="1500"/>
      <c r="GO212" s="1500"/>
      <c r="GP212" s="1500"/>
      <c r="GQ212" s="1500"/>
      <c r="GR212" s="1500"/>
      <c r="GS212" s="1500"/>
      <c r="GT212" s="1500"/>
      <c r="GU212" s="1500"/>
      <c r="GV212" s="1500"/>
      <c r="GW212" s="1500"/>
      <c r="GX212" s="1500"/>
      <c r="GY212" s="1500"/>
      <c r="GZ212" s="1500"/>
      <c r="HA212" s="1500"/>
      <c r="HB212" s="1500"/>
      <c r="HC212" s="1500"/>
      <c r="HD212" s="1500"/>
      <c r="HE212" s="1500"/>
      <c r="HF212" s="1500"/>
      <c r="HG212" s="1500"/>
      <c r="HH212" s="1500"/>
      <c r="HI212" s="1500"/>
      <c r="HJ212" s="1500"/>
      <c r="HK212" s="1500"/>
      <c r="HL212" s="1500"/>
      <c r="HM212" s="1500"/>
      <c r="HN212" s="1500"/>
      <c r="HO212" s="1500"/>
      <c r="HP212" s="1500"/>
      <c r="HQ212" s="1500"/>
      <c r="HR212" s="1500"/>
      <c r="HS212" s="1500"/>
      <c r="HT212" s="1500"/>
      <c r="HU212" s="1500"/>
      <c r="HV212" s="1500"/>
      <c r="HW212" s="1500"/>
      <c r="HX212" s="1500"/>
      <c r="HY212" s="1500"/>
      <c r="HZ212" s="1500"/>
      <c r="IA212" s="1500"/>
      <c r="IB212" s="1500"/>
      <c r="IC212" s="1500"/>
      <c r="ID212" s="1500"/>
      <c r="IE212" s="1500"/>
      <c r="IF212" s="1500"/>
      <c r="IG212" s="1500"/>
      <c r="IH212" s="1500"/>
      <c r="II212" s="1500"/>
      <c r="IJ212" s="1500"/>
      <c r="IK212" s="1500"/>
      <c r="IL212" s="1500"/>
      <c r="IM212" s="1500"/>
      <c r="IN212" s="1500"/>
      <c r="IO212" s="1500"/>
      <c r="IP212" s="1500"/>
      <c r="IQ212" s="1500"/>
      <c r="IR212" s="1500"/>
      <c r="IS212" s="1500"/>
      <c r="IT212" s="1500"/>
      <c r="IU212" s="1500"/>
      <c r="IV212" s="1500"/>
      <c r="IW212" s="1500"/>
      <c r="IX212" s="1500"/>
      <c r="IY212" s="1452">
        <v>1187</v>
      </c>
      <c r="IZ212" s="1500"/>
      <c r="JA212" s="1500"/>
      <c r="JB212" s="1500"/>
      <c r="JC212" s="1500"/>
      <c r="JD212" s="1500"/>
      <c r="JE212" s="1500"/>
      <c r="JF212" s="1500"/>
      <c r="JG212" s="1500"/>
      <c r="JH212" s="1500"/>
      <c r="JI212" s="1500"/>
      <c r="JJ212" s="1500"/>
      <c r="JK212" s="1500"/>
      <c r="JL212" s="1500"/>
      <c r="JM212" s="1500"/>
      <c r="JN212" s="1500"/>
      <c r="JO212" s="1500"/>
      <c r="JP212" s="1500"/>
      <c r="JQ212" s="1477"/>
      <c r="JR212" s="351"/>
      <c r="JS212" s="1400"/>
      <c r="JT212" s="1400" t="s">
        <v>2224</v>
      </c>
    </row>
    <row r="213" spans="1:280" x14ac:dyDescent="0.25">
      <c r="A213" s="1367">
        <v>57</v>
      </c>
      <c r="B213" s="1411" t="str">
        <f t="shared" si="84"/>
        <v/>
      </c>
      <c r="C213" s="1435" t="s">
        <v>3440</v>
      </c>
      <c r="D213" s="1436" t="s">
        <v>3441</v>
      </c>
      <c r="E213" s="1552"/>
      <c r="F213" s="1552"/>
      <c r="G213" s="1552"/>
      <c r="H213" s="1552"/>
      <c r="I213" s="1552"/>
      <c r="J213" s="1552"/>
      <c r="K213" s="1552"/>
      <c r="L213" s="1552"/>
      <c r="M213" s="1552"/>
      <c r="N213" s="1552"/>
      <c r="O213" s="1552"/>
      <c r="P213" s="1552"/>
      <c r="Q213" s="1552"/>
      <c r="R213" s="1553"/>
      <c r="S213" s="1553"/>
      <c r="T213" s="1553"/>
      <c r="U213" s="1553"/>
      <c r="V213" s="1553"/>
      <c r="W213" s="1553"/>
      <c r="X213" s="1553"/>
      <c r="Y213" s="1553"/>
      <c r="Z213" s="1553"/>
      <c r="AA213" s="1553"/>
      <c r="AB213" s="1553"/>
      <c r="AC213" s="1553"/>
      <c r="AD213" s="1553"/>
      <c r="AE213" s="1553"/>
      <c r="AF213" s="1553"/>
      <c r="AG213" s="1553"/>
      <c r="AH213" s="1553"/>
      <c r="AI213" s="1553"/>
      <c r="AJ213" s="1553"/>
      <c r="AK213" s="1553"/>
      <c r="AL213" s="1553"/>
      <c r="AM213" s="1553"/>
      <c r="AN213" s="1553"/>
      <c r="AO213" s="1553"/>
      <c r="AP213" s="1553"/>
      <c r="AQ213" s="1553"/>
      <c r="AR213" s="1553"/>
      <c r="AS213" s="1553"/>
      <c r="AT213" s="1553"/>
      <c r="AU213" s="1553"/>
      <c r="AV213" s="1553"/>
      <c r="AW213" s="1553"/>
      <c r="AX213" s="1553"/>
      <c r="AY213" s="1553"/>
      <c r="AZ213" s="1553"/>
      <c r="BA213" s="1553"/>
      <c r="BB213" s="1553"/>
      <c r="BC213" s="1553"/>
      <c r="BD213" s="1553"/>
      <c r="BE213" s="1553"/>
      <c r="BF213" s="1553"/>
      <c r="BG213" s="1553"/>
      <c r="BH213" s="1553"/>
      <c r="BI213" s="1553"/>
      <c r="BJ213" s="1553"/>
      <c r="BK213" s="1553"/>
      <c r="BL213" s="1553"/>
      <c r="BM213" s="1553"/>
      <c r="BN213" s="1553"/>
      <c r="BO213" s="1553"/>
      <c r="BP213" s="1553"/>
      <c r="BQ213" s="1553"/>
      <c r="BR213" s="1553"/>
      <c r="BS213" s="1553"/>
      <c r="BT213" s="1553"/>
      <c r="BU213" s="1553"/>
      <c r="BV213" s="1553"/>
      <c r="BW213" s="1553"/>
      <c r="BX213" s="1553"/>
      <c r="BY213" s="1553"/>
      <c r="BZ213" s="1553"/>
      <c r="CA213" s="1553"/>
      <c r="CB213" s="1553"/>
      <c r="CC213" s="1553"/>
      <c r="CD213" s="1553"/>
      <c r="CE213" s="1553"/>
      <c r="CF213" s="1553"/>
      <c r="CG213" s="1553"/>
      <c r="CH213" s="1553"/>
      <c r="CI213" s="1553"/>
      <c r="CJ213" s="1553"/>
      <c r="CK213" s="1553"/>
      <c r="CL213" s="1553"/>
      <c r="CM213" s="1553"/>
      <c r="CN213" s="1553"/>
      <c r="CO213" s="1553"/>
      <c r="CP213" s="1553"/>
      <c r="CQ213" s="1553"/>
      <c r="CR213" s="1553"/>
      <c r="CS213" s="1553"/>
      <c r="CT213" s="1553"/>
      <c r="CU213" s="1553"/>
      <c r="CV213" s="1553"/>
      <c r="CW213" s="1553"/>
      <c r="CX213" s="1553"/>
      <c r="CY213" s="1553"/>
      <c r="CZ213" s="1553"/>
      <c r="DA213" s="1553"/>
      <c r="DB213" s="1553"/>
      <c r="DC213" s="1553"/>
      <c r="DD213" s="1553"/>
      <c r="DE213" s="1553"/>
      <c r="DF213" s="1553"/>
      <c r="DG213" s="1553"/>
      <c r="DH213" s="1553"/>
      <c r="DI213" s="1553"/>
      <c r="DJ213" s="1553"/>
      <c r="DK213" s="1553"/>
      <c r="DL213" s="1553"/>
      <c r="DM213" s="1553"/>
      <c r="DN213" s="1553"/>
      <c r="DO213" s="1553"/>
      <c r="DP213" s="1553"/>
      <c r="DQ213" s="1553"/>
      <c r="DR213" s="1553"/>
      <c r="DS213" s="1553"/>
      <c r="DT213" s="1553"/>
      <c r="DU213" s="1553"/>
      <c r="DV213" s="1553"/>
      <c r="DW213" s="1553"/>
      <c r="DX213" s="1553"/>
      <c r="DY213" s="1553"/>
      <c r="DZ213" s="1553"/>
      <c r="EA213" s="1553"/>
      <c r="EB213" s="1553"/>
      <c r="EC213" s="1553"/>
      <c r="ED213" s="1553"/>
      <c r="EE213" s="1553"/>
      <c r="EF213" s="1553"/>
      <c r="EG213" s="1553"/>
      <c r="EH213" s="1553"/>
      <c r="EI213" s="1553"/>
      <c r="EJ213" s="1553"/>
      <c r="EK213" s="1553"/>
      <c r="EL213" s="1553"/>
      <c r="EM213" s="1553"/>
      <c r="EN213" s="1553"/>
      <c r="EO213" s="1553"/>
      <c r="EP213" s="1553"/>
      <c r="EQ213" s="1452"/>
      <c r="ER213" s="1538"/>
      <c r="ES213" s="1538"/>
      <c r="ET213" s="1538"/>
      <c r="EU213" s="1452"/>
      <c r="EV213" s="1538"/>
      <c r="EW213" s="1452"/>
      <c r="EX213" s="1538">
        <v>41860.730000000003</v>
      </c>
      <c r="EY213" s="1554">
        <v>2000</v>
      </c>
      <c r="EZ213" s="1538"/>
      <c r="FA213" s="1538"/>
      <c r="FB213" s="1553"/>
      <c r="FC213" s="1553"/>
      <c r="FD213" s="1553"/>
      <c r="FE213" s="1553"/>
      <c r="FF213" s="1553"/>
      <c r="FG213" s="1553"/>
      <c r="FH213" s="1553"/>
      <c r="FI213" s="1553"/>
      <c r="FJ213" s="1553"/>
      <c r="FK213" s="1553"/>
      <c r="FL213" s="1553"/>
      <c r="FM213" s="1553"/>
      <c r="FN213" s="1553"/>
      <c r="FO213" s="1553"/>
      <c r="FP213" s="1553"/>
      <c r="FQ213" s="1553"/>
      <c r="FR213" s="1553"/>
      <c r="FS213" s="1553"/>
      <c r="FT213" s="1553"/>
      <c r="FU213" s="1553"/>
      <c r="FV213" s="1553"/>
      <c r="FW213" s="1553"/>
      <c r="FX213" s="1553"/>
      <c r="FY213" s="1553"/>
      <c r="FZ213" s="1553"/>
      <c r="GA213" s="1553"/>
      <c r="GB213" s="1553"/>
      <c r="GC213" s="1553"/>
      <c r="GD213" s="1553"/>
      <c r="GE213" s="1553"/>
      <c r="GF213" s="1553"/>
      <c r="GG213" s="1553"/>
      <c r="GH213" s="1553"/>
      <c r="GI213" s="1553"/>
      <c r="GJ213" s="1553"/>
      <c r="GK213" s="1553"/>
      <c r="GL213" s="1553"/>
      <c r="GM213" s="1553"/>
      <c r="GN213" s="1553"/>
      <c r="GO213" s="1553"/>
      <c r="GP213" s="1553"/>
      <c r="GQ213" s="1553"/>
      <c r="GR213" s="1553"/>
      <c r="GS213" s="1553"/>
      <c r="GT213" s="1553"/>
      <c r="GU213" s="1553"/>
      <c r="GV213" s="1553"/>
      <c r="GW213" s="1553"/>
      <c r="GX213" s="1553"/>
      <c r="GY213" s="1553"/>
      <c r="GZ213" s="1553"/>
      <c r="HA213" s="1553"/>
      <c r="HB213" s="1553"/>
      <c r="HC213" s="1553"/>
      <c r="HD213" s="1553"/>
      <c r="HE213" s="1553"/>
      <c r="HF213" s="1553"/>
      <c r="HG213" s="1553"/>
      <c r="HH213" s="1553"/>
      <c r="HI213" s="1553"/>
      <c r="HJ213" s="1553"/>
      <c r="HK213" s="1553"/>
      <c r="HL213" s="1553"/>
      <c r="HM213" s="1553"/>
      <c r="HN213" s="1553"/>
      <c r="HO213" s="1553"/>
      <c r="HP213" s="1553"/>
      <c r="HQ213" s="1553"/>
      <c r="HR213" s="1553"/>
      <c r="HS213" s="1553"/>
      <c r="HT213" s="1553"/>
      <c r="HU213" s="1553"/>
      <c r="HV213" s="1553"/>
      <c r="HW213" s="1553"/>
      <c r="HX213" s="1553"/>
      <c r="HY213" s="1553"/>
      <c r="HZ213" s="1553"/>
      <c r="IA213" s="1553"/>
      <c r="IB213" s="1553"/>
      <c r="IC213" s="1553"/>
      <c r="ID213" s="1553"/>
      <c r="IE213" s="1553"/>
      <c r="IF213" s="1553"/>
      <c r="IG213" s="1553"/>
      <c r="IH213" s="1553"/>
      <c r="II213" s="1553"/>
      <c r="IJ213" s="1553"/>
      <c r="IK213" s="1553"/>
      <c r="IL213" s="1553"/>
      <c r="IM213" s="1553"/>
      <c r="IN213" s="1553"/>
      <c r="IO213" s="1553"/>
      <c r="IP213" s="1553"/>
      <c r="IQ213" s="1553"/>
      <c r="IR213" s="1553"/>
      <c r="IS213" s="1553"/>
      <c r="IT213" s="1553"/>
      <c r="IU213" s="1553"/>
      <c r="IV213" s="1553"/>
      <c r="IW213" s="1553"/>
      <c r="IX213" s="1553"/>
      <c r="IY213" s="1452"/>
      <c r="IZ213" s="1553"/>
      <c r="JA213" s="1553"/>
      <c r="JB213" s="1553"/>
      <c r="JC213" s="1553"/>
      <c r="JD213" s="1553"/>
      <c r="JE213" s="1553"/>
      <c r="JF213" s="1553"/>
      <c r="JG213" s="1553"/>
      <c r="JH213" s="1553"/>
      <c r="JI213" s="1553"/>
      <c r="JJ213" s="1553"/>
      <c r="JK213" s="1553"/>
      <c r="JL213" s="1553"/>
      <c r="JM213" s="1553"/>
      <c r="JN213" s="1553"/>
      <c r="JO213" s="1553"/>
      <c r="JP213" s="1553"/>
      <c r="JQ213" s="1555"/>
      <c r="JR213" s="351"/>
      <c r="JS213" s="1400"/>
      <c r="JT213" s="1400" t="s">
        <v>2242</v>
      </c>
    </row>
    <row r="214" spans="1:280" x14ac:dyDescent="0.25">
      <c r="A214" s="1367">
        <v>58</v>
      </c>
      <c r="B214" s="1411" t="str">
        <f t="shared" si="84"/>
        <v/>
      </c>
      <c r="C214" s="1435" t="s">
        <v>3442</v>
      </c>
      <c r="D214" s="1436" t="s">
        <v>3443</v>
      </c>
      <c r="E214" s="1479"/>
      <c r="F214" s="1479"/>
      <c r="G214" s="1479"/>
      <c r="H214" s="1479"/>
      <c r="I214" s="1479"/>
      <c r="J214" s="1479"/>
      <c r="K214" s="1479"/>
      <c r="L214" s="1479"/>
      <c r="M214" s="1479"/>
      <c r="N214" s="1479"/>
      <c r="O214" s="1479"/>
      <c r="P214" s="1479"/>
      <c r="Q214" s="1479"/>
      <c r="R214" s="1479"/>
      <c r="S214" s="1479"/>
      <c r="T214" s="1479"/>
      <c r="U214" s="1479"/>
      <c r="V214" s="1479"/>
      <c r="W214" s="1479"/>
      <c r="X214" s="1479"/>
      <c r="Y214" s="1479"/>
      <c r="Z214" s="1479"/>
      <c r="AA214" s="1479"/>
      <c r="AB214" s="1479"/>
      <c r="AC214" s="1479"/>
      <c r="AD214" s="1479"/>
      <c r="AE214" s="1479"/>
      <c r="AF214" s="1479"/>
      <c r="AG214" s="1479"/>
      <c r="AH214" s="1479"/>
      <c r="AI214" s="1479"/>
      <c r="AJ214" s="1479"/>
      <c r="AK214" s="1479"/>
      <c r="AL214" s="1479"/>
      <c r="AM214" s="1479"/>
      <c r="AN214" s="1479"/>
      <c r="AO214" s="1479"/>
      <c r="AP214" s="1479"/>
      <c r="AQ214" s="1479"/>
      <c r="AR214" s="1479"/>
      <c r="AS214" s="1479"/>
      <c r="AT214" s="1479"/>
      <c r="AU214" s="1479"/>
      <c r="AV214" s="1479"/>
      <c r="AW214" s="1479"/>
      <c r="AX214" s="1479"/>
      <c r="AY214" s="1479"/>
      <c r="AZ214" s="1479"/>
      <c r="BA214" s="1479"/>
      <c r="BB214" s="1479"/>
      <c r="BC214" s="1479"/>
      <c r="BD214" s="1479"/>
      <c r="BE214" s="1479"/>
      <c r="BF214" s="1479"/>
      <c r="BG214" s="1479"/>
      <c r="BH214" s="1479"/>
      <c r="BI214" s="1479"/>
      <c r="BJ214" s="1479"/>
      <c r="BK214" s="1479"/>
      <c r="BL214" s="1479"/>
      <c r="BM214" s="1479"/>
      <c r="BN214" s="1479"/>
      <c r="BO214" s="1479"/>
      <c r="BP214" s="1479"/>
      <c r="BQ214" s="1479"/>
      <c r="BR214" s="1479"/>
      <c r="BS214" s="1479"/>
      <c r="BT214" s="1479"/>
      <c r="BU214" s="1479"/>
      <c r="BV214" s="1479"/>
      <c r="BW214" s="1479"/>
      <c r="BX214" s="1479"/>
      <c r="BY214" s="1479"/>
      <c r="BZ214" s="1479"/>
      <c r="CA214" s="1479"/>
      <c r="CB214" s="1479"/>
      <c r="CC214" s="1479"/>
      <c r="CD214" s="1479"/>
      <c r="CE214" s="1479"/>
      <c r="CF214" s="1479"/>
      <c r="CG214" s="1479"/>
      <c r="CH214" s="1479"/>
      <c r="CI214" s="1479"/>
      <c r="CJ214" s="1479"/>
      <c r="CK214" s="1479"/>
      <c r="CL214" s="1479"/>
      <c r="CM214" s="1479"/>
      <c r="CN214" s="1479"/>
      <c r="CO214" s="1479"/>
      <c r="CP214" s="1479"/>
      <c r="CQ214" s="1479"/>
      <c r="CR214" s="1479"/>
      <c r="CS214" s="1479"/>
      <c r="CT214" s="1479"/>
      <c r="CU214" s="1479"/>
      <c r="CV214" s="1479"/>
      <c r="CW214" s="1479"/>
      <c r="CX214" s="1479"/>
      <c r="CY214" s="1479"/>
      <c r="CZ214" s="1479"/>
      <c r="DA214" s="1479"/>
      <c r="DB214" s="1479"/>
      <c r="DC214" s="1479"/>
      <c r="DD214" s="1479"/>
      <c r="DE214" s="1479"/>
      <c r="DF214" s="1479"/>
      <c r="DG214" s="1479"/>
      <c r="DH214" s="1479"/>
      <c r="DI214" s="1479"/>
      <c r="DJ214" s="1479"/>
      <c r="DK214" s="1479"/>
      <c r="DL214" s="1479"/>
      <c r="DM214" s="1479"/>
      <c r="DN214" s="1479"/>
      <c r="DO214" s="1479"/>
      <c r="DP214" s="1479"/>
      <c r="DQ214" s="1479"/>
      <c r="DR214" s="1479"/>
      <c r="DS214" s="1479"/>
      <c r="DT214" s="1479"/>
      <c r="DU214" s="1479"/>
      <c r="DV214" s="1479"/>
      <c r="DW214" s="1479"/>
      <c r="DX214" s="1479"/>
      <c r="DY214" s="1479"/>
      <c r="DZ214" s="1479"/>
      <c r="EA214" s="1479"/>
      <c r="EB214" s="1479"/>
      <c r="EC214" s="1479"/>
      <c r="ED214" s="1479"/>
      <c r="EE214" s="1479"/>
      <c r="EF214" s="1479"/>
      <c r="EG214" s="1479"/>
      <c r="EH214" s="1479"/>
      <c r="EI214" s="1479"/>
      <c r="EJ214" s="1479"/>
      <c r="EK214" s="1479"/>
      <c r="EL214" s="1479"/>
      <c r="EM214" s="1479"/>
      <c r="EN214" s="1479"/>
      <c r="EO214" s="1479"/>
      <c r="EP214" s="1479"/>
      <c r="EQ214" s="1479"/>
      <c r="ER214" s="1479">
        <f>ER205</f>
        <v>0</v>
      </c>
      <c r="ES214" s="1479">
        <f>ES205</f>
        <v>0</v>
      </c>
      <c r="ET214" s="1479">
        <f>ET205</f>
        <v>0</v>
      </c>
      <c r="EU214" s="1479"/>
      <c r="EV214" s="1479">
        <f>EV205</f>
        <v>0</v>
      </c>
      <c r="EW214" s="1479"/>
      <c r="EX214" s="1503">
        <f>EX205</f>
        <v>26411.58</v>
      </c>
      <c r="EY214" s="1479">
        <f>EY205</f>
        <v>2000</v>
      </c>
      <c r="EZ214" s="1479">
        <f>EZ205</f>
        <v>0</v>
      </c>
      <c r="FA214" s="1503"/>
      <c r="FB214" s="1479"/>
      <c r="FC214" s="1479"/>
      <c r="FD214" s="1479"/>
      <c r="FE214" s="1479"/>
      <c r="FF214" s="1479"/>
      <c r="FG214" s="1479"/>
      <c r="FH214" s="1479"/>
      <c r="FI214" s="1479"/>
      <c r="FJ214" s="1479"/>
      <c r="FK214" s="1479"/>
      <c r="FL214" s="1479"/>
      <c r="FM214" s="1479"/>
      <c r="FN214" s="1479"/>
      <c r="FO214" s="1479"/>
      <c r="FP214" s="1479"/>
      <c r="FQ214" s="1479"/>
      <c r="FR214" s="1479"/>
      <c r="FS214" s="1479"/>
      <c r="FT214" s="1479"/>
      <c r="FU214" s="1479"/>
      <c r="FV214" s="1479"/>
      <c r="FW214" s="1479"/>
      <c r="FX214" s="1479"/>
      <c r="FY214" s="1479"/>
      <c r="FZ214" s="1479"/>
      <c r="GA214" s="1479"/>
      <c r="GB214" s="1479"/>
      <c r="GC214" s="1479"/>
      <c r="GD214" s="1479"/>
      <c r="GE214" s="1479"/>
      <c r="GF214" s="1479"/>
      <c r="GG214" s="1479"/>
      <c r="GH214" s="1479"/>
      <c r="GI214" s="1479"/>
      <c r="GJ214" s="1479"/>
      <c r="GK214" s="1479"/>
      <c r="GL214" s="1479"/>
      <c r="GM214" s="1479"/>
      <c r="GN214" s="1479"/>
      <c r="GO214" s="1479"/>
      <c r="GP214" s="1479"/>
      <c r="GQ214" s="1479"/>
      <c r="GR214" s="1479"/>
      <c r="GS214" s="1479"/>
      <c r="GT214" s="1479"/>
      <c r="GU214" s="1479"/>
      <c r="GV214" s="1479"/>
      <c r="GW214" s="1479"/>
      <c r="GX214" s="1479"/>
      <c r="GY214" s="1479"/>
      <c r="GZ214" s="1479"/>
      <c r="HA214" s="1479"/>
      <c r="HB214" s="1479"/>
      <c r="HC214" s="1479"/>
      <c r="HD214" s="1479"/>
      <c r="HE214" s="1479"/>
      <c r="HF214" s="1479"/>
      <c r="HG214" s="1479"/>
      <c r="HH214" s="1479"/>
      <c r="HI214" s="1479"/>
      <c r="HJ214" s="1479"/>
      <c r="HK214" s="1479"/>
      <c r="HL214" s="1479"/>
      <c r="HM214" s="1479"/>
      <c r="HN214" s="1479"/>
      <c r="HO214" s="1479"/>
      <c r="HP214" s="1479"/>
      <c r="HQ214" s="1479"/>
      <c r="HR214" s="1479"/>
      <c r="HS214" s="1479"/>
      <c r="HT214" s="1479"/>
      <c r="HU214" s="1479"/>
      <c r="HV214" s="1479"/>
      <c r="HW214" s="1479"/>
      <c r="HX214" s="1479"/>
      <c r="HY214" s="1479"/>
      <c r="HZ214" s="1479"/>
      <c r="IA214" s="1479"/>
      <c r="IB214" s="1479"/>
      <c r="IC214" s="1479"/>
      <c r="ID214" s="1479"/>
      <c r="IE214" s="1479"/>
      <c r="IF214" s="1479"/>
      <c r="IG214" s="1479"/>
      <c r="IH214" s="1479"/>
      <c r="II214" s="1479"/>
      <c r="IJ214" s="1479"/>
      <c r="IK214" s="1479"/>
      <c r="IL214" s="1479"/>
      <c r="IM214" s="1479"/>
      <c r="IN214" s="1479"/>
      <c r="IO214" s="1479"/>
      <c r="IP214" s="1479"/>
      <c r="IQ214" s="1479"/>
      <c r="IR214" s="1479"/>
      <c r="IS214" s="1479"/>
      <c r="IT214" s="1479"/>
      <c r="IU214" s="1479"/>
      <c r="IV214" s="1479"/>
      <c r="IW214" s="1479"/>
      <c r="IX214" s="1479"/>
      <c r="IY214" s="1479"/>
      <c r="IZ214" s="1479"/>
      <c r="JA214" s="1479"/>
      <c r="JB214" s="1479"/>
      <c r="JC214" s="1479"/>
      <c r="JD214" s="1479"/>
      <c r="JE214" s="1479"/>
      <c r="JF214" s="1479"/>
      <c r="JG214" s="1479"/>
      <c r="JH214" s="1479"/>
      <c r="JI214" s="1479"/>
      <c r="JJ214" s="1479"/>
      <c r="JK214" s="1479"/>
      <c r="JL214" s="1479"/>
      <c r="JM214" s="1479"/>
      <c r="JN214" s="1479"/>
      <c r="JO214" s="1479"/>
      <c r="JP214" s="1479"/>
      <c r="JQ214" s="1479"/>
      <c r="JR214" s="351"/>
      <c r="JS214" s="1400" t="s">
        <v>3444</v>
      </c>
      <c r="JT214" s="1400" t="s">
        <v>2882</v>
      </c>
    </row>
    <row r="215" spans="1:280" x14ac:dyDescent="0.25">
      <c r="A215" s="1367">
        <v>59</v>
      </c>
      <c r="B215" s="1411" t="str">
        <f t="shared" si="84"/>
        <v/>
      </c>
      <c r="C215" s="1435" t="s">
        <v>3445</v>
      </c>
      <c r="D215" s="1436" t="s">
        <v>3446</v>
      </c>
      <c r="E215" s="1479"/>
      <c r="F215" s="1479"/>
      <c r="G215" s="1479"/>
      <c r="H215" s="1479"/>
      <c r="I215" s="1479"/>
      <c r="J215" s="1479"/>
      <c r="K215" s="1479"/>
      <c r="L215" s="1479"/>
      <c r="M215" s="1479"/>
      <c r="N215" s="1479"/>
      <c r="O215" s="1479"/>
      <c r="P215" s="1479"/>
      <c r="Q215" s="1479"/>
      <c r="R215" s="1479"/>
      <c r="S215" s="1479"/>
      <c r="T215" s="1479"/>
      <c r="U215" s="1479"/>
      <c r="V215" s="1479"/>
      <c r="W215" s="1479"/>
      <c r="X215" s="1479"/>
      <c r="Y215" s="1479"/>
      <c r="Z215" s="1479"/>
      <c r="AA215" s="1479"/>
      <c r="AB215" s="1479"/>
      <c r="AC215" s="1479"/>
      <c r="AD215" s="1479"/>
      <c r="AE215" s="1479"/>
      <c r="AF215" s="1479"/>
      <c r="AG215" s="1479"/>
      <c r="AH215" s="1479"/>
      <c r="AI215" s="1479"/>
      <c r="AJ215" s="1479"/>
      <c r="AK215" s="1479"/>
      <c r="AL215" s="1479"/>
      <c r="AM215" s="1479"/>
      <c r="AN215" s="1479"/>
      <c r="AO215" s="1479"/>
      <c r="AP215" s="1479"/>
      <c r="AQ215" s="1479"/>
      <c r="AR215" s="1479"/>
      <c r="AS215" s="1479"/>
      <c r="AT215" s="1479"/>
      <c r="AU215" s="1479"/>
      <c r="AV215" s="1479"/>
      <c r="AW215" s="1479"/>
      <c r="AX215" s="1479"/>
      <c r="AY215" s="1479"/>
      <c r="AZ215" s="1479"/>
      <c r="BA215" s="1479"/>
      <c r="BB215" s="1479"/>
      <c r="BC215" s="1479"/>
      <c r="BD215" s="1479"/>
      <c r="BE215" s="1479"/>
      <c r="BF215" s="1479"/>
      <c r="BG215" s="1479"/>
      <c r="BH215" s="1479"/>
      <c r="BI215" s="1479"/>
      <c r="BJ215" s="1479"/>
      <c r="BK215" s="1479"/>
      <c r="BL215" s="1479"/>
      <c r="BM215" s="1479"/>
      <c r="BN215" s="1479"/>
      <c r="BO215" s="1479"/>
      <c r="BP215" s="1479"/>
      <c r="BQ215" s="1479"/>
      <c r="BR215" s="1479"/>
      <c r="BS215" s="1479"/>
      <c r="BT215" s="1479"/>
      <c r="BU215" s="1479"/>
      <c r="BV215" s="1479"/>
      <c r="BW215" s="1479"/>
      <c r="BX215" s="1479"/>
      <c r="BY215" s="1479"/>
      <c r="BZ215" s="1479"/>
      <c r="CA215" s="1479"/>
      <c r="CB215" s="1479"/>
      <c r="CC215" s="1479"/>
      <c r="CD215" s="1479"/>
      <c r="CE215" s="1479"/>
      <c r="CF215" s="1479"/>
      <c r="CG215" s="1479"/>
      <c r="CH215" s="1479"/>
      <c r="CI215" s="1479"/>
      <c r="CJ215" s="1479"/>
      <c r="CK215" s="1479"/>
      <c r="CL215" s="1479"/>
      <c r="CM215" s="1479"/>
      <c r="CN215" s="1479"/>
      <c r="CO215" s="1479"/>
      <c r="CP215" s="1479"/>
      <c r="CQ215" s="1479"/>
      <c r="CR215" s="1479"/>
      <c r="CS215" s="1479"/>
      <c r="CT215" s="1479"/>
      <c r="CU215" s="1479"/>
      <c r="CV215" s="1479"/>
      <c r="CW215" s="1479"/>
      <c r="CX215" s="1479"/>
      <c r="CY215" s="1479"/>
      <c r="CZ215" s="1479"/>
      <c r="DA215" s="1479"/>
      <c r="DB215" s="1479"/>
      <c r="DC215" s="1479"/>
      <c r="DD215" s="1479"/>
      <c r="DE215" s="1479"/>
      <c r="DF215" s="1479"/>
      <c r="DG215" s="1479"/>
      <c r="DH215" s="1479"/>
      <c r="DI215" s="1479"/>
      <c r="DJ215" s="1479"/>
      <c r="DK215" s="1479"/>
      <c r="DL215" s="1479"/>
      <c r="DM215" s="1479"/>
      <c r="DN215" s="1479"/>
      <c r="DO215" s="1479"/>
      <c r="DP215" s="1479"/>
      <c r="DQ215" s="1479"/>
      <c r="DR215" s="1479"/>
      <c r="DS215" s="1479"/>
      <c r="DT215" s="1479"/>
      <c r="DU215" s="1479"/>
      <c r="DV215" s="1479"/>
      <c r="DW215" s="1479"/>
      <c r="DX215" s="1479"/>
      <c r="DY215" s="1479"/>
      <c r="DZ215" s="1479"/>
      <c r="EA215" s="1479"/>
      <c r="EB215" s="1479"/>
      <c r="EC215" s="1479"/>
      <c r="ED215" s="1479"/>
      <c r="EE215" s="1479"/>
      <c r="EF215" s="1479"/>
      <c r="EG215" s="1479"/>
      <c r="EH215" s="1479"/>
      <c r="EI215" s="1479"/>
      <c r="EJ215" s="1479"/>
      <c r="EK215" s="1479"/>
      <c r="EL215" s="1479"/>
      <c r="EM215" s="1479"/>
      <c r="EN215" s="1479"/>
      <c r="EO215" s="1479"/>
      <c r="EP215" s="1479"/>
      <c r="EQ215" s="1479"/>
      <c r="ER215" s="1479"/>
      <c r="ES215" s="1479"/>
      <c r="ET215" s="1479"/>
      <c r="EU215" s="1479">
        <f>EU212</f>
        <v>1187</v>
      </c>
      <c r="EV215" s="1479"/>
      <c r="EW215" s="1479"/>
      <c r="EX215" s="1479"/>
      <c r="EY215" s="1479"/>
      <c r="EZ215" s="1479"/>
      <c r="FA215" s="1479"/>
      <c r="FB215" s="1479"/>
      <c r="FC215" s="1479"/>
      <c r="FD215" s="1479"/>
      <c r="FE215" s="1479"/>
      <c r="FF215" s="1479"/>
      <c r="FG215" s="1479"/>
      <c r="FH215" s="1479"/>
      <c r="FI215" s="1479"/>
      <c r="FJ215" s="1479"/>
      <c r="FK215" s="1479"/>
      <c r="FL215" s="1479"/>
      <c r="FM215" s="1479"/>
      <c r="FN215" s="1479"/>
      <c r="FO215" s="1479"/>
      <c r="FP215" s="1479"/>
      <c r="FQ215" s="1479"/>
      <c r="FR215" s="1479"/>
      <c r="FS215" s="1479"/>
      <c r="FT215" s="1479"/>
      <c r="FU215" s="1479"/>
      <c r="FV215" s="1479"/>
      <c r="FW215" s="1479"/>
      <c r="FX215" s="1479"/>
      <c r="FY215" s="1479"/>
      <c r="FZ215" s="1479"/>
      <c r="GA215" s="1479"/>
      <c r="GB215" s="1479"/>
      <c r="GC215" s="1479"/>
      <c r="GD215" s="1479"/>
      <c r="GE215" s="1479"/>
      <c r="GF215" s="1479"/>
      <c r="GG215" s="1479"/>
      <c r="GH215" s="1479"/>
      <c r="GI215" s="1479"/>
      <c r="GJ215" s="1479"/>
      <c r="GK215" s="1479"/>
      <c r="GL215" s="1479"/>
      <c r="GM215" s="1479"/>
      <c r="GN215" s="1479"/>
      <c r="GO215" s="1479"/>
      <c r="GP215" s="1479"/>
      <c r="GQ215" s="1479"/>
      <c r="GR215" s="1479"/>
      <c r="GS215" s="1479"/>
      <c r="GT215" s="1479"/>
      <c r="GU215" s="1479"/>
      <c r="GV215" s="1479"/>
      <c r="GW215" s="1479"/>
      <c r="GX215" s="1479"/>
      <c r="GY215" s="1479"/>
      <c r="GZ215" s="1479"/>
      <c r="HA215" s="1479"/>
      <c r="HB215" s="1479"/>
      <c r="HC215" s="1479"/>
      <c r="HD215" s="1479"/>
      <c r="HE215" s="1479"/>
      <c r="HF215" s="1479"/>
      <c r="HG215" s="1479"/>
      <c r="HH215" s="1479"/>
      <c r="HI215" s="1479"/>
      <c r="HJ215" s="1479"/>
      <c r="HK215" s="1479"/>
      <c r="HL215" s="1479"/>
      <c r="HM215" s="1479"/>
      <c r="HN215" s="1479"/>
      <c r="HO215" s="1479"/>
      <c r="HP215" s="1479"/>
      <c r="HQ215" s="1479"/>
      <c r="HR215" s="1479"/>
      <c r="HS215" s="1479"/>
      <c r="HT215" s="1479"/>
      <c r="HU215" s="1479"/>
      <c r="HV215" s="1479"/>
      <c r="HW215" s="1479"/>
      <c r="HX215" s="1479"/>
      <c r="HY215" s="1479"/>
      <c r="HZ215" s="1479"/>
      <c r="IA215" s="1479"/>
      <c r="IB215" s="1479"/>
      <c r="IC215" s="1479"/>
      <c r="ID215" s="1479"/>
      <c r="IE215" s="1479"/>
      <c r="IF215" s="1479"/>
      <c r="IG215" s="1479"/>
      <c r="IH215" s="1479"/>
      <c r="II215" s="1479"/>
      <c r="IJ215" s="1479"/>
      <c r="IK215" s="1479"/>
      <c r="IL215" s="1479"/>
      <c r="IM215" s="1479"/>
      <c r="IN215" s="1479"/>
      <c r="IO215" s="1479"/>
      <c r="IP215" s="1479"/>
      <c r="IQ215" s="1479"/>
      <c r="IR215" s="1479"/>
      <c r="IS215" s="1479"/>
      <c r="IT215" s="1479"/>
      <c r="IU215" s="1479"/>
      <c r="IV215" s="1479"/>
      <c r="IW215" s="1479"/>
      <c r="IX215" s="1479"/>
      <c r="IY215" s="1479">
        <f>IY212</f>
        <v>1187</v>
      </c>
      <c r="IZ215" s="1479"/>
      <c r="JA215" s="1479"/>
      <c r="JB215" s="1479"/>
      <c r="JC215" s="1479"/>
      <c r="JD215" s="1479"/>
      <c r="JE215" s="1479"/>
      <c r="JF215" s="1479"/>
      <c r="JG215" s="1479"/>
      <c r="JH215" s="1479"/>
      <c r="JI215" s="1479"/>
      <c r="JJ215" s="1479"/>
      <c r="JK215" s="1479"/>
      <c r="JL215" s="1479"/>
      <c r="JM215" s="1479"/>
      <c r="JN215" s="1479"/>
      <c r="JO215" s="1479"/>
      <c r="JP215" s="1479"/>
      <c r="JQ215" s="1479"/>
      <c r="JR215" s="351"/>
      <c r="JS215" s="1400" t="s">
        <v>3447</v>
      </c>
      <c r="JT215" s="1400" t="s">
        <v>2224</v>
      </c>
    </row>
    <row r="216" spans="1:280" ht="30" x14ac:dyDescent="0.25">
      <c r="A216" s="1367">
        <v>60</v>
      </c>
      <c r="B216" s="1411" t="str">
        <f t="shared" si="84"/>
        <v/>
      </c>
      <c r="C216" s="1435" t="s">
        <v>3448</v>
      </c>
      <c r="D216" s="1436" t="s">
        <v>3449</v>
      </c>
      <c r="E216" s="1479"/>
      <c r="F216" s="1479"/>
      <c r="G216" s="1479"/>
      <c r="H216" s="1479"/>
      <c r="I216" s="1479"/>
      <c r="J216" s="1479"/>
      <c r="K216" s="1479"/>
      <c r="L216" s="1479"/>
      <c r="M216" s="1479"/>
      <c r="N216" s="1479"/>
      <c r="O216" s="1479"/>
      <c r="P216" s="1479"/>
      <c r="Q216" s="1479"/>
      <c r="R216" s="1479"/>
      <c r="S216" s="1479"/>
      <c r="T216" s="1479"/>
      <c r="U216" s="1479"/>
      <c r="V216" s="1479"/>
      <c r="W216" s="1479"/>
      <c r="X216" s="1479"/>
      <c r="Y216" s="1479"/>
      <c r="Z216" s="1479"/>
      <c r="AA216" s="1479"/>
      <c r="AB216" s="1479"/>
      <c r="AC216" s="1479"/>
      <c r="AD216" s="1479"/>
      <c r="AE216" s="1479"/>
      <c r="AF216" s="1479"/>
      <c r="AG216" s="1479"/>
      <c r="AH216" s="1479"/>
      <c r="AI216" s="1479"/>
      <c r="AJ216" s="1479"/>
      <c r="AK216" s="1479"/>
      <c r="AL216" s="1479"/>
      <c r="AM216" s="1479"/>
      <c r="AN216" s="1479"/>
      <c r="AO216" s="1479"/>
      <c r="AP216" s="1479"/>
      <c r="AQ216" s="1479"/>
      <c r="AR216" s="1479"/>
      <c r="AS216" s="1479"/>
      <c r="AT216" s="1479"/>
      <c r="AU216" s="1479"/>
      <c r="AV216" s="1479"/>
      <c r="AW216" s="1479"/>
      <c r="AX216" s="1479"/>
      <c r="AY216" s="1479"/>
      <c r="AZ216" s="1479"/>
      <c r="BA216" s="1479"/>
      <c r="BB216" s="1479"/>
      <c r="BC216" s="1479"/>
      <c r="BD216" s="1479"/>
      <c r="BE216" s="1479"/>
      <c r="BF216" s="1479"/>
      <c r="BG216" s="1479"/>
      <c r="BH216" s="1479"/>
      <c r="BI216" s="1479"/>
      <c r="BJ216" s="1479"/>
      <c r="BK216" s="1479"/>
      <c r="BL216" s="1479"/>
      <c r="BM216" s="1479"/>
      <c r="BN216" s="1479"/>
      <c r="BO216" s="1479"/>
      <c r="BP216" s="1479"/>
      <c r="BQ216" s="1479"/>
      <c r="BR216" s="1479"/>
      <c r="BS216" s="1479"/>
      <c r="BT216" s="1479"/>
      <c r="BU216" s="1479"/>
      <c r="BV216" s="1479"/>
      <c r="BW216" s="1479"/>
      <c r="BX216" s="1479"/>
      <c r="BY216" s="1479"/>
      <c r="BZ216" s="1479"/>
      <c r="CA216" s="1479"/>
      <c r="CB216" s="1479"/>
      <c r="CC216" s="1479"/>
      <c r="CD216" s="1479"/>
      <c r="CE216" s="1479"/>
      <c r="CF216" s="1479"/>
      <c r="CG216" s="1479"/>
      <c r="CH216" s="1479"/>
      <c r="CI216" s="1479"/>
      <c r="CJ216" s="1479"/>
      <c r="CK216" s="1479"/>
      <c r="CL216" s="1479"/>
      <c r="CM216" s="1479"/>
      <c r="CN216" s="1479"/>
      <c r="CO216" s="1479"/>
      <c r="CP216" s="1479"/>
      <c r="CQ216" s="1479"/>
      <c r="CR216" s="1479"/>
      <c r="CS216" s="1479"/>
      <c r="CT216" s="1479"/>
      <c r="CU216" s="1479"/>
      <c r="CV216" s="1479"/>
      <c r="CW216" s="1479"/>
      <c r="CX216" s="1479"/>
      <c r="CY216" s="1479"/>
      <c r="CZ216" s="1479"/>
      <c r="DA216" s="1479"/>
      <c r="DB216" s="1479"/>
      <c r="DC216" s="1479"/>
      <c r="DD216" s="1479"/>
      <c r="DE216" s="1479"/>
      <c r="DF216" s="1479"/>
      <c r="DG216" s="1479"/>
      <c r="DH216" s="1479"/>
      <c r="DI216" s="1479"/>
      <c r="DJ216" s="1479"/>
      <c r="DK216" s="1479"/>
      <c r="DL216" s="1479"/>
      <c r="DM216" s="1479"/>
      <c r="DN216" s="1479"/>
      <c r="DO216" s="1479"/>
      <c r="DP216" s="1479"/>
      <c r="DQ216" s="1479"/>
      <c r="DR216" s="1479"/>
      <c r="DS216" s="1479"/>
      <c r="DT216" s="1479"/>
      <c r="DU216" s="1479"/>
      <c r="DV216" s="1479"/>
      <c r="DW216" s="1479"/>
      <c r="DX216" s="1479"/>
      <c r="DY216" s="1479"/>
      <c r="DZ216" s="1479"/>
      <c r="EA216" s="1479"/>
      <c r="EB216" s="1479"/>
      <c r="EC216" s="1479"/>
      <c r="ED216" s="1479"/>
      <c r="EE216" s="1479"/>
      <c r="EF216" s="1479"/>
      <c r="EG216" s="1479"/>
      <c r="EH216" s="1479"/>
      <c r="EI216" s="1479"/>
      <c r="EJ216" s="1479"/>
      <c r="EK216" s="1479"/>
      <c r="EL216" s="1479"/>
      <c r="EM216" s="1479"/>
      <c r="EN216" s="1479"/>
      <c r="EO216" s="1479"/>
      <c r="EP216" s="1479"/>
      <c r="EQ216" s="1479"/>
      <c r="ER216" s="1503"/>
      <c r="ES216" s="1503">
        <f>MAX(0,ES213+ES215-ES214)</f>
        <v>0</v>
      </c>
      <c r="ET216" s="1503"/>
      <c r="EU216" s="1479">
        <f>MAX(0,EU213+EU215-EU214)</f>
        <v>1187</v>
      </c>
      <c r="EV216" s="1479"/>
      <c r="EW216" s="1479"/>
      <c r="EX216" s="1503">
        <f>MAX(0,EX213+EX215-EX214)</f>
        <v>15449.150000000001</v>
      </c>
      <c r="EY216" s="1479"/>
      <c r="EZ216" s="1479"/>
      <c r="FA216" s="1503"/>
      <c r="FB216" s="1479"/>
      <c r="FC216" s="1479"/>
      <c r="FD216" s="1479"/>
      <c r="FE216" s="1479"/>
      <c r="FF216" s="1479"/>
      <c r="FG216" s="1479"/>
      <c r="FH216" s="1479"/>
      <c r="FI216" s="1479"/>
      <c r="FJ216" s="1479"/>
      <c r="FK216" s="1479"/>
      <c r="FL216" s="1479"/>
      <c r="FM216" s="1479"/>
      <c r="FN216" s="1479"/>
      <c r="FO216" s="1479"/>
      <c r="FP216" s="1479"/>
      <c r="FQ216" s="1479"/>
      <c r="FR216" s="1479"/>
      <c r="FS216" s="1479"/>
      <c r="FT216" s="1479"/>
      <c r="FU216" s="1479"/>
      <c r="FV216" s="1479"/>
      <c r="FW216" s="1479"/>
      <c r="FX216" s="1479"/>
      <c r="FY216" s="1479"/>
      <c r="FZ216" s="1479"/>
      <c r="GA216" s="1479"/>
      <c r="GB216" s="1479"/>
      <c r="GC216" s="1479"/>
      <c r="GD216" s="1479"/>
      <c r="GE216" s="1479"/>
      <c r="GF216" s="1479"/>
      <c r="GG216" s="1479"/>
      <c r="GH216" s="1479"/>
      <c r="GI216" s="1479"/>
      <c r="GJ216" s="1479"/>
      <c r="GK216" s="1479"/>
      <c r="GL216" s="1479"/>
      <c r="GM216" s="1479"/>
      <c r="GN216" s="1479"/>
      <c r="GO216" s="1479"/>
      <c r="GP216" s="1479"/>
      <c r="GQ216" s="1479"/>
      <c r="GR216" s="1479"/>
      <c r="GS216" s="1479"/>
      <c r="GT216" s="1479"/>
      <c r="GU216" s="1479"/>
      <c r="GV216" s="1479"/>
      <c r="GW216" s="1479"/>
      <c r="GX216" s="1479"/>
      <c r="GY216" s="1479"/>
      <c r="GZ216" s="1479"/>
      <c r="HA216" s="1479"/>
      <c r="HB216" s="1479"/>
      <c r="HC216" s="1479"/>
      <c r="HD216" s="1479"/>
      <c r="HE216" s="1479"/>
      <c r="HF216" s="1479"/>
      <c r="HG216" s="1479"/>
      <c r="HH216" s="1479"/>
      <c r="HI216" s="1479"/>
      <c r="HJ216" s="1479"/>
      <c r="HK216" s="1479"/>
      <c r="HL216" s="1479"/>
      <c r="HM216" s="1479"/>
      <c r="HN216" s="1479"/>
      <c r="HO216" s="1479"/>
      <c r="HP216" s="1479"/>
      <c r="HQ216" s="1479"/>
      <c r="HR216" s="1479"/>
      <c r="HS216" s="1479"/>
      <c r="HT216" s="1479"/>
      <c r="HU216" s="1479"/>
      <c r="HV216" s="1479"/>
      <c r="HW216" s="1479"/>
      <c r="HX216" s="1479"/>
      <c r="HY216" s="1479"/>
      <c r="HZ216" s="1479"/>
      <c r="IA216" s="1479"/>
      <c r="IB216" s="1479"/>
      <c r="IC216" s="1479"/>
      <c r="ID216" s="1479"/>
      <c r="IE216" s="1479"/>
      <c r="IF216" s="1479"/>
      <c r="IG216" s="1479"/>
      <c r="IH216" s="1479"/>
      <c r="II216" s="1479"/>
      <c r="IJ216" s="1479"/>
      <c r="IK216" s="1479"/>
      <c r="IL216" s="1479"/>
      <c r="IM216" s="1479"/>
      <c r="IN216" s="1479"/>
      <c r="IO216" s="1479"/>
      <c r="IP216" s="1479"/>
      <c r="IQ216" s="1479"/>
      <c r="IR216" s="1479"/>
      <c r="IS216" s="1479"/>
      <c r="IT216" s="1479"/>
      <c r="IU216" s="1479"/>
      <c r="IV216" s="1479"/>
      <c r="IW216" s="1479"/>
      <c r="IX216" s="1479"/>
      <c r="IY216" s="1479">
        <f>MAX(0,IY213+IY215-IY214)</f>
        <v>1187</v>
      </c>
      <c r="IZ216" s="1479"/>
      <c r="JA216" s="1479"/>
      <c r="JB216" s="1479"/>
      <c r="JC216" s="1479"/>
      <c r="JD216" s="1479"/>
      <c r="JE216" s="1479"/>
      <c r="JF216" s="1479"/>
      <c r="JG216" s="1479"/>
      <c r="JH216" s="1479"/>
      <c r="JI216" s="1479"/>
      <c r="JJ216" s="1479"/>
      <c r="JK216" s="1479"/>
      <c r="JL216" s="1479"/>
      <c r="JM216" s="1479"/>
      <c r="JN216" s="1479"/>
      <c r="JO216" s="1479"/>
      <c r="JP216" s="1479"/>
      <c r="JQ216" s="1479"/>
      <c r="JR216" s="351"/>
      <c r="JS216" s="1400" t="s">
        <v>3450</v>
      </c>
      <c r="JT216" s="1400" t="s">
        <v>2224</v>
      </c>
    </row>
    <row r="217" spans="1:280" x14ac:dyDescent="0.25">
      <c r="A217" s="1367">
        <v>61</v>
      </c>
      <c r="B217" s="1411" t="str">
        <f t="shared" si="84"/>
        <v/>
      </c>
      <c r="C217" s="1435" t="s">
        <v>3451</v>
      </c>
      <c r="D217" s="1436" t="str">
        <f>"If your total profits for "&amp;tax_year&amp;" are less than "&amp;DOLLAR(NIC2_SPT,0)&amp;" and you choose to pay Class 2 NICs voluntarily, put 'X' in the box"</f>
        <v>If your total profits for 2025-26 are less than £6,845 and you choose to pay Class 2 NICs voluntarily, put 'X' in the box</v>
      </c>
      <c r="E217" s="2547"/>
      <c r="F217" s="2547"/>
      <c r="G217" s="2547"/>
      <c r="H217" s="2547"/>
      <c r="I217" s="2547"/>
      <c r="J217" s="2547"/>
      <c r="K217" s="2547"/>
      <c r="L217" s="2547"/>
      <c r="M217" s="2547"/>
      <c r="N217" s="2547"/>
      <c r="O217" s="2547"/>
      <c r="P217" s="2547"/>
      <c r="Q217" s="2547"/>
      <c r="R217" s="2545"/>
      <c r="S217" s="2545"/>
      <c r="T217" s="2545"/>
      <c r="U217" s="2545"/>
      <c r="V217" s="2545"/>
      <c r="W217" s="2545"/>
      <c r="X217" s="2545"/>
      <c r="Y217" s="2545"/>
      <c r="Z217" s="2545"/>
      <c r="AA217" s="2545"/>
      <c r="AB217" s="2545"/>
      <c r="AC217" s="2545"/>
      <c r="AD217" s="2545"/>
      <c r="AE217" s="2545"/>
      <c r="AF217" s="2545"/>
      <c r="AG217" s="2545"/>
      <c r="AH217" s="2545"/>
      <c r="AI217" s="2545"/>
      <c r="AJ217" s="2545"/>
      <c r="AK217" s="2545"/>
      <c r="AL217" s="2545"/>
      <c r="AM217" s="2545"/>
      <c r="AN217" s="2545"/>
      <c r="AO217" s="2545"/>
      <c r="AP217" s="2545"/>
      <c r="AQ217" s="2545"/>
      <c r="AR217" s="2545"/>
      <c r="AS217" s="2545"/>
      <c r="AT217" s="2545"/>
      <c r="AU217" s="2545"/>
      <c r="AV217" s="2545"/>
      <c r="AW217" s="2545"/>
      <c r="AX217" s="2545"/>
      <c r="AY217" s="2545"/>
      <c r="AZ217" s="2545"/>
      <c r="BA217" s="2545"/>
      <c r="BB217" s="2545"/>
      <c r="BC217" s="2545"/>
      <c r="BD217" s="2545"/>
      <c r="BE217" s="2545"/>
      <c r="BF217" s="2545"/>
      <c r="BG217" s="2545"/>
      <c r="BH217" s="2545"/>
      <c r="BI217" s="2545"/>
      <c r="BJ217" s="2545"/>
      <c r="BK217" s="2545"/>
      <c r="BL217" s="2545"/>
      <c r="BM217" s="2545"/>
      <c r="BN217" s="2545"/>
      <c r="BO217" s="2545"/>
      <c r="BP217" s="2545"/>
      <c r="BQ217" s="2545"/>
      <c r="BR217" s="2545"/>
      <c r="BS217" s="2545"/>
      <c r="BT217" s="2545"/>
      <c r="BU217" s="2545"/>
      <c r="BV217" s="2545"/>
      <c r="BW217" s="2545"/>
      <c r="BX217" s="2545"/>
      <c r="BY217" s="2545"/>
      <c r="BZ217" s="2545"/>
      <c r="CA217" s="2545"/>
      <c r="CB217" s="2545"/>
      <c r="CC217" s="2545"/>
      <c r="CD217" s="2545"/>
      <c r="CE217" s="2545"/>
      <c r="CF217" s="2545"/>
      <c r="CG217" s="2545"/>
      <c r="CH217" s="2545"/>
      <c r="CI217" s="2545"/>
      <c r="CJ217" s="2545"/>
      <c r="CK217" s="2545"/>
      <c r="CL217" s="2545"/>
      <c r="CM217" s="2545"/>
      <c r="CN217" s="2545"/>
      <c r="CO217" s="2545"/>
      <c r="CP217" s="2545"/>
      <c r="CQ217" s="2545"/>
      <c r="CR217" s="2545"/>
      <c r="CS217" s="2545"/>
      <c r="CT217" s="2545"/>
      <c r="CU217" s="2545"/>
      <c r="CV217" s="2545"/>
      <c r="CW217" s="2545"/>
      <c r="CX217" s="2545"/>
      <c r="CY217" s="2545"/>
      <c r="CZ217" s="2545"/>
      <c r="DA217" s="2545"/>
      <c r="DB217" s="2545"/>
      <c r="DC217" s="2545"/>
      <c r="DD217" s="2545"/>
      <c r="DE217" s="2545"/>
      <c r="DF217" s="2545"/>
      <c r="DG217" s="2545"/>
      <c r="DH217" s="2545"/>
      <c r="DI217" s="2545"/>
      <c r="DJ217" s="2545"/>
      <c r="DK217" s="2545"/>
      <c r="DL217" s="2545"/>
      <c r="DM217" s="2545"/>
      <c r="DN217" s="2545"/>
      <c r="DO217" s="2545"/>
      <c r="DP217" s="2545"/>
      <c r="DQ217" s="2545"/>
      <c r="DR217" s="2545"/>
      <c r="DS217" s="2545"/>
      <c r="DT217" s="2545"/>
      <c r="DU217" s="2545"/>
      <c r="DV217" s="2545"/>
      <c r="DW217" s="2545"/>
      <c r="DX217" s="2545"/>
      <c r="DY217" s="2545"/>
      <c r="DZ217" s="2545"/>
      <c r="EA217" s="2545"/>
      <c r="EB217" s="2545"/>
      <c r="EC217" s="2545"/>
      <c r="ED217" s="2545"/>
      <c r="EE217" s="2545"/>
      <c r="EF217" s="2545"/>
      <c r="EG217" s="2545"/>
      <c r="EH217" s="2545"/>
      <c r="EI217" s="2545"/>
      <c r="EJ217" s="2545"/>
      <c r="EK217" s="2545"/>
      <c r="EL217" s="2545"/>
      <c r="EM217" s="2545"/>
      <c r="EN217" s="2545"/>
      <c r="EO217" s="2545"/>
      <c r="EP217" s="2545"/>
      <c r="EQ217" s="1781" t="s">
        <v>1615</v>
      </c>
      <c r="ER217" s="1781" t="s">
        <v>1615</v>
      </c>
      <c r="ES217" s="1781" t="s">
        <v>1615</v>
      </c>
      <c r="ET217" s="1782" t="s">
        <v>1615</v>
      </c>
      <c r="EU217" s="1781" t="s">
        <v>1615</v>
      </c>
      <c r="EV217" s="1782" t="s">
        <v>1615</v>
      </c>
      <c r="EW217" s="1782"/>
      <c r="EX217" s="1782" t="s">
        <v>1615</v>
      </c>
      <c r="EY217" s="1782"/>
      <c r="EZ217" s="1782" t="s">
        <v>1615</v>
      </c>
      <c r="FA217" s="1782"/>
      <c r="FB217" s="1782"/>
      <c r="FC217" s="1782"/>
      <c r="FD217" s="1782"/>
      <c r="FE217" s="1782"/>
      <c r="FF217" s="1782"/>
      <c r="FG217" s="1782"/>
      <c r="FH217" s="2446"/>
      <c r="FI217" s="2545"/>
      <c r="FJ217" s="2545"/>
      <c r="FK217" s="2545"/>
      <c r="FL217" s="2545"/>
      <c r="FM217" s="2545"/>
      <c r="FN217" s="2545"/>
      <c r="FO217" s="2545"/>
      <c r="FP217" s="2545"/>
      <c r="FQ217" s="2545"/>
      <c r="FR217" s="2545"/>
      <c r="FS217" s="2545"/>
      <c r="FT217" s="2545"/>
      <c r="FU217" s="2545"/>
      <c r="FV217" s="2545"/>
      <c r="FW217" s="2545"/>
      <c r="FX217" s="2545"/>
      <c r="FY217" s="2545"/>
      <c r="FZ217" s="2545"/>
      <c r="GA217" s="2545"/>
      <c r="GB217" s="2545"/>
      <c r="GC217" s="2545"/>
      <c r="GD217" s="2545"/>
      <c r="GE217" s="2545"/>
      <c r="GF217" s="2545"/>
      <c r="GG217" s="2545"/>
      <c r="GH217" s="2545"/>
      <c r="GI217" s="2545"/>
      <c r="GJ217" s="2545"/>
      <c r="GK217" s="2545"/>
      <c r="GL217" s="2545"/>
      <c r="GM217" s="2545"/>
      <c r="GN217" s="2545"/>
      <c r="GO217" s="2545"/>
      <c r="GP217" s="2545"/>
      <c r="GQ217" s="2545"/>
      <c r="GR217" s="2545"/>
      <c r="GS217" s="2545"/>
      <c r="GT217" s="2545"/>
      <c r="GU217" s="2545"/>
      <c r="GV217" s="2545"/>
      <c r="GW217" s="2545"/>
      <c r="GX217" s="2545"/>
      <c r="GY217" s="2545"/>
      <c r="GZ217" s="2545"/>
      <c r="HA217" s="2545"/>
      <c r="HB217" s="2545"/>
      <c r="HC217" s="2545"/>
      <c r="HD217" s="2545"/>
      <c r="HE217" s="2545"/>
      <c r="HF217" s="2545"/>
      <c r="HG217" s="2545"/>
      <c r="HH217" s="2545"/>
      <c r="HI217" s="2545"/>
      <c r="HJ217" s="2545"/>
      <c r="HK217" s="2545"/>
      <c r="HL217" s="2545"/>
      <c r="HM217" s="2545"/>
      <c r="HN217" s="2545"/>
      <c r="HO217" s="2545"/>
      <c r="HP217" s="2545"/>
      <c r="HQ217" s="2545"/>
      <c r="HR217" s="2545"/>
      <c r="HS217" s="2545"/>
      <c r="HT217" s="2545"/>
      <c r="HU217" s="2545"/>
      <c r="HV217" s="2545"/>
      <c r="HW217" s="2545"/>
      <c r="HX217" s="2545"/>
      <c r="HY217" s="2545"/>
      <c r="HZ217" s="2545"/>
      <c r="IA217" s="2545"/>
      <c r="IB217" s="2545"/>
      <c r="IC217" s="2545"/>
      <c r="ID217" s="2545"/>
      <c r="IE217" s="2545"/>
      <c r="IF217" s="2545"/>
      <c r="IG217" s="2545"/>
      <c r="IH217" s="2545"/>
      <c r="II217" s="2545"/>
      <c r="IJ217" s="2545"/>
      <c r="IK217" s="2545"/>
      <c r="IL217" s="2545"/>
      <c r="IM217" s="2545"/>
      <c r="IN217" s="2545"/>
      <c r="IO217" s="2545"/>
      <c r="IP217" s="2545"/>
      <c r="IQ217" s="2545"/>
      <c r="IR217" s="2545"/>
      <c r="IS217" s="2545"/>
      <c r="IT217" s="2545"/>
      <c r="IU217" s="2545"/>
      <c r="IV217" s="2545"/>
      <c r="IW217" s="2545"/>
      <c r="IX217" s="2545"/>
      <c r="IY217" s="2548"/>
      <c r="IZ217" s="2545"/>
      <c r="JA217" s="2545"/>
      <c r="JB217" s="2545"/>
      <c r="JC217" s="2545"/>
      <c r="JD217" s="2545"/>
      <c r="JE217" s="2545"/>
      <c r="JF217" s="2545"/>
      <c r="JG217" s="2545"/>
      <c r="JH217" s="2545"/>
      <c r="JI217" s="2545"/>
      <c r="JJ217" s="2545"/>
      <c r="JK217" s="2545"/>
      <c r="JL217" s="2545"/>
      <c r="JM217" s="2545"/>
      <c r="JN217" s="2545"/>
      <c r="JO217" s="2545"/>
      <c r="JP217" s="2545"/>
      <c r="JQ217" s="2549"/>
      <c r="JR217" s="351"/>
      <c r="JS217" s="1400"/>
      <c r="JT217" s="1400" t="s">
        <v>2319</v>
      </c>
    </row>
    <row r="218" spans="1:280" x14ac:dyDescent="0.25">
      <c r="A218" s="1367">
        <v>62</v>
      </c>
      <c r="B218" s="1411" t="str">
        <f>IF(LUN_IND&gt;1,IF(HLOOKUP(LUN_IND-1,LUN_RANGE,A218)="","",HLOOKUP(LUN_IND-1,LUN_RANGE,A218)),"")</f>
        <v/>
      </c>
      <c r="C218" s="1435" t="s">
        <v>3452</v>
      </c>
      <c r="D218" s="1436" t="s">
        <v>3011</v>
      </c>
      <c r="E218" s="2547"/>
      <c r="F218" s="2547"/>
      <c r="G218" s="2547"/>
      <c r="H218" s="2547"/>
      <c r="I218" s="2547"/>
      <c r="J218" s="2547"/>
      <c r="K218" s="2547"/>
      <c r="L218" s="2547"/>
      <c r="M218" s="2547"/>
      <c r="N218" s="2547"/>
      <c r="O218" s="2547"/>
      <c r="P218" s="2547"/>
      <c r="Q218" s="2547"/>
      <c r="R218" s="2545"/>
      <c r="S218" s="2545"/>
      <c r="T218" s="2545"/>
      <c r="U218" s="2545"/>
      <c r="V218" s="2545"/>
      <c r="W218" s="2545"/>
      <c r="X218" s="2545"/>
      <c r="Y218" s="2545"/>
      <c r="Z218" s="2545"/>
      <c r="AA218" s="2545"/>
      <c r="AB218" s="2545"/>
      <c r="AC218" s="2545"/>
      <c r="AD218" s="2545"/>
      <c r="AE218" s="2545"/>
      <c r="AF218" s="2545"/>
      <c r="AG218" s="2545"/>
      <c r="AH218" s="2545"/>
      <c r="AI218" s="2545"/>
      <c r="AJ218" s="2545"/>
      <c r="AK218" s="2545"/>
      <c r="AL218" s="2545"/>
      <c r="AM218" s="2545"/>
      <c r="AN218" s="2545"/>
      <c r="AO218" s="2545"/>
      <c r="AP218" s="2545"/>
      <c r="AQ218" s="2545"/>
      <c r="AR218" s="2545"/>
      <c r="AS218" s="2545"/>
      <c r="AT218" s="2545"/>
      <c r="AU218" s="2545"/>
      <c r="AV218" s="2545"/>
      <c r="AW218" s="2545"/>
      <c r="AX218" s="2545"/>
      <c r="AY218" s="2545"/>
      <c r="AZ218" s="2545"/>
      <c r="BA218" s="2545"/>
      <c r="BB218" s="2545"/>
      <c r="BC218" s="2545"/>
      <c r="BD218" s="2545"/>
      <c r="BE218" s="2545"/>
      <c r="BF218" s="2545"/>
      <c r="BG218" s="2545"/>
      <c r="BH218" s="2545"/>
      <c r="BI218" s="2545"/>
      <c r="BJ218" s="2545"/>
      <c r="BK218" s="2545"/>
      <c r="BL218" s="2545"/>
      <c r="BM218" s="2545"/>
      <c r="BN218" s="2545"/>
      <c r="BO218" s="2545"/>
      <c r="BP218" s="2545"/>
      <c r="BQ218" s="2545"/>
      <c r="BR218" s="2545"/>
      <c r="BS218" s="2545"/>
      <c r="BT218" s="2545"/>
      <c r="BU218" s="2545"/>
      <c r="BV218" s="2545"/>
      <c r="BW218" s="2545"/>
      <c r="BX218" s="2545"/>
      <c r="BY218" s="2545"/>
      <c r="BZ218" s="2545"/>
      <c r="CA218" s="2545"/>
      <c r="CB218" s="2545"/>
      <c r="CC218" s="2545"/>
      <c r="CD218" s="2545"/>
      <c r="CE218" s="2545"/>
      <c r="CF218" s="2545"/>
      <c r="CG218" s="2545"/>
      <c r="CH218" s="2545"/>
      <c r="CI218" s="2545"/>
      <c r="CJ218" s="2545"/>
      <c r="CK218" s="2545"/>
      <c r="CL218" s="2545"/>
      <c r="CM218" s="2545"/>
      <c r="CN218" s="2545"/>
      <c r="CO218" s="2545"/>
      <c r="CP218" s="2545"/>
      <c r="CQ218" s="2545"/>
      <c r="CR218" s="2545"/>
      <c r="CS218" s="2545"/>
      <c r="CT218" s="2545"/>
      <c r="CU218" s="2545"/>
      <c r="CV218" s="2545"/>
      <c r="CW218" s="2545"/>
      <c r="CX218" s="2545"/>
      <c r="CY218" s="2545"/>
      <c r="CZ218" s="2545"/>
      <c r="DA218" s="2545"/>
      <c r="DB218" s="2545"/>
      <c r="DC218" s="2545"/>
      <c r="DD218" s="2545"/>
      <c r="DE218" s="2545"/>
      <c r="DF218" s="2545"/>
      <c r="DG218" s="2545"/>
      <c r="DH218" s="2545"/>
      <c r="DI218" s="2545"/>
      <c r="DJ218" s="2545"/>
      <c r="DK218" s="2545"/>
      <c r="DL218" s="2545"/>
      <c r="DM218" s="2545"/>
      <c r="DN218" s="2545"/>
      <c r="DO218" s="2545"/>
      <c r="DP218" s="2545"/>
      <c r="DQ218" s="2545"/>
      <c r="DR218" s="2545"/>
      <c r="DS218" s="2545"/>
      <c r="DT218" s="2545"/>
      <c r="DU218" s="2545"/>
      <c r="DV218" s="2545"/>
      <c r="DW218" s="2545"/>
      <c r="DX218" s="2545"/>
      <c r="DY218" s="2545"/>
      <c r="DZ218" s="2545"/>
      <c r="EA218" s="2545"/>
      <c r="EB218" s="2545"/>
      <c r="EC218" s="2545"/>
      <c r="ED218" s="2545"/>
      <c r="EE218" s="2545"/>
      <c r="EF218" s="2545"/>
      <c r="EG218" s="2545"/>
      <c r="EH218" s="2545"/>
      <c r="EI218" s="2545"/>
      <c r="EJ218" s="2545"/>
      <c r="EK218" s="2545"/>
      <c r="EL218" s="2545"/>
      <c r="EM218" s="2545"/>
      <c r="EN218" s="2545"/>
      <c r="EO218" s="2545"/>
      <c r="EP218" s="2545"/>
      <c r="EQ218" s="1781" t="s">
        <v>1615</v>
      </c>
      <c r="ER218" s="1781" t="s">
        <v>1707</v>
      </c>
      <c r="ES218" s="1781" t="s">
        <v>1615</v>
      </c>
      <c r="ET218" s="1782" t="s">
        <v>1707</v>
      </c>
      <c r="EU218" s="1781" t="s">
        <v>1707</v>
      </c>
      <c r="EV218" s="1782" t="s">
        <v>1707</v>
      </c>
      <c r="EW218" s="1782"/>
      <c r="EX218" s="1782" t="s">
        <v>1615</v>
      </c>
      <c r="EY218" s="1782"/>
      <c r="EZ218" s="1781" t="s">
        <v>1707</v>
      </c>
      <c r="FA218" s="1782"/>
      <c r="FB218" s="1782"/>
      <c r="FC218" s="1782"/>
      <c r="FD218" s="1782"/>
      <c r="FE218" s="1782"/>
      <c r="FF218" s="1782"/>
      <c r="FG218" s="1782"/>
      <c r="FH218" s="2446"/>
      <c r="FI218" s="2545"/>
      <c r="FJ218" s="2545"/>
      <c r="FK218" s="2545"/>
      <c r="FL218" s="2545"/>
      <c r="FM218" s="2545"/>
      <c r="FN218" s="2545"/>
      <c r="FO218" s="2545"/>
      <c r="FP218" s="2545"/>
      <c r="FQ218" s="2545"/>
      <c r="FR218" s="2545"/>
      <c r="FS218" s="2545"/>
      <c r="FT218" s="2545"/>
      <c r="FU218" s="2545"/>
      <c r="FV218" s="2545"/>
      <c r="FW218" s="2545"/>
      <c r="FX218" s="2545"/>
      <c r="FY218" s="2545"/>
      <c r="FZ218" s="2545"/>
      <c r="GA218" s="2545"/>
      <c r="GB218" s="2545"/>
      <c r="GC218" s="2545"/>
      <c r="GD218" s="2545"/>
      <c r="GE218" s="2545"/>
      <c r="GF218" s="2545"/>
      <c r="GG218" s="2545"/>
      <c r="GH218" s="2545"/>
      <c r="GI218" s="2545"/>
      <c r="GJ218" s="2545"/>
      <c r="GK218" s="2545"/>
      <c r="GL218" s="2545"/>
      <c r="GM218" s="2545"/>
      <c r="GN218" s="2545"/>
      <c r="GO218" s="2545"/>
      <c r="GP218" s="2545"/>
      <c r="GQ218" s="2545"/>
      <c r="GR218" s="2545"/>
      <c r="GS218" s="2545"/>
      <c r="GT218" s="2545"/>
      <c r="GU218" s="2545"/>
      <c r="GV218" s="2545"/>
      <c r="GW218" s="2545"/>
      <c r="GX218" s="2545"/>
      <c r="GY218" s="2545"/>
      <c r="GZ218" s="2545"/>
      <c r="HA218" s="2545"/>
      <c r="HB218" s="2545"/>
      <c r="HC218" s="2545"/>
      <c r="HD218" s="2545"/>
      <c r="HE218" s="2545"/>
      <c r="HF218" s="2545"/>
      <c r="HG218" s="2545"/>
      <c r="HH218" s="2545"/>
      <c r="HI218" s="2545"/>
      <c r="HJ218" s="2545"/>
      <c r="HK218" s="2545"/>
      <c r="HL218" s="2545"/>
      <c r="HM218" s="2545"/>
      <c r="HN218" s="2545"/>
      <c r="HO218" s="2545"/>
      <c r="HP218" s="2545"/>
      <c r="HQ218" s="2545"/>
      <c r="HR218" s="2545"/>
      <c r="HS218" s="2545"/>
      <c r="HT218" s="2545"/>
      <c r="HU218" s="2545"/>
      <c r="HV218" s="2545"/>
      <c r="HW218" s="2545"/>
      <c r="HX218" s="2545"/>
      <c r="HY218" s="2545"/>
      <c r="HZ218" s="2545"/>
      <c r="IA218" s="2545"/>
      <c r="IB218" s="2545"/>
      <c r="IC218" s="2545"/>
      <c r="ID218" s="2545"/>
      <c r="IE218" s="2545"/>
      <c r="IF218" s="2545"/>
      <c r="IG218" s="2545"/>
      <c r="IH218" s="2545"/>
      <c r="II218" s="2545"/>
      <c r="IJ218" s="2545"/>
      <c r="IK218" s="2545"/>
      <c r="IL218" s="2545"/>
      <c r="IM218" s="2545"/>
      <c r="IN218" s="2545"/>
      <c r="IO218" s="2545"/>
      <c r="IP218" s="2545"/>
      <c r="IQ218" s="2545"/>
      <c r="IR218" s="2545"/>
      <c r="IS218" s="2545"/>
      <c r="IT218" s="2545"/>
      <c r="IU218" s="2545"/>
      <c r="IV218" s="2545"/>
      <c r="IW218" s="2545"/>
      <c r="IX218" s="2545"/>
      <c r="IY218" s="2548"/>
      <c r="IZ218" s="2545"/>
      <c r="JA218" s="2545"/>
      <c r="JB218" s="2545"/>
      <c r="JC218" s="2545"/>
      <c r="JD218" s="2545"/>
      <c r="JE218" s="2545"/>
      <c r="JF218" s="2545"/>
      <c r="JG218" s="2545"/>
      <c r="JH218" s="2545"/>
      <c r="JI218" s="2545"/>
      <c r="JJ218" s="2545"/>
      <c r="JK218" s="2545"/>
      <c r="JL218" s="2545"/>
      <c r="JM218" s="2545"/>
      <c r="JN218" s="2545"/>
      <c r="JO218" s="2545"/>
      <c r="JP218" s="2545"/>
      <c r="JQ218" s="2549"/>
      <c r="JR218" s="351"/>
      <c r="JS218" s="1400"/>
      <c r="JT218" s="1400" t="s">
        <v>2319</v>
      </c>
    </row>
    <row r="219" spans="1:280" x14ac:dyDescent="0.25">
      <c r="A219" s="1367">
        <v>63</v>
      </c>
      <c r="B219" s="1411" t="str">
        <f>IF(LUN_IND&gt;1,IF(HLOOKUP(LUN_IND-1,LUN_RANGE,A219)="","",HLOOKUP(LUN_IND-1,LUN_RANGE,A219)),"")</f>
        <v/>
      </c>
      <c r="C219" s="1435" t="s">
        <v>3453</v>
      </c>
      <c r="D219" s="1436" t="s">
        <v>3308</v>
      </c>
      <c r="E219" s="1528"/>
      <c r="F219" s="1528"/>
      <c r="G219" s="1528"/>
      <c r="H219" s="1528"/>
      <c r="I219" s="1528"/>
      <c r="J219" s="1528"/>
      <c r="K219" s="1528"/>
      <c r="L219" s="1528"/>
      <c r="M219" s="1528"/>
      <c r="N219" s="1528"/>
      <c r="O219" s="1528"/>
      <c r="P219" s="1528"/>
      <c r="Q219" s="1528"/>
      <c r="R219" s="1500"/>
      <c r="S219" s="1500"/>
      <c r="T219" s="1500"/>
      <c r="U219" s="1500"/>
      <c r="V219" s="1500"/>
      <c r="W219" s="1500"/>
      <c r="X219" s="1500"/>
      <c r="Y219" s="1500"/>
      <c r="Z219" s="1500"/>
      <c r="AA219" s="1500"/>
      <c r="AB219" s="1500"/>
      <c r="AC219" s="1500"/>
      <c r="AD219" s="1500"/>
      <c r="AE219" s="1500"/>
      <c r="AF219" s="1500"/>
      <c r="AG219" s="1500"/>
      <c r="AH219" s="1500"/>
      <c r="AI219" s="1500"/>
      <c r="AJ219" s="1452"/>
      <c r="AK219" s="1500"/>
      <c r="AL219" s="1500"/>
      <c r="AM219" s="1500"/>
      <c r="AN219" s="1500"/>
      <c r="AO219" s="1500"/>
      <c r="AP219" s="1500"/>
      <c r="AQ219" s="1500"/>
      <c r="AR219" s="1500"/>
      <c r="AS219" s="1500"/>
      <c r="AT219" s="1500"/>
      <c r="AU219" s="1500"/>
      <c r="AV219" s="1500"/>
      <c r="AW219" s="1500"/>
      <c r="AX219" s="1500"/>
      <c r="AY219" s="1500"/>
      <c r="AZ219" s="1500"/>
      <c r="BA219" s="1500"/>
      <c r="BB219" s="1500"/>
      <c r="BC219" s="1500"/>
      <c r="BD219" s="1500"/>
      <c r="BE219" s="1500"/>
      <c r="BF219" s="1500"/>
      <c r="BG219" s="1500"/>
      <c r="BH219" s="1500"/>
      <c r="BI219" s="1500"/>
      <c r="BJ219" s="1500"/>
      <c r="BK219" s="1500"/>
      <c r="BL219" s="1500"/>
      <c r="BM219" s="1500"/>
      <c r="BN219" s="1500"/>
      <c r="BO219" s="1500"/>
      <c r="BP219" s="1500"/>
      <c r="BQ219" s="1500"/>
      <c r="BR219" s="1500"/>
      <c r="BS219" s="1500"/>
      <c r="BT219" s="1500"/>
      <c r="BU219" s="1500"/>
      <c r="BV219" s="1500"/>
      <c r="BW219" s="1500"/>
      <c r="BX219" s="1500"/>
      <c r="BY219" s="1500"/>
      <c r="BZ219" s="1500"/>
      <c r="CA219" s="1500"/>
      <c r="CB219" s="1500"/>
      <c r="CC219" s="1500"/>
      <c r="CD219" s="1500"/>
      <c r="CE219" s="1500"/>
      <c r="CF219" s="1500"/>
      <c r="CG219" s="1500"/>
      <c r="CH219" s="1500"/>
      <c r="CI219" s="1500"/>
      <c r="CJ219" s="1500"/>
      <c r="CK219" s="1500"/>
      <c r="CL219" s="1500"/>
      <c r="CM219" s="1500"/>
      <c r="CN219" s="1500"/>
      <c r="CO219" s="1500"/>
      <c r="CP219" s="1500"/>
      <c r="CQ219" s="1500"/>
      <c r="CR219" s="1500"/>
      <c r="CS219" s="1500"/>
      <c r="CT219" s="1500"/>
      <c r="CU219" s="1500"/>
      <c r="CV219" s="1500"/>
      <c r="CW219" s="1500"/>
      <c r="CX219" s="1500"/>
      <c r="CY219" s="1500"/>
      <c r="CZ219" s="1500"/>
      <c r="DA219" s="1500"/>
      <c r="DB219" s="1500"/>
      <c r="DC219" s="1500"/>
      <c r="DD219" s="1500"/>
      <c r="DE219" s="1500"/>
      <c r="DF219" s="1500"/>
      <c r="DG219" s="1500"/>
      <c r="DH219" s="1500"/>
      <c r="DI219" s="1500"/>
      <c r="DJ219" s="1500"/>
      <c r="DK219" s="1500"/>
      <c r="DL219" s="1500"/>
      <c r="DM219" s="1500"/>
      <c r="DN219" s="1500"/>
      <c r="DO219" s="1500"/>
      <c r="DP219" s="1500"/>
      <c r="DQ219" s="1500"/>
      <c r="DR219" s="1500"/>
      <c r="DS219" s="1500"/>
      <c r="DT219" s="1500"/>
      <c r="DU219" s="1500"/>
      <c r="DV219" s="1500"/>
      <c r="DW219" s="1500"/>
      <c r="DX219" s="1500"/>
      <c r="DY219" s="1500"/>
      <c r="DZ219" s="1500"/>
      <c r="EA219" s="1500"/>
      <c r="EB219" s="1500"/>
      <c r="EC219" s="1500"/>
      <c r="ED219" s="1500"/>
      <c r="EE219" s="1500"/>
      <c r="EF219" s="1500"/>
      <c r="EG219" s="1500"/>
      <c r="EH219" s="1500"/>
      <c r="EI219" s="1500"/>
      <c r="EJ219" s="1500"/>
      <c r="EK219" s="1500"/>
      <c r="EL219" s="1500"/>
      <c r="EM219" s="1500"/>
      <c r="EN219" s="1500"/>
      <c r="EO219" s="1500"/>
      <c r="EP219" s="1500"/>
      <c r="EQ219" s="1452"/>
      <c r="ER219" s="1452"/>
      <c r="ES219" s="1452"/>
      <c r="ET219" s="1452"/>
      <c r="EU219" s="1452"/>
      <c r="EV219" s="1452"/>
      <c r="EW219" s="1452"/>
      <c r="EX219" s="1452"/>
      <c r="EY219" s="1452"/>
      <c r="EZ219" s="1452"/>
      <c r="FA219" s="1452"/>
      <c r="FB219" s="1500"/>
      <c r="FC219" s="1500"/>
      <c r="FD219" s="1500"/>
      <c r="FE219" s="1500"/>
      <c r="FF219" s="1500"/>
      <c r="FG219" s="1500"/>
      <c r="FH219" s="1500"/>
      <c r="FI219" s="1500"/>
      <c r="FJ219" s="1500"/>
      <c r="FK219" s="1500"/>
      <c r="FL219" s="1500"/>
      <c r="FM219" s="1500"/>
      <c r="FN219" s="1500"/>
      <c r="FO219" s="1500"/>
      <c r="FP219" s="1500"/>
      <c r="FQ219" s="1500"/>
      <c r="FR219" s="1500"/>
      <c r="FS219" s="1500"/>
      <c r="FT219" s="1500"/>
      <c r="FU219" s="1500"/>
      <c r="FV219" s="1500"/>
      <c r="FW219" s="1500"/>
      <c r="FX219" s="1500"/>
      <c r="FY219" s="1500"/>
      <c r="FZ219" s="1500"/>
      <c r="GA219" s="1500"/>
      <c r="GB219" s="1500"/>
      <c r="GC219" s="1500"/>
      <c r="GD219" s="1500"/>
      <c r="GE219" s="1500"/>
      <c r="GF219" s="1500"/>
      <c r="GG219" s="1500"/>
      <c r="GH219" s="1500"/>
      <c r="GI219" s="1500"/>
      <c r="GJ219" s="1500"/>
      <c r="GK219" s="1500"/>
      <c r="GL219" s="1500"/>
      <c r="GM219" s="1500"/>
      <c r="GN219" s="1500"/>
      <c r="GO219" s="1500"/>
      <c r="GP219" s="1500"/>
      <c r="GQ219" s="1500"/>
      <c r="GR219" s="1500"/>
      <c r="GS219" s="1500"/>
      <c r="GT219" s="1500"/>
      <c r="GU219" s="1500"/>
      <c r="GV219" s="1500"/>
      <c r="GW219" s="1500"/>
      <c r="GX219" s="1500"/>
      <c r="GY219" s="1500"/>
      <c r="GZ219" s="1500"/>
      <c r="HA219" s="1500"/>
      <c r="HB219" s="1500"/>
      <c r="HC219" s="1500"/>
      <c r="HD219" s="1500"/>
      <c r="HE219" s="1500"/>
      <c r="HF219" s="1500"/>
      <c r="HG219" s="1500"/>
      <c r="HH219" s="1500"/>
      <c r="HI219" s="1500"/>
      <c r="HJ219" s="1500"/>
      <c r="HK219" s="1500"/>
      <c r="HL219" s="1500"/>
      <c r="HM219" s="1500"/>
      <c r="HN219" s="1500"/>
      <c r="HO219" s="1500"/>
      <c r="HP219" s="1500"/>
      <c r="HQ219" s="1500"/>
      <c r="HR219" s="1500"/>
      <c r="HS219" s="1500"/>
      <c r="HT219" s="1500"/>
      <c r="HU219" s="1500"/>
      <c r="HV219" s="1500"/>
      <c r="HW219" s="1500"/>
      <c r="HX219" s="1500"/>
      <c r="HY219" s="1500"/>
      <c r="HZ219" s="1500"/>
      <c r="IA219" s="1500"/>
      <c r="IB219" s="1500"/>
      <c r="IC219" s="1500"/>
      <c r="ID219" s="1500"/>
      <c r="IE219" s="1500"/>
      <c r="IF219" s="1500"/>
      <c r="IG219" s="1500"/>
      <c r="IH219" s="1500"/>
      <c r="II219" s="1500"/>
      <c r="IJ219" s="1500"/>
      <c r="IK219" s="1500"/>
      <c r="IL219" s="1500"/>
      <c r="IM219" s="1500"/>
      <c r="IN219" s="1500"/>
      <c r="IO219" s="1500"/>
      <c r="IP219" s="1500"/>
      <c r="IQ219" s="1500"/>
      <c r="IR219" s="1500"/>
      <c r="IS219" s="1500"/>
      <c r="IT219" s="1500"/>
      <c r="IU219" s="1500"/>
      <c r="IV219" s="1500"/>
      <c r="IW219" s="1500"/>
      <c r="IX219" s="1500"/>
      <c r="IY219" s="1452"/>
      <c r="IZ219" s="1500"/>
      <c r="JA219" s="1500"/>
      <c r="JB219" s="1500"/>
      <c r="JC219" s="1500"/>
      <c r="JD219" s="1500"/>
      <c r="JE219" s="1500"/>
      <c r="JF219" s="1500"/>
      <c r="JG219" s="1500"/>
      <c r="JH219" s="1500"/>
      <c r="JI219" s="1500"/>
      <c r="JJ219" s="1500"/>
      <c r="JK219" s="1500"/>
      <c r="JL219" s="1500"/>
      <c r="JM219" s="1500"/>
      <c r="JN219" s="1500"/>
      <c r="JO219" s="1500"/>
      <c r="JP219" s="1500"/>
      <c r="JQ219" s="1477"/>
      <c r="JR219" s="351"/>
      <c r="JS219" s="1400" t="s">
        <v>3454</v>
      </c>
      <c r="JT219" s="1400" t="s">
        <v>2242</v>
      </c>
    </row>
    <row r="220" spans="1:280" ht="12" thickBot="1" x14ac:dyDescent="0.3">
      <c r="A220" s="1367">
        <v>64</v>
      </c>
      <c r="B220" s="1411" t="str">
        <f>IF(LUN_IND&gt;1,IF(HLOOKUP(LUN_IND-1,LUN_RANGE,A220)="","",HLOOKUP(LUN_IND-1,LUN_RANGE,A220)),"")</f>
        <v/>
      </c>
      <c r="C220" s="721" t="s">
        <v>3455</v>
      </c>
      <c r="D220" s="722" t="s">
        <v>3311</v>
      </c>
      <c r="E220" s="735"/>
      <c r="F220" s="735"/>
      <c r="G220" s="735"/>
      <c r="H220" s="735"/>
      <c r="I220" s="735"/>
      <c r="J220" s="735"/>
      <c r="K220" s="735"/>
      <c r="L220" s="735"/>
      <c r="M220" s="735"/>
      <c r="N220" s="735"/>
      <c r="O220" s="735"/>
      <c r="P220" s="735"/>
      <c r="Q220" s="735"/>
      <c r="R220" s="736"/>
      <c r="S220" s="736"/>
      <c r="T220" s="736"/>
      <c r="U220" s="736"/>
      <c r="V220" s="736"/>
      <c r="W220" s="736"/>
      <c r="X220" s="736"/>
      <c r="Y220" s="736"/>
      <c r="Z220" s="736"/>
      <c r="AA220" s="736"/>
      <c r="AB220" s="736"/>
      <c r="AC220" s="736"/>
      <c r="AD220" s="736"/>
      <c r="AE220" s="736"/>
      <c r="AF220" s="736"/>
      <c r="AG220" s="736"/>
      <c r="AH220" s="736"/>
      <c r="AI220" s="736"/>
      <c r="AJ220" s="730"/>
      <c r="AK220" s="736"/>
      <c r="AL220" s="736"/>
      <c r="AM220" s="736"/>
      <c r="AN220" s="736"/>
      <c r="AO220" s="736"/>
      <c r="AP220" s="736"/>
      <c r="AQ220" s="736"/>
      <c r="AR220" s="736"/>
      <c r="AS220" s="736"/>
      <c r="AT220" s="736"/>
      <c r="AU220" s="736"/>
      <c r="AV220" s="736"/>
      <c r="AW220" s="736"/>
      <c r="AX220" s="736"/>
      <c r="AY220" s="736"/>
      <c r="AZ220" s="736"/>
      <c r="BA220" s="736"/>
      <c r="BB220" s="736"/>
      <c r="BC220" s="736"/>
      <c r="BD220" s="736"/>
      <c r="BE220" s="736"/>
      <c r="BF220" s="736"/>
      <c r="BG220" s="736"/>
      <c r="BH220" s="736"/>
      <c r="BI220" s="736"/>
      <c r="BJ220" s="736"/>
      <c r="BK220" s="736"/>
      <c r="BL220" s="736"/>
      <c r="BM220" s="736"/>
      <c r="BN220" s="736"/>
      <c r="BO220" s="736"/>
      <c r="BP220" s="736"/>
      <c r="BQ220" s="736"/>
      <c r="BR220" s="736"/>
      <c r="BS220" s="736"/>
      <c r="BT220" s="736"/>
      <c r="BU220" s="736"/>
      <c r="BV220" s="736"/>
      <c r="BW220" s="736"/>
      <c r="BX220" s="736"/>
      <c r="BY220" s="736"/>
      <c r="BZ220" s="736"/>
      <c r="CA220" s="736"/>
      <c r="CB220" s="736"/>
      <c r="CC220" s="736"/>
      <c r="CD220" s="736"/>
      <c r="CE220" s="736"/>
      <c r="CF220" s="736"/>
      <c r="CG220" s="736"/>
      <c r="CH220" s="736"/>
      <c r="CI220" s="736"/>
      <c r="CJ220" s="736"/>
      <c r="CK220" s="736"/>
      <c r="CL220" s="736"/>
      <c r="CM220" s="736"/>
      <c r="CN220" s="736"/>
      <c r="CO220" s="736"/>
      <c r="CP220" s="736"/>
      <c r="CQ220" s="736"/>
      <c r="CR220" s="736"/>
      <c r="CS220" s="736"/>
      <c r="CT220" s="736"/>
      <c r="CU220" s="736"/>
      <c r="CV220" s="736"/>
      <c r="CW220" s="736"/>
      <c r="CX220" s="736"/>
      <c r="CY220" s="736"/>
      <c r="CZ220" s="736"/>
      <c r="DA220" s="736"/>
      <c r="DB220" s="736"/>
      <c r="DC220" s="736"/>
      <c r="DD220" s="736"/>
      <c r="DE220" s="736"/>
      <c r="DF220" s="736"/>
      <c r="DG220" s="736"/>
      <c r="DH220" s="736"/>
      <c r="DI220" s="736"/>
      <c r="DJ220" s="736"/>
      <c r="DK220" s="736"/>
      <c r="DL220" s="736"/>
      <c r="DM220" s="736"/>
      <c r="DN220" s="736"/>
      <c r="DO220" s="736"/>
      <c r="DP220" s="736"/>
      <c r="DQ220" s="736"/>
      <c r="DR220" s="736"/>
      <c r="DS220" s="736"/>
      <c r="DT220" s="736"/>
      <c r="DU220" s="736"/>
      <c r="DV220" s="736"/>
      <c r="DW220" s="736"/>
      <c r="DX220" s="736"/>
      <c r="DY220" s="736"/>
      <c r="DZ220" s="736"/>
      <c r="EA220" s="736"/>
      <c r="EB220" s="736"/>
      <c r="EC220" s="736"/>
      <c r="ED220" s="736"/>
      <c r="EE220" s="736"/>
      <c r="EF220" s="736"/>
      <c r="EG220" s="736"/>
      <c r="EH220" s="736"/>
      <c r="EI220" s="736"/>
      <c r="EJ220" s="736"/>
      <c r="EK220" s="736"/>
      <c r="EL220" s="736"/>
      <c r="EM220" s="736"/>
      <c r="EN220" s="736"/>
      <c r="EO220" s="736"/>
      <c r="EP220" s="736"/>
      <c r="EQ220" s="730"/>
      <c r="ER220" s="730"/>
      <c r="ES220" s="730"/>
      <c r="ET220" s="730"/>
      <c r="EU220" s="730"/>
      <c r="EV220" s="730"/>
      <c r="EW220" s="730"/>
      <c r="EX220" s="730"/>
      <c r="EY220" s="730"/>
      <c r="EZ220" s="730"/>
      <c r="FA220" s="730"/>
      <c r="FB220" s="736"/>
      <c r="FC220" s="736"/>
      <c r="FD220" s="736"/>
      <c r="FE220" s="736"/>
      <c r="FF220" s="736"/>
      <c r="FG220" s="736"/>
      <c r="FH220" s="736"/>
      <c r="FI220" s="736"/>
      <c r="FJ220" s="736"/>
      <c r="FK220" s="736"/>
      <c r="FL220" s="736"/>
      <c r="FM220" s="736"/>
      <c r="FN220" s="736"/>
      <c r="FO220" s="736"/>
      <c r="FP220" s="736"/>
      <c r="FQ220" s="736"/>
      <c r="FR220" s="736"/>
      <c r="FS220" s="736"/>
      <c r="FT220" s="736"/>
      <c r="FU220" s="736"/>
      <c r="FV220" s="736"/>
      <c r="FW220" s="736"/>
      <c r="FX220" s="736"/>
      <c r="FY220" s="736"/>
      <c r="FZ220" s="736"/>
      <c r="GA220" s="736"/>
      <c r="GB220" s="736"/>
      <c r="GC220" s="736"/>
      <c r="GD220" s="736"/>
      <c r="GE220" s="736"/>
      <c r="GF220" s="736"/>
      <c r="GG220" s="736"/>
      <c r="GH220" s="736"/>
      <c r="GI220" s="736"/>
      <c r="GJ220" s="736"/>
      <c r="GK220" s="736"/>
      <c r="GL220" s="736"/>
      <c r="GM220" s="736"/>
      <c r="GN220" s="736"/>
      <c r="GO220" s="736"/>
      <c r="GP220" s="736"/>
      <c r="GQ220" s="736"/>
      <c r="GR220" s="736"/>
      <c r="GS220" s="736"/>
      <c r="GT220" s="736"/>
      <c r="GU220" s="736"/>
      <c r="GV220" s="736"/>
      <c r="GW220" s="736"/>
      <c r="GX220" s="736"/>
      <c r="GY220" s="736"/>
      <c r="GZ220" s="736"/>
      <c r="HA220" s="736"/>
      <c r="HB220" s="736"/>
      <c r="HC220" s="736"/>
      <c r="HD220" s="736"/>
      <c r="HE220" s="736"/>
      <c r="HF220" s="736"/>
      <c r="HG220" s="736"/>
      <c r="HH220" s="736"/>
      <c r="HI220" s="736"/>
      <c r="HJ220" s="736"/>
      <c r="HK220" s="736"/>
      <c r="HL220" s="736"/>
      <c r="HM220" s="736"/>
      <c r="HN220" s="736"/>
      <c r="HO220" s="736"/>
      <c r="HP220" s="736"/>
      <c r="HQ220" s="736"/>
      <c r="HR220" s="736"/>
      <c r="HS220" s="736"/>
      <c r="HT220" s="736"/>
      <c r="HU220" s="736"/>
      <c r="HV220" s="736"/>
      <c r="HW220" s="736"/>
      <c r="HX220" s="736"/>
      <c r="HY220" s="736"/>
      <c r="HZ220" s="736"/>
      <c r="IA220" s="736"/>
      <c r="IB220" s="736"/>
      <c r="IC220" s="736"/>
      <c r="ID220" s="736"/>
      <c r="IE220" s="736"/>
      <c r="IF220" s="736"/>
      <c r="IG220" s="736"/>
      <c r="IH220" s="736"/>
      <c r="II220" s="736"/>
      <c r="IJ220" s="736"/>
      <c r="IK220" s="736"/>
      <c r="IL220" s="736"/>
      <c r="IM220" s="736"/>
      <c r="IN220" s="736"/>
      <c r="IO220" s="736"/>
      <c r="IP220" s="736"/>
      <c r="IQ220" s="736"/>
      <c r="IR220" s="736"/>
      <c r="IS220" s="736"/>
      <c r="IT220" s="736"/>
      <c r="IU220" s="736"/>
      <c r="IV220" s="736"/>
      <c r="IW220" s="736"/>
      <c r="IX220" s="736"/>
      <c r="IY220" s="730"/>
      <c r="IZ220" s="736"/>
      <c r="JA220" s="736"/>
      <c r="JB220" s="736"/>
      <c r="JC220" s="736"/>
      <c r="JD220" s="736"/>
      <c r="JE220" s="736"/>
      <c r="JF220" s="736"/>
      <c r="JG220" s="736"/>
      <c r="JH220" s="736"/>
      <c r="JI220" s="736"/>
      <c r="JJ220" s="736"/>
      <c r="JK220" s="736"/>
      <c r="JL220" s="736"/>
      <c r="JM220" s="736"/>
      <c r="JN220" s="736"/>
      <c r="JO220" s="736"/>
      <c r="JP220" s="736"/>
      <c r="JQ220" s="737"/>
      <c r="JR220" s="351"/>
      <c r="JS220" s="1400"/>
      <c r="JT220" s="1400" t="s">
        <v>2291</v>
      </c>
    </row>
  </sheetData>
  <phoneticPr fontId="58" type="noConversion"/>
  <dataValidations count="1">
    <dataValidation type="list" allowBlank="1" showInputMessage="1" showErrorMessage="1" sqref="JT158:JT220 JT3:JT46 JT49:JT155" xr:uid="{00000000-0002-0000-0C00-000000000000}">
      <formula1>allowedTypes</formula1>
    </dataValidation>
  </dataValidations>
  <pageMargins left="0.75" right="0.75" top="1" bottom="1" header="0.5" footer="0.5"/>
  <pageSetup paperSize="9" orientation="portrait" horizontalDpi="1200" verticalDpi="1200" r:id="rId1"/>
  <headerFooter alignWithMargins="0">
    <oddFooter>&amp;C&amp;1#&amp;"Calibri"&amp;10&amp;K000000OFFICIAL-SENSITIVE</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T124"/>
  <sheetViews>
    <sheetView showGridLines="0" zoomScale="109" zoomScaleNormal="109" workbookViewId="0">
      <pane xSplit="4" ySplit="1" topLeftCell="DT33" activePane="bottomRight" state="frozen"/>
      <selection pane="topRight" activeCell="I74" sqref="I74"/>
      <selection pane="bottomLeft" activeCell="I74" sqref="I74"/>
      <selection pane="bottomRight" activeCell="DX53" sqref="DX53"/>
    </sheetView>
  </sheetViews>
  <sheetFormatPr defaultColWidth="9.1796875" defaultRowHeight="11.5" x14ac:dyDescent="0.25"/>
  <cols>
    <col min="1" max="1" width="3.81640625" style="259" bestFit="1" customWidth="1"/>
    <col min="2" max="2" width="11.1796875" style="8" bestFit="1" customWidth="1"/>
    <col min="3" max="3" width="8.54296875" style="12" customWidth="1"/>
    <col min="4" max="4" width="49.453125" style="8" customWidth="1"/>
    <col min="5" max="8" width="11.54296875" style="8" bestFit="1" customWidth="1"/>
    <col min="9" max="13" width="11.1796875" style="8" bestFit="1" customWidth="1"/>
    <col min="14" max="113" width="11.1796875" style="8" customWidth="1"/>
    <col min="114" max="114" width="15.26953125" style="8" customWidth="1"/>
    <col min="115" max="142" width="11.1796875" style="8" customWidth="1"/>
    <col min="143" max="143" width="13.26953125" style="8" customWidth="1"/>
    <col min="144" max="147" width="11.1796875" style="8" customWidth="1"/>
    <col min="148" max="148" width="13.81640625" style="8" customWidth="1"/>
    <col min="149" max="276" width="11.1796875" style="8" customWidth="1"/>
    <col min="277" max="277" width="12.1796875" style="8" bestFit="1" customWidth="1"/>
    <col min="278" max="278" width="1.81640625" style="8" customWidth="1"/>
    <col min="279" max="279" width="33" style="8" customWidth="1"/>
    <col min="280" max="280" width="32.1796875" style="8" bestFit="1" customWidth="1"/>
    <col min="281" max="16384" width="9.1796875" style="8"/>
  </cols>
  <sheetData>
    <row r="1" spans="1:280" ht="13" thickBot="1" x14ac:dyDescent="0.3">
      <c r="E1" s="452">
        <v>1</v>
      </c>
      <c r="F1" s="452">
        <v>2</v>
      </c>
      <c r="G1" s="452">
        <v>3</v>
      </c>
      <c r="H1" s="452">
        <v>4</v>
      </c>
      <c r="I1" s="452">
        <v>5</v>
      </c>
      <c r="J1" s="452">
        <v>6</v>
      </c>
      <c r="K1" s="452">
        <v>7</v>
      </c>
      <c r="L1" s="452">
        <v>8</v>
      </c>
      <c r="M1" s="452">
        <v>9</v>
      </c>
      <c r="N1" s="452">
        <v>10</v>
      </c>
      <c r="O1" s="452">
        <v>11</v>
      </c>
      <c r="P1" s="452">
        <v>12</v>
      </c>
      <c r="Q1" s="452">
        <v>13</v>
      </c>
      <c r="R1" s="452">
        <v>14</v>
      </c>
      <c r="S1" s="452">
        <v>15</v>
      </c>
      <c r="T1" s="452">
        <v>16</v>
      </c>
      <c r="U1" s="452">
        <v>17</v>
      </c>
      <c r="V1" s="452">
        <v>18</v>
      </c>
      <c r="W1" s="452">
        <v>19</v>
      </c>
      <c r="X1" s="452">
        <v>20</v>
      </c>
      <c r="Y1" s="452">
        <v>21</v>
      </c>
      <c r="Z1" s="452">
        <v>22</v>
      </c>
      <c r="AA1" s="452">
        <v>23</v>
      </c>
      <c r="AB1" s="452">
        <v>24</v>
      </c>
      <c r="AC1" s="452">
        <v>25</v>
      </c>
      <c r="AD1" s="452">
        <v>26</v>
      </c>
      <c r="AE1" s="452">
        <v>27</v>
      </c>
      <c r="AF1" s="452">
        <v>28</v>
      </c>
      <c r="AG1" s="452">
        <v>29</v>
      </c>
      <c r="AH1" s="452">
        <v>30</v>
      </c>
      <c r="AI1" s="452">
        <v>31</v>
      </c>
      <c r="AJ1" s="452">
        <v>32</v>
      </c>
      <c r="AK1" s="452">
        <v>33</v>
      </c>
      <c r="AL1" s="452">
        <v>34</v>
      </c>
      <c r="AM1" s="452">
        <v>35</v>
      </c>
      <c r="AN1" s="452">
        <v>36</v>
      </c>
      <c r="AO1" s="452">
        <v>37</v>
      </c>
      <c r="AP1" s="452">
        <v>38</v>
      </c>
      <c r="AQ1" s="452">
        <v>39</v>
      </c>
      <c r="AR1" s="452">
        <v>40</v>
      </c>
      <c r="AS1" s="452">
        <v>41</v>
      </c>
      <c r="AT1" s="452">
        <v>42</v>
      </c>
      <c r="AU1" s="452">
        <v>43</v>
      </c>
      <c r="AV1" s="452">
        <v>44</v>
      </c>
      <c r="AW1" s="452">
        <v>45</v>
      </c>
      <c r="AX1" s="452">
        <v>46</v>
      </c>
      <c r="AY1" s="452">
        <v>47</v>
      </c>
      <c r="AZ1" s="452">
        <v>48</v>
      </c>
      <c r="BA1" s="452">
        <v>49</v>
      </c>
      <c r="BB1" s="452">
        <v>50</v>
      </c>
      <c r="BC1" s="452">
        <v>51</v>
      </c>
      <c r="BD1" s="452">
        <v>52</v>
      </c>
      <c r="BE1" s="452">
        <v>53</v>
      </c>
      <c r="BF1" s="452">
        <v>54</v>
      </c>
      <c r="BG1" s="452">
        <v>55</v>
      </c>
      <c r="BH1" s="452">
        <v>56</v>
      </c>
      <c r="BI1" s="452">
        <v>57</v>
      </c>
      <c r="BJ1" s="452">
        <v>58</v>
      </c>
      <c r="BK1" s="452">
        <v>59</v>
      </c>
      <c r="BL1" s="452">
        <v>60</v>
      </c>
      <c r="BM1" s="452">
        <v>61</v>
      </c>
      <c r="BN1" s="452">
        <v>62</v>
      </c>
      <c r="BO1" s="452">
        <v>63</v>
      </c>
      <c r="BP1" s="452">
        <v>64</v>
      </c>
      <c r="BQ1" s="452">
        <v>65</v>
      </c>
      <c r="BR1" s="452">
        <v>66</v>
      </c>
      <c r="BS1" s="452">
        <v>67</v>
      </c>
      <c r="BT1" s="452">
        <v>68</v>
      </c>
      <c r="BU1" s="452">
        <v>69</v>
      </c>
      <c r="BV1" s="452">
        <v>70</v>
      </c>
      <c r="BW1" s="452">
        <v>71</v>
      </c>
      <c r="BX1" s="452">
        <v>72</v>
      </c>
      <c r="BY1" s="452">
        <v>73</v>
      </c>
      <c r="BZ1" s="452">
        <v>74</v>
      </c>
      <c r="CA1" s="452">
        <v>75</v>
      </c>
      <c r="CB1" s="452">
        <v>76</v>
      </c>
      <c r="CC1" s="452">
        <v>77</v>
      </c>
      <c r="CD1" s="452">
        <v>78</v>
      </c>
      <c r="CE1" s="452">
        <v>79</v>
      </c>
      <c r="CF1" s="452">
        <v>80</v>
      </c>
      <c r="CG1" s="452">
        <v>81</v>
      </c>
      <c r="CH1" s="452">
        <v>82</v>
      </c>
      <c r="CI1" s="452">
        <v>83</v>
      </c>
      <c r="CJ1" s="452">
        <v>84</v>
      </c>
      <c r="CK1" s="452">
        <v>85</v>
      </c>
      <c r="CL1" s="452">
        <v>86</v>
      </c>
      <c r="CM1" s="452">
        <v>87</v>
      </c>
      <c r="CN1" s="452">
        <v>88</v>
      </c>
      <c r="CO1" s="452">
        <v>89</v>
      </c>
      <c r="CP1" s="452">
        <v>90</v>
      </c>
      <c r="CQ1" s="452">
        <v>91</v>
      </c>
      <c r="CR1" s="452">
        <v>92</v>
      </c>
      <c r="CS1" s="452">
        <v>93</v>
      </c>
      <c r="CT1" s="452">
        <v>94</v>
      </c>
      <c r="CU1" s="452">
        <v>95</v>
      </c>
      <c r="CV1" s="452">
        <v>96</v>
      </c>
      <c r="CW1" s="452">
        <v>97</v>
      </c>
      <c r="CX1" s="452">
        <v>98</v>
      </c>
      <c r="CY1" s="452">
        <v>99</v>
      </c>
      <c r="CZ1" s="452">
        <v>100</v>
      </c>
      <c r="DA1" s="452">
        <v>101</v>
      </c>
      <c r="DB1" s="452">
        <v>102</v>
      </c>
      <c r="DC1" s="452">
        <v>103</v>
      </c>
      <c r="DD1" s="452">
        <v>104</v>
      </c>
      <c r="DE1" s="452">
        <v>105</v>
      </c>
      <c r="DF1" s="452">
        <v>106</v>
      </c>
      <c r="DG1" s="452">
        <v>107</v>
      </c>
      <c r="DH1" s="452">
        <v>108</v>
      </c>
      <c r="DI1" s="452">
        <v>109</v>
      </c>
      <c r="DJ1" s="452">
        <v>110</v>
      </c>
      <c r="DK1" s="452">
        <v>111</v>
      </c>
      <c r="DL1" s="452">
        <v>112</v>
      </c>
      <c r="DM1" s="452">
        <v>113</v>
      </c>
      <c r="DN1" s="452">
        <v>114</v>
      </c>
      <c r="DO1" s="452">
        <v>115</v>
      </c>
      <c r="DP1" s="452">
        <v>116</v>
      </c>
      <c r="DQ1" s="452">
        <v>117</v>
      </c>
      <c r="DR1" s="452">
        <v>118</v>
      </c>
      <c r="DS1" s="452">
        <v>119</v>
      </c>
      <c r="DT1" s="452">
        <v>120</v>
      </c>
      <c r="DU1" s="452">
        <v>121</v>
      </c>
      <c r="DV1" s="452">
        <v>122</v>
      </c>
      <c r="DW1" s="452">
        <v>123</v>
      </c>
      <c r="DX1" s="452">
        <v>124</v>
      </c>
      <c r="DY1" s="452">
        <v>125</v>
      </c>
      <c r="DZ1" s="452">
        <v>126</v>
      </c>
      <c r="EA1" s="452">
        <v>127</v>
      </c>
      <c r="EB1" s="452">
        <v>128</v>
      </c>
      <c r="EC1" s="452">
        <v>129</v>
      </c>
      <c r="ED1" s="452">
        <v>130</v>
      </c>
      <c r="EE1" s="452">
        <v>131</v>
      </c>
      <c r="EF1" s="452">
        <v>132</v>
      </c>
      <c r="EG1" s="452">
        <v>133</v>
      </c>
      <c r="EH1" s="452">
        <v>134</v>
      </c>
      <c r="EI1" s="452">
        <v>135</v>
      </c>
      <c r="EJ1" s="452">
        <v>136</v>
      </c>
      <c r="EK1" s="452">
        <v>137</v>
      </c>
      <c r="EL1" s="452">
        <v>138</v>
      </c>
      <c r="EM1" s="452">
        <v>139</v>
      </c>
      <c r="EN1" s="452">
        <v>140</v>
      </c>
      <c r="EO1" s="452">
        <v>141</v>
      </c>
      <c r="EP1" s="452">
        <v>142</v>
      </c>
      <c r="EQ1" s="452">
        <v>143</v>
      </c>
      <c r="ER1" s="452">
        <v>144</v>
      </c>
      <c r="ES1" s="452">
        <v>145</v>
      </c>
      <c r="ET1" s="452">
        <v>146</v>
      </c>
      <c r="EU1" s="452">
        <v>147</v>
      </c>
      <c r="EV1" s="452">
        <v>148</v>
      </c>
      <c r="EW1" s="452">
        <v>149</v>
      </c>
      <c r="EX1" s="452">
        <v>150</v>
      </c>
      <c r="EY1" s="452">
        <v>151</v>
      </c>
      <c r="EZ1" s="452">
        <v>152</v>
      </c>
      <c r="FA1" s="452">
        <v>153</v>
      </c>
      <c r="FB1" s="452">
        <v>154</v>
      </c>
      <c r="FC1" s="452">
        <v>155</v>
      </c>
      <c r="FD1" s="452">
        <v>156</v>
      </c>
      <c r="FE1" s="452">
        <v>157</v>
      </c>
      <c r="FF1" s="452">
        <v>158</v>
      </c>
      <c r="FG1" s="452">
        <v>159</v>
      </c>
      <c r="FH1" s="452">
        <v>160</v>
      </c>
      <c r="FI1" s="452">
        <v>161</v>
      </c>
      <c r="FJ1" s="452">
        <v>162</v>
      </c>
      <c r="FK1" s="452">
        <v>163</v>
      </c>
      <c r="FL1" s="452">
        <v>164</v>
      </c>
      <c r="FM1" s="452">
        <v>165</v>
      </c>
      <c r="FN1" s="452">
        <v>166</v>
      </c>
      <c r="FO1" s="452">
        <v>167</v>
      </c>
      <c r="FP1" s="452">
        <v>168</v>
      </c>
      <c r="FQ1" s="452">
        <v>169</v>
      </c>
      <c r="FR1" s="452">
        <v>170</v>
      </c>
      <c r="FS1" s="452">
        <v>171</v>
      </c>
      <c r="FT1" s="452">
        <v>172</v>
      </c>
      <c r="FU1" s="452">
        <v>173</v>
      </c>
      <c r="FV1" s="452">
        <v>174</v>
      </c>
      <c r="FW1" s="452">
        <v>175</v>
      </c>
      <c r="FX1" s="452">
        <v>176</v>
      </c>
      <c r="FY1" s="452">
        <v>177</v>
      </c>
      <c r="FZ1" s="452">
        <v>178</v>
      </c>
      <c r="GA1" s="452">
        <v>179</v>
      </c>
      <c r="GB1" s="452">
        <v>180</v>
      </c>
      <c r="GC1" s="452">
        <v>181</v>
      </c>
      <c r="GD1" s="452">
        <v>182</v>
      </c>
      <c r="GE1" s="452">
        <v>183</v>
      </c>
      <c r="GF1" s="452">
        <v>184</v>
      </c>
      <c r="GG1" s="452">
        <v>185</v>
      </c>
      <c r="GH1" s="452">
        <v>186</v>
      </c>
      <c r="GI1" s="452">
        <v>187</v>
      </c>
      <c r="GJ1" s="452">
        <v>188</v>
      </c>
      <c r="GK1" s="452">
        <v>189</v>
      </c>
      <c r="GL1" s="452">
        <v>190</v>
      </c>
      <c r="GM1" s="452">
        <v>191</v>
      </c>
      <c r="GN1" s="452">
        <v>192</v>
      </c>
      <c r="GO1" s="452">
        <v>193</v>
      </c>
      <c r="GP1" s="452">
        <v>194</v>
      </c>
      <c r="GQ1" s="452">
        <v>195</v>
      </c>
      <c r="GR1" s="452">
        <v>196</v>
      </c>
      <c r="GS1" s="452">
        <v>197</v>
      </c>
      <c r="GT1" s="452">
        <v>198</v>
      </c>
      <c r="GU1" s="452">
        <v>199</v>
      </c>
      <c r="GV1" s="452">
        <v>200</v>
      </c>
      <c r="GW1" s="452">
        <v>201</v>
      </c>
      <c r="GX1" s="452">
        <v>202</v>
      </c>
      <c r="GY1" s="452">
        <v>203</v>
      </c>
      <c r="GZ1" s="452">
        <v>204</v>
      </c>
      <c r="HA1" s="452">
        <v>205</v>
      </c>
      <c r="HB1" s="452">
        <v>206</v>
      </c>
      <c r="HC1" s="452">
        <v>207</v>
      </c>
      <c r="HD1" s="452">
        <v>208</v>
      </c>
      <c r="HE1" s="452">
        <v>209</v>
      </c>
      <c r="HF1" s="452">
        <v>210</v>
      </c>
      <c r="HG1" s="452">
        <v>211</v>
      </c>
      <c r="HH1" s="452">
        <v>212</v>
      </c>
      <c r="HI1" s="452">
        <v>213</v>
      </c>
      <c r="HJ1" s="452">
        <v>214</v>
      </c>
      <c r="HK1" s="452">
        <v>215</v>
      </c>
      <c r="HL1" s="452">
        <v>216</v>
      </c>
      <c r="HM1" s="452">
        <v>217</v>
      </c>
      <c r="HN1" s="452">
        <v>218</v>
      </c>
      <c r="HO1" s="452">
        <v>219</v>
      </c>
      <c r="HP1" s="452">
        <v>220</v>
      </c>
      <c r="HQ1" s="452">
        <v>221</v>
      </c>
      <c r="HR1" s="452">
        <v>222</v>
      </c>
      <c r="HS1" s="452">
        <v>223</v>
      </c>
      <c r="HT1" s="452">
        <v>224</v>
      </c>
      <c r="HU1" s="452">
        <v>225</v>
      </c>
      <c r="HV1" s="452">
        <v>226</v>
      </c>
      <c r="HW1" s="452">
        <v>227</v>
      </c>
      <c r="HX1" s="452">
        <v>228</v>
      </c>
      <c r="HY1" s="452">
        <v>229</v>
      </c>
      <c r="HZ1" s="452">
        <v>230</v>
      </c>
      <c r="IA1" s="452">
        <v>231</v>
      </c>
      <c r="IB1" s="452">
        <v>232</v>
      </c>
      <c r="IC1" s="452">
        <v>233</v>
      </c>
      <c r="ID1" s="452">
        <v>234</v>
      </c>
      <c r="IE1" s="452">
        <v>235</v>
      </c>
      <c r="IF1" s="452">
        <v>236</v>
      </c>
      <c r="IG1" s="452">
        <v>237</v>
      </c>
      <c r="IH1" s="452">
        <v>238</v>
      </c>
      <c r="II1" s="452">
        <v>239</v>
      </c>
      <c r="IJ1" s="452">
        <v>240</v>
      </c>
      <c r="IK1" s="452">
        <v>241</v>
      </c>
      <c r="IL1" s="452">
        <v>242</v>
      </c>
      <c r="IM1" s="452">
        <v>243</v>
      </c>
      <c r="IN1" s="452">
        <v>244</v>
      </c>
      <c r="IO1" s="452">
        <v>245</v>
      </c>
      <c r="IP1" s="452">
        <v>246</v>
      </c>
      <c r="IQ1" s="452">
        <v>247</v>
      </c>
      <c r="IR1" s="452">
        <v>248</v>
      </c>
      <c r="IS1" s="452">
        <v>249</v>
      </c>
      <c r="IT1" s="452">
        <v>250</v>
      </c>
      <c r="IU1" s="452">
        <v>251</v>
      </c>
      <c r="IV1" s="452">
        <v>252</v>
      </c>
      <c r="IW1" s="452">
        <v>253</v>
      </c>
      <c r="IX1" s="452">
        <v>254</v>
      </c>
      <c r="IY1" s="452">
        <v>255</v>
      </c>
      <c r="IZ1" s="452">
        <v>256</v>
      </c>
      <c r="JA1" s="452">
        <v>257</v>
      </c>
      <c r="JB1" s="452">
        <v>258</v>
      </c>
      <c r="JC1" s="452">
        <v>259</v>
      </c>
      <c r="JD1" s="452">
        <v>260</v>
      </c>
      <c r="JE1" s="452">
        <v>261</v>
      </c>
      <c r="JF1" s="452">
        <v>262</v>
      </c>
      <c r="JG1" s="452">
        <v>263</v>
      </c>
      <c r="JH1" s="452">
        <v>264</v>
      </c>
      <c r="JI1" s="452">
        <v>265</v>
      </c>
      <c r="JJ1" s="452">
        <v>266</v>
      </c>
      <c r="JK1" s="452">
        <v>267</v>
      </c>
      <c r="JL1" s="452">
        <v>268</v>
      </c>
      <c r="JM1" s="452">
        <v>269</v>
      </c>
      <c r="JN1" s="452">
        <v>270</v>
      </c>
      <c r="JO1" s="452">
        <v>271</v>
      </c>
      <c r="JP1" s="452">
        <v>272</v>
      </c>
      <c r="JQ1" s="452">
        <v>273</v>
      </c>
      <c r="JR1" s="351"/>
      <c r="JS1" s="1470" t="s">
        <v>2198</v>
      </c>
      <c r="JT1" s="450" t="s">
        <v>2199</v>
      </c>
    </row>
    <row r="2" spans="1:280" ht="12.5" x14ac:dyDescent="0.25">
      <c r="A2" s="1367" t="s">
        <v>2201</v>
      </c>
      <c r="B2" s="406" t="str">
        <f>"selected "&amp;PS_A_IND-1</f>
        <v>selected 168</v>
      </c>
      <c r="C2" s="2468" t="s">
        <v>27</v>
      </c>
      <c r="D2" s="595"/>
      <c r="E2" s="418">
        <v>1</v>
      </c>
      <c r="F2" s="418">
        <v>2</v>
      </c>
      <c r="G2" s="418">
        <v>3</v>
      </c>
      <c r="H2" s="418">
        <v>4</v>
      </c>
      <c r="I2" s="418">
        <v>5</v>
      </c>
      <c r="J2" s="418">
        <v>6</v>
      </c>
      <c r="K2" s="418">
        <v>7</v>
      </c>
      <c r="L2" s="418">
        <v>8</v>
      </c>
      <c r="M2" s="418">
        <v>9</v>
      </c>
      <c r="N2" s="447">
        <v>10</v>
      </c>
      <c r="O2" s="447">
        <v>11</v>
      </c>
      <c r="P2" s="447">
        <v>12</v>
      </c>
      <c r="Q2" s="447">
        <v>13</v>
      </c>
      <c r="R2" s="447">
        <v>14</v>
      </c>
      <c r="S2" s="447">
        <v>15</v>
      </c>
      <c r="T2" s="447">
        <v>16</v>
      </c>
      <c r="U2" s="447">
        <v>17</v>
      </c>
      <c r="V2" s="447">
        <v>18</v>
      </c>
      <c r="W2" s="447">
        <v>19</v>
      </c>
      <c r="X2" s="447">
        <v>20</v>
      </c>
      <c r="Y2" s="447">
        <v>21</v>
      </c>
      <c r="Z2" s="447">
        <v>22</v>
      </c>
      <c r="AA2" s="447">
        <v>23</v>
      </c>
      <c r="AB2" s="447">
        <v>24</v>
      </c>
      <c r="AC2" s="447">
        <v>25</v>
      </c>
      <c r="AD2" s="447">
        <v>26</v>
      </c>
      <c r="AE2" s="447">
        <v>27</v>
      </c>
      <c r="AF2" s="447">
        <v>28</v>
      </c>
      <c r="AG2" s="447">
        <v>29</v>
      </c>
      <c r="AH2" s="447">
        <v>30</v>
      </c>
      <c r="AI2" s="447">
        <v>31</v>
      </c>
      <c r="AJ2" s="447">
        <v>32</v>
      </c>
      <c r="AK2" s="447">
        <v>33</v>
      </c>
      <c r="AL2" s="447">
        <v>34</v>
      </c>
      <c r="AM2" s="447">
        <v>35</v>
      </c>
      <c r="AN2" s="447">
        <v>36</v>
      </c>
      <c r="AO2" s="447">
        <v>37</v>
      </c>
      <c r="AP2" s="447">
        <v>38</v>
      </c>
      <c r="AQ2" s="447">
        <v>39</v>
      </c>
      <c r="AR2" s="447">
        <v>40</v>
      </c>
      <c r="AS2" s="447">
        <v>41</v>
      </c>
      <c r="AT2" s="447">
        <v>42</v>
      </c>
      <c r="AU2" s="447">
        <v>43</v>
      </c>
      <c r="AV2" s="447">
        <v>44</v>
      </c>
      <c r="AW2" s="447">
        <v>45</v>
      </c>
      <c r="AX2" s="447">
        <v>46</v>
      </c>
      <c r="AY2" s="447">
        <v>47</v>
      </c>
      <c r="AZ2" s="447">
        <v>48</v>
      </c>
      <c r="BA2" s="447">
        <v>49</v>
      </c>
      <c r="BB2" s="447">
        <v>50</v>
      </c>
      <c r="BC2" s="447">
        <v>51</v>
      </c>
      <c r="BD2" s="447">
        <v>52</v>
      </c>
      <c r="BE2" s="447">
        <v>53</v>
      </c>
      <c r="BF2" s="447">
        <v>54</v>
      </c>
      <c r="BG2" s="447">
        <v>55</v>
      </c>
      <c r="BH2" s="447">
        <v>56</v>
      </c>
      <c r="BI2" s="447">
        <v>57</v>
      </c>
      <c r="BJ2" s="447">
        <v>58</v>
      </c>
      <c r="BK2" s="447">
        <v>59</v>
      </c>
      <c r="BL2" s="447">
        <v>60</v>
      </c>
      <c r="BM2" s="447">
        <v>61</v>
      </c>
      <c r="BN2" s="447">
        <v>62</v>
      </c>
      <c r="BO2" s="447">
        <v>63</v>
      </c>
      <c r="BP2" s="447">
        <v>64</v>
      </c>
      <c r="BQ2" s="447">
        <v>65</v>
      </c>
      <c r="BR2" s="447">
        <v>66</v>
      </c>
      <c r="BS2" s="447">
        <v>67</v>
      </c>
      <c r="BT2" s="447">
        <v>68</v>
      </c>
      <c r="BU2" s="447">
        <v>69</v>
      </c>
      <c r="BV2" s="447">
        <v>70</v>
      </c>
      <c r="BW2" s="447">
        <v>71</v>
      </c>
      <c r="BX2" s="447">
        <v>72</v>
      </c>
      <c r="BY2" s="447">
        <v>73</v>
      </c>
      <c r="BZ2" s="447">
        <v>74</v>
      </c>
      <c r="CA2" s="447">
        <v>75</v>
      </c>
      <c r="CB2" s="447">
        <v>76</v>
      </c>
      <c r="CC2" s="447">
        <v>77</v>
      </c>
      <c r="CD2" s="447">
        <v>78</v>
      </c>
      <c r="CE2" s="447">
        <v>79</v>
      </c>
      <c r="CF2" s="447">
        <v>80</v>
      </c>
      <c r="CG2" s="447">
        <v>81</v>
      </c>
      <c r="CH2" s="447">
        <v>82</v>
      </c>
      <c r="CI2" s="447">
        <v>83</v>
      </c>
      <c r="CJ2" s="447">
        <v>84</v>
      </c>
      <c r="CK2" s="447">
        <v>85</v>
      </c>
      <c r="CL2" s="447">
        <v>86</v>
      </c>
      <c r="CM2" s="447">
        <v>87</v>
      </c>
      <c r="CN2" s="447">
        <v>88</v>
      </c>
      <c r="CO2" s="447">
        <v>89</v>
      </c>
      <c r="CP2" s="447">
        <v>90</v>
      </c>
      <c r="CQ2" s="447">
        <v>91</v>
      </c>
      <c r="CR2" s="447">
        <v>92</v>
      </c>
      <c r="CS2" s="447">
        <v>93</v>
      </c>
      <c r="CT2" s="447">
        <v>94</v>
      </c>
      <c r="CU2" s="447">
        <v>95</v>
      </c>
      <c r="CV2" s="447">
        <v>96</v>
      </c>
      <c r="CW2" s="447">
        <v>97</v>
      </c>
      <c r="CX2" s="447">
        <v>98</v>
      </c>
      <c r="CY2" s="447">
        <v>99</v>
      </c>
      <c r="CZ2" s="447">
        <v>100</v>
      </c>
      <c r="DA2" s="447">
        <v>101</v>
      </c>
      <c r="DB2" s="447">
        <v>102</v>
      </c>
      <c r="DC2" s="447">
        <v>103</v>
      </c>
      <c r="DD2" s="447">
        <v>104</v>
      </c>
      <c r="DE2" s="447">
        <v>105</v>
      </c>
      <c r="DF2" s="447">
        <v>106</v>
      </c>
      <c r="DG2" s="447">
        <v>107</v>
      </c>
      <c r="DH2" s="447">
        <v>108</v>
      </c>
      <c r="DI2" s="447">
        <v>109</v>
      </c>
      <c r="DJ2" s="447">
        <v>110</v>
      </c>
      <c r="DK2" s="447">
        <v>111</v>
      </c>
      <c r="DL2" s="447">
        <v>112</v>
      </c>
      <c r="DM2" s="447">
        <v>113</v>
      </c>
      <c r="DN2" s="447">
        <v>114</v>
      </c>
      <c r="DO2" s="447">
        <v>115</v>
      </c>
      <c r="DP2" s="447">
        <v>116</v>
      </c>
      <c r="DQ2" s="447">
        <v>117</v>
      </c>
      <c r="DR2" s="447">
        <v>118</v>
      </c>
      <c r="DS2" s="447">
        <v>119</v>
      </c>
      <c r="DT2" s="447">
        <v>120</v>
      </c>
      <c r="DU2" s="447">
        <v>121</v>
      </c>
      <c r="DV2" s="447">
        <v>122</v>
      </c>
      <c r="DW2" s="447">
        <v>123</v>
      </c>
      <c r="DX2" s="447">
        <v>124</v>
      </c>
      <c r="DY2" s="447">
        <v>125</v>
      </c>
      <c r="DZ2" s="447">
        <v>126</v>
      </c>
      <c r="EA2" s="447">
        <v>127</v>
      </c>
      <c r="EB2" s="447">
        <v>128</v>
      </c>
      <c r="EC2" s="447">
        <v>129</v>
      </c>
      <c r="ED2" s="447">
        <v>130</v>
      </c>
      <c r="EE2" s="447">
        <v>131</v>
      </c>
      <c r="EF2" s="447">
        <v>132</v>
      </c>
      <c r="EG2" s="447">
        <v>133</v>
      </c>
      <c r="EH2" s="447">
        <v>134</v>
      </c>
      <c r="EI2" s="447">
        <v>135</v>
      </c>
      <c r="EJ2" s="447">
        <v>136</v>
      </c>
      <c r="EK2" s="447">
        <v>137</v>
      </c>
      <c r="EL2" s="447">
        <v>138</v>
      </c>
      <c r="EM2" s="447">
        <v>139</v>
      </c>
      <c r="EN2" s="447">
        <v>140</v>
      </c>
      <c r="EO2" s="447">
        <v>141</v>
      </c>
      <c r="EP2" s="447">
        <v>142</v>
      </c>
      <c r="EQ2" s="447">
        <v>143</v>
      </c>
      <c r="ER2" s="447">
        <v>144</v>
      </c>
      <c r="ES2" s="447">
        <v>145</v>
      </c>
      <c r="ET2" s="447">
        <v>146</v>
      </c>
      <c r="EU2" s="447">
        <v>147</v>
      </c>
      <c r="EV2" s="447">
        <v>148</v>
      </c>
      <c r="EW2" s="447">
        <v>149</v>
      </c>
      <c r="EX2" s="447">
        <v>150</v>
      </c>
      <c r="EY2" s="447">
        <v>151</v>
      </c>
      <c r="EZ2" s="447">
        <v>152</v>
      </c>
      <c r="FA2" s="447">
        <v>153</v>
      </c>
      <c r="FB2" s="447">
        <v>154</v>
      </c>
      <c r="FC2" s="447">
        <v>155</v>
      </c>
      <c r="FD2" s="447">
        <v>156</v>
      </c>
      <c r="FE2" s="447">
        <v>157</v>
      </c>
      <c r="FF2" s="447">
        <v>158</v>
      </c>
      <c r="FG2" s="447">
        <v>159</v>
      </c>
      <c r="FH2" s="447">
        <v>160</v>
      </c>
      <c r="FI2" s="447">
        <v>161</v>
      </c>
      <c r="FJ2" s="447">
        <v>162</v>
      </c>
      <c r="FK2" s="447">
        <v>163</v>
      </c>
      <c r="FL2" s="447">
        <v>164</v>
      </c>
      <c r="FM2" s="447">
        <v>165</v>
      </c>
      <c r="FN2" s="447">
        <v>166</v>
      </c>
      <c r="FO2" s="447">
        <v>167</v>
      </c>
      <c r="FP2" s="447">
        <v>168</v>
      </c>
      <c r="FQ2" s="447">
        <v>169</v>
      </c>
      <c r="FR2" s="447">
        <v>170</v>
      </c>
      <c r="FS2" s="447">
        <v>171</v>
      </c>
      <c r="FT2" s="447">
        <v>172</v>
      </c>
      <c r="FU2" s="447">
        <v>173</v>
      </c>
      <c r="FV2" s="447">
        <v>174</v>
      </c>
      <c r="FW2" s="447">
        <v>175</v>
      </c>
      <c r="FX2" s="447">
        <v>176</v>
      </c>
      <c r="FY2" s="447">
        <v>177</v>
      </c>
      <c r="FZ2" s="447">
        <v>178</v>
      </c>
      <c r="GA2" s="447">
        <v>179</v>
      </c>
      <c r="GB2" s="447">
        <v>180</v>
      </c>
      <c r="GC2" s="447">
        <v>181</v>
      </c>
      <c r="GD2" s="447">
        <v>182</v>
      </c>
      <c r="GE2" s="447">
        <v>183</v>
      </c>
      <c r="GF2" s="447">
        <v>184</v>
      </c>
      <c r="GG2" s="447">
        <v>185</v>
      </c>
      <c r="GH2" s="447">
        <v>186</v>
      </c>
      <c r="GI2" s="447">
        <v>187</v>
      </c>
      <c r="GJ2" s="447">
        <v>188</v>
      </c>
      <c r="GK2" s="447">
        <v>189</v>
      </c>
      <c r="GL2" s="447">
        <v>190</v>
      </c>
      <c r="GM2" s="447">
        <v>191</v>
      </c>
      <c r="GN2" s="447">
        <v>192</v>
      </c>
      <c r="GO2" s="447">
        <v>193</v>
      </c>
      <c r="GP2" s="447">
        <v>194</v>
      </c>
      <c r="GQ2" s="447">
        <v>195</v>
      </c>
      <c r="GR2" s="447">
        <v>196</v>
      </c>
      <c r="GS2" s="447">
        <v>197</v>
      </c>
      <c r="GT2" s="447">
        <v>198</v>
      </c>
      <c r="GU2" s="447">
        <v>199</v>
      </c>
      <c r="GV2" s="447">
        <v>200</v>
      </c>
      <c r="GW2" s="447">
        <v>201</v>
      </c>
      <c r="GX2" s="447">
        <v>202</v>
      </c>
      <c r="GY2" s="447">
        <v>203</v>
      </c>
      <c r="GZ2" s="447">
        <v>204</v>
      </c>
      <c r="HA2" s="447">
        <v>205</v>
      </c>
      <c r="HB2" s="447">
        <v>206</v>
      </c>
      <c r="HC2" s="447">
        <v>207</v>
      </c>
      <c r="HD2" s="447">
        <v>208</v>
      </c>
      <c r="HE2" s="447">
        <v>209</v>
      </c>
      <c r="HF2" s="447">
        <v>210</v>
      </c>
      <c r="HG2" s="447">
        <v>211</v>
      </c>
      <c r="HH2" s="447">
        <v>212</v>
      </c>
      <c r="HI2" s="447">
        <v>213</v>
      </c>
      <c r="HJ2" s="447">
        <v>214</v>
      </c>
      <c r="HK2" s="447">
        <v>215</v>
      </c>
      <c r="HL2" s="447">
        <v>216</v>
      </c>
      <c r="HM2" s="447">
        <v>217</v>
      </c>
      <c r="HN2" s="447">
        <v>218</v>
      </c>
      <c r="HO2" s="447">
        <v>219</v>
      </c>
      <c r="HP2" s="447">
        <v>220</v>
      </c>
      <c r="HQ2" s="447">
        <v>221</v>
      </c>
      <c r="HR2" s="447">
        <v>222</v>
      </c>
      <c r="HS2" s="447">
        <v>223</v>
      </c>
      <c r="HT2" s="447">
        <v>224</v>
      </c>
      <c r="HU2" s="447">
        <v>225</v>
      </c>
      <c r="HV2" s="447">
        <v>226</v>
      </c>
      <c r="HW2" s="447">
        <v>227</v>
      </c>
      <c r="HX2" s="447">
        <v>228</v>
      </c>
      <c r="HY2" s="447">
        <v>229</v>
      </c>
      <c r="HZ2" s="447">
        <v>230</v>
      </c>
      <c r="IA2" s="447">
        <v>231</v>
      </c>
      <c r="IB2" s="447">
        <v>232</v>
      </c>
      <c r="IC2" s="447">
        <v>233</v>
      </c>
      <c r="ID2" s="447">
        <v>234</v>
      </c>
      <c r="IE2" s="447">
        <v>235</v>
      </c>
      <c r="IF2" s="447">
        <v>236</v>
      </c>
      <c r="IG2" s="447">
        <v>237</v>
      </c>
      <c r="IH2" s="447">
        <v>238</v>
      </c>
      <c r="II2" s="447">
        <v>239</v>
      </c>
      <c r="IJ2" s="447">
        <v>240</v>
      </c>
      <c r="IK2" s="447">
        <v>241</v>
      </c>
      <c r="IL2" s="447">
        <v>242</v>
      </c>
      <c r="IM2" s="447">
        <v>243</v>
      </c>
      <c r="IN2" s="447">
        <v>244</v>
      </c>
      <c r="IO2" s="447">
        <v>245</v>
      </c>
      <c r="IP2" s="447">
        <v>246</v>
      </c>
      <c r="IQ2" s="447">
        <v>247</v>
      </c>
      <c r="IR2" s="447">
        <v>248</v>
      </c>
      <c r="IS2" s="447">
        <v>249</v>
      </c>
      <c r="IT2" s="447">
        <v>250</v>
      </c>
      <c r="IU2" s="447">
        <v>251</v>
      </c>
      <c r="IV2" s="447">
        <v>252</v>
      </c>
      <c r="IW2" s="447">
        <v>253</v>
      </c>
      <c r="IX2" s="447">
        <v>254</v>
      </c>
      <c r="IY2" s="447">
        <v>255</v>
      </c>
      <c r="IZ2" s="447">
        <v>256</v>
      </c>
      <c r="JA2" s="447">
        <v>257</v>
      </c>
      <c r="JB2" s="447">
        <v>258</v>
      </c>
      <c r="JC2" s="447">
        <v>259</v>
      </c>
      <c r="JD2" s="447">
        <v>260</v>
      </c>
      <c r="JE2" s="447">
        <v>261</v>
      </c>
      <c r="JF2" s="447">
        <v>262</v>
      </c>
      <c r="JG2" s="447">
        <v>263</v>
      </c>
      <c r="JH2" s="447">
        <v>264</v>
      </c>
      <c r="JI2" s="447">
        <v>265</v>
      </c>
      <c r="JJ2" s="447">
        <v>266</v>
      </c>
      <c r="JK2" s="447">
        <v>267</v>
      </c>
      <c r="JL2" s="447">
        <v>268</v>
      </c>
      <c r="JM2" s="447">
        <v>269</v>
      </c>
      <c r="JN2" s="447">
        <v>270</v>
      </c>
      <c r="JO2" s="447">
        <v>271</v>
      </c>
      <c r="JP2" s="447">
        <v>272</v>
      </c>
      <c r="JQ2" s="447">
        <v>273</v>
      </c>
      <c r="JR2" s="351"/>
      <c r="JS2" s="1470" t="s">
        <v>2198</v>
      </c>
      <c r="JT2" s="450" t="s">
        <v>2199</v>
      </c>
    </row>
    <row r="3" spans="1:280" ht="90" x14ac:dyDescent="0.25">
      <c r="A3" s="1367">
        <v>2</v>
      </c>
      <c r="B3" s="1411">
        <f t="shared" ref="B3:B29" si="0">IF(PS_A_IND&gt;1,IF(HLOOKUP(PS_A_IND-1,SPS_RANGE,A3)="","",HLOOKUP(PS_A_IND-1,SPS_RANGE,A3)),"")</f>
        <v>1000050020</v>
      </c>
      <c r="C3" s="1435" t="s">
        <v>3456</v>
      </c>
      <c r="D3" s="1436" t="s">
        <v>3457</v>
      </c>
      <c r="E3" s="1361"/>
      <c r="F3" s="1361"/>
      <c r="G3" s="1361"/>
      <c r="H3" s="1361"/>
      <c r="I3" s="1361"/>
      <c r="J3" s="1361"/>
      <c r="K3" s="1361"/>
      <c r="L3" s="1361"/>
      <c r="M3" s="1361"/>
      <c r="N3" s="1494"/>
      <c r="O3" s="1494"/>
      <c r="P3" s="1494"/>
      <c r="Q3" s="1494"/>
      <c r="R3" s="1494"/>
      <c r="S3" s="1494"/>
      <c r="T3" s="1494"/>
      <c r="U3" s="1494"/>
      <c r="V3" s="1494"/>
      <c r="W3" s="1494"/>
      <c r="X3" s="1494"/>
      <c r="Y3" s="1494"/>
      <c r="Z3" s="1494"/>
      <c r="AA3" s="1494"/>
      <c r="AB3" s="1494"/>
      <c r="AC3" s="1494"/>
      <c r="AD3" s="1494"/>
      <c r="AE3" s="1494"/>
      <c r="AF3" s="1494"/>
      <c r="AG3" s="1494"/>
      <c r="AH3" s="1494"/>
      <c r="AI3" s="1494"/>
      <c r="AJ3" s="1494"/>
      <c r="AK3" s="1494"/>
      <c r="AL3" s="1494"/>
      <c r="AM3" s="1494"/>
      <c r="AN3" s="1494"/>
      <c r="AO3" s="1494"/>
      <c r="AP3" s="1494"/>
      <c r="AQ3" s="1494"/>
      <c r="AR3" s="1494"/>
      <c r="AS3" s="1494"/>
      <c r="AT3" s="1494"/>
      <c r="AU3" s="1494"/>
      <c r="AV3" s="1494"/>
      <c r="AW3" s="1494"/>
      <c r="AX3" s="1494"/>
      <c r="AY3" s="1494"/>
      <c r="AZ3" s="1494"/>
      <c r="BA3" s="1494"/>
      <c r="BB3" s="1494"/>
      <c r="BC3" s="1561">
        <v>1000050020</v>
      </c>
      <c r="BD3" s="1561">
        <v>1000050020</v>
      </c>
      <c r="BE3" s="1494"/>
      <c r="BF3" s="1494"/>
      <c r="BG3" s="1494"/>
      <c r="BH3" s="1494"/>
      <c r="BI3" s="1494"/>
      <c r="BJ3" s="1494"/>
      <c r="BK3" s="1494"/>
      <c r="BL3" s="1494"/>
      <c r="BM3" s="1494"/>
      <c r="BN3" s="1494"/>
      <c r="BO3" s="1494"/>
      <c r="BP3" s="1494"/>
      <c r="BQ3" s="1494"/>
      <c r="BR3" s="1494"/>
      <c r="BS3" s="1494"/>
      <c r="BT3" s="1494"/>
      <c r="BU3" s="1494"/>
      <c r="BV3" s="1494"/>
      <c r="BW3" s="1494"/>
      <c r="BX3" s="1494"/>
      <c r="BY3" s="1494"/>
      <c r="BZ3" s="1494"/>
      <c r="CA3" s="1494"/>
      <c r="CB3" s="1494"/>
      <c r="CC3" s="1494"/>
      <c r="CD3" s="1494"/>
      <c r="CE3" s="1494"/>
      <c r="CF3" s="1494"/>
      <c r="CG3" s="1494"/>
      <c r="CH3" s="1494"/>
      <c r="CI3" s="1561">
        <v>1000050020</v>
      </c>
      <c r="CJ3" s="1494"/>
      <c r="CK3" s="1494"/>
      <c r="CL3" s="1494"/>
      <c r="CM3" s="1494"/>
      <c r="CN3" s="1494"/>
      <c r="CO3" s="1494"/>
      <c r="CP3" s="1494"/>
      <c r="CQ3" s="1494"/>
      <c r="CR3" s="1494"/>
      <c r="CS3" s="1494"/>
      <c r="CT3" s="1494"/>
      <c r="CU3" s="1494"/>
      <c r="CV3" s="1494"/>
      <c r="CW3" s="1561">
        <v>1000050020</v>
      </c>
      <c r="CX3" s="1561">
        <v>1000050020</v>
      </c>
      <c r="CY3" s="1494"/>
      <c r="CZ3" s="1494"/>
      <c r="DA3" s="1494"/>
      <c r="DB3" s="1494"/>
      <c r="DC3" s="1494"/>
      <c r="DD3" s="1561">
        <v>1000050020</v>
      </c>
      <c r="DE3" s="1494"/>
      <c r="DF3" s="1494"/>
      <c r="DG3" s="1561">
        <v>1000050020</v>
      </c>
      <c r="DH3" s="1494"/>
      <c r="DI3" s="1494"/>
      <c r="DJ3" s="1494"/>
      <c r="DK3" s="1494"/>
      <c r="DL3" s="1494"/>
      <c r="DM3" s="1561">
        <v>1000050020</v>
      </c>
      <c r="DN3" s="1494"/>
      <c r="DO3" s="1562">
        <v>1000050020</v>
      </c>
      <c r="DP3" s="1494"/>
      <c r="DQ3" s="1494"/>
      <c r="DR3" s="1494"/>
      <c r="DS3" s="1562">
        <v>1000050020</v>
      </c>
      <c r="DT3" s="1494"/>
      <c r="DU3" s="1561">
        <v>1000050020</v>
      </c>
      <c r="DV3" s="1494"/>
      <c r="DW3" s="1561">
        <v>1000050031</v>
      </c>
      <c r="DX3" s="1494"/>
      <c r="DY3" s="1494"/>
      <c r="DZ3" s="1494"/>
      <c r="EA3" s="1494"/>
      <c r="EB3" s="1494"/>
      <c r="EC3" s="1494"/>
      <c r="ED3" s="1494"/>
      <c r="EE3" s="1494"/>
      <c r="EF3" s="1494"/>
      <c r="EG3" s="1494"/>
      <c r="EH3" s="1494"/>
      <c r="EI3" s="1494"/>
      <c r="EJ3" s="1561">
        <v>1000050020</v>
      </c>
      <c r="EK3" s="1561">
        <v>1000050020</v>
      </c>
      <c r="EL3" s="1494"/>
      <c r="EM3" s="1562">
        <v>1000050020</v>
      </c>
      <c r="EN3" s="1494"/>
      <c r="EO3" s="1562">
        <v>1000050020</v>
      </c>
      <c r="EP3" s="1494"/>
      <c r="EQ3" s="1494"/>
      <c r="ER3" s="1562">
        <v>1000050020</v>
      </c>
      <c r="ES3" s="1494"/>
      <c r="ET3" s="1494"/>
      <c r="EU3" s="1562">
        <v>1000050020</v>
      </c>
      <c r="EV3" s="1562">
        <v>1000050020</v>
      </c>
      <c r="EW3" s="1494"/>
      <c r="EX3" s="1562">
        <v>1000050020</v>
      </c>
      <c r="EY3" s="1494"/>
      <c r="EZ3" s="1494"/>
      <c r="FA3" s="1494"/>
      <c r="FB3" s="1562">
        <v>1000050020</v>
      </c>
      <c r="FC3" s="1494"/>
      <c r="FD3" s="1562"/>
      <c r="FE3" s="1494"/>
      <c r="FF3" s="1562"/>
      <c r="FG3" s="1494"/>
      <c r="FH3" s="1494"/>
      <c r="FI3" s="1561">
        <v>1000050020</v>
      </c>
      <c r="FJ3" s="1561">
        <v>1000050020</v>
      </c>
      <c r="FK3" s="1494"/>
      <c r="FL3" s="1494"/>
      <c r="FM3" s="1494"/>
      <c r="FN3" s="1494"/>
      <c r="FO3" s="1494"/>
      <c r="FP3" s="1562">
        <v>1000050020</v>
      </c>
      <c r="FQ3" s="1494"/>
      <c r="FR3" s="1494"/>
      <c r="FS3" s="1494"/>
      <c r="FT3" s="1494"/>
      <c r="FU3" s="1494"/>
      <c r="FV3" s="1494"/>
      <c r="FW3" s="1494"/>
      <c r="FX3" s="1494"/>
      <c r="FY3" s="1494"/>
      <c r="FZ3" s="1494"/>
      <c r="GA3" s="1494"/>
      <c r="GB3" s="1494"/>
      <c r="GC3" s="1494"/>
      <c r="GD3" s="1494"/>
      <c r="GE3" s="1494"/>
      <c r="GF3" s="1494"/>
      <c r="GG3" s="1494"/>
      <c r="GH3" s="1494"/>
      <c r="GI3" s="1494"/>
      <c r="GJ3" s="1494"/>
      <c r="GK3" s="1494"/>
      <c r="GL3" s="1561">
        <v>1000050020</v>
      </c>
      <c r="GM3" s="1561">
        <v>1000050020</v>
      </c>
      <c r="GN3" s="1494"/>
      <c r="GO3" s="1494"/>
      <c r="GP3" s="1494"/>
      <c r="GQ3" s="1494"/>
      <c r="GR3" s="1494"/>
      <c r="GS3" s="1494"/>
      <c r="GT3" s="1494"/>
      <c r="GU3" s="1494"/>
      <c r="GV3" s="1494"/>
      <c r="GW3" s="1494"/>
      <c r="GX3" s="1494"/>
      <c r="GY3" s="1494"/>
      <c r="GZ3" s="1561">
        <v>1000050020</v>
      </c>
      <c r="HA3" s="1561">
        <v>1000050020</v>
      </c>
      <c r="HB3" s="1561">
        <v>1000050020</v>
      </c>
      <c r="HC3" s="1494"/>
      <c r="HD3" s="1494"/>
      <c r="HE3" s="1494"/>
      <c r="HF3" s="1494"/>
      <c r="HG3" s="1494"/>
      <c r="HH3" s="1494"/>
      <c r="HI3" s="1494"/>
      <c r="HJ3" s="1494"/>
      <c r="HK3" s="1494"/>
      <c r="HL3" s="1494"/>
      <c r="HM3" s="1481">
        <v>1000050020</v>
      </c>
      <c r="HN3" s="1494"/>
      <c r="HO3" s="1494"/>
      <c r="HP3" s="1494"/>
      <c r="HQ3" s="1494"/>
      <c r="HR3" s="1494"/>
      <c r="HS3" s="1494"/>
      <c r="HT3" s="1494"/>
      <c r="HU3" s="1494"/>
      <c r="HV3" s="1494">
        <v>1000050020</v>
      </c>
      <c r="HW3" s="1494"/>
      <c r="HX3" s="1494"/>
      <c r="HY3" s="1494">
        <v>1000050020</v>
      </c>
      <c r="HZ3" s="1494"/>
      <c r="IA3" s="1494"/>
      <c r="IB3" s="1494"/>
      <c r="IC3" s="1494"/>
      <c r="ID3" s="1494"/>
      <c r="IE3" s="1494">
        <v>1000050020</v>
      </c>
      <c r="IF3" s="1494"/>
      <c r="IG3" s="1494"/>
      <c r="IH3" s="1494"/>
      <c r="II3" s="1494"/>
      <c r="IJ3" s="1494"/>
      <c r="IK3" s="1494"/>
      <c r="IL3" s="1494"/>
      <c r="IM3" s="1494"/>
      <c r="IN3" s="1494"/>
      <c r="IO3" s="1494"/>
      <c r="IP3" s="1494"/>
      <c r="IQ3" s="1494"/>
      <c r="IR3" s="1494"/>
      <c r="IS3" s="1494"/>
      <c r="IT3" s="1494"/>
      <c r="IU3" s="1494"/>
      <c r="IV3" s="1494"/>
      <c r="IW3" s="1562">
        <v>1000050020</v>
      </c>
      <c r="IX3" s="1494"/>
      <c r="IY3" s="1561">
        <v>1000050020</v>
      </c>
      <c r="IZ3" s="1494"/>
      <c r="JA3" s="1494"/>
      <c r="JB3" s="1494"/>
      <c r="JC3" s="1494"/>
      <c r="JD3" s="1494"/>
      <c r="JE3" s="1494"/>
      <c r="JF3" s="1494"/>
      <c r="JG3" s="1494"/>
      <c r="JH3" s="1494"/>
      <c r="JI3" s="1494"/>
      <c r="JJ3" s="1494"/>
      <c r="JK3" s="1494"/>
      <c r="JL3" s="1494">
        <v>1000050020</v>
      </c>
      <c r="JM3" s="1494"/>
      <c r="JN3" s="1494"/>
      <c r="JO3" s="1494"/>
      <c r="JP3" s="1494"/>
      <c r="JQ3" s="1499"/>
      <c r="JR3" s="351"/>
      <c r="JS3" s="1400" t="s">
        <v>3458</v>
      </c>
      <c r="JT3" s="450" t="s">
        <v>3459</v>
      </c>
    </row>
    <row r="4" spans="1:280" ht="12.5" x14ac:dyDescent="0.25">
      <c r="A4" s="1367">
        <v>3</v>
      </c>
      <c r="B4" s="1411" t="str">
        <f>IF(PS_A_IND&gt;1,IF(HLOOKUP(PS_A_IND-1,SPS_RANGE,A4)="","",HLOOKUP(PS_A_IND-1,SPS_RANGE,A4)),"")</f>
        <v>trader</v>
      </c>
      <c r="C4" s="1435" t="s">
        <v>3460</v>
      </c>
      <c r="D4" s="1436" t="s">
        <v>3461</v>
      </c>
      <c r="E4" s="1361"/>
      <c r="F4" s="1361"/>
      <c r="G4" s="1361"/>
      <c r="H4" s="1361"/>
      <c r="I4" s="1361"/>
      <c r="J4" s="1361"/>
      <c r="K4" s="1361"/>
      <c r="L4" s="1361"/>
      <c r="M4" s="1361"/>
      <c r="N4" s="1494"/>
      <c r="O4" s="1494"/>
      <c r="P4" s="1494"/>
      <c r="Q4" s="1494"/>
      <c r="R4" s="1494"/>
      <c r="S4" s="1494"/>
      <c r="T4" s="1494"/>
      <c r="U4" s="1494"/>
      <c r="V4" s="1494"/>
      <c r="W4" s="1494"/>
      <c r="X4" s="1494"/>
      <c r="Y4" s="1494"/>
      <c r="Z4" s="1494"/>
      <c r="AA4" s="1494"/>
      <c r="AB4" s="1494"/>
      <c r="AC4" s="1494"/>
      <c r="AD4" s="1494"/>
      <c r="AE4" s="1494"/>
      <c r="AF4" s="1494"/>
      <c r="AG4" s="1494"/>
      <c r="AH4" s="1494"/>
      <c r="AI4" s="1494"/>
      <c r="AJ4" s="1494"/>
      <c r="AK4" s="1494"/>
      <c r="AL4" s="1494"/>
      <c r="AM4" s="1494"/>
      <c r="AN4" s="1494"/>
      <c r="AO4" s="1494"/>
      <c r="AP4" s="1494"/>
      <c r="AQ4" s="1494"/>
      <c r="AR4" s="1494"/>
      <c r="AS4" s="1494"/>
      <c r="AT4" s="1494"/>
      <c r="AU4" s="1494"/>
      <c r="AV4" s="1494"/>
      <c r="AW4" s="1494"/>
      <c r="AX4" s="1494"/>
      <c r="AY4" s="1494"/>
      <c r="AZ4" s="1494"/>
      <c r="BA4" s="1494"/>
      <c r="BB4" s="1494"/>
      <c r="BC4" s="1381" t="s">
        <v>3462</v>
      </c>
      <c r="BD4" s="1381" t="s">
        <v>3462</v>
      </c>
      <c r="BE4" s="1494"/>
      <c r="BF4" s="1494"/>
      <c r="BG4" s="1494"/>
      <c r="BH4" s="1494"/>
      <c r="BI4" s="1494"/>
      <c r="BJ4" s="1494"/>
      <c r="BK4" s="1494"/>
      <c r="BL4" s="1494"/>
      <c r="BM4" s="1494"/>
      <c r="BN4" s="1494"/>
      <c r="BO4" s="1494"/>
      <c r="BP4" s="1494"/>
      <c r="BQ4" s="1494"/>
      <c r="BR4" s="1494"/>
      <c r="BS4" s="1494"/>
      <c r="BT4" s="1494"/>
      <c r="BU4" s="1494"/>
      <c r="BV4" s="1494"/>
      <c r="BW4" s="1494"/>
      <c r="BX4" s="1494"/>
      <c r="BY4" s="1494"/>
      <c r="BZ4" s="1494"/>
      <c r="CA4" s="1494"/>
      <c r="CB4" s="1494"/>
      <c r="CC4" s="1494"/>
      <c r="CD4" s="1494"/>
      <c r="CE4" s="1494"/>
      <c r="CF4" s="1494"/>
      <c r="CG4" s="1494"/>
      <c r="CH4" s="1494"/>
      <c r="CI4" s="1416" t="s">
        <v>2905</v>
      </c>
      <c r="CJ4" s="1494"/>
      <c r="CK4" s="1494"/>
      <c r="CL4" s="1494"/>
      <c r="CM4" s="1494"/>
      <c r="CN4" s="1494"/>
      <c r="CO4" s="1494"/>
      <c r="CP4" s="1494"/>
      <c r="CQ4" s="1494"/>
      <c r="CR4" s="1494"/>
      <c r="CS4" s="1494"/>
      <c r="CT4" s="1494"/>
      <c r="CU4" s="1494"/>
      <c r="CV4" s="1494"/>
      <c r="CW4" s="1381" t="s">
        <v>3048</v>
      </c>
      <c r="CX4" s="1381" t="s">
        <v>3463</v>
      </c>
      <c r="CY4" s="1494"/>
      <c r="CZ4" s="1494"/>
      <c r="DA4" s="1494"/>
      <c r="DB4" s="1494"/>
      <c r="DC4" s="1494"/>
      <c r="DD4" s="1416" t="s">
        <v>2905</v>
      </c>
      <c r="DE4" s="1494"/>
      <c r="DF4" s="1494"/>
      <c r="DG4" s="1381" t="s">
        <v>3057</v>
      </c>
      <c r="DH4" s="1494"/>
      <c r="DI4" s="1494"/>
      <c r="DJ4" s="1494"/>
      <c r="DK4" s="1494"/>
      <c r="DL4" s="1494"/>
      <c r="DM4" s="1416" t="s">
        <v>2905</v>
      </c>
      <c r="DN4" s="1494"/>
      <c r="DO4" s="1494" t="s">
        <v>3464</v>
      </c>
      <c r="DP4" s="1494"/>
      <c r="DQ4" s="1494"/>
      <c r="DR4" s="1494"/>
      <c r="DS4" s="1494" t="s">
        <v>3464</v>
      </c>
      <c r="DT4" s="1494"/>
      <c r="DU4" s="1416" t="s">
        <v>2905</v>
      </c>
      <c r="DV4" s="1494"/>
      <c r="DW4" s="1494" t="s">
        <v>3057</v>
      </c>
      <c r="DX4" s="1494"/>
      <c r="DY4" s="1494"/>
      <c r="DZ4" s="1494"/>
      <c r="EA4" s="1494"/>
      <c r="EB4" s="1494"/>
      <c r="EC4" s="1494"/>
      <c r="ED4" s="1494"/>
      <c r="EE4" s="1494"/>
      <c r="EF4" s="1494"/>
      <c r="EG4" s="1494"/>
      <c r="EH4" s="1494"/>
      <c r="EI4" s="1494"/>
      <c r="EJ4" s="1416" t="s">
        <v>3465</v>
      </c>
      <c r="EK4" s="1416" t="s">
        <v>3466</v>
      </c>
      <c r="EL4" s="1494"/>
      <c r="EM4" s="1417" t="s">
        <v>3467</v>
      </c>
      <c r="EN4" s="1494"/>
      <c r="EO4" s="1417" t="s">
        <v>3468</v>
      </c>
      <c r="EP4" s="1494"/>
      <c r="EQ4" s="1494"/>
      <c r="ER4" s="1417" t="s">
        <v>3469</v>
      </c>
      <c r="ES4" s="1494"/>
      <c r="ET4" s="1494"/>
      <c r="EU4" s="1481" t="s">
        <v>3470</v>
      </c>
      <c r="EV4" s="1494" t="s">
        <v>3471</v>
      </c>
      <c r="EW4" s="1494"/>
      <c r="EX4" s="1481" t="s">
        <v>3472</v>
      </c>
      <c r="EY4" s="1494"/>
      <c r="EZ4" s="1494"/>
      <c r="FA4" s="1494"/>
      <c r="FB4" s="1481" t="s">
        <v>3473</v>
      </c>
      <c r="FC4" s="1494"/>
      <c r="FD4" s="1382"/>
      <c r="FE4" s="1494"/>
      <c r="FF4" s="1382"/>
      <c r="FG4" s="1494"/>
      <c r="FH4" s="1494"/>
      <c r="FI4" s="1381" t="s">
        <v>3462</v>
      </c>
      <c r="FJ4" s="1381" t="s">
        <v>3462</v>
      </c>
      <c r="FK4" s="1494"/>
      <c r="FL4" s="1494"/>
      <c r="FM4" s="1494"/>
      <c r="FN4" s="1494"/>
      <c r="FO4" s="1494"/>
      <c r="FP4" s="1481" t="s">
        <v>3048</v>
      </c>
      <c r="FQ4" s="1494"/>
      <c r="FR4" s="1494"/>
      <c r="FS4" s="1494"/>
      <c r="FT4" s="1494"/>
      <c r="FU4" s="1494"/>
      <c r="FV4" s="1494"/>
      <c r="FW4" s="1494"/>
      <c r="FX4" s="1494"/>
      <c r="FY4" s="1494"/>
      <c r="FZ4" s="1494"/>
      <c r="GA4" s="1494"/>
      <c r="GB4" s="1494"/>
      <c r="GC4" s="1494"/>
      <c r="GD4" s="1494"/>
      <c r="GE4" s="1494"/>
      <c r="GF4" s="1494"/>
      <c r="GG4" s="1494"/>
      <c r="GH4" s="1494"/>
      <c r="GI4" s="1494"/>
      <c r="GJ4" s="1494"/>
      <c r="GK4" s="1494"/>
      <c r="GL4" s="1381" t="s">
        <v>3048</v>
      </c>
      <c r="GM4" s="1381" t="s">
        <v>3048</v>
      </c>
      <c r="GN4" s="1494"/>
      <c r="GO4" s="1494"/>
      <c r="GP4" s="1494"/>
      <c r="GQ4" s="1494"/>
      <c r="GR4" s="1494"/>
      <c r="GS4" s="1494"/>
      <c r="GT4" s="1494"/>
      <c r="GU4" s="1494"/>
      <c r="GV4" s="1494"/>
      <c r="GW4" s="1494"/>
      <c r="GX4" s="1494"/>
      <c r="GY4" s="1494"/>
      <c r="GZ4" s="1381" t="s">
        <v>3048</v>
      </c>
      <c r="HA4" s="1381" t="s">
        <v>3048</v>
      </c>
      <c r="HB4" s="1381" t="s">
        <v>3474</v>
      </c>
      <c r="HC4" s="1494"/>
      <c r="HD4" s="1494"/>
      <c r="HE4" s="1494"/>
      <c r="HF4" s="1494"/>
      <c r="HG4" s="1494"/>
      <c r="HH4" s="1494"/>
      <c r="HI4" s="1494"/>
      <c r="HJ4" s="1494"/>
      <c r="HK4" s="1494"/>
      <c r="HL4" s="1494"/>
      <c r="HM4" s="1481" t="s">
        <v>3048</v>
      </c>
      <c r="HN4" s="1494"/>
      <c r="HO4" s="1494"/>
      <c r="HP4" s="1494"/>
      <c r="HQ4" s="1494"/>
      <c r="HR4" s="1494"/>
      <c r="HS4" s="1494"/>
      <c r="HT4" s="1494"/>
      <c r="HU4" s="1494"/>
      <c r="HV4" s="1494" t="s">
        <v>3048</v>
      </c>
      <c r="HW4" s="1494"/>
      <c r="HX4" s="1494"/>
      <c r="HY4" s="1494" t="s">
        <v>3475</v>
      </c>
      <c r="HZ4" s="1494"/>
      <c r="IA4" s="1494"/>
      <c r="IB4" s="1494"/>
      <c r="IC4" s="1494"/>
      <c r="ID4" s="1494"/>
      <c r="IE4" s="1494" t="s">
        <v>3476</v>
      </c>
      <c r="IF4" s="1494"/>
      <c r="IG4" s="1494"/>
      <c r="IH4" s="1494"/>
      <c r="II4" s="1494"/>
      <c r="IJ4" s="1494"/>
      <c r="IK4" s="1494"/>
      <c r="IL4" s="1494"/>
      <c r="IM4" s="1494"/>
      <c r="IN4" s="1494"/>
      <c r="IO4" s="1494"/>
      <c r="IP4" s="1494"/>
      <c r="IQ4" s="1494"/>
      <c r="IR4" s="1494"/>
      <c r="IS4" s="1494"/>
      <c r="IT4" s="1494"/>
      <c r="IU4" s="1494"/>
      <c r="IV4" s="1494"/>
      <c r="IW4" s="1490" t="s">
        <v>3477</v>
      </c>
      <c r="IX4" s="1494"/>
      <c r="IY4" s="1381" t="s">
        <v>3478</v>
      </c>
      <c r="IZ4" s="1494"/>
      <c r="JA4" s="1494"/>
      <c r="JB4" s="1494"/>
      <c r="JC4" s="1494"/>
      <c r="JD4" s="1494"/>
      <c r="JE4" s="1494"/>
      <c r="JF4" s="1494"/>
      <c r="JG4" s="1494"/>
      <c r="JH4" s="1494"/>
      <c r="JI4" s="1494"/>
      <c r="JJ4" s="1494"/>
      <c r="JK4" s="1494"/>
      <c r="JL4" s="1494" t="s">
        <v>3479</v>
      </c>
      <c r="JM4" s="1494"/>
      <c r="JN4" s="1494"/>
      <c r="JO4" s="1494"/>
      <c r="JP4" s="1494"/>
      <c r="JQ4" s="1499"/>
      <c r="JR4" s="351"/>
      <c r="JS4" s="1400" t="s">
        <v>2671</v>
      </c>
      <c r="JT4" s="450" t="s">
        <v>2291</v>
      </c>
    </row>
    <row r="5" spans="1:280" ht="12.5" x14ac:dyDescent="0.25">
      <c r="A5" s="1367">
        <v>4</v>
      </c>
      <c r="B5" s="1411" t="str">
        <f>IF(PS_A_IND&gt;1,IF(HLOOKUP(PS_A_IND-1,SPS_RANGE,A5)="","",HLOOKUP(PS_A_IND-1,SPS_RANGE,A5)),"")</f>
        <v>N</v>
      </c>
      <c r="C5" s="2469" t="s">
        <v>3480</v>
      </c>
      <c r="D5" s="1467" t="s">
        <v>3481</v>
      </c>
      <c r="E5" s="1361"/>
      <c r="F5" s="1361"/>
      <c r="G5" s="1361"/>
      <c r="H5" s="1361"/>
      <c r="I5" s="1361"/>
      <c r="J5" s="1361"/>
      <c r="K5" s="1361"/>
      <c r="L5" s="1361"/>
      <c r="M5" s="1361"/>
      <c r="N5" s="1494"/>
      <c r="O5" s="1494"/>
      <c r="P5" s="1494"/>
      <c r="Q5" s="1494"/>
      <c r="R5" s="1494"/>
      <c r="S5" s="1494"/>
      <c r="T5" s="1494"/>
      <c r="U5" s="1494"/>
      <c r="V5" s="1494"/>
      <c r="W5" s="1494"/>
      <c r="X5" s="1494"/>
      <c r="Y5" s="1494"/>
      <c r="Z5" s="1494"/>
      <c r="AA5" s="1494"/>
      <c r="AB5" s="1494"/>
      <c r="AC5" s="1494"/>
      <c r="AD5" s="1494"/>
      <c r="AE5" s="1494"/>
      <c r="AF5" s="1494"/>
      <c r="AG5" s="1494"/>
      <c r="AH5" s="1494"/>
      <c r="AI5" s="1494"/>
      <c r="AJ5" s="1494"/>
      <c r="AK5" s="1494"/>
      <c r="AL5" s="1494"/>
      <c r="AM5" s="1494"/>
      <c r="AN5" s="1494"/>
      <c r="AO5" s="1494"/>
      <c r="AP5" s="1494"/>
      <c r="AQ5" s="1494"/>
      <c r="AR5" s="1494"/>
      <c r="AS5" s="1494"/>
      <c r="AT5" s="1494"/>
      <c r="AU5" s="1494"/>
      <c r="AV5" s="1494"/>
      <c r="AW5" s="1494"/>
      <c r="AX5" s="1494"/>
      <c r="AY5" s="1494"/>
      <c r="AZ5" s="1494"/>
      <c r="BA5" s="1494"/>
      <c r="BB5" s="1494"/>
      <c r="BC5" s="1382" t="s">
        <v>1615</v>
      </c>
      <c r="BD5" s="1382" t="s">
        <v>1615</v>
      </c>
      <c r="BE5" s="1494"/>
      <c r="BF5" s="1494"/>
      <c r="BG5" s="1494"/>
      <c r="BH5" s="1494"/>
      <c r="BI5" s="1494"/>
      <c r="BJ5" s="1494"/>
      <c r="BK5" s="1494"/>
      <c r="BL5" s="1494"/>
      <c r="BM5" s="1494"/>
      <c r="BN5" s="1494"/>
      <c r="BO5" s="1494"/>
      <c r="BP5" s="1494"/>
      <c r="BQ5" s="1494"/>
      <c r="BR5" s="1494"/>
      <c r="BS5" s="1494"/>
      <c r="BT5" s="1494"/>
      <c r="BU5" s="1494"/>
      <c r="BV5" s="1494"/>
      <c r="BW5" s="1494"/>
      <c r="BX5" s="1494"/>
      <c r="BY5" s="1494"/>
      <c r="BZ5" s="1494"/>
      <c r="CA5" s="1494"/>
      <c r="CB5" s="1494"/>
      <c r="CC5" s="1494"/>
      <c r="CD5" s="1494"/>
      <c r="CE5" s="1494"/>
      <c r="CF5" s="1494"/>
      <c r="CG5" s="1494"/>
      <c r="CH5" s="1494"/>
      <c r="CI5" s="1417" t="s">
        <v>1707</v>
      </c>
      <c r="CJ5" s="1494"/>
      <c r="CK5" s="1494"/>
      <c r="CL5" s="1494"/>
      <c r="CM5" s="1494"/>
      <c r="CN5" s="1494"/>
      <c r="CO5" s="1494"/>
      <c r="CP5" s="1494"/>
      <c r="CQ5" s="1494"/>
      <c r="CR5" s="1494"/>
      <c r="CS5" s="1494"/>
      <c r="CT5" s="1494"/>
      <c r="CU5" s="1494"/>
      <c r="CV5" s="1494"/>
      <c r="CW5" s="1382" t="s">
        <v>1707</v>
      </c>
      <c r="CX5" s="1382" t="s">
        <v>1707</v>
      </c>
      <c r="CY5" s="1494"/>
      <c r="CZ5" s="1494"/>
      <c r="DA5" s="1494"/>
      <c r="DB5" s="1494"/>
      <c r="DC5" s="1494"/>
      <c r="DD5" s="1417" t="s">
        <v>1615</v>
      </c>
      <c r="DE5" s="1494"/>
      <c r="DF5" s="1494"/>
      <c r="DG5" s="1382" t="s">
        <v>1707</v>
      </c>
      <c r="DH5" s="1494"/>
      <c r="DI5" s="1494"/>
      <c r="DJ5" s="1494"/>
      <c r="DK5" s="1494"/>
      <c r="DL5" s="1494"/>
      <c r="DM5" s="1417" t="s">
        <v>1615</v>
      </c>
      <c r="DN5" s="1494"/>
      <c r="DO5" s="1490" t="s">
        <v>1707</v>
      </c>
      <c r="DP5" s="1494"/>
      <c r="DQ5" s="1494"/>
      <c r="DR5" s="1494"/>
      <c r="DS5" s="1490" t="s">
        <v>1707</v>
      </c>
      <c r="DT5" s="1494"/>
      <c r="DU5" s="1417" t="s">
        <v>1615</v>
      </c>
      <c r="DV5" s="1494"/>
      <c r="DW5" s="1490" t="s">
        <v>1707</v>
      </c>
      <c r="DX5" s="1494"/>
      <c r="DY5" s="1494"/>
      <c r="DZ5" s="1494"/>
      <c r="EA5" s="1494"/>
      <c r="EB5" s="1494"/>
      <c r="EC5" s="1494"/>
      <c r="ED5" s="1494"/>
      <c r="EE5" s="1494"/>
      <c r="EF5" s="1494"/>
      <c r="EG5" s="1494"/>
      <c r="EH5" s="1494"/>
      <c r="EI5" s="1494"/>
      <c r="EJ5" s="1417" t="s">
        <v>1615</v>
      </c>
      <c r="EK5" s="1417" t="s">
        <v>1615</v>
      </c>
      <c r="EL5" s="1494"/>
      <c r="EM5" s="591" t="s">
        <v>1707</v>
      </c>
      <c r="EN5" s="1494"/>
      <c r="EO5" s="1490" t="s">
        <v>1615</v>
      </c>
      <c r="EP5" s="1494"/>
      <c r="EQ5" s="1494"/>
      <c r="ER5" s="1490" t="s">
        <v>1615</v>
      </c>
      <c r="ES5" s="1494"/>
      <c r="ET5" s="1494"/>
      <c r="EU5" s="1490" t="s">
        <v>1707</v>
      </c>
      <c r="EV5" s="1490" t="s">
        <v>1707</v>
      </c>
      <c r="EW5" s="1494"/>
      <c r="EX5" s="1490" t="s">
        <v>1615</v>
      </c>
      <c r="EY5" s="1494"/>
      <c r="EZ5" s="1494"/>
      <c r="FA5" s="1494"/>
      <c r="FB5" s="1490" t="s">
        <v>1707</v>
      </c>
      <c r="FC5" s="1494"/>
      <c r="FD5" s="1382"/>
      <c r="FE5" s="1494"/>
      <c r="FF5" s="1382"/>
      <c r="FG5" s="1494"/>
      <c r="FH5" s="1494"/>
      <c r="FI5" s="1382" t="s">
        <v>1615</v>
      </c>
      <c r="FJ5" s="1382" t="s">
        <v>1615</v>
      </c>
      <c r="FK5" s="1494"/>
      <c r="FL5" s="1494"/>
      <c r="FM5" s="1494"/>
      <c r="FN5" s="1494"/>
      <c r="FO5" s="1494"/>
      <c r="FP5" s="1481" t="s">
        <v>1615</v>
      </c>
      <c r="FQ5" s="1494"/>
      <c r="FR5" s="1494"/>
      <c r="FS5" s="1494"/>
      <c r="FT5" s="1494"/>
      <c r="FU5" s="1494"/>
      <c r="FV5" s="1494"/>
      <c r="FW5" s="1494"/>
      <c r="FX5" s="1494"/>
      <c r="FY5" s="1494"/>
      <c r="FZ5" s="1494"/>
      <c r="GA5" s="1494"/>
      <c r="GB5" s="1494"/>
      <c r="GC5" s="1494"/>
      <c r="GD5" s="1494"/>
      <c r="GE5" s="1494"/>
      <c r="GF5" s="1494"/>
      <c r="GG5" s="1494"/>
      <c r="GH5" s="1494"/>
      <c r="GI5" s="1494"/>
      <c r="GJ5" s="1494"/>
      <c r="GK5" s="1494"/>
      <c r="GL5" s="1382" t="s">
        <v>1615</v>
      </c>
      <c r="GM5" s="1382" t="s">
        <v>1615</v>
      </c>
      <c r="GN5" s="1494"/>
      <c r="GO5" s="1494"/>
      <c r="GP5" s="1494"/>
      <c r="GQ5" s="1494"/>
      <c r="GR5" s="1494"/>
      <c r="GS5" s="1494"/>
      <c r="GT5" s="1494"/>
      <c r="GU5" s="1494"/>
      <c r="GV5" s="1494"/>
      <c r="GW5" s="1494"/>
      <c r="GX5" s="1494"/>
      <c r="GY5" s="1494"/>
      <c r="GZ5" s="1382" t="s">
        <v>1615</v>
      </c>
      <c r="HA5" s="1382" t="s">
        <v>1707</v>
      </c>
      <c r="HB5" s="1382" t="s">
        <v>1615</v>
      </c>
      <c r="HC5" s="1494"/>
      <c r="HD5" s="1494"/>
      <c r="HE5" s="1494"/>
      <c r="HF5" s="1494"/>
      <c r="HG5" s="1494"/>
      <c r="HH5" s="1494"/>
      <c r="HI5" s="1494"/>
      <c r="HJ5" s="1494"/>
      <c r="HK5" s="1494"/>
      <c r="HL5" s="1494"/>
      <c r="HM5" s="1490" t="s">
        <v>1615</v>
      </c>
      <c r="HN5" s="1494"/>
      <c r="HO5" s="1494"/>
      <c r="HP5" s="1494"/>
      <c r="HQ5" s="1494"/>
      <c r="HR5" s="1494"/>
      <c r="HS5" s="1494"/>
      <c r="HT5" s="1494"/>
      <c r="HU5" s="1494"/>
      <c r="HV5" s="1490" t="s">
        <v>1615</v>
      </c>
      <c r="HW5" s="1494"/>
      <c r="HX5" s="1494"/>
      <c r="HY5" s="1490" t="s">
        <v>1707</v>
      </c>
      <c r="HZ5" s="1494"/>
      <c r="IA5" s="1494"/>
      <c r="IB5" s="1494"/>
      <c r="IC5" s="1494"/>
      <c r="ID5" s="1494"/>
      <c r="IE5" s="1490" t="s">
        <v>1615</v>
      </c>
      <c r="IF5" s="1494"/>
      <c r="IG5" s="1494"/>
      <c r="IH5" s="1494"/>
      <c r="II5" s="1494"/>
      <c r="IJ5" s="1494"/>
      <c r="IK5" s="1494"/>
      <c r="IL5" s="1494"/>
      <c r="IM5" s="1494"/>
      <c r="IN5" s="1494"/>
      <c r="IO5" s="1494"/>
      <c r="IP5" s="1494"/>
      <c r="IQ5" s="1494"/>
      <c r="IR5" s="1494"/>
      <c r="IS5" s="1494"/>
      <c r="IT5" s="1494"/>
      <c r="IU5" s="1494"/>
      <c r="IV5" s="1494"/>
      <c r="IW5" s="1490" t="s">
        <v>1707</v>
      </c>
      <c r="IX5" s="1494"/>
      <c r="IY5" s="1382" t="s">
        <v>1707</v>
      </c>
      <c r="IZ5" s="1494"/>
      <c r="JA5" s="1494"/>
      <c r="JB5" s="1494"/>
      <c r="JC5" s="1494"/>
      <c r="JD5" s="1494"/>
      <c r="JE5" s="1494"/>
      <c r="JF5" s="1494"/>
      <c r="JG5" s="1494"/>
      <c r="JH5" s="1494"/>
      <c r="JI5" s="1494"/>
      <c r="JJ5" s="1494"/>
      <c r="JK5" s="1494"/>
      <c r="JL5" s="1490" t="s">
        <v>1615</v>
      </c>
      <c r="JM5" s="1494"/>
      <c r="JN5" s="1494"/>
      <c r="JO5" s="1494"/>
      <c r="JP5" s="1494"/>
      <c r="JQ5" s="1499"/>
      <c r="JR5" s="351"/>
      <c r="JS5" s="1400"/>
      <c r="JT5" s="450"/>
    </row>
    <row r="6" spans="1:280" ht="12.5" x14ac:dyDescent="0.25">
      <c r="A6" s="1367">
        <v>5</v>
      </c>
      <c r="B6" s="1411" t="str">
        <f t="shared" si="0"/>
        <v/>
      </c>
      <c r="C6" s="1435" t="s">
        <v>3482</v>
      </c>
      <c r="D6" s="1436" t="s">
        <v>3483</v>
      </c>
      <c r="E6" s="1563"/>
      <c r="F6" s="1563"/>
      <c r="G6" s="1563"/>
      <c r="H6" s="1563"/>
      <c r="I6" s="1563"/>
      <c r="J6" s="1563"/>
      <c r="K6" s="1563"/>
      <c r="L6" s="1563"/>
      <c r="M6" s="1563"/>
      <c r="N6" s="1563"/>
      <c r="O6" s="1563"/>
      <c r="P6" s="1563"/>
      <c r="Q6" s="1563"/>
      <c r="R6" s="1563"/>
      <c r="S6" s="1563"/>
      <c r="T6" s="1563"/>
      <c r="U6" s="1563"/>
      <c r="V6" s="1563"/>
      <c r="W6" s="1563"/>
      <c r="X6" s="1563"/>
      <c r="Y6" s="1563"/>
      <c r="Z6" s="1563"/>
      <c r="AA6" s="1563"/>
      <c r="AB6" s="1563"/>
      <c r="AC6" s="1563"/>
      <c r="AD6" s="1563"/>
      <c r="AE6" s="1563"/>
      <c r="AF6" s="1563"/>
      <c r="AG6" s="1563"/>
      <c r="AH6" s="1563"/>
      <c r="AI6" s="1563"/>
      <c r="AJ6" s="1563"/>
      <c r="AK6" s="1563"/>
      <c r="AL6" s="1563"/>
      <c r="AM6" s="1563"/>
      <c r="AN6" s="1563"/>
      <c r="AO6" s="1563"/>
      <c r="AP6" s="1563"/>
      <c r="AQ6" s="1563"/>
      <c r="AR6" s="1563"/>
      <c r="AS6" s="1563"/>
      <c r="AT6" s="1563"/>
      <c r="AU6" s="1563"/>
      <c r="AV6" s="1563"/>
      <c r="AW6" s="1563"/>
      <c r="AX6" s="1563"/>
      <c r="AY6" s="1563"/>
      <c r="AZ6" s="1563"/>
      <c r="BA6" s="1563"/>
      <c r="BB6" s="1563"/>
      <c r="BC6" s="1381"/>
      <c r="BD6" s="1381"/>
      <c r="BE6" s="1563"/>
      <c r="BF6" s="1563"/>
      <c r="BG6" s="1563"/>
      <c r="BH6" s="1563"/>
      <c r="BI6" s="1563"/>
      <c r="BJ6" s="1563"/>
      <c r="BK6" s="1563"/>
      <c r="BL6" s="1563"/>
      <c r="BM6" s="1563"/>
      <c r="BN6" s="1563"/>
      <c r="BO6" s="1563"/>
      <c r="BP6" s="1563"/>
      <c r="BQ6" s="1563"/>
      <c r="BR6" s="1563"/>
      <c r="BS6" s="1563"/>
      <c r="BT6" s="1563"/>
      <c r="BU6" s="1563"/>
      <c r="BV6" s="1563"/>
      <c r="BW6" s="1563"/>
      <c r="BX6" s="1563"/>
      <c r="BY6" s="1563"/>
      <c r="BZ6" s="1563"/>
      <c r="CA6" s="1563"/>
      <c r="CB6" s="1563"/>
      <c r="CC6" s="1563"/>
      <c r="CD6" s="1563"/>
      <c r="CE6" s="1563"/>
      <c r="CF6" s="1563"/>
      <c r="CG6" s="1563"/>
      <c r="CH6" s="1563"/>
      <c r="CI6" s="1382" t="str">
        <f>"05/04/"&amp;Tax_year_start</f>
        <v>05/04/2025</v>
      </c>
      <c r="CJ6" s="1563"/>
      <c r="CK6" s="1563"/>
      <c r="CL6" s="1563"/>
      <c r="CM6" s="1563"/>
      <c r="CN6" s="1563"/>
      <c r="CO6" s="1563"/>
      <c r="CP6" s="1563"/>
      <c r="CQ6" s="1563"/>
      <c r="CR6" s="1563"/>
      <c r="CS6" s="1563"/>
      <c r="CT6" s="1563"/>
      <c r="CU6" s="1563"/>
      <c r="CV6" s="1563"/>
      <c r="CW6" s="1382" t="str">
        <f>"01/05/"&amp;Tax_year_start</f>
        <v>01/05/2025</v>
      </c>
      <c r="CX6" s="1382" t="str">
        <f>"05/04/"&amp;Tax_year_start</f>
        <v>05/04/2025</v>
      </c>
      <c r="CY6" s="1563"/>
      <c r="CZ6" s="1563"/>
      <c r="DA6" s="1563"/>
      <c r="DB6" s="1563"/>
      <c r="DC6" s="1563"/>
      <c r="DD6" s="1381"/>
      <c r="DE6" s="1563"/>
      <c r="DF6" s="1563"/>
      <c r="DG6" s="1382" t="str">
        <f>"01/05/"&amp;Tax_year_start</f>
        <v>01/05/2025</v>
      </c>
      <c r="DH6" s="1563"/>
      <c r="DI6" s="1563"/>
      <c r="DJ6" s="1563"/>
      <c r="DK6" s="1563"/>
      <c r="DL6" s="1563"/>
      <c r="DM6" s="1381"/>
      <c r="DN6" s="1563"/>
      <c r="DO6" s="1490" t="str">
        <f>"06/04/"&amp;Tax_year_start</f>
        <v>06/04/2025</v>
      </c>
      <c r="DP6" s="1563"/>
      <c r="DQ6" s="1563"/>
      <c r="DR6" s="1563"/>
      <c r="DS6" s="1490" t="str">
        <f>"06/04/"&amp;Tax_year_start</f>
        <v>06/04/2025</v>
      </c>
      <c r="DT6" s="1563"/>
      <c r="DU6" s="1381"/>
      <c r="DV6" s="1563"/>
      <c r="DW6" s="1490" t="str">
        <f>"12/04/"&amp;Tax_year_start</f>
        <v>12/04/2025</v>
      </c>
      <c r="DX6" s="1563"/>
      <c r="DY6" s="1563"/>
      <c r="DZ6" s="1563"/>
      <c r="EA6" s="1563"/>
      <c r="EB6" s="1563"/>
      <c r="EC6" s="1563"/>
      <c r="ED6" s="1563"/>
      <c r="EE6" s="1563"/>
      <c r="EF6" s="1563"/>
      <c r="EG6" s="1563"/>
      <c r="EH6" s="1563"/>
      <c r="EI6" s="1563"/>
      <c r="EJ6" s="1563"/>
      <c r="EK6" s="1563"/>
      <c r="EL6" s="1563"/>
      <c r="EM6" s="1422" t="str">
        <f>"06/04/"&amp;Tax_year_start</f>
        <v>06/04/2025</v>
      </c>
      <c r="EN6" s="1563"/>
      <c r="EO6" s="1563"/>
      <c r="EP6" s="1563"/>
      <c r="EQ6" s="1563"/>
      <c r="ER6" s="1563"/>
      <c r="ES6" s="1563"/>
      <c r="ET6" s="1563"/>
      <c r="EU6" s="1422" t="str">
        <f>"06/04/"&amp;Tax_year_start</f>
        <v>06/04/2025</v>
      </c>
      <c r="EV6" s="1422" t="str">
        <f>"06/04/"&amp;Tax_year_start</f>
        <v>06/04/2025</v>
      </c>
      <c r="EW6" s="1563"/>
      <c r="EX6" s="1563"/>
      <c r="EY6" s="1563"/>
      <c r="EZ6" s="1563"/>
      <c r="FA6" s="1563"/>
      <c r="FB6" s="1422" t="str">
        <f>"06/04/"&amp;Tax_year_start</f>
        <v>06/04/2025</v>
      </c>
      <c r="FC6" s="1563"/>
      <c r="FD6" s="1563"/>
      <c r="FE6" s="1563"/>
      <c r="FF6" s="1563"/>
      <c r="FG6" s="1563"/>
      <c r="FH6" s="1563"/>
      <c r="FI6" s="1563"/>
      <c r="FJ6" s="1563"/>
      <c r="FK6" s="1563"/>
      <c r="FL6" s="1563"/>
      <c r="FM6" s="1563"/>
      <c r="FN6" s="1563"/>
      <c r="FO6" s="1563"/>
      <c r="FP6" s="1564"/>
      <c r="FQ6" s="1563"/>
      <c r="FR6" s="1563"/>
      <c r="FS6" s="1563"/>
      <c r="FT6" s="1563"/>
      <c r="FU6" s="1563"/>
      <c r="FV6" s="1563"/>
      <c r="FW6" s="1563"/>
      <c r="FX6" s="1563"/>
      <c r="FY6" s="1563"/>
      <c r="FZ6" s="1563"/>
      <c r="GA6" s="1563"/>
      <c r="GB6" s="1563"/>
      <c r="GC6" s="1563"/>
      <c r="GD6" s="1563"/>
      <c r="GE6" s="1563"/>
      <c r="GF6" s="1563"/>
      <c r="GG6" s="1563"/>
      <c r="GH6" s="1563"/>
      <c r="GI6" s="1563"/>
      <c r="GJ6" s="1563"/>
      <c r="GK6" s="1563"/>
      <c r="GL6" s="1381"/>
      <c r="GM6" s="1381"/>
      <c r="GN6" s="1563"/>
      <c r="GO6" s="1563"/>
      <c r="GP6" s="1563"/>
      <c r="GQ6" s="1563"/>
      <c r="GR6" s="1563"/>
      <c r="GS6" s="1563"/>
      <c r="GT6" s="1563"/>
      <c r="GU6" s="1563"/>
      <c r="GV6" s="1563"/>
      <c r="GW6" s="1563"/>
      <c r="GX6" s="1563"/>
      <c r="GY6" s="1563"/>
      <c r="GZ6" s="1563"/>
      <c r="HA6" s="1422" t="str">
        <f>"06/04/"&amp;Tax_year_start</f>
        <v>06/04/2025</v>
      </c>
      <c r="HB6" s="1563"/>
      <c r="HC6" s="1563"/>
      <c r="HD6" s="1563"/>
      <c r="HE6" s="1563"/>
      <c r="HF6" s="1563"/>
      <c r="HG6" s="1563"/>
      <c r="HH6" s="1563"/>
      <c r="HI6" s="1563"/>
      <c r="HJ6" s="1563"/>
      <c r="HK6" s="1563"/>
      <c r="HL6" s="1563"/>
      <c r="HM6" s="1563"/>
      <c r="HN6" s="1563"/>
      <c r="HO6" s="1563"/>
      <c r="HP6" s="1563"/>
      <c r="HQ6" s="1563"/>
      <c r="HR6" s="1563"/>
      <c r="HS6" s="1563"/>
      <c r="HT6" s="1563"/>
      <c r="HU6" s="1563"/>
      <c r="HV6" s="1563"/>
      <c r="HW6" s="1563"/>
      <c r="HX6" s="1563"/>
      <c r="HY6" s="1422" t="str">
        <f>"06/04/"&amp;Tax_year_start</f>
        <v>06/04/2025</v>
      </c>
      <c r="HZ6" s="1563"/>
      <c r="IA6" s="1563"/>
      <c r="IB6" s="1563"/>
      <c r="IC6" s="1563"/>
      <c r="ID6" s="1563"/>
      <c r="IE6" s="1563"/>
      <c r="IF6" s="1563"/>
      <c r="IG6" s="1563"/>
      <c r="IH6" s="1563"/>
      <c r="II6" s="1563"/>
      <c r="IJ6" s="1563"/>
      <c r="IK6" s="1563"/>
      <c r="IL6" s="1563"/>
      <c r="IM6" s="1563"/>
      <c r="IN6" s="1563"/>
      <c r="IO6" s="1563"/>
      <c r="IP6" s="1563"/>
      <c r="IQ6" s="1563"/>
      <c r="IR6" s="1563"/>
      <c r="IS6" s="1563"/>
      <c r="IT6" s="1563"/>
      <c r="IU6" s="1563"/>
      <c r="IV6" s="1563"/>
      <c r="IW6" s="1422" t="str">
        <f>"06/04/"&amp;Tax_year_start</f>
        <v>06/04/2025</v>
      </c>
      <c r="IX6" s="1563"/>
      <c r="IY6" s="1422" t="str">
        <f>"06/04/"&amp;Tax_year_start</f>
        <v>06/04/2025</v>
      </c>
      <c r="IZ6" s="1563"/>
      <c r="JA6" s="1563"/>
      <c r="JB6" s="1563"/>
      <c r="JC6" s="1563"/>
      <c r="JD6" s="1563"/>
      <c r="JE6" s="1563"/>
      <c r="JF6" s="1563"/>
      <c r="JG6" s="1563"/>
      <c r="JH6" s="1563"/>
      <c r="JI6" s="1563"/>
      <c r="JJ6" s="1563"/>
      <c r="JK6" s="1563"/>
      <c r="JL6" s="1563"/>
      <c r="JM6" s="1563"/>
      <c r="JN6" s="1563"/>
      <c r="JO6" s="1563"/>
      <c r="JP6" s="1563"/>
      <c r="JQ6" s="1563"/>
      <c r="JR6" s="351"/>
      <c r="JS6" s="1400" t="s">
        <v>3484</v>
      </c>
      <c r="JT6" s="450" t="s">
        <v>2208</v>
      </c>
    </row>
    <row r="7" spans="1:280" ht="12.5" x14ac:dyDescent="0.25">
      <c r="A7" s="1367">
        <v>6</v>
      </c>
      <c r="B7" s="1411" t="str">
        <f t="shared" si="0"/>
        <v>Y</v>
      </c>
      <c r="C7" s="2469" t="s">
        <v>3485</v>
      </c>
      <c r="D7" s="1467" t="s">
        <v>3486</v>
      </c>
      <c r="E7" s="1361"/>
      <c r="F7" s="1361"/>
      <c r="G7" s="1361"/>
      <c r="H7" s="1361"/>
      <c r="I7" s="1361"/>
      <c r="J7" s="1361"/>
      <c r="K7" s="1361"/>
      <c r="L7" s="1361"/>
      <c r="M7" s="1361"/>
      <c r="N7" s="1494"/>
      <c r="O7" s="1494"/>
      <c r="P7" s="1494"/>
      <c r="Q7" s="1494"/>
      <c r="R7" s="1494"/>
      <c r="S7" s="1494"/>
      <c r="T7" s="1494"/>
      <c r="U7" s="1494"/>
      <c r="V7" s="1494"/>
      <c r="W7" s="1494"/>
      <c r="X7" s="1494"/>
      <c r="Y7" s="1494"/>
      <c r="Z7" s="1494"/>
      <c r="AA7" s="1494"/>
      <c r="AB7" s="1494"/>
      <c r="AC7" s="1494"/>
      <c r="AD7" s="1494"/>
      <c r="AE7" s="1494"/>
      <c r="AF7" s="1494"/>
      <c r="AG7" s="1494"/>
      <c r="AH7" s="1494"/>
      <c r="AI7" s="1494"/>
      <c r="AJ7" s="1494"/>
      <c r="AK7" s="1494"/>
      <c r="AL7" s="1494"/>
      <c r="AM7" s="1494"/>
      <c r="AN7" s="1494"/>
      <c r="AO7" s="1494"/>
      <c r="AP7" s="1494"/>
      <c r="AQ7" s="1494"/>
      <c r="AR7" s="1494"/>
      <c r="AS7" s="1494"/>
      <c r="AT7" s="1494"/>
      <c r="AU7" s="1494"/>
      <c r="AV7" s="1494"/>
      <c r="AW7" s="1494"/>
      <c r="AX7" s="1494"/>
      <c r="AY7" s="1494"/>
      <c r="AZ7" s="1494"/>
      <c r="BA7" s="1494"/>
      <c r="BB7" s="1494"/>
      <c r="BC7" s="1382" t="s">
        <v>1707</v>
      </c>
      <c r="BD7" s="1382" t="s">
        <v>1707</v>
      </c>
      <c r="BE7" s="1494"/>
      <c r="BF7" s="1494"/>
      <c r="BG7" s="1494"/>
      <c r="BH7" s="1494"/>
      <c r="BI7" s="1494"/>
      <c r="BJ7" s="1494"/>
      <c r="BK7" s="1494"/>
      <c r="BL7" s="1494"/>
      <c r="BM7" s="1494"/>
      <c r="BN7" s="1494"/>
      <c r="BO7" s="1494"/>
      <c r="BP7" s="1494"/>
      <c r="BQ7" s="1494"/>
      <c r="BR7" s="1494"/>
      <c r="BS7" s="1494"/>
      <c r="BT7" s="1494"/>
      <c r="BU7" s="1494"/>
      <c r="BV7" s="1494"/>
      <c r="BW7" s="1494"/>
      <c r="BX7" s="1494"/>
      <c r="BY7" s="1494"/>
      <c r="BZ7" s="1494"/>
      <c r="CA7" s="1494"/>
      <c r="CB7" s="1494"/>
      <c r="CC7" s="1494"/>
      <c r="CD7" s="1494"/>
      <c r="CE7" s="1494"/>
      <c r="CF7" s="1494"/>
      <c r="CG7" s="1494"/>
      <c r="CH7" s="1494"/>
      <c r="CI7" s="1382" t="s">
        <v>1615</v>
      </c>
      <c r="CJ7" s="1494"/>
      <c r="CK7" s="1494"/>
      <c r="CL7" s="1494"/>
      <c r="CM7" s="1494"/>
      <c r="CN7" s="1494"/>
      <c r="CO7" s="1494"/>
      <c r="CP7" s="1494"/>
      <c r="CQ7" s="1494"/>
      <c r="CR7" s="1494"/>
      <c r="CS7" s="1494"/>
      <c r="CT7" s="1494"/>
      <c r="CU7" s="1494"/>
      <c r="CV7" s="1494"/>
      <c r="CW7" s="1382" t="s">
        <v>1707</v>
      </c>
      <c r="CX7" s="1382" t="s">
        <v>1615</v>
      </c>
      <c r="CY7" s="1494"/>
      <c r="CZ7" s="1494"/>
      <c r="DA7" s="1494"/>
      <c r="DB7" s="1494"/>
      <c r="DC7" s="1494"/>
      <c r="DD7" s="1382" t="s">
        <v>1707</v>
      </c>
      <c r="DE7" s="1494"/>
      <c r="DF7" s="1494"/>
      <c r="DG7" s="1382" t="s">
        <v>1707</v>
      </c>
      <c r="DH7" s="1494"/>
      <c r="DI7" s="1494"/>
      <c r="DJ7" s="1494"/>
      <c r="DK7" s="1494"/>
      <c r="DL7" s="1494"/>
      <c r="DM7" s="1382" t="s">
        <v>1707</v>
      </c>
      <c r="DN7" s="1494"/>
      <c r="DO7" s="1565" t="s">
        <v>1707</v>
      </c>
      <c r="DP7" s="1494"/>
      <c r="DQ7" s="1494"/>
      <c r="DR7" s="1494"/>
      <c r="DS7" s="1565" t="s">
        <v>1707</v>
      </c>
      <c r="DT7" s="1494"/>
      <c r="DU7" s="1382" t="s">
        <v>1707</v>
      </c>
      <c r="DV7" s="1494"/>
      <c r="DW7" s="1490" t="s">
        <v>1707</v>
      </c>
      <c r="DX7" s="1494"/>
      <c r="DY7" s="1494"/>
      <c r="DZ7" s="1494"/>
      <c r="EA7" s="1494"/>
      <c r="EB7" s="1494"/>
      <c r="EC7" s="1494"/>
      <c r="ED7" s="1494"/>
      <c r="EE7" s="1494"/>
      <c r="EF7" s="1494"/>
      <c r="EG7" s="1494"/>
      <c r="EH7" s="1494"/>
      <c r="EI7" s="1494"/>
      <c r="EJ7" s="1382" t="s">
        <v>1707</v>
      </c>
      <c r="EK7" s="1382" t="s">
        <v>1707</v>
      </c>
      <c r="EL7" s="1494"/>
      <c r="EM7" s="1565" t="s">
        <v>1615</v>
      </c>
      <c r="EN7" s="1494"/>
      <c r="EO7" s="1490" t="s">
        <v>1615</v>
      </c>
      <c r="EP7" s="1494"/>
      <c r="EQ7" s="1494"/>
      <c r="ER7" s="1490" t="s">
        <v>1707</v>
      </c>
      <c r="ES7" s="1494"/>
      <c r="ET7" s="1494"/>
      <c r="EU7" s="1565" t="s">
        <v>1615</v>
      </c>
      <c r="EV7" s="1565" t="s">
        <v>1615</v>
      </c>
      <c r="EW7" s="1494"/>
      <c r="EX7" s="1490" t="s">
        <v>1707</v>
      </c>
      <c r="EY7" s="1494"/>
      <c r="EZ7" s="1494"/>
      <c r="FA7" s="1494"/>
      <c r="FB7" s="1565" t="s">
        <v>1615</v>
      </c>
      <c r="FC7" s="1494"/>
      <c r="FD7" s="1494"/>
      <c r="FE7" s="1494"/>
      <c r="FF7" s="1494"/>
      <c r="FG7" s="1494"/>
      <c r="FH7" s="1494"/>
      <c r="FI7" s="1382" t="s">
        <v>1707</v>
      </c>
      <c r="FJ7" s="1382" t="s">
        <v>1707</v>
      </c>
      <c r="FK7" s="1494"/>
      <c r="FL7" s="1494"/>
      <c r="FM7" s="1494"/>
      <c r="FN7" s="1494"/>
      <c r="FO7" s="1494"/>
      <c r="FP7" s="1566" t="s">
        <v>1707</v>
      </c>
      <c r="FQ7" s="1494"/>
      <c r="FR7" s="1494"/>
      <c r="FS7" s="1494"/>
      <c r="FT7" s="1494"/>
      <c r="FU7" s="1494"/>
      <c r="FV7" s="1494"/>
      <c r="FW7" s="1494"/>
      <c r="FX7" s="1494"/>
      <c r="FY7" s="1494"/>
      <c r="FZ7" s="1494"/>
      <c r="GA7" s="1494"/>
      <c r="GB7" s="1494"/>
      <c r="GC7" s="1494"/>
      <c r="GD7" s="1494"/>
      <c r="GE7" s="1494"/>
      <c r="GF7" s="1494"/>
      <c r="GG7" s="1494"/>
      <c r="GH7" s="1494"/>
      <c r="GI7" s="1494"/>
      <c r="GJ7" s="1494"/>
      <c r="GK7" s="1494"/>
      <c r="GL7" s="1382" t="s">
        <v>1707</v>
      </c>
      <c r="GM7" s="1382" t="s">
        <v>1707</v>
      </c>
      <c r="GN7" s="1494"/>
      <c r="GO7" s="1494"/>
      <c r="GP7" s="1494"/>
      <c r="GQ7" s="1494"/>
      <c r="GR7" s="1494"/>
      <c r="GS7" s="1494"/>
      <c r="GT7" s="1494"/>
      <c r="GU7" s="1494"/>
      <c r="GV7" s="1494"/>
      <c r="GW7" s="1494"/>
      <c r="GX7" s="1494"/>
      <c r="GY7" s="1494"/>
      <c r="GZ7" s="1382" t="s">
        <v>1707</v>
      </c>
      <c r="HA7" s="1382" t="s">
        <v>1615</v>
      </c>
      <c r="HB7" s="1382" t="s">
        <v>1707</v>
      </c>
      <c r="HC7" s="1494"/>
      <c r="HD7" s="1494"/>
      <c r="HE7" s="1494"/>
      <c r="HF7" s="1494"/>
      <c r="HG7" s="1494"/>
      <c r="HH7" s="1494"/>
      <c r="HI7" s="1494"/>
      <c r="HJ7" s="1494"/>
      <c r="HK7" s="1494"/>
      <c r="HL7" s="1494"/>
      <c r="HM7" s="1490" t="s">
        <v>1707</v>
      </c>
      <c r="HN7" s="1494"/>
      <c r="HO7" s="1494"/>
      <c r="HP7" s="1494"/>
      <c r="HQ7" s="1494"/>
      <c r="HR7" s="1494"/>
      <c r="HS7" s="1494"/>
      <c r="HT7" s="1494"/>
      <c r="HU7" s="1494"/>
      <c r="HV7" s="1490" t="s">
        <v>1707</v>
      </c>
      <c r="HW7" s="1494"/>
      <c r="HX7" s="1494"/>
      <c r="HY7" s="1490" t="s">
        <v>1615</v>
      </c>
      <c r="HZ7" s="1494"/>
      <c r="IA7" s="1494"/>
      <c r="IB7" s="1494"/>
      <c r="IC7" s="1494"/>
      <c r="ID7" s="1494"/>
      <c r="IE7" s="1490" t="s">
        <v>1707</v>
      </c>
      <c r="IF7" s="1494"/>
      <c r="IG7" s="1494"/>
      <c r="IH7" s="1494"/>
      <c r="II7" s="1494"/>
      <c r="IJ7" s="1494"/>
      <c r="IK7" s="1494"/>
      <c r="IL7" s="1494"/>
      <c r="IM7" s="1494"/>
      <c r="IN7" s="1494"/>
      <c r="IO7" s="1494"/>
      <c r="IP7" s="1494"/>
      <c r="IQ7" s="1494"/>
      <c r="IR7" s="1494"/>
      <c r="IS7" s="1494"/>
      <c r="IT7" s="1494"/>
      <c r="IU7" s="1494"/>
      <c r="IV7" s="1494"/>
      <c r="IW7" s="1490" t="s">
        <v>1615</v>
      </c>
      <c r="IX7" s="1567"/>
      <c r="IY7" s="1382" t="s">
        <v>1615</v>
      </c>
      <c r="IZ7" s="1567"/>
      <c r="JA7" s="1567"/>
      <c r="JB7" s="1567"/>
      <c r="JC7" s="1567"/>
      <c r="JD7" s="1567"/>
      <c r="JE7" s="1567"/>
      <c r="JF7" s="1567"/>
      <c r="JG7" s="1567"/>
      <c r="JH7" s="1567"/>
      <c r="JI7" s="1567"/>
      <c r="JJ7" s="1567"/>
      <c r="JK7" s="1567"/>
      <c r="JL7" s="1490" t="s">
        <v>1707</v>
      </c>
      <c r="JM7" s="1567"/>
      <c r="JN7" s="1567"/>
      <c r="JO7" s="1567"/>
      <c r="JP7" s="1567"/>
      <c r="JQ7" s="1567"/>
      <c r="JR7" s="351"/>
      <c r="JS7" s="1400"/>
      <c r="JT7" s="450"/>
    </row>
    <row r="8" spans="1:280" ht="30" x14ac:dyDescent="0.25">
      <c r="A8" s="1367">
        <v>7</v>
      </c>
      <c r="B8" s="1411" t="str">
        <f t="shared" si="0"/>
        <v>30/03/2026</v>
      </c>
      <c r="C8" s="1435" t="s">
        <v>3487</v>
      </c>
      <c r="D8" s="1436" t="s">
        <v>3488</v>
      </c>
      <c r="E8" s="1563"/>
      <c r="F8" s="1563"/>
      <c r="G8" s="1563"/>
      <c r="H8" s="1563"/>
      <c r="I8" s="1563"/>
      <c r="J8" s="1563"/>
      <c r="K8" s="1563"/>
      <c r="L8" s="1563"/>
      <c r="M8" s="1563"/>
      <c r="N8" s="1563"/>
      <c r="O8" s="1563"/>
      <c r="P8" s="1563"/>
      <c r="Q8" s="1563"/>
      <c r="R8" s="1563"/>
      <c r="S8" s="1563"/>
      <c r="T8" s="1563"/>
      <c r="U8" s="1563"/>
      <c r="V8" s="1563"/>
      <c r="W8" s="1563"/>
      <c r="X8" s="1563"/>
      <c r="Y8" s="1563"/>
      <c r="Z8" s="1563"/>
      <c r="AA8" s="1563"/>
      <c r="AB8" s="1563"/>
      <c r="AC8" s="1563"/>
      <c r="AD8" s="1563"/>
      <c r="AE8" s="1563"/>
      <c r="AF8" s="1563"/>
      <c r="AG8" s="1563"/>
      <c r="AH8" s="1563"/>
      <c r="AI8" s="1563"/>
      <c r="AJ8" s="1563"/>
      <c r="AK8" s="1563"/>
      <c r="AL8" s="1563"/>
      <c r="AM8" s="1563"/>
      <c r="AN8" s="1563"/>
      <c r="AO8" s="1563"/>
      <c r="AP8" s="1563"/>
      <c r="AQ8" s="1563"/>
      <c r="AR8" s="1563"/>
      <c r="AS8" s="1563"/>
      <c r="AT8" s="1563"/>
      <c r="AU8" s="1563"/>
      <c r="AV8" s="1563"/>
      <c r="AW8" s="1563"/>
      <c r="AX8" s="1563"/>
      <c r="AY8" s="1563"/>
      <c r="AZ8" s="1563"/>
      <c r="BA8" s="1563"/>
      <c r="BB8" s="1563"/>
      <c r="BC8" s="1362" t="str">
        <f>"02/04/"&amp;Tax_year_end</f>
        <v>02/04/2026</v>
      </c>
      <c r="BD8" s="1362" t="str">
        <f>"04/04/"&amp;Tax_year_end</f>
        <v>04/04/2026</v>
      </c>
      <c r="BE8" s="1563"/>
      <c r="BF8" s="1563"/>
      <c r="BG8" s="1563"/>
      <c r="BH8" s="1563"/>
      <c r="BI8" s="1563"/>
      <c r="BJ8" s="1563"/>
      <c r="BK8" s="1563"/>
      <c r="BL8" s="1563"/>
      <c r="BM8" s="1563"/>
      <c r="BN8" s="1563"/>
      <c r="BO8" s="1563"/>
      <c r="BP8" s="1563"/>
      <c r="BQ8" s="1563"/>
      <c r="BR8" s="1563"/>
      <c r="BS8" s="1563"/>
      <c r="BT8" s="1563"/>
      <c r="BU8" s="1563"/>
      <c r="BV8" s="1563"/>
      <c r="BW8" s="1563"/>
      <c r="BX8" s="1563"/>
      <c r="BY8" s="1563"/>
      <c r="BZ8" s="1563"/>
      <c r="CA8" s="1563"/>
      <c r="CB8" s="1563"/>
      <c r="CC8" s="1563"/>
      <c r="CD8" s="1563"/>
      <c r="CE8" s="1563"/>
      <c r="CF8" s="1563"/>
      <c r="CG8" s="1563"/>
      <c r="CH8" s="1563"/>
      <c r="CI8" s="1563"/>
      <c r="CJ8" s="1563"/>
      <c r="CK8" s="1563"/>
      <c r="CL8" s="1563"/>
      <c r="CM8" s="1563"/>
      <c r="CN8" s="1563"/>
      <c r="CO8" s="1563"/>
      <c r="CP8" s="1563"/>
      <c r="CQ8" s="1563"/>
      <c r="CR8" s="1563"/>
      <c r="CS8" s="1563"/>
      <c r="CT8" s="1563"/>
      <c r="CU8" s="1563"/>
      <c r="CV8" s="1563"/>
      <c r="CW8" s="1362" t="str">
        <f>"02/04/"&amp;Tax_year_end</f>
        <v>02/04/2026</v>
      </c>
      <c r="CX8" s="1563"/>
      <c r="CY8" s="1563"/>
      <c r="CZ8" s="1563"/>
      <c r="DA8" s="1563"/>
      <c r="DB8" s="1563"/>
      <c r="DC8" s="1563"/>
      <c r="DD8" s="1362" t="str">
        <f>"03/04/"&amp;Tax_year_end</f>
        <v>03/04/2026</v>
      </c>
      <c r="DE8" s="1563"/>
      <c r="DF8" s="1563"/>
      <c r="DG8" s="1362" t="str">
        <f>"01/04/"&amp;Tax_year_end</f>
        <v>01/04/2026</v>
      </c>
      <c r="DH8" s="1563"/>
      <c r="DI8" s="1563"/>
      <c r="DJ8" s="1563"/>
      <c r="DK8" s="1563"/>
      <c r="DL8" s="1563"/>
      <c r="DM8" s="1362" t="str">
        <f>"02/04/"&amp;Tax_year_end</f>
        <v>02/04/2026</v>
      </c>
      <c r="DN8" s="1563"/>
      <c r="DO8" s="1362" t="str">
        <f>"01/04/"&amp;Tax_year_end</f>
        <v>01/04/2026</v>
      </c>
      <c r="DP8" s="1563"/>
      <c r="DQ8" s="1563"/>
      <c r="DR8" s="1563"/>
      <c r="DS8" s="1362" t="str">
        <f>"01/04/"&amp;Tax_year_end</f>
        <v>01/04/2026</v>
      </c>
      <c r="DT8" s="1563"/>
      <c r="DU8" s="1362" t="str">
        <f>"03/04/"&amp;Tax_year_end</f>
        <v>03/04/2026</v>
      </c>
      <c r="DV8" s="1563"/>
      <c r="DW8" s="1362" t="str">
        <f>"04/04/"&amp;Tax_year_end</f>
        <v>04/04/2026</v>
      </c>
      <c r="DX8" s="1563"/>
      <c r="DY8" s="1563"/>
      <c r="DZ8" s="1563"/>
      <c r="EA8" s="1563"/>
      <c r="EB8" s="1563"/>
      <c r="EC8" s="1563"/>
      <c r="ED8" s="1563"/>
      <c r="EE8" s="1563"/>
      <c r="EF8" s="1563"/>
      <c r="EG8" s="1563"/>
      <c r="EH8" s="1563"/>
      <c r="EI8" s="1563"/>
      <c r="EJ8" s="1362" t="str">
        <f>"02/04/"&amp;Tax_year_end</f>
        <v>02/04/2026</v>
      </c>
      <c r="EK8" s="1362" t="str">
        <f>"04/04/"&amp;Tax_year_end</f>
        <v>04/04/2026</v>
      </c>
      <c r="EL8" s="1563"/>
      <c r="EM8" s="1563"/>
      <c r="EN8" s="1563"/>
      <c r="EO8" s="1563"/>
      <c r="EP8" s="1563"/>
      <c r="EQ8" s="1563"/>
      <c r="ER8" s="1362" t="str">
        <f>"04/04/"&amp;Tax_year_end</f>
        <v>04/04/2026</v>
      </c>
      <c r="ES8" s="1563"/>
      <c r="ET8" s="1563"/>
      <c r="EU8" s="1563"/>
      <c r="EV8" s="1563"/>
      <c r="EW8" s="1563"/>
      <c r="EX8" s="1362" t="str">
        <f>"04/04/"&amp;Tax_year_end</f>
        <v>04/04/2026</v>
      </c>
      <c r="EY8" s="1563"/>
      <c r="EZ8" s="1563"/>
      <c r="FA8" s="1563"/>
      <c r="FB8" s="1563"/>
      <c r="FC8" s="1563"/>
      <c r="FD8" s="1363"/>
      <c r="FE8" s="1563"/>
      <c r="FF8" s="1363"/>
      <c r="FG8" s="1563"/>
      <c r="FH8" s="1563"/>
      <c r="FI8" s="1362" t="str">
        <f>"04/04/"&amp;Tax_year_end</f>
        <v>04/04/2026</v>
      </c>
      <c r="FJ8" s="1362" t="str">
        <f>"02/04/"&amp;Tax_year_end</f>
        <v>02/04/2026</v>
      </c>
      <c r="FK8" s="1563"/>
      <c r="FL8" s="1563"/>
      <c r="FM8" s="1563"/>
      <c r="FN8" s="1563"/>
      <c r="FO8" s="1563"/>
      <c r="FP8" s="1362" t="str">
        <f>"30/03/"&amp;Tax_year_end</f>
        <v>30/03/2026</v>
      </c>
      <c r="FQ8" s="1563"/>
      <c r="FR8" s="1563"/>
      <c r="FS8" s="1563"/>
      <c r="FT8" s="1563"/>
      <c r="FU8" s="1563"/>
      <c r="FV8" s="1563"/>
      <c r="FW8" s="1563"/>
      <c r="FX8" s="1563"/>
      <c r="FY8" s="1563"/>
      <c r="FZ8" s="1563"/>
      <c r="GA8" s="1563"/>
      <c r="GB8" s="1563"/>
      <c r="GC8" s="1563"/>
      <c r="GD8" s="1563"/>
      <c r="GE8" s="1563"/>
      <c r="GF8" s="1563"/>
      <c r="GG8" s="1563"/>
      <c r="GH8" s="1563"/>
      <c r="GI8" s="1563"/>
      <c r="GJ8" s="1563"/>
      <c r="GK8" s="1563"/>
      <c r="GL8" s="1362" t="str">
        <f>"28/03/"&amp;Tax_year_end</f>
        <v>28/03/2026</v>
      </c>
      <c r="GM8" s="1362" t="str">
        <f>"24/03/"&amp;Tax_year_end</f>
        <v>24/03/2026</v>
      </c>
      <c r="GN8" s="1563"/>
      <c r="GO8" s="1563"/>
      <c r="GP8" s="1563"/>
      <c r="GQ8" s="1563"/>
      <c r="GR8" s="1563"/>
      <c r="GS8" s="1563"/>
      <c r="GT8" s="1563"/>
      <c r="GU8" s="1563"/>
      <c r="GV8" s="1563"/>
      <c r="GW8" s="1563"/>
      <c r="GX8" s="1563"/>
      <c r="GY8" s="1563"/>
      <c r="GZ8" s="1362" t="str">
        <f>"02/03/"&amp;Tax_year_end</f>
        <v>02/03/2026</v>
      </c>
      <c r="HA8" s="1563"/>
      <c r="HB8" s="1362" t="str">
        <f>"27/03/"&amp;Tax_year_end</f>
        <v>27/03/2026</v>
      </c>
      <c r="HC8" s="1563"/>
      <c r="HD8" s="1563"/>
      <c r="HE8" s="1563"/>
      <c r="HF8" s="1563"/>
      <c r="HG8" s="1563"/>
      <c r="HH8" s="1563"/>
      <c r="HI8" s="1563"/>
      <c r="HJ8" s="1563"/>
      <c r="HK8" s="1563"/>
      <c r="HL8" s="1563"/>
      <c r="HM8" s="1362" t="str">
        <f>"27/02/"&amp;Tax_year_end</f>
        <v>27/02/2026</v>
      </c>
      <c r="HN8" s="1563"/>
      <c r="HO8" s="1563"/>
      <c r="HP8" s="1563"/>
      <c r="HQ8" s="1563"/>
      <c r="HR8" s="1563"/>
      <c r="HS8" s="1563"/>
      <c r="HT8" s="1563"/>
      <c r="HU8" s="1563"/>
      <c r="HV8" s="1362" t="str">
        <f>"19/02/"&amp;Tax_year_end</f>
        <v>19/02/2026</v>
      </c>
      <c r="HW8" s="1563"/>
      <c r="HX8" s="1563"/>
      <c r="HY8" s="1563"/>
      <c r="HZ8" s="1563"/>
      <c r="IA8" s="1563"/>
      <c r="IB8" s="1563"/>
      <c r="IC8" s="1563"/>
      <c r="ID8" s="1563"/>
      <c r="IE8" s="1362" t="str">
        <f>"19/01/"&amp;Tax_year_end</f>
        <v>19/01/2026</v>
      </c>
      <c r="IF8" s="1563"/>
      <c r="IG8" s="1563"/>
      <c r="IH8" s="1563"/>
      <c r="II8" s="1563"/>
      <c r="IJ8" s="1563"/>
      <c r="IK8" s="1563"/>
      <c r="IL8" s="1563"/>
      <c r="IM8" s="1563"/>
      <c r="IN8" s="1563"/>
      <c r="IO8" s="1563"/>
      <c r="IP8" s="1563"/>
      <c r="IQ8" s="1563"/>
      <c r="IR8" s="1563"/>
      <c r="IS8" s="1563"/>
      <c r="IT8" s="1563"/>
      <c r="IU8" s="1563"/>
      <c r="IV8" s="1563"/>
      <c r="IW8" s="1563"/>
      <c r="IX8" s="1563"/>
      <c r="IY8" s="1563"/>
      <c r="IZ8" s="1563"/>
      <c r="JA8" s="1563"/>
      <c r="JB8" s="1563"/>
      <c r="JC8" s="1563"/>
      <c r="JD8" s="1563"/>
      <c r="JE8" s="1563"/>
      <c r="JF8" s="1563"/>
      <c r="JG8" s="1563"/>
      <c r="JH8" s="1563"/>
      <c r="JI8" s="1563"/>
      <c r="JJ8" s="1563"/>
      <c r="JK8" s="1563"/>
      <c r="JL8" s="1362" t="str">
        <f>"19/03/"&amp;Tax_year_end</f>
        <v>19/03/2026</v>
      </c>
      <c r="JM8" s="1563"/>
      <c r="JN8" s="1563"/>
      <c r="JO8" s="1563"/>
      <c r="JP8" s="1563"/>
      <c r="JQ8" s="1563"/>
      <c r="JR8" s="351"/>
      <c r="JS8" s="1400" t="s">
        <v>3489</v>
      </c>
      <c r="JT8" s="450" t="s">
        <v>2208</v>
      </c>
    </row>
    <row r="9" spans="1:280" ht="12.5" x14ac:dyDescent="0.25">
      <c r="A9" s="1367">
        <v>8</v>
      </c>
      <c r="B9" s="1411">
        <f t="shared" si="0"/>
        <v>-1840</v>
      </c>
      <c r="C9" s="1435" t="s">
        <v>3490</v>
      </c>
      <c r="D9" s="1436" t="s">
        <v>3491</v>
      </c>
      <c r="E9" s="1361"/>
      <c r="F9" s="1361"/>
      <c r="G9" s="1361"/>
      <c r="H9" s="1361"/>
      <c r="I9" s="1361"/>
      <c r="J9" s="1361"/>
      <c r="K9" s="1361"/>
      <c r="L9" s="1361"/>
      <c r="M9" s="1361"/>
      <c r="N9" s="1494"/>
      <c r="O9" s="1494"/>
      <c r="P9" s="1494"/>
      <c r="Q9" s="1494"/>
      <c r="R9" s="1494"/>
      <c r="S9" s="1494"/>
      <c r="T9" s="1494"/>
      <c r="U9" s="1494"/>
      <c r="V9" s="1494"/>
      <c r="W9" s="1494"/>
      <c r="X9" s="1494"/>
      <c r="Y9" s="1494"/>
      <c r="Z9" s="1494"/>
      <c r="AA9" s="1494"/>
      <c r="AB9" s="1494"/>
      <c r="AC9" s="1494"/>
      <c r="AD9" s="1494"/>
      <c r="AE9" s="1494"/>
      <c r="AF9" s="1494"/>
      <c r="AG9" s="1494"/>
      <c r="AH9" s="1494"/>
      <c r="AI9" s="1494"/>
      <c r="AJ9" s="1494"/>
      <c r="AK9" s="1494"/>
      <c r="AL9" s="1494"/>
      <c r="AM9" s="1494"/>
      <c r="AN9" s="1494"/>
      <c r="AO9" s="1494"/>
      <c r="AP9" s="1494"/>
      <c r="AQ9" s="1494"/>
      <c r="AR9" s="1494"/>
      <c r="AS9" s="1494"/>
      <c r="AT9" s="1494"/>
      <c r="AU9" s="1494"/>
      <c r="AV9" s="1494"/>
      <c r="AW9" s="1494"/>
      <c r="AX9" s="1494"/>
      <c r="AY9" s="1494"/>
      <c r="AZ9" s="1494"/>
      <c r="BA9" s="1494"/>
      <c r="BB9" s="1494"/>
      <c r="BC9" s="1568">
        <v>1080</v>
      </c>
      <c r="BD9" s="1568">
        <v>1657</v>
      </c>
      <c r="BE9" s="1494"/>
      <c r="BF9" s="1494"/>
      <c r="BG9" s="1494"/>
      <c r="BH9" s="1494"/>
      <c r="BI9" s="1494"/>
      <c r="BJ9" s="1494"/>
      <c r="BK9" s="1494"/>
      <c r="BL9" s="1494"/>
      <c r="BM9" s="1494"/>
      <c r="BN9" s="1494"/>
      <c r="BO9" s="1494"/>
      <c r="BP9" s="1494"/>
      <c r="BQ9" s="1494"/>
      <c r="BR9" s="1494"/>
      <c r="BS9" s="1494"/>
      <c r="BT9" s="1494"/>
      <c r="BU9" s="1494"/>
      <c r="BV9" s="1494"/>
      <c r="BW9" s="1494"/>
      <c r="BX9" s="1494"/>
      <c r="BY9" s="1494"/>
      <c r="BZ9" s="1494"/>
      <c r="CA9" s="1494"/>
      <c r="CB9" s="1494"/>
      <c r="CC9" s="1494"/>
      <c r="CD9" s="1494"/>
      <c r="CE9" s="1494"/>
      <c r="CF9" s="1494"/>
      <c r="CG9" s="1494"/>
      <c r="CH9" s="1494"/>
      <c r="CI9" s="1568">
        <v>6745</v>
      </c>
      <c r="CJ9" s="1494"/>
      <c r="CK9" s="1494"/>
      <c r="CL9" s="1494"/>
      <c r="CM9" s="1494"/>
      <c r="CN9" s="1494"/>
      <c r="CO9" s="1494"/>
      <c r="CP9" s="1494"/>
      <c r="CQ9" s="1494"/>
      <c r="CR9" s="1494"/>
      <c r="CS9" s="1494"/>
      <c r="CT9" s="1494"/>
      <c r="CU9" s="1494"/>
      <c r="CV9" s="1494"/>
      <c r="CW9" s="1568">
        <v>64000</v>
      </c>
      <c r="CX9" s="1569">
        <v>-5500</v>
      </c>
      <c r="CY9" s="1494"/>
      <c r="CZ9" s="1494"/>
      <c r="DA9" s="1494"/>
      <c r="DB9" s="1494"/>
      <c r="DC9" s="1494"/>
      <c r="DD9" s="1568">
        <v>6745</v>
      </c>
      <c r="DE9" s="1494"/>
      <c r="DF9" s="1494"/>
      <c r="DG9" s="1570">
        <v>39001</v>
      </c>
      <c r="DH9" s="1494"/>
      <c r="DI9" s="1494"/>
      <c r="DJ9" s="1494"/>
      <c r="DK9" s="1494"/>
      <c r="DL9" s="1494"/>
      <c r="DM9" s="1568">
        <v>6745</v>
      </c>
      <c r="DN9" s="1494"/>
      <c r="DO9" s="1481">
        <v>18115</v>
      </c>
      <c r="DP9" s="1494"/>
      <c r="DQ9" s="1494"/>
      <c r="DR9" s="1494"/>
      <c r="DS9" s="1481">
        <v>18115</v>
      </c>
      <c r="DT9" s="1494"/>
      <c r="DU9" s="1570">
        <v>6745</v>
      </c>
      <c r="DV9" s="1494"/>
      <c r="DW9" s="1494"/>
      <c r="DX9" s="1494"/>
      <c r="DY9" s="1494"/>
      <c r="DZ9" s="1494"/>
      <c r="EA9" s="1494"/>
      <c r="EB9" s="1494"/>
      <c r="EC9" s="1494"/>
      <c r="ED9" s="1494"/>
      <c r="EE9" s="1494"/>
      <c r="EF9" s="1494"/>
      <c r="EG9" s="1494"/>
      <c r="EH9" s="1494"/>
      <c r="EI9" s="1494"/>
      <c r="EJ9" s="1494">
        <v>20095</v>
      </c>
      <c r="EK9" s="1494">
        <v>16757</v>
      </c>
      <c r="EL9" s="1494"/>
      <c r="EM9" s="1481">
        <v>64204</v>
      </c>
      <c r="EN9" s="1494"/>
      <c r="EO9" s="1494"/>
      <c r="EP9" s="1494"/>
      <c r="EQ9" s="1494"/>
      <c r="ER9" s="1494"/>
      <c r="ES9" s="1494"/>
      <c r="ET9" s="1494"/>
      <c r="EU9" s="1494"/>
      <c r="EV9" s="1494"/>
      <c r="EW9" s="1494"/>
      <c r="EX9" s="1481">
        <v>32497</v>
      </c>
      <c r="EY9" s="1494"/>
      <c r="EZ9" s="1494"/>
      <c r="FA9" s="1494"/>
      <c r="FB9" s="1494"/>
      <c r="FC9" s="1494"/>
      <c r="FD9" s="1481"/>
      <c r="FE9" s="1494"/>
      <c r="FF9" s="1481"/>
      <c r="FG9" s="1494"/>
      <c r="FH9" s="1494"/>
      <c r="FI9" s="1494">
        <v>2376</v>
      </c>
      <c r="FJ9" s="1494">
        <v>13296</v>
      </c>
      <c r="FK9" s="1494"/>
      <c r="FL9" s="1494"/>
      <c r="FM9" s="1494"/>
      <c r="FN9" s="1494"/>
      <c r="FO9" s="1494"/>
      <c r="FP9" s="1481">
        <v>-1840</v>
      </c>
      <c r="FQ9" s="1494"/>
      <c r="FR9" s="1494"/>
      <c r="FS9" s="1494"/>
      <c r="FT9" s="1494"/>
      <c r="FU9" s="1494"/>
      <c r="FV9" s="1494"/>
      <c r="FW9" s="1494"/>
      <c r="FX9" s="1494"/>
      <c r="FY9" s="1494"/>
      <c r="FZ9" s="1494"/>
      <c r="GA9" s="1494"/>
      <c r="GB9" s="1494"/>
      <c r="GC9" s="1494"/>
      <c r="GD9" s="1494"/>
      <c r="GE9" s="1494"/>
      <c r="GF9" s="1494"/>
      <c r="GG9" s="1494"/>
      <c r="GH9" s="1494"/>
      <c r="GI9" s="1494"/>
      <c r="GJ9" s="1494"/>
      <c r="GK9" s="1494"/>
      <c r="GL9" s="1568">
        <v>64000</v>
      </c>
      <c r="GM9" s="1568">
        <v>64000</v>
      </c>
      <c r="GN9" s="1494"/>
      <c r="GO9" s="1494"/>
      <c r="GP9" s="1494"/>
      <c r="GQ9" s="1494"/>
      <c r="GR9" s="1494"/>
      <c r="GS9" s="1494"/>
      <c r="GT9" s="1494"/>
      <c r="GU9" s="1494"/>
      <c r="GV9" s="1494"/>
      <c r="GW9" s="1494"/>
      <c r="GX9" s="1494"/>
      <c r="GY9" s="1494"/>
      <c r="GZ9" s="1571">
        <v>-62547</v>
      </c>
      <c r="HA9" s="1571">
        <v>-62547</v>
      </c>
      <c r="HB9" s="1569">
        <v>-71159</v>
      </c>
      <c r="HC9" s="1494"/>
      <c r="HD9" s="1494"/>
      <c r="HE9" s="1494"/>
      <c r="HF9" s="1494"/>
      <c r="HG9" s="1494"/>
      <c r="HH9" s="1494"/>
      <c r="HI9" s="1494"/>
      <c r="HJ9" s="1494"/>
      <c r="HK9" s="1494"/>
      <c r="HL9" s="1494"/>
      <c r="HM9" s="1481">
        <v>937</v>
      </c>
      <c r="HN9" s="1494"/>
      <c r="HO9" s="1494"/>
      <c r="HP9" s="1494"/>
      <c r="HQ9" s="1494"/>
      <c r="HR9" s="1494"/>
      <c r="HS9" s="1494"/>
      <c r="HT9" s="1494"/>
      <c r="HU9" s="1494"/>
      <c r="HV9" s="1494">
        <v>-62547</v>
      </c>
      <c r="HW9" s="1494"/>
      <c r="HX9" s="1494"/>
      <c r="HY9" s="1494">
        <v>-5260</v>
      </c>
      <c r="HZ9" s="1494"/>
      <c r="IA9" s="1494"/>
      <c r="IB9" s="1494"/>
      <c r="IC9" s="1494"/>
      <c r="ID9" s="1494"/>
      <c r="IE9" s="1494">
        <v>26599</v>
      </c>
      <c r="IF9" s="1494"/>
      <c r="IG9" s="1494"/>
      <c r="IH9" s="1494"/>
      <c r="II9" s="1494"/>
      <c r="IJ9" s="1494"/>
      <c r="IK9" s="1494"/>
      <c r="IL9" s="1494"/>
      <c r="IM9" s="1494"/>
      <c r="IN9" s="1494"/>
      <c r="IO9" s="1494"/>
      <c r="IP9" s="1494"/>
      <c r="IQ9" s="1494"/>
      <c r="IR9" s="1494"/>
      <c r="IS9" s="1494"/>
      <c r="IT9" s="1494"/>
      <c r="IU9" s="1494"/>
      <c r="IV9" s="1494"/>
      <c r="IW9" s="1481">
        <v>164.05</v>
      </c>
      <c r="IX9" s="1494"/>
      <c r="IY9" s="1494">
        <v>46471</v>
      </c>
      <c r="IZ9" s="1494"/>
      <c r="JA9" s="1494"/>
      <c r="JB9" s="1494"/>
      <c r="JC9" s="1494"/>
      <c r="JD9" s="1494"/>
      <c r="JE9" s="1494"/>
      <c r="JF9" s="1494"/>
      <c r="JG9" s="1494"/>
      <c r="JH9" s="1494"/>
      <c r="JI9" s="1494"/>
      <c r="JJ9" s="1494"/>
      <c r="JK9" s="1494"/>
      <c r="JL9" s="1494">
        <v>-60233</v>
      </c>
      <c r="JM9" s="1494"/>
      <c r="JN9" s="1494"/>
      <c r="JO9" s="1494"/>
      <c r="JP9" s="1494"/>
      <c r="JQ9" s="1499"/>
      <c r="JR9" s="351"/>
      <c r="JS9" s="1400" t="s">
        <v>3492</v>
      </c>
      <c r="JT9" s="450" t="s">
        <v>2253</v>
      </c>
    </row>
    <row r="10" spans="1:280" ht="12.5" x14ac:dyDescent="0.25">
      <c r="A10" s="1367">
        <v>9</v>
      </c>
      <c r="B10" s="1411" t="str">
        <f t="shared" si="0"/>
        <v/>
      </c>
      <c r="C10" s="1435" t="s">
        <v>3493</v>
      </c>
      <c r="D10" s="1436" t="s">
        <v>3494</v>
      </c>
      <c r="E10" s="1361"/>
      <c r="F10" s="1361"/>
      <c r="G10" s="1361"/>
      <c r="H10" s="1361"/>
      <c r="I10" s="1361"/>
      <c r="J10" s="1361"/>
      <c r="K10" s="1361"/>
      <c r="L10" s="1361"/>
      <c r="M10" s="1361"/>
      <c r="N10" s="1494"/>
      <c r="O10" s="1494"/>
      <c r="P10" s="1494"/>
      <c r="Q10" s="1494"/>
      <c r="R10" s="1494"/>
      <c r="S10" s="1494"/>
      <c r="T10" s="1494"/>
      <c r="U10" s="1494"/>
      <c r="V10" s="1494"/>
      <c r="W10" s="1494"/>
      <c r="X10" s="1494"/>
      <c r="Y10" s="1494"/>
      <c r="Z10" s="1494"/>
      <c r="AA10" s="1494"/>
      <c r="AB10" s="1494"/>
      <c r="AC10" s="1494"/>
      <c r="AD10" s="1494"/>
      <c r="AE10" s="1494"/>
      <c r="AF10" s="1494"/>
      <c r="AG10" s="1494"/>
      <c r="AH10" s="1494"/>
      <c r="AI10" s="1494"/>
      <c r="AJ10" s="1494"/>
      <c r="AK10" s="1494"/>
      <c r="AL10" s="1494"/>
      <c r="AM10" s="1494"/>
      <c r="AN10" s="1494"/>
      <c r="AO10" s="1494"/>
      <c r="AP10" s="1494"/>
      <c r="AQ10" s="1494"/>
      <c r="AR10" s="1494"/>
      <c r="AS10" s="1494"/>
      <c r="AT10" s="1494"/>
      <c r="AU10" s="1494"/>
      <c r="AV10" s="1494"/>
      <c r="AW10" s="1494"/>
      <c r="AX10" s="1494"/>
      <c r="AY10" s="1494"/>
      <c r="AZ10" s="1494"/>
      <c r="BA10" s="1494"/>
      <c r="BB10" s="1494"/>
      <c r="BC10" s="1568"/>
      <c r="BD10" s="1568"/>
      <c r="BE10" s="1494"/>
      <c r="BF10" s="1494"/>
      <c r="BG10" s="1494"/>
      <c r="BH10" s="1494"/>
      <c r="BI10" s="1494"/>
      <c r="BJ10" s="1494"/>
      <c r="BK10" s="1494"/>
      <c r="BL10" s="1494"/>
      <c r="BM10" s="1494"/>
      <c r="BN10" s="1494"/>
      <c r="BO10" s="1494"/>
      <c r="BP10" s="1494"/>
      <c r="BQ10" s="1494"/>
      <c r="BR10" s="1494"/>
      <c r="BS10" s="1494"/>
      <c r="BT10" s="1494"/>
      <c r="BU10" s="1494"/>
      <c r="BV10" s="1494"/>
      <c r="BW10" s="1494"/>
      <c r="BX10" s="1494"/>
      <c r="BY10" s="1494"/>
      <c r="BZ10" s="1494"/>
      <c r="CA10" s="1494"/>
      <c r="CB10" s="1494"/>
      <c r="CC10" s="1494"/>
      <c r="CD10" s="1494"/>
      <c r="CE10" s="1494"/>
      <c r="CF10" s="1494"/>
      <c r="CG10" s="1494"/>
      <c r="CH10" s="1494"/>
      <c r="CI10" s="1568"/>
      <c r="CJ10" s="1494"/>
      <c r="CK10" s="1494"/>
      <c r="CL10" s="1494"/>
      <c r="CM10" s="1494"/>
      <c r="CN10" s="1494"/>
      <c r="CO10" s="1494"/>
      <c r="CP10" s="1494"/>
      <c r="CQ10" s="1494"/>
      <c r="CR10" s="1494"/>
      <c r="CS10" s="1494"/>
      <c r="CT10" s="1494"/>
      <c r="CU10" s="1494"/>
      <c r="CV10" s="1494"/>
      <c r="CW10" s="1569"/>
      <c r="CX10" s="1569"/>
      <c r="CY10" s="1494"/>
      <c r="CZ10" s="1494"/>
      <c r="DA10" s="1494"/>
      <c r="DB10" s="1494"/>
      <c r="DC10" s="1494"/>
      <c r="DD10" s="1568"/>
      <c r="DE10" s="1494"/>
      <c r="DF10" s="1494"/>
      <c r="DG10" s="1569"/>
      <c r="DH10" s="1494"/>
      <c r="DI10" s="1494"/>
      <c r="DJ10" s="1494"/>
      <c r="DK10" s="1494"/>
      <c r="DL10" s="1494"/>
      <c r="DM10" s="1568"/>
      <c r="DN10" s="1494"/>
      <c r="DO10" s="1494"/>
      <c r="DP10" s="1494"/>
      <c r="DQ10" s="1494"/>
      <c r="DR10" s="1494"/>
      <c r="DS10" s="1494"/>
      <c r="DT10" s="1494"/>
      <c r="DU10" s="1568"/>
      <c r="DV10" s="1494"/>
      <c r="DW10" s="1481">
        <v>10792</v>
      </c>
      <c r="DX10" s="1494"/>
      <c r="DY10" s="1494"/>
      <c r="DZ10" s="1494"/>
      <c r="EA10" s="1494"/>
      <c r="EB10" s="1494"/>
      <c r="EC10" s="1494"/>
      <c r="ED10" s="1494"/>
      <c r="EE10" s="1494"/>
      <c r="EF10" s="1494"/>
      <c r="EG10" s="1494"/>
      <c r="EH10" s="1494"/>
      <c r="EI10" s="1494"/>
      <c r="EJ10" s="1494"/>
      <c r="EK10" s="1494"/>
      <c r="EL10" s="1494"/>
      <c r="EM10" s="1494"/>
      <c r="EN10" s="1494"/>
      <c r="EO10" s="1494"/>
      <c r="EP10" s="1494"/>
      <c r="EQ10" s="1494"/>
      <c r="ER10" s="1494"/>
      <c r="ES10" s="1494"/>
      <c r="ET10" s="1494"/>
      <c r="EU10" s="1494"/>
      <c r="EV10" s="1494"/>
      <c r="EW10" s="1494"/>
      <c r="EX10" s="1494"/>
      <c r="EY10" s="1494"/>
      <c r="EZ10" s="1494"/>
      <c r="FA10" s="1494"/>
      <c r="FB10" s="1494"/>
      <c r="FC10" s="1494"/>
      <c r="FD10" s="1494"/>
      <c r="FE10" s="1494"/>
      <c r="FF10" s="1494"/>
      <c r="FG10" s="1494"/>
      <c r="FH10" s="1494"/>
      <c r="FI10" s="1494"/>
      <c r="FJ10" s="1494"/>
      <c r="FK10" s="1494"/>
      <c r="FL10" s="1494"/>
      <c r="FM10" s="1494"/>
      <c r="FN10" s="1494"/>
      <c r="FO10" s="1494"/>
      <c r="FP10" s="1494"/>
      <c r="FQ10" s="1494"/>
      <c r="FR10" s="1494"/>
      <c r="FS10" s="1494"/>
      <c r="FT10" s="1494"/>
      <c r="FU10" s="1494"/>
      <c r="FV10" s="1494"/>
      <c r="FW10" s="1494"/>
      <c r="FX10" s="1494"/>
      <c r="FY10" s="1494"/>
      <c r="FZ10" s="1494"/>
      <c r="GA10" s="1494"/>
      <c r="GB10" s="1494"/>
      <c r="GC10" s="1494"/>
      <c r="GD10" s="1494"/>
      <c r="GE10" s="1494"/>
      <c r="GF10" s="1494"/>
      <c r="GG10" s="1494"/>
      <c r="GH10" s="1494"/>
      <c r="GI10" s="1494"/>
      <c r="GJ10" s="1494"/>
      <c r="GK10" s="1494"/>
      <c r="GL10" s="1569"/>
      <c r="GM10" s="1569"/>
      <c r="GN10" s="1494"/>
      <c r="GO10" s="1494"/>
      <c r="GP10" s="1494"/>
      <c r="GQ10" s="1494"/>
      <c r="GR10" s="1494"/>
      <c r="GS10" s="1494"/>
      <c r="GT10" s="1494"/>
      <c r="GU10" s="1494"/>
      <c r="GV10" s="1494"/>
      <c r="GW10" s="1494"/>
      <c r="GX10" s="1494"/>
      <c r="GY10" s="1494"/>
      <c r="GZ10" s="1571"/>
      <c r="HA10" s="1571"/>
      <c r="HB10" s="1569"/>
      <c r="HC10" s="1494"/>
      <c r="HD10" s="1494"/>
      <c r="HE10" s="1494"/>
      <c r="HF10" s="1494"/>
      <c r="HG10" s="1494"/>
      <c r="HH10" s="1494"/>
      <c r="HI10" s="1494"/>
      <c r="HJ10" s="1494"/>
      <c r="HK10" s="1494"/>
      <c r="HL10" s="1494"/>
      <c r="HM10" s="1494"/>
      <c r="HN10" s="1494"/>
      <c r="HO10" s="1494"/>
      <c r="HP10" s="1494"/>
      <c r="HQ10" s="1494"/>
      <c r="HR10" s="1494"/>
      <c r="HS10" s="1494"/>
      <c r="HT10" s="1494"/>
      <c r="HU10" s="1494"/>
      <c r="HV10" s="1494"/>
      <c r="HW10" s="1494"/>
      <c r="HX10" s="1494"/>
      <c r="HY10" s="1494"/>
      <c r="HZ10" s="1494"/>
      <c r="IA10" s="1494"/>
      <c r="IB10" s="1494"/>
      <c r="IC10" s="1494"/>
      <c r="ID10" s="1494"/>
      <c r="IE10" s="1494"/>
      <c r="IF10" s="1494"/>
      <c r="IG10" s="1494"/>
      <c r="IH10" s="1494"/>
      <c r="II10" s="1494"/>
      <c r="IJ10" s="1494"/>
      <c r="IK10" s="1494"/>
      <c r="IL10" s="1494"/>
      <c r="IM10" s="1494"/>
      <c r="IN10" s="1494"/>
      <c r="IO10" s="1494"/>
      <c r="IP10" s="1494"/>
      <c r="IQ10" s="1494"/>
      <c r="IR10" s="1494"/>
      <c r="IS10" s="1494"/>
      <c r="IT10" s="1494"/>
      <c r="IU10" s="1494"/>
      <c r="IV10" s="1494"/>
      <c r="IW10" s="1494"/>
      <c r="IX10" s="1494"/>
      <c r="IY10" s="1494"/>
      <c r="IZ10" s="1494"/>
      <c r="JA10" s="1494"/>
      <c r="JB10" s="1494"/>
      <c r="JC10" s="1494"/>
      <c r="JD10" s="1494"/>
      <c r="JE10" s="1494"/>
      <c r="JF10" s="1494"/>
      <c r="JG10" s="1494"/>
      <c r="JH10" s="1494"/>
      <c r="JI10" s="1494"/>
      <c r="JJ10" s="1494"/>
      <c r="JK10" s="1494"/>
      <c r="JL10" s="1494"/>
      <c r="JM10" s="1494"/>
      <c r="JN10" s="1494"/>
      <c r="JO10" s="1494"/>
      <c r="JP10" s="1494"/>
      <c r="JQ10" s="1499"/>
      <c r="JR10" s="351"/>
      <c r="JS10" s="1400" t="s">
        <v>3492</v>
      </c>
      <c r="JT10" s="450" t="s">
        <v>2253</v>
      </c>
    </row>
    <row r="11" spans="1:280" ht="12.5" x14ac:dyDescent="0.25">
      <c r="A11" s="1367">
        <v>10</v>
      </c>
      <c r="B11" s="1411" t="str">
        <f t="shared" si="0"/>
        <v/>
      </c>
      <c r="C11" s="1435" t="s">
        <v>3495</v>
      </c>
      <c r="D11" s="1436" t="s">
        <v>3496</v>
      </c>
      <c r="E11" s="1361"/>
      <c r="F11" s="1361"/>
      <c r="G11" s="1361"/>
      <c r="H11" s="1361"/>
      <c r="I11" s="1361"/>
      <c r="J11" s="1361"/>
      <c r="K11" s="1361"/>
      <c r="L11" s="1361"/>
      <c r="M11" s="1361"/>
      <c r="N11" s="1494"/>
      <c r="O11" s="1494"/>
      <c r="P11" s="1494"/>
      <c r="Q11" s="1494"/>
      <c r="R11" s="1494"/>
      <c r="S11" s="1494"/>
      <c r="T11" s="1494"/>
      <c r="U11" s="1494"/>
      <c r="V11" s="1494"/>
      <c r="W11" s="1494"/>
      <c r="X11" s="1494"/>
      <c r="Y11" s="1494"/>
      <c r="Z11" s="1494"/>
      <c r="AA11" s="1494"/>
      <c r="AB11" s="1494"/>
      <c r="AC11" s="1494"/>
      <c r="AD11" s="1494"/>
      <c r="AE11" s="1494"/>
      <c r="AF11" s="1494"/>
      <c r="AG11" s="1494"/>
      <c r="AH11" s="1494"/>
      <c r="AI11" s="1494"/>
      <c r="AJ11" s="1494"/>
      <c r="AK11" s="1494"/>
      <c r="AL11" s="1494"/>
      <c r="AM11" s="1494"/>
      <c r="AN11" s="1494"/>
      <c r="AO11" s="1494"/>
      <c r="AP11" s="1494"/>
      <c r="AQ11" s="1494"/>
      <c r="AR11" s="1494"/>
      <c r="AS11" s="1494"/>
      <c r="AT11" s="1494"/>
      <c r="AU11" s="1494"/>
      <c r="AV11" s="1494"/>
      <c r="AW11" s="1494"/>
      <c r="AX11" s="1494"/>
      <c r="AY11" s="1494"/>
      <c r="AZ11" s="1494"/>
      <c r="BA11" s="1494"/>
      <c r="BB11" s="1494"/>
      <c r="BC11" s="1568"/>
      <c r="BD11" s="1568"/>
      <c r="BE11" s="1494"/>
      <c r="BF11" s="1494"/>
      <c r="BG11" s="1494"/>
      <c r="BH11" s="1494"/>
      <c r="BI11" s="1494"/>
      <c r="BJ11" s="1494"/>
      <c r="BK11" s="1494"/>
      <c r="BL11" s="1494"/>
      <c r="BM11" s="1494"/>
      <c r="BN11" s="1494"/>
      <c r="BO11" s="1494"/>
      <c r="BP11" s="1494"/>
      <c r="BQ11" s="1494"/>
      <c r="BR11" s="1494"/>
      <c r="BS11" s="1494"/>
      <c r="BT11" s="1494"/>
      <c r="BU11" s="1494"/>
      <c r="BV11" s="1494"/>
      <c r="BW11" s="1494"/>
      <c r="BX11" s="1494"/>
      <c r="BY11" s="1494"/>
      <c r="BZ11" s="1494"/>
      <c r="CA11" s="1494"/>
      <c r="CB11" s="1494"/>
      <c r="CC11" s="1494"/>
      <c r="CD11" s="1494"/>
      <c r="CE11" s="1494"/>
      <c r="CF11" s="1494"/>
      <c r="CG11" s="1494"/>
      <c r="CH11" s="1494"/>
      <c r="CI11" s="1568"/>
      <c r="CJ11" s="1494"/>
      <c r="CK11" s="1494"/>
      <c r="CL11" s="1494"/>
      <c r="CM11" s="1494"/>
      <c r="CN11" s="1494"/>
      <c r="CO11" s="1494"/>
      <c r="CP11" s="1494"/>
      <c r="CQ11" s="1494"/>
      <c r="CR11" s="1494"/>
      <c r="CS11" s="1494"/>
      <c r="CT11" s="1494"/>
      <c r="CU11" s="1494"/>
      <c r="CV11" s="1494"/>
      <c r="CW11" s="1568">
        <v>16512</v>
      </c>
      <c r="CX11" s="1568"/>
      <c r="CY11" s="1494"/>
      <c r="CZ11" s="1494"/>
      <c r="DA11" s="1494"/>
      <c r="DB11" s="1494"/>
      <c r="DC11" s="1494"/>
      <c r="DD11" s="1568"/>
      <c r="DE11" s="1494"/>
      <c r="DF11" s="1494"/>
      <c r="DG11" s="1568"/>
      <c r="DH11" s="1494"/>
      <c r="DI11" s="1494"/>
      <c r="DJ11" s="1494"/>
      <c r="DK11" s="1494"/>
      <c r="DL11" s="1494"/>
      <c r="DM11" s="1568"/>
      <c r="DN11" s="1494"/>
      <c r="DO11" s="1494"/>
      <c r="DP11" s="1494"/>
      <c r="DQ11" s="1494"/>
      <c r="DR11" s="1494"/>
      <c r="DS11" s="1494"/>
      <c r="DT11" s="1494"/>
      <c r="DU11" s="1568"/>
      <c r="DV11" s="1494"/>
      <c r="DW11" s="1494"/>
      <c r="DX11" s="1494"/>
      <c r="DY11" s="1494"/>
      <c r="DZ11" s="1494"/>
      <c r="EA11" s="1494"/>
      <c r="EB11" s="1494"/>
      <c r="EC11" s="1494"/>
      <c r="ED11" s="1494"/>
      <c r="EE11" s="1494"/>
      <c r="EF11" s="1494"/>
      <c r="EG11" s="1494"/>
      <c r="EH11" s="1494"/>
      <c r="EI11" s="1494"/>
      <c r="EJ11" s="1494"/>
      <c r="EK11" s="1494"/>
      <c r="EL11" s="1494"/>
      <c r="EM11" s="1494"/>
      <c r="EN11" s="1494"/>
      <c r="EO11" s="1494"/>
      <c r="EP11" s="1494"/>
      <c r="EQ11" s="1494"/>
      <c r="ER11" s="1494"/>
      <c r="ES11" s="1494"/>
      <c r="ET11" s="1494"/>
      <c r="EU11" s="1494"/>
      <c r="EV11" s="1494"/>
      <c r="EW11" s="1494"/>
      <c r="EX11" s="1494"/>
      <c r="EY11" s="1494"/>
      <c r="EZ11" s="1494"/>
      <c r="FA11" s="1494"/>
      <c r="FB11" s="1494"/>
      <c r="FC11" s="1494"/>
      <c r="FD11" s="1494"/>
      <c r="FE11" s="1494"/>
      <c r="FF11" s="1494"/>
      <c r="FG11" s="1494"/>
      <c r="FH11" s="1494"/>
      <c r="FI11" s="1494"/>
      <c r="FJ11" s="1494"/>
      <c r="FK11" s="1494"/>
      <c r="FL11" s="1494"/>
      <c r="FM11" s="1494"/>
      <c r="FN11" s="1494"/>
      <c r="FO11" s="1494"/>
      <c r="FP11" s="1494"/>
      <c r="FQ11" s="1494"/>
      <c r="FR11" s="1494"/>
      <c r="FS11" s="1494"/>
      <c r="FT11" s="1494"/>
      <c r="FU11" s="1494"/>
      <c r="FV11" s="1494"/>
      <c r="FW11" s="1494"/>
      <c r="FX11" s="1494"/>
      <c r="FY11" s="1494"/>
      <c r="FZ11" s="1494"/>
      <c r="GA11" s="1494"/>
      <c r="GB11" s="1494"/>
      <c r="GC11" s="1494"/>
      <c r="GD11" s="1494"/>
      <c r="GE11" s="1494"/>
      <c r="GF11" s="1494"/>
      <c r="GG11" s="1494"/>
      <c r="GH11" s="1494"/>
      <c r="GI11" s="1494"/>
      <c r="GJ11" s="1494"/>
      <c r="GK11" s="1494"/>
      <c r="GL11" s="1568">
        <v>16512</v>
      </c>
      <c r="GM11" s="1568">
        <v>16512</v>
      </c>
      <c r="GN11" s="1494"/>
      <c r="GO11" s="1494"/>
      <c r="GP11" s="1494"/>
      <c r="GQ11" s="1494"/>
      <c r="GR11" s="1494"/>
      <c r="GS11" s="1494"/>
      <c r="GT11" s="1494"/>
      <c r="GU11" s="1494"/>
      <c r="GV11" s="1494"/>
      <c r="GW11" s="1494"/>
      <c r="GX11" s="1494"/>
      <c r="GY11" s="1494"/>
      <c r="GZ11" s="1571"/>
      <c r="HA11" s="1571"/>
      <c r="HB11" s="1568"/>
      <c r="HC11" s="1494"/>
      <c r="HD11" s="1494"/>
      <c r="HE11" s="1494"/>
      <c r="HF11" s="1494"/>
      <c r="HG11" s="1494"/>
      <c r="HH11" s="1494"/>
      <c r="HI11" s="1494"/>
      <c r="HJ11" s="1494"/>
      <c r="HK11" s="1494"/>
      <c r="HL11" s="1494"/>
      <c r="HM11" s="1494"/>
      <c r="HN11" s="1494"/>
      <c r="HO11" s="1494"/>
      <c r="HP11" s="1494"/>
      <c r="HQ11" s="1494"/>
      <c r="HR11" s="1494"/>
      <c r="HS11" s="1494"/>
      <c r="HT11" s="1494"/>
      <c r="HU11" s="1494"/>
      <c r="HV11" s="1494"/>
      <c r="HW11" s="1494"/>
      <c r="HX11" s="1494"/>
      <c r="HY11" s="1494"/>
      <c r="HZ11" s="1494"/>
      <c r="IA11" s="1494"/>
      <c r="IB11" s="1494"/>
      <c r="IC11" s="1494"/>
      <c r="ID11" s="1494"/>
      <c r="IE11" s="1494"/>
      <c r="IF11" s="1494"/>
      <c r="IG11" s="1494"/>
      <c r="IH11" s="1494"/>
      <c r="II11" s="1494"/>
      <c r="IJ11" s="1494"/>
      <c r="IK11" s="1494"/>
      <c r="IL11" s="1494"/>
      <c r="IM11" s="1494"/>
      <c r="IN11" s="1494"/>
      <c r="IO11" s="1494"/>
      <c r="IP11" s="1494"/>
      <c r="IQ11" s="1494"/>
      <c r="IR11" s="1494"/>
      <c r="IS11" s="1494"/>
      <c r="IT11" s="1494"/>
      <c r="IU11" s="1494"/>
      <c r="IV11" s="1494"/>
      <c r="IW11" s="1494"/>
      <c r="IX11" s="1494"/>
      <c r="IY11" s="1494"/>
      <c r="IZ11" s="1494"/>
      <c r="JA11" s="1494"/>
      <c r="JB11" s="1494"/>
      <c r="JC11" s="1494"/>
      <c r="JD11" s="1494"/>
      <c r="JE11" s="1494"/>
      <c r="JF11" s="1494"/>
      <c r="JG11" s="1494"/>
      <c r="JH11" s="1494"/>
      <c r="JI11" s="1494"/>
      <c r="JJ11" s="1494"/>
      <c r="JK11" s="1494"/>
      <c r="JL11" s="1494"/>
      <c r="JM11" s="1494"/>
      <c r="JN11" s="1494"/>
      <c r="JO11" s="1494"/>
      <c r="JP11" s="1494"/>
      <c r="JQ11" s="1499"/>
      <c r="JR11" s="351"/>
      <c r="JS11" s="1400" t="s">
        <v>3492</v>
      </c>
      <c r="JT11" s="450" t="s">
        <v>2882</v>
      </c>
    </row>
    <row r="12" spans="1:280" ht="12.5" x14ac:dyDescent="0.25">
      <c r="A12" s="1367">
        <v>11</v>
      </c>
      <c r="B12" s="1411" t="str">
        <f t="shared" si="0"/>
        <v/>
      </c>
      <c r="C12" s="1435" t="s">
        <v>3497</v>
      </c>
      <c r="D12" s="1436" t="s">
        <v>3498</v>
      </c>
      <c r="E12" s="1361"/>
      <c r="F12" s="1361"/>
      <c r="G12" s="1361"/>
      <c r="H12" s="1361"/>
      <c r="I12" s="1361"/>
      <c r="J12" s="1361"/>
      <c r="K12" s="1361"/>
      <c r="L12" s="1361"/>
      <c r="M12" s="1361"/>
      <c r="N12" s="1494"/>
      <c r="O12" s="1494"/>
      <c r="P12" s="1494"/>
      <c r="Q12" s="1494"/>
      <c r="R12" s="1494"/>
      <c r="S12" s="1494"/>
      <c r="T12" s="1494"/>
      <c r="U12" s="1494"/>
      <c r="V12" s="1494"/>
      <c r="W12" s="1494"/>
      <c r="X12" s="1494"/>
      <c r="Y12" s="1494"/>
      <c r="Z12" s="1494"/>
      <c r="AA12" s="1494"/>
      <c r="AB12" s="1494"/>
      <c r="AC12" s="1494"/>
      <c r="AD12" s="1494"/>
      <c r="AE12" s="1494"/>
      <c r="AF12" s="1494"/>
      <c r="AG12" s="1494"/>
      <c r="AH12" s="1494"/>
      <c r="AI12" s="1494"/>
      <c r="AJ12" s="1494"/>
      <c r="AK12" s="1494"/>
      <c r="AL12" s="1494"/>
      <c r="AM12" s="1494"/>
      <c r="AN12" s="1494"/>
      <c r="AO12" s="1494"/>
      <c r="AP12" s="1494"/>
      <c r="AQ12" s="1494"/>
      <c r="AR12" s="1494"/>
      <c r="AS12" s="1494"/>
      <c r="AT12" s="1494"/>
      <c r="AU12" s="1494"/>
      <c r="AV12" s="1494"/>
      <c r="AW12" s="1494"/>
      <c r="AX12" s="1494"/>
      <c r="AY12" s="1494"/>
      <c r="AZ12" s="1494"/>
      <c r="BA12" s="1494"/>
      <c r="BB12" s="1494"/>
      <c r="BC12" s="1568"/>
      <c r="BD12" s="1568"/>
      <c r="BE12" s="1494"/>
      <c r="BF12" s="1494"/>
      <c r="BG12" s="1494"/>
      <c r="BH12" s="1494"/>
      <c r="BI12" s="1494"/>
      <c r="BJ12" s="1494"/>
      <c r="BK12" s="1494"/>
      <c r="BL12" s="1494"/>
      <c r="BM12" s="1494"/>
      <c r="BN12" s="1494"/>
      <c r="BO12" s="1494"/>
      <c r="BP12" s="1494"/>
      <c r="BQ12" s="1494"/>
      <c r="BR12" s="1494"/>
      <c r="BS12" s="1494"/>
      <c r="BT12" s="1494"/>
      <c r="BU12" s="1494"/>
      <c r="BV12" s="1494"/>
      <c r="BW12" s="1494"/>
      <c r="BX12" s="1494"/>
      <c r="BY12" s="1494"/>
      <c r="BZ12" s="1494"/>
      <c r="CA12" s="1494"/>
      <c r="CB12" s="1494"/>
      <c r="CC12" s="1494"/>
      <c r="CD12" s="1494"/>
      <c r="CE12" s="1494"/>
      <c r="CF12" s="1494"/>
      <c r="CG12" s="1494"/>
      <c r="CH12" s="1494"/>
      <c r="CI12" s="1568"/>
      <c r="CJ12" s="1494"/>
      <c r="CK12" s="1494"/>
      <c r="CL12" s="1494"/>
      <c r="CM12" s="1494"/>
      <c r="CN12" s="1494"/>
      <c r="CO12" s="1494"/>
      <c r="CP12" s="1494"/>
      <c r="CQ12" s="1494"/>
      <c r="CR12" s="1494"/>
      <c r="CS12" s="1494"/>
      <c r="CT12" s="1494"/>
      <c r="CU12" s="1494"/>
      <c r="CV12" s="1494"/>
      <c r="CW12" s="1568"/>
      <c r="CX12" s="1568"/>
      <c r="CY12" s="1494"/>
      <c r="CZ12" s="1494"/>
      <c r="DA12" s="1494"/>
      <c r="DB12" s="1494"/>
      <c r="DC12" s="1494"/>
      <c r="DD12" s="1568"/>
      <c r="DE12" s="1494"/>
      <c r="DF12" s="1494"/>
      <c r="DG12" s="1568"/>
      <c r="DH12" s="1494"/>
      <c r="DI12" s="1494"/>
      <c r="DJ12" s="1494"/>
      <c r="DK12" s="1494"/>
      <c r="DL12" s="1494"/>
      <c r="DM12" s="1568"/>
      <c r="DN12" s="1494"/>
      <c r="DO12" s="1494"/>
      <c r="DP12" s="1494"/>
      <c r="DQ12" s="1494"/>
      <c r="DR12" s="1494"/>
      <c r="DS12" s="1494"/>
      <c r="DT12" s="1494"/>
      <c r="DU12" s="1568"/>
      <c r="DV12" s="1494"/>
      <c r="DW12" s="1494"/>
      <c r="DX12" s="1494"/>
      <c r="DY12" s="1494"/>
      <c r="DZ12" s="1494"/>
      <c r="EA12" s="1494"/>
      <c r="EB12" s="1494"/>
      <c r="EC12" s="1494"/>
      <c r="ED12" s="1494"/>
      <c r="EE12" s="1494"/>
      <c r="EF12" s="1494"/>
      <c r="EG12" s="1494"/>
      <c r="EH12" s="1494"/>
      <c r="EI12" s="1494"/>
      <c r="EJ12" s="1494"/>
      <c r="EK12" s="1494"/>
      <c r="EL12" s="1494"/>
      <c r="EM12" s="1494"/>
      <c r="EN12" s="1494"/>
      <c r="EO12" s="1494"/>
      <c r="EP12" s="1494"/>
      <c r="EQ12" s="1494"/>
      <c r="ER12" s="1494"/>
      <c r="ES12" s="1494"/>
      <c r="ET12" s="1494"/>
      <c r="EU12" s="1494"/>
      <c r="EV12" s="1494"/>
      <c r="EW12" s="1494"/>
      <c r="EX12" s="1494"/>
      <c r="EY12" s="1494"/>
      <c r="EZ12" s="1494"/>
      <c r="FA12" s="1494"/>
      <c r="FB12" s="1494"/>
      <c r="FC12" s="1494"/>
      <c r="FD12" s="1494"/>
      <c r="FE12" s="1494"/>
      <c r="FF12" s="1494"/>
      <c r="FG12" s="1494"/>
      <c r="FH12" s="1494"/>
      <c r="FI12" s="1494"/>
      <c r="FJ12" s="1494"/>
      <c r="FK12" s="1494"/>
      <c r="FL12" s="1494"/>
      <c r="FM12" s="1494"/>
      <c r="FN12" s="1494"/>
      <c r="FO12" s="1494"/>
      <c r="FP12" s="1494"/>
      <c r="FQ12" s="1494"/>
      <c r="FR12" s="1494"/>
      <c r="FS12" s="1494"/>
      <c r="FT12" s="1494"/>
      <c r="FU12" s="1494"/>
      <c r="FV12" s="1494"/>
      <c r="FW12" s="1494"/>
      <c r="FX12" s="1494"/>
      <c r="FY12" s="1494"/>
      <c r="FZ12" s="1494"/>
      <c r="GA12" s="1494"/>
      <c r="GB12" s="1494"/>
      <c r="GC12" s="1494"/>
      <c r="GD12" s="1494"/>
      <c r="GE12" s="1494"/>
      <c r="GF12" s="1494"/>
      <c r="GG12" s="1494"/>
      <c r="GH12" s="1494"/>
      <c r="GI12" s="1494"/>
      <c r="GJ12" s="1494"/>
      <c r="GK12" s="1494"/>
      <c r="GL12" s="1568"/>
      <c r="GM12" s="1568"/>
      <c r="GN12" s="1494"/>
      <c r="GO12" s="1494"/>
      <c r="GP12" s="1494"/>
      <c r="GQ12" s="1494"/>
      <c r="GR12" s="1494"/>
      <c r="GS12" s="1494"/>
      <c r="GT12" s="1494"/>
      <c r="GU12" s="1494"/>
      <c r="GV12" s="1494"/>
      <c r="GW12" s="1494"/>
      <c r="GX12" s="1494"/>
      <c r="GY12" s="1494"/>
      <c r="GZ12" s="1571"/>
      <c r="HA12" s="1571"/>
      <c r="HB12" s="1568"/>
      <c r="HC12" s="1494"/>
      <c r="HD12" s="1494"/>
      <c r="HE12" s="1494"/>
      <c r="HF12" s="1494"/>
      <c r="HG12" s="1494"/>
      <c r="HH12" s="1494"/>
      <c r="HI12" s="1494"/>
      <c r="HJ12" s="1494"/>
      <c r="HK12" s="1494"/>
      <c r="HL12" s="1494"/>
      <c r="HM12" s="1494"/>
      <c r="HN12" s="1494"/>
      <c r="HO12" s="1494"/>
      <c r="HP12" s="1494"/>
      <c r="HQ12" s="1494"/>
      <c r="HR12" s="1494"/>
      <c r="HS12" s="1494"/>
      <c r="HT12" s="1494"/>
      <c r="HU12" s="1494"/>
      <c r="HV12" s="1494"/>
      <c r="HW12" s="1494"/>
      <c r="HX12" s="1494"/>
      <c r="HY12" s="1494"/>
      <c r="HZ12" s="1494"/>
      <c r="IA12" s="1494"/>
      <c r="IB12" s="1494"/>
      <c r="IC12" s="1494"/>
      <c r="ID12" s="1494"/>
      <c r="IE12" s="1494"/>
      <c r="IF12" s="1494"/>
      <c r="IG12" s="1494"/>
      <c r="IH12" s="1494"/>
      <c r="II12" s="1494"/>
      <c r="IJ12" s="1494"/>
      <c r="IK12" s="1494"/>
      <c r="IL12" s="1494"/>
      <c r="IM12" s="1494"/>
      <c r="IN12" s="1494"/>
      <c r="IO12" s="1494"/>
      <c r="IP12" s="1494"/>
      <c r="IQ12" s="1494"/>
      <c r="IR12" s="1494"/>
      <c r="IS12" s="1494"/>
      <c r="IT12" s="1494"/>
      <c r="IU12" s="1494"/>
      <c r="IV12" s="1494"/>
      <c r="IW12" s="1494"/>
      <c r="IX12" s="1494"/>
      <c r="IY12" s="1494"/>
      <c r="IZ12" s="1494"/>
      <c r="JA12" s="1494"/>
      <c r="JB12" s="1494"/>
      <c r="JC12" s="1494"/>
      <c r="JD12" s="1494"/>
      <c r="JE12" s="1494"/>
      <c r="JF12" s="1494"/>
      <c r="JG12" s="1494"/>
      <c r="JH12" s="1494"/>
      <c r="JI12" s="1494"/>
      <c r="JJ12" s="1494"/>
      <c r="JK12" s="1494"/>
      <c r="JL12" s="1494"/>
      <c r="JM12" s="1494"/>
      <c r="JN12" s="1494"/>
      <c r="JO12" s="1494"/>
      <c r="JP12" s="1494"/>
      <c r="JQ12" s="1499"/>
      <c r="JR12" s="351"/>
      <c r="JS12" s="1400" t="s">
        <v>3492</v>
      </c>
      <c r="JT12" s="450" t="s">
        <v>2253</v>
      </c>
    </row>
    <row r="13" spans="1:280" ht="12.5" x14ac:dyDescent="0.25">
      <c r="A13" s="1367">
        <v>12</v>
      </c>
      <c r="B13" s="1411" t="str">
        <f t="shared" si="0"/>
        <v/>
      </c>
      <c r="C13" s="1435" t="s">
        <v>3499</v>
      </c>
      <c r="D13" s="1436" t="s">
        <v>3500</v>
      </c>
      <c r="E13" s="1361"/>
      <c r="F13" s="1361"/>
      <c r="G13" s="1361"/>
      <c r="H13" s="1361"/>
      <c r="I13" s="1361"/>
      <c r="J13" s="1361"/>
      <c r="K13" s="1361"/>
      <c r="L13" s="1361"/>
      <c r="M13" s="1361"/>
      <c r="N13" s="1494"/>
      <c r="O13" s="1494"/>
      <c r="P13" s="1494"/>
      <c r="Q13" s="1494"/>
      <c r="R13" s="1494"/>
      <c r="S13" s="1494"/>
      <c r="T13" s="1494"/>
      <c r="U13" s="1494"/>
      <c r="V13" s="1494"/>
      <c r="W13" s="1494"/>
      <c r="X13" s="1494"/>
      <c r="Y13" s="1494"/>
      <c r="Z13" s="1494"/>
      <c r="AA13" s="1494"/>
      <c r="AB13" s="1494"/>
      <c r="AC13" s="1494"/>
      <c r="AD13" s="1494"/>
      <c r="AE13" s="1494"/>
      <c r="AF13" s="1494"/>
      <c r="AG13" s="1494"/>
      <c r="AH13" s="1494"/>
      <c r="AI13" s="1494"/>
      <c r="AJ13" s="1494"/>
      <c r="AK13" s="1494"/>
      <c r="AL13" s="1494"/>
      <c r="AM13" s="1494"/>
      <c r="AN13" s="1494"/>
      <c r="AO13" s="1494"/>
      <c r="AP13" s="1494"/>
      <c r="AQ13" s="1494"/>
      <c r="AR13" s="1494"/>
      <c r="AS13" s="1494"/>
      <c r="AT13" s="1494"/>
      <c r="AU13" s="1494"/>
      <c r="AV13" s="1494"/>
      <c r="AW13" s="1494"/>
      <c r="AX13" s="1494"/>
      <c r="AY13" s="1494"/>
      <c r="AZ13" s="1494"/>
      <c r="BA13" s="1494"/>
      <c r="BB13" s="1494"/>
      <c r="BC13" s="1568"/>
      <c r="BD13" s="1568"/>
      <c r="BE13" s="1494"/>
      <c r="BF13" s="1494"/>
      <c r="BG13" s="1494"/>
      <c r="BH13" s="1494"/>
      <c r="BI13" s="1494"/>
      <c r="BJ13" s="1494"/>
      <c r="BK13" s="1494"/>
      <c r="BL13" s="1494"/>
      <c r="BM13" s="1494"/>
      <c r="BN13" s="1494"/>
      <c r="BO13" s="1494"/>
      <c r="BP13" s="1494"/>
      <c r="BQ13" s="1494"/>
      <c r="BR13" s="1494"/>
      <c r="BS13" s="1494"/>
      <c r="BT13" s="1494"/>
      <c r="BU13" s="1494"/>
      <c r="BV13" s="1494"/>
      <c r="BW13" s="1494"/>
      <c r="BX13" s="1494"/>
      <c r="BY13" s="1494"/>
      <c r="BZ13" s="1494"/>
      <c r="CA13" s="1494"/>
      <c r="CB13" s="1494"/>
      <c r="CC13" s="1494"/>
      <c r="CD13" s="1494"/>
      <c r="CE13" s="1494"/>
      <c r="CF13" s="1494"/>
      <c r="CG13" s="1494"/>
      <c r="CH13" s="1494"/>
      <c r="CI13" s="1568"/>
      <c r="CJ13" s="1494"/>
      <c r="CK13" s="1494"/>
      <c r="CL13" s="1494"/>
      <c r="CM13" s="1494"/>
      <c r="CN13" s="1494"/>
      <c r="CO13" s="1494"/>
      <c r="CP13" s="1494"/>
      <c r="CQ13" s="1494"/>
      <c r="CR13" s="1494"/>
      <c r="CS13" s="1494"/>
      <c r="CT13" s="1494"/>
      <c r="CU13" s="1494"/>
      <c r="CV13" s="1494"/>
      <c r="CW13" s="1568"/>
      <c r="CX13" s="1568"/>
      <c r="CY13" s="1494"/>
      <c r="CZ13" s="1494"/>
      <c r="DA13" s="1494"/>
      <c r="DB13" s="1494"/>
      <c r="DC13" s="1494"/>
      <c r="DD13" s="1568"/>
      <c r="DE13" s="1494"/>
      <c r="DF13" s="1494"/>
      <c r="DG13" s="1568"/>
      <c r="DH13" s="1494"/>
      <c r="DI13" s="1494"/>
      <c r="DJ13" s="1494"/>
      <c r="DK13" s="1494"/>
      <c r="DL13" s="1494"/>
      <c r="DM13" s="1568"/>
      <c r="DN13" s="1494"/>
      <c r="DO13" s="1494"/>
      <c r="DP13" s="1494"/>
      <c r="DQ13" s="1494"/>
      <c r="DR13" s="1494"/>
      <c r="DS13" s="1494"/>
      <c r="DT13" s="1494"/>
      <c r="DU13" s="1568"/>
      <c r="DV13" s="1494"/>
      <c r="DW13" s="1494"/>
      <c r="DX13" s="1494"/>
      <c r="DY13" s="1494"/>
      <c r="DZ13" s="1494"/>
      <c r="EA13" s="1494"/>
      <c r="EB13" s="1494"/>
      <c r="EC13" s="1494"/>
      <c r="ED13" s="1494"/>
      <c r="EE13" s="1494"/>
      <c r="EF13" s="1494"/>
      <c r="EG13" s="1494"/>
      <c r="EH13" s="1494"/>
      <c r="EI13" s="1494"/>
      <c r="EJ13" s="1494"/>
      <c r="EK13" s="1494"/>
      <c r="EL13" s="1494"/>
      <c r="EM13" s="1494"/>
      <c r="EN13" s="1494"/>
      <c r="EO13" s="1494"/>
      <c r="EP13" s="1494"/>
      <c r="EQ13" s="1494"/>
      <c r="ER13" s="1494"/>
      <c r="ES13" s="1494"/>
      <c r="ET13" s="1494"/>
      <c r="EU13" s="1494"/>
      <c r="EV13" s="1494"/>
      <c r="EW13" s="1494"/>
      <c r="EX13" s="1494"/>
      <c r="EY13" s="1494"/>
      <c r="EZ13" s="1494"/>
      <c r="FA13" s="1494"/>
      <c r="FB13" s="1494"/>
      <c r="FC13" s="1494"/>
      <c r="FD13" s="1494"/>
      <c r="FE13" s="1494"/>
      <c r="FF13" s="1494"/>
      <c r="FG13" s="1494"/>
      <c r="FH13" s="1494"/>
      <c r="FI13" s="1494"/>
      <c r="FJ13" s="1494"/>
      <c r="FK13" s="1494"/>
      <c r="FL13" s="1494"/>
      <c r="FM13" s="1494"/>
      <c r="FN13" s="1494"/>
      <c r="FO13" s="1494"/>
      <c r="FP13" s="1494"/>
      <c r="FQ13" s="1494"/>
      <c r="FR13" s="1494"/>
      <c r="FS13" s="1494"/>
      <c r="FT13" s="1494"/>
      <c r="FU13" s="1494"/>
      <c r="FV13" s="1494"/>
      <c r="FW13" s="1494"/>
      <c r="FX13" s="1494"/>
      <c r="FY13" s="1494"/>
      <c r="FZ13" s="1494"/>
      <c r="GA13" s="1494"/>
      <c r="GB13" s="1494"/>
      <c r="GC13" s="1494"/>
      <c r="GD13" s="1494"/>
      <c r="GE13" s="1494"/>
      <c r="GF13" s="1494"/>
      <c r="GG13" s="1494"/>
      <c r="GH13" s="1494"/>
      <c r="GI13" s="1494"/>
      <c r="GJ13" s="1494"/>
      <c r="GK13" s="1494"/>
      <c r="GL13" s="1568"/>
      <c r="GM13" s="1568"/>
      <c r="GN13" s="1494"/>
      <c r="GO13" s="1494"/>
      <c r="GP13" s="1494"/>
      <c r="GQ13" s="1494"/>
      <c r="GR13" s="1494"/>
      <c r="GS13" s="1494"/>
      <c r="GT13" s="1494"/>
      <c r="GU13" s="1494"/>
      <c r="GV13" s="1494"/>
      <c r="GW13" s="1494"/>
      <c r="GX13" s="1494"/>
      <c r="GY13" s="1494"/>
      <c r="GZ13" s="1571"/>
      <c r="HA13" s="1571"/>
      <c r="HB13" s="1568"/>
      <c r="HC13" s="1494"/>
      <c r="HD13" s="1494"/>
      <c r="HE13" s="1494"/>
      <c r="HF13" s="1494"/>
      <c r="HG13" s="1494"/>
      <c r="HH13" s="1494"/>
      <c r="HI13" s="1494"/>
      <c r="HJ13" s="1494"/>
      <c r="HK13" s="1494"/>
      <c r="HL13" s="1494"/>
      <c r="HM13" s="1494"/>
      <c r="HN13" s="1494"/>
      <c r="HO13" s="1494"/>
      <c r="HP13" s="1494"/>
      <c r="HQ13" s="1494"/>
      <c r="HR13" s="1494"/>
      <c r="HS13" s="1494"/>
      <c r="HT13" s="1494"/>
      <c r="HU13" s="1494"/>
      <c r="HV13" s="1494"/>
      <c r="HW13" s="1494"/>
      <c r="HX13" s="1494"/>
      <c r="HY13" s="1494"/>
      <c r="HZ13" s="1494"/>
      <c r="IA13" s="1494"/>
      <c r="IB13" s="1494"/>
      <c r="IC13" s="1494"/>
      <c r="ID13" s="1494"/>
      <c r="IE13" s="1494"/>
      <c r="IF13" s="1494"/>
      <c r="IG13" s="1494"/>
      <c r="IH13" s="1494"/>
      <c r="II13" s="1494"/>
      <c r="IJ13" s="1494"/>
      <c r="IK13" s="1494"/>
      <c r="IL13" s="1494"/>
      <c r="IM13" s="1494"/>
      <c r="IN13" s="1494"/>
      <c r="IO13" s="1494"/>
      <c r="IP13" s="1494"/>
      <c r="IQ13" s="1494"/>
      <c r="IR13" s="1494"/>
      <c r="IS13" s="1494"/>
      <c r="IT13" s="1494"/>
      <c r="IU13" s="1494"/>
      <c r="IV13" s="1494"/>
      <c r="IW13" s="1494"/>
      <c r="IX13" s="1494"/>
      <c r="IY13" s="1494"/>
      <c r="IZ13" s="1494"/>
      <c r="JA13" s="1494"/>
      <c r="JB13" s="1494"/>
      <c r="JC13" s="1494"/>
      <c r="JD13" s="1494"/>
      <c r="JE13" s="1494"/>
      <c r="JF13" s="1494"/>
      <c r="JG13" s="1494"/>
      <c r="JH13" s="1494"/>
      <c r="JI13" s="1494"/>
      <c r="JJ13" s="1494"/>
      <c r="JK13" s="1494"/>
      <c r="JL13" s="1494"/>
      <c r="JM13" s="1494"/>
      <c r="JN13" s="1494"/>
      <c r="JO13" s="1494"/>
      <c r="JP13" s="1494"/>
      <c r="JQ13" s="1499"/>
      <c r="JR13" s="351"/>
      <c r="JS13" s="1400" t="s">
        <v>3492</v>
      </c>
      <c r="JT13" s="450" t="s">
        <v>2242</v>
      </c>
    </row>
    <row r="14" spans="1:280" ht="70" x14ac:dyDescent="0.25">
      <c r="A14" s="1367">
        <v>13</v>
      </c>
      <c r="B14" s="1411" t="str">
        <f t="shared" si="0"/>
        <v/>
      </c>
      <c r="C14" s="1435" t="s">
        <v>3501</v>
      </c>
      <c r="D14" s="1436" t="s">
        <v>3502</v>
      </c>
      <c r="E14" s="1563"/>
      <c r="F14" s="1563"/>
      <c r="G14" s="1563"/>
      <c r="H14" s="1563"/>
      <c r="I14" s="1563"/>
      <c r="J14" s="1563"/>
      <c r="K14" s="1563"/>
      <c r="L14" s="1563"/>
      <c r="M14" s="1563"/>
      <c r="N14" s="1563"/>
      <c r="O14" s="1563"/>
      <c r="P14" s="1563"/>
      <c r="Q14" s="1563"/>
      <c r="R14" s="1563"/>
      <c r="S14" s="1563"/>
      <c r="T14" s="1563"/>
      <c r="U14" s="1563"/>
      <c r="V14" s="1563"/>
      <c r="W14" s="1563"/>
      <c r="X14" s="1563"/>
      <c r="Y14" s="1563"/>
      <c r="Z14" s="1563"/>
      <c r="AA14" s="1563"/>
      <c r="AB14" s="1563"/>
      <c r="AC14" s="1563"/>
      <c r="AD14" s="1563"/>
      <c r="AE14" s="1563"/>
      <c r="AF14" s="1563"/>
      <c r="AG14" s="1563"/>
      <c r="AH14" s="1563"/>
      <c r="AI14" s="1563"/>
      <c r="AJ14" s="1563"/>
      <c r="AK14" s="1563"/>
      <c r="AL14" s="1563"/>
      <c r="AM14" s="1563"/>
      <c r="AN14" s="1563"/>
      <c r="AO14" s="1563"/>
      <c r="AP14" s="1563"/>
      <c r="AQ14" s="1563"/>
      <c r="AR14" s="1563"/>
      <c r="AS14" s="1563"/>
      <c r="AT14" s="1563"/>
      <c r="AU14" s="1563"/>
      <c r="AV14" s="1563"/>
      <c r="AW14" s="1563"/>
      <c r="AX14" s="1563"/>
      <c r="AY14" s="1563"/>
      <c r="AZ14" s="1563"/>
      <c r="BA14" s="1563"/>
      <c r="BB14" s="1563"/>
      <c r="BC14" s="1563">
        <f>IF(BC9+BC10+BC11+BC12-(BC13)&gt;0,BC9+BC10+BC11+BC12-(BC13),BC12)</f>
        <v>1080</v>
      </c>
      <c r="BD14" s="1563">
        <f>IF(BD9+BD10+BD11+BD12-(BD13)&gt;0,BD9+BD10+BD11+BD12-(BD13),BD12)</f>
        <v>1657</v>
      </c>
      <c r="BE14" s="1563"/>
      <c r="BF14" s="1563"/>
      <c r="BG14" s="1563"/>
      <c r="BH14" s="1563"/>
      <c r="BI14" s="1563"/>
      <c r="BJ14" s="1563" t="s">
        <v>3503</v>
      </c>
      <c r="BK14" s="1563"/>
      <c r="BL14" s="1563"/>
      <c r="BM14" s="1563"/>
      <c r="BN14" s="1563"/>
      <c r="BO14" s="1563"/>
      <c r="BP14" s="1563"/>
      <c r="BQ14" s="1563"/>
      <c r="BR14" s="1563"/>
      <c r="BS14" s="1563"/>
      <c r="BT14" s="1563"/>
      <c r="BU14" s="1563"/>
      <c r="BV14" s="1563"/>
      <c r="BW14" s="1563"/>
      <c r="BX14" s="1563"/>
      <c r="BY14" s="1563"/>
      <c r="BZ14" s="1563"/>
      <c r="CA14" s="1563"/>
      <c r="CB14" s="1563"/>
      <c r="CC14" s="1563"/>
      <c r="CD14" s="1563"/>
      <c r="CE14" s="1563"/>
      <c r="CF14" s="1563"/>
      <c r="CG14" s="1563"/>
      <c r="CH14" s="1563"/>
      <c r="CI14" s="1563">
        <f>IF(CI9+CI10+CI11+CI12-(CI13)&gt;0,CI9+CI10+CI11+CI12-(CI13),CI12)</f>
        <v>6745</v>
      </c>
      <c r="CJ14" s="1563"/>
      <c r="CK14" s="1563"/>
      <c r="CL14" s="1563"/>
      <c r="CM14" s="1563"/>
      <c r="CN14" s="1563"/>
      <c r="CO14" s="1563"/>
      <c r="CP14" s="1563"/>
      <c r="CQ14" s="1563"/>
      <c r="CR14" s="1563"/>
      <c r="CS14" s="1563"/>
      <c r="CT14" s="1563"/>
      <c r="CU14" s="1563"/>
      <c r="CV14" s="1563"/>
      <c r="CW14" s="1563">
        <f>IF(CW9+CW10+CW11+CW12-(CW13)&gt;0,CW9+CW10+CW11+CW12-(CW13),CW12)</f>
        <v>80512</v>
      </c>
      <c r="CX14" s="1563">
        <f>IF(CX9+CX10+CX11+CX12-(CX13)&gt;0,CX9+CX10+CX11+CX12-(CX13),CX12)</f>
        <v>0</v>
      </c>
      <c r="CY14" s="1563"/>
      <c r="CZ14" s="1563"/>
      <c r="DA14" s="1563"/>
      <c r="DB14" s="1563"/>
      <c r="DC14" s="1563"/>
      <c r="DD14" s="1563">
        <f>IF(DD9+DD10+DD11+DD12-(DD13)&gt;0,DD9+DD10+DD11+DD12-(DD13),DD12)</f>
        <v>6745</v>
      </c>
      <c r="DE14" s="1563"/>
      <c r="DF14" s="1563"/>
      <c r="DG14" s="1572">
        <f>IF(DG9+DG10+DG11+DG12-(DG13)&gt;0,DG9+DG10+DG11+DG12-(DG13),DG12)</f>
        <v>39001</v>
      </c>
      <c r="DH14" s="1563"/>
      <c r="DI14" s="1563"/>
      <c r="DJ14" s="1563"/>
      <c r="DK14" s="1563"/>
      <c r="DL14" s="1563"/>
      <c r="DM14" s="1572">
        <f t="shared" ref="DM14:DU14" si="1">IF(DM9+DM10+DM11+DM12-(DM13)&gt;0,DM9+DM10+DM11+DM12-(DM13),DM12)</f>
        <v>6745</v>
      </c>
      <c r="DN14" s="1563"/>
      <c r="DO14" s="1572">
        <f t="shared" si="1"/>
        <v>18115</v>
      </c>
      <c r="DP14" s="1563"/>
      <c r="DQ14" s="1563"/>
      <c r="DR14" s="1563"/>
      <c r="DS14" s="1572">
        <f t="shared" si="1"/>
        <v>18115</v>
      </c>
      <c r="DT14" s="1563"/>
      <c r="DU14" s="1572">
        <f t="shared" si="1"/>
        <v>6745</v>
      </c>
      <c r="DV14" s="1563"/>
      <c r="DW14" s="1572">
        <f>IF(DW9+DW10+DW11+DW12-(DW13)&gt;0,DW9+DW10+DW11+DW12-(DW13),DW12)</f>
        <v>10792</v>
      </c>
      <c r="DX14" s="1563"/>
      <c r="DY14" s="1563"/>
      <c r="DZ14" s="1563"/>
      <c r="EA14" s="1563"/>
      <c r="EB14" s="1563"/>
      <c r="EC14" s="1563"/>
      <c r="ED14" s="1563"/>
      <c r="EE14" s="1563"/>
      <c r="EF14" s="1563"/>
      <c r="EG14" s="1563"/>
      <c r="EH14" s="1563"/>
      <c r="EI14" s="1563"/>
      <c r="EJ14" s="1563">
        <f>IF(EJ9+EJ10+EJ11+EJ12-(EJ13)&gt;0,EJ9+EJ10+EJ11+EJ12-(EJ13),EJ12)</f>
        <v>20095</v>
      </c>
      <c r="EK14" s="1563">
        <f>IF(EK9+EK10+EK11+EK12-(EK13)&gt;0,EK9+EK10+EK11+EK12-(EK13),EK12)</f>
        <v>16757</v>
      </c>
      <c r="EL14" s="1563"/>
      <c r="EM14" s="1572">
        <f>IF(EM9+EM10+EM11+EM12-(EM13)&gt;0,EM9+EM10+EM11+EM12-(EM13),EM12)</f>
        <v>64204</v>
      </c>
      <c r="EN14" s="1563"/>
      <c r="EO14" s="1563"/>
      <c r="EP14" s="1563"/>
      <c r="EQ14" s="1563"/>
      <c r="ER14" s="1563"/>
      <c r="ES14" s="1563"/>
      <c r="ET14" s="1563"/>
      <c r="EU14" s="1563"/>
      <c r="EV14" s="1563"/>
      <c r="EW14" s="1563"/>
      <c r="EX14" s="1563"/>
      <c r="EY14" s="1563"/>
      <c r="EZ14" s="1563"/>
      <c r="FA14" s="1563"/>
      <c r="FB14" s="1563"/>
      <c r="FC14" s="1563"/>
      <c r="FD14" s="1572"/>
      <c r="FE14" s="1563"/>
      <c r="FF14" s="1572"/>
      <c r="FG14" s="1563"/>
      <c r="FH14" s="1563"/>
      <c r="FI14" s="1563">
        <f>IF(FI9+FI10+FI11+FI12-(FI13)&gt;0,FI9+FI10+FI11+FI12-(FI13),FI12)</f>
        <v>2376</v>
      </c>
      <c r="FJ14" s="1563">
        <f>IF(FJ9+FJ10+FJ11+FJ12-(FJ13)&gt;0,FJ9+FJ10+FJ11+FJ12-(FJ13),FJ12)</f>
        <v>13296</v>
      </c>
      <c r="FK14" s="1563"/>
      <c r="FL14" s="1563"/>
      <c r="FM14" s="1563"/>
      <c r="FN14" s="1563"/>
      <c r="FO14" s="1563"/>
      <c r="FP14" s="1563"/>
      <c r="FQ14" s="1563"/>
      <c r="FR14" s="1563"/>
      <c r="FS14" s="1563"/>
      <c r="FT14" s="1563"/>
      <c r="FU14" s="1563"/>
      <c r="FV14" s="1563"/>
      <c r="FW14" s="1563"/>
      <c r="FX14" s="1563"/>
      <c r="FY14" s="1563"/>
      <c r="FZ14" s="1563"/>
      <c r="GA14" s="1563"/>
      <c r="GB14" s="1563"/>
      <c r="GC14" s="1563"/>
      <c r="GD14" s="1563"/>
      <c r="GE14" s="1563"/>
      <c r="GF14" s="1563"/>
      <c r="GG14" s="1563"/>
      <c r="GH14" s="1563"/>
      <c r="GI14" s="1563"/>
      <c r="GJ14" s="1563"/>
      <c r="GK14" s="1563"/>
      <c r="GL14" s="1563">
        <f>IF(GL9+GL10+GL11+GL12-(GL13)&gt;0,GL9+GL10+GL11+GL12-(GL13),GL12)</f>
        <v>80512</v>
      </c>
      <c r="GM14" s="1563">
        <f>IF(GM9+GM10+GM11+GM12-(GM13)&gt;0,GM9+GM10+GM11+GM12-(GM13),GM12)</f>
        <v>80512</v>
      </c>
      <c r="GN14" s="1563"/>
      <c r="GO14" s="1563"/>
      <c r="GP14" s="1563"/>
      <c r="GQ14" s="1563"/>
      <c r="GR14" s="1563"/>
      <c r="GS14" s="1563"/>
      <c r="GT14" s="1563"/>
      <c r="GU14" s="1563"/>
      <c r="GV14" s="1563"/>
      <c r="GW14" s="1563"/>
      <c r="GX14" s="1563"/>
      <c r="GY14" s="1563"/>
      <c r="GZ14" s="1563">
        <f>IF(GZ9+GZ10+GZ11+GZ12-(GZ13)&gt;0,GZ9+GZ10+GZ11+GZ12-(GZ13),GZ12)</f>
        <v>0</v>
      </c>
      <c r="HA14" s="1563">
        <f t="shared" ref="HA14:HB14" si="2">IF(HA9+HA10+HA11+HA12-(HA13)&gt;0,HA9+HA10+HA11+HA12-(HA13),HA12)</f>
        <v>0</v>
      </c>
      <c r="HB14" s="1563">
        <f t="shared" si="2"/>
        <v>0</v>
      </c>
      <c r="HC14" s="1563"/>
      <c r="HD14" s="1563"/>
      <c r="HE14" s="1563"/>
      <c r="HF14" s="1563"/>
      <c r="HG14" s="1563"/>
      <c r="HH14" s="1563"/>
      <c r="HI14" s="1563"/>
      <c r="HJ14" s="1563"/>
      <c r="HK14" s="1563"/>
      <c r="HL14" s="1563"/>
      <c r="HM14" s="1572">
        <f>IF(HM9+HM10+HM11+HM12-(HM13)&gt;0,HM9+HM10+HM11+HM12-(HM13),HM12)</f>
        <v>937</v>
      </c>
      <c r="HN14" s="1563"/>
      <c r="HO14" s="1563"/>
      <c r="HP14" s="1563"/>
      <c r="HQ14" s="1563"/>
      <c r="HR14" s="1563"/>
      <c r="HS14" s="1563"/>
      <c r="HT14" s="1563"/>
      <c r="HU14" s="1563"/>
      <c r="HV14" s="1563">
        <f>IF(HV9+HV10+HV11+HV12-(HV13)&gt;0,HV9+HV10+HV11+HV12-(HV13),HV12)</f>
        <v>0</v>
      </c>
      <c r="HW14" s="1563"/>
      <c r="HX14" s="1563"/>
      <c r="HY14" s="1563">
        <f>IF(HY9+HY10+HY11+HY12-(HY13)&gt;0,HY9+HY10+HY11+HY12-(HY13),HY12)</f>
        <v>0</v>
      </c>
      <c r="HZ14" s="1563"/>
      <c r="IA14" s="1563"/>
      <c r="IB14" s="1563"/>
      <c r="IC14" s="1563"/>
      <c r="ID14" s="1563"/>
      <c r="IE14" s="1563">
        <f>IF(IE9+IE10+IE11+IE12-(IE13)&gt;0,IE9+IE10+IE11+IE12-(IE13),IE12)</f>
        <v>26599</v>
      </c>
      <c r="IF14" s="1563"/>
      <c r="IG14" s="1563"/>
      <c r="IH14" s="1563"/>
      <c r="II14" s="1563"/>
      <c r="IJ14" s="1563"/>
      <c r="IK14" s="1563"/>
      <c r="IL14" s="1563"/>
      <c r="IM14" s="1563"/>
      <c r="IN14" s="1563"/>
      <c r="IO14" s="1563"/>
      <c r="IP14" s="1563"/>
      <c r="IQ14" s="1563"/>
      <c r="IR14" s="1563"/>
      <c r="IS14" s="1563"/>
      <c r="IT14" s="1563"/>
      <c r="IU14" s="1563"/>
      <c r="IV14" s="1563"/>
      <c r="IW14" s="1572">
        <f>IF(IW9+IW10+IW11+IW12-(IW13)&gt;0,IW9+IW10+IW11+IW12-(IW13),IW12)</f>
        <v>164.05</v>
      </c>
      <c r="IX14" s="1563"/>
      <c r="IY14" s="1563">
        <f>IF(IY9+IY10+IY11+IY12-(IY13)&gt;0,IY9+IY10+IY11+IY12-(IY13),IY12)</f>
        <v>46471</v>
      </c>
      <c r="IZ14" s="1563"/>
      <c r="JA14" s="1563"/>
      <c r="JB14" s="1563"/>
      <c r="JC14" s="1563"/>
      <c r="JD14" s="1563"/>
      <c r="JE14" s="1563"/>
      <c r="JF14" s="1563"/>
      <c r="JG14" s="1563"/>
      <c r="JH14" s="1563"/>
      <c r="JI14" s="1563"/>
      <c r="JJ14" s="1563"/>
      <c r="JK14" s="1563"/>
      <c r="JL14" s="1563"/>
      <c r="JM14" s="1563"/>
      <c r="JN14" s="1563"/>
      <c r="JO14" s="1563"/>
      <c r="JP14" s="1563"/>
      <c r="JQ14" s="1563"/>
      <c r="JR14" s="351"/>
      <c r="JS14" s="1400" t="s">
        <v>3504</v>
      </c>
      <c r="JT14" s="450" t="s">
        <v>2224</v>
      </c>
    </row>
    <row r="15" spans="1:280" ht="12.5" x14ac:dyDescent="0.25">
      <c r="A15" s="1367">
        <v>14</v>
      </c>
      <c r="B15" s="1411" t="str">
        <f t="shared" si="0"/>
        <v/>
      </c>
      <c r="C15" s="1435" t="s">
        <v>3505</v>
      </c>
      <c r="D15" s="1436" t="s">
        <v>3506</v>
      </c>
      <c r="E15" s="1361"/>
      <c r="F15" s="1361"/>
      <c r="G15" s="1361"/>
      <c r="H15" s="1361"/>
      <c r="I15" s="1361"/>
      <c r="J15" s="1361"/>
      <c r="K15" s="1361"/>
      <c r="L15" s="1361"/>
      <c r="M15" s="1361"/>
      <c r="N15" s="1494"/>
      <c r="O15" s="1494"/>
      <c r="P15" s="1494"/>
      <c r="Q15" s="1494"/>
      <c r="R15" s="1494"/>
      <c r="S15" s="1494"/>
      <c r="T15" s="1494"/>
      <c r="U15" s="1494"/>
      <c r="V15" s="1494"/>
      <c r="W15" s="1494"/>
      <c r="X15" s="1494"/>
      <c r="Y15" s="1494"/>
      <c r="Z15" s="1494"/>
      <c r="AA15" s="1494"/>
      <c r="AB15" s="1494"/>
      <c r="AC15" s="1494"/>
      <c r="AD15" s="1494"/>
      <c r="AE15" s="1494"/>
      <c r="AF15" s="1494"/>
      <c r="AG15" s="1494"/>
      <c r="AH15" s="1494"/>
      <c r="AI15" s="1494"/>
      <c r="AJ15" s="1494"/>
      <c r="AK15" s="1494"/>
      <c r="AL15" s="1494"/>
      <c r="AM15" s="1494"/>
      <c r="AN15" s="1494"/>
      <c r="AO15" s="1494"/>
      <c r="AP15" s="1494"/>
      <c r="AQ15" s="1494"/>
      <c r="AR15" s="1494"/>
      <c r="AS15" s="1494"/>
      <c r="AT15" s="1494"/>
      <c r="AU15" s="1494"/>
      <c r="AV15" s="1494"/>
      <c r="AW15" s="1494"/>
      <c r="AX15" s="1494"/>
      <c r="AY15" s="1494"/>
      <c r="AZ15" s="1494"/>
      <c r="BA15" s="1494"/>
      <c r="BB15" s="1494"/>
      <c r="BC15" s="1568"/>
      <c r="BD15" s="1568"/>
      <c r="BE15" s="1494"/>
      <c r="BF15" s="1494"/>
      <c r="BG15" s="1494"/>
      <c r="BH15" s="1494"/>
      <c r="BI15" s="1494"/>
      <c r="BJ15" s="1494"/>
      <c r="BK15" s="1494"/>
      <c r="BL15" s="1494"/>
      <c r="BM15" s="1494"/>
      <c r="BN15" s="1494"/>
      <c r="BO15" s="1494"/>
      <c r="BP15" s="1494"/>
      <c r="BQ15" s="1494"/>
      <c r="BR15" s="1494"/>
      <c r="BS15" s="1494"/>
      <c r="BT15" s="1494"/>
      <c r="BU15" s="1494"/>
      <c r="BV15" s="1494"/>
      <c r="BW15" s="1494"/>
      <c r="BX15" s="1494"/>
      <c r="BY15" s="1494"/>
      <c r="BZ15" s="1494"/>
      <c r="CA15" s="1494"/>
      <c r="CB15" s="1494"/>
      <c r="CC15" s="1494"/>
      <c r="CD15" s="1494"/>
      <c r="CE15" s="1494"/>
      <c r="CF15" s="1494"/>
      <c r="CG15" s="1494"/>
      <c r="CH15" s="1494"/>
      <c r="CI15" s="1568"/>
      <c r="CJ15" s="1494"/>
      <c r="CK15" s="1494"/>
      <c r="CL15" s="1494"/>
      <c r="CM15" s="1494"/>
      <c r="CN15" s="1494"/>
      <c r="CO15" s="1494"/>
      <c r="CP15" s="1494"/>
      <c r="CQ15" s="1494"/>
      <c r="CR15" s="1494"/>
      <c r="CS15" s="1494"/>
      <c r="CT15" s="1494"/>
      <c r="CU15" s="1494"/>
      <c r="CV15" s="1494"/>
      <c r="CW15" s="1568">
        <v>15625</v>
      </c>
      <c r="CX15" s="1568"/>
      <c r="CY15" s="1494"/>
      <c r="CZ15" s="1494"/>
      <c r="DA15" s="1494"/>
      <c r="DB15" s="1494"/>
      <c r="DC15" s="1494"/>
      <c r="DD15" s="1568"/>
      <c r="DE15" s="1494"/>
      <c r="DF15" s="1494"/>
      <c r="DG15" s="1568"/>
      <c r="DH15" s="1494"/>
      <c r="DI15" s="1494"/>
      <c r="DJ15" s="1494"/>
      <c r="DK15" s="1494"/>
      <c r="DL15" s="1494"/>
      <c r="DM15" s="1494"/>
      <c r="DN15" s="1494"/>
      <c r="DO15" s="1494"/>
      <c r="DP15" s="1494"/>
      <c r="DQ15" s="1494"/>
      <c r="DR15" s="1494"/>
      <c r="DS15" s="1494"/>
      <c r="DT15" s="1494"/>
      <c r="DU15" s="1494"/>
      <c r="DV15" s="1494"/>
      <c r="DW15" s="1494"/>
      <c r="DX15" s="1494"/>
      <c r="DY15" s="1494"/>
      <c r="DZ15" s="1494"/>
      <c r="EA15" s="1494"/>
      <c r="EB15" s="1494"/>
      <c r="EC15" s="1494"/>
      <c r="ED15" s="1494"/>
      <c r="EE15" s="1494"/>
      <c r="EF15" s="1494"/>
      <c r="EG15" s="1494"/>
      <c r="EH15" s="1494"/>
      <c r="EI15" s="1494"/>
      <c r="EJ15" s="1494"/>
      <c r="EK15" s="1494"/>
      <c r="EL15" s="1494"/>
      <c r="EM15" s="1494"/>
      <c r="EN15" s="1494"/>
      <c r="EO15" s="1494"/>
      <c r="EP15" s="1494"/>
      <c r="EQ15" s="1494"/>
      <c r="ER15" s="1494"/>
      <c r="ES15" s="1494"/>
      <c r="ET15" s="1494"/>
      <c r="EU15" s="1494"/>
      <c r="EV15" s="1494"/>
      <c r="EW15" s="1494"/>
      <c r="EX15" s="1573"/>
      <c r="EY15" s="1494"/>
      <c r="EZ15" s="1494"/>
      <c r="FA15" s="1494"/>
      <c r="FB15" s="1494"/>
      <c r="FC15" s="1494"/>
      <c r="FD15" s="1568"/>
      <c r="FE15" s="1494"/>
      <c r="FF15" s="1568"/>
      <c r="FG15" s="1494"/>
      <c r="FH15" s="1494"/>
      <c r="FI15" s="1494"/>
      <c r="FJ15" s="1494"/>
      <c r="FK15" s="1494"/>
      <c r="FL15" s="1494"/>
      <c r="FM15" s="1494"/>
      <c r="FN15" s="1494"/>
      <c r="FO15" s="1494"/>
      <c r="FP15" s="1494"/>
      <c r="FQ15" s="1494"/>
      <c r="FR15" s="1494"/>
      <c r="FS15" s="1494"/>
      <c r="FT15" s="1494"/>
      <c r="FU15" s="1494"/>
      <c r="FV15" s="1494"/>
      <c r="FW15" s="1494"/>
      <c r="FX15" s="1494"/>
      <c r="FY15" s="1494"/>
      <c r="FZ15" s="1494"/>
      <c r="GA15" s="1494"/>
      <c r="GB15" s="1494"/>
      <c r="GC15" s="1494"/>
      <c r="GD15" s="1494"/>
      <c r="GE15" s="1494"/>
      <c r="GF15" s="1494"/>
      <c r="GG15" s="1494"/>
      <c r="GH15" s="1494"/>
      <c r="GI15" s="1494"/>
      <c r="GJ15" s="1494"/>
      <c r="GK15" s="1494"/>
      <c r="GL15" s="1494">
        <v>15625</v>
      </c>
      <c r="GM15" s="1494">
        <v>15625</v>
      </c>
      <c r="GN15" s="1494"/>
      <c r="GO15" s="1494"/>
      <c r="GP15" s="1494"/>
      <c r="GQ15" s="1494"/>
      <c r="GR15" s="1494"/>
      <c r="GS15" s="1494"/>
      <c r="GT15" s="1494"/>
      <c r="GU15" s="1494"/>
      <c r="GV15" s="1494"/>
      <c r="GW15" s="1494"/>
      <c r="GX15" s="1494"/>
      <c r="GY15" s="1494"/>
      <c r="GZ15" s="1494"/>
      <c r="HA15" s="1494"/>
      <c r="HB15" s="1494"/>
      <c r="HC15" s="1494"/>
      <c r="HD15" s="1494"/>
      <c r="HE15" s="1494"/>
      <c r="HF15" s="1494"/>
      <c r="HG15" s="1494"/>
      <c r="HH15" s="1494"/>
      <c r="HI15" s="1494"/>
      <c r="HJ15" s="1494"/>
      <c r="HK15" s="1494"/>
      <c r="HL15" s="1494"/>
      <c r="HM15" s="1494"/>
      <c r="HN15" s="1494"/>
      <c r="HO15" s="1494"/>
      <c r="HP15" s="1494"/>
      <c r="HQ15" s="1494"/>
      <c r="HR15" s="1494"/>
      <c r="HS15" s="1494"/>
      <c r="HT15" s="1494"/>
      <c r="HU15" s="1494"/>
      <c r="HV15" s="1494"/>
      <c r="HW15" s="1494"/>
      <c r="HX15" s="1494"/>
      <c r="HY15" s="1494"/>
      <c r="HZ15" s="1494"/>
      <c r="IA15" s="1494"/>
      <c r="IB15" s="1494"/>
      <c r="IC15" s="1494"/>
      <c r="ID15" s="1494"/>
      <c r="IE15" s="1494"/>
      <c r="IF15" s="1494"/>
      <c r="IG15" s="1494"/>
      <c r="IH15" s="1494"/>
      <c r="II15" s="1494"/>
      <c r="IJ15" s="1494"/>
      <c r="IK15" s="1494"/>
      <c r="IL15" s="1494"/>
      <c r="IM15" s="1494"/>
      <c r="IN15" s="1494"/>
      <c r="IO15" s="1494"/>
      <c r="IP15" s="1494"/>
      <c r="IQ15" s="1494"/>
      <c r="IR15" s="1494"/>
      <c r="IS15" s="1494"/>
      <c r="IT15" s="1494"/>
      <c r="IU15" s="1494"/>
      <c r="IV15" s="1494"/>
      <c r="IW15" s="1494"/>
      <c r="IX15" s="1494"/>
      <c r="IY15" s="1494"/>
      <c r="IZ15" s="1494"/>
      <c r="JA15" s="1494"/>
      <c r="JB15" s="1494"/>
      <c r="JC15" s="1494"/>
      <c r="JD15" s="1494"/>
      <c r="JE15" s="1494"/>
      <c r="JF15" s="1494"/>
      <c r="JG15" s="1494"/>
      <c r="JH15" s="1494"/>
      <c r="JI15" s="1494"/>
      <c r="JJ15" s="1494"/>
      <c r="JK15" s="1494"/>
      <c r="JL15" s="1494"/>
      <c r="JM15" s="1494"/>
      <c r="JN15" s="1494"/>
      <c r="JO15" s="1494"/>
      <c r="JP15" s="1494"/>
      <c r="JQ15" s="1494"/>
      <c r="JR15" s="351"/>
      <c r="JS15" s="1400" t="s">
        <v>3507</v>
      </c>
      <c r="JT15" s="450" t="s">
        <v>2242</v>
      </c>
    </row>
    <row r="16" spans="1:280" ht="12.5" x14ac:dyDescent="0.25">
      <c r="A16" s="1367">
        <v>15</v>
      </c>
      <c r="B16" s="1411" t="str">
        <f t="shared" si="0"/>
        <v/>
      </c>
      <c r="C16" s="1435" t="s">
        <v>3508</v>
      </c>
      <c r="D16" s="1436" t="s">
        <v>3509</v>
      </c>
      <c r="E16" s="1563"/>
      <c r="F16" s="1563"/>
      <c r="G16" s="1563"/>
      <c r="H16" s="1563"/>
      <c r="I16" s="1563"/>
      <c r="J16" s="1563"/>
      <c r="K16" s="1563"/>
      <c r="L16" s="1563"/>
      <c r="M16" s="1563"/>
      <c r="N16" s="1563"/>
      <c r="O16" s="1563"/>
      <c r="P16" s="1563"/>
      <c r="Q16" s="1563"/>
      <c r="R16" s="1563"/>
      <c r="S16" s="1563"/>
      <c r="T16" s="1563"/>
      <c r="U16" s="1563"/>
      <c r="V16" s="1563"/>
      <c r="W16" s="1563"/>
      <c r="X16" s="1563"/>
      <c r="Y16" s="1563"/>
      <c r="Z16" s="1563"/>
      <c r="AA16" s="1563"/>
      <c r="AB16" s="1563"/>
      <c r="AC16" s="1563"/>
      <c r="AD16" s="1563"/>
      <c r="AE16" s="1563"/>
      <c r="AF16" s="1563"/>
      <c r="AG16" s="1563"/>
      <c r="AH16" s="1563"/>
      <c r="AI16" s="1563"/>
      <c r="AJ16" s="1563"/>
      <c r="AK16" s="1563"/>
      <c r="AL16" s="1563"/>
      <c r="AM16" s="1563"/>
      <c r="AN16" s="1563"/>
      <c r="AO16" s="1563"/>
      <c r="AP16" s="1563"/>
      <c r="AQ16" s="1563"/>
      <c r="AR16" s="1563"/>
      <c r="AS16" s="1563"/>
      <c r="AT16" s="1563"/>
      <c r="AU16" s="1563"/>
      <c r="AV16" s="1563"/>
      <c r="AW16" s="1563"/>
      <c r="AX16" s="1563"/>
      <c r="AY16" s="1563"/>
      <c r="AZ16" s="1563"/>
      <c r="BA16" s="1563"/>
      <c r="BB16" s="1563"/>
      <c r="BC16" s="1563">
        <f>MAX(0,BC14-BC15)</f>
        <v>1080</v>
      </c>
      <c r="BD16" s="1563">
        <f>MAX(0,BD14-BD15)</f>
        <v>1657</v>
      </c>
      <c r="BE16" s="1563"/>
      <c r="BF16" s="1563"/>
      <c r="BG16" s="1563"/>
      <c r="BH16" s="1563"/>
      <c r="BI16" s="1563"/>
      <c r="BJ16" s="1563"/>
      <c r="BK16" s="1563"/>
      <c r="BL16" s="1563"/>
      <c r="BM16" s="1563"/>
      <c r="BN16" s="1563"/>
      <c r="BO16" s="1563"/>
      <c r="BP16" s="1563"/>
      <c r="BQ16" s="1563"/>
      <c r="BR16" s="1563"/>
      <c r="BS16" s="1563"/>
      <c r="BT16" s="1563"/>
      <c r="BU16" s="1563"/>
      <c r="BV16" s="1563"/>
      <c r="BW16" s="1563"/>
      <c r="BX16" s="1563"/>
      <c r="BY16" s="1563"/>
      <c r="BZ16" s="1563"/>
      <c r="CA16" s="1563"/>
      <c r="CB16" s="1563"/>
      <c r="CC16" s="1563"/>
      <c r="CD16" s="1563"/>
      <c r="CE16" s="1563"/>
      <c r="CF16" s="1563"/>
      <c r="CG16" s="1563"/>
      <c r="CH16" s="1563"/>
      <c r="CI16" s="1563">
        <f>MAX(0,CI14-CI15)</f>
        <v>6745</v>
      </c>
      <c r="CJ16" s="1563"/>
      <c r="CK16" s="1563"/>
      <c r="CL16" s="1563"/>
      <c r="CM16" s="1563"/>
      <c r="CN16" s="1563"/>
      <c r="CO16" s="1563"/>
      <c r="CP16" s="1563"/>
      <c r="CQ16" s="1563"/>
      <c r="CR16" s="1563"/>
      <c r="CS16" s="1563"/>
      <c r="CT16" s="1563"/>
      <c r="CU16" s="1563"/>
      <c r="CV16" s="1563"/>
      <c r="CW16" s="1563">
        <f>MAX(0,CW14-CW15)</f>
        <v>64887</v>
      </c>
      <c r="CX16" s="1563">
        <f>MAX(0,CX14-CX15)</f>
        <v>0</v>
      </c>
      <c r="CY16" s="1563"/>
      <c r="CZ16" s="1563"/>
      <c r="DA16" s="1563"/>
      <c r="DB16" s="1563"/>
      <c r="DC16" s="1563"/>
      <c r="DD16" s="1563">
        <f>MAX(0,DD14-DD15)</f>
        <v>6745</v>
      </c>
      <c r="DE16" s="1563"/>
      <c r="DF16" s="1563"/>
      <c r="DG16" s="1572">
        <f>MAX(0,DG14-DG15)</f>
        <v>39001</v>
      </c>
      <c r="DH16" s="1563"/>
      <c r="DI16" s="1563"/>
      <c r="DJ16" s="1563"/>
      <c r="DK16" s="1563"/>
      <c r="DL16" s="1563"/>
      <c r="DM16" s="1563">
        <v>6745</v>
      </c>
      <c r="DN16" s="1563"/>
      <c r="DO16" s="1572">
        <f>MAX(0,DO14-DO15)</f>
        <v>18115</v>
      </c>
      <c r="DP16" s="1563"/>
      <c r="DQ16" s="1563"/>
      <c r="DR16" s="1563"/>
      <c r="DS16" s="1572">
        <f>MAX(0,DS14-DS15)</f>
        <v>18115</v>
      </c>
      <c r="DT16" s="1563"/>
      <c r="DU16" s="1563">
        <v>6745</v>
      </c>
      <c r="DV16" s="1563"/>
      <c r="DW16" s="1563">
        <v>10792</v>
      </c>
      <c r="DX16" s="1563"/>
      <c r="DY16" s="1563"/>
      <c r="DZ16" s="1563"/>
      <c r="EA16" s="1563"/>
      <c r="EB16" s="1563"/>
      <c r="EC16" s="1563"/>
      <c r="ED16" s="1563"/>
      <c r="EE16" s="1563"/>
      <c r="EF16" s="1563"/>
      <c r="EG16" s="1563"/>
      <c r="EH16" s="1563"/>
      <c r="EI16" s="1563"/>
      <c r="EJ16" s="1563">
        <f>MAX(0,EJ14-EJ15)</f>
        <v>20095</v>
      </c>
      <c r="EK16" s="1563">
        <f>MAX(0,EK14-EK15)</f>
        <v>16757</v>
      </c>
      <c r="EL16" s="1563"/>
      <c r="EM16" s="1572">
        <f>MAX(0,EM14-EM15)</f>
        <v>64204</v>
      </c>
      <c r="EN16" s="1563"/>
      <c r="EO16" s="1563"/>
      <c r="EP16" s="1563"/>
      <c r="EQ16" s="1563"/>
      <c r="ER16" s="1563"/>
      <c r="ES16" s="1563"/>
      <c r="ET16" s="1563"/>
      <c r="EU16" s="1563"/>
      <c r="EV16" s="1563"/>
      <c r="EW16" s="1563"/>
      <c r="EX16" s="1572">
        <v>34297</v>
      </c>
      <c r="EY16" s="1563"/>
      <c r="EZ16" s="1563"/>
      <c r="FA16" s="1563"/>
      <c r="FB16" s="1563"/>
      <c r="FC16" s="1563"/>
      <c r="FD16" s="1572"/>
      <c r="FE16" s="1563"/>
      <c r="FF16" s="1572"/>
      <c r="FG16" s="1563"/>
      <c r="FH16" s="1563"/>
      <c r="FI16" s="1563">
        <f>MAX(0,FI14-FI15)</f>
        <v>2376</v>
      </c>
      <c r="FJ16" s="1563">
        <f>MAX(0,FJ14-FJ15)</f>
        <v>13296</v>
      </c>
      <c r="FK16" s="1563"/>
      <c r="FL16" s="1563"/>
      <c r="FM16" s="1563"/>
      <c r="FN16" s="1563"/>
      <c r="FO16" s="1563"/>
      <c r="FP16" s="1563"/>
      <c r="FQ16" s="1563"/>
      <c r="FR16" s="1563"/>
      <c r="FS16" s="1563"/>
      <c r="FT16" s="1563"/>
      <c r="FU16" s="1563"/>
      <c r="FV16" s="1563"/>
      <c r="FW16" s="1563"/>
      <c r="FX16" s="1563"/>
      <c r="FY16" s="1563"/>
      <c r="FZ16" s="1563"/>
      <c r="GA16" s="1563"/>
      <c r="GB16" s="1563"/>
      <c r="GC16" s="1563"/>
      <c r="GD16" s="1563"/>
      <c r="GE16" s="1563"/>
      <c r="GF16" s="1563"/>
      <c r="GG16" s="1563"/>
      <c r="GH16" s="1563"/>
      <c r="GI16" s="1563"/>
      <c r="GJ16" s="1563"/>
      <c r="GK16" s="1563"/>
      <c r="GL16" s="1563">
        <f>MAX(0,GL14-GL15)</f>
        <v>64887</v>
      </c>
      <c r="GM16" s="1563">
        <f>MAX(0,GM14-GM15)</f>
        <v>64887</v>
      </c>
      <c r="GN16" s="1563"/>
      <c r="GO16" s="1563"/>
      <c r="GP16" s="1563"/>
      <c r="GQ16" s="1563"/>
      <c r="GR16" s="1563"/>
      <c r="GS16" s="1563"/>
      <c r="GT16" s="1563"/>
      <c r="GU16" s="1563"/>
      <c r="GV16" s="1563"/>
      <c r="GW16" s="1563"/>
      <c r="GX16" s="1563"/>
      <c r="GY16" s="1563"/>
      <c r="GZ16" s="1563">
        <f>MAX(0,GZ14-GZ15)</f>
        <v>0</v>
      </c>
      <c r="HA16" s="1563">
        <f>MAX(0,HA14-HA15)</f>
        <v>0</v>
      </c>
      <c r="HB16" s="1563">
        <f>MAX(0,HB14-HB15)</f>
        <v>0</v>
      </c>
      <c r="HC16" s="1563"/>
      <c r="HD16" s="1563"/>
      <c r="HE16" s="1563"/>
      <c r="HF16" s="1563"/>
      <c r="HG16" s="1563"/>
      <c r="HH16" s="1563"/>
      <c r="HI16" s="1563"/>
      <c r="HJ16" s="1563"/>
      <c r="HK16" s="1563"/>
      <c r="HL16" s="1563"/>
      <c r="HM16" s="1572">
        <f>MAX(0,HM14-HM15)</f>
        <v>937</v>
      </c>
      <c r="HN16" s="1563"/>
      <c r="HO16" s="1563"/>
      <c r="HP16" s="1563"/>
      <c r="HQ16" s="1563"/>
      <c r="HR16" s="1563"/>
      <c r="HS16" s="1563"/>
      <c r="HT16" s="1563"/>
      <c r="HU16" s="1563"/>
      <c r="HV16" s="1563">
        <f>MAX(0,HV14-HV15)</f>
        <v>0</v>
      </c>
      <c r="HW16" s="1563"/>
      <c r="HX16" s="1563"/>
      <c r="HY16" s="1563">
        <f>MAX(0,HY14-HY15)</f>
        <v>0</v>
      </c>
      <c r="HZ16" s="1563"/>
      <c r="IA16" s="1563"/>
      <c r="IB16" s="1563"/>
      <c r="IC16" s="1563"/>
      <c r="ID16" s="1563"/>
      <c r="IE16" s="1563">
        <f>MAX(0,IE14-IE15)</f>
        <v>26599</v>
      </c>
      <c r="IF16" s="1563"/>
      <c r="IG16" s="1563"/>
      <c r="IH16" s="1563"/>
      <c r="II16" s="1563"/>
      <c r="IJ16" s="1563"/>
      <c r="IK16" s="1563"/>
      <c r="IL16" s="1563"/>
      <c r="IM16" s="1563"/>
      <c r="IN16" s="1563"/>
      <c r="IO16" s="1563"/>
      <c r="IP16" s="1563"/>
      <c r="IQ16" s="1563"/>
      <c r="IR16" s="1563"/>
      <c r="IS16" s="1563"/>
      <c r="IT16" s="1563"/>
      <c r="IU16" s="1563"/>
      <c r="IV16" s="1563"/>
      <c r="IW16" s="1572">
        <f>MAX(0,IW14-IW15)</f>
        <v>164.05</v>
      </c>
      <c r="IX16" s="1563"/>
      <c r="IY16" s="1563">
        <f>MAX(0,IY14-IY15)</f>
        <v>46471</v>
      </c>
      <c r="IZ16" s="1563"/>
      <c r="JA16" s="1563"/>
      <c r="JB16" s="1563"/>
      <c r="JC16" s="1563"/>
      <c r="JD16" s="1563"/>
      <c r="JE16" s="1563"/>
      <c r="JF16" s="1563"/>
      <c r="JG16" s="1563"/>
      <c r="JH16" s="1563"/>
      <c r="JI16" s="1563"/>
      <c r="JJ16" s="1563"/>
      <c r="JK16" s="1563"/>
      <c r="JL16" s="1563"/>
      <c r="JM16" s="1563"/>
      <c r="JN16" s="1563"/>
      <c r="JO16" s="1563"/>
      <c r="JP16" s="1563"/>
      <c r="JQ16" s="1563"/>
      <c r="JR16" s="351"/>
      <c r="JS16" s="1400" t="s">
        <v>3510</v>
      </c>
      <c r="JT16" s="450" t="s">
        <v>2224</v>
      </c>
    </row>
    <row r="17" spans="1:280" ht="12.5" x14ac:dyDescent="0.25">
      <c r="A17" s="1367">
        <v>16</v>
      </c>
      <c r="B17" s="1411" t="str">
        <f t="shared" si="0"/>
        <v/>
      </c>
      <c r="C17" s="1435" t="s">
        <v>3511</v>
      </c>
      <c r="D17" s="1436" t="s">
        <v>3512</v>
      </c>
      <c r="E17" s="1361"/>
      <c r="F17" s="1361"/>
      <c r="G17" s="1361"/>
      <c r="H17" s="1361"/>
      <c r="I17" s="1361"/>
      <c r="J17" s="1361"/>
      <c r="K17" s="1361"/>
      <c r="L17" s="1361"/>
      <c r="M17" s="1361"/>
      <c r="N17" s="1494"/>
      <c r="O17" s="1494"/>
      <c r="P17" s="1494"/>
      <c r="Q17" s="1494"/>
      <c r="R17" s="1494"/>
      <c r="S17" s="1494"/>
      <c r="T17" s="1494"/>
      <c r="U17" s="1494"/>
      <c r="V17" s="1494"/>
      <c r="W17" s="1494"/>
      <c r="X17" s="1494"/>
      <c r="Y17" s="1494"/>
      <c r="Z17" s="1494"/>
      <c r="AA17" s="1494"/>
      <c r="AB17" s="1494"/>
      <c r="AC17" s="1494"/>
      <c r="AD17" s="1494"/>
      <c r="AE17" s="1494"/>
      <c r="AF17" s="1494"/>
      <c r="AG17" s="1494"/>
      <c r="AH17" s="1494"/>
      <c r="AI17" s="1494"/>
      <c r="AJ17" s="1494"/>
      <c r="AK17" s="1494"/>
      <c r="AL17" s="1494"/>
      <c r="AM17" s="1494"/>
      <c r="AN17" s="1494"/>
      <c r="AO17" s="1494"/>
      <c r="AP17" s="1494"/>
      <c r="AQ17" s="1494"/>
      <c r="AR17" s="1494"/>
      <c r="AS17" s="1494"/>
      <c r="AT17" s="1494"/>
      <c r="AU17" s="1494"/>
      <c r="AV17" s="1494"/>
      <c r="AW17" s="1494"/>
      <c r="AX17" s="1494"/>
      <c r="AY17" s="1494"/>
      <c r="AZ17" s="1494"/>
      <c r="BA17" s="1494"/>
      <c r="BB17" s="1494"/>
      <c r="BC17" s="1568"/>
      <c r="BD17" s="1568"/>
      <c r="BE17" s="1494"/>
      <c r="BF17" s="1494"/>
      <c r="BG17" s="1494"/>
      <c r="BH17" s="1494"/>
      <c r="BI17" s="1494"/>
      <c r="BJ17" s="1494"/>
      <c r="BK17" s="1494"/>
      <c r="BL17" s="1494"/>
      <c r="BM17" s="1494"/>
      <c r="BN17" s="1494"/>
      <c r="BO17" s="1494"/>
      <c r="BP17" s="1494"/>
      <c r="BQ17" s="1494"/>
      <c r="BR17" s="1494"/>
      <c r="BS17" s="1494"/>
      <c r="BT17" s="1494"/>
      <c r="BU17" s="1494"/>
      <c r="BV17" s="1494"/>
      <c r="BW17" s="1494"/>
      <c r="BX17" s="1494"/>
      <c r="BY17" s="1494"/>
      <c r="BZ17" s="1494"/>
      <c r="CA17" s="1494"/>
      <c r="CB17" s="1494"/>
      <c r="CC17" s="1494"/>
      <c r="CD17" s="1494"/>
      <c r="CE17" s="1494"/>
      <c r="CF17" s="1494"/>
      <c r="CG17" s="1494"/>
      <c r="CH17" s="1494"/>
      <c r="CI17" s="1568">
        <v>1200</v>
      </c>
      <c r="CJ17" s="1494"/>
      <c r="CK17" s="1494"/>
      <c r="CL17" s="1494"/>
      <c r="CM17" s="1494"/>
      <c r="CN17" s="1494"/>
      <c r="CO17" s="1494"/>
      <c r="CP17" s="1494"/>
      <c r="CQ17" s="1494"/>
      <c r="CR17" s="1494"/>
      <c r="CS17" s="1494"/>
      <c r="CT17" s="1494"/>
      <c r="CU17" s="1494"/>
      <c r="CV17" s="1494"/>
      <c r="CW17" s="1568">
        <v>9620</v>
      </c>
      <c r="CX17" s="1568"/>
      <c r="CY17" s="1494"/>
      <c r="CZ17" s="1494"/>
      <c r="DA17" s="1494"/>
      <c r="DB17" s="1494"/>
      <c r="DC17" s="1494"/>
      <c r="DD17" s="1568">
        <v>1200</v>
      </c>
      <c r="DE17" s="1494"/>
      <c r="DF17" s="1494"/>
      <c r="DG17" s="1568"/>
      <c r="DH17" s="1494"/>
      <c r="DI17" s="1494"/>
      <c r="DJ17" s="1494"/>
      <c r="DK17" s="1494"/>
      <c r="DL17" s="1494"/>
      <c r="DM17" s="1568">
        <v>1200</v>
      </c>
      <c r="DN17" s="1494"/>
      <c r="DO17" s="1494"/>
      <c r="DP17" s="1494"/>
      <c r="DQ17" s="1494"/>
      <c r="DR17" s="1494"/>
      <c r="DS17" s="1494"/>
      <c r="DT17" s="1494"/>
      <c r="DU17" s="1568">
        <v>1200</v>
      </c>
      <c r="DV17" s="1494"/>
      <c r="DW17" s="1494"/>
      <c r="DX17" s="1494"/>
      <c r="DY17" s="1494"/>
      <c r="DZ17" s="1494"/>
      <c r="EA17" s="1494"/>
      <c r="EB17" s="1494"/>
      <c r="EC17" s="1494"/>
      <c r="ED17" s="1494"/>
      <c r="EE17" s="1494"/>
      <c r="EF17" s="1494"/>
      <c r="EG17" s="1494"/>
      <c r="EH17" s="1494"/>
      <c r="EI17" s="1494"/>
      <c r="EJ17" s="1494"/>
      <c r="EK17" s="1494"/>
      <c r="EL17" s="1494"/>
      <c r="EM17" s="1494"/>
      <c r="EN17" s="1494"/>
      <c r="EO17" s="1494"/>
      <c r="EP17" s="1494"/>
      <c r="EQ17" s="1494"/>
      <c r="ER17" s="1494"/>
      <c r="ES17" s="1494"/>
      <c r="ET17" s="1494"/>
      <c r="EU17" s="1494"/>
      <c r="EV17" s="1494"/>
      <c r="EW17" s="1494"/>
      <c r="EX17" s="1494"/>
      <c r="EY17" s="1494"/>
      <c r="EZ17" s="1494"/>
      <c r="FA17" s="1494"/>
      <c r="FB17" s="1494"/>
      <c r="FC17" s="1494"/>
      <c r="FD17" s="1568"/>
      <c r="FE17" s="1494"/>
      <c r="FF17" s="1568"/>
      <c r="FG17" s="1494"/>
      <c r="FH17" s="1494"/>
      <c r="FI17" s="1568"/>
      <c r="FJ17" s="1568"/>
      <c r="FK17" s="1494"/>
      <c r="FL17" s="1494"/>
      <c r="FM17" s="1494"/>
      <c r="FN17" s="1494"/>
      <c r="FO17" s="1494"/>
      <c r="FP17" s="1494"/>
      <c r="FQ17" s="1494"/>
      <c r="FR17" s="1494"/>
      <c r="FS17" s="1494"/>
      <c r="FT17" s="1494"/>
      <c r="FU17" s="1494"/>
      <c r="FV17" s="1494"/>
      <c r="FW17" s="1494"/>
      <c r="FX17" s="1494"/>
      <c r="FY17" s="1494"/>
      <c r="FZ17" s="1494"/>
      <c r="GA17" s="1494"/>
      <c r="GB17" s="1494"/>
      <c r="GC17" s="1494"/>
      <c r="GD17" s="1494"/>
      <c r="GE17" s="1494"/>
      <c r="GF17" s="1494"/>
      <c r="GG17" s="1494"/>
      <c r="GH17" s="1494"/>
      <c r="GI17" s="1494"/>
      <c r="GJ17" s="1494"/>
      <c r="GK17" s="1494"/>
      <c r="GL17" s="1568">
        <v>9620</v>
      </c>
      <c r="GM17" s="1568">
        <v>9620</v>
      </c>
      <c r="GN17" s="1494"/>
      <c r="GO17" s="1494"/>
      <c r="GP17" s="1494"/>
      <c r="GQ17" s="1494"/>
      <c r="GR17" s="1494"/>
      <c r="GS17" s="1494"/>
      <c r="GT17" s="1494"/>
      <c r="GU17" s="1494"/>
      <c r="GV17" s="1494"/>
      <c r="GW17" s="1494"/>
      <c r="GX17" s="1494"/>
      <c r="GY17" s="1494"/>
      <c r="GZ17" s="1568"/>
      <c r="HA17" s="1568"/>
      <c r="HB17" s="1568"/>
      <c r="HC17" s="1494"/>
      <c r="HD17" s="1494"/>
      <c r="HE17" s="1494"/>
      <c r="HF17" s="1494"/>
      <c r="HG17" s="1494"/>
      <c r="HH17" s="1494"/>
      <c r="HI17" s="1494"/>
      <c r="HJ17" s="1494"/>
      <c r="HK17" s="1494"/>
      <c r="HL17" s="1494"/>
      <c r="HM17" s="1494"/>
      <c r="HN17" s="1494"/>
      <c r="HO17" s="1494"/>
      <c r="HP17" s="1494"/>
      <c r="HQ17" s="1494"/>
      <c r="HR17" s="1494"/>
      <c r="HS17" s="1494"/>
      <c r="HT17" s="1494"/>
      <c r="HU17" s="1494"/>
      <c r="HV17" s="1494"/>
      <c r="HW17" s="1494"/>
      <c r="HX17" s="1494"/>
      <c r="HY17" s="1494"/>
      <c r="HZ17" s="1494"/>
      <c r="IA17" s="1494"/>
      <c r="IB17" s="1494"/>
      <c r="IC17" s="1494"/>
      <c r="ID17" s="1494"/>
      <c r="IE17" s="1494"/>
      <c r="IF17" s="1494"/>
      <c r="IG17" s="1494"/>
      <c r="IH17" s="1494"/>
      <c r="II17" s="1494"/>
      <c r="IJ17" s="1494"/>
      <c r="IK17" s="1494"/>
      <c r="IL17" s="1494"/>
      <c r="IM17" s="1494"/>
      <c r="IN17" s="1494"/>
      <c r="IO17" s="1494"/>
      <c r="IP17" s="1494"/>
      <c r="IQ17" s="1494"/>
      <c r="IR17" s="1494"/>
      <c r="IS17" s="1494"/>
      <c r="IT17" s="1494"/>
      <c r="IU17" s="1494"/>
      <c r="IV17" s="1494"/>
      <c r="IW17" s="1494"/>
      <c r="IX17" s="1494"/>
      <c r="IY17" s="1568"/>
      <c r="IZ17" s="1494"/>
      <c r="JA17" s="1494"/>
      <c r="JB17" s="1494"/>
      <c r="JC17" s="1494"/>
      <c r="JD17" s="1494"/>
      <c r="JE17" s="1494"/>
      <c r="JF17" s="1494"/>
      <c r="JG17" s="1494"/>
      <c r="JH17" s="1494"/>
      <c r="JI17" s="1494"/>
      <c r="JJ17" s="1494"/>
      <c r="JK17" s="1494"/>
      <c r="JL17" s="1494"/>
      <c r="JM17" s="1494"/>
      <c r="JN17" s="1494"/>
      <c r="JO17" s="1494"/>
      <c r="JP17" s="1494"/>
      <c r="JQ17" s="1499"/>
      <c r="JR17" s="351"/>
      <c r="JS17" s="1400"/>
      <c r="JT17" s="450" t="s">
        <v>2242</v>
      </c>
    </row>
    <row r="18" spans="1:280" ht="12.5" x14ac:dyDescent="0.25">
      <c r="A18" s="1367">
        <v>17</v>
      </c>
      <c r="B18" s="1411" t="str">
        <f t="shared" si="0"/>
        <v/>
      </c>
      <c r="C18" s="1435" t="s">
        <v>3513</v>
      </c>
      <c r="D18" s="1436" t="s">
        <v>2996</v>
      </c>
      <c r="E18" s="1563"/>
      <c r="F18" s="1563"/>
      <c r="G18" s="1563"/>
      <c r="H18" s="1563"/>
      <c r="I18" s="1563"/>
      <c r="J18" s="1563"/>
      <c r="K18" s="1563"/>
      <c r="L18" s="1563"/>
      <c r="M18" s="1563"/>
      <c r="N18" s="1563"/>
      <c r="O18" s="1563"/>
      <c r="P18" s="1563"/>
      <c r="Q18" s="1563"/>
      <c r="R18" s="1563"/>
      <c r="S18" s="1563"/>
      <c r="T18" s="1563"/>
      <c r="U18" s="1563"/>
      <c r="V18" s="1563"/>
      <c r="W18" s="1563"/>
      <c r="X18" s="1563"/>
      <c r="Y18" s="1563"/>
      <c r="Z18" s="1563"/>
      <c r="AA18" s="1563"/>
      <c r="AB18" s="1563"/>
      <c r="AC18" s="1563"/>
      <c r="AD18" s="1563"/>
      <c r="AE18" s="1563"/>
      <c r="AF18" s="1563"/>
      <c r="AG18" s="1563"/>
      <c r="AH18" s="1563"/>
      <c r="AI18" s="1563"/>
      <c r="AJ18" s="1563"/>
      <c r="AK18" s="1563"/>
      <c r="AL18" s="1563"/>
      <c r="AM18" s="1563"/>
      <c r="AN18" s="1563"/>
      <c r="AO18" s="1563"/>
      <c r="AP18" s="1563"/>
      <c r="AQ18" s="1563"/>
      <c r="AR18" s="1563"/>
      <c r="AS18" s="1563"/>
      <c r="AT18" s="1563"/>
      <c r="AU18" s="1563"/>
      <c r="AV18" s="1563"/>
      <c r="AW18" s="1563"/>
      <c r="AX18" s="1563"/>
      <c r="AY18" s="1563"/>
      <c r="AZ18" s="1563"/>
      <c r="BA18" s="1563"/>
      <c r="BB18" s="1563"/>
      <c r="BC18" s="1563">
        <f>BC16+BC17</f>
        <v>1080</v>
      </c>
      <c r="BD18" s="1563">
        <f>BD16+BD17</f>
        <v>1657</v>
      </c>
      <c r="BE18" s="1563"/>
      <c r="BF18" s="1563"/>
      <c r="BG18" s="1563"/>
      <c r="BH18" s="1563"/>
      <c r="BI18" s="1563"/>
      <c r="BJ18" s="1563"/>
      <c r="BK18" s="1563"/>
      <c r="BL18" s="1563"/>
      <c r="BM18" s="1563"/>
      <c r="BN18" s="1563"/>
      <c r="BO18" s="1563"/>
      <c r="BP18" s="1563"/>
      <c r="BQ18" s="1563"/>
      <c r="BR18" s="1563"/>
      <c r="BS18" s="1563"/>
      <c r="BT18" s="1563"/>
      <c r="BU18" s="1563"/>
      <c r="BV18" s="1563"/>
      <c r="BW18" s="1563"/>
      <c r="BX18" s="1563"/>
      <c r="BY18" s="1563"/>
      <c r="BZ18" s="1563"/>
      <c r="CA18" s="1563"/>
      <c r="CB18" s="1563"/>
      <c r="CC18" s="1563"/>
      <c r="CD18" s="1563"/>
      <c r="CE18" s="1563"/>
      <c r="CF18" s="1563"/>
      <c r="CG18" s="1563"/>
      <c r="CH18" s="1563"/>
      <c r="CI18" s="1563">
        <f>CI16+CI17</f>
        <v>7945</v>
      </c>
      <c r="CJ18" s="1563"/>
      <c r="CK18" s="1563"/>
      <c r="CL18" s="1563"/>
      <c r="CM18" s="1563"/>
      <c r="CN18" s="1563"/>
      <c r="CO18" s="1563"/>
      <c r="CP18" s="1563"/>
      <c r="CQ18" s="1563"/>
      <c r="CR18" s="1563"/>
      <c r="CS18" s="1563"/>
      <c r="CT18" s="1563"/>
      <c r="CU18" s="1563"/>
      <c r="CV18" s="1563"/>
      <c r="CW18" s="1563">
        <f>CW16+CW17</f>
        <v>74507</v>
      </c>
      <c r="CX18" s="1563">
        <f>CX16+CX17</f>
        <v>0</v>
      </c>
      <c r="CY18" s="1563"/>
      <c r="CZ18" s="1563"/>
      <c r="DA18" s="1563"/>
      <c r="DB18" s="1563"/>
      <c r="DC18" s="1563"/>
      <c r="DD18" s="1563">
        <f>DD16+DD17</f>
        <v>7945</v>
      </c>
      <c r="DE18" s="1563"/>
      <c r="DF18" s="1563"/>
      <c r="DG18" s="1572">
        <f>DG16+DG17</f>
        <v>39001</v>
      </c>
      <c r="DH18" s="1563"/>
      <c r="DI18" s="1563"/>
      <c r="DJ18" s="1563"/>
      <c r="DK18" s="1563"/>
      <c r="DL18" s="1563"/>
      <c r="DM18" s="1563">
        <f>DM16+DM17</f>
        <v>7945</v>
      </c>
      <c r="DN18" s="1563"/>
      <c r="DO18" s="1572">
        <f>DO16+DO17</f>
        <v>18115</v>
      </c>
      <c r="DP18" s="1563"/>
      <c r="DQ18" s="1563"/>
      <c r="DR18" s="1563"/>
      <c r="DS18" s="1572">
        <f>DS16+DS17</f>
        <v>18115</v>
      </c>
      <c r="DT18" s="1563"/>
      <c r="DU18" s="1563">
        <f>DU16+DU17</f>
        <v>7945</v>
      </c>
      <c r="DV18" s="1563"/>
      <c r="DW18" s="1563">
        <v>10792</v>
      </c>
      <c r="DX18" s="1563"/>
      <c r="DY18" s="1563"/>
      <c r="DZ18" s="1563"/>
      <c r="EA18" s="1563"/>
      <c r="EB18" s="1563"/>
      <c r="EC18" s="1563"/>
      <c r="ED18" s="1563"/>
      <c r="EE18" s="1563"/>
      <c r="EF18" s="1563"/>
      <c r="EG18" s="1563"/>
      <c r="EH18" s="1563"/>
      <c r="EI18" s="1563"/>
      <c r="EJ18" s="1563">
        <f>EJ16+EJ17</f>
        <v>20095</v>
      </c>
      <c r="EK18" s="1563">
        <f>EK16+EK17</f>
        <v>16757</v>
      </c>
      <c r="EL18" s="1563"/>
      <c r="EM18" s="1572">
        <f>EM16+EM17</f>
        <v>64204</v>
      </c>
      <c r="EN18" s="1563"/>
      <c r="EO18" s="1563"/>
      <c r="EP18" s="1563"/>
      <c r="EQ18" s="1563"/>
      <c r="ER18" s="1563"/>
      <c r="ES18" s="1563"/>
      <c r="ET18" s="1563"/>
      <c r="EU18" s="1563"/>
      <c r="EV18" s="1563"/>
      <c r="EW18" s="1563"/>
      <c r="EX18" s="1572">
        <f>EX16+EX17</f>
        <v>34297</v>
      </c>
      <c r="EY18" s="1563"/>
      <c r="EZ18" s="1563"/>
      <c r="FA18" s="1563"/>
      <c r="FB18" s="1563"/>
      <c r="FC18" s="1563"/>
      <c r="FD18" s="1572"/>
      <c r="FE18" s="1563"/>
      <c r="FF18" s="1572"/>
      <c r="FG18" s="1563"/>
      <c r="FH18" s="1563"/>
      <c r="FI18" s="1563">
        <f>FI16+FI17</f>
        <v>2376</v>
      </c>
      <c r="FJ18" s="1563">
        <f>FJ16+FJ17</f>
        <v>13296</v>
      </c>
      <c r="FK18" s="1563"/>
      <c r="FL18" s="1563"/>
      <c r="FM18" s="1563"/>
      <c r="FN18" s="1563"/>
      <c r="FO18" s="1563"/>
      <c r="FP18" s="1563"/>
      <c r="FQ18" s="1563"/>
      <c r="FR18" s="1563"/>
      <c r="FS18" s="1563"/>
      <c r="FT18" s="1563"/>
      <c r="FU18" s="1563"/>
      <c r="FV18" s="1563"/>
      <c r="FW18" s="1563"/>
      <c r="FX18" s="1563"/>
      <c r="FY18" s="1563"/>
      <c r="FZ18" s="1563"/>
      <c r="GA18" s="1563"/>
      <c r="GB18" s="1563"/>
      <c r="GC18" s="1563"/>
      <c r="GD18" s="1563"/>
      <c r="GE18" s="1563"/>
      <c r="GF18" s="1563"/>
      <c r="GG18" s="1563"/>
      <c r="GH18" s="1563"/>
      <c r="GI18" s="1563"/>
      <c r="GJ18" s="1563"/>
      <c r="GK18" s="1563"/>
      <c r="GL18" s="1563">
        <f>GL16+GL17</f>
        <v>74507</v>
      </c>
      <c r="GM18" s="1563">
        <f>GM16+GM17</f>
        <v>74507</v>
      </c>
      <c r="GN18" s="1563"/>
      <c r="GO18" s="1563"/>
      <c r="GP18" s="1563"/>
      <c r="GQ18" s="1563"/>
      <c r="GR18" s="1563"/>
      <c r="GS18" s="1563"/>
      <c r="GT18" s="1563"/>
      <c r="GU18" s="1563"/>
      <c r="GV18" s="1563"/>
      <c r="GW18" s="1563"/>
      <c r="GX18" s="1563"/>
      <c r="GY18" s="1563"/>
      <c r="GZ18" s="1563">
        <f>GZ16+GZ17</f>
        <v>0</v>
      </c>
      <c r="HA18" s="1563">
        <f>HA16+HA17</f>
        <v>0</v>
      </c>
      <c r="HB18" s="1563">
        <f>HB16+HB17</f>
        <v>0</v>
      </c>
      <c r="HC18" s="1563"/>
      <c r="HD18" s="1563"/>
      <c r="HE18" s="1563"/>
      <c r="HF18" s="1563"/>
      <c r="HG18" s="1563"/>
      <c r="HH18" s="1563"/>
      <c r="HI18" s="1563"/>
      <c r="HJ18" s="1563"/>
      <c r="HK18" s="1563"/>
      <c r="HL18" s="1563"/>
      <c r="HM18" s="1572">
        <f>HM16+HM17</f>
        <v>937</v>
      </c>
      <c r="HN18" s="1563"/>
      <c r="HO18" s="1563"/>
      <c r="HP18" s="1563"/>
      <c r="HQ18" s="1563"/>
      <c r="HR18" s="1563"/>
      <c r="HS18" s="1563"/>
      <c r="HT18" s="1563"/>
      <c r="HU18" s="1563"/>
      <c r="HV18" s="1563">
        <f>HV16+HV17</f>
        <v>0</v>
      </c>
      <c r="HW18" s="1563"/>
      <c r="HX18" s="1563"/>
      <c r="HY18" s="1563">
        <f>HY16+HY17</f>
        <v>0</v>
      </c>
      <c r="HZ18" s="1563"/>
      <c r="IA18" s="1563"/>
      <c r="IB18" s="1563"/>
      <c r="IC18" s="1563"/>
      <c r="ID18" s="1563"/>
      <c r="IE18" s="1563">
        <f>IE16+IE17</f>
        <v>26599</v>
      </c>
      <c r="IF18" s="1563"/>
      <c r="IG18" s="1563"/>
      <c r="IH18" s="1563"/>
      <c r="II18" s="1563"/>
      <c r="IJ18" s="1563"/>
      <c r="IK18" s="1563"/>
      <c r="IL18" s="1563"/>
      <c r="IM18" s="1563"/>
      <c r="IN18" s="1563"/>
      <c r="IO18" s="1563"/>
      <c r="IP18" s="1563"/>
      <c r="IQ18" s="1563"/>
      <c r="IR18" s="1563"/>
      <c r="IS18" s="1563"/>
      <c r="IT18" s="1563"/>
      <c r="IU18" s="1563"/>
      <c r="IV18" s="1563"/>
      <c r="IW18" s="1572">
        <f>IW16+IW17</f>
        <v>164.05</v>
      </c>
      <c r="IX18" s="1563"/>
      <c r="IY18" s="1563">
        <f>IY16+IY17</f>
        <v>46471</v>
      </c>
      <c r="IZ18" s="1563"/>
      <c r="JA18" s="1563"/>
      <c r="JB18" s="1563"/>
      <c r="JC18" s="1563"/>
      <c r="JD18" s="1563"/>
      <c r="JE18" s="1563"/>
      <c r="JF18" s="1563"/>
      <c r="JG18" s="1563"/>
      <c r="JH18" s="1563"/>
      <c r="JI18" s="1563"/>
      <c r="JJ18" s="1563"/>
      <c r="JK18" s="1563"/>
      <c r="JL18" s="1563"/>
      <c r="JM18" s="1563"/>
      <c r="JN18" s="1563"/>
      <c r="JO18" s="1563"/>
      <c r="JP18" s="1563"/>
      <c r="JQ18" s="1563"/>
      <c r="JR18" s="351"/>
      <c r="JS18" s="1400" t="s">
        <v>3514</v>
      </c>
      <c r="JT18" s="450" t="s">
        <v>2224</v>
      </c>
    </row>
    <row r="19" spans="1:280" ht="70" x14ac:dyDescent="0.25">
      <c r="A19" s="1367">
        <v>18</v>
      </c>
      <c r="B19" s="1411">
        <f t="shared" si="0"/>
        <v>1844</v>
      </c>
      <c r="C19" s="1435" t="s">
        <v>3515</v>
      </c>
      <c r="D19" s="1436" t="s">
        <v>3516</v>
      </c>
      <c r="E19" s="1563"/>
      <c r="F19" s="1563"/>
      <c r="G19" s="1563"/>
      <c r="H19" s="1563"/>
      <c r="I19" s="1563"/>
      <c r="J19" s="1563"/>
      <c r="K19" s="1563"/>
      <c r="L19" s="1563"/>
      <c r="M19" s="1563"/>
      <c r="N19" s="1563"/>
      <c r="O19" s="1563"/>
      <c r="P19" s="1563"/>
      <c r="Q19" s="1563"/>
      <c r="R19" s="1563"/>
      <c r="S19" s="1563"/>
      <c r="T19" s="1563"/>
      <c r="U19" s="1563"/>
      <c r="V19" s="1563"/>
      <c r="W19" s="1563"/>
      <c r="X19" s="1563"/>
      <c r="Y19" s="1563"/>
      <c r="Z19" s="1563"/>
      <c r="AA19" s="1563"/>
      <c r="AB19" s="1563"/>
      <c r="AC19" s="1563"/>
      <c r="AD19" s="1563"/>
      <c r="AE19" s="1563"/>
      <c r="AF19" s="1563"/>
      <c r="AG19" s="1563"/>
      <c r="AH19" s="1563"/>
      <c r="AI19" s="1563"/>
      <c r="AJ19" s="1563"/>
      <c r="AK19" s="1563"/>
      <c r="AL19" s="1563"/>
      <c r="AM19" s="1563"/>
      <c r="AN19" s="1563"/>
      <c r="AO19" s="1563"/>
      <c r="AP19" s="1563"/>
      <c r="AQ19" s="1563"/>
      <c r="AR19" s="1563"/>
      <c r="AS19" s="1563"/>
      <c r="AT19" s="1563"/>
      <c r="AU19" s="1563"/>
      <c r="AV19" s="1563"/>
      <c r="AW19" s="1563"/>
      <c r="AX19" s="1563"/>
      <c r="AY19" s="1563"/>
      <c r="AZ19" s="1563"/>
      <c r="BA19" s="1563"/>
      <c r="BB19" s="1563"/>
      <c r="BC19" s="1563">
        <f>MAX(0,(BC13)-(BC9+BC10+BC11))</f>
        <v>0</v>
      </c>
      <c r="BD19" s="1563">
        <f>MAX(0,(BD13)-(BD9+BD10+BD11))</f>
        <v>0</v>
      </c>
      <c r="BE19" s="1563"/>
      <c r="BF19" s="1563"/>
      <c r="BG19" s="1563"/>
      <c r="BH19" s="1563"/>
      <c r="BI19" s="1563"/>
      <c r="BJ19" s="1563"/>
      <c r="BK19" s="1563"/>
      <c r="BL19" s="1563"/>
      <c r="BM19" s="1563"/>
      <c r="BN19" s="1563"/>
      <c r="BO19" s="1563"/>
      <c r="BP19" s="1563"/>
      <c r="BQ19" s="1563"/>
      <c r="BR19" s="1563"/>
      <c r="BS19" s="1563"/>
      <c r="BT19" s="1563"/>
      <c r="BU19" s="1563"/>
      <c r="BV19" s="1563"/>
      <c r="BW19" s="1563"/>
      <c r="BX19" s="1563"/>
      <c r="BY19" s="1563"/>
      <c r="BZ19" s="1563"/>
      <c r="CA19" s="1563"/>
      <c r="CB19" s="1563"/>
      <c r="CC19" s="1563"/>
      <c r="CD19" s="1563"/>
      <c r="CE19" s="1563"/>
      <c r="CF19" s="1563"/>
      <c r="CG19" s="1563"/>
      <c r="CH19" s="1563"/>
      <c r="CI19" s="1563">
        <f>MAX(0,(CI13)-(CI9+CI10+CI11))</f>
        <v>0</v>
      </c>
      <c r="CJ19" s="1563"/>
      <c r="CK19" s="1563"/>
      <c r="CL19" s="1563"/>
      <c r="CM19" s="1563"/>
      <c r="CN19" s="1563"/>
      <c r="CO19" s="1563"/>
      <c r="CP19" s="1563"/>
      <c r="CQ19" s="1563"/>
      <c r="CR19" s="1563"/>
      <c r="CS19" s="1563"/>
      <c r="CT19" s="1563"/>
      <c r="CU19" s="1563"/>
      <c r="CV19" s="1563"/>
      <c r="CW19" s="1563">
        <f>MAX(0,(CW13)-(CW9+CW10+CW11))</f>
        <v>0</v>
      </c>
      <c r="CX19" s="1563">
        <f>MAX(0,(CX13)-(CX9+CX10+CX11))</f>
        <v>5500</v>
      </c>
      <c r="CY19" s="1563"/>
      <c r="CZ19" s="1563"/>
      <c r="DA19" s="1563"/>
      <c r="DB19" s="1563"/>
      <c r="DC19" s="1563"/>
      <c r="DD19" s="1563">
        <f>MAX(0,(DD13)-(DD9+DD10+DD11))</f>
        <v>0</v>
      </c>
      <c r="DE19" s="1563"/>
      <c r="DF19" s="1563"/>
      <c r="DG19" s="1563">
        <f>MAX(0,(DG13)-(DG9+DG10+DG11))</f>
        <v>0</v>
      </c>
      <c r="DH19" s="1563"/>
      <c r="DI19" s="1563"/>
      <c r="DJ19" s="1563"/>
      <c r="DK19" s="1563"/>
      <c r="DL19" s="1563"/>
      <c r="DM19" s="1563"/>
      <c r="DN19" s="1563"/>
      <c r="DO19" s="1563"/>
      <c r="DP19" s="1563"/>
      <c r="DQ19" s="1563"/>
      <c r="DR19" s="1563"/>
      <c r="DS19" s="1563"/>
      <c r="DT19" s="1563"/>
      <c r="DU19" s="1563"/>
      <c r="DV19" s="1563"/>
      <c r="DW19" s="1481"/>
      <c r="DX19" s="1563"/>
      <c r="DY19" s="1563"/>
      <c r="DZ19" s="1563"/>
      <c r="EA19" s="1563"/>
      <c r="EB19" s="1563"/>
      <c r="EC19" s="1563"/>
      <c r="ED19" s="1563"/>
      <c r="EE19" s="1563"/>
      <c r="EF19" s="1563"/>
      <c r="EG19" s="1563"/>
      <c r="EH19" s="1563"/>
      <c r="EI19" s="1563"/>
      <c r="EJ19" s="1563">
        <f>MAX(0,(EJ13)-(EJ9+EJ10+EJ11))</f>
        <v>0</v>
      </c>
      <c r="EK19" s="1563">
        <f>MAX(0,(EK13)-(EK9+EK10+EK11))</f>
        <v>0</v>
      </c>
      <c r="EL19" s="1563"/>
      <c r="EM19" s="1563"/>
      <c r="EN19" s="1563"/>
      <c r="EO19" s="1563"/>
      <c r="EP19" s="1563"/>
      <c r="EQ19" s="1563"/>
      <c r="ER19" s="1563"/>
      <c r="ES19" s="1563"/>
      <c r="ET19" s="1563"/>
      <c r="EU19" s="1563"/>
      <c r="EV19" s="1563"/>
      <c r="EW19" s="1563"/>
      <c r="EX19" s="1563"/>
      <c r="EY19" s="1563"/>
      <c r="EZ19" s="1563"/>
      <c r="FA19" s="1563"/>
      <c r="FB19" s="1563"/>
      <c r="FC19" s="1563"/>
      <c r="FD19" s="1563">
        <f>MAX(0,(FD13)-(FD9+FD10+FD11))</f>
        <v>0</v>
      </c>
      <c r="FE19" s="1563"/>
      <c r="FF19" s="1572"/>
      <c r="FG19" s="1563"/>
      <c r="FH19" s="1563"/>
      <c r="FI19" s="1563">
        <f>MAX(0,(FI13)-(FI9+FI10+FI11))</f>
        <v>0</v>
      </c>
      <c r="FJ19" s="1563">
        <f>MAX(0,(FJ13)-(FJ9+FJ10+FJ11))</f>
        <v>0</v>
      </c>
      <c r="FK19" s="1563"/>
      <c r="FL19" s="1563"/>
      <c r="FM19" s="1563"/>
      <c r="FN19" s="1563"/>
      <c r="FO19" s="1563"/>
      <c r="FP19" s="1481">
        <v>1844</v>
      </c>
      <c r="FQ19" s="1563"/>
      <c r="FR19" s="1563"/>
      <c r="FS19" s="1563"/>
      <c r="FT19" s="1563"/>
      <c r="FU19" s="1563"/>
      <c r="FV19" s="1563"/>
      <c r="FW19" s="1563"/>
      <c r="FX19" s="1563"/>
      <c r="FY19" s="1563"/>
      <c r="FZ19" s="1563"/>
      <c r="GA19" s="1563"/>
      <c r="GB19" s="1563"/>
      <c r="GC19" s="1563"/>
      <c r="GD19" s="1563"/>
      <c r="GE19" s="1563"/>
      <c r="GF19" s="1563"/>
      <c r="GG19" s="1563"/>
      <c r="GH19" s="1563"/>
      <c r="GI19" s="1563"/>
      <c r="GJ19" s="1563"/>
      <c r="GK19" s="1563"/>
      <c r="GL19" s="1563">
        <f>MAX(0,(GL13)-(GL9+GL10+GL11))</f>
        <v>0</v>
      </c>
      <c r="GM19" s="1563">
        <f>MAX(0,(GM13)-(GM9+GM10+GM11))</f>
        <v>0</v>
      </c>
      <c r="GN19" s="1563"/>
      <c r="GO19" s="1563"/>
      <c r="GP19" s="1563"/>
      <c r="GQ19" s="1563"/>
      <c r="GR19" s="1563"/>
      <c r="GS19" s="1563"/>
      <c r="GT19" s="1563"/>
      <c r="GU19" s="1563"/>
      <c r="GV19" s="1563"/>
      <c r="GW19" s="1563"/>
      <c r="GX19" s="1563"/>
      <c r="GY19" s="1563"/>
      <c r="GZ19" s="1563">
        <f>MAX(0,(GZ13)-(GZ9+GZ10+GZ11))</f>
        <v>62547</v>
      </c>
      <c r="HA19" s="1563">
        <f t="shared" ref="HA19:HB19" si="3">MAX(0,(HA13)-(HA9+HA10+HA11))</f>
        <v>62547</v>
      </c>
      <c r="HB19" s="1563">
        <f t="shared" si="3"/>
        <v>71159</v>
      </c>
      <c r="HC19" s="1563"/>
      <c r="HD19" s="1563"/>
      <c r="HE19" s="1563"/>
      <c r="HF19" s="1563"/>
      <c r="HG19" s="1563"/>
      <c r="HH19" s="1563"/>
      <c r="HI19" s="1563"/>
      <c r="HJ19" s="1563"/>
      <c r="HK19" s="1563"/>
      <c r="HL19" s="1563"/>
      <c r="HM19" s="1563"/>
      <c r="HN19" s="1563"/>
      <c r="HO19" s="1563"/>
      <c r="HP19" s="1563"/>
      <c r="HQ19" s="1563"/>
      <c r="HR19" s="1563"/>
      <c r="HS19" s="1563"/>
      <c r="HT19" s="1563"/>
      <c r="HU19" s="1563"/>
      <c r="HV19" s="1563">
        <f>MAX(0,(HV13)-(HV9+HV10+HV11))</f>
        <v>62547</v>
      </c>
      <c r="HW19" s="1563"/>
      <c r="HX19" s="1563"/>
      <c r="HY19" s="1563">
        <f>MAX(0,(HY13)-(HY9+HY10+HY11))</f>
        <v>5260</v>
      </c>
      <c r="HZ19" s="1563"/>
      <c r="IA19" s="1563"/>
      <c r="IB19" s="1563"/>
      <c r="IC19" s="1563"/>
      <c r="ID19" s="1563"/>
      <c r="IE19" s="1563"/>
      <c r="IF19" s="1563"/>
      <c r="IG19" s="1563"/>
      <c r="IH19" s="1563"/>
      <c r="II19" s="1563"/>
      <c r="IJ19" s="1563"/>
      <c r="IK19" s="1563"/>
      <c r="IL19" s="1563"/>
      <c r="IM19" s="1563"/>
      <c r="IN19" s="1563"/>
      <c r="IO19" s="1563"/>
      <c r="IP19" s="1563"/>
      <c r="IQ19" s="1563"/>
      <c r="IR19" s="1563"/>
      <c r="IS19" s="1563"/>
      <c r="IT19" s="1563"/>
      <c r="IU19" s="1563"/>
      <c r="IV19" s="1563"/>
      <c r="IW19" s="1563"/>
      <c r="IX19" s="1563"/>
      <c r="IY19" s="1563">
        <f>MAX(0,(IY13)-(IY9+IY10+IY11))</f>
        <v>0</v>
      </c>
      <c r="IZ19" s="1563"/>
      <c r="JA19" s="1563"/>
      <c r="JB19" s="1563"/>
      <c r="JC19" s="1563"/>
      <c r="JD19" s="1563"/>
      <c r="JE19" s="1563"/>
      <c r="JF19" s="1563"/>
      <c r="JG19" s="1563"/>
      <c r="JH19" s="1563"/>
      <c r="JI19" s="1563"/>
      <c r="JJ19" s="1563"/>
      <c r="JK19" s="1563"/>
      <c r="JL19" s="1563">
        <f>MAX(0,(JL13)-(JL9+JL10+JL11))</f>
        <v>60233</v>
      </c>
      <c r="JM19" s="1563"/>
      <c r="JN19" s="1563"/>
      <c r="JO19" s="1563"/>
      <c r="JP19" s="1563"/>
      <c r="JQ19" s="1563"/>
      <c r="JR19" s="351"/>
      <c r="JS19" s="1400" t="s">
        <v>3517</v>
      </c>
      <c r="JT19" s="450" t="s">
        <v>2224</v>
      </c>
    </row>
    <row r="20" spans="1:280" ht="20" x14ac:dyDescent="0.25">
      <c r="A20" s="1367">
        <v>19</v>
      </c>
      <c r="B20" s="1411">
        <f t="shared" si="0"/>
        <v>1844</v>
      </c>
      <c r="C20" s="1435" t="s">
        <v>3518</v>
      </c>
      <c r="D20" s="1436" t="s">
        <v>3519</v>
      </c>
      <c r="E20" s="1361"/>
      <c r="F20" s="1361"/>
      <c r="G20" s="1361"/>
      <c r="H20" s="1361"/>
      <c r="I20" s="1361"/>
      <c r="J20" s="1361"/>
      <c r="K20" s="1361"/>
      <c r="L20" s="1361"/>
      <c r="M20" s="1361"/>
      <c r="N20" s="1494"/>
      <c r="O20" s="1494"/>
      <c r="P20" s="1494"/>
      <c r="Q20" s="1494"/>
      <c r="R20" s="1494"/>
      <c r="S20" s="1494"/>
      <c r="T20" s="1494"/>
      <c r="U20" s="1494"/>
      <c r="V20" s="1494"/>
      <c r="W20" s="1494"/>
      <c r="X20" s="1494"/>
      <c r="Y20" s="1494"/>
      <c r="Z20" s="1494"/>
      <c r="AA20" s="1494"/>
      <c r="AB20" s="1494"/>
      <c r="AC20" s="1494"/>
      <c r="AD20" s="1494"/>
      <c r="AE20" s="1494"/>
      <c r="AF20" s="1494"/>
      <c r="AG20" s="1494"/>
      <c r="AH20" s="1494"/>
      <c r="AI20" s="1494"/>
      <c r="AJ20" s="1494"/>
      <c r="AK20" s="1494"/>
      <c r="AL20" s="1494"/>
      <c r="AM20" s="1494"/>
      <c r="AN20" s="1494"/>
      <c r="AO20" s="1494"/>
      <c r="AP20" s="1494"/>
      <c r="AQ20" s="1494"/>
      <c r="AR20" s="1494"/>
      <c r="AS20" s="1494"/>
      <c r="AT20" s="1494"/>
      <c r="AU20" s="1494"/>
      <c r="AV20" s="1494"/>
      <c r="AW20" s="1494"/>
      <c r="AX20" s="1494"/>
      <c r="AY20" s="1494"/>
      <c r="AZ20" s="1494"/>
      <c r="BA20" s="1494"/>
      <c r="BB20" s="1494"/>
      <c r="BC20" s="1568"/>
      <c r="BD20" s="1568"/>
      <c r="BE20" s="1494"/>
      <c r="BF20" s="1494"/>
      <c r="BG20" s="1494"/>
      <c r="BH20" s="1494"/>
      <c r="BI20" s="1494"/>
      <c r="BJ20" s="1494"/>
      <c r="BK20" s="1494"/>
      <c r="BL20" s="1494"/>
      <c r="BM20" s="1494"/>
      <c r="BN20" s="1494"/>
      <c r="BO20" s="1494"/>
      <c r="BP20" s="1494"/>
      <c r="BQ20" s="1494"/>
      <c r="BR20" s="1494"/>
      <c r="BS20" s="1494"/>
      <c r="BT20" s="1494"/>
      <c r="BU20" s="1494"/>
      <c r="BV20" s="1494"/>
      <c r="BW20" s="1494"/>
      <c r="BX20" s="1494"/>
      <c r="BY20" s="1494"/>
      <c r="BZ20" s="1494"/>
      <c r="CA20" s="1494"/>
      <c r="CB20" s="1494"/>
      <c r="CC20" s="1494"/>
      <c r="CD20" s="1494"/>
      <c r="CE20" s="1494"/>
      <c r="CF20" s="1494"/>
      <c r="CG20" s="1494"/>
      <c r="CH20" s="1494"/>
      <c r="CI20" s="1568"/>
      <c r="CJ20" s="1494"/>
      <c r="CK20" s="1494"/>
      <c r="CL20" s="1494"/>
      <c r="CM20" s="1494"/>
      <c r="CN20" s="1494"/>
      <c r="CO20" s="1494"/>
      <c r="CP20" s="1494"/>
      <c r="CQ20" s="1494"/>
      <c r="CR20" s="1494"/>
      <c r="CS20" s="1494"/>
      <c r="CT20" s="1494"/>
      <c r="CU20" s="1494"/>
      <c r="CV20" s="1494"/>
      <c r="CW20" s="1568"/>
      <c r="CX20" s="1568">
        <v>5500</v>
      </c>
      <c r="CY20" s="1494"/>
      <c r="CZ20" s="1494"/>
      <c r="DA20" s="1494"/>
      <c r="DB20" s="1494"/>
      <c r="DC20" s="1494"/>
      <c r="DD20" s="1568"/>
      <c r="DE20" s="1494"/>
      <c r="DF20" s="1494"/>
      <c r="DG20" s="1568"/>
      <c r="DH20" s="1494"/>
      <c r="DI20" s="1494"/>
      <c r="DJ20" s="1494"/>
      <c r="DK20" s="1494"/>
      <c r="DL20" s="1494"/>
      <c r="DM20" s="1568"/>
      <c r="DN20" s="1494"/>
      <c r="DO20" s="1494"/>
      <c r="DP20" s="1494"/>
      <c r="DQ20" s="1494"/>
      <c r="DR20" s="1494"/>
      <c r="DS20" s="1494"/>
      <c r="DT20" s="1494"/>
      <c r="DU20" s="1568"/>
      <c r="DV20" s="1494"/>
      <c r="DW20" s="1494"/>
      <c r="DX20" s="1494"/>
      <c r="DY20" s="1494"/>
      <c r="DZ20" s="1494"/>
      <c r="EA20" s="1494"/>
      <c r="EB20" s="1494"/>
      <c r="EC20" s="1494"/>
      <c r="ED20" s="1494"/>
      <c r="EE20" s="1494"/>
      <c r="EF20" s="1494"/>
      <c r="EG20" s="1494"/>
      <c r="EH20" s="1494"/>
      <c r="EI20" s="1494"/>
      <c r="EJ20" s="1494"/>
      <c r="EK20" s="1494"/>
      <c r="EL20" s="1494"/>
      <c r="EM20" s="1494"/>
      <c r="EN20" s="1494"/>
      <c r="EO20" s="1494"/>
      <c r="EP20" s="1494"/>
      <c r="EQ20" s="1494"/>
      <c r="ER20" s="1494"/>
      <c r="ES20" s="1494"/>
      <c r="ET20" s="1494"/>
      <c r="EU20" s="1494"/>
      <c r="EV20" s="1494"/>
      <c r="EW20" s="1494"/>
      <c r="EX20" s="1494"/>
      <c r="EY20" s="1494"/>
      <c r="EZ20" s="1494"/>
      <c r="FA20" s="1494"/>
      <c r="FB20" s="1494"/>
      <c r="FC20" s="1494"/>
      <c r="FD20" s="1568"/>
      <c r="FE20" s="1494"/>
      <c r="FF20" s="1568"/>
      <c r="FG20" s="1494"/>
      <c r="FH20" s="1494"/>
      <c r="FI20" s="1568"/>
      <c r="FJ20" s="1568"/>
      <c r="FK20" s="1494"/>
      <c r="FL20" s="1494"/>
      <c r="FM20" s="1494"/>
      <c r="FN20" s="1494"/>
      <c r="FO20" s="1494"/>
      <c r="FP20" s="1481">
        <v>1844</v>
      </c>
      <c r="FQ20" s="1494"/>
      <c r="FR20" s="1494"/>
      <c r="FS20" s="1494"/>
      <c r="FT20" s="1494"/>
      <c r="FU20" s="1494"/>
      <c r="FV20" s="1494"/>
      <c r="FW20" s="1494"/>
      <c r="FX20" s="1494"/>
      <c r="FY20" s="1494"/>
      <c r="FZ20" s="1494"/>
      <c r="GA20" s="1494"/>
      <c r="GB20" s="1494"/>
      <c r="GC20" s="1494"/>
      <c r="GD20" s="1494"/>
      <c r="GE20" s="1494"/>
      <c r="GF20" s="1494"/>
      <c r="GG20" s="1494"/>
      <c r="GH20" s="1494"/>
      <c r="GI20" s="1494"/>
      <c r="GJ20" s="1494"/>
      <c r="GK20" s="1494"/>
      <c r="GL20" s="1568"/>
      <c r="GM20" s="1568"/>
      <c r="GN20" s="1494"/>
      <c r="GO20" s="1494"/>
      <c r="GP20" s="1494"/>
      <c r="GQ20" s="1494"/>
      <c r="GR20" s="1494"/>
      <c r="GS20" s="1494"/>
      <c r="GT20" s="1494"/>
      <c r="GU20" s="1494"/>
      <c r="GV20" s="1494"/>
      <c r="GW20" s="1494"/>
      <c r="GX20" s="1494"/>
      <c r="GY20" s="1494"/>
      <c r="GZ20" s="1568">
        <v>62547</v>
      </c>
      <c r="HA20" s="1568">
        <v>62547</v>
      </c>
      <c r="HB20" s="1568">
        <v>71159</v>
      </c>
      <c r="HC20" s="1494"/>
      <c r="HD20" s="1494"/>
      <c r="HE20" s="1494"/>
      <c r="HF20" s="1494"/>
      <c r="HG20" s="1494"/>
      <c r="HH20" s="1494"/>
      <c r="HI20" s="1494"/>
      <c r="HJ20" s="1494"/>
      <c r="HK20" s="1494"/>
      <c r="HL20" s="1494"/>
      <c r="HM20" s="1494"/>
      <c r="HN20" s="1494"/>
      <c r="HO20" s="1494"/>
      <c r="HP20" s="1494"/>
      <c r="HQ20" s="1494"/>
      <c r="HR20" s="1494"/>
      <c r="HS20" s="1494"/>
      <c r="HT20" s="1494"/>
      <c r="HU20" s="1494"/>
      <c r="HV20" s="1494">
        <v>62547</v>
      </c>
      <c r="HW20" s="1494"/>
      <c r="HX20" s="1494"/>
      <c r="HY20" s="1494">
        <v>5260</v>
      </c>
      <c r="HZ20" s="1494"/>
      <c r="IA20" s="1494"/>
      <c r="IB20" s="1494"/>
      <c r="IC20" s="1494"/>
      <c r="ID20" s="1494"/>
      <c r="IE20" s="1494"/>
      <c r="IF20" s="1494"/>
      <c r="IG20" s="1494"/>
      <c r="IH20" s="1494"/>
      <c r="II20" s="1494"/>
      <c r="IJ20" s="1494"/>
      <c r="IK20" s="1494"/>
      <c r="IL20" s="1494"/>
      <c r="IM20" s="1494"/>
      <c r="IN20" s="1494"/>
      <c r="IO20" s="1494"/>
      <c r="IP20" s="1494"/>
      <c r="IQ20" s="1494"/>
      <c r="IR20" s="1494"/>
      <c r="IS20" s="1494"/>
      <c r="IT20" s="1494"/>
      <c r="IU20" s="1494"/>
      <c r="IV20" s="1494"/>
      <c r="IW20" s="1494"/>
      <c r="IX20" s="1494"/>
      <c r="IY20" s="1568"/>
      <c r="IZ20" s="1494"/>
      <c r="JA20" s="1494"/>
      <c r="JB20" s="1494"/>
      <c r="JC20" s="1494"/>
      <c r="JD20" s="1494"/>
      <c r="JE20" s="1494"/>
      <c r="JF20" s="1494"/>
      <c r="JG20" s="1494"/>
      <c r="JH20" s="1494"/>
      <c r="JI20" s="1494"/>
      <c r="JJ20" s="1494"/>
      <c r="JK20" s="1494"/>
      <c r="JL20" s="1494"/>
      <c r="JM20" s="1494"/>
      <c r="JN20" s="1494"/>
      <c r="JO20" s="1494"/>
      <c r="JP20" s="1494"/>
      <c r="JQ20" s="1499"/>
      <c r="JR20" s="351"/>
      <c r="JS20" s="1400" t="s">
        <v>3520</v>
      </c>
      <c r="JT20" s="450" t="s">
        <v>2242</v>
      </c>
    </row>
    <row r="21" spans="1:280" ht="20" x14ac:dyDescent="0.25">
      <c r="A21" s="1367">
        <v>20</v>
      </c>
      <c r="B21" s="1411" t="str">
        <f t="shared" si="0"/>
        <v/>
      </c>
      <c r="C21" s="1435" t="s">
        <v>3521</v>
      </c>
      <c r="D21" s="1436" t="s">
        <v>3005</v>
      </c>
      <c r="E21" s="1361"/>
      <c r="F21" s="1361"/>
      <c r="G21" s="1361"/>
      <c r="H21" s="1361"/>
      <c r="I21" s="1361"/>
      <c r="J21" s="1361"/>
      <c r="K21" s="1361"/>
      <c r="L21" s="1361"/>
      <c r="M21" s="1361"/>
      <c r="N21" s="1494"/>
      <c r="O21" s="1494"/>
      <c r="P21" s="1494"/>
      <c r="Q21" s="1494"/>
      <c r="R21" s="1494"/>
      <c r="S21" s="1494"/>
      <c r="T21" s="1494"/>
      <c r="U21" s="1494"/>
      <c r="V21" s="1494"/>
      <c r="W21" s="1494"/>
      <c r="X21" s="1494"/>
      <c r="Y21" s="1494"/>
      <c r="Z21" s="1494"/>
      <c r="AA21" s="1494"/>
      <c r="AB21" s="1494"/>
      <c r="AC21" s="1494"/>
      <c r="AD21" s="1494"/>
      <c r="AE21" s="1494"/>
      <c r="AF21" s="1494"/>
      <c r="AG21" s="1494"/>
      <c r="AH21" s="1494"/>
      <c r="AI21" s="1494"/>
      <c r="AJ21" s="1568"/>
      <c r="AK21" s="1494"/>
      <c r="AL21" s="1494"/>
      <c r="AM21" s="1494"/>
      <c r="AN21" s="1494"/>
      <c r="AO21" s="1494"/>
      <c r="AP21" s="1494"/>
      <c r="AQ21" s="1494"/>
      <c r="AR21" s="1494"/>
      <c r="AS21" s="1494"/>
      <c r="AT21" s="1494"/>
      <c r="AU21" s="1494"/>
      <c r="AV21" s="1494"/>
      <c r="AW21" s="1494"/>
      <c r="AX21" s="1494"/>
      <c r="AY21" s="1494"/>
      <c r="AZ21" s="1494"/>
      <c r="BA21" s="1494"/>
      <c r="BB21" s="1494"/>
      <c r="BC21" s="1568"/>
      <c r="BD21" s="1568"/>
      <c r="BE21" s="1494"/>
      <c r="BF21" s="1494"/>
      <c r="BG21" s="1494"/>
      <c r="BH21" s="1494"/>
      <c r="BI21" s="1494"/>
      <c r="BJ21" s="1494"/>
      <c r="BK21" s="1494"/>
      <c r="BL21" s="1494"/>
      <c r="BM21" s="1494"/>
      <c r="BN21" s="1494"/>
      <c r="BO21" s="1494"/>
      <c r="BP21" s="1494"/>
      <c r="BQ21" s="1494"/>
      <c r="BR21" s="1494"/>
      <c r="BS21" s="1494"/>
      <c r="BT21" s="1494"/>
      <c r="BU21" s="1494"/>
      <c r="BV21" s="1494"/>
      <c r="BW21" s="1494"/>
      <c r="BX21" s="1494"/>
      <c r="BY21" s="1494"/>
      <c r="BZ21" s="1494"/>
      <c r="CA21" s="1494"/>
      <c r="CB21" s="1494"/>
      <c r="CC21" s="1494"/>
      <c r="CD21" s="1494"/>
      <c r="CE21" s="1494"/>
      <c r="CF21" s="1494"/>
      <c r="CG21" s="1494"/>
      <c r="CH21" s="1494"/>
      <c r="CI21" s="1568"/>
      <c r="CJ21" s="1494"/>
      <c r="CK21" s="1494"/>
      <c r="CL21" s="1494"/>
      <c r="CM21" s="1494"/>
      <c r="CN21" s="1494"/>
      <c r="CO21" s="1494"/>
      <c r="CP21" s="1494"/>
      <c r="CQ21" s="1494"/>
      <c r="CR21" s="1494"/>
      <c r="CS21" s="1494"/>
      <c r="CT21" s="1494"/>
      <c r="CU21" s="1494"/>
      <c r="CV21" s="1494"/>
      <c r="CW21" s="1568"/>
      <c r="CX21" s="1568"/>
      <c r="CY21" s="1494"/>
      <c r="CZ21" s="1494"/>
      <c r="DA21" s="1494"/>
      <c r="DB21" s="1494"/>
      <c r="DC21" s="1494"/>
      <c r="DD21" s="1568"/>
      <c r="DE21" s="1494"/>
      <c r="DF21" s="1494"/>
      <c r="DG21" s="1568"/>
      <c r="DH21" s="1494"/>
      <c r="DI21" s="1494"/>
      <c r="DJ21" s="1494"/>
      <c r="DK21" s="1494"/>
      <c r="DL21" s="1494"/>
      <c r="DM21" s="1568"/>
      <c r="DN21" s="1494"/>
      <c r="DO21" s="1494"/>
      <c r="DP21" s="1494"/>
      <c r="DQ21" s="1494"/>
      <c r="DR21" s="1494"/>
      <c r="DS21" s="1494"/>
      <c r="DT21" s="1494"/>
      <c r="DU21" s="1568"/>
      <c r="DV21" s="1494"/>
      <c r="DW21" s="1494"/>
      <c r="DX21" s="1494"/>
      <c r="DY21" s="1494"/>
      <c r="DZ21" s="1494"/>
      <c r="EA21" s="1494"/>
      <c r="EB21" s="1494"/>
      <c r="EC21" s="1494"/>
      <c r="ED21" s="1494"/>
      <c r="EE21" s="1494"/>
      <c r="EF21" s="1494"/>
      <c r="EG21" s="1494"/>
      <c r="EH21" s="1494"/>
      <c r="EI21" s="1494"/>
      <c r="EJ21" s="1494"/>
      <c r="EK21" s="1494"/>
      <c r="EL21" s="1494"/>
      <c r="EM21" s="1494"/>
      <c r="EN21" s="1494"/>
      <c r="EO21" s="1494"/>
      <c r="EP21" s="1494"/>
      <c r="EQ21" s="1494"/>
      <c r="ER21" s="1494"/>
      <c r="ES21" s="1494"/>
      <c r="ET21" s="1494"/>
      <c r="EU21" s="1494"/>
      <c r="EV21" s="1494"/>
      <c r="EW21" s="1494"/>
      <c r="EX21" s="1494"/>
      <c r="EY21" s="1494"/>
      <c r="EZ21" s="1494"/>
      <c r="FA21" s="1494"/>
      <c r="FB21" s="1494"/>
      <c r="FC21" s="1494"/>
      <c r="FD21" s="1568"/>
      <c r="FE21" s="1494"/>
      <c r="FF21" s="1568"/>
      <c r="FG21" s="1494"/>
      <c r="FH21" s="1494"/>
      <c r="FI21" s="1568"/>
      <c r="FJ21" s="1568"/>
      <c r="FK21" s="1494"/>
      <c r="FL21" s="1494"/>
      <c r="FM21" s="1494"/>
      <c r="FN21" s="1494"/>
      <c r="FO21" s="1494"/>
      <c r="FP21" s="1494"/>
      <c r="FQ21" s="1494"/>
      <c r="FR21" s="1494"/>
      <c r="FS21" s="1494"/>
      <c r="FT21" s="1494"/>
      <c r="FU21" s="1494"/>
      <c r="FV21" s="1494"/>
      <c r="FW21" s="1494"/>
      <c r="FX21" s="1494"/>
      <c r="FY21" s="1494"/>
      <c r="FZ21" s="1494"/>
      <c r="GA21" s="1494"/>
      <c r="GB21" s="1494"/>
      <c r="GC21" s="1494"/>
      <c r="GD21" s="1494"/>
      <c r="GE21" s="1494"/>
      <c r="GF21" s="1494"/>
      <c r="GG21" s="1494"/>
      <c r="GH21" s="1494"/>
      <c r="GI21" s="1494"/>
      <c r="GJ21" s="1494"/>
      <c r="GK21" s="1494"/>
      <c r="GL21" s="1568"/>
      <c r="GM21" s="1568"/>
      <c r="GN21" s="1494"/>
      <c r="GO21" s="1494"/>
      <c r="GP21" s="1494"/>
      <c r="GQ21" s="1494"/>
      <c r="GR21" s="1494"/>
      <c r="GS21" s="1494"/>
      <c r="GT21" s="1494"/>
      <c r="GU21" s="1494"/>
      <c r="GV21" s="1494"/>
      <c r="GW21" s="1494"/>
      <c r="GX21" s="1494"/>
      <c r="GY21" s="1494"/>
      <c r="GZ21" s="1568"/>
      <c r="HA21" s="1568"/>
      <c r="HB21" s="1568"/>
      <c r="HC21" s="1494"/>
      <c r="HD21" s="1494"/>
      <c r="HE21" s="1494"/>
      <c r="HF21" s="1494"/>
      <c r="HG21" s="1494"/>
      <c r="HH21" s="1494"/>
      <c r="HI21" s="1494"/>
      <c r="HJ21" s="1494"/>
      <c r="HK21" s="1494"/>
      <c r="HL21" s="1494"/>
      <c r="HM21" s="1494"/>
      <c r="HN21" s="1494"/>
      <c r="HO21" s="1494"/>
      <c r="HP21" s="1494"/>
      <c r="HQ21" s="1494"/>
      <c r="HR21" s="1494"/>
      <c r="HS21" s="1494"/>
      <c r="HT21" s="1494"/>
      <c r="HU21" s="1494"/>
      <c r="HV21" s="1494"/>
      <c r="HW21" s="1494"/>
      <c r="HX21" s="1494"/>
      <c r="HY21" s="1494"/>
      <c r="HZ21" s="1494"/>
      <c r="IA21" s="1494"/>
      <c r="IB21" s="1494"/>
      <c r="IC21" s="1494"/>
      <c r="ID21" s="1494"/>
      <c r="IE21" s="1494"/>
      <c r="IF21" s="1494"/>
      <c r="IG21" s="1494"/>
      <c r="IH21" s="1494"/>
      <c r="II21" s="1494"/>
      <c r="IJ21" s="1494"/>
      <c r="IK21" s="1494"/>
      <c r="IL21" s="1494"/>
      <c r="IM21" s="1494"/>
      <c r="IN21" s="1494"/>
      <c r="IO21" s="1494"/>
      <c r="IP21" s="1494"/>
      <c r="IQ21" s="1494"/>
      <c r="IR21" s="1494"/>
      <c r="IS21" s="1494"/>
      <c r="IT21" s="1494"/>
      <c r="IU21" s="1494"/>
      <c r="IV21" s="1494"/>
      <c r="IW21" s="1494"/>
      <c r="IX21" s="1494"/>
      <c r="IY21" s="1568"/>
      <c r="IZ21" s="1494"/>
      <c r="JA21" s="1494"/>
      <c r="JB21" s="1494"/>
      <c r="JC21" s="1494"/>
      <c r="JD21" s="1494"/>
      <c r="JE21" s="1494"/>
      <c r="JF21" s="1494"/>
      <c r="JG21" s="1494"/>
      <c r="JH21" s="1494"/>
      <c r="JI21" s="1494"/>
      <c r="JJ21" s="1494"/>
      <c r="JK21" s="1494"/>
      <c r="JL21" s="1494"/>
      <c r="JM21" s="1494"/>
      <c r="JN21" s="1494"/>
      <c r="JO21" s="1494"/>
      <c r="JP21" s="1494"/>
      <c r="JQ21" s="1499"/>
      <c r="JR21" s="351"/>
      <c r="JS21" s="1400" t="s">
        <v>3522</v>
      </c>
      <c r="JT21" s="450" t="s">
        <v>2224</v>
      </c>
    </row>
    <row r="22" spans="1:280" ht="12.5" x14ac:dyDescent="0.25">
      <c r="A22" s="1367">
        <v>21</v>
      </c>
      <c r="B22" s="1411" t="str">
        <f t="shared" si="0"/>
        <v/>
      </c>
      <c r="C22" s="1435" t="s">
        <v>3523</v>
      </c>
      <c r="D22" s="1436" t="s">
        <v>3524</v>
      </c>
      <c r="E22" s="1361"/>
      <c r="F22" s="1361"/>
      <c r="G22" s="1361"/>
      <c r="H22" s="1361"/>
      <c r="I22" s="1361"/>
      <c r="J22" s="1361"/>
      <c r="K22" s="1361"/>
      <c r="L22" s="1361"/>
      <c r="M22" s="1361"/>
      <c r="N22" s="1494"/>
      <c r="O22" s="1494"/>
      <c r="P22" s="1494"/>
      <c r="Q22" s="1494"/>
      <c r="R22" s="1494"/>
      <c r="S22" s="1494"/>
      <c r="T22" s="1494"/>
      <c r="U22" s="1494"/>
      <c r="V22" s="1494"/>
      <c r="W22" s="1494"/>
      <c r="X22" s="1494"/>
      <c r="Y22" s="1494"/>
      <c r="Z22" s="1494"/>
      <c r="AA22" s="1494"/>
      <c r="AB22" s="1494"/>
      <c r="AC22" s="1494"/>
      <c r="AD22" s="1494"/>
      <c r="AE22" s="1494"/>
      <c r="AF22" s="1494"/>
      <c r="AG22" s="1494"/>
      <c r="AH22" s="1494"/>
      <c r="AI22" s="1494"/>
      <c r="AJ22" s="1568"/>
      <c r="AK22" s="1494"/>
      <c r="AL22" s="1494"/>
      <c r="AM22" s="1494"/>
      <c r="AN22" s="1494"/>
      <c r="AO22" s="1494"/>
      <c r="AP22" s="1494"/>
      <c r="AQ22" s="1494"/>
      <c r="AR22" s="1494"/>
      <c r="AS22" s="1494"/>
      <c r="AT22" s="1494"/>
      <c r="AU22" s="1494"/>
      <c r="AV22" s="1494"/>
      <c r="AW22" s="1494"/>
      <c r="AX22" s="1494"/>
      <c r="AY22" s="1494"/>
      <c r="AZ22" s="1494"/>
      <c r="BA22" s="1494"/>
      <c r="BB22" s="1494"/>
      <c r="BC22" s="1568"/>
      <c r="BD22" s="1568"/>
      <c r="BE22" s="1494"/>
      <c r="BF22" s="1494"/>
      <c r="BG22" s="1494"/>
      <c r="BH22" s="1494"/>
      <c r="BI22" s="1494"/>
      <c r="BJ22" s="1494"/>
      <c r="BK22" s="1494"/>
      <c r="BL22" s="1494"/>
      <c r="BM22" s="1494"/>
      <c r="BN22" s="1494"/>
      <c r="BO22" s="1494"/>
      <c r="BP22" s="1494"/>
      <c r="BQ22" s="1494"/>
      <c r="BR22" s="1494"/>
      <c r="BS22" s="1494"/>
      <c r="BT22" s="1494"/>
      <c r="BU22" s="1494"/>
      <c r="BV22" s="1494"/>
      <c r="BW22" s="1494"/>
      <c r="BX22" s="1494"/>
      <c r="BY22" s="1494"/>
      <c r="BZ22" s="1494"/>
      <c r="CA22" s="1494"/>
      <c r="CB22" s="1494"/>
      <c r="CC22" s="1494"/>
      <c r="CD22" s="1494"/>
      <c r="CE22" s="1494"/>
      <c r="CF22" s="1494"/>
      <c r="CG22" s="1494"/>
      <c r="CH22" s="1494"/>
      <c r="CI22" s="1568"/>
      <c r="CJ22" s="1494"/>
      <c r="CK22" s="1494"/>
      <c r="CL22" s="1494"/>
      <c r="CM22" s="1494"/>
      <c r="CN22" s="1494"/>
      <c r="CO22" s="1494"/>
      <c r="CP22" s="1494"/>
      <c r="CQ22" s="1494"/>
      <c r="CR22" s="1494"/>
      <c r="CS22" s="1494"/>
      <c r="CT22" s="1494"/>
      <c r="CU22" s="1494"/>
      <c r="CV22" s="1494"/>
      <c r="CW22" s="1568"/>
      <c r="CX22" s="1568"/>
      <c r="CY22" s="1494"/>
      <c r="CZ22" s="1494"/>
      <c r="DA22" s="1494"/>
      <c r="DB22" s="1494"/>
      <c r="DC22" s="1494"/>
      <c r="DD22" s="1568"/>
      <c r="DE22" s="1494"/>
      <c r="DF22" s="1494"/>
      <c r="DG22" s="1568"/>
      <c r="DH22" s="1494"/>
      <c r="DI22" s="1494"/>
      <c r="DJ22" s="1494"/>
      <c r="DK22" s="1494"/>
      <c r="DL22" s="1494"/>
      <c r="DM22" s="1568"/>
      <c r="DN22" s="1494"/>
      <c r="DO22" s="1494"/>
      <c r="DP22" s="1494"/>
      <c r="DQ22" s="1494"/>
      <c r="DR22" s="1494"/>
      <c r="DS22" s="1494"/>
      <c r="DT22" s="1494"/>
      <c r="DU22" s="1568"/>
      <c r="DV22" s="1494"/>
      <c r="DW22" s="1494"/>
      <c r="DX22" s="1494"/>
      <c r="DY22" s="1494"/>
      <c r="DZ22" s="1494"/>
      <c r="EA22" s="1494"/>
      <c r="EB22" s="1494"/>
      <c r="EC22" s="1494"/>
      <c r="ED22" s="1494"/>
      <c r="EE22" s="1494"/>
      <c r="EF22" s="1494"/>
      <c r="EG22" s="1494"/>
      <c r="EH22" s="1494"/>
      <c r="EI22" s="1494"/>
      <c r="EJ22" s="1494"/>
      <c r="EK22" s="1494"/>
      <c r="EL22" s="1494"/>
      <c r="EM22" s="1494"/>
      <c r="EN22" s="1494"/>
      <c r="EO22" s="1494"/>
      <c r="EP22" s="1494"/>
      <c r="EQ22" s="1494"/>
      <c r="ER22" s="1494"/>
      <c r="ES22" s="1494"/>
      <c r="ET22" s="1494"/>
      <c r="EU22" s="1494"/>
      <c r="EV22" s="1494"/>
      <c r="EW22" s="1494"/>
      <c r="EX22" s="1494"/>
      <c r="EY22" s="1494"/>
      <c r="EZ22" s="1494"/>
      <c r="FA22" s="1494"/>
      <c r="FB22" s="1494"/>
      <c r="FC22" s="1494"/>
      <c r="FD22" s="1568"/>
      <c r="FE22" s="1494"/>
      <c r="FF22" s="1568"/>
      <c r="FG22" s="1494"/>
      <c r="FH22" s="1494"/>
      <c r="FI22" s="1568"/>
      <c r="FJ22" s="1568"/>
      <c r="FK22" s="1494"/>
      <c r="FL22" s="1494"/>
      <c r="FM22" s="1494"/>
      <c r="FN22" s="1494"/>
      <c r="FO22" s="1494"/>
      <c r="FP22" s="1494"/>
      <c r="FQ22" s="1494"/>
      <c r="FR22" s="1494"/>
      <c r="FS22" s="1494"/>
      <c r="FT22" s="1494"/>
      <c r="FU22" s="1494"/>
      <c r="FV22" s="1494"/>
      <c r="FW22" s="1494"/>
      <c r="FX22" s="1494"/>
      <c r="FY22" s="1494"/>
      <c r="FZ22" s="1494"/>
      <c r="GA22" s="1494"/>
      <c r="GB22" s="1494"/>
      <c r="GC22" s="1494"/>
      <c r="GD22" s="1494"/>
      <c r="GE22" s="1494"/>
      <c r="GF22" s="1494"/>
      <c r="GG22" s="1494"/>
      <c r="GH22" s="1494"/>
      <c r="GI22" s="1494"/>
      <c r="GJ22" s="1494"/>
      <c r="GK22" s="1494"/>
      <c r="GL22" s="1568"/>
      <c r="GM22" s="1568"/>
      <c r="GN22" s="1494"/>
      <c r="GO22" s="1494"/>
      <c r="GP22" s="1494"/>
      <c r="GQ22" s="1494"/>
      <c r="GR22" s="1494"/>
      <c r="GS22" s="1494"/>
      <c r="GT22" s="1494"/>
      <c r="GU22" s="1494"/>
      <c r="GV22" s="1494"/>
      <c r="GW22" s="1494"/>
      <c r="GX22" s="1494"/>
      <c r="GY22" s="1494"/>
      <c r="GZ22" s="1568"/>
      <c r="HA22" s="1568"/>
      <c r="HB22" s="1568"/>
      <c r="HC22" s="1494"/>
      <c r="HD22" s="1494"/>
      <c r="HE22" s="1494"/>
      <c r="HF22" s="1494"/>
      <c r="HG22" s="1494"/>
      <c r="HH22" s="1494"/>
      <c r="HI22" s="1494"/>
      <c r="HJ22" s="1494"/>
      <c r="HK22" s="1494"/>
      <c r="HL22" s="1494"/>
      <c r="HM22" s="1481">
        <v>292</v>
      </c>
      <c r="HN22" s="1494"/>
      <c r="HO22" s="1494"/>
      <c r="HP22" s="1494"/>
      <c r="HQ22" s="1494"/>
      <c r="HR22" s="1494"/>
      <c r="HS22" s="1494"/>
      <c r="HT22" s="1494"/>
      <c r="HU22" s="1494"/>
      <c r="HV22" s="1494"/>
      <c r="HW22" s="1494"/>
      <c r="HX22" s="1494"/>
      <c r="HY22" s="1494"/>
      <c r="HZ22" s="1494"/>
      <c r="IA22" s="1494"/>
      <c r="IB22" s="1494"/>
      <c r="IC22" s="1494"/>
      <c r="ID22" s="1494"/>
      <c r="IE22" s="1494"/>
      <c r="IF22" s="1494"/>
      <c r="IG22" s="1494"/>
      <c r="IH22" s="1494"/>
      <c r="II22" s="1494"/>
      <c r="IJ22" s="1494"/>
      <c r="IK22" s="1494"/>
      <c r="IL22" s="1494"/>
      <c r="IM22" s="1494"/>
      <c r="IN22" s="1494"/>
      <c r="IO22" s="1494"/>
      <c r="IP22" s="1494"/>
      <c r="IQ22" s="1494"/>
      <c r="IR22" s="1494"/>
      <c r="IS22" s="1494"/>
      <c r="IT22" s="1494"/>
      <c r="IU22" s="1494"/>
      <c r="IV22" s="1494"/>
      <c r="IW22" s="1494"/>
      <c r="IX22" s="1494"/>
      <c r="IY22" s="1568"/>
      <c r="IZ22" s="1494"/>
      <c r="JA22" s="1494"/>
      <c r="JB22" s="1494"/>
      <c r="JC22" s="1494"/>
      <c r="JD22" s="1494"/>
      <c r="JE22" s="1494"/>
      <c r="JF22" s="1494"/>
      <c r="JG22" s="1494"/>
      <c r="JH22" s="1494"/>
      <c r="JI22" s="1494"/>
      <c r="JJ22" s="1494"/>
      <c r="JK22" s="1494"/>
      <c r="JL22" s="1494">
        <v>154721</v>
      </c>
      <c r="JM22" s="1494"/>
      <c r="JN22" s="1494"/>
      <c r="JO22" s="1494"/>
      <c r="JP22" s="1494"/>
      <c r="JQ22" s="1499"/>
      <c r="JR22" s="351"/>
      <c r="JS22" s="1400"/>
      <c r="JT22" s="450" t="s">
        <v>2224</v>
      </c>
    </row>
    <row r="23" spans="1:280" ht="12.5" x14ac:dyDescent="0.25">
      <c r="A23" s="1367">
        <v>22</v>
      </c>
      <c r="B23" s="1411" t="str">
        <f t="shared" si="0"/>
        <v/>
      </c>
      <c r="C23" s="1435" t="s">
        <v>3525</v>
      </c>
      <c r="D23" s="1436" t="str">
        <f>"If your total profits for "&amp;tax_year&amp;" are less than "&amp;DOLLAR(NIC2_SPT,0)&amp;" and you choose to pay Class 2 NICs voluntarily, put 'X' in the box"</f>
        <v>If your total profits for 2025-26 are less than £6,845 and you choose to pay Class 2 NICs voluntarily, put 'X' in the box</v>
      </c>
      <c r="E23" s="1778"/>
      <c r="F23" s="1778"/>
      <c r="G23" s="1778"/>
      <c r="H23" s="1778"/>
      <c r="I23" s="1778"/>
      <c r="J23" s="1778"/>
      <c r="K23" s="1778"/>
      <c r="L23" s="1778"/>
      <c r="M23" s="1778"/>
      <c r="N23" s="1778"/>
      <c r="O23" s="1778"/>
      <c r="P23" s="1778"/>
      <c r="Q23" s="1778"/>
      <c r="R23" s="1778"/>
      <c r="S23" s="1778"/>
      <c r="T23" s="1778"/>
      <c r="U23" s="1778"/>
      <c r="V23" s="1778"/>
      <c r="W23" s="1778"/>
      <c r="X23" s="1778"/>
      <c r="Y23" s="1778"/>
      <c r="Z23" s="1778"/>
      <c r="AA23" s="1778"/>
      <c r="AB23" s="1778"/>
      <c r="AC23" s="1778"/>
      <c r="AD23" s="1778"/>
      <c r="AE23" s="1778"/>
      <c r="AF23" s="1778"/>
      <c r="AG23" s="1778"/>
      <c r="AH23" s="1778"/>
      <c r="AI23" s="1778"/>
      <c r="AJ23" s="1778"/>
      <c r="AK23" s="1778"/>
      <c r="AL23" s="1778"/>
      <c r="AM23" s="1778"/>
      <c r="AN23" s="1778"/>
      <c r="AO23" s="1778"/>
      <c r="AP23" s="1778"/>
      <c r="AQ23" s="1778"/>
      <c r="AR23" s="1778"/>
      <c r="AS23" s="1778"/>
      <c r="AT23" s="1778"/>
      <c r="AU23" s="1778"/>
      <c r="AV23" s="1778"/>
      <c r="AW23" s="1778"/>
      <c r="AX23" s="1778"/>
      <c r="AY23" s="1778"/>
      <c r="AZ23" s="1778"/>
      <c r="BA23" s="1778"/>
      <c r="BB23" s="1778"/>
      <c r="BC23" s="1778" t="str">
        <f>IF(PS_A_IND&gt;1,IF(SE_A_IND&gt;1,"",IF(SE_B_IND&gt;1,"",IF(LUN_IND&gt;1,"",IF(PS_B_IND&gt;1,"",IF(AND(BC18&lt;NIC2_SPT,NIC2_Vol,NIC_ex_set=FALSE),"Y","N"))))),"")</f>
        <v/>
      </c>
      <c r="BD23" s="1778" t="str">
        <f>IF(PS_A_IND&gt;1,IF(SE_A_IND&gt;1,"",IF(SE_B_IND&gt;1,"",IF(LUN_IND&gt;1,"",IF(PS_B_IND&gt;1,"",IF(AND(BD18&lt;NIC2_SPT,NIC2_Vol,NIC_ex_set=FALSE),"Y","N"))))),"")</f>
        <v/>
      </c>
      <c r="BE23" s="1778"/>
      <c r="BF23" s="1778"/>
      <c r="BG23" s="1778"/>
      <c r="BH23" s="1778"/>
      <c r="BI23" s="1778"/>
      <c r="BJ23" s="1778"/>
      <c r="BK23" s="1778"/>
      <c r="BL23" s="1778"/>
      <c r="BM23" s="1778"/>
      <c r="BN23" s="1778"/>
      <c r="BO23" s="1778"/>
      <c r="BP23" s="1778"/>
      <c r="BQ23" s="1778"/>
      <c r="BR23" s="1778"/>
      <c r="BS23" s="1778"/>
      <c r="BT23" s="1778"/>
      <c r="BU23" s="1778"/>
      <c r="BV23" s="1778"/>
      <c r="BW23" s="1778"/>
      <c r="BX23" s="1778"/>
      <c r="BY23" s="1778"/>
      <c r="BZ23" s="1778"/>
      <c r="CA23" s="1778"/>
      <c r="CB23" s="1778"/>
      <c r="CC23" s="1778"/>
      <c r="CD23" s="1778"/>
      <c r="CE23" s="1778"/>
      <c r="CF23" s="1778"/>
      <c r="CG23" s="1778"/>
      <c r="CH23" s="1778"/>
      <c r="CI23" s="1778" t="str">
        <f>IF(PS_A_IND&gt;1,IF(SE_A_IND&gt;1,"",IF(SE_B_IND&gt;1,"",IF(LUN_IND&gt;1,"",IF(PS_B_IND&gt;1,"",IF(AND(CI18&lt;NIC2_SPT,NIC2_Vol,NIC_ex_set=FALSE),"Y","N"))))),"")</f>
        <v/>
      </c>
      <c r="CJ23" s="1778"/>
      <c r="CK23" s="1778"/>
      <c r="CL23" s="1778"/>
      <c r="CM23" s="1778"/>
      <c r="CN23" s="1778"/>
      <c r="CO23" s="1778"/>
      <c r="CP23" s="1778"/>
      <c r="CQ23" s="1778"/>
      <c r="CR23" s="1778"/>
      <c r="CS23" s="1778"/>
      <c r="CT23" s="1778"/>
      <c r="CU23" s="1778"/>
      <c r="CV23" s="1778"/>
      <c r="CW23" s="1778" t="str">
        <f>IF(PS_A_IND&gt;1,IF(SE_A_IND&gt;1,"",IF(SE_B_IND&gt;1,"",IF(LUN_IND&gt;1,"",IF(PS_B_IND&gt;1,"",IF(AND(CW18&lt;NIC2_SPT,NIC2_Vol,NIC_ex_set=FALSE),"Y","N"))))),"")</f>
        <v/>
      </c>
      <c r="CX23" s="1778" t="str">
        <f>IF(PS_A_IND&gt;1,IF(SE_A_IND&gt;1,"",IF(SE_B_IND&gt;1,"",IF(LUN_IND&gt;1,"",IF(PS_B_IND&gt;1,"",IF(AND(CX18&lt;NIC2_SPT,NIC2_Vol,NIC_ex_set=FALSE),"Y","N"))))),"")</f>
        <v/>
      </c>
      <c r="CY23" s="1778"/>
      <c r="CZ23" s="1778"/>
      <c r="DA23" s="1778"/>
      <c r="DB23" s="1778"/>
      <c r="DC23" s="1778"/>
      <c r="DD23" s="1778" t="str">
        <f>IF(PS_A_IND&gt;1,IF(SE_A_IND&gt;1,"",IF(SE_B_IND&gt;1,"",IF(LUN_IND&gt;1,"",IF(PS_B_IND&gt;1,"",IF(AND(DD18&lt;NIC2_SPT,NIC2_Vol,NIC_ex_set=FALSE),"Y","N"))))),"")</f>
        <v/>
      </c>
      <c r="DE23" s="1778"/>
      <c r="DF23" s="1778"/>
      <c r="DG23" s="1778" t="str">
        <f>IF(PS_A_IND&gt;1,IF(SE_A_IND&gt;1,"",IF(SE_B_IND&gt;1,"",IF(LUN_IND&gt;1,"",IF(PS_B_IND&gt;1,"",IF(AND(DG18&lt;NIC2_SPT,NIC2_Vol,NIC_ex_set=FALSE),"Y","N"))))),"")</f>
        <v/>
      </c>
      <c r="DH23" s="1778"/>
      <c r="DI23" s="1778"/>
      <c r="DJ23" s="1778"/>
      <c r="DK23" s="1778"/>
      <c r="DL23" s="1778"/>
      <c r="DM23" s="1778" t="str">
        <f>IF(PS_A_IND&gt;1,IF(SE_A_IND&gt;1,"",IF(SE_B_IND&gt;1,"",IF(LUN_IND&gt;1,"",IF(PS_B_IND&gt;1,"",IF(AND(DM18&lt;NIC2_SPT,NIC2_Vol,NIC_ex_set=FALSE),"Y","N"))))),"")</f>
        <v/>
      </c>
      <c r="DN23" s="1778"/>
      <c r="DO23" s="1778"/>
      <c r="DP23" s="1778"/>
      <c r="DQ23" s="1778"/>
      <c r="DR23" s="1778"/>
      <c r="DS23" s="1778"/>
      <c r="DT23" s="1778"/>
      <c r="DU23" s="1778" t="str">
        <f>IF(PS_A_IND&gt;1,IF(SE_A_IND&gt;1,"",IF(SE_B_IND&gt;1,"",IF(LUN_IND&gt;1,"",IF(PS_B_IND&gt;1,"",IF(AND(DU18&lt;NIC2_SPT,NIC2_Vol,NIC_ex_set=FALSE),"Y","N"))))),"")</f>
        <v/>
      </c>
      <c r="DV23" s="1778"/>
      <c r="DW23" s="1778"/>
      <c r="DX23" s="1778"/>
      <c r="DY23" s="1778"/>
      <c r="DZ23" s="1778"/>
      <c r="EA23" s="1778"/>
      <c r="EB23" s="1778"/>
      <c r="EC23" s="1778"/>
      <c r="ED23" s="1778"/>
      <c r="EE23" s="1778"/>
      <c r="EF23" s="1778"/>
      <c r="EG23" s="1778"/>
      <c r="EH23" s="1778"/>
      <c r="EI23" s="1778"/>
      <c r="EJ23" s="1778"/>
      <c r="EK23" s="1778"/>
      <c r="EL23" s="1778"/>
      <c r="EM23" s="1778"/>
      <c r="EN23" s="1778"/>
      <c r="EO23" s="1778"/>
      <c r="EP23" s="1778"/>
      <c r="EQ23" s="1778"/>
      <c r="ER23" s="1778"/>
      <c r="ES23" s="1778"/>
      <c r="ET23" s="1778"/>
      <c r="EU23" s="1778"/>
      <c r="EV23" s="1778"/>
      <c r="EW23" s="1778"/>
      <c r="EX23" s="1778"/>
      <c r="EY23" s="1778"/>
      <c r="EZ23" s="1778"/>
      <c r="FA23" s="1778"/>
      <c r="FB23" s="1778"/>
      <c r="FC23" s="1778"/>
      <c r="FD23" s="1778" t="str">
        <f>IF(PS_A_IND&gt;1,IF(SE_A_IND&gt;1,"",IF(SE_B_IND&gt;1,"",IF(LUN_IND&gt;1,"",IF(PS_B_IND&gt;1,"",IF(AND(FD18&lt;NIC2_SPT,NIC2_Vol,NIC_ex_set=FALSE),"Y","N"))))),"")</f>
        <v/>
      </c>
      <c r="FE23" s="1778"/>
      <c r="FF23" s="1778" t="str">
        <f>IF(PS_A_IND&gt;1,IF(SE_A_IND&gt;1,"",IF(SE_B_IND&gt;1,"",IF(LUN_IND&gt;1,"",IF(PS_B_IND&gt;1,"",IF(AND(FF18&lt;NIC2_SPT,NIC2_Vol,NIC_ex_set=FALSE),"Y","N"))))),"")</f>
        <v/>
      </c>
      <c r="FG23" s="1778"/>
      <c r="FH23" s="1778"/>
      <c r="FI23" s="1778" t="str">
        <f>IF(PS_A_IND&gt;1,IF(SE_A_IND&gt;1,"",IF(SE_B_IND&gt;1,"",IF(LUN_IND&gt;1,"",IF(PS_B_IND&gt;1,"",IF(AND(FI18&lt;NIC2_SPT,NIC2_Vol,NIC_ex_set=FALSE),"Y","N"))))),"")</f>
        <v/>
      </c>
      <c r="FJ23" s="1778" t="str">
        <f>IF(PS_A_IND&gt;1,IF(SE_A_IND&gt;1,"",IF(SE_B_IND&gt;1,"",IF(LUN_IND&gt;1,"",IF(PS_B_IND&gt;1,"",IF(AND(FJ18&lt;NIC2_SPT,NIC2_Vol,NIC_ex_set=FALSE),"Y","N"))))),"")</f>
        <v/>
      </c>
      <c r="FK23" s="1778"/>
      <c r="FL23" s="1778"/>
      <c r="FM23" s="1778"/>
      <c r="FN23" s="1778"/>
      <c r="FO23" s="1778"/>
      <c r="FP23" s="1778"/>
      <c r="FQ23" s="1778"/>
      <c r="FR23" s="1778"/>
      <c r="FS23" s="1778"/>
      <c r="FT23" s="1778"/>
      <c r="FU23" s="1778"/>
      <c r="FV23" s="1778"/>
      <c r="FW23" s="1778"/>
      <c r="FX23" s="1778"/>
      <c r="FY23" s="1778"/>
      <c r="FZ23" s="1778"/>
      <c r="GA23" s="1778"/>
      <c r="GB23" s="1778"/>
      <c r="GC23" s="1778"/>
      <c r="GD23" s="1778"/>
      <c r="GE23" s="1778"/>
      <c r="GF23" s="1778"/>
      <c r="GG23" s="1778"/>
      <c r="GH23" s="1778"/>
      <c r="GI23" s="1778"/>
      <c r="GJ23" s="1778"/>
      <c r="GK23" s="1778"/>
      <c r="GL23" s="1778" t="str">
        <f>IF(PS_A_IND&gt;1,IF(SE_A_IND&gt;1,"",IF(SE_B_IND&gt;1,"",IF(LUN_IND&gt;1,"",IF(PS_B_IND&gt;1,"",IF(AND(GL18&lt;NIC2_SPT,NIC2_Vol,NIC_ex_set=FALSE),"Y","N"))))),"")</f>
        <v/>
      </c>
      <c r="GM23" s="1778" t="str">
        <f>IF(PS_A_IND&gt;1,IF(SE_A_IND&gt;1,"",IF(SE_B_IND&gt;1,"",IF(LUN_IND&gt;1,"",IF(PS_B_IND&gt;1,"",IF(AND(GM18&lt;NIC2_SPT,NIC2_Vol,NIC_ex_set=FALSE),"Y","N"))))),"")</f>
        <v/>
      </c>
      <c r="GN23" s="1778"/>
      <c r="GO23" s="1778"/>
      <c r="GP23" s="1778"/>
      <c r="GQ23" s="1778"/>
      <c r="GR23" s="1778"/>
      <c r="GS23" s="1778"/>
      <c r="GT23" s="1778"/>
      <c r="GU23" s="1778"/>
      <c r="GV23" s="1778"/>
      <c r="GW23" s="1778"/>
      <c r="GX23" s="1778"/>
      <c r="GY23" s="1778"/>
      <c r="GZ23" s="1778" t="str">
        <f>IF(PS_A_IND&gt;1,IF(SE_A_IND&gt;1,"",IF(SE_B_IND&gt;1,"",IF(LUN_IND&gt;1,"",IF(PS_B_IND&gt;1,"",IF(AND(GZ18&lt;NIC2_SPT,NIC2_Vol,NIC_ex_set=FALSE),"Y","N"))))),"")</f>
        <v/>
      </c>
      <c r="HA23" s="1778" t="str">
        <f>IF(PS_A_IND&gt;1,IF(SE_A_IND&gt;1,"",IF(SE_B_IND&gt;1,"",IF(LUN_IND&gt;1,"",IF(PS_B_IND&gt;1,"",IF(AND(HA18&lt;NIC2_SPT,NIC2_Vol,NIC_ex_set=FALSE),"Y","N"))))),"")</f>
        <v/>
      </c>
      <c r="HB23" s="1778" t="str">
        <f>IF(PS_A_IND&gt;1,IF(SE_A_IND&gt;1,"",IF(SE_B_IND&gt;1,"",IF(LUN_IND&gt;1,"",IF(PS_B_IND&gt;1,"",IF(AND(HB18&lt;NIC2_SPT,NIC2_Vol,NIC_ex_set=FALSE),"Y","N"))))),"")</f>
        <v/>
      </c>
      <c r="HC23" s="1778"/>
      <c r="HD23" s="1778"/>
      <c r="HE23" s="1778"/>
      <c r="HF23" s="1778"/>
      <c r="HG23" s="1778"/>
      <c r="HH23" s="1778"/>
      <c r="HI23" s="1778"/>
      <c r="HJ23" s="1778"/>
      <c r="HK23" s="1778"/>
      <c r="HL23" s="1778"/>
      <c r="HM23" s="1778"/>
      <c r="HN23" s="1778"/>
      <c r="HO23" s="1778"/>
      <c r="HP23" s="1778"/>
      <c r="HQ23" s="1778"/>
      <c r="HR23" s="1778"/>
      <c r="HS23" s="1778"/>
      <c r="HT23" s="1778"/>
      <c r="HU23" s="1778"/>
      <c r="HV23" s="1778" t="str">
        <f>IF(PS_A_IND&gt;1,IF(SE_A_IND&gt;1,"",IF(SE_B_IND&gt;1,"",IF(LUN_IND&gt;1,"",IF(PS_B_IND&gt;1,"",IF(AND(HV18&lt;NIC2_SPT,NIC2_Vol,NIC_ex_set=FALSE),"Y","N"))))),"")</f>
        <v/>
      </c>
      <c r="HW23" s="1778"/>
      <c r="HX23" s="1778"/>
      <c r="HY23" s="1778" t="str">
        <f>IF(PS_A_IND&gt;1,IF(SE_A_IND&gt;1,"",IF(SE_B_IND&gt;1,"",IF(LUN_IND&gt;1,"",IF(PS_B_IND&gt;1,"",IF(AND(HY18&lt;NIC2_SPT,NIC2_Vol,NIC_ex_set=FALSE),"Y","N"))))),"")</f>
        <v/>
      </c>
      <c r="HZ23" s="1778"/>
      <c r="IA23" s="1778"/>
      <c r="IB23" s="1778"/>
      <c r="IC23" s="1778"/>
      <c r="ID23" s="1778"/>
      <c r="IE23" s="1778" t="str">
        <f>IF(PS_A_IND&gt;1,IF(SE_A_IND&gt;1,"",IF(SE_B_IND&gt;1,"",IF(LUN_IND&gt;1,"",IF(PS_B_IND&gt;1,"",IF(AND(IE18&lt;NIC2_SPT,NIC2_Vol,NIC_ex_set=FALSE),"Y","N"))))),"")</f>
        <v/>
      </c>
      <c r="IF23" s="1778"/>
      <c r="IG23" s="1778"/>
      <c r="IH23" s="1778"/>
      <c r="II23" s="1778"/>
      <c r="IJ23" s="1778"/>
      <c r="IK23" s="1778"/>
      <c r="IL23" s="1778"/>
      <c r="IM23" s="1778"/>
      <c r="IN23" s="1778"/>
      <c r="IO23" s="1778"/>
      <c r="IP23" s="1778"/>
      <c r="IQ23" s="1778"/>
      <c r="IR23" s="1778"/>
      <c r="IS23" s="1778"/>
      <c r="IT23" s="1778"/>
      <c r="IU23" s="1778"/>
      <c r="IV23" s="1778"/>
      <c r="IW23" s="1778"/>
      <c r="IX23" s="1778"/>
      <c r="IY23" s="1778" t="str">
        <f>IF(PS_A_IND&gt;1,IF(SE_A_IND&gt;1,"",IF(SE_B_IND&gt;1,"",IF(LUN_IND&gt;1,"",IF(PS_B_IND&gt;1,"",IF(AND(IY18&lt;NIC2_SPT,NIC2_Vol,NIC_ex_set=FALSE),"Y","N"))))),"")</f>
        <v/>
      </c>
      <c r="IZ23" s="1778"/>
      <c r="JA23" s="1778"/>
      <c r="JB23" s="1778"/>
      <c r="JC23" s="1778"/>
      <c r="JD23" s="1778"/>
      <c r="JE23" s="1778"/>
      <c r="JF23" s="1778"/>
      <c r="JG23" s="1778"/>
      <c r="JH23" s="1778"/>
      <c r="JI23" s="1778"/>
      <c r="JJ23" s="1778"/>
      <c r="JK23" s="1778"/>
      <c r="JL23" s="1778"/>
      <c r="JM23" s="1778"/>
      <c r="JN23" s="1778"/>
      <c r="JO23" s="1778"/>
      <c r="JP23" s="1778"/>
      <c r="JQ23" s="1778"/>
      <c r="JR23" s="351"/>
      <c r="JS23" s="1470"/>
      <c r="JT23" s="450" t="s">
        <v>2319</v>
      </c>
    </row>
    <row r="24" spans="1:280" ht="12.5" x14ac:dyDescent="0.25">
      <c r="A24" s="1367">
        <v>23</v>
      </c>
      <c r="B24" s="1411" t="str">
        <f t="shared" si="0"/>
        <v/>
      </c>
      <c r="C24" s="1435" t="s">
        <v>3526</v>
      </c>
      <c r="D24" s="1436" t="s">
        <v>3527</v>
      </c>
      <c r="E24" s="1778"/>
      <c r="F24" s="1778"/>
      <c r="G24" s="1778"/>
      <c r="H24" s="1778"/>
      <c r="I24" s="1778"/>
      <c r="J24" s="1778"/>
      <c r="K24" s="1778"/>
      <c r="L24" s="1778"/>
      <c r="M24" s="1778"/>
      <c r="N24" s="1778"/>
      <c r="O24" s="1778"/>
      <c r="P24" s="1778"/>
      <c r="Q24" s="1778"/>
      <c r="R24" s="1778"/>
      <c r="S24" s="1778"/>
      <c r="T24" s="1778"/>
      <c r="U24" s="1778"/>
      <c r="V24" s="1778"/>
      <c r="W24" s="1778"/>
      <c r="X24" s="1778"/>
      <c r="Y24" s="1778"/>
      <c r="Z24" s="1778"/>
      <c r="AA24" s="1778"/>
      <c r="AB24" s="1778"/>
      <c r="AC24" s="1778"/>
      <c r="AD24" s="1778"/>
      <c r="AE24" s="1778"/>
      <c r="AF24" s="1778"/>
      <c r="AG24" s="1778"/>
      <c r="AH24" s="1778"/>
      <c r="AI24" s="1778"/>
      <c r="AJ24" s="1778"/>
      <c r="AK24" s="1778"/>
      <c r="AL24" s="1778"/>
      <c r="AM24" s="1778"/>
      <c r="AN24" s="1778"/>
      <c r="AO24" s="1778"/>
      <c r="AP24" s="1778"/>
      <c r="AQ24" s="1778"/>
      <c r="AR24" s="1778"/>
      <c r="AS24" s="1778"/>
      <c r="AT24" s="1778"/>
      <c r="AU24" s="1778"/>
      <c r="AV24" s="1778"/>
      <c r="AW24" s="1778"/>
      <c r="AX24" s="1778"/>
      <c r="AY24" s="1778"/>
      <c r="AZ24" s="1778"/>
      <c r="BA24" s="1778"/>
      <c r="BB24" s="1778"/>
      <c r="BC24" s="1778" t="str">
        <f>IF(PS_A_IND&gt;1,IF(LUN_IND&gt;1,"",IF(SE_B_IND&gt;1,"",IF(SE_A_IND&gt;1,"",IF(NIC_ex_set,"Y","N")))),"")</f>
        <v/>
      </c>
      <c r="BD24" s="1778" t="str">
        <f>IF(PS_A_IND&gt;1,IF(LUN_IND&gt;1,"",IF(SE_B_IND&gt;1,"",IF(SE_A_IND&gt;1,"",IF(NIC_ex_set,"Y","N")))),"")</f>
        <v/>
      </c>
      <c r="BE24" s="1778"/>
      <c r="BF24" s="1778"/>
      <c r="BG24" s="1778"/>
      <c r="BH24" s="1778"/>
      <c r="BI24" s="1778"/>
      <c r="BJ24" s="1778"/>
      <c r="BK24" s="1778"/>
      <c r="BL24" s="1778"/>
      <c r="BM24" s="1778"/>
      <c r="BN24" s="1778"/>
      <c r="BO24" s="1778"/>
      <c r="BP24" s="1778"/>
      <c r="BQ24" s="1778"/>
      <c r="BR24" s="1778"/>
      <c r="BS24" s="1778"/>
      <c r="BT24" s="1778"/>
      <c r="BU24" s="1778"/>
      <c r="BV24" s="1778"/>
      <c r="BW24" s="1778"/>
      <c r="BX24" s="1778"/>
      <c r="BY24" s="1778"/>
      <c r="BZ24" s="1778"/>
      <c r="CA24" s="1778"/>
      <c r="CB24" s="1778"/>
      <c r="CC24" s="1778"/>
      <c r="CD24" s="1778"/>
      <c r="CE24" s="1778"/>
      <c r="CF24" s="1778"/>
      <c r="CG24" s="1778"/>
      <c r="CH24" s="1778"/>
      <c r="CI24" s="1778" t="str">
        <f>IF(PS_A_IND&gt;1,IF(LUN_IND&gt;1,"",IF(SE_B_IND&gt;1,"",IF(SE_A_IND&gt;1,"",IF(NIC_ex_set,"Y","N")))),"")</f>
        <v/>
      </c>
      <c r="CJ24" s="1778"/>
      <c r="CK24" s="1778"/>
      <c r="CL24" s="1778"/>
      <c r="CM24" s="1778"/>
      <c r="CN24" s="1778"/>
      <c r="CO24" s="1778"/>
      <c r="CP24" s="1778"/>
      <c r="CQ24" s="1778"/>
      <c r="CR24" s="1778"/>
      <c r="CS24" s="1778"/>
      <c r="CT24" s="1778"/>
      <c r="CU24" s="1778"/>
      <c r="CV24" s="1778"/>
      <c r="CW24" s="1778" t="str">
        <f>IF(PS_A_IND&gt;1,IF(LUN_IND&gt;1,"",IF(SE_B_IND&gt;1,"",IF(SE_A_IND&gt;1,"",IF(NIC_ex_set,"Y","N")))),"")</f>
        <v/>
      </c>
      <c r="CX24" s="1778" t="str">
        <f>IF(PS_A_IND&gt;1,IF(LUN_IND&gt;1,"",IF(SE_B_IND&gt;1,"",IF(SE_A_IND&gt;1,"",IF(NIC_ex_set,"Y","N")))),"")</f>
        <v/>
      </c>
      <c r="CY24" s="1778"/>
      <c r="CZ24" s="1778"/>
      <c r="DA24" s="1778"/>
      <c r="DB24" s="1778"/>
      <c r="DC24" s="1778"/>
      <c r="DD24" s="1778" t="str">
        <f>IF(PS_A_IND&gt;1,IF(LUN_IND&gt;1,"",IF(SE_B_IND&gt;1,"",IF(SE_A_IND&gt;1,"",IF(NIC_ex_set,"Y","N")))),"")</f>
        <v/>
      </c>
      <c r="DE24" s="1778"/>
      <c r="DF24" s="1778"/>
      <c r="DG24" s="1778" t="str">
        <f>IF(PS_A_IND&gt;1,IF(LUN_IND&gt;1,"",IF(SE_B_IND&gt;1,"",IF(SE_A_IND&gt;1,"",IF(NIC_ex_set,"Y","N")))),"")</f>
        <v/>
      </c>
      <c r="DH24" s="1778"/>
      <c r="DI24" s="1778"/>
      <c r="DJ24" s="1778"/>
      <c r="DK24" s="1778"/>
      <c r="DL24" s="1778"/>
      <c r="DM24" s="1778" t="str">
        <f>IF(PS_A_IND&gt;1,IF(LUN_IND&gt;1,"",IF(SE_B_IND&gt;1,"",IF(SE_A_IND&gt;1,"",IF(NIC_ex_set,"Y","N")))),"")</f>
        <v/>
      </c>
      <c r="DN24" s="1778"/>
      <c r="DO24" s="1778"/>
      <c r="DP24" s="1778"/>
      <c r="DQ24" s="1778"/>
      <c r="DR24" s="1778"/>
      <c r="DS24" s="1778"/>
      <c r="DT24" s="1778"/>
      <c r="DU24" s="1778" t="str">
        <f>IF(PS_A_IND&gt;1,IF(LUN_IND&gt;1,"",IF(SE_B_IND&gt;1,"",IF(SE_A_IND&gt;1,"",IF(NIC_ex_set,"Y","N")))),"")</f>
        <v/>
      </c>
      <c r="DV24" s="1778"/>
      <c r="DW24" s="1778"/>
      <c r="DX24" s="1778"/>
      <c r="DY24" s="1778"/>
      <c r="DZ24" s="1778"/>
      <c r="EA24" s="1778"/>
      <c r="EB24" s="1778"/>
      <c r="EC24" s="1778"/>
      <c r="ED24" s="1778"/>
      <c r="EE24" s="1778"/>
      <c r="EF24" s="1778"/>
      <c r="EG24" s="1778"/>
      <c r="EH24" s="1778"/>
      <c r="EI24" s="1778"/>
      <c r="EJ24" s="1778"/>
      <c r="EK24" s="1778"/>
      <c r="EL24" s="1778"/>
      <c r="EM24" s="1778"/>
      <c r="EN24" s="1778"/>
      <c r="EO24" s="1778"/>
      <c r="EP24" s="1778"/>
      <c r="EQ24" s="1778"/>
      <c r="ER24" s="1778"/>
      <c r="ES24" s="1778"/>
      <c r="ET24" s="1778"/>
      <c r="EU24" s="1778"/>
      <c r="EV24" s="1778"/>
      <c r="EW24" s="1778"/>
      <c r="EX24" s="1778"/>
      <c r="EY24" s="1778"/>
      <c r="EZ24" s="1778"/>
      <c r="FA24" s="1778"/>
      <c r="FB24" s="1778"/>
      <c r="FC24" s="1778"/>
      <c r="FD24" s="1778" t="str">
        <f>IF(PS_A_IND&gt;1,IF(LUN_IND&gt;1,"",IF(SE_B_IND&gt;1,"",IF(SE_A_IND&gt;1,"",IF(NIC_ex_set,"Y","N")))),"")</f>
        <v/>
      </c>
      <c r="FE24" s="1778"/>
      <c r="FF24" s="1778" t="str">
        <f>IF(PS_A_IND&gt;1,IF(LUN_IND&gt;1,"",IF(SE_B_IND&gt;1,"",IF(SE_A_IND&gt;1,"",IF(NIC_ex_set,"Y","N")))),"")</f>
        <v/>
      </c>
      <c r="FG24" s="1778"/>
      <c r="FH24" s="1778"/>
      <c r="FI24" s="1778" t="str">
        <f>IF(PS_A_IND&gt;1,IF(LUN_IND&gt;1,"",IF(SE_B_IND&gt;1,"",IF(SE_A_IND&gt;1,"",IF(NIC_ex_set,"Y","N")))),"")</f>
        <v/>
      </c>
      <c r="FJ24" s="1778" t="str">
        <f>IF(PS_A_IND&gt;1,IF(LUN_IND&gt;1,"",IF(SE_B_IND&gt;1,"",IF(SE_A_IND&gt;1,"",IF(NIC_ex_set,"Y","N")))),"")</f>
        <v/>
      </c>
      <c r="FK24" s="1778"/>
      <c r="FL24" s="1778"/>
      <c r="FM24" s="1778"/>
      <c r="FN24" s="1778"/>
      <c r="FO24" s="1778"/>
      <c r="FP24" s="1778"/>
      <c r="FQ24" s="1778"/>
      <c r="FR24" s="1778"/>
      <c r="FS24" s="1778"/>
      <c r="FT24" s="1778"/>
      <c r="FU24" s="1778"/>
      <c r="FV24" s="1778"/>
      <c r="FW24" s="1778"/>
      <c r="FX24" s="1778"/>
      <c r="FY24" s="1778"/>
      <c r="FZ24" s="1778"/>
      <c r="GA24" s="1778"/>
      <c r="GB24" s="1778"/>
      <c r="GC24" s="1778"/>
      <c r="GD24" s="1778"/>
      <c r="GE24" s="1778"/>
      <c r="GF24" s="1778"/>
      <c r="GG24" s="1778"/>
      <c r="GH24" s="1778"/>
      <c r="GI24" s="1778"/>
      <c r="GJ24" s="1778"/>
      <c r="GK24" s="1778"/>
      <c r="GL24" s="1778" t="str">
        <f>IF(PS_A_IND&gt;1,IF(LUN_IND&gt;1,"",IF(SE_B_IND&gt;1,"",IF(SE_A_IND&gt;1,"",IF(NIC_ex_set,"Y","N")))),"")</f>
        <v/>
      </c>
      <c r="GM24" s="1778" t="str">
        <f>IF(PS_A_IND&gt;1,IF(LUN_IND&gt;1,"",IF(SE_B_IND&gt;1,"",IF(SE_A_IND&gt;1,"",IF(NIC_ex_set,"Y","N")))),"")</f>
        <v/>
      </c>
      <c r="GN24" s="1778"/>
      <c r="GO24" s="1778"/>
      <c r="GP24" s="1778"/>
      <c r="GQ24" s="1778"/>
      <c r="GR24" s="1778"/>
      <c r="GS24" s="1778"/>
      <c r="GT24" s="1778"/>
      <c r="GU24" s="1778"/>
      <c r="GV24" s="1778"/>
      <c r="GW24" s="1778"/>
      <c r="GX24" s="1778"/>
      <c r="GY24" s="1778"/>
      <c r="GZ24" s="1778" t="str">
        <f>IF(PS_A_IND&gt;1,IF(LUN_IND&gt;1,"",IF(SE_B_IND&gt;1,"",IF(SE_A_IND&gt;1,"",IF(NIC_ex_set,"Y","N")))),"")</f>
        <v/>
      </c>
      <c r="HA24" s="1778" t="str">
        <f>IF(PS_A_IND&gt;1,IF(LUN_IND&gt;1,"",IF(SE_B_IND&gt;1,"",IF(SE_A_IND&gt;1,"",IF(NIC_ex_set,"Y","N")))),"")</f>
        <v/>
      </c>
      <c r="HB24" s="1778" t="str">
        <f>IF(PS_A_IND&gt;1,IF(LUN_IND&gt;1,"",IF(SE_B_IND&gt;1,"",IF(SE_A_IND&gt;1,"",IF(NIC_ex_set,"Y","N")))),"")</f>
        <v/>
      </c>
      <c r="HC24" s="1778"/>
      <c r="HD24" s="1778"/>
      <c r="HE24" s="1778"/>
      <c r="HF24" s="1778"/>
      <c r="HG24" s="1778"/>
      <c r="HH24" s="1778"/>
      <c r="HI24" s="1778"/>
      <c r="HJ24" s="1778"/>
      <c r="HK24" s="1778"/>
      <c r="HL24" s="1778"/>
      <c r="HM24" s="1778"/>
      <c r="HN24" s="1778"/>
      <c r="HO24" s="1778"/>
      <c r="HP24" s="1778"/>
      <c r="HQ24" s="1778"/>
      <c r="HR24" s="1778"/>
      <c r="HS24" s="1778"/>
      <c r="HT24" s="1778"/>
      <c r="HU24" s="1778"/>
      <c r="HV24" s="1778" t="str">
        <f>IF(PS_A_IND&gt;1,IF(LUN_IND&gt;1,"",IF(SE_B_IND&gt;1,"",IF(SE_A_IND&gt;1,"",IF(NIC_ex_set,"Y","N")))),"")</f>
        <v/>
      </c>
      <c r="HW24" s="1778"/>
      <c r="HX24" s="1778"/>
      <c r="HY24" s="1778" t="str">
        <f>IF(PS_A_IND&gt;1,IF(LUN_IND&gt;1,"",IF(SE_B_IND&gt;1,"",IF(SE_A_IND&gt;1,"",IF(NIC_ex_set,"Y","N")))),"")</f>
        <v/>
      </c>
      <c r="HZ24" s="1778"/>
      <c r="IA24" s="1778"/>
      <c r="IB24" s="1778"/>
      <c r="IC24" s="1778"/>
      <c r="ID24" s="1778"/>
      <c r="IE24" s="1778" t="s">
        <v>1707</v>
      </c>
      <c r="IF24" s="1778"/>
      <c r="IG24" s="1778"/>
      <c r="IH24" s="1778"/>
      <c r="II24" s="1778"/>
      <c r="IJ24" s="1778"/>
      <c r="IK24" s="1778"/>
      <c r="IL24" s="1778"/>
      <c r="IM24" s="1778"/>
      <c r="IN24" s="1778"/>
      <c r="IO24" s="1778"/>
      <c r="IP24" s="1778"/>
      <c r="IQ24" s="1778"/>
      <c r="IR24" s="1778"/>
      <c r="IS24" s="1778"/>
      <c r="IT24" s="1778"/>
      <c r="IU24" s="1778"/>
      <c r="IV24" s="1778"/>
      <c r="IW24" s="1778"/>
      <c r="IX24" s="1778"/>
      <c r="IY24" s="1778" t="str">
        <f>IF(PS_A_IND&gt;1,IF(LUN_IND&gt;1,"",IF(SE_B_IND&gt;1,"",IF(SE_A_IND&gt;1,"",IF(NIC_ex_set,"Y","N")))),"")</f>
        <v/>
      </c>
      <c r="IZ24" s="1778"/>
      <c r="JA24" s="1778"/>
      <c r="JB24" s="1778"/>
      <c r="JC24" s="1778"/>
      <c r="JD24" s="1778"/>
      <c r="JE24" s="1778"/>
      <c r="JF24" s="1778"/>
      <c r="JG24" s="1778"/>
      <c r="JH24" s="1778"/>
      <c r="JI24" s="1778"/>
      <c r="JJ24" s="1778"/>
      <c r="JK24" s="1778"/>
      <c r="JL24" s="1779"/>
      <c r="JM24" s="1778"/>
      <c r="JN24" s="1778"/>
      <c r="JO24" s="1778"/>
      <c r="JP24" s="1778"/>
      <c r="JQ24" s="1778"/>
      <c r="JR24" s="351"/>
      <c r="JS24" s="1470"/>
      <c r="JT24" s="450" t="s">
        <v>2319</v>
      </c>
    </row>
    <row r="25" spans="1:280" ht="12.5" x14ac:dyDescent="0.25">
      <c r="A25" s="1367">
        <v>24</v>
      </c>
      <c r="B25" s="1411" t="str">
        <f t="shared" si="0"/>
        <v/>
      </c>
      <c r="C25" s="1435" t="s">
        <v>3528</v>
      </c>
      <c r="D25" s="1436" t="s">
        <v>3529</v>
      </c>
      <c r="E25" s="1361"/>
      <c r="F25" s="1361"/>
      <c r="G25" s="1361"/>
      <c r="H25" s="1361"/>
      <c r="I25" s="1361"/>
      <c r="J25" s="1361"/>
      <c r="K25" s="1361"/>
      <c r="L25" s="1361"/>
      <c r="M25" s="1361"/>
      <c r="N25" s="1494"/>
      <c r="O25" s="1494"/>
      <c r="P25" s="1494"/>
      <c r="Q25" s="1494"/>
      <c r="R25" s="1494"/>
      <c r="S25" s="1494"/>
      <c r="T25" s="1494"/>
      <c r="U25" s="1494"/>
      <c r="V25" s="1494"/>
      <c r="W25" s="1494"/>
      <c r="X25" s="1494"/>
      <c r="Y25" s="1494"/>
      <c r="Z25" s="1494"/>
      <c r="AA25" s="1494"/>
      <c r="AB25" s="1494"/>
      <c r="AC25" s="1494"/>
      <c r="AD25" s="1494"/>
      <c r="AE25" s="1494"/>
      <c r="AF25" s="1494"/>
      <c r="AG25" s="1494"/>
      <c r="AH25" s="1494"/>
      <c r="AI25" s="1494"/>
      <c r="AJ25" s="1568"/>
      <c r="AK25" s="1494"/>
      <c r="AL25" s="1494"/>
      <c r="AM25" s="1494"/>
      <c r="AN25" s="1494"/>
      <c r="AO25" s="1494"/>
      <c r="AP25" s="1494"/>
      <c r="AQ25" s="1494"/>
      <c r="AR25" s="1494"/>
      <c r="AS25" s="1494"/>
      <c r="AT25" s="1494"/>
      <c r="AU25" s="1494"/>
      <c r="AV25" s="1494"/>
      <c r="AW25" s="1494"/>
      <c r="AX25" s="1494"/>
      <c r="AY25" s="1494"/>
      <c r="AZ25" s="1494"/>
      <c r="BA25" s="1494"/>
      <c r="BB25" s="1494"/>
      <c r="BC25" s="1568"/>
      <c r="BD25" s="1568"/>
      <c r="BE25" s="1494"/>
      <c r="BF25" s="1494"/>
      <c r="BG25" s="1494"/>
      <c r="BH25" s="1494"/>
      <c r="BI25" s="1494"/>
      <c r="BJ25" s="1494"/>
      <c r="BK25" s="1494"/>
      <c r="BL25" s="1494"/>
      <c r="BM25" s="1494"/>
      <c r="BN25" s="1494"/>
      <c r="BO25" s="1494"/>
      <c r="BP25" s="1494"/>
      <c r="BQ25" s="1494"/>
      <c r="BR25" s="1494"/>
      <c r="BS25" s="1494"/>
      <c r="BT25" s="1494"/>
      <c r="BU25" s="1494"/>
      <c r="BV25" s="1494"/>
      <c r="BW25" s="1494"/>
      <c r="BX25" s="1494"/>
      <c r="BY25" s="1494"/>
      <c r="BZ25" s="1494"/>
      <c r="CA25" s="1494"/>
      <c r="CB25" s="1494"/>
      <c r="CC25" s="1494"/>
      <c r="CD25" s="1494"/>
      <c r="CE25" s="1494"/>
      <c r="CF25" s="1494"/>
      <c r="CG25" s="1494"/>
      <c r="CH25" s="1494"/>
      <c r="CI25" s="1568"/>
      <c r="CJ25" s="1494"/>
      <c r="CK25" s="1494"/>
      <c r="CL25" s="1494"/>
      <c r="CM25" s="1494"/>
      <c r="CN25" s="1494"/>
      <c r="CO25" s="1494"/>
      <c r="CP25" s="1494"/>
      <c r="CQ25" s="1494"/>
      <c r="CR25" s="1494"/>
      <c r="CS25" s="1494"/>
      <c r="CT25" s="1494"/>
      <c r="CU25" s="1494"/>
      <c r="CV25" s="1494"/>
      <c r="CW25" s="1568">
        <v>16512</v>
      </c>
      <c r="CX25" s="1568"/>
      <c r="CY25" s="1494"/>
      <c r="CZ25" s="1494"/>
      <c r="DA25" s="1494"/>
      <c r="DB25" s="1494"/>
      <c r="DC25" s="1494"/>
      <c r="DD25" s="1568"/>
      <c r="DE25" s="1494"/>
      <c r="DF25" s="1494"/>
      <c r="DG25" s="1568"/>
      <c r="DH25" s="1494"/>
      <c r="DI25" s="1494"/>
      <c r="DJ25" s="1494"/>
      <c r="DK25" s="1494"/>
      <c r="DL25" s="1494"/>
      <c r="DM25" s="1568"/>
      <c r="DN25" s="1494"/>
      <c r="DO25" s="1494"/>
      <c r="DP25" s="1494"/>
      <c r="DQ25" s="1494"/>
      <c r="DR25" s="1494"/>
      <c r="DS25" s="1494"/>
      <c r="DT25" s="1494"/>
      <c r="DU25" s="1568"/>
      <c r="DV25" s="1494"/>
      <c r="DW25" s="1494"/>
      <c r="DX25" s="1494"/>
      <c r="DY25" s="1494"/>
      <c r="DZ25" s="1494"/>
      <c r="EA25" s="1494"/>
      <c r="EB25" s="1494"/>
      <c r="EC25" s="1494"/>
      <c r="ED25" s="1494"/>
      <c r="EE25" s="1494"/>
      <c r="EF25" s="1494"/>
      <c r="EG25" s="1494"/>
      <c r="EH25" s="1494"/>
      <c r="EI25" s="1494"/>
      <c r="EJ25" s="1494"/>
      <c r="EK25" s="1494"/>
      <c r="EL25" s="1494"/>
      <c r="EM25" s="1494"/>
      <c r="EN25" s="1494"/>
      <c r="EO25" s="1494"/>
      <c r="EP25" s="1494"/>
      <c r="EQ25" s="1494"/>
      <c r="ER25" s="1494"/>
      <c r="ES25" s="1494"/>
      <c r="ET25" s="1494"/>
      <c r="EU25" s="1494"/>
      <c r="EV25" s="1494"/>
      <c r="EW25" s="1494"/>
      <c r="EX25" s="1494"/>
      <c r="EY25" s="1494"/>
      <c r="EZ25" s="1494"/>
      <c r="FA25" s="1494"/>
      <c r="FB25" s="1494"/>
      <c r="FC25" s="1494"/>
      <c r="FD25" s="1568"/>
      <c r="FE25" s="1494"/>
      <c r="FF25" s="1568"/>
      <c r="FG25" s="1494"/>
      <c r="FH25" s="1494"/>
      <c r="FI25" s="1568"/>
      <c r="FJ25" s="1568"/>
      <c r="FK25" s="1494"/>
      <c r="FL25" s="1494"/>
      <c r="FM25" s="1494"/>
      <c r="FN25" s="1494"/>
      <c r="FO25" s="1494"/>
      <c r="FP25" s="1494"/>
      <c r="FQ25" s="1494"/>
      <c r="FR25" s="1494"/>
      <c r="FS25" s="1494"/>
      <c r="FT25" s="1494"/>
      <c r="FU25" s="1494"/>
      <c r="FV25" s="1494"/>
      <c r="FW25" s="1494"/>
      <c r="FX25" s="1494"/>
      <c r="FY25" s="1494"/>
      <c r="FZ25" s="1494"/>
      <c r="GA25" s="1494"/>
      <c r="GB25" s="1494"/>
      <c r="GC25" s="1494"/>
      <c r="GD25" s="1494"/>
      <c r="GE25" s="1494"/>
      <c r="GF25" s="1494"/>
      <c r="GG25" s="1494"/>
      <c r="GH25" s="1494"/>
      <c r="GI25" s="1494"/>
      <c r="GJ25" s="1494"/>
      <c r="GK25" s="1494"/>
      <c r="GL25" s="1568">
        <v>16512</v>
      </c>
      <c r="GM25" s="1568">
        <v>16512</v>
      </c>
      <c r="GN25" s="1494"/>
      <c r="GO25" s="1494"/>
      <c r="GP25" s="1494"/>
      <c r="GQ25" s="1494"/>
      <c r="GR25" s="1494"/>
      <c r="GS25" s="1494"/>
      <c r="GT25" s="1494"/>
      <c r="GU25" s="1494"/>
      <c r="GV25" s="1494"/>
      <c r="GW25" s="1494"/>
      <c r="GX25" s="1494"/>
      <c r="GY25" s="1494"/>
      <c r="GZ25" s="1568"/>
      <c r="HA25" s="1568"/>
      <c r="HB25" s="1568"/>
      <c r="HC25" s="1494"/>
      <c r="HD25" s="1494"/>
      <c r="HE25" s="1494"/>
      <c r="HF25" s="1494"/>
      <c r="HG25" s="1494"/>
      <c r="HH25" s="1494"/>
      <c r="HI25" s="1494"/>
      <c r="HJ25" s="1494"/>
      <c r="HK25" s="1494"/>
      <c r="HL25" s="1494"/>
      <c r="HM25" s="1494"/>
      <c r="HN25" s="1494"/>
      <c r="HO25" s="1494"/>
      <c r="HP25" s="1494"/>
      <c r="HQ25" s="1494"/>
      <c r="HR25" s="1494"/>
      <c r="HS25" s="1494"/>
      <c r="HT25" s="1494"/>
      <c r="HU25" s="1494"/>
      <c r="HV25" s="1494"/>
      <c r="HW25" s="1494"/>
      <c r="HX25" s="1494"/>
      <c r="HY25" s="1494"/>
      <c r="HZ25" s="1494"/>
      <c r="IA25" s="1494"/>
      <c r="IB25" s="1494"/>
      <c r="IC25" s="1494"/>
      <c r="ID25" s="1494"/>
      <c r="IE25" s="1494"/>
      <c r="IF25" s="1494"/>
      <c r="IG25" s="1494"/>
      <c r="IH25" s="1494"/>
      <c r="II25" s="1494"/>
      <c r="IJ25" s="1494"/>
      <c r="IK25" s="1494"/>
      <c r="IL25" s="1494"/>
      <c r="IM25" s="1494"/>
      <c r="IN25" s="1494"/>
      <c r="IO25" s="1494"/>
      <c r="IP25" s="1494"/>
      <c r="IQ25" s="1494"/>
      <c r="IR25" s="1494"/>
      <c r="IS25" s="1494"/>
      <c r="IT25" s="1494"/>
      <c r="IU25" s="1494"/>
      <c r="IV25" s="1494"/>
      <c r="IW25" s="1494"/>
      <c r="IX25" s="1494"/>
      <c r="IY25" s="1568">
        <v>46471</v>
      </c>
      <c r="IZ25" s="1494"/>
      <c r="JA25" s="1494"/>
      <c r="JB25" s="1494"/>
      <c r="JC25" s="1494"/>
      <c r="JD25" s="1494"/>
      <c r="JE25" s="1494"/>
      <c r="JF25" s="1494"/>
      <c r="JG25" s="1494"/>
      <c r="JH25" s="1494"/>
      <c r="JI25" s="1494"/>
      <c r="JJ25" s="1494"/>
      <c r="JK25" s="1494"/>
      <c r="JL25" s="1494"/>
      <c r="JM25" s="1494"/>
      <c r="JN25" s="1494"/>
      <c r="JO25" s="1494"/>
      <c r="JP25" s="1494"/>
      <c r="JQ25" s="1499"/>
      <c r="JR25" s="351"/>
      <c r="JS25" s="1400" t="s">
        <v>3530</v>
      </c>
      <c r="JT25" s="450" t="s">
        <v>2242</v>
      </c>
    </row>
    <row r="26" spans="1:280" ht="12.5" x14ac:dyDescent="0.25">
      <c r="A26" s="1367">
        <v>25</v>
      </c>
      <c r="B26" s="1411" t="str">
        <f t="shared" si="0"/>
        <v/>
      </c>
      <c r="C26" s="1435" t="s">
        <v>3531</v>
      </c>
      <c r="D26" s="1436" t="s">
        <v>3532</v>
      </c>
      <c r="E26" s="1361"/>
      <c r="F26" s="1361"/>
      <c r="G26" s="1361"/>
      <c r="H26" s="1361"/>
      <c r="I26" s="1361"/>
      <c r="J26" s="1361"/>
      <c r="K26" s="1361"/>
      <c r="L26" s="1361"/>
      <c r="M26" s="1361"/>
      <c r="N26" s="1494"/>
      <c r="O26" s="1494"/>
      <c r="P26" s="1494"/>
      <c r="Q26" s="1494"/>
      <c r="R26" s="1494"/>
      <c r="S26" s="1494"/>
      <c r="T26" s="1494"/>
      <c r="U26" s="1494"/>
      <c r="V26" s="1494"/>
      <c r="W26" s="1494"/>
      <c r="X26" s="1494"/>
      <c r="Y26" s="1494"/>
      <c r="Z26" s="1494"/>
      <c r="AA26" s="1494"/>
      <c r="AB26" s="1494"/>
      <c r="AC26" s="1494"/>
      <c r="AD26" s="1494"/>
      <c r="AE26" s="1494"/>
      <c r="AF26" s="1494"/>
      <c r="AG26" s="1494"/>
      <c r="AH26" s="1494"/>
      <c r="AI26" s="1494"/>
      <c r="AJ26" s="1568"/>
      <c r="AK26" s="1494"/>
      <c r="AL26" s="1494"/>
      <c r="AM26" s="1494"/>
      <c r="AN26" s="1494"/>
      <c r="AO26" s="1494"/>
      <c r="AP26" s="1494"/>
      <c r="AQ26" s="1494"/>
      <c r="AR26" s="1494"/>
      <c r="AS26" s="1494"/>
      <c r="AT26" s="1494"/>
      <c r="AU26" s="1494"/>
      <c r="AV26" s="1494"/>
      <c r="AW26" s="1494"/>
      <c r="AX26" s="1494"/>
      <c r="AY26" s="1494"/>
      <c r="AZ26" s="1494"/>
      <c r="BA26" s="1494"/>
      <c r="BB26" s="1494"/>
      <c r="BC26" s="1568"/>
      <c r="BD26" s="1568"/>
      <c r="BE26" s="1494"/>
      <c r="BF26" s="1494"/>
      <c r="BG26" s="1494"/>
      <c r="BH26" s="1494"/>
      <c r="BI26" s="1494"/>
      <c r="BJ26" s="1494"/>
      <c r="BK26" s="1494"/>
      <c r="BL26" s="1494"/>
      <c r="BM26" s="1494"/>
      <c r="BN26" s="1494"/>
      <c r="BO26" s="1494"/>
      <c r="BP26" s="1494"/>
      <c r="BQ26" s="1494"/>
      <c r="BR26" s="1494"/>
      <c r="BS26" s="1494"/>
      <c r="BT26" s="1494"/>
      <c r="BU26" s="1494"/>
      <c r="BV26" s="1494"/>
      <c r="BW26" s="1494"/>
      <c r="BX26" s="1494"/>
      <c r="BY26" s="1494"/>
      <c r="BZ26" s="1494"/>
      <c r="CA26" s="1494"/>
      <c r="CB26" s="1494"/>
      <c r="CC26" s="1494"/>
      <c r="CD26" s="1494"/>
      <c r="CE26" s="1494"/>
      <c r="CF26" s="1494"/>
      <c r="CG26" s="1494"/>
      <c r="CH26" s="1494"/>
      <c r="CI26" s="1568">
        <v>322</v>
      </c>
      <c r="CJ26" s="1494"/>
      <c r="CK26" s="1494"/>
      <c r="CL26" s="1494"/>
      <c r="CM26" s="1494"/>
      <c r="CN26" s="1494"/>
      <c r="CO26" s="1494"/>
      <c r="CP26" s="1494"/>
      <c r="CQ26" s="1494"/>
      <c r="CR26" s="1494"/>
      <c r="CS26" s="1494"/>
      <c r="CT26" s="1494"/>
      <c r="CU26" s="1494"/>
      <c r="CV26" s="1494"/>
      <c r="CW26" s="1568">
        <v>1540</v>
      </c>
      <c r="CX26" s="1568">
        <v>1540</v>
      </c>
      <c r="CY26" s="1494"/>
      <c r="CZ26" s="1494"/>
      <c r="DA26" s="1494"/>
      <c r="DB26" s="1494"/>
      <c r="DC26" s="1494"/>
      <c r="DD26" s="1568">
        <v>322</v>
      </c>
      <c r="DE26" s="1494"/>
      <c r="DF26" s="1494"/>
      <c r="DG26" s="1568"/>
      <c r="DH26" s="1494"/>
      <c r="DI26" s="1494"/>
      <c r="DJ26" s="1494"/>
      <c r="DK26" s="1494"/>
      <c r="DL26" s="1494"/>
      <c r="DM26" s="1568">
        <v>322</v>
      </c>
      <c r="DN26" s="1494"/>
      <c r="DO26" s="1494"/>
      <c r="DP26" s="1494"/>
      <c r="DQ26" s="1494"/>
      <c r="DR26" s="1494"/>
      <c r="DS26" s="1494"/>
      <c r="DT26" s="1494"/>
      <c r="DU26" s="1568">
        <v>322</v>
      </c>
      <c r="DV26" s="1494"/>
      <c r="DW26" s="1481">
        <v>400</v>
      </c>
      <c r="DX26" s="1494"/>
      <c r="DY26" s="1494"/>
      <c r="DZ26" s="1494"/>
      <c r="EA26" s="1494"/>
      <c r="EB26" s="1494"/>
      <c r="EC26" s="1494"/>
      <c r="ED26" s="1494"/>
      <c r="EE26" s="1494"/>
      <c r="EF26" s="1494"/>
      <c r="EG26" s="1494"/>
      <c r="EH26" s="1494"/>
      <c r="EI26" s="1494"/>
      <c r="EJ26" s="1494"/>
      <c r="EK26" s="1494"/>
      <c r="EL26" s="1494"/>
      <c r="EM26" s="1494"/>
      <c r="EN26" s="1494"/>
      <c r="EO26" s="1494"/>
      <c r="EP26" s="1494"/>
      <c r="EQ26" s="1494"/>
      <c r="ER26" s="1494"/>
      <c r="ES26" s="1494"/>
      <c r="ET26" s="1494"/>
      <c r="EU26" s="1494"/>
      <c r="EV26" s="1494">
        <v>68</v>
      </c>
      <c r="EW26" s="1494"/>
      <c r="EX26" s="1494"/>
      <c r="EY26" s="1494"/>
      <c r="EZ26" s="1494"/>
      <c r="FA26" s="1494"/>
      <c r="FB26" s="1494"/>
      <c r="FC26" s="1494"/>
      <c r="FD26" s="1568"/>
      <c r="FE26" s="1494"/>
      <c r="FF26" s="1568"/>
      <c r="FG26" s="1494"/>
      <c r="FH26" s="1494"/>
      <c r="FI26" s="1568"/>
      <c r="FJ26" s="1568"/>
      <c r="FK26" s="1494"/>
      <c r="FL26" s="1494"/>
      <c r="FM26" s="1494"/>
      <c r="FN26" s="1494"/>
      <c r="FO26" s="1494"/>
      <c r="FP26" s="1494"/>
      <c r="FQ26" s="1494"/>
      <c r="FR26" s="1494"/>
      <c r="FS26" s="1494"/>
      <c r="FT26" s="1494"/>
      <c r="FU26" s="1494"/>
      <c r="FV26" s="1494"/>
      <c r="FW26" s="1494"/>
      <c r="FX26" s="1494"/>
      <c r="FY26" s="1494"/>
      <c r="FZ26" s="1494"/>
      <c r="GA26" s="1494"/>
      <c r="GB26" s="1494"/>
      <c r="GC26" s="1494"/>
      <c r="GD26" s="1494"/>
      <c r="GE26" s="1494"/>
      <c r="GF26" s="1494"/>
      <c r="GG26" s="1494"/>
      <c r="GH26" s="1494"/>
      <c r="GI26" s="1494"/>
      <c r="GJ26" s="1494"/>
      <c r="GK26" s="1494"/>
      <c r="GL26" s="1568">
        <v>1540</v>
      </c>
      <c r="GM26" s="1568">
        <v>1540</v>
      </c>
      <c r="GN26" s="1494"/>
      <c r="GO26" s="1494"/>
      <c r="GP26" s="1494"/>
      <c r="GQ26" s="1494"/>
      <c r="GR26" s="1494"/>
      <c r="GS26" s="1494"/>
      <c r="GT26" s="1494"/>
      <c r="GU26" s="1494"/>
      <c r="GV26" s="1494"/>
      <c r="GW26" s="1494"/>
      <c r="GX26" s="1494"/>
      <c r="GY26" s="1494"/>
      <c r="GZ26" s="1568"/>
      <c r="HA26" s="1568"/>
      <c r="HB26" s="1568">
        <v>501</v>
      </c>
      <c r="HC26" s="1494"/>
      <c r="HD26" s="1494"/>
      <c r="HE26" s="1494"/>
      <c r="HF26" s="1494"/>
      <c r="HG26" s="1494"/>
      <c r="HH26" s="1494"/>
      <c r="HI26" s="1494"/>
      <c r="HJ26" s="1494"/>
      <c r="HK26" s="1494"/>
      <c r="HL26" s="1494"/>
      <c r="HM26" s="1494"/>
      <c r="HN26" s="1494"/>
      <c r="HO26" s="1494"/>
      <c r="HP26" s="1494"/>
      <c r="HQ26" s="1494"/>
      <c r="HR26" s="1494"/>
      <c r="HS26" s="1494"/>
      <c r="HT26" s="1494"/>
      <c r="HU26" s="1494"/>
      <c r="HV26" s="1494"/>
      <c r="HW26" s="1494"/>
      <c r="HX26" s="1494"/>
      <c r="HY26" s="1494"/>
      <c r="HZ26" s="1494"/>
      <c r="IA26" s="1494"/>
      <c r="IB26" s="1494"/>
      <c r="IC26" s="1494"/>
      <c r="ID26" s="1494"/>
      <c r="IE26" s="1494"/>
      <c r="IF26" s="1494"/>
      <c r="IG26" s="1494"/>
      <c r="IH26" s="1494"/>
      <c r="II26" s="1494"/>
      <c r="IJ26" s="1494"/>
      <c r="IK26" s="1494"/>
      <c r="IL26" s="1494"/>
      <c r="IM26" s="1494"/>
      <c r="IN26" s="1494"/>
      <c r="IO26" s="1494"/>
      <c r="IP26" s="1494"/>
      <c r="IQ26" s="1494"/>
      <c r="IR26" s="1494"/>
      <c r="IS26" s="1494"/>
      <c r="IT26" s="1494"/>
      <c r="IU26" s="1494"/>
      <c r="IV26" s="1494"/>
      <c r="IW26" s="1494"/>
      <c r="IX26" s="1494"/>
      <c r="IY26" s="1568"/>
      <c r="IZ26" s="1494"/>
      <c r="JA26" s="1494"/>
      <c r="JB26" s="1494"/>
      <c r="JC26" s="1494"/>
      <c r="JD26" s="1494"/>
      <c r="JE26" s="1494"/>
      <c r="JF26" s="1494"/>
      <c r="JG26" s="1494"/>
      <c r="JH26" s="1494"/>
      <c r="JI26" s="1494"/>
      <c r="JJ26" s="1494"/>
      <c r="JK26" s="1494"/>
      <c r="JL26" s="1494"/>
      <c r="JM26" s="1494"/>
      <c r="JN26" s="1494"/>
      <c r="JO26" s="1494"/>
      <c r="JP26" s="1494"/>
      <c r="JQ26" s="1499"/>
      <c r="JR26" s="351"/>
      <c r="JS26" s="1470"/>
      <c r="JT26" s="450" t="s">
        <v>2242</v>
      </c>
    </row>
    <row r="27" spans="1:280" ht="12.5" x14ac:dyDescent="0.25">
      <c r="A27" s="1367">
        <v>26</v>
      </c>
      <c r="B27" s="1411" t="str">
        <f t="shared" si="0"/>
        <v/>
      </c>
      <c r="C27" s="1435" t="s">
        <v>3533</v>
      </c>
      <c r="D27" s="1436" t="s">
        <v>3534</v>
      </c>
      <c r="E27" s="1361"/>
      <c r="F27" s="1361"/>
      <c r="G27" s="1361"/>
      <c r="H27" s="1361"/>
      <c r="I27" s="1361"/>
      <c r="J27" s="1361"/>
      <c r="K27" s="1361"/>
      <c r="L27" s="1361"/>
      <c r="M27" s="1361"/>
      <c r="N27" s="1494"/>
      <c r="O27" s="1494"/>
      <c r="P27" s="1494"/>
      <c r="Q27" s="1494"/>
      <c r="R27" s="1494"/>
      <c r="S27" s="1494"/>
      <c r="T27" s="1494"/>
      <c r="U27" s="1494"/>
      <c r="V27" s="1494"/>
      <c r="W27" s="1494"/>
      <c r="X27" s="1494"/>
      <c r="Y27" s="1494"/>
      <c r="Z27" s="1494"/>
      <c r="AA27" s="1494"/>
      <c r="AB27" s="1494"/>
      <c r="AC27" s="1494"/>
      <c r="AD27" s="1494"/>
      <c r="AE27" s="1494"/>
      <c r="AF27" s="1494"/>
      <c r="AG27" s="1494"/>
      <c r="AH27" s="1494"/>
      <c r="AI27" s="1494"/>
      <c r="AJ27" s="1568"/>
      <c r="AK27" s="1494"/>
      <c r="AL27" s="1494"/>
      <c r="AM27" s="1494"/>
      <c r="AN27" s="1494"/>
      <c r="AO27" s="1494"/>
      <c r="AP27" s="1494"/>
      <c r="AQ27" s="1494"/>
      <c r="AR27" s="1494"/>
      <c r="AS27" s="1494"/>
      <c r="AT27" s="1494"/>
      <c r="AU27" s="1494"/>
      <c r="AV27" s="1494"/>
      <c r="AW27" s="1494"/>
      <c r="AX27" s="1494"/>
      <c r="AY27" s="1494"/>
      <c r="AZ27" s="1494"/>
      <c r="BA27" s="1494"/>
      <c r="BB27" s="1494"/>
      <c r="BC27" s="1568"/>
      <c r="BD27" s="1568"/>
      <c r="BE27" s="1494"/>
      <c r="BF27" s="1494"/>
      <c r="BG27" s="1494"/>
      <c r="BH27" s="1494"/>
      <c r="BI27" s="1494"/>
      <c r="BJ27" s="1494"/>
      <c r="BK27" s="1494"/>
      <c r="BL27" s="1494"/>
      <c r="BM27" s="1494"/>
      <c r="BN27" s="1494"/>
      <c r="BO27" s="1494"/>
      <c r="BP27" s="1494"/>
      <c r="BQ27" s="1494"/>
      <c r="BR27" s="1494"/>
      <c r="BS27" s="1494"/>
      <c r="BT27" s="1494"/>
      <c r="BU27" s="1494"/>
      <c r="BV27" s="1494"/>
      <c r="BW27" s="1494"/>
      <c r="BX27" s="1494"/>
      <c r="BY27" s="1494"/>
      <c r="BZ27" s="1494"/>
      <c r="CA27" s="1494"/>
      <c r="CB27" s="1494"/>
      <c r="CC27" s="1494"/>
      <c r="CD27" s="1494"/>
      <c r="CE27" s="1494"/>
      <c r="CF27" s="1494"/>
      <c r="CG27" s="1494"/>
      <c r="CH27" s="1494"/>
      <c r="CI27" s="1568"/>
      <c r="CJ27" s="1494"/>
      <c r="CK27" s="1494"/>
      <c r="CL27" s="1494"/>
      <c r="CM27" s="1494"/>
      <c r="CN27" s="1494"/>
      <c r="CO27" s="1494"/>
      <c r="CP27" s="1494"/>
      <c r="CQ27" s="1494"/>
      <c r="CR27" s="1494"/>
      <c r="CS27" s="1494"/>
      <c r="CT27" s="1494"/>
      <c r="CU27" s="1494"/>
      <c r="CV27" s="1494"/>
      <c r="CW27" s="1568"/>
      <c r="CX27" s="1568">
        <v>469</v>
      </c>
      <c r="CY27" s="1494"/>
      <c r="CZ27" s="1494"/>
      <c r="DA27" s="1494"/>
      <c r="DB27" s="1494"/>
      <c r="DC27" s="1494"/>
      <c r="DD27" s="1568"/>
      <c r="DE27" s="1494"/>
      <c r="DF27" s="1494"/>
      <c r="DG27" s="1568"/>
      <c r="DH27" s="1494"/>
      <c r="DI27" s="1494"/>
      <c r="DJ27" s="1494"/>
      <c r="DK27" s="1494"/>
      <c r="DL27" s="1494"/>
      <c r="DM27" s="1568"/>
      <c r="DN27" s="1494"/>
      <c r="DO27" s="1494"/>
      <c r="DP27" s="1494"/>
      <c r="DQ27" s="1494"/>
      <c r="DR27" s="1494"/>
      <c r="DS27" s="1494"/>
      <c r="DT27" s="1494"/>
      <c r="DU27" s="1568"/>
      <c r="DV27" s="1494"/>
      <c r="DW27" s="1494"/>
      <c r="DX27" s="1494"/>
      <c r="DY27" s="1494"/>
      <c r="DZ27" s="1494"/>
      <c r="EA27" s="1494"/>
      <c r="EB27" s="1494"/>
      <c r="EC27" s="1494"/>
      <c r="ED27" s="1494"/>
      <c r="EE27" s="1494"/>
      <c r="EF27" s="1494"/>
      <c r="EG27" s="1494"/>
      <c r="EH27" s="1494"/>
      <c r="EI27" s="1494"/>
      <c r="EJ27" s="1494"/>
      <c r="EK27" s="1494"/>
      <c r="EL27" s="1494"/>
      <c r="EM27" s="1494"/>
      <c r="EN27" s="1494"/>
      <c r="EO27" s="1494"/>
      <c r="EP27" s="1494"/>
      <c r="EQ27" s="1494"/>
      <c r="ER27" s="1494"/>
      <c r="ES27" s="1494"/>
      <c r="ET27" s="1494"/>
      <c r="EU27" s="1494"/>
      <c r="EV27" s="1494">
        <v>68</v>
      </c>
      <c r="EW27" s="1494"/>
      <c r="EX27" s="1494"/>
      <c r="EY27" s="1494"/>
      <c r="EZ27" s="1494"/>
      <c r="FA27" s="1494"/>
      <c r="FB27" s="1494"/>
      <c r="FC27" s="1494"/>
      <c r="FD27" s="1568"/>
      <c r="FE27" s="1494"/>
      <c r="FF27" s="1568"/>
      <c r="FG27" s="1494"/>
      <c r="FH27" s="1494"/>
      <c r="FI27" s="1568"/>
      <c r="FJ27" s="1568"/>
      <c r="FK27" s="1494"/>
      <c r="FL27" s="1494"/>
      <c r="FM27" s="1494"/>
      <c r="FN27" s="1494"/>
      <c r="FO27" s="1494"/>
      <c r="FP27" s="1494"/>
      <c r="FQ27" s="1494"/>
      <c r="FR27" s="1494"/>
      <c r="FS27" s="1494"/>
      <c r="FT27" s="1494"/>
      <c r="FU27" s="1494"/>
      <c r="FV27" s="1494"/>
      <c r="FW27" s="1494"/>
      <c r="FX27" s="1494"/>
      <c r="FY27" s="1494"/>
      <c r="FZ27" s="1494"/>
      <c r="GA27" s="1494"/>
      <c r="GB27" s="1494"/>
      <c r="GC27" s="1494"/>
      <c r="GD27" s="1494"/>
      <c r="GE27" s="1494"/>
      <c r="GF27" s="1494"/>
      <c r="GG27" s="1494"/>
      <c r="GH27" s="1494"/>
      <c r="GI27" s="1494"/>
      <c r="GJ27" s="1494"/>
      <c r="GK27" s="1494"/>
      <c r="GL27" s="1568"/>
      <c r="GM27" s="1568"/>
      <c r="GN27" s="1494"/>
      <c r="GO27" s="1494"/>
      <c r="GP27" s="1494"/>
      <c r="GQ27" s="1494"/>
      <c r="GR27" s="1494"/>
      <c r="GS27" s="1494"/>
      <c r="GT27" s="1494"/>
      <c r="GU27" s="1494"/>
      <c r="GV27" s="1494"/>
      <c r="GW27" s="1494"/>
      <c r="GX27" s="1494"/>
      <c r="GY27" s="1494"/>
      <c r="GZ27" s="1568"/>
      <c r="HA27" s="1568"/>
      <c r="HB27" s="1568"/>
      <c r="HC27" s="1494"/>
      <c r="HD27" s="1494"/>
      <c r="HE27" s="1494"/>
      <c r="HF27" s="1494"/>
      <c r="HG27" s="1494"/>
      <c r="HH27" s="1494"/>
      <c r="HI27" s="1494"/>
      <c r="HJ27" s="1494"/>
      <c r="HK27" s="1494"/>
      <c r="HL27" s="1494"/>
      <c r="HM27" s="1494"/>
      <c r="HN27" s="1494"/>
      <c r="HO27" s="1494"/>
      <c r="HP27" s="1494"/>
      <c r="HQ27" s="1494"/>
      <c r="HR27" s="1494"/>
      <c r="HS27" s="1494"/>
      <c r="HT27" s="1494"/>
      <c r="HU27" s="1494"/>
      <c r="HV27" s="1494"/>
      <c r="HW27" s="1494"/>
      <c r="HX27" s="1494"/>
      <c r="HY27" s="1494"/>
      <c r="HZ27" s="1494"/>
      <c r="IA27" s="1494"/>
      <c r="IB27" s="1494"/>
      <c r="IC27" s="1494"/>
      <c r="ID27" s="1494"/>
      <c r="IE27" s="1494"/>
      <c r="IF27" s="1494"/>
      <c r="IG27" s="1494"/>
      <c r="IH27" s="1494"/>
      <c r="II27" s="1494"/>
      <c r="IJ27" s="1494"/>
      <c r="IK27" s="1494"/>
      <c r="IL27" s="1494"/>
      <c r="IM27" s="1494"/>
      <c r="IN27" s="1494"/>
      <c r="IO27" s="1494"/>
      <c r="IP27" s="1494"/>
      <c r="IQ27" s="1494"/>
      <c r="IR27" s="1494"/>
      <c r="IS27" s="1494"/>
      <c r="IT27" s="1494"/>
      <c r="IU27" s="1494"/>
      <c r="IV27" s="1494"/>
      <c r="IW27" s="1494"/>
      <c r="IX27" s="1494"/>
      <c r="IY27" s="1568"/>
      <c r="IZ27" s="1494"/>
      <c r="JA27" s="1494"/>
      <c r="JB27" s="1494"/>
      <c r="JC27" s="1494"/>
      <c r="JD27" s="1494"/>
      <c r="JE27" s="1494"/>
      <c r="JF27" s="1494"/>
      <c r="JG27" s="1494"/>
      <c r="JH27" s="1494"/>
      <c r="JI27" s="1494"/>
      <c r="JJ27" s="1494"/>
      <c r="JK27" s="1494"/>
      <c r="JL27" s="1494"/>
      <c r="JM27" s="1494"/>
      <c r="JN27" s="1494"/>
      <c r="JO27" s="1494"/>
      <c r="JP27" s="1494"/>
      <c r="JQ27" s="1499"/>
      <c r="JR27" s="351"/>
      <c r="JS27" s="1470"/>
      <c r="JT27" s="450" t="s">
        <v>2224</v>
      </c>
    </row>
    <row r="28" spans="1:280" ht="12.5" x14ac:dyDescent="0.25">
      <c r="A28" s="1367">
        <v>27</v>
      </c>
      <c r="B28" s="1411" t="str">
        <f t="shared" si="0"/>
        <v/>
      </c>
      <c r="C28" s="1435" t="s">
        <v>3535</v>
      </c>
      <c r="D28" s="1436" t="s">
        <v>3536</v>
      </c>
      <c r="E28" s="1361"/>
      <c r="F28" s="1361"/>
      <c r="G28" s="1361"/>
      <c r="H28" s="1361"/>
      <c r="I28" s="1361"/>
      <c r="J28" s="1361"/>
      <c r="K28" s="1361"/>
      <c r="L28" s="1361"/>
      <c r="M28" s="1361"/>
      <c r="N28" s="1494"/>
      <c r="O28" s="1494"/>
      <c r="P28" s="1494"/>
      <c r="Q28" s="1494"/>
      <c r="R28" s="1494"/>
      <c r="S28" s="1494"/>
      <c r="T28" s="1494"/>
      <c r="U28" s="1494"/>
      <c r="V28" s="1494"/>
      <c r="W28" s="1494"/>
      <c r="X28" s="1494"/>
      <c r="Y28" s="1494"/>
      <c r="Z28" s="1494"/>
      <c r="AA28" s="1494"/>
      <c r="AB28" s="1494"/>
      <c r="AC28" s="1494"/>
      <c r="AD28" s="1494"/>
      <c r="AE28" s="1494"/>
      <c r="AF28" s="1494"/>
      <c r="AG28" s="1494"/>
      <c r="AH28" s="1494"/>
      <c r="AI28" s="1494"/>
      <c r="AJ28" s="1568"/>
      <c r="AK28" s="1494"/>
      <c r="AL28" s="1494"/>
      <c r="AM28" s="1494"/>
      <c r="AN28" s="1494"/>
      <c r="AO28" s="1494"/>
      <c r="AP28" s="1494"/>
      <c r="AQ28" s="1494"/>
      <c r="AR28" s="1494"/>
      <c r="AS28" s="1494"/>
      <c r="AT28" s="1494"/>
      <c r="AU28" s="1494"/>
      <c r="AV28" s="1494"/>
      <c r="AW28" s="1494"/>
      <c r="AX28" s="1494"/>
      <c r="AY28" s="1494"/>
      <c r="AZ28" s="1494"/>
      <c r="BA28" s="1494"/>
      <c r="BB28" s="1494"/>
      <c r="BC28" s="1568"/>
      <c r="BD28" s="1568"/>
      <c r="BE28" s="1494"/>
      <c r="BF28" s="1494"/>
      <c r="BG28" s="1494"/>
      <c r="BH28" s="1494"/>
      <c r="BI28" s="1494"/>
      <c r="BJ28" s="1494"/>
      <c r="BK28" s="1494"/>
      <c r="BL28" s="1494"/>
      <c r="BM28" s="1494"/>
      <c r="BN28" s="1494"/>
      <c r="BO28" s="1494"/>
      <c r="BP28" s="1494"/>
      <c r="BQ28" s="1494"/>
      <c r="BR28" s="1494"/>
      <c r="BS28" s="1494"/>
      <c r="BT28" s="1494"/>
      <c r="BU28" s="1494"/>
      <c r="BV28" s="1494"/>
      <c r="BW28" s="1494"/>
      <c r="BX28" s="1494"/>
      <c r="BY28" s="1494"/>
      <c r="BZ28" s="1494"/>
      <c r="CA28" s="1494"/>
      <c r="CB28" s="1494"/>
      <c r="CC28" s="1494"/>
      <c r="CD28" s="1494"/>
      <c r="CE28" s="1494"/>
      <c r="CF28" s="1494"/>
      <c r="CG28" s="1494"/>
      <c r="CH28" s="1494"/>
      <c r="CI28" s="1568"/>
      <c r="CJ28" s="1494"/>
      <c r="CK28" s="1494"/>
      <c r="CL28" s="1494"/>
      <c r="CM28" s="1494"/>
      <c r="CN28" s="1494"/>
      <c r="CO28" s="1494"/>
      <c r="CP28" s="1494"/>
      <c r="CQ28" s="1494"/>
      <c r="CR28" s="1494"/>
      <c r="CS28" s="1494"/>
      <c r="CT28" s="1494"/>
      <c r="CU28" s="1494"/>
      <c r="CV28" s="1494"/>
      <c r="CW28" s="1568">
        <v>5640</v>
      </c>
      <c r="CX28" s="1568"/>
      <c r="CY28" s="1494"/>
      <c r="CZ28" s="1494"/>
      <c r="DA28" s="1494"/>
      <c r="DB28" s="1494"/>
      <c r="DC28" s="1494"/>
      <c r="DD28" s="1568"/>
      <c r="DE28" s="1494"/>
      <c r="DF28" s="1494"/>
      <c r="DG28" s="1568"/>
      <c r="DH28" s="1494"/>
      <c r="DI28" s="1494"/>
      <c r="DJ28" s="1494"/>
      <c r="DK28" s="1494"/>
      <c r="DL28" s="1494"/>
      <c r="DM28" s="1568"/>
      <c r="DN28" s="1494"/>
      <c r="DO28" s="1494"/>
      <c r="DP28" s="1494"/>
      <c r="DQ28" s="1494"/>
      <c r="DR28" s="1494"/>
      <c r="DS28" s="1494"/>
      <c r="DT28" s="1494"/>
      <c r="DU28" s="1568"/>
      <c r="DV28" s="1494"/>
      <c r="DW28" s="1481">
        <v>500</v>
      </c>
      <c r="DX28" s="1494"/>
      <c r="DY28" s="1494"/>
      <c r="DZ28" s="1494"/>
      <c r="EA28" s="1494"/>
      <c r="EB28" s="1494"/>
      <c r="EC28" s="1494"/>
      <c r="ED28" s="1494"/>
      <c r="EE28" s="1494"/>
      <c r="EF28" s="1494"/>
      <c r="EG28" s="1494"/>
      <c r="EH28" s="1494"/>
      <c r="EI28" s="1494"/>
      <c r="EJ28" s="1494"/>
      <c r="EK28" s="1494"/>
      <c r="EL28" s="1494"/>
      <c r="EM28" s="1494"/>
      <c r="EN28" s="1494"/>
      <c r="EO28" s="1494"/>
      <c r="EP28" s="1494"/>
      <c r="EQ28" s="1494"/>
      <c r="ER28" s="1494"/>
      <c r="ES28" s="1494"/>
      <c r="ET28" s="1494"/>
      <c r="EU28" s="1494"/>
      <c r="EV28" s="1494"/>
      <c r="EW28" s="1494"/>
      <c r="EX28" s="1494"/>
      <c r="EY28" s="1494"/>
      <c r="EZ28" s="1494"/>
      <c r="FA28" s="1494"/>
      <c r="FB28" s="1494"/>
      <c r="FC28" s="1494"/>
      <c r="FD28" s="1568"/>
      <c r="FE28" s="1494"/>
      <c r="FF28" s="1568"/>
      <c r="FG28" s="1494"/>
      <c r="FH28" s="1494"/>
      <c r="FI28" s="1568"/>
      <c r="FJ28" s="1568"/>
      <c r="FK28" s="1494"/>
      <c r="FL28" s="1494"/>
      <c r="FM28" s="1494"/>
      <c r="FN28" s="1494"/>
      <c r="FO28" s="1494"/>
      <c r="FP28" s="1494"/>
      <c r="FQ28" s="1494"/>
      <c r="FR28" s="1494"/>
      <c r="FS28" s="1494"/>
      <c r="FT28" s="1494"/>
      <c r="FU28" s="1494"/>
      <c r="FV28" s="1494"/>
      <c r="FW28" s="1494"/>
      <c r="FX28" s="1494"/>
      <c r="FY28" s="1494"/>
      <c r="FZ28" s="1494"/>
      <c r="GA28" s="1494"/>
      <c r="GB28" s="1494"/>
      <c r="GC28" s="1494"/>
      <c r="GD28" s="1494"/>
      <c r="GE28" s="1494"/>
      <c r="GF28" s="1494"/>
      <c r="GG28" s="1494"/>
      <c r="GH28" s="1494"/>
      <c r="GI28" s="1494"/>
      <c r="GJ28" s="1494"/>
      <c r="GK28" s="1494"/>
      <c r="GL28" s="1568">
        <v>5640</v>
      </c>
      <c r="GM28" s="1568">
        <v>5640</v>
      </c>
      <c r="GN28" s="1494"/>
      <c r="GO28" s="1494"/>
      <c r="GP28" s="1494"/>
      <c r="GQ28" s="1494"/>
      <c r="GR28" s="1494"/>
      <c r="GS28" s="1494"/>
      <c r="GT28" s="1494"/>
      <c r="GU28" s="1494"/>
      <c r="GV28" s="1494"/>
      <c r="GW28" s="1494"/>
      <c r="GX28" s="1494"/>
      <c r="GY28" s="1494"/>
      <c r="GZ28" s="1568"/>
      <c r="HA28" s="1568"/>
      <c r="HB28" s="1568"/>
      <c r="HC28" s="1494"/>
      <c r="HD28" s="1494"/>
      <c r="HE28" s="1494"/>
      <c r="HF28" s="1494"/>
      <c r="HG28" s="1494"/>
      <c r="HH28" s="1494"/>
      <c r="HI28" s="1494"/>
      <c r="HJ28" s="1494"/>
      <c r="HK28" s="1494"/>
      <c r="HL28" s="1494"/>
      <c r="HM28" s="1494"/>
      <c r="HN28" s="1494"/>
      <c r="HO28" s="1494"/>
      <c r="HP28" s="1494"/>
      <c r="HQ28" s="1494"/>
      <c r="HR28" s="1494"/>
      <c r="HS28" s="1494"/>
      <c r="HT28" s="1494"/>
      <c r="HU28" s="1494"/>
      <c r="HV28" s="1494"/>
      <c r="HW28" s="1494"/>
      <c r="HX28" s="1494"/>
      <c r="HY28" s="1494"/>
      <c r="HZ28" s="1494"/>
      <c r="IA28" s="1494"/>
      <c r="IB28" s="1494"/>
      <c r="IC28" s="1494"/>
      <c r="ID28" s="1494"/>
      <c r="IE28" s="1494"/>
      <c r="IF28" s="1494"/>
      <c r="IG28" s="1494"/>
      <c r="IH28" s="1494"/>
      <c r="II28" s="1494"/>
      <c r="IJ28" s="1494"/>
      <c r="IK28" s="1494"/>
      <c r="IL28" s="1494"/>
      <c r="IM28" s="1494"/>
      <c r="IN28" s="1494"/>
      <c r="IO28" s="1494"/>
      <c r="IP28" s="1494"/>
      <c r="IQ28" s="1494"/>
      <c r="IR28" s="1494"/>
      <c r="IS28" s="1494"/>
      <c r="IT28" s="1494"/>
      <c r="IU28" s="1494"/>
      <c r="IV28" s="1494"/>
      <c r="IW28" s="1494"/>
      <c r="IX28" s="1494"/>
      <c r="IY28" s="1568"/>
      <c r="IZ28" s="1494"/>
      <c r="JA28" s="1494"/>
      <c r="JB28" s="1494"/>
      <c r="JC28" s="1494"/>
      <c r="JD28" s="1494"/>
      <c r="JE28" s="1494"/>
      <c r="JF28" s="1494"/>
      <c r="JG28" s="1494"/>
      <c r="JH28" s="1494"/>
      <c r="JI28" s="1494"/>
      <c r="JJ28" s="1494"/>
      <c r="JK28" s="1494"/>
      <c r="JL28" s="1494"/>
      <c r="JM28" s="1494"/>
      <c r="JN28" s="1494"/>
      <c r="JO28" s="1494"/>
      <c r="JP28" s="1494"/>
      <c r="JQ28" s="1499"/>
      <c r="JR28" s="351"/>
      <c r="JS28" s="1470"/>
      <c r="JT28" s="450" t="s">
        <v>2224</v>
      </c>
    </row>
    <row r="29" spans="1:280" ht="13" thickBot="1" x14ac:dyDescent="0.3">
      <c r="A29" s="1367">
        <v>28</v>
      </c>
      <c r="B29" s="1411" t="str">
        <f t="shared" si="0"/>
        <v/>
      </c>
      <c r="C29" s="721" t="s">
        <v>3537</v>
      </c>
      <c r="D29" s="722" t="s">
        <v>3538</v>
      </c>
      <c r="E29" s="715"/>
      <c r="F29" s="715"/>
      <c r="G29" s="715"/>
      <c r="H29" s="715"/>
      <c r="I29" s="715"/>
      <c r="J29" s="715"/>
      <c r="K29" s="715"/>
      <c r="L29" s="715"/>
      <c r="M29" s="715"/>
      <c r="N29" s="716"/>
      <c r="O29" s="716"/>
      <c r="P29" s="716"/>
      <c r="Q29" s="716"/>
      <c r="R29" s="716"/>
      <c r="S29" s="716"/>
      <c r="T29" s="716"/>
      <c r="U29" s="716"/>
      <c r="V29" s="716"/>
      <c r="W29" s="716"/>
      <c r="X29" s="716"/>
      <c r="Y29" s="716"/>
      <c r="Z29" s="716"/>
      <c r="AA29" s="716"/>
      <c r="AB29" s="716"/>
      <c r="AC29" s="716"/>
      <c r="AD29" s="716"/>
      <c r="AE29" s="716"/>
      <c r="AF29" s="716"/>
      <c r="AG29" s="716"/>
      <c r="AH29" s="716"/>
      <c r="AI29" s="716"/>
      <c r="AJ29" s="1045"/>
      <c r="AK29" s="716"/>
      <c r="AL29" s="716"/>
      <c r="AM29" s="716"/>
      <c r="AN29" s="716"/>
      <c r="AO29" s="716"/>
      <c r="AP29" s="716"/>
      <c r="AQ29" s="716"/>
      <c r="AR29" s="716"/>
      <c r="AS29" s="716"/>
      <c r="AT29" s="716"/>
      <c r="AU29" s="716"/>
      <c r="AV29" s="716"/>
      <c r="AW29" s="716"/>
      <c r="AX29" s="716"/>
      <c r="AY29" s="716"/>
      <c r="AZ29" s="716"/>
      <c r="BA29" s="716"/>
      <c r="BB29" s="716"/>
      <c r="BC29" s="1045"/>
      <c r="BD29" s="1045"/>
      <c r="BE29" s="716"/>
      <c r="BF29" s="716"/>
      <c r="BG29" s="716"/>
      <c r="BH29" s="716"/>
      <c r="BI29" s="716"/>
      <c r="BJ29" s="716"/>
      <c r="BK29" s="716"/>
      <c r="BL29" s="716"/>
      <c r="BM29" s="716"/>
      <c r="BN29" s="716"/>
      <c r="BO29" s="716"/>
      <c r="BP29" s="716"/>
      <c r="BQ29" s="716"/>
      <c r="BR29" s="716"/>
      <c r="BS29" s="716"/>
      <c r="BT29" s="716"/>
      <c r="BU29" s="716"/>
      <c r="BV29" s="716"/>
      <c r="BW29" s="716"/>
      <c r="BX29" s="716"/>
      <c r="BY29" s="716"/>
      <c r="BZ29" s="716"/>
      <c r="CA29" s="716"/>
      <c r="CB29" s="716"/>
      <c r="CC29" s="716"/>
      <c r="CD29" s="716"/>
      <c r="CE29" s="716"/>
      <c r="CF29" s="716"/>
      <c r="CG29" s="716"/>
      <c r="CH29" s="716"/>
      <c r="CI29" s="1045"/>
      <c r="CJ29" s="716"/>
      <c r="CK29" s="716"/>
      <c r="CL29" s="716"/>
      <c r="CM29" s="716"/>
      <c r="CN29" s="716"/>
      <c r="CO29" s="716"/>
      <c r="CP29" s="716"/>
      <c r="CQ29" s="716"/>
      <c r="CR29" s="716"/>
      <c r="CS29" s="716"/>
      <c r="CT29" s="716"/>
      <c r="CU29" s="716"/>
      <c r="CV29" s="716"/>
      <c r="CW29" s="1045"/>
      <c r="CX29" s="1045"/>
      <c r="CY29" s="716"/>
      <c r="CZ29" s="716"/>
      <c r="DA29" s="716"/>
      <c r="DB29" s="716"/>
      <c r="DC29" s="716"/>
      <c r="DD29" s="1045"/>
      <c r="DE29" s="716"/>
      <c r="DF29" s="716"/>
      <c r="DG29" s="1045"/>
      <c r="DH29" s="716"/>
      <c r="DI29" s="716"/>
      <c r="DJ29" s="716"/>
      <c r="DK29" s="716"/>
      <c r="DL29" s="716"/>
      <c r="DM29" s="1045"/>
      <c r="DN29" s="716"/>
      <c r="DO29" s="716"/>
      <c r="DP29" s="716"/>
      <c r="DQ29" s="716"/>
      <c r="DR29" s="716"/>
      <c r="DS29" s="716"/>
      <c r="DT29" s="716"/>
      <c r="DU29" s="1045"/>
      <c r="DV29" s="716"/>
      <c r="DW29" s="716"/>
      <c r="DX29" s="716"/>
      <c r="DY29" s="716"/>
      <c r="DZ29" s="716"/>
      <c r="EA29" s="716"/>
      <c r="EB29" s="716"/>
      <c r="EC29" s="716"/>
      <c r="ED29" s="716"/>
      <c r="EE29" s="716"/>
      <c r="EF29" s="716"/>
      <c r="EG29" s="716"/>
      <c r="EH29" s="716"/>
      <c r="EI29" s="716"/>
      <c r="EJ29" s="716"/>
      <c r="EK29" s="716"/>
      <c r="EL29" s="716"/>
      <c r="EM29" s="716"/>
      <c r="EN29" s="716"/>
      <c r="EO29" s="716"/>
      <c r="EP29" s="716"/>
      <c r="EQ29" s="716"/>
      <c r="ER29" s="716"/>
      <c r="ES29" s="716"/>
      <c r="ET29" s="716"/>
      <c r="EU29" s="716"/>
      <c r="EV29" s="716"/>
      <c r="EW29" s="716"/>
      <c r="EX29" s="716"/>
      <c r="EY29" s="716"/>
      <c r="EZ29" s="716"/>
      <c r="FA29" s="716"/>
      <c r="FB29" s="716"/>
      <c r="FC29" s="716"/>
      <c r="FD29" s="1045"/>
      <c r="FE29" s="716"/>
      <c r="FF29" s="1045"/>
      <c r="FG29" s="716"/>
      <c r="FH29" s="716"/>
      <c r="FI29" s="1045"/>
      <c r="FJ29" s="1045"/>
      <c r="FK29" s="716"/>
      <c r="FL29" s="716"/>
      <c r="FM29" s="716"/>
      <c r="FN29" s="716"/>
      <c r="FO29" s="716"/>
      <c r="FP29" s="716"/>
      <c r="FQ29" s="716"/>
      <c r="FR29" s="716"/>
      <c r="FS29" s="716"/>
      <c r="FT29" s="716"/>
      <c r="FU29" s="716"/>
      <c r="FV29" s="716"/>
      <c r="FW29" s="716"/>
      <c r="FX29" s="716"/>
      <c r="FY29" s="716"/>
      <c r="FZ29" s="716"/>
      <c r="GA29" s="716"/>
      <c r="GB29" s="716"/>
      <c r="GC29" s="716"/>
      <c r="GD29" s="716"/>
      <c r="GE29" s="716"/>
      <c r="GF29" s="716"/>
      <c r="GG29" s="716"/>
      <c r="GH29" s="716"/>
      <c r="GI29" s="716"/>
      <c r="GJ29" s="716"/>
      <c r="GK29" s="716"/>
      <c r="GL29" s="1045"/>
      <c r="GM29" s="1045"/>
      <c r="GN29" s="716"/>
      <c r="GO29" s="716"/>
      <c r="GP29" s="716"/>
      <c r="GQ29" s="716"/>
      <c r="GR29" s="716"/>
      <c r="GS29" s="716"/>
      <c r="GT29" s="716"/>
      <c r="GU29" s="716"/>
      <c r="GV29" s="716"/>
      <c r="GW29" s="716"/>
      <c r="GX29" s="716"/>
      <c r="GY29" s="716"/>
      <c r="GZ29" s="1045"/>
      <c r="HA29" s="1045"/>
      <c r="HB29" s="1045"/>
      <c r="HC29" s="716"/>
      <c r="HD29" s="716"/>
      <c r="HE29" s="716"/>
      <c r="HF29" s="716"/>
      <c r="HG29" s="716"/>
      <c r="HH29" s="716"/>
      <c r="HI29" s="716"/>
      <c r="HJ29" s="716"/>
      <c r="HK29" s="716"/>
      <c r="HL29" s="716"/>
      <c r="HM29" s="716"/>
      <c r="HN29" s="716"/>
      <c r="HO29" s="716"/>
      <c r="HP29" s="716"/>
      <c r="HQ29" s="716"/>
      <c r="HR29" s="716"/>
      <c r="HS29" s="716"/>
      <c r="HT29" s="716"/>
      <c r="HU29" s="716"/>
      <c r="HV29" s="716"/>
      <c r="HW29" s="716"/>
      <c r="HX29" s="716"/>
      <c r="HY29" s="716"/>
      <c r="HZ29" s="716"/>
      <c r="IA29" s="716"/>
      <c r="IB29" s="716"/>
      <c r="IC29" s="716"/>
      <c r="ID29" s="716"/>
      <c r="IE29" s="716"/>
      <c r="IF29" s="716"/>
      <c r="IG29" s="716"/>
      <c r="IH29" s="716"/>
      <c r="II29" s="716"/>
      <c r="IJ29" s="716"/>
      <c r="IK29" s="716"/>
      <c r="IL29" s="716"/>
      <c r="IM29" s="716"/>
      <c r="IN29" s="716"/>
      <c r="IO29" s="716"/>
      <c r="IP29" s="716"/>
      <c r="IQ29" s="716"/>
      <c r="IR29" s="716"/>
      <c r="IS29" s="716"/>
      <c r="IT29" s="716"/>
      <c r="IU29" s="716"/>
      <c r="IV29" s="716"/>
      <c r="IW29" s="716"/>
      <c r="IX29" s="716"/>
      <c r="IY29" s="1045"/>
      <c r="IZ29" s="716"/>
      <c r="JA29" s="716"/>
      <c r="JB29" s="716"/>
      <c r="JC29" s="716"/>
      <c r="JD29" s="716"/>
      <c r="JE29" s="716"/>
      <c r="JF29" s="716"/>
      <c r="JG29" s="716"/>
      <c r="JH29" s="716"/>
      <c r="JI29" s="716"/>
      <c r="JJ29" s="716"/>
      <c r="JK29" s="716"/>
      <c r="JL29" s="716"/>
      <c r="JM29" s="716"/>
      <c r="JN29" s="716"/>
      <c r="JO29" s="716"/>
      <c r="JP29" s="716"/>
      <c r="JQ29" s="711"/>
      <c r="JR29" s="351"/>
      <c r="JS29" s="1470"/>
      <c r="JT29" s="450" t="s">
        <v>2291</v>
      </c>
    </row>
    <row r="30" spans="1:280" ht="12" thickBot="1" x14ac:dyDescent="0.3">
      <c r="JQ30" s="522"/>
    </row>
    <row r="31" spans="1:280" ht="12.5" x14ac:dyDescent="0.25">
      <c r="A31" s="1367" t="s">
        <v>2201</v>
      </c>
      <c r="B31" s="406" t="str">
        <f>"selected "&amp;PS_B_IND-1</f>
        <v>selected 0</v>
      </c>
      <c r="C31" s="2470" t="s">
        <v>28</v>
      </c>
      <c r="D31" s="596"/>
      <c r="E31" s="418">
        <v>1</v>
      </c>
      <c r="F31" s="418">
        <v>2</v>
      </c>
      <c r="G31" s="418">
        <v>3</v>
      </c>
      <c r="H31" s="418">
        <v>4</v>
      </c>
      <c r="I31" s="418">
        <v>5</v>
      </c>
      <c r="J31" s="418">
        <v>6</v>
      </c>
      <c r="K31" s="418">
        <v>7</v>
      </c>
      <c r="L31" s="418">
        <v>8</v>
      </c>
      <c r="M31" s="418">
        <v>9</v>
      </c>
      <c r="N31" s="418">
        <v>10</v>
      </c>
      <c r="O31" s="418">
        <v>11</v>
      </c>
      <c r="P31" s="418">
        <v>12</v>
      </c>
      <c r="Q31" s="418">
        <v>13</v>
      </c>
      <c r="R31" s="418">
        <v>14</v>
      </c>
      <c r="S31" s="418">
        <v>15</v>
      </c>
      <c r="T31" s="418">
        <v>16</v>
      </c>
      <c r="U31" s="418">
        <v>17</v>
      </c>
      <c r="V31" s="418">
        <v>18</v>
      </c>
      <c r="W31" s="418">
        <v>19</v>
      </c>
      <c r="X31" s="418">
        <v>20</v>
      </c>
      <c r="Y31" s="418">
        <v>21</v>
      </c>
      <c r="Z31" s="418">
        <v>22</v>
      </c>
      <c r="AA31" s="418">
        <v>23</v>
      </c>
      <c r="AB31" s="418">
        <v>24</v>
      </c>
      <c r="AC31" s="447">
        <v>25</v>
      </c>
      <c r="AD31" s="418">
        <v>26</v>
      </c>
      <c r="AE31" s="418">
        <v>27</v>
      </c>
      <c r="AF31" s="418">
        <v>28</v>
      </c>
      <c r="AG31" s="418">
        <v>29</v>
      </c>
      <c r="AH31" s="447">
        <v>30</v>
      </c>
      <c r="AI31" s="447">
        <v>31</v>
      </c>
      <c r="AJ31" s="447">
        <v>32</v>
      </c>
      <c r="AK31" s="447">
        <v>33</v>
      </c>
      <c r="AL31" s="447">
        <v>34</v>
      </c>
      <c r="AM31" s="447">
        <v>35</v>
      </c>
      <c r="AN31" s="447">
        <v>36</v>
      </c>
      <c r="AO31" s="447">
        <v>37</v>
      </c>
      <c r="AP31" s="447">
        <v>38</v>
      </c>
      <c r="AQ31" s="447">
        <v>39</v>
      </c>
      <c r="AR31" s="447">
        <v>40</v>
      </c>
      <c r="AS31" s="447">
        <v>41</v>
      </c>
      <c r="AT31" s="447">
        <v>42</v>
      </c>
      <c r="AU31" s="447">
        <v>43</v>
      </c>
      <c r="AV31" s="447">
        <v>44</v>
      </c>
      <c r="AW31" s="447">
        <v>45</v>
      </c>
      <c r="AX31" s="447">
        <v>46</v>
      </c>
      <c r="AY31" s="447">
        <v>47</v>
      </c>
      <c r="AZ31" s="447">
        <v>48</v>
      </c>
      <c r="BA31" s="447">
        <v>49</v>
      </c>
      <c r="BB31" s="447">
        <v>50</v>
      </c>
      <c r="BC31" s="447">
        <v>51</v>
      </c>
      <c r="BD31" s="447">
        <v>52</v>
      </c>
      <c r="BE31" s="447">
        <v>53</v>
      </c>
      <c r="BF31" s="447">
        <v>54</v>
      </c>
      <c r="BG31" s="447">
        <v>55</v>
      </c>
      <c r="BH31" s="447">
        <v>56</v>
      </c>
      <c r="BI31" s="447">
        <v>57</v>
      </c>
      <c r="BJ31" s="447">
        <v>58</v>
      </c>
      <c r="BK31" s="447">
        <v>59</v>
      </c>
      <c r="BL31" s="447">
        <v>60</v>
      </c>
      <c r="BM31" s="447">
        <v>61</v>
      </c>
      <c r="BN31" s="447">
        <v>62</v>
      </c>
      <c r="BO31" s="447">
        <v>63</v>
      </c>
      <c r="BP31" s="447">
        <v>64</v>
      </c>
      <c r="BQ31" s="447">
        <v>65</v>
      </c>
      <c r="BR31" s="447">
        <v>66</v>
      </c>
      <c r="BS31" s="447">
        <v>67</v>
      </c>
      <c r="BT31" s="447">
        <v>68</v>
      </c>
      <c r="BU31" s="447">
        <v>69</v>
      </c>
      <c r="BV31" s="447">
        <v>70</v>
      </c>
      <c r="BW31" s="447">
        <v>71</v>
      </c>
      <c r="BX31" s="447">
        <v>72</v>
      </c>
      <c r="BY31" s="447">
        <v>73</v>
      </c>
      <c r="BZ31" s="447">
        <v>74</v>
      </c>
      <c r="CA31" s="447">
        <v>75</v>
      </c>
      <c r="CB31" s="447">
        <v>76</v>
      </c>
      <c r="CC31" s="447">
        <v>77</v>
      </c>
      <c r="CD31" s="447">
        <v>78</v>
      </c>
      <c r="CE31" s="447">
        <v>79</v>
      </c>
      <c r="CF31" s="447">
        <v>80</v>
      </c>
      <c r="CG31" s="447">
        <v>81</v>
      </c>
      <c r="CH31" s="447">
        <v>82</v>
      </c>
      <c r="CI31" s="447">
        <v>83</v>
      </c>
      <c r="CJ31" s="447">
        <v>84</v>
      </c>
      <c r="CK31" s="447">
        <v>85</v>
      </c>
      <c r="CL31" s="447">
        <v>86</v>
      </c>
      <c r="CM31" s="447">
        <v>87</v>
      </c>
      <c r="CN31" s="447">
        <v>88</v>
      </c>
      <c r="CO31" s="447">
        <v>89</v>
      </c>
      <c r="CP31" s="447">
        <v>90</v>
      </c>
      <c r="CQ31" s="447">
        <v>91</v>
      </c>
      <c r="CR31" s="447">
        <v>92</v>
      </c>
      <c r="CS31" s="447">
        <v>93</v>
      </c>
      <c r="CT31" s="447">
        <v>94</v>
      </c>
      <c r="CU31" s="447">
        <v>95</v>
      </c>
      <c r="CV31" s="447">
        <v>96</v>
      </c>
      <c r="CW31" s="447">
        <v>97</v>
      </c>
      <c r="CX31" s="447">
        <v>98</v>
      </c>
      <c r="CY31" s="447">
        <v>99</v>
      </c>
      <c r="CZ31" s="447">
        <v>100</v>
      </c>
      <c r="DA31" s="447">
        <v>101</v>
      </c>
      <c r="DB31" s="447">
        <v>102</v>
      </c>
      <c r="DC31" s="447">
        <v>103</v>
      </c>
      <c r="DD31" s="447">
        <v>104</v>
      </c>
      <c r="DE31" s="447">
        <v>105</v>
      </c>
      <c r="DF31" s="447">
        <v>106</v>
      </c>
      <c r="DG31" s="447">
        <v>107</v>
      </c>
      <c r="DH31" s="447">
        <v>108</v>
      </c>
      <c r="DI31" s="447">
        <v>109</v>
      </c>
      <c r="DJ31" s="447">
        <v>110</v>
      </c>
      <c r="DK31" s="447">
        <v>111</v>
      </c>
      <c r="DL31" s="447">
        <v>112</v>
      </c>
      <c r="DM31" s="447">
        <v>113</v>
      </c>
      <c r="DN31" s="447">
        <v>114</v>
      </c>
      <c r="DO31" s="447">
        <v>115</v>
      </c>
      <c r="DP31" s="447">
        <v>116</v>
      </c>
      <c r="DQ31" s="447">
        <v>117</v>
      </c>
      <c r="DR31" s="447">
        <v>118</v>
      </c>
      <c r="DS31" s="447">
        <v>119</v>
      </c>
      <c r="DT31" s="447">
        <v>120</v>
      </c>
      <c r="DU31" s="447">
        <v>121</v>
      </c>
      <c r="DV31" s="447">
        <v>122</v>
      </c>
      <c r="DW31" s="447">
        <v>123</v>
      </c>
      <c r="DX31" s="447">
        <v>124</v>
      </c>
      <c r="DY31" s="447">
        <v>125</v>
      </c>
      <c r="DZ31" s="447">
        <v>126</v>
      </c>
      <c r="EA31" s="447">
        <v>127</v>
      </c>
      <c r="EB31" s="447">
        <v>128</v>
      </c>
      <c r="EC31" s="447">
        <v>129</v>
      </c>
      <c r="ED31" s="447">
        <v>130</v>
      </c>
      <c r="EE31" s="447">
        <v>131</v>
      </c>
      <c r="EF31" s="447">
        <v>132</v>
      </c>
      <c r="EG31" s="447">
        <v>133</v>
      </c>
      <c r="EH31" s="447">
        <v>134</v>
      </c>
      <c r="EI31" s="447">
        <v>135</v>
      </c>
      <c r="EJ31" s="447">
        <v>136</v>
      </c>
      <c r="EK31" s="447">
        <v>137</v>
      </c>
      <c r="EL31" s="447">
        <v>138</v>
      </c>
      <c r="EM31" s="447">
        <v>139</v>
      </c>
      <c r="EN31" s="447">
        <v>140</v>
      </c>
      <c r="EO31" s="447">
        <v>141</v>
      </c>
      <c r="EP31" s="447">
        <v>142</v>
      </c>
      <c r="EQ31" s="447">
        <v>143</v>
      </c>
      <c r="ER31" s="447">
        <v>144</v>
      </c>
      <c r="ES31" s="447">
        <v>145</v>
      </c>
      <c r="ET31" s="447">
        <v>146</v>
      </c>
      <c r="EU31" s="447">
        <v>147</v>
      </c>
      <c r="EV31" s="447">
        <v>148</v>
      </c>
      <c r="EW31" s="447">
        <v>149</v>
      </c>
      <c r="EX31" s="447">
        <v>150</v>
      </c>
      <c r="EY31" s="447">
        <v>151</v>
      </c>
      <c r="EZ31" s="447">
        <v>152</v>
      </c>
      <c r="FA31" s="447">
        <v>153</v>
      </c>
      <c r="FB31" s="447">
        <v>154</v>
      </c>
      <c r="FC31" s="447">
        <v>155</v>
      </c>
      <c r="FD31" s="447">
        <v>156</v>
      </c>
      <c r="FE31" s="447">
        <v>157</v>
      </c>
      <c r="FF31" s="447">
        <v>158</v>
      </c>
      <c r="FG31" s="447">
        <v>159</v>
      </c>
      <c r="FH31" s="447">
        <v>160</v>
      </c>
      <c r="FI31" s="447">
        <v>161</v>
      </c>
      <c r="FJ31" s="447">
        <v>162</v>
      </c>
      <c r="FK31" s="447">
        <v>163</v>
      </c>
      <c r="FL31" s="447">
        <v>164</v>
      </c>
      <c r="FM31" s="447">
        <v>165</v>
      </c>
      <c r="FN31" s="447">
        <v>166</v>
      </c>
      <c r="FO31" s="447">
        <v>167</v>
      </c>
      <c r="FP31" s="447">
        <v>168</v>
      </c>
      <c r="FQ31" s="447">
        <v>169</v>
      </c>
      <c r="FR31" s="447">
        <v>170</v>
      </c>
      <c r="FS31" s="447">
        <v>171</v>
      </c>
      <c r="FT31" s="447">
        <v>172</v>
      </c>
      <c r="FU31" s="447">
        <v>173</v>
      </c>
      <c r="FV31" s="447">
        <v>174</v>
      </c>
      <c r="FW31" s="447">
        <v>175</v>
      </c>
      <c r="FX31" s="447">
        <v>176</v>
      </c>
      <c r="FY31" s="447">
        <v>177</v>
      </c>
      <c r="FZ31" s="447">
        <v>178</v>
      </c>
      <c r="GA31" s="447">
        <v>179</v>
      </c>
      <c r="GB31" s="447">
        <v>180</v>
      </c>
      <c r="GC31" s="447">
        <v>181</v>
      </c>
      <c r="GD31" s="447">
        <v>182</v>
      </c>
      <c r="GE31" s="447">
        <v>183</v>
      </c>
      <c r="GF31" s="447">
        <v>184</v>
      </c>
      <c r="GG31" s="447">
        <v>185</v>
      </c>
      <c r="GH31" s="447">
        <v>186</v>
      </c>
      <c r="GI31" s="447">
        <v>187</v>
      </c>
      <c r="GJ31" s="447">
        <v>188</v>
      </c>
      <c r="GK31" s="447">
        <v>189</v>
      </c>
      <c r="GL31" s="447">
        <v>190</v>
      </c>
      <c r="GM31" s="447">
        <v>191</v>
      </c>
      <c r="GN31" s="447">
        <v>192</v>
      </c>
      <c r="GO31" s="447">
        <v>193</v>
      </c>
      <c r="GP31" s="447">
        <v>194</v>
      </c>
      <c r="GQ31" s="447">
        <v>195</v>
      </c>
      <c r="GR31" s="447">
        <v>196</v>
      </c>
      <c r="GS31" s="447">
        <v>197</v>
      </c>
      <c r="GT31" s="447">
        <v>198</v>
      </c>
      <c r="GU31" s="447">
        <v>199</v>
      </c>
      <c r="GV31" s="447">
        <v>200</v>
      </c>
      <c r="GW31" s="447">
        <v>201</v>
      </c>
      <c r="GX31" s="447">
        <v>202</v>
      </c>
      <c r="GY31" s="447">
        <v>203</v>
      </c>
      <c r="GZ31" s="447">
        <v>204</v>
      </c>
      <c r="HA31" s="447">
        <v>205</v>
      </c>
      <c r="HB31" s="447">
        <v>206</v>
      </c>
      <c r="HC31" s="447">
        <v>207</v>
      </c>
      <c r="HD31" s="447">
        <v>208</v>
      </c>
      <c r="HE31" s="447">
        <v>209</v>
      </c>
      <c r="HF31" s="447">
        <v>210</v>
      </c>
      <c r="HG31" s="447">
        <v>211</v>
      </c>
      <c r="HH31" s="447">
        <v>212</v>
      </c>
      <c r="HI31" s="447">
        <v>213</v>
      </c>
      <c r="HJ31" s="447">
        <v>214</v>
      </c>
      <c r="HK31" s="447">
        <v>215</v>
      </c>
      <c r="HL31" s="447">
        <v>216</v>
      </c>
      <c r="HM31" s="447">
        <v>217</v>
      </c>
      <c r="HN31" s="447">
        <v>218</v>
      </c>
      <c r="HO31" s="447">
        <v>219</v>
      </c>
      <c r="HP31" s="447">
        <v>220</v>
      </c>
      <c r="HQ31" s="447">
        <v>221</v>
      </c>
      <c r="HR31" s="447">
        <v>222</v>
      </c>
      <c r="HS31" s="447">
        <v>223</v>
      </c>
      <c r="HT31" s="447">
        <v>224</v>
      </c>
      <c r="HU31" s="447">
        <v>225</v>
      </c>
      <c r="HV31" s="447">
        <v>226</v>
      </c>
      <c r="HW31" s="447">
        <v>227</v>
      </c>
      <c r="HX31" s="447">
        <v>228</v>
      </c>
      <c r="HY31" s="447">
        <v>229</v>
      </c>
      <c r="HZ31" s="447">
        <v>230</v>
      </c>
      <c r="IA31" s="447">
        <v>231</v>
      </c>
      <c r="IB31" s="447">
        <v>232</v>
      </c>
      <c r="IC31" s="447">
        <v>233</v>
      </c>
      <c r="ID31" s="447">
        <v>234</v>
      </c>
      <c r="IE31" s="447">
        <v>235</v>
      </c>
      <c r="IF31" s="447">
        <v>236</v>
      </c>
      <c r="IG31" s="447">
        <v>237</v>
      </c>
      <c r="IH31" s="447">
        <v>238</v>
      </c>
      <c r="II31" s="447">
        <v>239</v>
      </c>
      <c r="IJ31" s="447">
        <v>240</v>
      </c>
      <c r="IK31" s="447">
        <v>241</v>
      </c>
      <c r="IL31" s="447">
        <v>242</v>
      </c>
      <c r="IM31" s="447">
        <v>243</v>
      </c>
      <c r="IN31" s="447">
        <v>244</v>
      </c>
      <c r="IO31" s="447">
        <v>245</v>
      </c>
      <c r="IP31" s="447">
        <v>246</v>
      </c>
      <c r="IQ31" s="447">
        <v>247</v>
      </c>
      <c r="IR31" s="447">
        <v>248</v>
      </c>
      <c r="IS31" s="447">
        <v>249</v>
      </c>
      <c r="IT31" s="447">
        <v>250</v>
      </c>
      <c r="IU31" s="447">
        <v>251</v>
      </c>
      <c r="IV31" s="447">
        <v>252</v>
      </c>
      <c r="IW31" s="447">
        <v>253</v>
      </c>
      <c r="IX31" s="447">
        <v>254</v>
      </c>
      <c r="IY31" s="447">
        <v>255</v>
      </c>
      <c r="IZ31" s="447">
        <v>256</v>
      </c>
      <c r="JA31" s="447">
        <v>257</v>
      </c>
      <c r="JB31" s="447">
        <v>258</v>
      </c>
      <c r="JC31" s="447">
        <v>259</v>
      </c>
      <c r="JD31" s="447">
        <v>260</v>
      </c>
      <c r="JE31" s="447">
        <v>261</v>
      </c>
      <c r="JF31" s="447">
        <v>262</v>
      </c>
      <c r="JG31" s="447">
        <v>263</v>
      </c>
      <c r="JH31" s="447">
        <v>264</v>
      </c>
      <c r="JI31" s="447">
        <v>265</v>
      </c>
      <c r="JJ31" s="447">
        <v>266</v>
      </c>
      <c r="JK31" s="447">
        <v>267</v>
      </c>
      <c r="JL31" s="447">
        <v>268</v>
      </c>
      <c r="JM31" s="447">
        <v>269</v>
      </c>
      <c r="JN31" s="447">
        <v>270</v>
      </c>
      <c r="JO31" s="447">
        <v>271</v>
      </c>
      <c r="JP31" s="447">
        <v>272</v>
      </c>
      <c r="JQ31" s="447">
        <v>273</v>
      </c>
      <c r="JR31" s="351"/>
      <c r="JS31" s="1470" t="s">
        <v>2198</v>
      </c>
      <c r="JT31" s="450" t="s">
        <v>2199</v>
      </c>
    </row>
    <row r="32" spans="1:280" ht="70" x14ac:dyDescent="0.25">
      <c r="A32" s="1367">
        <v>2</v>
      </c>
      <c r="B32" s="1574" t="str">
        <f t="shared" ref="B32:B63" si="4">IF(PS_B_IND&gt;1,IF(HLOOKUP(PS_B_IND-1,FPS_RANGE,A32)="","",HLOOKUP(PS_B_IND-1,FPS_RANGE,A32)),"")</f>
        <v/>
      </c>
      <c r="C32" s="1435" t="s">
        <v>3539</v>
      </c>
      <c r="D32" s="1436" t="s">
        <v>3457</v>
      </c>
      <c r="E32" s="1575"/>
      <c r="F32" s="1575"/>
      <c r="G32" s="1575"/>
      <c r="H32" s="1575"/>
      <c r="I32" s="1575"/>
      <c r="J32" s="1575"/>
      <c r="K32" s="1575"/>
      <c r="L32" s="1575"/>
      <c r="M32" s="1575"/>
      <c r="N32" s="1575"/>
      <c r="O32" s="1575"/>
      <c r="P32" s="1575"/>
      <c r="Q32" s="1575"/>
      <c r="R32" s="1575"/>
      <c r="S32" s="1575"/>
      <c r="T32" s="1575"/>
      <c r="U32" s="1575"/>
      <c r="V32" s="1575"/>
      <c r="W32" s="1575"/>
      <c r="X32" s="1575"/>
      <c r="Y32" s="1575"/>
      <c r="Z32" s="1575"/>
      <c r="AA32" s="1575"/>
      <c r="AB32" s="1575"/>
      <c r="AC32" s="1575"/>
      <c r="AD32" s="1575"/>
      <c r="AE32" s="1575"/>
      <c r="AF32" s="1575"/>
      <c r="AG32" s="1575"/>
      <c r="AH32" s="1575"/>
      <c r="AI32" s="1575"/>
      <c r="AJ32" s="1561"/>
      <c r="AK32" s="1575"/>
      <c r="AL32" s="1575"/>
      <c r="AM32" s="1561"/>
      <c r="AN32" s="1575"/>
      <c r="AO32" s="1575"/>
      <c r="AP32" s="1575"/>
      <c r="AQ32" s="1575"/>
      <c r="AR32" s="1575"/>
      <c r="AS32" s="1575"/>
      <c r="AT32" s="1575"/>
      <c r="AU32" s="1575"/>
      <c r="AV32" s="1575"/>
      <c r="AW32" s="1575"/>
      <c r="AX32" s="1575"/>
      <c r="AY32" s="1575"/>
      <c r="AZ32" s="1575"/>
      <c r="BA32" s="1575"/>
      <c r="BB32" s="1561">
        <v>1000050020</v>
      </c>
      <c r="BC32" s="1561">
        <v>1000050020</v>
      </c>
      <c r="BD32" s="1575"/>
      <c r="BE32" s="1575"/>
      <c r="BF32" s="1575"/>
      <c r="BG32" s="1575"/>
      <c r="BH32" s="1575"/>
      <c r="BI32" s="1575"/>
      <c r="BJ32" s="1575"/>
      <c r="BK32" s="1575"/>
      <c r="BL32" s="1575"/>
      <c r="BM32" s="1575"/>
      <c r="BN32" s="1575"/>
      <c r="BO32" s="1575"/>
      <c r="BP32" s="1575"/>
      <c r="BQ32" s="1575"/>
      <c r="BR32" s="1575"/>
      <c r="BS32" s="1575"/>
      <c r="BT32" s="1575"/>
      <c r="BU32" s="1575"/>
      <c r="BV32" s="1575"/>
      <c r="BW32" s="1575"/>
      <c r="BX32" s="1575"/>
      <c r="BY32" s="1575"/>
      <c r="BZ32" s="1575"/>
      <c r="CA32" s="1575"/>
      <c r="CB32" s="1561">
        <v>1000050020</v>
      </c>
      <c r="CC32" s="1561">
        <v>1000050020</v>
      </c>
      <c r="CD32" s="1561">
        <v>1000050020</v>
      </c>
      <c r="CE32" s="1561">
        <v>1000050020</v>
      </c>
      <c r="CF32" s="1575"/>
      <c r="CG32" s="1561">
        <v>1000050020</v>
      </c>
      <c r="CH32" s="1561">
        <v>1000050020</v>
      </c>
      <c r="CI32" s="1561">
        <v>1000050020</v>
      </c>
      <c r="CJ32" s="1562">
        <v>1000050020</v>
      </c>
      <c r="CK32" s="1561">
        <v>1000050020</v>
      </c>
      <c r="CL32" s="1575"/>
      <c r="CM32" s="1575"/>
      <c r="CN32" s="1575"/>
      <c r="CO32" s="1575"/>
      <c r="CP32" s="1561">
        <v>1000050020</v>
      </c>
      <c r="CQ32" s="1575"/>
      <c r="CR32" s="1575"/>
      <c r="CS32" s="1575"/>
      <c r="CT32" s="1575"/>
      <c r="CU32" s="1575"/>
      <c r="CV32" s="1575"/>
      <c r="CW32" s="1575"/>
      <c r="CX32" s="1575"/>
      <c r="CY32" s="1561">
        <v>1000050020</v>
      </c>
      <c r="CZ32" s="1561">
        <v>1000050020</v>
      </c>
      <c r="DA32" s="1561">
        <v>1000050020</v>
      </c>
      <c r="DB32" s="1575"/>
      <c r="DC32" s="1575"/>
      <c r="DD32" s="1575"/>
      <c r="DE32" s="1575"/>
      <c r="DF32" s="1575"/>
      <c r="DG32" s="1575"/>
      <c r="DH32" s="1561">
        <v>1000050020</v>
      </c>
      <c r="DI32" s="1575"/>
      <c r="DJ32" s="1562">
        <v>1000050020</v>
      </c>
      <c r="DK32" s="1575"/>
      <c r="DL32" s="1575"/>
      <c r="DM32" s="1561">
        <v>1000050020</v>
      </c>
      <c r="DN32" s="1575"/>
      <c r="DO32" s="1575"/>
      <c r="DP32" s="1575"/>
      <c r="DQ32" s="1575"/>
      <c r="DR32" s="1575"/>
      <c r="DS32" s="1575"/>
      <c r="DT32" s="1575"/>
      <c r="DU32" s="1575"/>
      <c r="DV32" s="1575"/>
      <c r="DW32" s="1575"/>
      <c r="DX32" s="2464">
        <v>8766878862</v>
      </c>
      <c r="DY32" s="2464">
        <v>8766878867</v>
      </c>
      <c r="DZ32" s="1575"/>
      <c r="EA32" s="1575"/>
      <c r="EB32" s="1575"/>
      <c r="EC32" s="1575"/>
      <c r="ED32" s="1575"/>
      <c r="EE32" s="1575"/>
      <c r="EF32" s="1575"/>
      <c r="EG32" s="1575"/>
      <c r="EH32" s="1561">
        <v>1000050020</v>
      </c>
      <c r="EI32" s="1561">
        <v>1000050020</v>
      </c>
      <c r="EJ32" s="1575"/>
      <c r="EK32" s="1575"/>
      <c r="EL32" s="1575"/>
      <c r="EM32" s="1562">
        <v>1000050020</v>
      </c>
      <c r="EN32" s="1575"/>
      <c r="EO32" s="1575"/>
      <c r="EP32" s="1575"/>
      <c r="EQ32" s="1575"/>
      <c r="ER32" s="1562">
        <v>1000050020</v>
      </c>
      <c r="ES32" s="1575"/>
      <c r="ET32" s="1575"/>
      <c r="EU32" s="1562">
        <v>1000050020</v>
      </c>
      <c r="EV32" s="1575"/>
      <c r="EW32" s="1575"/>
      <c r="EX32" s="1575"/>
      <c r="EY32" s="1575"/>
      <c r="EZ32" s="1575"/>
      <c r="FA32" s="1561">
        <v>1000050020</v>
      </c>
      <c r="FB32" s="1562">
        <v>1000050020</v>
      </c>
      <c r="FC32" s="1575"/>
      <c r="FD32" s="1562">
        <v>1000050020</v>
      </c>
      <c r="FE32" s="1575"/>
      <c r="FF32" s="1575"/>
      <c r="FG32" s="1575"/>
      <c r="FH32" s="1562">
        <v>1000050020</v>
      </c>
      <c r="FI32" s="1575"/>
      <c r="FJ32" s="1575"/>
      <c r="FK32" s="1561">
        <v>1000050020</v>
      </c>
      <c r="FL32" s="1575"/>
      <c r="FM32" s="1575"/>
      <c r="FN32" s="1575"/>
      <c r="FO32" s="1562">
        <v>1000050020</v>
      </c>
      <c r="FP32" s="1575"/>
      <c r="FQ32" s="1575"/>
      <c r="FR32" s="1575"/>
      <c r="FS32" s="1575"/>
      <c r="FT32" s="1575"/>
      <c r="FU32" s="1575"/>
      <c r="FV32" s="1561">
        <v>1000050020</v>
      </c>
      <c r="FW32" s="1575"/>
      <c r="FX32" s="1575"/>
      <c r="FY32" s="1575"/>
      <c r="FZ32" s="1575"/>
      <c r="GA32" s="1575"/>
      <c r="GB32" s="1575"/>
      <c r="GC32" s="1575"/>
      <c r="GD32" s="1575"/>
      <c r="GE32" s="1575"/>
      <c r="GF32" s="1575"/>
      <c r="GG32" s="1575"/>
      <c r="GH32" s="1575"/>
      <c r="GI32" s="1575"/>
      <c r="GJ32" s="1575"/>
      <c r="GK32" s="1575"/>
      <c r="GL32" s="1575"/>
      <c r="GM32" s="1575"/>
      <c r="GN32" s="1575"/>
      <c r="GO32" s="1575"/>
      <c r="GP32" s="1575"/>
      <c r="GQ32" s="1575"/>
      <c r="GR32" s="1575"/>
      <c r="GS32" s="1575"/>
      <c r="GT32" s="1575"/>
      <c r="GU32" s="1575"/>
      <c r="GV32" s="1575"/>
      <c r="GW32" s="1561">
        <v>1000050020</v>
      </c>
      <c r="GX32" s="1575"/>
      <c r="GY32" s="1561">
        <v>1000050020</v>
      </c>
      <c r="GZ32" s="1575"/>
      <c r="HA32" s="1575"/>
      <c r="HB32" s="1575"/>
      <c r="HC32" s="1575"/>
      <c r="HD32" s="1575"/>
      <c r="HE32" s="1561">
        <v>1000050020</v>
      </c>
      <c r="HF32" s="1575"/>
      <c r="HG32" s="1575"/>
      <c r="HH32" s="1575"/>
      <c r="HI32" s="1575"/>
      <c r="HJ32" s="1575"/>
      <c r="HK32" s="1575"/>
      <c r="HL32" s="2443">
        <v>1000050020</v>
      </c>
      <c r="HM32" s="1575"/>
      <c r="HN32" s="1575"/>
      <c r="HO32" s="1575"/>
      <c r="HP32" s="1575"/>
      <c r="HQ32" s="1575"/>
      <c r="HR32" s="1575"/>
      <c r="HS32" s="1575"/>
      <c r="HT32" s="1575"/>
      <c r="HU32" s="1575"/>
      <c r="HV32" s="1575"/>
      <c r="HW32" s="1575"/>
      <c r="HX32" s="1575"/>
      <c r="HY32" s="1575"/>
      <c r="HZ32" s="1575"/>
      <c r="IA32" s="1575"/>
      <c r="IB32" s="1575"/>
      <c r="IC32" s="1575"/>
      <c r="ID32" s="1575"/>
      <c r="IE32" s="1575"/>
      <c r="IF32" s="1575"/>
      <c r="IG32" s="1575"/>
      <c r="IH32" s="1575"/>
      <c r="II32" s="1575"/>
      <c r="IJ32" s="1575"/>
      <c r="IK32" s="1575"/>
      <c r="IL32" s="1575"/>
      <c r="IM32" s="1575"/>
      <c r="IN32" s="1575"/>
      <c r="IO32" s="1561">
        <v>1000050020</v>
      </c>
      <c r="IP32" s="1575"/>
      <c r="IQ32" s="1576">
        <v>1000050020</v>
      </c>
      <c r="IR32" s="1575"/>
      <c r="IS32" s="2443">
        <v>1000050020</v>
      </c>
      <c r="IT32" s="1576">
        <v>1000050020</v>
      </c>
      <c r="IU32" s="2444">
        <v>1000050021</v>
      </c>
      <c r="IV32" s="1575"/>
      <c r="IW32" s="1575"/>
      <c r="IX32" s="1575"/>
      <c r="IY32" s="1561"/>
      <c r="IZ32" s="1575"/>
      <c r="JA32" s="1575"/>
      <c r="JB32" s="1561">
        <v>1000050020</v>
      </c>
      <c r="JC32" s="1575"/>
      <c r="JD32" s="1575"/>
      <c r="JE32" s="1575"/>
      <c r="JF32" s="1575"/>
      <c r="JG32" s="1575"/>
      <c r="JH32" s="1575"/>
      <c r="JI32" s="1576">
        <v>1000050020</v>
      </c>
      <c r="JJ32" s="1575"/>
      <c r="JK32" s="1576"/>
      <c r="JL32" s="1576">
        <v>1000050020</v>
      </c>
      <c r="JM32" s="1576">
        <v>1000050020</v>
      </c>
      <c r="JN32" s="1576"/>
      <c r="JO32" s="1576"/>
      <c r="JP32" s="1576"/>
      <c r="JQ32" s="1577"/>
      <c r="JR32" s="351"/>
      <c r="JS32" s="1400" t="s">
        <v>3540</v>
      </c>
      <c r="JT32" s="450" t="s">
        <v>3459</v>
      </c>
    </row>
    <row r="33" spans="1:280" ht="34.5" x14ac:dyDescent="0.25">
      <c r="A33" s="1367">
        <v>3</v>
      </c>
      <c r="B33" s="1574" t="str">
        <f t="shared" si="4"/>
        <v/>
      </c>
      <c r="C33" s="1435" t="s">
        <v>3541</v>
      </c>
      <c r="D33" s="1436" t="s">
        <v>3461</v>
      </c>
      <c r="E33" s="1381"/>
      <c r="F33" s="1381"/>
      <c r="G33" s="1381"/>
      <c r="H33" s="1381"/>
      <c r="I33" s="1381"/>
      <c r="J33" s="1381"/>
      <c r="K33" s="1381"/>
      <c r="L33" s="1381"/>
      <c r="M33" s="1381"/>
      <c r="N33" s="1381"/>
      <c r="O33" s="1381"/>
      <c r="P33" s="1381"/>
      <c r="Q33" s="1381"/>
      <c r="R33" s="1381"/>
      <c r="S33" s="1381"/>
      <c r="T33" s="1381"/>
      <c r="U33" s="1381"/>
      <c r="V33" s="1381"/>
      <c r="W33" s="1381"/>
      <c r="X33" s="1381"/>
      <c r="Y33" s="1381"/>
      <c r="Z33" s="1381"/>
      <c r="AA33" s="1381"/>
      <c r="AB33" s="1381"/>
      <c r="AC33" s="1381"/>
      <c r="AD33" s="1381"/>
      <c r="AE33" s="1381"/>
      <c r="AF33" s="1381"/>
      <c r="AG33" s="1381"/>
      <c r="AH33" s="1381"/>
      <c r="AI33" s="1381"/>
      <c r="AJ33" s="1416"/>
      <c r="AK33" s="1381"/>
      <c r="AL33" s="1381"/>
      <c r="AM33" s="1416"/>
      <c r="AN33" s="1381"/>
      <c r="AO33" s="1381"/>
      <c r="AP33" s="1381"/>
      <c r="AQ33" s="1381"/>
      <c r="AR33" s="1381"/>
      <c r="AS33" s="1381"/>
      <c r="AT33" s="1381"/>
      <c r="AU33" s="1381"/>
      <c r="AV33" s="1381"/>
      <c r="AW33" s="1381"/>
      <c r="AX33" s="1381"/>
      <c r="AY33" s="1381"/>
      <c r="AZ33" s="1381"/>
      <c r="BA33" s="1381"/>
      <c r="BB33" s="1461" t="s">
        <v>3542</v>
      </c>
      <c r="BC33" s="1416" t="s">
        <v>3543</v>
      </c>
      <c r="BD33" s="1381"/>
      <c r="BE33" s="1381"/>
      <c r="BF33" s="1381"/>
      <c r="BG33" s="1381"/>
      <c r="BH33" s="1381"/>
      <c r="BI33" s="1381"/>
      <c r="BJ33" s="1381"/>
      <c r="BK33" s="1381"/>
      <c r="BL33" s="1381"/>
      <c r="BM33" s="1381"/>
      <c r="BN33" s="1381"/>
      <c r="BO33" s="1381"/>
      <c r="BP33" s="1381"/>
      <c r="BQ33" s="1381"/>
      <c r="BR33" s="1381"/>
      <c r="BS33" s="1381"/>
      <c r="BT33" s="1381"/>
      <c r="BU33" s="1381"/>
      <c r="BV33" s="1381"/>
      <c r="BW33" s="1381"/>
      <c r="BX33" s="1381"/>
      <c r="BY33" s="1381"/>
      <c r="BZ33" s="1381"/>
      <c r="CA33" s="1381"/>
      <c r="CB33" s="1381" t="s">
        <v>3544</v>
      </c>
      <c r="CC33" s="1381" t="s">
        <v>3545</v>
      </c>
      <c r="CD33" s="1381" t="s">
        <v>3024</v>
      </c>
      <c r="CE33" s="1381" t="s">
        <v>3546</v>
      </c>
      <c r="CF33" s="1381"/>
      <c r="CG33" s="1381" t="s">
        <v>3547</v>
      </c>
      <c r="CH33" s="1381" t="s">
        <v>3548</v>
      </c>
      <c r="CI33" s="1381" t="s">
        <v>3549</v>
      </c>
      <c r="CJ33" s="1462" t="s">
        <v>3550</v>
      </c>
      <c r="CK33" s="1381" t="s">
        <v>3551</v>
      </c>
      <c r="CL33" s="1381"/>
      <c r="CM33" s="1381"/>
      <c r="CN33" s="1381"/>
      <c r="CO33" s="1381"/>
      <c r="CP33" s="1381" t="s">
        <v>3552</v>
      </c>
      <c r="CQ33" s="1381"/>
      <c r="CR33" s="1381"/>
      <c r="CS33" s="1381"/>
      <c r="CT33" s="1381"/>
      <c r="CU33" s="1381"/>
      <c r="CV33" s="1381"/>
      <c r="CW33" s="1381"/>
      <c r="CX33" s="1381"/>
      <c r="CY33" s="1381" t="s">
        <v>3553</v>
      </c>
      <c r="CZ33" s="1381" t="s">
        <v>3554</v>
      </c>
      <c r="DA33" s="1381" t="s">
        <v>3554</v>
      </c>
      <c r="DB33" s="1381"/>
      <c r="DC33" s="1381"/>
      <c r="DD33" s="1381"/>
      <c r="DE33" s="1381"/>
      <c r="DF33" s="1381"/>
      <c r="DG33" s="1381"/>
      <c r="DH33" s="1381" t="s">
        <v>3555</v>
      </c>
      <c r="DI33" s="1381"/>
      <c r="DJ33" s="1382" t="s">
        <v>9706</v>
      </c>
      <c r="DK33" s="1381"/>
      <c r="DL33" s="1381"/>
      <c r="DM33" s="1381" t="s">
        <v>3553</v>
      </c>
      <c r="DN33" s="1381"/>
      <c r="DO33" s="1381"/>
      <c r="DP33" s="1381"/>
      <c r="DQ33" s="1381"/>
      <c r="DR33" s="1381"/>
      <c r="DS33" s="1381"/>
      <c r="DT33" s="1381"/>
      <c r="DU33" s="1381"/>
      <c r="DV33" s="1381"/>
      <c r="DW33" s="1381"/>
      <c r="DX33" s="2465" t="s">
        <v>9707</v>
      </c>
      <c r="DY33" s="2465" t="s">
        <v>9708</v>
      </c>
      <c r="DZ33" s="1381"/>
      <c r="EA33" s="1381"/>
      <c r="EB33" s="1381"/>
      <c r="EC33" s="1381"/>
      <c r="ED33" s="1381"/>
      <c r="EE33" s="1381"/>
      <c r="EF33" s="1381"/>
      <c r="EG33" s="1381"/>
      <c r="EH33" s="1381" t="s">
        <v>3556</v>
      </c>
      <c r="EI33" s="1381" t="s">
        <v>3557</v>
      </c>
      <c r="EJ33" s="1381"/>
      <c r="EK33" s="1381"/>
      <c r="EL33" s="1381"/>
      <c r="EM33" s="406" t="s">
        <v>9710</v>
      </c>
      <c r="EN33" s="2467"/>
      <c r="EO33" s="2467"/>
      <c r="EP33" s="2467"/>
      <c r="EQ33" s="2467"/>
      <c r="ER33" s="1033" t="s">
        <v>9711</v>
      </c>
      <c r="ES33" s="2467"/>
      <c r="ET33" s="2467"/>
      <c r="EU33" s="1033" t="s">
        <v>9709</v>
      </c>
      <c r="EV33" s="1381"/>
      <c r="EW33" s="1381"/>
      <c r="EX33" s="1381"/>
      <c r="EY33" s="1381"/>
      <c r="EZ33" s="1381"/>
      <c r="FA33" s="1381" t="s">
        <v>3553</v>
      </c>
      <c r="FB33" s="1382" t="s">
        <v>9712</v>
      </c>
      <c r="FC33" s="1381"/>
      <c r="FD33" s="1382" t="s">
        <v>3558</v>
      </c>
      <c r="FE33" s="1381"/>
      <c r="FF33" s="1381"/>
      <c r="FG33" s="1381"/>
      <c r="FH33" s="1382" t="s">
        <v>9713</v>
      </c>
      <c r="FI33" s="1381"/>
      <c r="FJ33" s="1381"/>
      <c r="FK33" s="1381" t="s">
        <v>3554</v>
      </c>
      <c r="FL33" s="1381"/>
      <c r="FM33" s="1381"/>
      <c r="FN33" s="1381"/>
      <c r="FO33" s="1382" t="s">
        <v>9714</v>
      </c>
      <c r="FP33" s="1381"/>
      <c r="FQ33" s="1381"/>
      <c r="FR33" s="1381"/>
      <c r="FS33" s="1381"/>
      <c r="FT33" s="1381"/>
      <c r="FU33" s="1381"/>
      <c r="FV33" s="1416" t="s">
        <v>3543</v>
      </c>
      <c r="FW33" s="1381"/>
      <c r="FX33" s="1381"/>
      <c r="FY33" s="1381"/>
      <c r="FZ33" s="1381"/>
      <c r="GA33" s="1381"/>
      <c r="GB33" s="1381"/>
      <c r="GC33" s="1381"/>
      <c r="GD33" s="1381"/>
      <c r="GE33" s="1381"/>
      <c r="GF33" s="1381"/>
      <c r="GG33" s="1381"/>
      <c r="GH33" s="1381"/>
      <c r="GI33" s="1381"/>
      <c r="GJ33" s="1381"/>
      <c r="GK33" s="1381"/>
      <c r="GL33" s="1381"/>
      <c r="GM33" s="1381"/>
      <c r="GN33" s="1381"/>
      <c r="GO33" s="1381"/>
      <c r="GP33" s="1381"/>
      <c r="GQ33" s="1381"/>
      <c r="GR33" s="1381"/>
      <c r="GS33" s="1381"/>
      <c r="GT33" s="1381"/>
      <c r="GU33" s="1381"/>
      <c r="GV33" s="1381"/>
      <c r="GW33" s="1416" t="s">
        <v>3543</v>
      </c>
      <c r="GX33" s="1381"/>
      <c r="GY33" s="1381" t="s">
        <v>3559</v>
      </c>
      <c r="GZ33" s="1381"/>
      <c r="HA33" s="1381"/>
      <c r="HB33" s="1381"/>
      <c r="HC33" s="1381"/>
      <c r="HD33" s="1381"/>
      <c r="HE33" s="1381" t="s">
        <v>3560</v>
      </c>
      <c r="HF33" s="1381"/>
      <c r="HG33" s="1381"/>
      <c r="HH33" s="1381"/>
      <c r="HI33" s="1381"/>
      <c r="HJ33" s="1381"/>
      <c r="HK33" s="1381"/>
      <c r="HL33" s="1382" t="s">
        <v>3560</v>
      </c>
      <c r="HM33" s="1381"/>
      <c r="HN33" s="1381"/>
      <c r="HO33" s="1381"/>
      <c r="HP33" s="1381"/>
      <c r="HQ33" s="1381"/>
      <c r="HR33" s="1381"/>
      <c r="HS33" s="1381"/>
      <c r="HT33" s="1381"/>
      <c r="HU33" s="1381"/>
      <c r="HV33" s="1381"/>
      <c r="HW33" s="1381"/>
      <c r="HX33" s="1381"/>
      <c r="HY33" s="1381"/>
      <c r="HZ33" s="1381"/>
      <c r="IA33" s="1381"/>
      <c r="IB33" s="1381"/>
      <c r="IC33" s="1381"/>
      <c r="ID33" s="1381"/>
      <c r="IE33" s="1381"/>
      <c r="IF33" s="1381"/>
      <c r="IG33" s="1381"/>
      <c r="IH33" s="1381"/>
      <c r="II33" s="1381"/>
      <c r="IJ33" s="1381"/>
      <c r="IK33" s="1381"/>
      <c r="IL33" s="1381"/>
      <c r="IM33" s="1381"/>
      <c r="IN33" s="1381"/>
      <c r="IO33" s="1381" t="s">
        <v>3561</v>
      </c>
      <c r="IP33" s="1381"/>
      <c r="IQ33" s="1414" t="s">
        <v>3562</v>
      </c>
      <c r="IR33" s="1381"/>
      <c r="IS33" s="1382" t="s">
        <v>3563</v>
      </c>
      <c r="IT33" s="1414" t="s">
        <v>3564</v>
      </c>
      <c r="IU33" s="1464" t="s">
        <v>3564</v>
      </c>
      <c r="IV33" s="1381"/>
      <c r="IW33" s="1381"/>
      <c r="IX33" s="1381"/>
      <c r="IY33" s="1416"/>
      <c r="IZ33" s="1381"/>
      <c r="JA33" s="1381"/>
      <c r="JB33" s="1416" t="s">
        <v>3543</v>
      </c>
      <c r="JC33" s="1381"/>
      <c r="JD33" s="1381"/>
      <c r="JE33" s="1381"/>
      <c r="JF33" s="1381"/>
      <c r="JG33" s="1381"/>
      <c r="JH33" s="1381"/>
      <c r="JI33" s="1414" t="s">
        <v>3565</v>
      </c>
      <c r="JJ33" s="1381"/>
      <c r="JK33" s="1414"/>
      <c r="JL33" s="1414" t="s">
        <v>3566</v>
      </c>
      <c r="JM33" s="1414" t="s">
        <v>3565</v>
      </c>
      <c r="JN33" s="1414"/>
      <c r="JO33" s="1414"/>
      <c r="JP33" s="1414"/>
      <c r="JQ33" s="1415"/>
      <c r="JR33" s="351"/>
      <c r="JS33" s="1400" t="s">
        <v>2671</v>
      </c>
      <c r="JT33" s="450" t="s">
        <v>2291</v>
      </c>
    </row>
    <row r="34" spans="1:280" ht="12.5" x14ac:dyDescent="0.25">
      <c r="A34" s="1367">
        <v>4</v>
      </c>
      <c r="B34" s="1574" t="str">
        <f t="shared" si="4"/>
        <v/>
      </c>
      <c r="C34" s="2469" t="s">
        <v>3567</v>
      </c>
      <c r="D34" s="1578" t="s">
        <v>3481</v>
      </c>
      <c r="E34" s="1381"/>
      <c r="F34" s="1381"/>
      <c r="G34" s="1381"/>
      <c r="H34" s="1381"/>
      <c r="I34" s="1381"/>
      <c r="J34" s="1381"/>
      <c r="K34" s="1381"/>
      <c r="L34" s="1381"/>
      <c r="M34" s="1381"/>
      <c r="N34" s="1381"/>
      <c r="O34" s="1381"/>
      <c r="P34" s="1381"/>
      <c r="Q34" s="1381"/>
      <c r="R34" s="1381"/>
      <c r="S34" s="1381"/>
      <c r="T34" s="1381"/>
      <c r="U34" s="1381"/>
      <c r="V34" s="1381"/>
      <c r="W34" s="1381"/>
      <c r="X34" s="1381"/>
      <c r="Y34" s="1381"/>
      <c r="Z34" s="1381"/>
      <c r="AA34" s="1381"/>
      <c r="AB34" s="1381"/>
      <c r="AC34" s="1381"/>
      <c r="AD34" s="1381"/>
      <c r="AE34" s="1381"/>
      <c r="AF34" s="1381"/>
      <c r="AG34" s="1381"/>
      <c r="AH34" s="1381"/>
      <c r="AI34" s="1381"/>
      <c r="AJ34" s="1416"/>
      <c r="AK34" s="1381"/>
      <c r="AL34" s="1381"/>
      <c r="AM34" s="1416"/>
      <c r="AN34" s="1381"/>
      <c r="AO34" s="1381"/>
      <c r="AP34" s="1381"/>
      <c r="AQ34" s="1381"/>
      <c r="AR34" s="1381"/>
      <c r="AS34" s="1381"/>
      <c r="AT34" s="1381"/>
      <c r="AU34" s="1381"/>
      <c r="AV34" s="1381"/>
      <c r="AW34" s="1381"/>
      <c r="AX34" s="1381"/>
      <c r="AY34" s="1381"/>
      <c r="AZ34" s="1381"/>
      <c r="BA34" s="1381"/>
      <c r="BB34" s="1461" t="s">
        <v>1707</v>
      </c>
      <c r="BC34" s="1416" t="s">
        <v>1707</v>
      </c>
      <c r="BD34" s="1381"/>
      <c r="BE34" s="1381"/>
      <c r="BF34" s="1381"/>
      <c r="BG34" s="1381"/>
      <c r="BH34" s="1381"/>
      <c r="BI34" s="1381"/>
      <c r="BJ34" s="1381"/>
      <c r="BK34" s="1381"/>
      <c r="BL34" s="1381"/>
      <c r="BM34" s="1381"/>
      <c r="BN34" s="1381"/>
      <c r="BO34" s="1381"/>
      <c r="BP34" s="1381"/>
      <c r="BQ34" s="1381"/>
      <c r="BR34" s="1381"/>
      <c r="BS34" s="1381"/>
      <c r="BT34" s="1381"/>
      <c r="BU34" s="1381"/>
      <c r="BV34" s="1381"/>
      <c r="BW34" s="1381"/>
      <c r="BX34" s="1381"/>
      <c r="BY34" s="1381"/>
      <c r="BZ34" s="1381"/>
      <c r="CA34" s="1381"/>
      <c r="CB34" s="1382" t="s">
        <v>1707</v>
      </c>
      <c r="CC34" s="1382" t="s">
        <v>1707</v>
      </c>
      <c r="CD34" s="1382" t="s">
        <v>1707</v>
      </c>
      <c r="CE34" s="1382" t="s">
        <v>1707</v>
      </c>
      <c r="CF34" s="1381"/>
      <c r="CG34" s="1382" t="s">
        <v>1707</v>
      </c>
      <c r="CH34" s="1382" t="s">
        <v>1707</v>
      </c>
      <c r="CI34" s="1382" t="s">
        <v>1615</v>
      </c>
      <c r="CJ34" s="1382" t="s">
        <v>1615</v>
      </c>
      <c r="CK34" s="1382" t="s">
        <v>1707</v>
      </c>
      <c r="CL34" s="1381"/>
      <c r="CM34" s="1381"/>
      <c r="CN34" s="1381"/>
      <c r="CO34" s="1381"/>
      <c r="CP34" s="1382" t="s">
        <v>1707</v>
      </c>
      <c r="CQ34" s="1381"/>
      <c r="CR34" s="1381"/>
      <c r="CS34" s="1381"/>
      <c r="CT34" s="1381"/>
      <c r="CU34" s="1381"/>
      <c r="CV34" s="1381"/>
      <c r="CW34" s="1381"/>
      <c r="CX34" s="1381"/>
      <c r="CY34" s="1382" t="s">
        <v>1707</v>
      </c>
      <c r="CZ34" s="1382" t="s">
        <v>1615</v>
      </c>
      <c r="DA34" s="1382" t="s">
        <v>1707</v>
      </c>
      <c r="DB34" s="1381"/>
      <c r="DC34" s="1381"/>
      <c r="DD34" s="1381"/>
      <c r="DE34" s="1381"/>
      <c r="DF34" s="1381"/>
      <c r="DG34" s="1381"/>
      <c r="DH34" s="1382" t="s">
        <v>1707</v>
      </c>
      <c r="DI34" s="1381"/>
      <c r="DJ34" s="1382" t="s">
        <v>1707</v>
      </c>
      <c r="DK34" s="1381"/>
      <c r="DL34" s="1381"/>
      <c r="DM34" s="1382" t="s">
        <v>1707</v>
      </c>
      <c r="DN34" s="1381"/>
      <c r="DO34" s="1381"/>
      <c r="DP34" s="1381"/>
      <c r="DQ34" s="1381"/>
      <c r="DR34" s="1381"/>
      <c r="DS34" s="1381"/>
      <c r="DT34" s="1381"/>
      <c r="DU34" s="1381"/>
      <c r="DV34" s="1381"/>
      <c r="DW34" s="1381"/>
      <c r="DX34" s="2462" t="s">
        <v>1615</v>
      </c>
      <c r="DY34" s="2462" t="s">
        <v>1615</v>
      </c>
      <c r="DZ34" s="1381"/>
      <c r="EA34" s="1381"/>
      <c r="EB34" s="1381"/>
      <c r="EC34" s="1381"/>
      <c r="ED34" s="1381"/>
      <c r="EE34" s="1381"/>
      <c r="EF34" s="1381"/>
      <c r="EG34" s="1381"/>
      <c r="EH34" s="1382" t="s">
        <v>1707</v>
      </c>
      <c r="EI34" s="1382" t="s">
        <v>1615</v>
      </c>
      <c r="EJ34" s="1381"/>
      <c r="EK34" s="1381"/>
      <c r="EL34" s="1381"/>
      <c r="EM34" s="1382" t="s">
        <v>1615</v>
      </c>
      <c r="EN34" s="1381"/>
      <c r="EO34" s="1381"/>
      <c r="EP34" s="1381"/>
      <c r="EQ34" s="1381"/>
      <c r="ER34" s="1382" t="s">
        <v>1707</v>
      </c>
      <c r="ES34" s="1381"/>
      <c r="ET34" s="1381"/>
      <c r="EU34" s="1382" t="s">
        <v>1707</v>
      </c>
      <c r="EV34" s="1381"/>
      <c r="EW34" s="1381"/>
      <c r="EX34" s="1381"/>
      <c r="EY34" s="1381"/>
      <c r="EZ34" s="1381"/>
      <c r="FA34" s="1382" t="s">
        <v>1615</v>
      </c>
      <c r="FB34" s="1382" t="s">
        <v>1615</v>
      </c>
      <c r="FC34" s="1381"/>
      <c r="FD34" s="1382" t="s">
        <v>1615</v>
      </c>
      <c r="FE34" s="1381"/>
      <c r="FF34" s="1381"/>
      <c r="FG34" s="1381"/>
      <c r="FH34" s="1382" t="s">
        <v>1707</v>
      </c>
      <c r="FI34" s="1381"/>
      <c r="FJ34" s="1381"/>
      <c r="FK34" s="1382" t="s">
        <v>1707</v>
      </c>
      <c r="FL34" s="1381"/>
      <c r="FM34" s="1381"/>
      <c r="FN34" s="1381"/>
      <c r="FO34" s="1382" t="s">
        <v>1615</v>
      </c>
      <c r="FP34" s="1381"/>
      <c r="FQ34" s="1381"/>
      <c r="FR34" s="1381"/>
      <c r="FS34" s="1381"/>
      <c r="FT34" s="1381"/>
      <c r="FU34" s="1381"/>
      <c r="FV34" s="1416" t="s">
        <v>1707</v>
      </c>
      <c r="FW34" s="1381"/>
      <c r="FX34" s="1381"/>
      <c r="FY34" s="1381"/>
      <c r="FZ34" s="1381"/>
      <c r="GA34" s="1381"/>
      <c r="GB34" s="1381"/>
      <c r="GC34" s="1381"/>
      <c r="GD34" s="1381"/>
      <c r="GE34" s="1381"/>
      <c r="GF34" s="1381"/>
      <c r="GG34" s="1381"/>
      <c r="GH34" s="1381"/>
      <c r="GI34" s="1381"/>
      <c r="GJ34" s="1381"/>
      <c r="GK34" s="1381"/>
      <c r="GL34" s="1381"/>
      <c r="GM34" s="1381"/>
      <c r="GN34" s="1381"/>
      <c r="GO34" s="1381"/>
      <c r="GP34" s="1381"/>
      <c r="GQ34" s="1381"/>
      <c r="GR34" s="1381"/>
      <c r="GS34" s="1381"/>
      <c r="GT34" s="1381"/>
      <c r="GU34" s="1381"/>
      <c r="GV34" s="1381"/>
      <c r="GW34" s="1417" t="s">
        <v>1707</v>
      </c>
      <c r="GX34" s="1381"/>
      <c r="GY34" s="1382" t="s">
        <v>1615</v>
      </c>
      <c r="GZ34" s="1381"/>
      <c r="HA34" s="1381"/>
      <c r="HB34" s="1381"/>
      <c r="HC34" s="1381"/>
      <c r="HD34" s="1381"/>
      <c r="HE34" s="1382" t="s">
        <v>1707</v>
      </c>
      <c r="HF34" s="1381"/>
      <c r="HG34" s="1381"/>
      <c r="HH34" s="1381"/>
      <c r="HI34" s="1381"/>
      <c r="HJ34" s="1381"/>
      <c r="HK34" s="1381"/>
      <c r="HL34" s="1382" t="s">
        <v>1615</v>
      </c>
      <c r="HM34" s="1381"/>
      <c r="HN34" s="1381"/>
      <c r="HO34" s="1381"/>
      <c r="HP34" s="1381"/>
      <c r="HQ34" s="1381"/>
      <c r="HR34" s="1381"/>
      <c r="HS34" s="1381"/>
      <c r="HT34" s="1381"/>
      <c r="HU34" s="1381"/>
      <c r="HV34" s="1381"/>
      <c r="HW34" s="1381"/>
      <c r="HX34" s="1381"/>
      <c r="HY34" s="1381"/>
      <c r="HZ34" s="1381"/>
      <c r="IA34" s="1381"/>
      <c r="IB34" s="1381"/>
      <c r="IC34" s="1381"/>
      <c r="ID34" s="1381"/>
      <c r="IE34" s="1381"/>
      <c r="IF34" s="1381"/>
      <c r="IG34" s="1381"/>
      <c r="IH34" s="1381"/>
      <c r="II34" s="1381"/>
      <c r="IJ34" s="1381"/>
      <c r="IK34" s="1381"/>
      <c r="IL34" s="1381"/>
      <c r="IM34" s="1381"/>
      <c r="IN34" s="1381"/>
      <c r="IO34" s="1382" t="s">
        <v>1707</v>
      </c>
      <c r="IP34" s="1381"/>
      <c r="IQ34" s="1464" t="s">
        <v>1707</v>
      </c>
      <c r="IR34" s="1381"/>
      <c r="IS34" s="1382" t="s">
        <v>1707</v>
      </c>
      <c r="IT34" s="1464" t="s">
        <v>1707</v>
      </c>
      <c r="IU34" s="1382" t="s">
        <v>1615</v>
      </c>
      <c r="IV34" s="1381"/>
      <c r="IW34" s="1381"/>
      <c r="IX34" s="1381"/>
      <c r="IY34" s="1416"/>
      <c r="IZ34" s="1381"/>
      <c r="JA34" s="1381"/>
      <c r="JB34" s="1417" t="s">
        <v>1707</v>
      </c>
      <c r="JC34" s="1381"/>
      <c r="JD34" s="1381"/>
      <c r="JE34" s="1381"/>
      <c r="JF34" s="1381"/>
      <c r="JG34" s="1381"/>
      <c r="JH34" s="1381"/>
      <c r="JI34" s="1464" t="s">
        <v>1707</v>
      </c>
      <c r="JJ34" s="1381"/>
      <c r="JK34" s="1414"/>
      <c r="JL34" s="1464" t="s">
        <v>1707</v>
      </c>
      <c r="JM34" s="1464" t="s">
        <v>1615</v>
      </c>
      <c r="JN34" s="1414"/>
      <c r="JO34" s="1414"/>
      <c r="JP34" s="1414"/>
      <c r="JQ34" s="1415"/>
      <c r="JR34" s="351"/>
      <c r="JS34" s="1400"/>
      <c r="JT34" s="450"/>
    </row>
    <row r="35" spans="1:280" ht="12.5" x14ac:dyDescent="0.25">
      <c r="A35" s="1367">
        <v>5</v>
      </c>
      <c r="B35" s="1574" t="str">
        <f t="shared" si="4"/>
        <v/>
      </c>
      <c r="C35" s="1435" t="s">
        <v>3568</v>
      </c>
      <c r="D35" s="1578" t="s">
        <v>3483</v>
      </c>
      <c r="E35" s="1381"/>
      <c r="F35" s="1381"/>
      <c r="G35" s="1381"/>
      <c r="H35" s="1381"/>
      <c r="I35" s="1381"/>
      <c r="J35" s="1381"/>
      <c r="K35" s="1381"/>
      <c r="L35" s="1381"/>
      <c r="M35" s="1381"/>
      <c r="N35" s="1381"/>
      <c r="O35" s="1381"/>
      <c r="P35" s="1381"/>
      <c r="Q35" s="1381"/>
      <c r="R35" s="1381"/>
      <c r="S35" s="1381"/>
      <c r="T35" s="1381"/>
      <c r="U35" s="1381"/>
      <c r="V35" s="1381"/>
      <c r="W35" s="1381"/>
      <c r="X35" s="1381"/>
      <c r="Y35" s="1381"/>
      <c r="Z35" s="1381"/>
      <c r="AA35" s="1381"/>
      <c r="AB35" s="1381"/>
      <c r="AC35" s="1381"/>
      <c r="AD35" s="1381"/>
      <c r="AE35" s="1381"/>
      <c r="AF35" s="1381"/>
      <c r="AG35" s="1381"/>
      <c r="AH35" s="1381"/>
      <c r="AI35" s="1381"/>
      <c r="AJ35" s="1416"/>
      <c r="AK35" s="1381"/>
      <c r="AL35" s="1381"/>
      <c r="AM35" s="1416"/>
      <c r="AN35" s="1381"/>
      <c r="AO35" s="1381"/>
      <c r="AP35" s="1381"/>
      <c r="AQ35" s="1381"/>
      <c r="AR35" s="1381"/>
      <c r="AS35" s="1381"/>
      <c r="AT35" s="1381"/>
      <c r="AU35" s="1381"/>
      <c r="AV35" s="1381"/>
      <c r="AW35" s="1381"/>
      <c r="AX35" s="1381"/>
      <c r="AY35" s="1381"/>
      <c r="AZ35" s="1381"/>
      <c r="BA35" s="1381"/>
      <c r="BB35" s="1461" t="str">
        <f>"06/04/"&amp;Tax_year_start</f>
        <v>06/04/2025</v>
      </c>
      <c r="BC35" s="1381" t="str">
        <f>"07/04/"&amp;Tax_year_start</f>
        <v>07/04/2025</v>
      </c>
      <c r="BD35" s="1381"/>
      <c r="BE35" s="1381"/>
      <c r="BF35" s="1381"/>
      <c r="BG35" s="1381"/>
      <c r="BH35" s="1381"/>
      <c r="BI35" s="1381"/>
      <c r="BJ35" s="1381"/>
      <c r="BK35" s="1381"/>
      <c r="BL35" s="1381"/>
      <c r="BM35" s="1381"/>
      <c r="BN35" s="1381"/>
      <c r="BO35" s="1381"/>
      <c r="BP35" s="1381"/>
      <c r="BQ35" s="1381"/>
      <c r="BR35" s="1381"/>
      <c r="BS35" s="1381"/>
      <c r="BT35" s="1381"/>
      <c r="BU35" s="1381"/>
      <c r="BV35" s="1381"/>
      <c r="BW35" s="1381"/>
      <c r="BX35" s="1381"/>
      <c r="BY35" s="1381"/>
      <c r="BZ35" s="1381"/>
      <c r="CA35" s="1381"/>
      <c r="CB35" s="1382" t="str">
        <f>"09/04/"&amp;Tax_year_start</f>
        <v>09/04/2025</v>
      </c>
      <c r="CC35" s="1382" t="str">
        <f>"15/04/"&amp;Tax_year_start</f>
        <v>15/04/2025</v>
      </c>
      <c r="CD35" s="1382" t="str">
        <f>"08/04/"&amp;Tax_year_start</f>
        <v>08/04/2025</v>
      </c>
      <c r="CE35" s="1382" t="str">
        <f>"09/04/"&amp;Tax_year_start</f>
        <v>09/04/2025</v>
      </c>
      <c r="CF35" s="1381"/>
      <c r="CG35" s="1382" t="str">
        <f>"11/04/"&amp;Tax_year_start</f>
        <v>11/04/2025</v>
      </c>
      <c r="CH35" s="1382" t="str">
        <f>"12/04/"&amp;Tax_year_start</f>
        <v>12/04/2025</v>
      </c>
      <c r="CI35" s="1382"/>
      <c r="CJ35" s="1381"/>
      <c r="CK35" s="1382" t="str">
        <f>"06/05/"&amp;Tax_year_start</f>
        <v>06/05/2025</v>
      </c>
      <c r="CL35" s="1381"/>
      <c r="CM35" s="1381"/>
      <c r="CN35" s="1381"/>
      <c r="CO35" s="1381"/>
      <c r="CP35" s="1382" t="str">
        <f>"06/08/"&amp;Tax_year_start</f>
        <v>06/08/2025</v>
      </c>
      <c r="CQ35" s="1381"/>
      <c r="CR35" s="1381"/>
      <c r="CS35" s="1381"/>
      <c r="CT35" s="1381"/>
      <c r="CU35" s="1381"/>
      <c r="CV35" s="1381"/>
      <c r="CW35" s="1381"/>
      <c r="CX35" s="1381"/>
      <c r="CY35" s="1382" t="str">
        <f>"15/04/"&amp;Tax_year_start</f>
        <v>15/04/2025</v>
      </c>
      <c r="CZ35" s="1382"/>
      <c r="DA35" s="1382" t="str">
        <f>"20/04/"&amp;Tax_year_start</f>
        <v>20/04/2025</v>
      </c>
      <c r="DB35" s="1381"/>
      <c r="DC35" s="1381"/>
      <c r="DD35" s="1381"/>
      <c r="DE35" s="1381"/>
      <c r="DF35" s="1381"/>
      <c r="DG35" s="1381"/>
      <c r="DH35" s="1382" t="str">
        <f>"06/05/"&amp;Tax_year_start</f>
        <v>06/05/2025</v>
      </c>
      <c r="DI35" s="1381"/>
      <c r="DJ35" s="1382" t="str">
        <f>"07/04/"&amp;Tax_year_start</f>
        <v>07/04/2025</v>
      </c>
      <c r="DK35" s="1381"/>
      <c r="DL35" s="1381"/>
      <c r="DM35" s="1382" t="str">
        <f>"07/06/"&amp;Tax_year_start</f>
        <v>07/06/2025</v>
      </c>
      <c r="DN35" s="1381"/>
      <c r="DO35" s="1381"/>
      <c r="DP35" s="1381"/>
      <c r="DQ35" s="1381"/>
      <c r="DR35" s="1381"/>
      <c r="DS35" s="1381"/>
      <c r="DT35" s="1381"/>
      <c r="DU35" s="1381"/>
      <c r="DV35" s="1381"/>
      <c r="DW35" s="1381"/>
      <c r="DX35" s="2462"/>
      <c r="DY35" s="2462"/>
      <c r="DZ35" s="1381"/>
      <c r="EA35" s="1381"/>
      <c r="EB35" s="1381"/>
      <c r="EC35" s="1381"/>
      <c r="ED35" s="1381"/>
      <c r="EE35" s="1381"/>
      <c r="EF35" s="1381"/>
      <c r="EG35" s="1381"/>
      <c r="EH35" s="1382" t="str">
        <f>"06/04/"&amp;Tax_year_start</f>
        <v>06/04/2025</v>
      </c>
      <c r="EI35" s="1382"/>
      <c r="EJ35" s="1381"/>
      <c r="EK35" s="1381"/>
      <c r="EL35" s="1381"/>
      <c r="EM35" s="1382"/>
      <c r="EN35" s="1381"/>
      <c r="EO35" s="1381"/>
      <c r="EP35" s="1381"/>
      <c r="EQ35" s="1381"/>
      <c r="ER35" s="1382" t="str">
        <f>"06/04/"&amp;Tax_year_start</f>
        <v>06/04/2025</v>
      </c>
      <c r="ES35" s="1381"/>
      <c r="ET35" s="1381"/>
      <c r="EU35" s="1382" t="str">
        <f>"10/04/"&amp;Tax_year_start</f>
        <v>10/04/2025</v>
      </c>
      <c r="EV35" s="1381"/>
      <c r="EW35" s="1381"/>
      <c r="EX35" s="1381"/>
      <c r="EY35" s="1381"/>
      <c r="EZ35" s="1381"/>
      <c r="FA35" s="1382"/>
      <c r="FB35" s="1382"/>
      <c r="FC35" s="1381"/>
      <c r="FD35" s="1382"/>
      <c r="FE35" s="1381"/>
      <c r="FF35" s="1381"/>
      <c r="FG35" s="1381"/>
      <c r="FH35" s="1382" t="str">
        <f>"06/04/"&amp;Tax_year_start</f>
        <v>06/04/2025</v>
      </c>
      <c r="FI35" s="1381"/>
      <c r="FJ35" s="1381"/>
      <c r="FK35" s="1382" t="str">
        <f>"09/04/"&amp;Tax_year_start</f>
        <v>09/04/2025</v>
      </c>
      <c r="FL35" s="1381"/>
      <c r="FM35" s="1381"/>
      <c r="FN35" s="1381"/>
      <c r="FO35" s="1382"/>
      <c r="FP35" s="1381"/>
      <c r="FQ35" s="1381"/>
      <c r="FR35" s="1381"/>
      <c r="FS35" s="1381"/>
      <c r="FT35" s="1381"/>
      <c r="FU35" s="1381"/>
      <c r="FV35" s="1381" t="str">
        <f>"12/04/"&amp;Tax_year_start</f>
        <v>12/04/2025</v>
      </c>
      <c r="FW35" s="1381"/>
      <c r="FX35" s="1381"/>
      <c r="FY35" s="1381"/>
      <c r="FZ35" s="1381"/>
      <c r="GA35" s="1381"/>
      <c r="GB35" s="1381"/>
      <c r="GC35" s="1381"/>
      <c r="GD35" s="1381"/>
      <c r="GE35" s="1381"/>
      <c r="GF35" s="1381"/>
      <c r="GG35" s="1381"/>
      <c r="GH35" s="1381"/>
      <c r="GI35" s="1381"/>
      <c r="GJ35" s="1381"/>
      <c r="GK35" s="1381"/>
      <c r="GL35" s="1381"/>
      <c r="GM35" s="1381"/>
      <c r="GN35" s="1381"/>
      <c r="GO35" s="1381"/>
      <c r="GP35" s="1381"/>
      <c r="GQ35" s="1381"/>
      <c r="GR35" s="1381"/>
      <c r="GS35" s="1381"/>
      <c r="GT35" s="1381"/>
      <c r="GU35" s="1381"/>
      <c r="GV35" s="1381"/>
      <c r="GW35" s="1382" t="str">
        <f>"13/04/"&amp;Tax_year_start</f>
        <v>13/04/2025</v>
      </c>
      <c r="GX35" s="1381"/>
      <c r="GY35" s="1382"/>
      <c r="GZ35" s="1381"/>
      <c r="HA35" s="1381"/>
      <c r="HB35" s="1381"/>
      <c r="HC35" s="1381"/>
      <c r="HD35" s="1381"/>
      <c r="HE35" s="1382" t="str">
        <f>"25/04/"&amp;Tax_year_start</f>
        <v>25/04/2025</v>
      </c>
      <c r="HF35" s="1381"/>
      <c r="HG35" s="1381"/>
      <c r="HH35" s="1381"/>
      <c r="HI35" s="1381"/>
      <c r="HJ35" s="1381"/>
      <c r="HK35" s="1381"/>
      <c r="HL35" s="1381"/>
      <c r="HM35" s="1381"/>
      <c r="HN35" s="1381"/>
      <c r="HO35" s="1381"/>
      <c r="HP35" s="1381"/>
      <c r="HQ35" s="1381"/>
      <c r="HR35" s="1381"/>
      <c r="HS35" s="1381"/>
      <c r="HT35" s="1381"/>
      <c r="HU35" s="1381"/>
      <c r="HV35" s="1381"/>
      <c r="HW35" s="1381"/>
      <c r="HX35" s="1381"/>
      <c r="HY35" s="1381"/>
      <c r="HZ35" s="1381"/>
      <c r="IA35" s="1381"/>
      <c r="IB35" s="1381"/>
      <c r="IC35" s="1381"/>
      <c r="ID35" s="1381"/>
      <c r="IE35" s="1381"/>
      <c r="IF35" s="1381"/>
      <c r="IG35" s="1381"/>
      <c r="IH35" s="1381"/>
      <c r="II35" s="1381"/>
      <c r="IJ35" s="1381"/>
      <c r="IK35" s="1381"/>
      <c r="IL35" s="1381"/>
      <c r="IM35" s="1381"/>
      <c r="IN35" s="1381"/>
      <c r="IO35" s="1382" t="str">
        <f>"06/04/"&amp;Tax_year_start</f>
        <v>06/04/2025</v>
      </c>
      <c r="IP35" s="1381"/>
      <c r="IQ35" s="1464" t="str">
        <f>"06/04/"&amp;Tax_year_start</f>
        <v>06/04/2025</v>
      </c>
      <c r="IR35" s="1381"/>
      <c r="IS35" s="1382" t="str">
        <f>"11/04/"&amp;Tax_year_start</f>
        <v>11/04/2025</v>
      </c>
      <c r="IT35" s="1464" t="str">
        <f>"16/04/"&amp;Tax_year_start</f>
        <v>16/04/2025</v>
      </c>
      <c r="IU35" s="1381"/>
      <c r="IV35" s="1381"/>
      <c r="IW35" s="1381"/>
      <c r="IX35" s="1381"/>
      <c r="IY35" s="1416"/>
      <c r="IZ35" s="1381"/>
      <c r="JA35" s="1381"/>
      <c r="JB35" s="1382" t="str">
        <f>"06/04/"&amp;Tax_year_start</f>
        <v>06/04/2025</v>
      </c>
      <c r="JC35" s="1381"/>
      <c r="JD35" s="1381"/>
      <c r="JE35" s="1381"/>
      <c r="JF35" s="1381"/>
      <c r="JG35" s="1381"/>
      <c r="JH35" s="1381"/>
      <c r="JI35" s="1464" t="str">
        <f>"13/04/"&amp;Tax_year_start</f>
        <v>13/04/2025</v>
      </c>
      <c r="JJ35" s="1381"/>
      <c r="JK35" s="1414"/>
      <c r="JL35" s="1464" t="str">
        <f>"12/04/"&amp;Tax_year_start</f>
        <v>12/04/2025</v>
      </c>
      <c r="JM35" s="1464"/>
      <c r="JN35" s="1414"/>
      <c r="JO35" s="1414"/>
      <c r="JP35" s="1414"/>
      <c r="JQ35" s="1415"/>
      <c r="JR35" s="351"/>
      <c r="JS35" s="1400" t="s">
        <v>3569</v>
      </c>
      <c r="JT35" s="450" t="s">
        <v>2208</v>
      </c>
    </row>
    <row r="36" spans="1:280" ht="12.5" x14ac:dyDescent="0.25">
      <c r="A36" s="1367">
        <v>6</v>
      </c>
      <c r="B36" s="1574" t="str">
        <f t="shared" si="4"/>
        <v/>
      </c>
      <c r="C36" s="2469" t="s">
        <v>3570</v>
      </c>
      <c r="D36" s="1578" t="s">
        <v>3486</v>
      </c>
      <c r="E36" s="1381"/>
      <c r="F36" s="1381"/>
      <c r="G36" s="1381"/>
      <c r="H36" s="1381"/>
      <c r="I36" s="1381"/>
      <c r="J36" s="1381"/>
      <c r="K36" s="1381"/>
      <c r="L36" s="1381"/>
      <c r="M36" s="1381"/>
      <c r="N36" s="1381"/>
      <c r="O36" s="1381"/>
      <c r="P36" s="1381"/>
      <c r="Q36" s="1381"/>
      <c r="R36" s="1381"/>
      <c r="S36" s="1381"/>
      <c r="T36" s="1381"/>
      <c r="U36" s="1381"/>
      <c r="V36" s="1381"/>
      <c r="W36" s="1381"/>
      <c r="X36" s="1381"/>
      <c r="Y36" s="1381"/>
      <c r="Z36" s="1381"/>
      <c r="AA36" s="1381"/>
      <c r="AB36" s="1381"/>
      <c r="AC36" s="1381"/>
      <c r="AD36" s="1381"/>
      <c r="AE36" s="1381"/>
      <c r="AF36" s="1381"/>
      <c r="AG36" s="1381"/>
      <c r="AH36" s="1381"/>
      <c r="AI36" s="1381"/>
      <c r="AJ36" s="1416"/>
      <c r="AK36" s="1381"/>
      <c r="AL36" s="1381"/>
      <c r="AM36" s="1416"/>
      <c r="AN36" s="1381"/>
      <c r="AO36" s="1381"/>
      <c r="AP36" s="1381"/>
      <c r="AQ36" s="1381"/>
      <c r="AR36" s="1381"/>
      <c r="AS36" s="1381"/>
      <c r="AT36" s="1381"/>
      <c r="AU36" s="1381"/>
      <c r="AV36" s="1381"/>
      <c r="AW36" s="1381"/>
      <c r="AX36" s="1381"/>
      <c r="AY36" s="1381"/>
      <c r="AZ36" s="1381"/>
      <c r="BA36" s="1381"/>
      <c r="BB36" s="1461" t="s">
        <v>1615</v>
      </c>
      <c r="BC36" s="1416" t="s">
        <v>1615</v>
      </c>
      <c r="BD36" s="1381"/>
      <c r="BE36" s="1381"/>
      <c r="BF36" s="1381"/>
      <c r="BG36" s="1381"/>
      <c r="BH36" s="1381"/>
      <c r="BI36" s="1381"/>
      <c r="BJ36" s="1381"/>
      <c r="BK36" s="1381"/>
      <c r="BL36" s="1381"/>
      <c r="BM36" s="1381"/>
      <c r="BN36" s="1381"/>
      <c r="BO36" s="1381"/>
      <c r="BP36" s="1381"/>
      <c r="BQ36" s="1381"/>
      <c r="BR36" s="1381"/>
      <c r="BS36" s="1381"/>
      <c r="BT36" s="1381"/>
      <c r="BU36" s="1381"/>
      <c r="BV36" s="1381"/>
      <c r="BW36" s="1381"/>
      <c r="BX36" s="1381"/>
      <c r="BY36" s="1381"/>
      <c r="BZ36" s="1381"/>
      <c r="CA36" s="1381"/>
      <c r="CB36" s="1382" t="s">
        <v>1615</v>
      </c>
      <c r="CC36" s="1382" t="s">
        <v>1615</v>
      </c>
      <c r="CD36" s="1382" t="s">
        <v>1615</v>
      </c>
      <c r="CE36" s="1382" t="s">
        <v>1615</v>
      </c>
      <c r="CF36" s="1381"/>
      <c r="CG36" s="1382" t="s">
        <v>1615</v>
      </c>
      <c r="CH36" s="1382" t="s">
        <v>1615</v>
      </c>
      <c r="CI36" s="1382" t="s">
        <v>1707</v>
      </c>
      <c r="CJ36" s="1382" t="s">
        <v>1615</v>
      </c>
      <c r="CK36" s="1382" t="s">
        <v>1615</v>
      </c>
      <c r="CL36" s="1381"/>
      <c r="CM36" s="1381"/>
      <c r="CN36" s="1381"/>
      <c r="CO36" s="1381"/>
      <c r="CP36" s="1382" t="s">
        <v>1615</v>
      </c>
      <c r="CQ36" s="1381"/>
      <c r="CR36" s="1381"/>
      <c r="CS36" s="1381"/>
      <c r="CT36" s="1381"/>
      <c r="CU36" s="1381"/>
      <c r="CV36" s="1381"/>
      <c r="CW36" s="1381"/>
      <c r="CX36" s="1381"/>
      <c r="CY36" s="1382" t="s">
        <v>1615</v>
      </c>
      <c r="CZ36" s="1382" t="s">
        <v>1707</v>
      </c>
      <c r="DA36" s="1382" t="s">
        <v>1615</v>
      </c>
      <c r="DB36" s="1381"/>
      <c r="DC36" s="1381"/>
      <c r="DD36" s="1381"/>
      <c r="DE36" s="1381"/>
      <c r="DF36" s="1381"/>
      <c r="DG36" s="1381"/>
      <c r="DH36" s="1382" t="s">
        <v>1615</v>
      </c>
      <c r="DI36" s="1381"/>
      <c r="DJ36" s="1382" t="s">
        <v>1615</v>
      </c>
      <c r="DK36" s="1381"/>
      <c r="DL36" s="1381"/>
      <c r="DM36" s="1382" t="s">
        <v>1707</v>
      </c>
      <c r="DN36" s="1381"/>
      <c r="DO36" s="1381"/>
      <c r="DP36" s="1381"/>
      <c r="DQ36" s="1381"/>
      <c r="DR36" s="1381"/>
      <c r="DS36" s="1381"/>
      <c r="DT36" s="1381"/>
      <c r="DU36" s="1381"/>
      <c r="DV36" s="1381"/>
      <c r="DW36" s="1381"/>
      <c r="DX36" s="2462" t="s">
        <v>1707</v>
      </c>
      <c r="DY36" s="2462" t="s">
        <v>1707</v>
      </c>
      <c r="DZ36" s="1381"/>
      <c r="EA36" s="1381"/>
      <c r="EB36" s="1381"/>
      <c r="EC36" s="1381"/>
      <c r="ED36" s="1381"/>
      <c r="EE36" s="1381"/>
      <c r="EF36" s="1381"/>
      <c r="EG36" s="1381"/>
      <c r="EH36" s="1382" t="s">
        <v>1615</v>
      </c>
      <c r="EI36" s="1382" t="s">
        <v>1707</v>
      </c>
      <c r="EJ36" s="1381"/>
      <c r="EK36" s="1381"/>
      <c r="EL36" s="1381"/>
      <c r="EM36" s="1382" t="s">
        <v>1707</v>
      </c>
      <c r="EN36" s="1381"/>
      <c r="EO36" s="1381"/>
      <c r="EP36" s="1381"/>
      <c r="EQ36" s="1381"/>
      <c r="ER36" s="1382" t="s">
        <v>1615</v>
      </c>
      <c r="ES36" s="1381"/>
      <c r="ET36" s="1381"/>
      <c r="EU36" s="1382" t="s">
        <v>1615</v>
      </c>
      <c r="EV36" s="1381"/>
      <c r="EW36" s="1381"/>
      <c r="EX36" s="1381"/>
      <c r="EY36" s="1381"/>
      <c r="EZ36" s="1381"/>
      <c r="FA36" s="1382" t="s">
        <v>1707</v>
      </c>
      <c r="FB36" s="1382" t="s">
        <v>1707</v>
      </c>
      <c r="FC36" s="1381"/>
      <c r="FD36" s="1382" t="s">
        <v>1707</v>
      </c>
      <c r="FE36" s="1381"/>
      <c r="FF36" s="1381"/>
      <c r="FG36" s="1381"/>
      <c r="FH36" s="1382" t="s">
        <v>1615</v>
      </c>
      <c r="FI36" s="1381"/>
      <c r="FJ36" s="1381"/>
      <c r="FK36" s="1382" t="s">
        <v>1615</v>
      </c>
      <c r="FL36" s="1381"/>
      <c r="FM36" s="1381"/>
      <c r="FN36" s="1381"/>
      <c r="FO36" s="1382" t="s">
        <v>1707</v>
      </c>
      <c r="FP36" s="1381"/>
      <c r="FQ36" s="1381"/>
      <c r="FR36" s="1381"/>
      <c r="FS36" s="1381"/>
      <c r="FT36" s="1381"/>
      <c r="FU36" s="1381"/>
      <c r="FV36" s="1416" t="s">
        <v>1707</v>
      </c>
      <c r="FW36" s="1381"/>
      <c r="FX36" s="1381"/>
      <c r="FY36" s="1381"/>
      <c r="FZ36" s="1381"/>
      <c r="GA36" s="1381"/>
      <c r="GB36" s="1381"/>
      <c r="GC36" s="1381"/>
      <c r="GD36" s="1381"/>
      <c r="GE36" s="1381"/>
      <c r="GF36" s="1381"/>
      <c r="GG36" s="1381"/>
      <c r="GH36" s="1381"/>
      <c r="GI36" s="1381"/>
      <c r="GJ36" s="1381"/>
      <c r="GK36" s="1381"/>
      <c r="GL36" s="1381"/>
      <c r="GM36" s="1381"/>
      <c r="GN36" s="1381"/>
      <c r="GO36" s="1381"/>
      <c r="GP36" s="1381"/>
      <c r="GQ36" s="1381"/>
      <c r="GR36" s="1381"/>
      <c r="GS36" s="1381"/>
      <c r="GT36" s="1381"/>
      <c r="GU36" s="1381"/>
      <c r="GV36" s="1381"/>
      <c r="GW36" s="1417" t="s">
        <v>1615</v>
      </c>
      <c r="GX36" s="1381"/>
      <c r="GY36" s="1382" t="s">
        <v>1707</v>
      </c>
      <c r="GZ36" s="1381"/>
      <c r="HA36" s="1381"/>
      <c r="HB36" s="1381"/>
      <c r="HC36" s="1381"/>
      <c r="HD36" s="1381"/>
      <c r="HE36" s="1382" t="s">
        <v>1615</v>
      </c>
      <c r="HF36" s="1381"/>
      <c r="HG36" s="1381"/>
      <c r="HH36" s="1381"/>
      <c r="HI36" s="1381"/>
      <c r="HJ36" s="1381"/>
      <c r="HK36" s="1381"/>
      <c r="HL36" s="1382" t="s">
        <v>1615</v>
      </c>
      <c r="HM36" s="1381"/>
      <c r="HN36" s="1381"/>
      <c r="HO36" s="1381"/>
      <c r="HP36" s="1381"/>
      <c r="HQ36" s="1381"/>
      <c r="HR36" s="1381"/>
      <c r="HS36" s="1381"/>
      <c r="HT36" s="1381"/>
      <c r="HU36" s="1381"/>
      <c r="HV36" s="1381"/>
      <c r="HW36" s="1381"/>
      <c r="HX36" s="1381"/>
      <c r="HY36" s="1381"/>
      <c r="HZ36" s="1381"/>
      <c r="IA36" s="1381"/>
      <c r="IB36" s="1381"/>
      <c r="IC36" s="1381"/>
      <c r="ID36" s="1381"/>
      <c r="IE36" s="1381"/>
      <c r="IF36" s="1381"/>
      <c r="IG36" s="1381"/>
      <c r="IH36" s="1381"/>
      <c r="II36" s="1381"/>
      <c r="IJ36" s="1381"/>
      <c r="IK36" s="1381"/>
      <c r="IL36" s="1381"/>
      <c r="IM36" s="1381"/>
      <c r="IN36" s="1381"/>
      <c r="IO36" s="1382" t="s">
        <v>1615</v>
      </c>
      <c r="IP36" s="1381"/>
      <c r="IQ36" s="1464" t="s">
        <v>1615</v>
      </c>
      <c r="IR36" s="1381"/>
      <c r="IS36" s="1382" t="s">
        <v>1707</v>
      </c>
      <c r="IT36" s="1464" t="s">
        <v>1707</v>
      </c>
      <c r="IU36" s="1382" t="s">
        <v>1615</v>
      </c>
      <c r="IV36" s="1381"/>
      <c r="IW36" s="1381"/>
      <c r="IX36" s="1381"/>
      <c r="IY36" s="1416"/>
      <c r="IZ36" s="1381"/>
      <c r="JA36" s="1381"/>
      <c r="JB36" s="1417" t="s">
        <v>1707</v>
      </c>
      <c r="JC36" s="1381"/>
      <c r="JD36" s="1381"/>
      <c r="JE36" s="1381"/>
      <c r="JF36" s="1381"/>
      <c r="JG36" s="1381"/>
      <c r="JH36" s="1381"/>
      <c r="JI36" s="1464" t="s">
        <v>1615</v>
      </c>
      <c r="JJ36" s="1381"/>
      <c r="JK36" s="1414"/>
      <c r="JL36" s="1464" t="s">
        <v>1615</v>
      </c>
      <c r="JM36" s="1464" t="s">
        <v>1707</v>
      </c>
      <c r="JN36" s="1414"/>
      <c r="JO36" s="1414"/>
      <c r="JP36" s="1414"/>
      <c r="JQ36" s="1415"/>
      <c r="JR36" s="351"/>
      <c r="JS36" s="1400"/>
      <c r="JT36" s="450"/>
    </row>
    <row r="37" spans="1:280" ht="30" x14ac:dyDescent="0.25">
      <c r="A37" s="1367">
        <v>7</v>
      </c>
      <c r="B37" s="1574" t="str">
        <f t="shared" si="4"/>
        <v/>
      </c>
      <c r="C37" s="1435" t="s">
        <v>3571</v>
      </c>
      <c r="D37" s="1578" t="s">
        <v>3488</v>
      </c>
      <c r="E37" s="1381"/>
      <c r="F37" s="1381"/>
      <c r="G37" s="1381"/>
      <c r="H37" s="1381"/>
      <c r="I37" s="1381"/>
      <c r="J37" s="1381"/>
      <c r="K37" s="1381"/>
      <c r="L37" s="1381"/>
      <c r="M37" s="1381"/>
      <c r="N37" s="1381"/>
      <c r="O37" s="1381"/>
      <c r="P37" s="1381"/>
      <c r="Q37" s="1381"/>
      <c r="R37" s="1381"/>
      <c r="S37" s="1381"/>
      <c r="T37" s="1381"/>
      <c r="U37" s="1381"/>
      <c r="V37" s="1381"/>
      <c r="W37" s="1381"/>
      <c r="X37" s="1381"/>
      <c r="Y37" s="1381"/>
      <c r="Z37" s="1381"/>
      <c r="AA37" s="1381"/>
      <c r="AB37" s="1381"/>
      <c r="AC37" s="1381"/>
      <c r="AD37" s="1381"/>
      <c r="AE37" s="1381"/>
      <c r="AF37" s="1381"/>
      <c r="AG37" s="1381"/>
      <c r="AH37" s="1381"/>
      <c r="AI37" s="1381"/>
      <c r="AJ37" s="1416"/>
      <c r="AK37" s="1381"/>
      <c r="AL37" s="1381"/>
      <c r="AM37" s="1416"/>
      <c r="AN37" s="1381"/>
      <c r="AO37" s="1381"/>
      <c r="AP37" s="1381"/>
      <c r="AQ37" s="1381"/>
      <c r="AR37" s="1381"/>
      <c r="AS37" s="1381"/>
      <c r="AT37" s="1381"/>
      <c r="AU37" s="1381"/>
      <c r="AV37" s="1381"/>
      <c r="AW37" s="1381"/>
      <c r="AX37" s="1381"/>
      <c r="AY37" s="1381"/>
      <c r="AZ37" s="1381"/>
      <c r="BA37" s="1381"/>
      <c r="BB37" s="1461"/>
      <c r="BC37" s="1416"/>
      <c r="BD37" s="1381"/>
      <c r="BE37" s="1381"/>
      <c r="BF37" s="1381"/>
      <c r="BG37" s="1381"/>
      <c r="BH37" s="1381"/>
      <c r="BI37" s="1381"/>
      <c r="BJ37" s="1381"/>
      <c r="BK37" s="1381"/>
      <c r="BL37" s="1381"/>
      <c r="BM37" s="1381"/>
      <c r="BN37" s="1381"/>
      <c r="BO37" s="1381"/>
      <c r="BP37" s="1381"/>
      <c r="BQ37" s="1381"/>
      <c r="BR37" s="1381"/>
      <c r="BS37" s="1381"/>
      <c r="BT37" s="1381"/>
      <c r="BU37" s="1381"/>
      <c r="BV37" s="1381"/>
      <c r="BW37" s="1381"/>
      <c r="BX37" s="1381"/>
      <c r="BY37" s="1381"/>
      <c r="BZ37" s="1381"/>
      <c r="CA37" s="1381"/>
      <c r="CB37" s="1382"/>
      <c r="CC37" s="1382"/>
      <c r="CD37" s="1382"/>
      <c r="CE37" s="1382"/>
      <c r="CF37" s="1381"/>
      <c r="CG37" s="1382"/>
      <c r="CH37" s="1382"/>
      <c r="CI37" s="1382" t="str">
        <f>"31/03/"&amp;Tax_year_end</f>
        <v>31/03/2026</v>
      </c>
      <c r="CJ37" s="1381"/>
      <c r="CK37" s="1382"/>
      <c r="CL37" s="1381"/>
      <c r="CM37" s="1381"/>
      <c r="CN37" s="1381"/>
      <c r="CO37" s="1381"/>
      <c r="CP37" s="1382"/>
      <c r="CQ37" s="1381"/>
      <c r="CR37" s="1381"/>
      <c r="CS37" s="1381"/>
      <c r="CT37" s="1381"/>
      <c r="CU37" s="1381"/>
      <c r="CV37" s="1381"/>
      <c r="CW37" s="1381"/>
      <c r="CX37" s="1381"/>
      <c r="CY37" s="1382"/>
      <c r="CZ37" s="1382" t="str">
        <f>"02/04/"&amp;Tax_year_end</f>
        <v>02/04/2026</v>
      </c>
      <c r="DA37" s="1382"/>
      <c r="DB37" s="1381"/>
      <c r="DC37" s="1381"/>
      <c r="DD37" s="1381"/>
      <c r="DE37" s="1381"/>
      <c r="DF37" s="1381"/>
      <c r="DG37" s="1381"/>
      <c r="DH37" s="1382"/>
      <c r="DI37" s="1381"/>
      <c r="DJ37" s="1382"/>
      <c r="DK37" s="1381"/>
      <c r="DL37" s="1381"/>
      <c r="DM37" s="1382" t="str">
        <f>"30/03/"&amp;Tax_year_end</f>
        <v>30/03/2026</v>
      </c>
      <c r="DN37" s="1381"/>
      <c r="DO37" s="1381"/>
      <c r="DP37" s="1381"/>
      <c r="DQ37" s="1381"/>
      <c r="DR37" s="1381"/>
      <c r="DS37" s="1381"/>
      <c r="DT37" s="1381"/>
      <c r="DU37" s="1381"/>
      <c r="DV37" s="1381"/>
      <c r="DW37" s="1381"/>
      <c r="DX37" s="2462" t="str">
        <f>"03/04/"&amp;Tax_year_end</f>
        <v>03/04/2026</v>
      </c>
      <c r="DY37" s="2462" t="str">
        <f>"30/03/"&amp;Tax_year_end</f>
        <v>30/03/2026</v>
      </c>
      <c r="DZ37" s="1381"/>
      <c r="EA37" s="1381"/>
      <c r="EB37" s="1381"/>
      <c r="EC37" s="1381"/>
      <c r="ED37" s="1381"/>
      <c r="EE37" s="1381"/>
      <c r="EF37" s="1381"/>
      <c r="EG37" s="1381"/>
      <c r="EH37" s="1382"/>
      <c r="EI37" s="1382" t="str">
        <f>"03/04/"&amp;Tax_year_end</f>
        <v>03/04/2026</v>
      </c>
      <c r="EJ37" s="1381"/>
      <c r="EK37" s="1381"/>
      <c r="EL37" s="1381"/>
      <c r="EM37" s="1382" t="str">
        <f>"31/03/"&amp;Tax_year_end</f>
        <v>31/03/2026</v>
      </c>
      <c r="EN37" s="1381"/>
      <c r="EO37" s="1381"/>
      <c r="EP37" s="1381"/>
      <c r="EQ37" s="1381"/>
      <c r="ER37" s="1382"/>
      <c r="ES37" s="1381"/>
      <c r="ET37" s="1381"/>
      <c r="EU37" s="1382"/>
      <c r="EV37" s="1381"/>
      <c r="EW37" s="1381"/>
      <c r="EX37" s="1381"/>
      <c r="EY37" s="1381"/>
      <c r="EZ37" s="1381"/>
      <c r="FA37" s="1382" t="str">
        <f>"31/03/"&amp;Tax_year_end</f>
        <v>31/03/2026</v>
      </c>
      <c r="FB37" s="1382" t="str">
        <f>"01/04/"&amp;Tax_year_end</f>
        <v>01/04/2026</v>
      </c>
      <c r="FC37" s="1381"/>
      <c r="FD37" s="1382" t="str">
        <f>"31/01/"&amp;Tax_year_end</f>
        <v>31/01/2026</v>
      </c>
      <c r="FE37" s="1381"/>
      <c r="FF37" s="1381"/>
      <c r="FG37" s="1381"/>
      <c r="FH37" s="1382"/>
      <c r="FI37" s="1381"/>
      <c r="FJ37" s="1381"/>
      <c r="FK37" s="1382"/>
      <c r="FL37" s="1381"/>
      <c r="FM37" s="1381"/>
      <c r="FN37" s="1381"/>
      <c r="FO37" s="1382" t="str">
        <f>"30/03/"&amp;Tax_year_end</f>
        <v>30/03/2026</v>
      </c>
      <c r="FP37" s="1381"/>
      <c r="FQ37" s="1381"/>
      <c r="FR37" s="1381"/>
      <c r="FS37" s="1381"/>
      <c r="FT37" s="1381"/>
      <c r="FU37" s="1381"/>
      <c r="FV37" s="1381" t="str">
        <f>"04/04/"&amp;Tax_year_end</f>
        <v>04/04/2026</v>
      </c>
      <c r="FW37" s="1381"/>
      <c r="FX37" s="1381"/>
      <c r="FY37" s="1381"/>
      <c r="FZ37" s="1381"/>
      <c r="GA37" s="1381"/>
      <c r="GB37" s="1381"/>
      <c r="GC37" s="1381"/>
      <c r="GD37" s="1381"/>
      <c r="GE37" s="1381"/>
      <c r="GF37" s="1381"/>
      <c r="GG37" s="1381"/>
      <c r="GH37" s="1381"/>
      <c r="GI37" s="1381"/>
      <c r="GJ37" s="1381"/>
      <c r="GK37" s="1381"/>
      <c r="GL37" s="1381"/>
      <c r="GM37" s="1381"/>
      <c r="GN37" s="1381"/>
      <c r="GO37" s="1381"/>
      <c r="GP37" s="1381"/>
      <c r="GQ37" s="1381"/>
      <c r="GR37" s="1381"/>
      <c r="GS37" s="1381"/>
      <c r="GT37" s="1381"/>
      <c r="GU37" s="1381"/>
      <c r="GV37" s="1381"/>
      <c r="GW37" s="1417"/>
      <c r="GX37" s="1381"/>
      <c r="GY37" s="1382" t="str">
        <f>"01/04/"&amp;Tax_year_end</f>
        <v>01/04/2026</v>
      </c>
      <c r="GZ37" s="1381"/>
      <c r="HA37" s="1381"/>
      <c r="HB37" s="1381"/>
      <c r="HC37" s="1381"/>
      <c r="HD37" s="1381"/>
      <c r="HE37" s="1382"/>
      <c r="HF37" s="1381"/>
      <c r="HG37" s="1381"/>
      <c r="HH37" s="1381"/>
      <c r="HI37" s="1381"/>
      <c r="HJ37" s="1381"/>
      <c r="HK37" s="1381"/>
      <c r="HL37" s="1381"/>
      <c r="HM37" s="1381"/>
      <c r="HN37" s="1381"/>
      <c r="HO37" s="1381"/>
      <c r="HP37" s="1381"/>
      <c r="HQ37" s="1381"/>
      <c r="HR37" s="1381"/>
      <c r="HS37" s="1381"/>
      <c r="HT37" s="1381"/>
      <c r="HU37" s="1381"/>
      <c r="HV37" s="1381"/>
      <c r="HW37" s="1381"/>
      <c r="HX37" s="1381"/>
      <c r="HY37" s="1381"/>
      <c r="HZ37" s="1381"/>
      <c r="IA37" s="1381"/>
      <c r="IB37" s="1381"/>
      <c r="IC37" s="1381"/>
      <c r="ID37" s="1381"/>
      <c r="IE37" s="1381"/>
      <c r="IF37" s="1381"/>
      <c r="IG37" s="1381"/>
      <c r="IH37" s="1381"/>
      <c r="II37" s="1381"/>
      <c r="IJ37" s="1381"/>
      <c r="IK37" s="1381"/>
      <c r="IL37" s="1381"/>
      <c r="IM37" s="1381"/>
      <c r="IN37" s="1381"/>
      <c r="IO37" s="1382"/>
      <c r="IP37" s="1381"/>
      <c r="IQ37" s="1464"/>
      <c r="IR37" s="1381"/>
      <c r="IS37" s="1382" t="str">
        <f>"31/03/"&amp;Tax_year_end</f>
        <v>31/03/2026</v>
      </c>
      <c r="IT37" s="1464" t="str">
        <f>"03/04/"&amp;Tax_year_end</f>
        <v>03/04/2026</v>
      </c>
      <c r="IU37" s="1381"/>
      <c r="IV37" s="1381"/>
      <c r="IW37" s="1381"/>
      <c r="IX37" s="1381"/>
      <c r="IY37" s="1416"/>
      <c r="IZ37" s="1381"/>
      <c r="JA37" s="1381"/>
      <c r="JB37" s="1382" t="str">
        <f>"13/03/"&amp;Tax_year_end</f>
        <v>13/03/2026</v>
      </c>
      <c r="JC37" s="1381"/>
      <c r="JD37" s="1381"/>
      <c r="JE37" s="1381"/>
      <c r="JF37" s="1381"/>
      <c r="JG37" s="1381"/>
      <c r="JH37" s="1381"/>
      <c r="JI37" s="1464"/>
      <c r="JJ37" s="1381"/>
      <c r="JK37" s="1414"/>
      <c r="JL37" s="1464"/>
      <c r="JM37" s="1464" t="str">
        <f>"28/02/"&amp;Tax_year_end</f>
        <v>28/02/2026</v>
      </c>
      <c r="JN37" s="1414"/>
      <c r="JO37" s="1414"/>
      <c r="JP37" s="1414"/>
      <c r="JQ37" s="1415"/>
      <c r="JR37" s="351"/>
      <c r="JS37" s="1400" t="s">
        <v>3572</v>
      </c>
      <c r="JT37" s="450" t="s">
        <v>2208</v>
      </c>
    </row>
    <row r="38" spans="1:280" ht="12.5" x14ac:dyDescent="0.25">
      <c r="A38" s="1367">
        <v>8</v>
      </c>
      <c r="B38" s="1574" t="str">
        <f t="shared" si="4"/>
        <v/>
      </c>
      <c r="C38" s="1435" t="s">
        <v>3573</v>
      </c>
      <c r="D38" s="1436" t="s">
        <v>3491</v>
      </c>
      <c r="E38" s="1571"/>
      <c r="F38" s="1571"/>
      <c r="G38" s="1571"/>
      <c r="H38" s="1571"/>
      <c r="I38" s="1571"/>
      <c r="J38" s="1571"/>
      <c r="K38" s="1571"/>
      <c r="L38" s="1571"/>
      <c r="M38" s="1571"/>
      <c r="N38" s="1571"/>
      <c r="O38" s="1571"/>
      <c r="P38" s="1571"/>
      <c r="Q38" s="1571"/>
      <c r="R38" s="1571"/>
      <c r="S38" s="1571"/>
      <c r="T38" s="1571"/>
      <c r="U38" s="1571"/>
      <c r="V38" s="1571"/>
      <c r="W38" s="1571"/>
      <c r="X38" s="1571"/>
      <c r="Y38" s="1571"/>
      <c r="Z38" s="1571"/>
      <c r="AA38" s="1571"/>
      <c r="AB38" s="1571"/>
      <c r="AC38" s="1571"/>
      <c r="AD38" s="1571"/>
      <c r="AE38" s="1571"/>
      <c r="AF38" s="1571"/>
      <c r="AG38" s="1571"/>
      <c r="AH38" s="1571"/>
      <c r="AI38" s="1571"/>
      <c r="AJ38" s="1568"/>
      <c r="AK38" s="1571"/>
      <c r="AL38" s="1571"/>
      <c r="AM38" s="1568"/>
      <c r="AN38" s="1571"/>
      <c r="AO38" s="1571"/>
      <c r="AP38" s="1571"/>
      <c r="AQ38" s="1571"/>
      <c r="AR38" s="1571"/>
      <c r="AS38" s="1571"/>
      <c r="AT38" s="1571"/>
      <c r="AU38" s="1571"/>
      <c r="AV38" s="1571"/>
      <c r="AW38" s="1571"/>
      <c r="AX38" s="1571"/>
      <c r="AY38" s="1571"/>
      <c r="AZ38" s="1571"/>
      <c r="BA38" s="1571"/>
      <c r="BB38" s="1569">
        <v>-3621</v>
      </c>
      <c r="BC38" s="1568">
        <v>62952</v>
      </c>
      <c r="BD38" s="1571"/>
      <c r="BE38" s="1571"/>
      <c r="BF38" s="1571"/>
      <c r="BG38" s="1571"/>
      <c r="BH38" s="1571"/>
      <c r="BI38" s="1571"/>
      <c r="BJ38" s="1571"/>
      <c r="BK38" s="1571"/>
      <c r="BL38" s="1571"/>
      <c r="BM38" s="1571"/>
      <c r="BN38" s="1571"/>
      <c r="BO38" s="1571"/>
      <c r="BP38" s="1571"/>
      <c r="BQ38" s="1571"/>
      <c r="BR38" s="1571"/>
      <c r="BS38" s="1571"/>
      <c r="BT38" s="1571"/>
      <c r="BU38" s="1571"/>
      <c r="BV38" s="1571"/>
      <c r="BW38" s="1571"/>
      <c r="BX38" s="1571"/>
      <c r="BY38" s="1571"/>
      <c r="BZ38" s="1571"/>
      <c r="CA38" s="1571"/>
      <c r="CB38" s="1571">
        <v>58425</v>
      </c>
      <c r="CC38" s="1571">
        <v>246537</v>
      </c>
      <c r="CD38" s="1571">
        <v>11386</v>
      </c>
      <c r="CE38" s="1571">
        <v>-41049</v>
      </c>
      <c r="CF38" s="1571"/>
      <c r="CG38" s="1571">
        <v>-2355</v>
      </c>
      <c r="CH38" s="1571">
        <v>-138352</v>
      </c>
      <c r="CI38" s="1571">
        <v>120817</v>
      </c>
      <c r="CJ38" s="1579">
        <v>241484</v>
      </c>
      <c r="CK38" s="1571">
        <v>30200</v>
      </c>
      <c r="CL38" s="1571"/>
      <c r="CM38" s="1571"/>
      <c r="CN38" s="1571"/>
      <c r="CO38" s="1571"/>
      <c r="CP38" s="1571">
        <v>62583</v>
      </c>
      <c r="CQ38" s="1571"/>
      <c r="CR38" s="1571"/>
      <c r="CS38" s="1571"/>
      <c r="CT38" s="1571"/>
      <c r="CU38" s="1571"/>
      <c r="CV38" s="1571"/>
      <c r="CW38" s="1571"/>
      <c r="CX38" s="1571"/>
      <c r="CY38" s="1568">
        <v>105602</v>
      </c>
      <c r="CZ38" s="1568">
        <v>222960</v>
      </c>
      <c r="DA38" s="1568">
        <v>222960</v>
      </c>
      <c r="DB38" s="1571"/>
      <c r="DC38" s="1571"/>
      <c r="DD38" s="1571"/>
      <c r="DE38" s="1571"/>
      <c r="DF38" s="1571"/>
      <c r="DG38" s="1571"/>
      <c r="DH38" s="1571">
        <v>-5995</v>
      </c>
      <c r="DI38" s="1571"/>
      <c r="DJ38" s="1570">
        <v>10242</v>
      </c>
      <c r="DK38" s="1571"/>
      <c r="DL38" s="1571"/>
      <c r="DM38" s="1570">
        <v>110154</v>
      </c>
      <c r="DN38" s="1571"/>
      <c r="DO38" s="1571"/>
      <c r="DP38" s="1571"/>
      <c r="DQ38" s="1571"/>
      <c r="DR38" s="1571"/>
      <c r="DS38" s="1571"/>
      <c r="DT38" s="1571"/>
      <c r="DU38" s="1571"/>
      <c r="DV38" s="1571"/>
      <c r="DW38" s="1571"/>
      <c r="DX38" s="2466">
        <v>53376</v>
      </c>
      <c r="DY38" s="2463">
        <v>3841</v>
      </c>
      <c r="DZ38" s="1571"/>
      <c r="EA38" s="1571"/>
      <c r="EB38" s="1571"/>
      <c r="EC38" s="1571"/>
      <c r="ED38" s="1571"/>
      <c r="EE38" s="1571"/>
      <c r="EF38" s="1571"/>
      <c r="EG38" s="1571"/>
      <c r="EH38" s="1568">
        <v>15515</v>
      </c>
      <c r="EI38" s="1568">
        <v>11023</v>
      </c>
      <c r="EJ38" s="1571"/>
      <c r="EK38" s="1571"/>
      <c r="EL38" s="1571"/>
      <c r="EM38" s="1579">
        <v>-15546</v>
      </c>
      <c r="EN38" s="1571"/>
      <c r="EO38" s="1571"/>
      <c r="EP38" s="1571"/>
      <c r="EQ38" s="1571"/>
      <c r="ER38" s="1571"/>
      <c r="ES38" s="1571"/>
      <c r="ET38" s="1571"/>
      <c r="EU38" s="1579">
        <v>-3630</v>
      </c>
      <c r="EV38" s="1571"/>
      <c r="EW38" s="1571"/>
      <c r="EX38" s="1571"/>
      <c r="EY38" s="1571"/>
      <c r="EZ38" s="1571"/>
      <c r="FA38" s="1568">
        <v>105602</v>
      </c>
      <c r="FB38" s="1571"/>
      <c r="FC38" s="1571"/>
      <c r="FD38" s="1571"/>
      <c r="FE38" s="1571"/>
      <c r="FF38" s="1571"/>
      <c r="FG38" s="1571"/>
      <c r="FH38" s="1571"/>
      <c r="FI38" s="1571"/>
      <c r="FJ38" s="1571"/>
      <c r="FK38" s="1568">
        <v>222960</v>
      </c>
      <c r="FL38" s="1571"/>
      <c r="FM38" s="1571"/>
      <c r="FN38" s="1571"/>
      <c r="FO38" s="1579">
        <v>109826</v>
      </c>
      <c r="FP38" s="1571"/>
      <c r="FQ38" s="1571"/>
      <c r="FR38" s="1571"/>
      <c r="FS38" s="1571"/>
      <c r="FT38" s="1571"/>
      <c r="FU38" s="1571"/>
      <c r="FV38" s="1570">
        <v>73975</v>
      </c>
      <c r="FW38" s="1571"/>
      <c r="FX38" s="1571"/>
      <c r="FY38" s="1571"/>
      <c r="FZ38" s="1571"/>
      <c r="GA38" s="1571"/>
      <c r="GB38" s="1571"/>
      <c r="GC38" s="1571"/>
      <c r="GD38" s="1571"/>
      <c r="GE38" s="1571"/>
      <c r="GF38" s="1571"/>
      <c r="GG38" s="1571"/>
      <c r="GH38" s="1571"/>
      <c r="GI38" s="1571"/>
      <c r="GJ38" s="1571"/>
      <c r="GK38" s="1571"/>
      <c r="GL38" s="1571"/>
      <c r="GM38" s="1571"/>
      <c r="GN38" s="1571"/>
      <c r="GO38" s="1571"/>
      <c r="GP38" s="1571"/>
      <c r="GQ38" s="1571"/>
      <c r="GR38" s="1571"/>
      <c r="GS38" s="1571"/>
      <c r="GT38" s="1571"/>
      <c r="GU38" s="1571"/>
      <c r="GV38" s="1571"/>
      <c r="GW38" s="1570">
        <v>60019</v>
      </c>
      <c r="GX38" s="1571"/>
      <c r="GY38" s="1571">
        <v>-53000</v>
      </c>
      <c r="GZ38" s="1571"/>
      <c r="HA38" s="1571"/>
      <c r="HB38" s="1571"/>
      <c r="HC38" s="1571"/>
      <c r="HD38" s="1571"/>
      <c r="HE38" s="1571">
        <v>490000</v>
      </c>
      <c r="HF38" s="1571"/>
      <c r="HG38" s="1571"/>
      <c r="HH38" s="1571"/>
      <c r="HI38" s="1571"/>
      <c r="HJ38" s="1571"/>
      <c r="HK38" s="1571"/>
      <c r="HL38" s="1579">
        <v>348723</v>
      </c>
      <c r="HM38" s="1571"/>
      <c r="HN38" s="1571"/>
      <c r="HO38" s="1571"/>
      <c r="HP38" s="1571"/>
      <c r="HQ38" s="1571"/>
      <c r="HR38" s="1571"/>
      <c r="HS38" s="1571"/>
      <c r="HT38" s="1571"/>
      <c r="HU38" s="1571"/>
      <c r="HV38" s="1571"/>
      <c r="HW38" s="1571"/>
      <c r="HX38" s="1571"/>
      <c r="HY38" s="1571"/>
      <c r="HZ38" s="1571"/>
      <c r="IA38" s="1571"/>
      <c r="IB38" s="1571"/>
      <c r="IC38" s="1571"/>
      <c r="ID38" s="1571"/>
      <c r="IE38" s="1571"/>
      <c r="IF38" s="1571"/>
      <c r="IG38" s="1571"/>
      <c r="IH38" s="1571"/>
      <c r="II38" s="1571"/>
      <c r="IJ38" s="1571"/>
      <c r="IK38" s="1571"/>
      <c r="IL38" s="1571"/>
      <c r="IM38" s="1571"/>
      <c r="IN38" s="1571"/>
      <c r="IO38" s="1571">
        <v>-70250</v>
      </c>
      <c r="IP38" s="1571"/>
      <c r="IQ38" s="1580">
        <v>104753</v>
      </c>
      <c r="IR38" s="1571"/>
      <c r="IS38" s="1571"/>
      <c r="IT38" s="1580">
        <v>228329</v>
      </c>
      <c r="IU38" s="1571"/>
      <c r="IV38" s="1571"/>
      <c r="IW38" s="1571"/>
      <c r="IX38" s="1571"/>
      <c r="IY38" s="1568"/>
      <c r="IZ38" s="1571"/>
      <c r="JA38" s="1571"/>
      <c r="JB38" s="1568">
        <v>62952</v>
      </c>
      <c r="JC38" s="1571"/>
      <c r="JD38" s="1571"/>
      <c r="JE38" s="1571"/>
      <c r="JF38" s="1571"/>
      <c r="JG38" s="1571"/>
      <c r="JH38" s="1571"/>
      <c r="JI38" s="1580">
        <v>65710</v>
      </c>
      <c r="JJ38" s="1571"/>
      <c r="JK38" s="1580"/>
      <c r="JL38" s="1580">
        <v>-1</v>
      </c>
      <c r="JM38" s="2442">
        <v>5622</v>
      </c>
      <c r="JN38" s="1580"/>
      <c r="JO38" s="1580"/>
      <c r="JP38" s="1580"/>
      <c r="JQ38" s="1581"/>
      <c r="JR38" s="351"/>
      <c r="JS38" s="1400"/>
      <c r="JT38" s="450" t="s">
        <v>2253</v>
      </c>
    </row>
    <row r="39" spans="1:280" ht="12.5" x14ac:dyDescent="0.25">
      <c r="A39" s="1367">
        <v>9</v>
      </c>
      <c r="B39" s="1574" t="str">
        <f t="shared" si="4"/>
        <v/>
      </c>
      <c r="C39" s="1435" t="s">
        <v>3574</v>
      </c>
      <c r="D39" s="1436" t="s">
        <v>3575</v>
      </c>
      <c r="E39" s="1569"/>
      <c r="F39" s="1569"/>
      <c r="G39" s="1569"/>
      <c r="H39" s="1569"/>
      <c r="I39" s="1569"/>
      <c r="J39" s="1569"/>
      <c r="K39" s="1569"/>
      <c r="L39" s="1569"/>
      <c r="M39" s="1569"/>
      <c r="N39" s="1569"/>
      <c r="O39" s="1569"/>
      <c r="P39" s="1569"/>
      <c r="Q39" s="1569"/>
      <c r="R39" s="1569"/>
      <c r="S39" s="1569"/>
      <c r="T39" s="1569"/>
      <c r="U39" s="1569"/>
      <c r="V39" s="1569"/>
      <c r="W39" s="1569"/>
      <c r="X39" s="1569"/>
      <c r="Y39" s="1569"/>
      <c r="Z39" s="1569"/>
      <c r="AA39" s="1569"/>
      <c r="AB39" s="1569"/>
      <c r="AC39" s="1569"/>
      <c r="AD39" s="1569"/>
      <c r="AE39" s="1569"/>
      <c r="AF39" s="1569"/>
      <c r="AG39" s="1569"/>
      <c r="AH39" s="1569"/>
      <c r="AI39" s="1569"/>
      <c r="AJ39" s="1568"/>
      <c r="AK39" s="1569"/>
      <c r="AL39" s="1569"/>
      <c r="AM39" s="1568"/>
      <c r="AN39" s="1569"/>
      <c r="AO39" s="1569"/>
      <c r="AP39" s="1569"/>
      <c r="AQ39" s="1569"/>
      <c r="AR39" s="1569"/>
      <c r="AS39" s="1569"/>
      <c r="AT39" s="1569"/>
      <c r="AU39" s="1569"/>
      <c r="AV39" s="1569"/>
      <c r="AW39" s="1569"/>
      <c r="AX39" s="1569"/>
      <c r="AY39" s="1569"/>
      <c r="AZ39" s="1569"/>
      <c r="BA39" s="1569"/>
      <c r="BB39" s="1568"/>
      <c r="BC39" s="1568"/>
      <c r="BD39" s="1569"/>
      <c r="BE39" s="1569"/>
      <c r="BF39" s="1569"/>
      <c r="BG39" s="1569"/>
      <c r="BH39" s="1569"/>
      <c r="BI39" s="1569"/>
      <c r="BJ39" s="1569"/>
      <c r="BK39" s="1569"/>
      <c r="BL39" s="1569"/>
      <c r="BM39" s="1569"/>
      <c r="BN39" s="1569"/>
      <c r="BO39" s="1569"/>
      <c r="BP39" s="1569"/>
      <c r="BQ39" s="1569"/>
      <c r="BR39" s="1569"/>
      <c r="BS39" s="1569"/>
      <c r="BT39" s="1569"/>
      <c r="BU39" s="1569"/>
      <c r="BV39" s="1569"/>
      <c r="BW39" s="1569"/>
      <c r="BX39" s="1569"/>
      <c r="BY39" s="1569"/>
      <c r="BZ39" s="1569"/>
      <c r="CA39" s="1569"/>
      <c r="CB39" s="1569"/>
      <c r="CC39" s="1569"/>
      <c r="CD39" s="1569"/>
      <c r="CE39" s="1569"/>
      <c r="CF39" s="1569"/>
      <c r="CG39" s="1569"/>
      <c r="CH39" s="1569"/>
      <c r="CI39" s="1569"/>
      <c r="CJ39" s="1569"/>
      <c r="CK39" s="1569"/>
      <c r="CL39" s="1569"/>
      <c r="CM39" s="1569"/>
      <c r="CN39" s="1569"/>
      <c r="CO39" s="1569"/>
      <c r="CP39" s="1569"/>
      <c r="CQ39" s="1569"/>
      <c r="CR39" s="1569"/>
      <c r="CS39" s="1569"/>
      <c r="CT39" s="1569"/>
      <c r="CU39" s="1569"/>
      <c r="CV39" s="1569"/>
      <c r="CW39" s="1569"/>
      <c r="CX39" s="1569"/>
      <c r="CY39" s="1569"/>
      <c r="CZ39" s="1569">
        <v>-44592</v>
      </c>
      <c r="DA39" s="1569">
        <v>-44592</v>
      </c>
      <c r="DB39" s="1569"/>
      <c r="DC39" s="1569"/>
      <c r="DD39" s="1569"/>
      <c r="DE39" s="1569"/>
      <c r="DF39" s="1569"/>
      <c r="DG39" s="1569"/>
      <c r="DH39" s="1569"/>
      <c r="DI39" s="1569"/>
      <c r="DJ39" s="1569"/>
      <c r="DK39" s="1569"/>
      <c r="DL39" s="1569"/>
      <c r="DM39" s="1569"/>
      <c r="DN39" s="1569"/>
      <c r="DO39" s="1569"/>
      <c r="DP39" s="1569"/>
      <c r="DQ39" s="1569"/>
      <c r="DR39" s="1569"/>
      <c r="DS39" s="1569"/>
      <c r="DT39" s="1569"/>
      <c r="DU39" s="1569"/>
      <c r="DV39" s="1569"/>
      <c r="DW39" s="1569"/>
      <c r="DX39" s="1567"/>
      <c r="DY39" s="1569"/>
      <c r="DZ39" s="1569"/>
      <c r="EA39" s="1569"/>
      <c r="EB39" s="1569"/>
      <c r="EC39" s="1569"/>
      <c r="ED39" s="1569"/>
      <c r="EE39" s="1569"/>
      <c r="EF39" s="1569"/>
      <c r="EG39" s="1569"/>
      <c r="EH39" s="1569"/>
      <c r="EI39" s="1569"/>
      <c r="EJ39" s="1569"/>
      <c r="EK39" s="1569"/>
      <c r="EL39" s="1569"/>
      <c r="EM39" s="1569"/>
      <c r="EN39" s="1569"/>
      <c r="EO39" s="1569"/>
      <c r="EP39" s="1569"/>
      <c r="EQ39" s="1569"/>
      <c r="ER39" s="1569"/>
      <c r="ES39" s="1569"/>
      <c r="ET39" s="1569"/>
      <c r="EU39" s="1569"/>
      <c r="EV39" s="1569"/>
      <c r="EW39" s="1569"/>
      <c r="EX39" s="1569"/>
      <c r="EY39" s="1569"/>
      <c r="EZ39" s="1569"/>
      <c r="FA39" s="1569"/>
      <c r="FB39" s="1569"/>
      <c r="FC39" s="1569"/>
      <c r="FD39" s="1569"/>
      <c r="FE39" s="1569"/>
      <c r="FF39" s="1569"/>
      <c r="FG39" s="1569"/>
      <c r="FH39" s="1569"/>
      <c r="FI39" s="1569"/>
      <c r="FJ39" s="1569"/>
      <c r="FK39" s="1569">
        <v>-44592</v>
      </c>
      <c r="FL39" s="1569"/>
      <c r="FM39" s="1569"/>
      <c r="FN39" s="1569"/>
      <c r="FO39" s="1569"/>
      <c r="FP39" s="1569"/>
      <c r="FQ39" s="1569"/>
      <c r="FR39" s="1569"/>
      <c r="FS39" s="1569"/>
      <c r="FT39" s="1569"/>
      <c r="FU39" s="1569"/>
      <c r="FV39" s="1568"/>
      <c r="FW39" s="1569"/>
      <c r="FX39" s="1569"/>
      <c r="FY39" s="1569"/>
      <c r="FZ39" s="1569"/>
      <c r="GA39" s="1569"/>
      <c r="GB39" s="1569"/>
      <c r="GC39" s="1569"/>
      <c r="GD39" s="1569"/>
      <c r="GE39" s="1569"/>
      <c r="GF39" s="1569"/>
      <c r="GG39" s="1569"/>
      <c r="GH39" s="1569"/>
      <c r="GI39" s="1569"/>
      <c r="GJ39" s="1569"/>
      <c r="GK39" s="1569"/>
      <c r="GL39" s="1569"/>
      <c r="GM39" s="1569"/>
      <c r="GN39" s="1569"/>
      <c r="GO39" s="1569"/>
      <c r="GP39" s="1569"/>
      <c r="GQ39" s="1569"/>
      <c r="GR39" s="1569"/>
      <c r="GS39" s="1569"/>
      <c r="GT39" s="1569"/>
      <c r="GU39" s="1569"/>
      <c r="GV39" s="1569"/>
      <c r="GW39" s="1568"/>
      <c r="GX39" s="1569"/>
      <c r="GY39" s="1569"/>
      <c r="GZ39" s="1569"/>
      <c r="HA39" s="1569"/>
      <c r="HB39" s="1569"/>
      <c r="HC39" s="1569"/>
      <c r="HD39" s="1569"/>
      <c r="HE39" s="1569"/>
      <c r="HF39" s="1569"/>
      <c r="HG39" s="1569"/>
      <c r="HH39" s="1569"/>
      <c r="HI39" s="1569"/>
      <c r="HJ39" s="1569"/>
      <c r="HK39" s="1569"/>
      <c r="HL39" s="1569"/>
      <c r="HM39" s="1569"/>
      <c r="HN39" s="1569"/>
      <c r="HO39" s="1569"/>
      <c r="HP39" s="1569"/>
      <c r="HQ39" s="1569"/>
      <c r="HR39" s="1569"/>
      <c r="HS39" s="1569"/>
      <c r="HT39" s="1569"/>
      <c r="HU39" s="1569"/>
      <c r="HV39" s="1569"/>
      <c r="HW39" s="1569"/>
      <c r="HX39" s="1569"/>
      <c r="HY39" s="1569"/>
      <c r="HZ39" s="1569"/>
      <c r="IA39" s="1569"/>
      <c r="IB39" s="1569"/>
      <c r="IC39" s="1569"/>
      <c r="ID39" s="1569"/>
      <c r="IE39" s="1569"/>
      <c r="IF39" s="1569"/>
      <c r="IG39" s="1569"/>
      <c r="IH39" s="1569"/>
      <c r="II39" s="1569"/>
      <c r="IJ39" s="1569"/>
      <c r="IK39" s="1569"/>
      <c r="IL39" s="1569"/>
      <c r="IM39" s="1569"/>
      <c r="IN39" s="1569"/>
      <c r="IO39" s="1569"/>
      <c r="IP39" s="1569"/>
      <c r="IQ39" s="1582"/>
      <c r="IR39" s="1569"/>
      <c r="IS39" s="1569"/>
      <c r="IT39" s="1582"/>
      <c r="IU39" s="1569"/>
      <c r="IV39" s="1569"/>
      <c r="IW39" s="1569"/>
      <c r="IX39" s="1569"/>
      <c r="IY39" s="1568"/>
      <c r="IZ39" s="1569"/>
      <c r="JA39" s="1569"/>
      <c r="JB39" s="1568"/>
      <c r="JC39" s="1569"/>
      <c r="JD39" s="1569"/>
      <c r="JE39" s="1569"/>
      <c r="JF39" s="1569"/>
      <c r="JG39" s="1569"/>
      <c r="JH39" s="1569"/>
      <c r="JI39" s="1582">
        <v>22000</v>
      </c>
      <c r="JJ39" s="1569"/>
      <c r="JK39" s="1582"/>
      <c r="JL39" s="1582"/>
      <c r="JM39" s="1582"/>
      <c r="JN39" s="1582"/>
      <c r="JO39" s="1582"/>
      <c r="JP39" s="1582"/>
      <c r="JQ39" s="1583"/>
      <c r="JR39" s="351"/>
      <c r="JS39" s="1400"/>
      <c r="JT39" s="450" t="s">
        <v>2253</v>
      </c>
    </row>
    <row r="40" spans="1:280" ht="12.5" x14ac:dyDescent="0.25">
      <c r="A40" s="1367">
        <v>10</v>
      </c>
      <c r="B40" s="1574" t="str">
        <f t="shared" si="4"/>
        <v/>
      </c>
      <c r="C40" s="1435" t="s">
        <v>3576</v>
      </c>
      <c r="D40" s="1436" t="s">
        <v>3496</v>
      </c>
      <c r="E40" s="1568"/>
      <c r="F40" s="1568"/>
      <c r="G40" s="1568"/>
      <c r="H40" s="1568"/>
      <c r="I40" s="1568"/>
      <c r="J40" s="1568"/>
      <c r="K40" s="1568"/>
      <c r="L40" s="1568"/>
      <c r="M40" s="1568"/>
      <c r="N40" s="1568"/>
      <c r="O40" s="1568"/>
      <c r="P40" s="1568"/>
      <c r="Q40" s="1568"/>
      <c r="R40" s="1568"/>
      <c r="S40" s="1568"/>
      <c r="T40" s="1568"/>
      <c r="U40" s="1568"/>
      <c r="V40" s="1568"/>
      <c r="W40" s="1568"/>
      <c r="X40" s="1568"/>
      <c r="Y40" s="1568"/>
      <c r="Z40" s="1568"/>
      <c r="AA40" s="1568"/>
      <c r="AB40" s="1568"/>
      <c r="AC40" s="1568"/>
      <c r="AD40" s="1568"/>
      <c r="AE40" s="1568"/>
      <c r="AF40" s="1568"/>
      <c r="AG40" s="1568"/>
      <c r="AH40" s="1568"/>
      <c r="AI40" s="1568"/>
      <c r="AJ40" s="1568"/>
      <c r="AK40" s="1568"/>
      <c r="AL40" s="1568"/>
      <c r="AM40" s="1568"/>
      <c r="AN40" s="1568"/>
      <c r="AO40" s="1568"/>
      <c r="AP40" s="1568"/>
      <c r="AQ40" s="1568"/>
      <c r="AR40" s="1568"/>
      <c r="AS40" s="1568"/>
      <c r="AT40" s="1568"/>
      <c r="AU40" s="1568"/>
      <c r="AV40" s="1568"/>
      <c r="AW40" s="1568"/>
      <c r="AX40" s="1568"/>
      <c r="AY40" s="1568"/>
      <c r="AZ40" s="1568"/>
      <c r="BA40" s="1568"/>
      <c r="BB40" s="1568"/>
      <c r="BC40" s="1568"/>
      <c r="BD40" s="1568"/>
      <c r="BE40" s="1568"/>
      <c r="BF40" s="1568"/>
      <c r="BG40" s="1568"/>
      <c r="BH40" s="1568"/>
      <c r="BI40" s="1568"/>
      <c r="BJ40" s="1568"/>
      <c r="BK40" s="1568"/>
      <c r="BL40" s="1568"/>
      <c r="BM40" s="1568"/>
      <c r="BN40" s="1568"/>
      <c r="BO40" s="1568"/>
      <c r="BP40" s="1568"/>
      <c r="BQ40" s="1568"/>
      <c r="BR40" s="1568"/>
      <c r="BS40" s="1568"/>
      <c r="BT40" s="1568"/>
      <c r="BU40" s="1568"/>
      <c r="BV40" s="1568"/>
      <c r="BW40" s="1568"/>
      <c r="BX40" s="1568"/>
      <c r="BY40" s="1568"/>
      <c r="BZ40" s="1568"/>
      <c r="CA40" s="1568"/>
      <c r="CB40" s="1568"/>
      <c r="CC40" s="1568">
        <v>23451</v>
      </c>
      <c r="CD40" s="1568"/>
      <c r="CE40" s="1568"/>
      <c r="CF40" s="1568"/>
      <c r="CG40" s="1568"/>
      <c r="CH40" s="1568"/>
      <c r="CI40" s="1568"/>
      <c r="CJ40" s="1568"/>
      <c r="CK40" s="1568"/>
      <c r="CL40" s="1568"/>
      <c r="CM40" s="1568"/>
      <c r="CN40" s="1568"/>
      <c r="CO40" s="1568"/>
      <c r="CP40" s="1568"/>
      <c r="CQ40" s="1568"/>
      <c r="CR40" s="1568"/>
      <c r="CS40" s="1568"/>
      <c r="CT40" s="1568"/>
      <c r="CU40" s="1568"/>
      <c r="CV40" s="1568"/>
      <c r="CW40" s="1568"/>
      <c r="CX40" s="1568"/>
      <c r="CY40" s="1568"/>
      <c r="CZ40" s="1568">
        <v>11560</v>
      </c>
      <c r="DA40" s="1568">
        <v>11560</v>
      </c>
      <c r="DB40" s="1568"/>
      <c r="DC40" s="1568"/>
      <c r="DD40" s="1568"/>
      <c r="DE40" s="1568"/>
      <c r="DF40" s="1568"/>
      <c r="DG40" s="1568"/>
      <c r="DH40" s="1568"/>
      <c r="DI40" s="1568"/>
      <c r="DJ40" s="1568"/>
      <c r="DK40" s="1568"/>
      <c r="DL40" s="1568"/>
      <c r="DM40" s="1568"/>
      <c r="DN40" s="1568"/>
      <c r="DO40" s="1568"/>
      <c r="DP40" s="1568"/>
      <c r="DQ40" s="1568"/>
      <c r="DR40" s="1568"/>
      <c r="DS40" s="1568"/>
      <c r="DT40" s="1568"/>
      <c r="DU40" s="1568"/>
      <c r="DV40" s="1568"/>
      <c r="DW40" s="1568"/>
      <c r="DX40" s="1567"/>
      <c r="DY40" s="1568"/>
      <c r="DZ40" s="1568"/>
      <c r="EA40" s="1568"/>
      <c r="EB40" s="1568"/>
      <c r="EC40" s="1568"/>
      <c r="ED40" s="1568"/>
      <c r="EE40" s="1568"/>
      <c r="EF40" s="1568"/>
      <c r="EG40" s="1568"/>
      <c r="EH40" s="1568"/>
      <c r="EI40" s="1568"/>
      <c r="EJ40" s="1568"/>
      <c r="EK40" s="1568"/>
      <c r="EL40" s="1568"/>
      <c r="EM40" s="1568"/>
      <c r="EN40" s="1568"/>
      <c r="EO40" s="1568"/>
      <c r="EP40" s="1568"/>
      <c r="EQ40" s="1568"/>
      <c r="ER40" s="1568"/>
      <c r="ES40" s="1568"/>
      <c r="ET40" s="1568"/>
      <c r="EU40" s="1568"/>
      <c r="EV40" s="1568"/>
      <c r="EW40" s="1568"/>
      <c r="EX40" s="1568"/>
      <c r="EY40" s="1568"/>
      <c r="EZ40" s="1568"/>
      <c r="FA40" s="1568"/>
      <c r="FB40" s="1568"/>
      <c r="FC40" s="1568"/>
      <c r="FD40" s="1568"/>
      <c r="FE40" s="1568"/>
      <c r="FF40" s="1568"/>
      <c r="FG40" s="1568"/>
      <c r="FH40" s="1568"/>
      <c r="FI40" s="1568"/>
      <c r="FJ40" s="1568"/>
      <c r="FK40" s="1568">
        <v>11560</v>
      </c>
      <c r="FL40" s="1568"/>
      <c r="FM40" s="1568"/>
      <c r="FN40" s="1568"/>
      <c r="FO40" s="1568"/>
      <c r="FP40" s="1568"/>
      <c r="FQ40" s="1568"/>
      <c r="FR40" s="1568"/>
      <c r="FS40" s="1568"/>
      <c r="FT40" s="1568"/>
      <c r="FU40" s="1568"/>
      <c r="FV40" s="1568"/>
      <c r="FW40" s="1568"/>
      <c r="FX40" s="1568"/>
      <c r="FY40" s="1568"/>
      <c r="FZ40" s="1568"/>
      <c r="GA40" s="1568"/>
      <c r="GB40" s="1568"/>
      <c r="GC40" s="1568"/>
      <c r="GD40" s="1568"/>
      <c r="GE40" s="1568"/>
      <c r="GF40" s="1568"/>
      <c r="GG40" s="1568"/>
      <c r="GH40" s="1568"/>
      <c r="GI40" s="1568"/>
      <c r="GJ40" s="1568"/>
      <c r="GK40" s="1568"/>
      <c r="GL40" s="1568"/>
      <c r="GM40" s="1568"/>
      <c r="GN40" s="1568"/>
      <c r="GO40" s="1568"/>
      <c r="GP40" s="1568"/>
      <c r="GQ40" s="1568"/>
      <c r="GR40" s="1568"/>
      <c r="GS40" s="1568"/>
      <c r="GT40" s="1568"/>
      <c r="GU40" s="1568"/>
      <c r="GV40" s="1568"/>
      <c r="GW40" s="1568"/>
      <c r="GX40" s="1568"/>
      <c r="GY40" s="1568"/>
      <c r="GZ40" s="1568"/>
      <c r="HA40" s="1568"/>
      <c r="HB40" s="1568"/>
      <c r="HC40" s="1568"/>
      <c r="HD40" s="1568"/>
      <c r="HE40" s="1568"/>
      <c r="HF40" s="1568"/>
      <c r="HG40" s="1568"/>
      <c r="HH40" s="1568"/>
      <c r="HI40" s="1568"/>
      <c r="HJ40" s="1568"/>
      <c r="HK40" s="1568"/>
      <c r="HL40" s="1568"/>
      <c r="HM40" s="1568"/>
      <c r="HN40" s="1568"/>
      <c r="HO40" s="1568"/>
      <c r="HP40" s="1568"/>
      <c r="HQ40" s="1568"/>
      <c r="HR40" s="1568"/>
      <c r="HS40" s="1568"/>
      <c r="HT40" s="1568"/>
      <c r="HU40" s="1568"/>
      <c r="HV40" s="1568"/>
      <c r="HW40" s="1568"/>
      <c r="HX40" s="1568"/>
      <c r="HY40" s="1568"/>
      <c r="HZ40" s="1568"/>
      <c r="IA40" s="1568"/>
      <c r="IB40" s="1568"/>
      <c r="IC40" s="1568"/>
      <c r="ID40" s="1568"/>
      <c r="IE40" s="1568"/>
      <c r="IF40" s="1568"/>
      <c r="IG40" s="1568"/>
      <c r="IH40" s="1568"/>
      <c r="II40" s="1568"/>
      <c r="IJ40" s="1568"/>
      <c r="IK40" s="1568"/>
      <c r="IL40" s="1568"/>
      <c r="IM40" s="1568"/>
      <c r="IN40" s="1568"/>
      <c r="IO40" s="1568"/>
      <c r="IP40" s="1568"/>
      <c r="IQ40" s="1584"/>
      <c r="IR40" s="1568"/>
      <c r="IS40" s="1568"/>
      <c r="IT40" s="1584"/>
      <c r="IU40" s="1568"/>
      <c r="IV40" s="1568"/>
      <c r="IW40" s="1568"/>
      <c r="IX40" s="1568"/>
      <c r="IY40" s="1568"/>
      <c r="IZ40" s="1568"/>
      <c r="JA40" s="1568"/>
      <c r="JB40" s="1568"/>
      <c r="JC40" s="1568"/>
      <c r="JD40" s="1568"/>
      <c r="JE40" s="1568"/>
      <c r="JF40" s="1568"/>
      <c r="JG40" s="1568"/>
      <c r="JH40" s="1568"/>
      <c r="JI40" s="1584"/>
      <c r="JJ40" s="1568"/>
      <c r="JK40" s="1584"/>
      <c r="JL40" s="1584"/>
      <c r="JM40" s="1584"/>
      <c r="JN40" s="1584"/>
      <c r="JO40" s="1584"/>
      <c r="JP40" s="1584"/>
      <c r="JQ40" s="1585"/>
      <c r="JR40" s="351"/>
      <c r="JS40" s="1400"/>
      <c r="JT40" s="450" t="s">
        <v>2882</v>
      </c>
    </row>
    <row r="41" spans="1:280" ht="12.5" x14ac:dyDescent="0.25">
      <c r="A41" s="1367">
        <v>11</v>
      </c>
      <c r="B41" s="1574" t="str">
        <f t="shared" si="4"/>
        <v/>
      </c>
      <c r="C41" s="1435" t="s">
        <v>3577</v>
      </c>
      <c r="D41" s="1436" t="s">
        <v>3498</v>
      </c>
      <c r="E41" s="1568"/>
      <c r="F41" s="1568"/>
      <c r="G41" s="1568"/>
      <c r="H41" s="1568"/>
      <c r="I41" s="1568"/>
      <c r="J41" s="1568"/>
      <c r="K41" s="1568"/>
      <c r="L41" s="1568"/>
      <c r="M41" s="1568"/>
      <c r="N41" s="1568"/>
      <c r="O41" s="1568"/>
      <c r="P41" s="1568"/>
      <c r="Q41" s="1568"/>
      <c r="R41" s="1568"/>
      <c r="S41" s="1568"/>
      <c r="T41" s="1568"/>
      <c r="U41" s="1568"/>
      <c r="V41" s="1568"/>
      <c r="W41" s="1568"/>
      <c r="X41" s="1568"/>
      <c r="Y41" s="1568"/>
      <c r="Z41" s="1568"/>
      <c r="AA41" s="1568"/>
      <c r="AB41" s="1568"/>
      <c r="AC41" s="1568"/>
      <c r="AD41" s="1568"/>
      <c r="AE41" s="1568"/>
      <c r="AF41" s="1568"/>
      <c r="AG41" s="1568"/>
      <c r="AH41" s="1568"/>
      <c r="AI41" s="1568"/>
      <c r="AJ41" s="1568"/>
      <c r="AK41" s="1568"/>
      <c r="AL41" s="1568"/>
      <c r="AM41" s="1568"/>
      <c r="AN41" s="1568"/>
      <c r="AO41" s="1568"/>
      <c r="AP41" s="1568"/>
      <c r="AQ41" s="1568"/>
      <c r="AR41" s="1568"/>
      <c r="AS41" s="1568"/>
      <c r="AT41" s="1568"/>
      <c r="AU41" s="1568"/>
      <c r="AV41" s="1568"/>
      <c r="AW41" s="1568"/>
      <c r="AX41" s="1568"/>
      <c r="AY41" s="1568"/>
      <c r="AZ41" s="1568"/>
      <c r="BA41" s="1568"/>
      <c r="BB41" s="1568"/>
      <c r="BC41" s="1568"/>
      <c r="BD41" s="1568"/>
      <c r="BE41" s="1568"/>
      <c r="BF41" s="1568"/>
      <c r="BG41" s="1568"/>
      <c r="BH41" s="1568"/>
      <c r="BI41" s="1568"/>
      <c r="BJ41" s="1568"/>
      <c r="BK41" s="1568"/>
      <c r="BL41" s="1568"/>
      <c r="BM41" s="1568"/>
      <c r="BN41" s="1568"/>
      <c r="BO41" s="1568"/>
      <c r="BP41" s="1568"/>
      <c r="BQ41" s="1568"/>
      <c r="BR41" s="1568"/>
      <c r="BS41" s="1568"/>
      <c r="BT41" s="1568"/>
      <c r="BU41" s="1568"/>
      <c r="BV41" s="1568"/>
      <c r="BW41" s="1568"/>
      <c r="BX41" s="1568"/>
      <c r="BY41" s="1568"/>
      <c r="BZ41" s="1568"/>
      <c r="CA41" s="1568"/>
      <c r="CB41" s="1568"/>
      <c r="CC41" s="1568"/>
      <c r="CD41" s="1571">
        <v>-5693</v>
      </c>
      <c r="CE41" s="1568"/>
      <c r="CF41" s="1568"/>
      <c r="CG41" s="1568"/>
      <c r="CH41" s="1568"/>
      <c r="CI41" s="1568"/>
      <c r="CJ41" s="1568"/>
      <c r="CK41" s="1568"/>
      <c r="CL41" s="1568"/>
      <c r="CM41" s="1568"/>
      <c r="CN41" s="1568"/>
      <c r="CO41" s="1568"/>
      <c r="CP41" s="1568"/>
      <c r="CQ41" s="1568"/>
      <c r="CR41" s="1568"/>
      <c r="CS41" s="1568"/>
      <c r="CT41" s="1568"/>
      <c r="CU41" s="1568"/>
      <c r="CV41" s="1568"/>
      <c r="CW41" s="1568"/>
      <c r="CX41" s="1568"/>
      <c r="CY41" s="1568"/>
      <c r="CZ41" s="1568"/>
      <c r="DA41" s="1568"/>
      <c r="DB41" s="1568"/>
      <c r="DC41" s="1568"/>
      <c r="DD41" s="1568"/>
      <c r="DE41" s="1568"/>
      <c r="DF41" s="1568"/>
      <c r="DG41" s="1568"/>
      <c r="DH41" s="1568"/>
      <c r="DI41" s="1568"/>
      <c r="DJ41" s="1568"/>
      <c r="DK41" s="1568"/>
      <c r="DL41" s="1568"/>
      <c r="DM41" s="1568"/>
      <c r="DN41" s="1568"/>
      <c r="DO41" s="1568"/>
      <c r="DP41" s="1568"/>
      <c r="DQ41" s="1568"/>
      <c r="DR41" s="1568"/>
      <c r="DS41" s="1568"/>
      <c r="DT41" s="1568"/>
      <c r="DU41" s="1568"/>
      <c r="DV41" s="1568"/>
      <c r="DW41" s="1568"/>
      <c r="DX41" s="1494"/>
      <c r="DY41" s="1568"/>
      <c r="DZ41" s="1568"/>
      <c r="EA41" s="1568"/>
      <c r="EB41" s="1568"/>
      <c r="EC41" s="1568"/>
      <c r="ED41" s="1568"/>
      <c r="EE41" s="1568"/>
      <c r="EF41" s="1568"/>
      <c r="EG41" s="1568"/>
      <c r="EH41" s="1568"/>
      <c r="EI41" s="1568"/>
      <c r="EJ41" s="1568"/>
      <c r="EK41" s="1568"/>
      <c r="EL41" s="1568"/>
      <c r="EM41" s="1568"/>
      <c r="EN41" s="1568"/>
      <c r="EO41" s="1568"/>
      <c r="EP41" s="1568"/>
      <c r="EQ41" s="1568"/>
      <c r="ER41" s="1568"/>
      <c r="ES41" s="1568"/>
      <c r="ET41" s="1568"/>
      <c r="EU41" s="1568"/>
      <c r="EV41" s="1568"/>
      <c r="EW41" s="1568"/>
      <c r="EX41" s="1568"/>
      <c r="EY41" s="1568"/>
      <c r="EZ41" s="1568"/>
      <c r="FA41" s="1568"/>
      <c r="FB41" s="1568"/>
      <c r="FC41" s="1568"/>
      <c r="FD41" s="1568"/>
      <c r="FE41" s="1568"/>
      <c r="FF41" s="1568"/>
      <c r="FG41" s="1568"/>
      <c r="FH41" s="1568"/>
      <c r="FI41" s="1568"/>
      <c r="FJ41" s="1568"/>
      <c r="FK41" s="1568"/>
      <c r="FL41" s="1568"/>
      <c r="FM41" s="1568"/>
      <c r="FN41" s="1568"/>
      <c r="FO41" s="1568"/>
      <c r="FP41" s="1568"/>
      <c r="FQ41" s="1568"/>
      <c r="FR41" s="1568"/>
      <c r="FS41" s="1568"/>
      <c r="FT41" s="1568"/>
      <c r="FU41" s="1568"/>
      <c r="FV41" s="1568"/>
      <c r="FW41" s="1568"/>
      <c r="FX41" s="1568"/>
      <c r="FY41" s="1568"/>
      <c r="FZ41" s="1568"/>
      <c r="GA41" s="1568"/>
      <c r="GB41" s="1568"/>
      <c r="GC41" s="1568"/>
      <c r="GD41" s="1568"/>
      <c r="GE41" s="1568"/>
      <c r="GF41" s="1568"/>
      <c r="GG41" s="1568"/>
      <c r="GH41" s="1568"/>
      <c r="GI41" s="1568"/>
      <c r="GJ41" s="1568"/>
      <c r="GK41" s="1568"/>
      <c r="GL41" s="1568"/>
      <c r="GM41" s="1568"/>
      <c r="GN41" s="1568"/>
      <c r="GO41" s="1568"/>
      <c r="GP41" s="1568"/>
      <c r="GQ41" s="1568"/>
      <c r="GR41" s="1568"/>
      <c r="GS41" s="1568"/>
      <c r="GT41" s="1568"/>
      <c r="GU41" s="1568"/>
      <c r="GV41" s="1568"/>
      <c r="GW41" s="1568"/>
      <c r="GX41" s="1568"/>
      <c r="GY41" s="1568"/>
      <c r="GZ41" s="1568"/>
      <c r="HA41" s="1568"/>
      <c r="HB41" s="1568"/>
      <c r="HC41" s="1568"/>
      <c r="HD41" s="1568"/>
      <c r="HE41" s="1568"/>
      <c r="HF41" s="1568"/>
      <c r="HG41" s="1568"/>
      <c r="HH41" s="1568"/>
      <c r="HI41" s="1568"/>
      <c r="HJ41" s="1568"/>
      <c r="HK41" s="1568"/>
      <c r="HL41" s="1568"/>
      <c r="HM41" s="1568"/>
      <c r="HN41" s="1568"/>
      <c r="HO41" s="1568"/>
      <c r="HP41" s="1568"/>
      <c r="HQ41" s="1568"/>
      <c r="HR41" s="1568"/>
      <c r="HS41" s="1568"/>
      <c r="HT41" s="1568"/>
      <c r="HU41" s="1568"/>
      <c r="HV41" s="1568"/>
      <c r="HW41" s="1568"/>
      <c r="HX41" s="1568"/>
      <c r="HY41" s="1568"/>
      <c r="HZ41" s="1568"/>
      <c r="IA41" s="1568"/>
      <c r="IB41" s="1568"/>
      <c r="IC41" s="1568"/>
      <c r="ID41" s="1568"/>
      <c r="IE41" s="1568"/>
      <c r="IF41" s="1568"/>
      <c r="IG41" s="1568"/>
      <c r="IH41" s="1568"/>
      <c r="II41" s="1568"/>
      <c r="IJ41" s="1568"/>
      <c r="IK41" s="1568"/>
      <c r="IL41" s="1568"/>
      <c r="IM41" s="1568"/>
      <c r="IN41" s="1568"/>
      <c r="IO41" s="1568"/>
      <c r="IP41" s="1568"/>
      <c r="IQ41" s="1584"/>
      <c r="IR41" s="1568"/>
      <c r="IS41" s="1568"/>
      <c r="IT41" s="1584"/>
      <c r="IU41" s="1568"/>
      <c r="IV41" s="1568"/>
      <c r="IW41" s="1568"/>
      <c r="IX41" s="1568"/>
      <c r="IY41" s="1568"/>
      <c r="IZ41" s="1568"/>
      <c r="JA41" s="1568"/>
      <c r="JB41" s="1568"/>
      <c r="JC41" s="1568"/>
      <c r="JD41" s="1568"/>
      <c r="JE41" s="1568"/>
      <c r="JF41" s="1568"/>
      <c r="JG41" s="1568"/>
      <c r="JH41" s="1568"/>
      <c r="JI41" s="1584"/>
      <c r="JJ41" s="1568"/>
      <c r="JK41" s="1584"/>
      <c r="JL41" s="1584"/>
      <c r="JM41" s="1584"/>
      <c r="JN41" s="1584"/>
      <c r="JO41" s="1584"/>
      <c r="JP41" s="1584"/>
      <c r="JQ41" s="1585"/>
      <c r="JR41" s="351"/>
      <c r="JS41" s="1400"/>
      <c r="JT41" s="450" t="s">
        <v>2253</v>
      </c>
    </row>
    <row r="42" spans="1:280" ht="12.5" x14ac:dyDescent="0.25">
      <c r="A42" s="1367">
        <v>12</v>
      </c>
      <c r="B42" s="1574" t="str">
        <f t="shared" si="4"/>
        <v/>
      </c>
      <c r="C42" s="1435" t="s">
        <v>3578</v>
      </c>
      <c r="D42" s="1436" t="s">
        <v>3579</v>
      </c>
      <c r="E42" s="1568"/>
      <c r="F42" s="1568"/>
      <c r="G42" s="1568"/>
      <c r="H42" s="1568"/>
      <c r="I42" s="1568"/>
      <c r="J42" s="1568"/>
      <c r="K42" s="1568"/>
      <c r="L42" s="1568"/>
      <c r="M42" s="1568"/>
      <c r="N42" s="1568"/>
      <c r="O42" s="1568"/>
      <c r="P42" s="1568"/>
      <c r="Q42" s="1568"/>
      <c r="R42" s="1568"/>
      <c r="S42" s="1568"/>
      <c r="T42" s="1568"/>
      <c r="U42" s="1568"/>
      <c r="V42" s="1568"/>
      <c r="W42" s="1568"/>
      <c r="X42" s="1568"/>
      <c r="Y42" s="1568"/>
      <c r="Z42" s="1568"/>
      <c r="AA42" s="1568"/>
      <c r="AB42" s="1568"/>
      <c r="AC42" s="1568"/>
      <c r="AD42" s="1568"/>
      <c r="AE42" s="1568"/>
      <c r="AF42" s="1568"/>
      <c r="AG42" s="1568"/>
      <c r="AH42" s="1568"/>
      <c r="AI42" s="1568"/>
      <c r="AJ42" s="1568"/>
      <c r="AK42" s="1568"/>
      <c r="AL42" s="1568"/>
      <c r="AM42" s="1568"/>
      <c r="AN42" s="1568"/>
      <c r="AO42" s="1568"/>
      <c r="AP42" s="1568"/>
      <c r="AQ42" s="1568"/>
      <c r="AR42" s="1568"/>
      <c r="AS42" s="1568"/>
      <c r="AT42" s="1568"/>
      <c r="AU42" s="1568"/>
      <c r="AV42" s="1568"/>
      <c r="AW42" s="1568"/>
      <c r="AX42" s="1568"/>
      <c r="AY42" s="1568"/>
      <c r="AZ42" s="1568"/>
      <c r="BA42" s="1568"/>
      <c r="BB42" s="1568"/>
      <c r="BC42" s="1568"/>
      <c r="BD42" s="1568"/>
      <c r="BE42" s="1568"/>
      <c r="BF42" s="1568"/>
      <c r="BG42" s="1568"/>
      <c r="BH42" s="1568"/>
      <c r="BI42" s="1568"/>
      <c r="BJ42" s="1568"/>
      <c r="BK42" s="1568"/>
      <c r="BL42" s="1568"/>
      <c r="BM42" s="1568"/>
      <c r="BN42" s="1568"/>
      <c r="BO42" s="1568"/>
      <c r="BP42" s="1568"/>
      <c r="BQ42" s="1568"/>
      <c r="BR42" s="1568"/>
      <c r="BS42" s="1568"/>
      <c r="BT42" s="1568"/>
      <c r="BU42" s="1568"/>
      <c r="BV42" s="1568"/>
      <c r="BW42" s="1568"/>
      <c r="BX42" s="1568"/>
      <c r="BY42" s="1568"/>
      <c r="BZ42" s="1568"/>
      <c r="CA42" s="1568"/>
      <c r="CB42" s="1568"/>
      <c r="CC42" s="1568"/>
      <c r="CD42" s="1568"/>
      <c r="CE42" s="1568"/>
      <c r="CF42" s="1568"/>
      <c r="CG42" s="1568"/>
      <c r="CH42" s="1568"/>
      <c r="CI42" s="1568"/>
      <c r="CJ42" s="1568"/>
      <c r="CK42" s="1568"/>
      <c r="CL42" s="1568"/>
      <c r="CM42" s="1568"/>
      <c r="CN42" s="1568"/>
      <c r="CO42" s="1568"/>
      <c r="CP42" s="1568"/>
      <c r="CQ42" s="1568"/>
      <c r="CR42" s="1568"/>
      <c r="CS42" s="1568"/>
      <c r="CT42" s="1568"/>
      <c r="CU42" s="1568"/>
      <c r="CV42" s="1568"/>
      <c r="CW42" s="1568"/>
      <c r="CX42" s="1568"/>
      <c r="CY42" s="1568"/>
      <c r="CZ42" s="1568">
        <v>1263</v>
      </c>
      <c r="DA42" s="1568">
        <v>1263</v>
      </c>
      <c r="DB42" s="1568"/>
      <c r="DC42" s="1568"/>
      <c r="DD42" s="1568"/>
      <c r="DE42" s="1568"/>
      <c r="DF42" s="1568"/>
      <c r="DG42" s="1568"/>
      <c r="DH42" s="1568"/>
      <c r="DI42" s="1568"/>
      <c r="DJ42" s="1568"/>
      <c r="DK42" s="1568"/>
      <c r="DL42" s="1568"/>
      <c r="DM42" s="1568"/>
      <c r="DN42" s="1568"/>
      <c r="DO42" s="1568"/>
      <c r="DP42" s="1568"/>
      <c r="DQ42" s="1568"/>
      <c r="DR42" s="1568"/>
      <c r="DS42" s="1568"/>
      <c r="DT42" s="1568"/>
      <c r="DU42" s="1568"/>
      <c r="DV42" s="1568"/>
      <c r="DW42" s="1568"/>
      <c r="DX42" s="1568"/>
      <c r="DY42" s="1568"/>
      <c r="DZ42" s="1568"/>
      <c r="EA42" s="1568"/>
      <c r="EB42" s="1568"/>
      <c r="EC42" s="1568"/>
      <c r="ED42" s="1568"/>
      <c r="EE42" s="1568"/>
      <c r="EF42" s="1568"/>
      <c r="EG42" s="1568"/>
      <c r="EH42" s="1568"/>
      <c r="EI42" s="1568"/>
      <c r="EJ42" s="1568"/>
      <c r="EK42" s="1568"/>
      <c r="EL42" s="1568"/>
      <c r="EM42" s="1568"/>
      <c r="EN42" s="1568"/>
      <c r="EO42" s="1568"/>
      <c r="EP42" s="1568"/>
      <c r="EQ42" s="1568"/>
      <c r="ER42" s="1568"/>
      <c r="ES42" s="1568"/>
      <c r="ET42" s="1568"/>
      <c r="EU42" s="1568"/>
      <c r="EV42" s="1568"/>
      <c r="EW42" s="1568"/>
      <c r="EX42" s="1568"/>
      <c r="EY42" s="1568"/>
      <c r="EZ42" s="1568"/>
      <c r="FA42" s="1568"/>
      <c r="FB42" s="1568"/>
      <c r="FC42" s="1568"/>
      <c r="FD42" s="1568"/>
      <c r="FE42" s="1568"/>
      <c r="FF42" s="1568"/>
      <c r="FG42" s="1568"/>
      <c r="FH42" s="1568"/>
      <c r="FI42" s="1568"/>
      <c r="FJ42" s="1568"/>
      <c r="FK42" s="1568">
        <v>1263</v>
      </c>
      <c r="FL42" s="1568"/>
      <c r="FM42" s="1568"/>
      <c r="FN42" s="1568"/>
      <c r="FO42" s="1568"/>
      <c r="FP42" s="1568"/>
      <c r="FQ42" s="1568"/>
      <c r="FR42" s="1568"/>
      <c r="FS42" s="1568"/>
      <c r="FT42" s="1568"/>
      <c r="FU42" s="1568"/>
      <c r="FV42" s="1568"/>
      <c r="FW42" s="1568"/>
      <c r="FX42" s="1568"/>
      <c r="FY42" s="1568"/>
      <c r="FZ42" s="1568"/>
      <c r="GA42" s="1568"/>
      <c r="GB42" s="1568"/>
      <c r="GC42" s="1568"/>
      <c r="GD42" s="1568"/>
      <c r="GE42" s="1568"/>
      <c r="GF42" s="1568"/>
      <c r="GG42" s="1568"/>
      <c r="GH42" s="1568"/>
      <c r="GI42" s="1568"/>
      <c r="GJ42" s="1568"/>
      <c r="GK42" s="1568"/>
      <c r="GL42" s="1568"/>
      <c r="GM42" s="1568"/>
      <c r="GN42" s="1568"/>
      <c r="GO42" s="1568"/>
      <c r="GP42" s="1568"/>
      <c r="GQ42" s="1568"/>
      <c r="GR42" s="1568"/>
      <c r="GS42" s="1568"/>
      <c r="GT42" s="1568"/>
      <c r="GU42" s="1568"/>
      <c r="GV42" s="1568"/>
      <c r="GW42" s="1568"/>
      <c r="GX42" s="1568"/>
      <c r="GY42" s="1568"/>
      <c r="GZ42" s="1568"/>
      <c r="HA42" s="1568"/>
      <c r="HB42" s="1568"/>
      <c r="HC42" s="1568"/>
      <c r="HD42" s="1568"/>
      <c r="HE42" s="1568"/>
      <c r="HF42" s="1568"/>
      <c r="HG42" s="1568"/>
      <c r="HH42" s="1568"/>
      <c r="HI42" s="1568"/>
      <c r="HJ42" s="1568"/>
      <c r="HK42" s="1568"/>
      <c r="HL42" s="1568"/>
      <c r="HM42" s="1568"/>
      <c r="HN42" s="1568"/>
      <c r="HO42" s="1568"/>
      <c r="HP42" s="1568"/>
      <c r="HQ42" s="1568"/>
      <c r="HR42" s="1568"/>
      <c r="HS42" s="1568"/>
      <c r="HT42" s="1568"/>
      <c r="HU42" s="1568"/>
      <c r="HV42" s="1568"/>
      <c r="HW42" s="1568"/>
      <c r="HX42" s="1568"/>
      <c r="HY42" s="1568"/>
      <c r="HZ42" s="1568"/>
      <c r="IA42" s="1568"/>
      <c r="IB42" s="1568"/>
      <c r="IC42" s="1568"/>
      <c r="ID42" s="1568"/>
      <c r="IE42" s="1568"/>
      <c r="IF42" s="1568"/>
      <c r="IG42" s="1568"/>
      <c r="IH42" s="1568"/>
      <c r="II42" s="1568"/>
      <c r="IJ42" s="1568"/>
      <c r="IK42" s="1568"/>
      <c r="IL42" s="1568"/>
      <c r="IM42" s="1568"/>
      <c r="IN42" s="1568"/>
      <c r="IO42" s="1568"/>
      <c r="IP42" s="1568"/>
      <c r="IQ42" s="1584"/>
      <c r="IR42" s="1568"/>
      <c r="IS42" s="1568"/>
      <c r="IT42" s="1584"/>
      <c r="IU42" s="1568"/>
      <c r="IV42" s="1568"/>
      <c r="IW42" s="1568"/>
      <c r="IX42" s="1568"/>
      <c r="IY42" s="1568"/>
      <c r="IZ42" s="1568"/>
      <c r="JA42" s="1568"/>
      <c r="JB42" s="1568"/>
      <c r="JC42" s="1568"/>
      <c r="JD42" s="1568"/>
      <c r="JE42" s="1568"/>
      <c r="JF42" s="1568"/>
      <c r="JG42" s="1568"/>
      <c r="JH42" s="1568"/>
      <c r="JI42" s="1584"/>
      <c r="JJ42" s="1568"/>
      <c r="JK42" s="1584"/>
      <c r="JL42" s="1584"/>
      <c r="JM42" s="1584"/>
      <c r="JN42" s="1584"/>
      <c r="JO42" s="1584"/>
      <c r="JP42" s="1584"/>
      <c r="JQ42" s="1585"/>
      <c r="JR42" s="351"/>
      <c r="JS42" s="1400"/>
      <c r="JT42" s="450" t="s">
        <v>2242</v>
      </c>
    </row>
    <row r="43" spans="1:280" ht="70" x14ac:dyDescent="0.25">
      <c r="A43" s="1367">
        <v>13</v>
      </c>
      <c r="B43" s="1574" t="str">
        <f>IF(PS_B_IND&gt;1,IF(HLOOKUP(PS_B_IND-1,FPS_RANGE,A43)="","",HLOOKUP(PS_B_IND-1,FPS_RANGE,A43)),"")</f>
        <v/>
      </c>
      <c r="C43" s="1435" t="s">
        <v>3580</v>
      </c>
      <c r="D43" s="1436" t="s">
        <v>3581</v>
      </c>
      <c r="E43" s="1563"/>
      <c r="F43" s="1563"/>
      <c r="G43" s="1563"/>
      <c r="H43" s="1563"/>
      <c r="I43" s="1563"/>
      <c r="J43" s="1563"/>
      <c r="K43" s="1563"/>
      <c r="L43" s="1563"/>
      <c r="M43" s="1563"/>
      <c r="N43" s="1563"/>
      <c r="O43" s="1563"/>
      <c r="P43" s="1563"/>
      <c r="Q43" s="1563"/>
      <c r="R43" s="1563"/>
      <c r="S43" s="1563"/>
      <c r="T43" s="1563"/>
      <c r="U43" s="1563"/>
      <c r="V43" s="1563"/>
      <c r="W43" s="1563"/>
      <c r="X43" s="1563"/>
      <c r="Y43" s="1563"/>
      <c r="Z43" s="1563"/>
      <c r="AA43" s="1563"/>
      <c r="AB43" s="1563"/>
      <c r="AC43" s="1563"/>
      <c r="AD43" s="1563"/>
      <c r="AE43" s="1563"/>
      <c r="AF43" s="1563"/>
      <c r="AG43" s="1563"/>
      <c r="AH43" s="1563"/>
      <c r="AI43" s="1563"/>
      <c r="AJ43" s="1563"/>
      <c r="AK43" s="1563"/>
      <c r="AL43" s="1563"/>
      <c r="AM43" s="1563"/>
      <c r="AN43" s="1563"/>
      <c r="AO43" s="1563"/>
      <c r="AP43" s="1563"/>
      <c r="AQ43" s="1563"/>
      <c r="AR43" s="1563"/>
      <c r="AS43" s="1563"/>
      <c r="AT43" s="1563"/>
      <c r="AU43" s="1563"/>
      <c r="AV43" s="1563"/>
      <c r="AW43" s="1563"/>
      <c r="AX43" s="1563"/>
      <c r="AY43" s="1563"/>
      <c r="AZ43" s="1563"/>
      <c r="BA43" s="1563"/>
      <c r="BB43" s="1563"/>
      <c r="BC43" s="1563">
        <f>IF(BC38+BC39+BC40-BC42&gt;0,BC38+BC39+BC40+BC41-BC42,BC41)</f>
        <v>62952</v>
      </c>
      <c r="BD43" s="1563"/>
      <c r="BE43" s="1563"/>
      <c r="BF43" s="1563"/>
      <c r="BG43" s="1563"/>
      <c r="BH43" s="1563"/>
      <c r="BI43" s="1563"/>
      <c r="BJ43" s="1563"/>
      <c r="BK43" s="1563"/>
      <c r="BL43" s="1563"/>
      <c r="BM43" s="1563"/>
      <c r="BN43" s="1563"/>
      <c r="BO43" s="1563"/>
      <c r="BP43" s="1563"/>
      <c r="BQ43" s="1563"/>
      <c r="BR43" s="1563"/>
      <c r="BS43" s="1563"/>
      <c r="BT43" s="1563"/>
      <c r="BU43" s="1563"/>
      <c r="BV43" s="1563"/>
      <c r="BW43" s="1563"/>
      <c r="BX43" s="1563"/>
      <c r="BY43" s="1563"/>
      <c r="BZ43" s="1563"/>
      <c r="CA43" s="1563"/>
      <c r="CB43" s="1563">
        <f t="shared" ref="CB43:CD43" si="5">IF(CB38+CB39+CB40-CB42&gt;0,CB38+CB39+CB40+CB41-CB42,CB41)</f>
        <v>58425</v>
      </c>
      <c r="CC43" s="1563">
        <f t="shared" si="5"/>
        <v>269988</v>
      </c>
      <c r="CD43" s="1563">
        <f t="shared" si="5"/>
        <v>5693</v>
      </c>
      <c r="CE43" s="1563"/>
      <c r="CF43" s="1563"/>
      <c r="CG43" s="1563"/>
      <c r="CH43" s="1563"/>
      <c r="CI43" s="1563">
        <f>IF(CI38+CI39+CI40-CI42&gt;0,CI38+CI39+CI40+CI41-CI42,CI41)</f>
        <v>120817</v>
      </c>
      <c r="CJ43" s="1572">
        <f>IF(CJ38+CJ39+CJ40-CJ42&gt;0,CJ38+CJ39+CJ40+CJ41-CJ42,CJ41)</f>
        <v>241484</v>
      </c>
      <c r="CK43" s="1563">
        <f>IF(CK38+CK39+CK40-CK42&gt;0,CK38+CK39+CK40+CK41-CK42,CK41)</f>
        <v>30200</v>
      </c>
      <c r="CL43" s="1563"/>
      <c r="CM43" s="1563"/>
      <c r="CN43" s="1563"/>
      <c r="CO43" s="1563"/>
      <c r="CP43" s="1563">
        <f t="shared" ref="CP43:DJ43" si="6">IF(CP38+CP39+CP40-CP42&gt;0,CP38+CP39+CP40+CP41-CP42,CP41)</f>
        <v>62583</v>
      </c>
      <c r="CQ43" s="1563"/>
      <c r="CR43" s="1563"/>
      <c r="CS43" s="1563"/>
      <c r="CT43" s="1563"/>
      <c r="CU43" s="1563"/>
      <c r="CV43" s="1563"/>
      <c r="CW43" s="1563"/>
      <c r="CX43" s="1563"/>
      <c r="CY43" s="1563">
        <f t="shared" si="6"/>
        <v>105602</v>
      </c>
      <c r="CZ43" s="1563">
        <f t="shared" si="6"/>
        <v>188665</v>
      </c>
      <c r="DA43" s="1563">
        <f t="shared" si="6"/>
        <v>188665</v>
      </c>
      <c r="DB43" s="1563"/>
      <c r="DC43" s="1563"/>
      <c r="DD43" s="1563"/>
      <c r="DE43" s="1563"/>
      <c r="DF43" s="1563"/>
      <c r="DG43" s="1563"/>
      <c r="DH43" s="1563"/>
      <c r="DI43" s="1563"/>
      <c r="DJ43" s="1572">
        <f t="shared" si="6"/>
        <v>10242</v>
      </c>
      <c r="DK43" s="1563"/>
      <c r="DL43" s="1563"/>
      <c r="DM43" s="1572">
        <f>IF(DM38+DM39+DM40-DM42&gt;0,DM38+DM39+DM40+DM41-DM42,DM41)</f>
        <v>110154</v>
      </c>
      <c r="DN43" s="1563"/>
      <c r="DO43" s="1563"/>
      <c r="DP43" s="1563"/>
      <c r="DQ43" s="1563"/>
      <c r="DR43" s="1563"/>
      <c r="DS43" s="1563"/>
      <c r="DT43" s="1563"/>
      <c r="DU43" s="1563"/>
      <c r="DV43" s="1563"/>
      <c r="DW43" s="1563"/>
      <c r="DX43" s="1572">
        <f t="shared" ref="DX43:DY43" si="7">IF(DX38+DX39+DX40-DX42&gt;0,DX38+DX39+DX40+DX41-DX42,DX41)</f>
        <v>53376</v>
      </c>
      <c r="DY43" s="1572">
        <f t="shared" si="7"/>
        <v>3841</v>
      </c>
      <c r="DZ43" s="1563"/>
      <c r="EA43" s="1563"/>
      <c r="EB43" s="1563"/>
      <c r="EC43" s="1563"/>
      <c r="ED43" s="1563"/>
      <c r="EE43" s="1563"/>
      <c r="EF43" s="1563"/>
      <c r="EG43" s="1563"/>
      <c r="EH43" s="1563">
        <f t="shared" ref="EH43" si="8">IF(EH38+EH39+EH40-EH42&gt;0,EH38+EH39+EH40+EH41-EH42,EH41)</f>
        <v>15515</v>
      </c>
      <c r="EI43" s="1563">
        <f t="shared" ref="EI43" si="9">IF(EI38+EI39+EI40-EI42&gt;0,EI38+EI39+EI40+EI41-EI42,EI41)</f>
        <v>11023</v>
      </c>
      <c r="EJ43" s="1563"/>
      <c r="EK43" s="1563"/>
      <c r="EL43" s="1563"/>
      <c r="EM43" s="1563"/>
      <c r="EN43" s="1563"/>
      <c r="EO43" s="1563"/>
      <c r="EP43" s="1563"/>
      <c r="EQ43" s="1563"/>
      <c r="ER43" s="1563"/>
      <c r="ES43" s="1563"/>
      <c r="ET43" s="1563"/>
      <c r="EU43" s="1563"/>
      <c r="EV43" s="1563"/>
      <c r="EW43" s="1563"/>
      <c r="EX43" s="1563"/>
      <c r="EY43" s="1563"/>
      <c r="EZ43" s="1563"/>
      <c r="FA43" s="1563">
        <f t="shared" ref="FA43" si="10">IF(FA38+FA39+FA40-FA42&gt;0,FA38+FA39+FA40+FA41-FA42,FA41)</f>
        <v>105602</v>
      </c>
      <c r="FB43" s="1563"/>
      <c r="FC43" s="1563"/>
      <c r="FD43" s="1563"/>
      <c r="FE43" s="1563"/>
      <c r="FF43" s="1563"/>
      <c r="FG43" s="1563"/>
      <c r="FH43" s="1563"/>
      <c r="FI43" s="1563"/>
      <c r="FJ43" s="1563"/>
      <c r="FK43" s="1563">
        <f t="shared" ref="FK43" si="11">IF(FK38+FK39+FK40-FK42&gt;0,FK38+FK39+FK40+FK41-FK42,FK41)</f>
        <v>188665</v>
      </c>
      <c r="FL43" s="1563"/>
      <c r="FM43" s="1563"/>
      <c r="FN43" s="1563"/>
      <c r="FO43" s="1572">
        <f t="shared" ref="FO43" si="12">IF(FO38+FO39+FO40-FO42&gt;0,FO38+FO39+FO40+FO41-FO42,FO41)</f>
        <v>109826</v>
      </c>
      <c r="FP43" s="1563"/>
      <c r="FQ43" s="1563"/>
      <c r="FR43" s="1563"/>
      <c r="FS43" s="1563"/>
      <c r="FT43" s="1563"/>
      <c r="FU43" s="1563"/>
      <c r="FV43" s="1572">
        <f t="shared" ref="FV43" si="13">IF(FV38+FV39+FV40-FV42&gt;0,FV38+FV39+FV40+FV41-FV42,FV41)</f>
        <v>73975</v>
      </c>
      <c r="FW43" s="1563"/>
      <c r="FX43" s="1563"/>
      <c r="FY43" s="1563"/>
      <c r="FZ43" s="1563"/>
      <c r="GA43" s="1563"/>
      <c r="GB43" s="1563"/>
      <c r="GC43" s="1563"/>
      <c r="GD43" s="1563"/>
      <c r="GE43" s="1563"/>
      <c r="GF43" s="1563"/>
      <c r="GG43" s="1563"/>
      <c r="GH43" s="1563"/>
      <c r="GI43" s="1563"/>
      <c r="GJ43" s="1563"/>
      <c r="GK43" s="1563"/>
      <c r="GL43" s="1563"/>
      <c r="GM43" s="1563"/>
      <c r="GN43" s="1563"/>
      <c r="GO43" s="1563"/>
      <c r="GP43" s="1563"/>
      <c r="GQ43" s="1563"/>
      <c r="GR43" s="1563"/>
      <c r="GS43" s="1563"/>
      <c r="GT43" s="1563"/>
      <c r="GU43" s="1563"/>
      <c r="GV43" s="1563"/>
      <c r="GW43" s="1572">
        <f t="shared" ref="GW43" si="14">IF(GW38+GW39+GW40-GW42&gt;0,GW38+GW39+GW40+GW41-GW42,GW41)</f>
        <v>60019</v>
      </c>
      <c r="GX43" s="1563"/>
      <c r="GY43" s="1563"/>
      <c r="GZ43" s="1563"/>
      <c r="HA43" s="1563"/>
      <c r="HB43" s="1563"/>
      <c r="HC43" s="1563"/>
      <c r="HD43" s="1563"/>
      <c r="HE43" s="1563">
        <f t="shared" ref="HE43" si="15">IF(HE38+HE39+HE40-HE42&gt;0,HE38+HE39+HE40+HE41-HE42,HE41)</f>
        <v>490000</v>
      </c>
      <c r="HF43" s="1563"/>
      <c r="HG43" s="1563"/>
      <c r="HH43" s="1563"/>
      <c r="HI43" s="1563"/>
      <c r="HJ43" s="1563"/>
      <c r="HK43" s="1563"/>
      <c r="HL43" s="1572">
        <f t="shared" ref="HL43" si="16">IF(HL38+HL39+HL40-HL42&gt;0,HL38+HL39+HL40+HL41-HL42,HL41)</f>
        <v>348723</v>
      </c>
      <c r="HM43" s="1563"/>
      <c r="HN43" s="1563"/>
      <c r="HO43" s="1563"/>
      <c r="HP43" s="1563"/>
      <c r="HQ43" s="1563"/>
      <c r="HR43" s="1563"/>
      <c r="HS43" s="1563"/>
      <c r="HT43" s="1563"/>
      <c r="HU43" s="1563"/>
      <c r="HV43" s="1563"/>
      <c r="HW43" s="1563"/>
      <c r="HX43" s="1563"/>
      <c r="HY43" s="1563"/>
      <c r="HZ43" s="1563"/>
      <c r="IA43" s="1563"/>
      <c r="IB43" s="1563"/>
      <c r="IC43" s="1563"/>
      <c r="ID43" s="1563"/>
      <c r="IE43" s="1563"/>
      <c r="IF43" s="1563"/>
      <c r="IG43" s="1563"/>
      <c r="IH43" s="1563"/>
      <c r="II43" s="1563"/>
      <c r="IJ43" s="1563"/>
      <c r="IK43" s="1563"/>
      <c r="IL43" s="1563"/>
      <c r="IM43" s="1563"/>
      <c r="IN43" s="1563"/>
      <c r="IO43" s="1563"/>
      <c r="IP43" s="1563"/>
      <c r="IQ43" s="1563">
        <f t="shared" ref="IQ43" si="17">IF(IQ38+IQ39+IQ40-IQ42&gt;0,IQ38+IQ39+IQ40+IQ41-IQ42,IQ41)</f>
        <v>104753</v>
      </c>
      <c r="IR43" s="1563"/>
      <c r="IS43" s="1563"/>
      <c r="IT43" s="1563">
        <f t="shared" ref="IT43" si="18">IF(IT38+IT39+IT40-IT42&gt;0,IT38+IT39+IT40+IT41-IT42,IT41)</f>
        <v>228329</v>
      </c>
      <c r="IU43" s="1563"/>
      <c r="IV43" s="1563"/>
      <c r="IW43" s="1563"/>
      <c r="IX43" s="1563"/>
      <c r="IY43" s="1563"/>
      <c r="IZ43" s="1563"/>
      <c r="JA43" s="1563"/>
      <c r="JB43" s="1563">
        <f t="shared" ref="JB43" si="19">IF(JB38+JB39+JB40-JB42&gt;0,JB38+JB39+JB40+JB41-JB42,JB41)</f>
        <v>62952</v>
      </c>
      <c r="JC43" s="1563"/>
      <c r="JD43" s="1563"/>
      <c r="JE43" s="1563"/>
      <c r="JF43" s="1563"/>
      <c r="JG43" s="1563"/>
      <c r="JH43" s="1563"/>
      <c r="JI43" s="1563">
        <f t="shared" ref="JI43" si="20">IF(JI38+JI39+JI40-JI42&gt;0,JI38+JI39+JI40+JI41-JI42,JI41)</f>
        <v>87710</v>
      </c>
      <c r="JJ43" s="1563"/>
      <c r="JK43" s="1563"/>
      <c r="JL43" s="1563"/>
      <c r="JM43" s="1563">
        <f t="shared" ref="JM43" si="21">IF(JM38+JM39+JM40-JM42&gt;0,JM38+JM39+JM40+JM41-JM42,JM41)</f>
        <v>5622</v>
      </c>
      <c r="JN43" s="1563"/>
      <c r="JO43" s="1563"/>
      <c r="JP43" s="1563"/>
      <c r="JQ43" s="1563"/>
      <c r="JR43" s="351"/>
      <c r="JS43" s="1400" t="s">
        <v>3582</v>
      </c>
      <c r="JT43" s="450" t="s">
        <v>2224</v>
      </c>
    </row>
    <row r="44" spans="1:280" ht="12.5" x14ac:dyDescent="0.25">
      <c r="A44" s="1367">
        <v>14</v>
      </c>
      <c r="B44" s="1574" t="str">
        <f t="shared" si="4"/>
        <v/>
      </c>
      <c r="C44" s="1435" t="s">
        <v>3583</v>
      </c>
      <c r="D44" s="1436" t="s">
        <v>3584</v>
      </c>
      <c r="E44" s="1586"/>
      <c r="F44" s="1586"/>
      <c r="G44" s="1586"/>
      <c r="H44" s="1586"/>
      <c r="I44" s="1586"/>
      <c r="J44" s="1586"/>
      <c r="K44" s="1586"/>
      <c r="L44" s="1586"/>
      <c r="M44" s="1586"/>
      <c r="N44" s="1586"/>
      <c r="O44" s="1586"/>
      <c r="P44" s="1586"/>
      <c r="Q44" s="1586"/>
      <c r="R44" s="1586"/>
      <c r="S44" s="1586"/>
      <c r="T44" s="1586"/>
      <c r="U44" s="1586"/>
      <c r="V44" s="1586"/>
      <c r="W44" s="1586"/>
      <c r="X44" s="1586"/>
      <c r="Y44" s="1586"/>
      <c r="Z44" s="1586"/>
      <c r="AA44" s="1586"/>
      <c r="AB44" s="1586"/>
      <c r="AC44" s="1586"/>
      <c r="AD44" s="1586"/>
      <c r="AE44" s="1586"/>
      <c r="AF44" s="1586"/>
      <c r="AG44" s="1586"/>
      <c r="AH44" s="1586"/>
      <c r="AI44" s="1586"/>
      <c r="AJ44" s="1586"/>
      <c r="AK44" s="1586"/>
      <c r="AL44" s="1586"/>
      <c r="AM44" s="1586"/>
      <c r="AN44" s="1586"/>
      <c r="AO44" s="1586"/>
      <c r="AP44" s="1586"/>
      <c r="AQ44" s="1586"/>
      <c r="AR44" s="1586"/>
      <c r="AS44" s="1586"/>
      <c r="AT44" s="1586"/>
      <c r="AU44" s="1586"/>
      <c r="AV44" s="1586"/>
      <c r="AW44" s="1586"/>
      <c r="AX44" s="1586"/>
      <c r="AY44" s="1586"/>
      <c r="AZ44" s="1586"/>
      <c r="BA44" s="1586"/>
      <c r="BB44" s="1586"/>
      <c r="BC44" s="1586"/>
      <c r="BD44" s="1586"/>
      <c r="BE44" s="1586"/>
      <c r="BF44" s="1586"/>
      <c r="BG44" s="1586"/>
      <c r="BH44" s="1586"/>
      <c r="BI44" s="1586"/>
      <c r="BJ44" s="1586"/>
      <c r="BK44" s="1586"/>
      <c r="BL44" s="1586"/>
      <c r="BM44" s="1586"/>
      <c r="BN44" s="1586"/>
      <c r="BO44" s="1586"/>
      <c r="BP44" s="1586"/>
      <c r="BQ44" s="1586"/>
      <c r="BR44" s="1586"/>
      <c r="BS44" s="1586"/>
      <c r="BT44" s="1586"/>
      <c r="BU44" s="1586"/>
      <c r="BV44" s="1586"/>
      <c r="BW44" s="1586"/>
      <c r="BX44" s="1586"/>
      <c r="BY44" s="1586"/>
      <c r="BZ44" s="1586"/>
      <c r="CA44" s="1586"/>
      <c r="CB44" s="1571">
        <v>1775</v>
      </c>
      <c r="CC44" s="1571"/>
      <c r="CD44" s="1571"/>
      <c r="CE44" s="1586"/>
      <c r="CF44" s="1586"/>
      <c r="CG44" s="1571"/>
      <c r="CH44" s="1586"/>
      <c r="CI44" s="1586">
        <v>2885</v>
      </c>
      <c r="CJ44" s="1572">
        <v>45785</v>
      </c>
      <c r="CK44" s="1586">
        <v>15682</v>
      </c>
      <c r="CL44" s="1586"/>
      <c r="CM44" s="1586"/>
      <c r="CN44" s="1586"/>
      <c r="CO44" s="1586"/>
      <c r="CP44" s="1586"/>
      <c r="CQ44" s="1586"/>
      <c r="CR44" s="1586"/>
      <c r="CS44" s="1586"/>
      <c r="CT44" s="1586"/>
      <c r="CU44" s="1586"/>
      <c r="CV44" s="1586"/>
      <c r="CW44" s="1586"/>
      <c r="CX44" s="1586"/>
      <c r="CY44" s="1586"/>
      <c r="CZ44" s="1586"/>
      <c r="DA44" s="1586"/>
      <c r="DB44" s="1586"/>
      <c r="DC44" s="1586"/>
      <c r="DD44" s="1586"/>
      <c r="DE44" s="1586"/>
      <c r="DF44" s="1586"/>
      <c r="DG44" s="1586"/>
      <c r="DH44" s="1586"/>
      <c r="DI44" s="1586"/>
      <c r="DJ44" s="1586"/>
      <c r="DK44" s="1586"/>
      <c r="DL44" s="1586"/>
      <c r="DM44" s="1586"/>
      <c r="DN44" s="1586"/>
      <c r="DO44" s="1586"/>
      <c r="DP44" s="1586"/>
      <c r="DQ44" s="1586"/>
      <c r="DR44" s="1586"/>
      <c r="DS44" s="1586"/>
      <c r="DT44" s="1586"/>
      <c r="DU44" s="1586"/>
      <c r="DV44" s="1586"/>
      <c r="DW44" s="1586"/>
      <c r="DX44" s="1586"/>
      <c r="DY44" s="1586"/>
      <c r="DZ44" s="1586"/>
      <c r="EA44" s="1586"/>
      <c r="EB44" s="1586"/>
      <c r="EC44" s="1586"/>
      <c r="ED44" s="1586"/>
      <c r="EE44" s="1586"/>
      <c r="EF44" s="1586"/>
      <c r="EG44" s="1586"/>
      <c r="EH44" s="1586"/>
      <c r="EI44" s="1586"/>
      <c r="EJ44" s="1586"/>
      <c r="EK44" s="1586"/>
      <c r="EL44" s="1586"/>
      <c r="EM44" s="1586"/>
      <c r="EN44" s="1586"/>
      <c r="EO44" s="1586"/>
      <c r="EP44" s="1586"/>
      <c r="EQ44" s="1586"/>
      <c r="ER44" s="1586"/>
      <c r="ES44" s="1586"/>
      <c r="ET44" s="1586"/>
      <c r="EU44" s="1586"/>
      <c r="EV44" s="1586"/>
      <c r="EW44" s="1586"/>
      <c r="EX44" s="1586"/>
      <c r="EY44" s="1586"/>
      <c r="EZ44" s="1586"/>
      <c r="FA44" s="1586"/>
      <c r="FB44" s="1586"/>
      <c r="FC44" s="1586"/>
      <c r="FD44" s="1586"/>
      <c r="FE44" s="1586"/>
      <c r="FF44" s="1586"/>
      <c r="FG44" s="1586"/>
      <c r="FH44" s="1586"/>
      <c r="FI44" s="1586"/>
      <c r="FJ44" s="1586"/>
      <c r="FK44" s="1586"/>
      <c r="FL44" s="1586"/>
      <c r="FM44" s="1586"/>
      <c r="FN44" s="1586"/>
      <c r="FO44" s="1586"/>
      <c r="FP44" s="1586"/>
      <c r="FQ44" s="1586"/>
      <c r="FR44" s="1586"/>
      <c r="FS44" s="1586"/>
      <c r="FT44" s="1586"/>
      <c r="FU44" s="1586"/>
      <c r="FV44" s="1586"/>
      <c r="FW44" s="1586"/>
      <c r="FX44" s="1586"/>
      <c r="FY44" s="1586"/>
      <c r="FZ44" s="1586"/>
      <c r="GA44" s="1586"/>
      <c r="GB44" s="1586"/>
      <c r="GC44" s="1586"/>
      <c r="GD44" s="1586"/>
      <c r="GE44" s="1586"/>
      <c r="GF44" s="1586"/>
      <c r="GG44" s="1586"/>
      <c r="GH44" s="1586"/>
      <c r="GI44" s="1586"/>
      <c r="GJ44" s="1586"/>
      <c r="GK44" s="1586"/>
      <c r="GL44" s="1586"/>
      <c r="GM44" s="1586"/>
      <c r="GN44" s="1586"/>
      <c r="GO44" s="1586"/>
      <c r="GP44" s="1586"/>
      <c r="GQ44" s="1586"/>
      <c r="GR44" s="1586"/>
      <c r="GS44" s="1586"/>
      <c r="GT44" s="1586"/>
      <c r="GU44" s="1586"/>
      <c r="GV44" s="1586"/>
      <c r="GW44" s="1586"/>
      <c r="GX44" s="1586"/>
      <c r="GY44" s="1586"/>
      <c r="GZ44" s="1586"/>
      <c r="HA44" s="1586"/>
      <c r="HB44" s="1586"/>
      <c r="HC44" s="1586"/>
      <c r="HD44" s="1586"/>
      <c r="HE44" s="1586"/>
      <c r="HF44" s="1586"/>
      <c r="HG44" s="1586"/>
      <c r="HH44" s="1586"/>
      <c r="HI44" s="1586"/>
      <c r="HJ44" s="1586"/>
      <c r="HK44" s="1586"/>
      <c r="HL44" s="1586"/>
      <c r="HM44" s="1586"/>
      <c r="HN44" s="1586"/>
      <c r="HO44" s="1586"/>
      <c r="HP44" s="1586"/>
      <c r="HQ44" s="1586"/>
      <c r="HR44" s="1586"/>
      <c r="HS44" s="1586"/>
      <c r="HT44" s="1586"/>
      <c r="HU44" s="1586"/>
      <c r="HV44" s="1586"/>
      <c r="HW44" s="1586"/>
      <c r="HX44" s="1586"/>
      <c r="HY44" s="1586"/>
      <c r="HZ44" s="1586"/>
      <c r="IA44" s="1586"/>
      <c r="IB44" s="1586"/>
      <c r="IC44" s="1586"/>
      <c r="ID44" s="1586"/>
      <c r="IE44" s="1586"/>
      <c r="IF44" s="1586"/>
      <c r="IG44" s="1586"/>
      <c r="IH44" s="1586"/>
      <c r="II44" s="1586"/>
      <c r="IJ44" s="1586"/>
      <c r="IK44" s="1586"/>
      <c r="IL44" s="1586"/>
      <c r="IM44" s="1586"/>
      <c r="IN44" s="1586"/>
      <c r="IO44" s="1586"/>
      <c r="IP44" s="1586"/>
      <c r="IQ44" s="1587"/>
      <c r="IR44" s="1586"/>
      <c r="IS44" s="1586"/>
      <c r="IT44" s="1587"/>
      <c r="IU44" s="1586"/>
      <c r="IV44" s="1586"/>
      <c r="IW44" s="1586"/>
      <c r="IX44" s="1586"/>
      <c r="IY44" s="1586"/>
      <c r="IZ44" s="1586"/>
      <c r="JA44" s="1586"/>
      <c r="JB44" s="1586"/>
      <c r="JC44" s="1586"/>
      <c r="JD44" s="1586"/>
      <c r="JE44" s="1586"/>
      <c r="JF44" s="1586"/>
      <c r="JG44" s="1586"/>
      <c r="JH44" s="1586"/>
      <c r="JI44" s="1587"/>
      <c r="JJ44" s="1586"/>
      <c r="JK44" s="1587"/>
      <c r="JL44" s="1587"/>
      <c r="JM44" s="1587"/>
      <c r="JN44" s="1586"/>
      <c r="JO44" s="1587"/>
      <c r="JP44" s="1587"/>
      <c r="JQ44" s="1588"/>
      <c r="JR44" s="351"/>
      <c r="JS44" s="1400"/>
      <c r="JT44" s="450"/>
    </row>
    <row r="45" spans="1:280" ht="12.5" x14ac:dyDescent="0.25">
      <c r="A45" s="1367">
        <v>15</v>
      </c>
      <c r="B45" s="1574" t="str">
        <f t="shared" si="4"/>
        <v/>
      </c>
      <c r="C45" s="1435" t="s">
        <v>3585</v>
      </c>
      <c r="D45" s="1436" t="s">
        <v>3586</v>
      </c>
      <c r="E45" s="1586"/>
      <c r="F45" s="1586"/>
      <c r="G45" s="1586"/>
      <c r="H45" s="1586"/>
      <c r="I45" s="1586"/>
      <c r="J45" s="1586"/>
      <c r="K45" s="1586"/>
      <c r="L45" s="1586"/>
      <c r="M45" s="1586"/>
      <c r="N45" s="1586"/>
      <c r="O45" s="1586"/>
      <c r="P45" s="1586"/>
      <c r="Q45" s="1586"/>
      <c r="R45" s="1586"/>
      <c r="S45" s="1586"/>
      <c r="T45" s="1586"/>
      <c r="U45" s="1586"/>
      <c r="V45" s="1586"/>
      <c r="W45" s="1586"/>
      <c r="X45" s="1586"/>
      <c r="Y45" s="1586"/>
      <c r="Z45" s="1586"/>
      <c r="AA45" s="1586"/>
      <c r="AB45" s="1586"/>
      <c r="AC45" s="1586"/>
      <c r="AD45" s="1586"/>
      <c r="AE45" s="1586"/>
      <c r="AF45" s="1586"/>
      <c r="AG45" s="1586"/>
      <c r="AH45" s="1586"/>
      <c r="AI45" s="1586"/>
      <c r="AJ45" s="1586"/>
      <c r="AK45" s="1586"/>
      <c r="AL45" s="1586"/>
      <c r="AM45" s="1586"/>
      <c r="AN45" s="1586"/>
      <c r="AO45" s="1586"/>
      <c r="AP45" s="1586"/>
      <c r="AQ45" s="1586"/>
      <c r="AR45" s="1586"/>
      <c r="AS45" s="1586"/>
      <c r="AT45" s="1586"/>
      <c r="AU45" s="1586"/>
      <c r="AV45" s="1586"/>
      <c r="AW45" s="1586"/>
      <c r="AX45" s="1586"/>
      <c r="AY45" s="1586"/>
      <c r="AZ45" s="1586"/>
      <c r="BA45" s="1586"/>
      <c r="BB45" s="1586"/>
      <c r="BC45" s="1586"/>
      <c r="BD45" s="1586"/>
      <c r="BE45" s="1586"/>
      <c r="BF45" s="1586"/>
      <c r="BG45" s="1586"/>
      <c r="BH45" s="1586"/>
      <c r="BI45" s="1586"/>
      <c r="BJ45" s="1586"/>
      <c r="BK45" s="1586"/>
      <c r="BL45" s="1586"/>
      <c r="BM45" s="1586"/>
      <c r="BN45" s="1586"/>
      <c r="BO45" s="1586"/>
      <c r="BP45" s="1586"/>
      <c r="BQ45" s="1586"/>
      <c r="BR45" s="1586"/>
      <c r="BS45" s="1586"/>
      <c r="BT45" s="1586"/>
      <c r="BU45" s="1586"/>
      <c r="BV45" s="1586"/>
      <c r="BW45" s="1586"/>
      <c r="BX45" s="1586"/>
      <c r="BY45" s="1586"/>
      <c r="BZ45" s="1586"/>
      <c r="CA45" s="1586"/>
      <c r="CB45" s="1571"/>
      <c r="CC45" s="1571"/>
      <c r="CD45" s="1571"/>
      <c r="CE45" s="1586"/>
      <c r="CF45" s="1586"/>
      <c r="CG45" s="1586"/>
      <c r="CH45" s="1586"/>
      <c r="CI45" s="1589"/>
      <c r="CJ45" s="1586"/>
      <c r="CK45" s="1586"/>
      <c r="CL45" s="1586"/>
      <c r="CM45" s="1586"/>
      <c r="CN45" s="1586"/>
      <c r="CO45" s="1586"/>
      <c r="CP45" s="1586"/>
      <c r="CQ45" s="1586"/>
      <c r="CR45" s="1586"/>
      <c r="CS45" s="1586"/>
      <c r="CT45" s="1586"/>
      <c r="CU45" s="1586"/>
      <c r="CV45" s="1586"/>
      <c r="CW45" s="1586"/>
      <c r="CX45" s="1586"/>
      <c r="CY45" s="1586"/>
      <c r="CZ45" s="1586"/>
      <c r="DA45" s="1586"/>
      <c r="DB45" s="1586"/>
      <c r="DC45" s="1586"/>
      <c r="DD45" s="1586"/>
      <c r="DE45" s="1586"/>
      <c r="DF45" s="1586"/>
      <c r="DG45" s="1586"/>
      <c r="DH45" s="1586"/>
      <c r="DI45" s="1586"/>
      <c r="DJ45" s="1586"/>
      <c r="DK45" s="1586"/>
      <c r="DL45" s="1586"/>
      <c r="DM45" s="1586"/>
      <c r="DN45" s="1586"/>
      <c r="DO45" s="1586"/>
      <c r="DP45" s="1586"/>
      <c r="DQ45" s="1586"/>
      <c r="DR45" s="1586"/>
      <c r="DS45" s="1586"/>
      <c r="DT45" s="1586"/>
      <c r="DU45" s="1586"/>
      <c r="DV45" s="1586"/>
      <c r="DW45" s="1586"/>
      <c r="DX45" s="1586"/>
      <c r="DY45" s="1586"/>
      <c r="DZ45" s="1586"/>
      <c r="EA45" s="1586"/>
      <c r="EB45" s="1586"/>
      <c r="EC45" s="1586"/>
      <c r="ED45" s="1586"/>
      <c r="EE45" s="1586"/>
      <c r="EF45" s="1586"/>
      <c r="EG45" s="1586"/>
      <c r="EH45" s="1586"/>
      <c r="EI45" s="1586"/>
      <c r="EJ45" s="1586"/>
      <c r="EK45" s="1586"/>
      <c r="EL45" s="1586"/>
      <c r="EM45" s="1586"/>
      <c r="EN45" s="1586"/>
      <c r="EO45" s="1586"/>
      <c r="EP45" s="1586"/>
      <c r="EQ45" s="1586"/>
      <c r="ER45" s="1586"/>
      <c r="ES45" s="1586"/>
      <c r="ET45" s="1586"/>
      <c r="EU45" s="1586"/>
      <c r="EV45" s="1586"/>
      <c r="EW45" s="1586"/>
      <c r="EX45" s="1586"/>
      <c r="EY45" s="1586"/>
      <c r="EZ45" s="1586"/>
      <c r="FA45" s="1586"/>
      <c r="FB45" s="1586"/>
      <c r="FC45" s="1586"/>
      <c r="FD45" s="1586"/>
      <c r="FE45" s="1586"/>
      <c r="FF45" s="1586"/>
      <c r="FG45" s="1586"/>
      <c r="FH45" s="1586"/>
      <c r="FI45" s="1586"/>
      <c r="FJ45" s="1586"/>
      <c r="FK45" s="1586"/>
      <c r="FL45" s="1586"/>
      <c r="FM45" s="1586"/>
      <c r="FN45" s="1586"/>
      <c r="FO45" s="1586"/>
      <c r="FP45" s="1586"/>
      <c r="FQ45" s="1586"/>
      <c r="FR45" s="1586"/>
      <c r="FS45" s="1586"/>
      <c r="FT45" s="1586"/>
      <c r="FU45" s="1586"/>
      <c r="FV45" s="1586"/>
      <c r="FW45" s="1586"/>
      <c r="FX45" s="1586"/>
      <c r="FY45" s="1586"/>
      <c r="FZ45" s="1586"/>
      <c r="GA45" s="1586"/>
      <c r="GB45" s="1586"/>
      <c r="GC45" s="1586"/>
      <c r="GD45" s="1586"/>
      <c r="GE45" s="1586"/>
      <c r="GF45" s="1586"/>
      <c r="GG45" s="1586"/>
      <c r="GH45" s="1586"/>
      <c r="GI45" s="1586"/>
      <c r="GJ45" s="1586"/>
      <c r="GK45" s="1586"/>
      <c r="GL45" s="1586"/>
      <c r="GM45" s="1586"/>
      <c r="GN45" s="1586"/>
      <c r="GO45" s="1586"/>
      <c r="GP45" s="1586"/>
      <c r="GQ45" s="1586"/>
      <c r="GR45" s="1586"/>
      <c r="GS45" s="1586"/>
      <c r="GT45" s="1586"/>
      <c r="GU45" s="1586"/>
      <c r="GV45" s="1586"/>
      <c r="GW45" s="1586"/>
      <c r="GX45" s="1586"/>
      <c r="GY45" s="1586"/>
      <c r="GZ45" s="1586"/>
      <c r="HA45" s="1586"/>
      <c r="HB45" s="1586"/>
      <c r="HC45" s="1586"/>
      <c r="HD45" s="1586"/>
      <c r="HE45" s="1586"/>
      <c r="HF45" s="1586"/>
      <c r="HG45" s="1586"/>
      <c r="HH45" s="1586"/>
      <c r="HI45" s="1586"/>
      <c r="HJ45" s="1586"/>
      <c r="HK45" s="1586"/>
      <c r="HL45" s="1586"/>
      <c r="HM45" s="1586"/>
      <c r="HN45" s="1586"/>
      <c r="HO45" s="1586"/>
      <c r="HP45" s="1586"/>
      <c r="HQ45" s="1586"/>
      <c r="HR45" s="1586"/>
      <c r="HS45" s="1586"/>
      <c r="HT45" s="1586"/>
      <c r="HU45" s="1586"/>
      <c r="HV45" s="1586"/>
      <c r="HW45" s="1586"/>
      <c r="HX45" s="1586"/>
      <c r="HY45" s="1586"/>
      <c r="HZ45" s="1586"/>
      <c r="IA45" s="1586"/>
      <c r="IB45" s="1586"/>
      <c r="IC45" s="1586"/>
      <c r="ID45" s="1586"/>
      <c r="IE45" s="1586"/>
      <c r="IF45" s="1586"/>
      <c r="IG45" s="1586"/>
      <c r="IH45" s="1586"/>
      <c r="II45" s="1586"/>
      <c r="IJ45" s="1586"/>
      <c r="IK45" s="1586"/>
      <c r="IL45" s="1586"/>
      <c r="IM45" s="1586"/>
      <c r="IN45" s="1586"/>
      <c r="IO45" s="1586"/>
      <c r="IP45" s="1586"/>
      <c r="IQ45" s="1587"/>
      <c r="IR45" s="1586"/>
      <c r="IS45" s="1586"/>
      <c r="IT45" s="1587"/>
      <c r="IU45" s="1586"/>
      <c r="IV45" s="1586"/>
      <c r="IW45" s="1586"/>
      <c r="IX45" s="1586"/>
      <c r="IY45" s="1586"/>
      <c r="IZ45" s="1586"/>
      <c r="JA45" s="1586"/>
      <c r="JB45" s="1586"/>
      <c r="JC45" s="1586"/>
      <c r="JD45" s="1586"/>
      <c r="JE45" s="1586"/>
      <c r="JF45" s="1586"/>
      <c r="JG45" s="1586"/>
      <c r="JH45" s="1586"/>
      <c r="JI45" s="1587"/>
      <c r="JJ45" s="1586"/>
      <c r="JK45" s="1587"/>
      <c r="JL45" s="1587"/>
      <c r="JM45" s="1587"/>
      <c r="JN45" s="1586"/>
      <c r="JO45" s="1587"/>
      <c r="JP45" s="1587"/>
      <c r="JQ45" s="1588"/>
      <c r="JR45" s="351"/>
      <c r="JS45" s="1400"/>
      <c r="JT45" s="450"/>
    </row>
    <row r="46" spans="1:280" ht="12.5" x14ac:dyDescent="0.25">
      <c r="A46" s="1367">
        <v>16</v>
      </c>
      <c r="B46" s="1574" t="str">
        <f t="shared" si="4"/>
        <v/>
      </c>
      <c r="C46" s="1435" t="s">
        <v>3587</v>
      </c>
      <c r="D46" s="1436" t="s">
        <v>3506</v>
      </c>
      <c r="E46" s="1568"/>
      <c r="F46" s="1568"/>
      <c r="G46" s="1568"/>
      <c r="H46" s="1568"/>
      <c r="I46" s="1568"/>
      <c r="J46" s="1568"/>
      <c r="K46" s="1568"/>
      <c r="L46" s="1568"/>
      <c r="M46" s="1568"/>
      <c r="N46" s="1568"/>
      <c r="O46" s="1568"/>
      <c r="P46" s="1568"/>
      <c r="Q46" s="1568"/>
      <c r="R46" s="1568"/>
      <c r="S46" s="1568"/>
      <c r="T46" s="1568"/>
      <c r="U46" s="1568"/>
      <c r="V46" s="1568"/>
      <c r="W46" s="1568"/>
      <c r="X46" s="1568"/>
      <c r="Y46" s="1568"/>
      <c r="Z46" s="1568"/>
      <c r="AA46" s="1568"/>
      <c r="AB46" s="1568"/>
      <c r="AC46" s="1568"/>
      <c r="AD46" s="1568"/>
      <c r="AE46" s="1568"/>
      <c r="AF46" s="1568"/>
      <c r="AG46" s="1568"/>
      <c r="AH46" s="1568"/>
      <c r="AI46" s="1568"/>
      <c r="AJ46" s="1568"/>
      <c r="AK46" s="1568"/>
      <c r="AL46" s="1568"/>
      <c r="AM46" s="1568"/>
      <c r="AN46" s="1568"/>
      <c r="AO46" s="1568"/>
      <c r="AP46" s="1568"/>
      <c r="AQ46" s="1568"/>
      <c r="AR46" s="1568"/>
      <c r="AS46" s="1568"/>
      <c r="AT46" s="1568"/>
      <c r="AU46" s="1568"/>
      <c r="AV46" s="1568"/>
      <c r="AW46" s="1568"/>
      <c r="AX46" s="1568"/>
      <c r="AY46" s="1568"/>
      <c r="AZ46" s="1568"/>
      <c r="BA46" s="1568"/>
      <c r="BB46" s="1568"/>
      <c r="BC46" s="1568"/>
      <c r="BD46" s="1568"/>
      <c r="BE46" s="1568"/>
      <c r="BF46" s="1568"/>
      <c r="BG46" s="1568"/>
      <c r="BH46" s="1568"/>
      <c r="BI46" s="1568"/>
      <c r="BJ46" s="1568"/>
      <c r="BK46" s="1568"/>
      <c r="BL46" s="1568"/>
      <c r="BM46" s="1568"/>
      <c r="BN46" s="1568"/>
      <c r="BO46" s="1568"/>
      <c r="BP46" s="1568"/>
      <c r="BQ46" s="1568"/>
      <c r="BR46" s="1568"/>
      <c r="BS46" s="1568"/>
      <c r="BT46" s="1568"/>
      <c r="BU46" s="1568"/>
      <c r="BV46" s="1568"/>
      <c r="BW46" s="1568"/>
      <c r="BX46" s="1568"/>
      <c r="BY46" s="1568"/>
      <c r="BZ46" s="1568"/>
      <c r="CA46" s="1568"/>
      <c r="CB46" s="1568"/>
      <c r="CC46" s="1568"/>
      <c r="CD46" s="1568">
        <v>247</v>
      </c>
      <c r="CE46" s="1568"/>
      <c r="CF46" s="1568"/>
      <c r="CG46" s="1568"/>
      <c r="CH46" s="1568"/>
      <c r="CI46" s="1568"/>
      <c r="CJ46" s="1568"/>
      <c r="CK46" s="1568"/>
      <c r="CL46" s="1568"/>
      <c r="CM46" s="1568"/>
      <c r="CN46" s="1568"/>
      <c r="CO46" s="1568"/>
      <c r="CP46" s="1568"/>
      <c r="CQ46" s="1568"/>
      <c r="CR46" s="1568"/>
      <c r="CS46" s="1568"/>
      <c r="CT46" s="1568"/>
      <c r="CU46" s="1568"/>
      <c r="CV46" s="1568"/>
      <c r="CW46" s="1568"/>
      <c r="CX46" s="1568"/>
      <c r="CY46" s="1568">
        <v>10152</v>
      </c>
      <c r="CZ46" s="1568"/>
      <c r="DA46" s="1568"/>
      <c r="DB46" s="1568"/>
      <c r="DC46" s="1568"/>
      <c r="DD46" s="1568"/>
      <c r="DE46" s="1568"/>
      <c r="DF46" s="1568"/>
      <c r="DG46" s="1568"/>
      <c r="DH46" s="1568"/>
      <c r="DI46" s="1568"/>
      <c r="DJ46" s="1568"/>
      <c r="DK46" s="1568"/>
      <c r="DL46" s="1568"/>
      <c r="DM46" s="1570">
        <v>4400</v>
      </c>
      <c r="DN46" s="1568"/>
      <c r="DO46" s="1568"/>
      <c r="DP46" s="1568"/>
      <c r="DQ46" s="1568"/>
      <c r="DR46" s="1568"/>
      <c r="DS46" s="1568"/>
      <c r="DT46" s="1568"/>
      <c r="DU46" s="1568"/>
      <c r="DV46" s="1568"/>
      <c r="DW46" s="1568"/>
      <c r="DX46" s="1570">
        <v>45252.47</v>
      </c>
      <c r="DY46" s="1568"/>
      <c r="DZ46" s="1568"/>
      <c r="EA46" s="1568"/>
      <c r="EB46" s="1568"/>
      <c r="EC46" s="1568"/>
      <c r="ED46" s="1568"/>
      <c r="EE46" s="1568"/>
      <c r="EF46" s="1568"/>
      <c r="EG46" s="1568"/>
      <c r="EH46" s="1568">
        <v>2805</v>
      </c>
      <c r="EI46" s="1568"/>
      <c r="EJ46" s="1568"/>
      <c r="EK46" s="1568"/>
      <c r="EL46" s="1568"/>
      <c r="EM46" s="1568"/>
      <c r="EN46" s="1568"/>
      <c r="EO46" s="1568"/>
      <c r="EP46" s="1568"/>
      <c r="EQ46" s="1568"/>
      <c r="ER46" s="1568"/>
      <c r="ES46" s="1568"/>
      <c r="ET46" s="1568"/>
      <c r="EU46" s="1568"/>
      <c r="EV46" s="1568"/>
      <c r="EW46" s="1568"/>
      <c r="EX46" s="1568"/>
      <c r="EY46" s="1568"/>
      <c r="EZ46" s="1568"/>
      <c r="FA46" s="1568">
        <v>10152</v>
      </c>
      <c r="FB46" s="1568"/>
      <c r="FC46" s="1568"/>
      <c r="FD46" s="1568"/>
      <c r="FE46" s="1568"/>
      <c r="FF46" s="1568"/>
      <c r="FG46" s="1568"/>
      <c r="FH46" s="1568"/>
      <c r="FI46" s="1568"/>
      <c r="FJ46" s="1568"/>
      <c r="FK46" s="1568"/>
      <c r="FL46" s="1568"/>
      <c r="FM46" s="1568"/>
      <c r="FN46" s="1568"/>
      <c r="FO46" s="1568"/>
      <c r="FP46" s="1568"/>
      <c r="FQ46" s="1568"/>
      <c r="FR46" s="1568"/>
      <c r="FS46" s="1568"/>
      <c r="FT46" s="1568"/>
      <c r="FU46" s="1568"/>
      <c r="FV46" s="1568"/>
      <c r="FW46" s="1568"/>
      <c r="FX46" s="1568"/>
      <c r="FY46" s="1568"/>
      <c r="FZ46" s="1568"/>
      <c r="GA46" s="1568"/>
      <c r="GB46" s="1568"/>
      <c r="GC46" s="1568"/>
      <c r="GD46" s="1568"/>
      <c r="GE46" s="1568"/>
      <c r="GF46" s="1568"/>
      <c r="GG46" s="1568"/>
      <c r="GH46" s="1568"/>
      <c r="GI46" s="1568"/>
      <c r="GJ46" s="1568"/>
      <c r="GK46" s="1568"/>
      <c r="GL46" s="1568"/>
      <c r="GM46" s="1568"/>
      <c r="GN46" s="1568"/>
      <c r="GO46" s="1568"/>
      <c r="GP46" s="1568"/>
      <c r="GQ46" s="1568"/>
      <c r="GR46" s="1568"/>
      <c r="GS46" s="1568"/>
      <c r="GT46" s="1568"/>
      <c r="GU46" s="1568"/>
      <c r="GV46" s="1568"/>
      <c r="GW46" s="1568"/>
      <c r="GX46" s="1568"/>
      <c r="GY46" s="1568"/>
      <c r="GZ46" s="1568"/>
      <c r="HA46" s="1568"/>
      <c r="HB46" s="1568"/>
      <c r="HC46" s="1568"/>
      <c r="HD46" s="1568"/>
      <c r="HE46" s="1568"/>
      <c r="HF46" s="1568"/>
      <c r="HG46" s="1568"/>
      <c r="HH46" s="1568"/>
      <c r="HI46" s="1568"/>
      <c r="HJ46" s="1568"/>
      <c r="HK46" s="1568"/>
      <c r="HL46" s="1568"/>
      <c r="HM46" s="1568"/>
      <c r="HN46" s="1568"/>
      <c r="HO46" s="1568"/>
      <c r="HP46" s="1568"/>
      <c r="HQ46" s="1568"/>
      <c r="HR46" s="1568"/>
      <c r="HS46" s="1568"/>
      <c r="HT46" s="1568"/>
      <c r="HU46" s="1568"/>
      <c r="HV46" s="1568"/>
      <c r="HW46" s="1568"/>
      <c r="HX46" s="1568"/>
      <c r="HY46" s="1568"/>
      <c r="HZ46" s="1568"/>
      <c r="IA46" s="1568"/>
      <c r="IB46" s="1568"/>
      <c r="IC46" s="1568"/>
      <c r="ID46" s="1568"/>
      <c r="IE46" s="1568"/>
      <c r="IF46" s="1568"/>
      <c r="IG46" s="1568"/>
      <c r="IH46" s="1568"/>
      <c r="II46" s="1568"/>
      <c r="IJ46" s="1568"/>
      <c r="IK46" s="1568"/>
      <c r="IL46" s="1568"/>
      <c r="IM46" s="1568"/>
      <c r="IN46" s="1568"/>
      <c r="IO46" s="1568"/>
      <c r="IP46" s="1568"/>
      <c r="IQ46" s="1584"/>
      <c r="IR46" s="1568"/>
      <c r="IS46" s="1568"/>
      <c r="IT46" s="1584"/>
      <c r="IU46" s="1568"/>
      <c r="IV46" s="1568"/>
      <c r="IW46" s="1568"/>
      <c r="IX46" s="1568"/>
      <c r="IY46" s="1568"/>
      <c r="IZ46" s="1568"/>
      <c r="JA46" s="1568"/>
      <c r="JB46" s="1568"/>
      <c r="JC46" s="1568"/>
      <c r="JD46" s="1568"/>
      <c r="JE46" s="1568"/>
      <c r="JF46" s="1568"/>
      <c r="JG46" s="1568"/>
      <c r="JH46" s="1568"/>
      <c r="JI46" s="1584"/>
      <c r="JJ46" s="1568"/>
      <c r="JK46" s="1584"/>
      <c r="JL46" s="1584"/>
      <c r="JM46" s="1584"/>
      <c r="JN46" s="1568"/>
      <c r="JO46" s="1584"/>
      <c r="JP46" s="1584"/>
      <c r="JQ46" s="1585"/>
      <c r="JR46" s="351"/>
      <c r="JS46" s="1400" t="s">
        <v>3588</v>
      </c>
      <c r="JT46" s="450" t="s">
        <v>2242</v>
      </c>
    </row>
    <row r="47" spans="1:280" ht="12.5" x14ac:dyDescent="0.25">
      <c r="A47" s="1367">
        <v>17</v>
      </c>
      <c r="B47" s="1574" t="str">
        <f>IF(PS_B_IND&gt;1,IF(HLOOKUP(PS_B_IND-1,FPS_RANGE,A47)="","",HLOOKUP(PS_B_IND-1,FPS_RANGE,A47)),"")</f>
        <v/>
      </c>
      <c r="C47" s="1435" t="s">
        <v>3589</v>
      </c>
      <c r="D47" s="1436" t="s">
        <v>3509</v>
      </c>
      <c r="E47" s="1590"/>
      <c r="F47" s="1590"/>
      <c r="G47" s="1590"/>
      <c r="H47" s="1590"/>
      <c r="I47" s="1590"/>
      <c r="J47" s="1590"/>
      <c r="K47" s="1590"/>
      <c r="L47" s="1590"/>
      <c r="M47" s="1590"/>
      <c r="N47" s="1590"/>
      <c r="O47" s="1590"/>
      <c r="P47" s="1590"/>
      <c r="Q47" s="1590"/>
      <c r="R47" s="1590"/>
      <c r="S47" s="1590"/>
      <c r="T47" s="1590"/>
      <c r="U47" s="1590"/>
      <c r="V47" s="1590"/>
      <c r="W47" s="1590"/>
      <c r="X47" s="1590"/>
      <c r="Y47" s="1590"/>
      <c r="Z47" s="1590"/>
      <c r="AA47" s="1590"/>
      <c r="AB47" s="1590"/>
      <c r="AC47" s="1590"/>
      <c r="AD47" s="1590"/>
      <c r="AE47" s="1590"/>
      <c r="AF47" s="1590"/>
      <c r="AG47" s="1590"/>
      <c r="AH47" s="1590"/>
      <c r="AI47" s="1590"/>
      <c r="AJ47" s="1590"/>
      <c r="AK47" s="1590"/>
      <c r="AL47" s="1590"/>
      <c r="AM47" s="1590"/>
      <c r="AN47" s="1590"/>
      <c r="AO47" s="1590"/>
      <c r="AP47" s="1590"/>
      <c r="AQ47" s="1590"/>
      <c r="AR47" s="1590"/>
      <c r="AS47" s="1590"/>
      <c r="AT47" s="1590"/>
      <c r="AU47" s="1590"/>
      <c r="AV47" s="1590"/>
      <c r="AW47" s="1590"/>
      <c r="AX47" s="1590"/>
      <c r="AY47" s="1590"/>
      <c r="AZ47" s="1590"/>
      <c r="BA47" s="1590"/>
      <c r="BB47" s="1590">
        <f>MAX(0,BB43-BB46)</f>
        <v>0</v>
      </c>
      <c r="BC47" s="1590">
        <f>MAX(0,BC43-BC46)</f>
        <v>62952</v>
      </c>
      <c r="BD47" s="1590"/>
      <c r="BE47" s="1590"/>
      <c r="BF47" s="1590"/>
      <c r="BG47" s="1590"/>
      <c r="BH47" s="1590"/>
      <c r="BI47" s="1590"/>
      <c r="BJ47" s="1590"/>
      <c r="BK47" s="1590"/>
      <c r="BL47" s="1590"/>
      <c r="BM47" s="1590"/>
      <c r="BN47" s="1590"/>
      <c r="BO47" s="1590"/>
      <c r="BP47" s="1590"/>
      <c r="BQ47" s="1590"/>
      <c r="BR47" s="1590"/>
      <c r="BS47" s="1590"/>
      <c r="BT47" s="1590"/>
      <c r="BU47" s="1590"/>
      <c r="BV47" s="1590"/>
      <c r="BW47" s="1590"/>
      <c r="BX47" s="1590"/>
      <c r="BY47" s="1590"/>
      <c r="BZ47" s="1590"/>
      <c r="CA47" s="1590"/>
      <c r="CB47" s="1590">
        <f>MAX(0,CB43-CB45-CB46)</f>
        <v>58425</v>
      </c>
      <c r="CC47" s="1590">
        <f>MAX(0,CC43-CC45-CC46)</f>
        <v>269988</v>
      </c>
      <c r="CD47" s="1590">
        <f>MAX(0,CD43-CD45-CD46)</f>
        <v>5446</v>
      </c>
      <c r="CE47" s="1590"/>
      <c r="CF47" s="1590"/>
      <c r="CG47" s="1590"/>
      <c r="CH47" s="1590"/>
      <c r="CI47" s="1590">
        <f>MAX(0,CI43-CI45-CI46)</f>
        <v>120817</v>
      </c>
      <c r="CJ47" s="1572">
        <f>MAX(0,CJ43-CJ45-CJ46)</f>
        <v>241484</v>
      </c>
      <c r="CK47" s="1590">
        <f>MAX(0,CK43-CK46)</f>
        <v>30200</v>
      </c>
      <c r="CL47" s="1590"/>
      <c r="CM47" s="1590"/>
      <c r="CN47" s="1590"/>
      <c r="CO47" s="1590"/>
      <c r="CP47" s="1590">
        <f>MAX(0,CP43-CP46)</f>
        <v>62583</v>
      </c>
      <c r="CQ47" s="1590"/>
      <c r="CR47" s="1590"/>
      <c r="CS47" s="1590"/>
      <c r="CT47" s="1590"/>
      <c r="CU47" s="1590"/>
      <c r="CV47" s="1590"/>
      <c r="CW47" s="1590"/>
      <c r="CX47" s="1590"/>
      <c r="CY47" s="1590">
        <f>MAX(0,CY43-CY46)</f>
        <v>95450</v>
      </c>
      <c r="CZ47" s="1590">
        <f>MAX(0,CZ43-CZ46)</f>
        <v>188665</v>
      </c>
      <c r="DA47" s="1590">
        <f>MAX(0,DA43-DA46)</f>
        <v>188665</v>
      </c>
      <c r="DB47" s="1590"/>
      <c r="DC47" s="1590"/>
      <c r="DD47" s="1590"/>
      <c r="DE47" s="1590"/>
      <c r="DF47" s="1590"/>
      <c r="DG47" s="1590"/>
      <c r="DH47" s="1590">
        <v>0</v>
      </c>
      <c r="DI47" s="1590"/>
      <c r="DJ47" s="1572">
        <f>MAX(0,DJ43-DJ46)</f>
        <v>10242</v>
      </c>
      <c r="DK47" s="1572"/>
      <c r="DL47" s="1572"/>
      <c r="DM47" s="1572">
        <f>MAX(0,DM43-DM46)</f>
        <v>105754</v>
      </c>
      <c r="DN47" s="1590"/>
      <c r="DO47" s="1590"/>
      <c r="DP47" s="1590"/>
      <c r="DQ47" s="1590"/>
      <c r="DR47" s="1590"/>
      <c r="DS47" s="1590"/>
      <c r="DT47" s="1590"/>
      <c r="DU47" s="1590"/>
      <c r="DV47" s="1590"/>
      <c r="DW47" s="1590"/>
      <c r="DX47" s="1572">
        <v>8123.53</v>
      </c>
      <c r="DY47" s="1572">
        <f>MAX(0,DY43-DY46)</f>
        <v>3841</v>
      </c>
      <c r="DZ47" s="1590"/>
      <c r="EA47" s="1590"/>
      <c r="EB47" s="1590"/>
      <c r="EC47" s="1590"/>
      <c r="ED47" s="1590"/>
      <c r="EE47" s="1590"/>
      <c r="EF47" s="1590"/>
      <c r="EG47" s="1590"/>
      <c r="EH47" s="1590">
        <f>MAX(0,EH43-EH46)</f>
        <v>12710</v>
      </c>
      <c r="EI47" s="1590">
        <f>MAX(0,EI43-EI46)</f>
        <v>11023</v>
      </c>
      <c r="EJ47" s="1590"/>
      <c r="EK47" s="1590"/>
      <c r="EL47" s="1590"/>
      <c r="EM47" s="1590"/>
      <c r="EN47" s="1590"/>
      <c r="EO47" s="1590"/>
      <c r="EP47" s="1590"/>
      <c r="EQ47" s="1590"/>
      <c r="ER47" s="1590"/>
      <c r="ES47" s="1590"/>
      <c r="ET47" s="1590"/>
      <c r="EU47" s="1590"/>
      <c r="EV47" s="1590"/>
      <c r="EW47" s="1590"/>
      <c r="EX47" s="1590"/>
      <c r="EY47" s="1590"/>
      <c r="EZ47" s="1590"/>
      <c r="FA47" s="1590">
        <f>MAX(0,FA43-FA46)</f>
        <v>95450</v>
      </c>
      <c r="FB47" s="1590"/>
      <c r="FC47" s="1590"/>
      <c r="FD47" s="1590"/>
      <c r="FE47" s="1590"/>
      <c r="FF47" s="1590"/>
      <c r="FG47" s="1590"/>
      <c r="FH47" s="1590"/>
      <c r="FI47" s="1590"/>
      <c r="FJ47" s="1590"/>
      <c r="FK47" s="1590">
        <f>MAX(0,FK43-FK46)</f>
        <v>188665</v>
      </c>
      <c r="FL47" s="1590"/>
      <c r="FM47" s="1590"/>
      <c r="FN47" s="1590"/>
      <c r="FO47" s="1572">
        <f>MAX(0,FO43-FO46)</f>
        <v>109826</v>
      </c>
      <c r="FP47" s="1590"/>
      <c r="FQ47" s="1590"/>
      <c r="FR47" s="1590"/>
      <c r="FS47" s="1590"/>
      <c r="FT47" s="1590"/>
      <c r="FU47" s="1590"/>
      <c r="FV47" s="1572">
        <f>MAX(0,FV43-FV46)</f>
        <v>73975</v>
      </c>
      <c r="FW47" s="1590"/>
      <c r="FX47" s="1590"/>
      <c r="FY47" s="1590"/>
      <c r="FZ47" s="1590"/>
      <c r="GA47" s="1590"/>
      <c r="GB47" s="1590"/>
      <c r="GC47" s="1590"/>
      <c r="GD47" s="1590"/>
      <c r="GE47" s="1590"/>
      <c r="GF47" s="1590"/>
      <c r="GG47" s="1590"/>
      <c r="GH47" s="1590"/>
      <c r="GI47" s="1590"/>
      <c r="GJ47" s="1590"/>
      <c r="GK47" s="1590"/>
      <c r="GL47" s="1590"/>
      <c r="GM47" s="1590"/>
      <c r="GN47" s="1590"/>
      <c r="GO47" s="1590"/>
      <c r="GP47" s="1590"/>
      <c r="GQ47" s="1590"/>
      <c r="GR47" s="1590"/>
      <c r="GS47" s="1590"/>
      <c r="GT47" s="1590"/>
      <c r="GU47" s="1590"/>
      <c r="GV47" s="1590"/>
      <c r="GW47" s="1572">
        <f>MAX(0,GW43-GW46)</f>
        <v>60019</v>
      </c>
      <c r="GX47" s="1590"/>
      <c r="GY47" s="1590">
        <f>MAX(0,GY43-GY46)</f>
        <v>0</v>
      </c>
      <c r="GZ47" s="1590"/>
      <c r="HA47" s="1590"/>
      <c r="HB47" s="1590"/>
      <c r="HC47" s="1590"/>
      <c r="HD47" s="1590"/>
      <c r="HE47" s="1590">
        <f>MAX(0,HE43-HE46)</f>
        <v>490000</v>
      </c>
      <c r="HF47" s="1590"/>
      <c r="HG47" s="1590"/>
      <c r="HH47" s="1590"/>
      <c r="HI47" s="1590"/>
      <c r="HJ47" s="1590"/>
      <c r="HK47" s="1590"/>
      <c r="HL47" s="1572">
        <f>MAX(0,HL43-HL46)</f>
        <v>348723</v>
      </c>
      <c r="HM47" s="1590"/>
      <c r="HN47" s="1590"/>
      <c r="HO47" s="1590"/>
      <c r="HP47" s="1590"/>
      <c r="HQ47" s="1590"/>
      <c r="HR47" s="1590"/>
      <c r="HS47" s="1590"/>
      <c r="HT47" s="1590"/>
      <c r="HU47" s="1590"/>
      <c r="HV47" s="1590"/>
      <c r="HW47" s="1590"/>
      <c r="HX47" s="1590"/>
      <c r="HY47" s="1590"/>
      <c r="HZ47" s="1590"/>
      <c r="IA47" s="1590"/>
      <c r="IB47" s="1590"/>
      <c r="IC47" s="1590"/>
      <c r="ID47" s="1590"/>
      <c r="IE47" s="1590"/>
      <c r="IF47" s="1590"/>
      <c r="IG47" s="1590"/>
      <c r="IH47" s="1590"/>
      <c r="II47" s="1590"/>
      <c r="IJ47" s="1590"/>
      <c r="IK47" s="1590"/>
      <c r="IL47" s="1590"/>
      <c r="IM47" s="1590"/>
      <c r="IN47" s="1590"/>
      <c r="IO47" s="1590">
        <f>MAX(0,IO43-IO46)</f>
        <v>0</v>
      </c>
      <c r="IP47" s="1590"/>
      <c r="IQ47" s="1590">
        <f>MAX(0,IQ43-IQ46)</f>
        <v>104753</v>
      </c>
      <c r="IR47" s="1590"/>
      <c r="IS47" s="1590"/>
      <c r="IT47" s="1590">
        <f>MAX(0,IT43-IT46)</f>
        <v>228329</v>
      </c>
      <c r="IU47" s="1590"/>
      <c r="IV47" s="1590"/>
      <c r="IW47" s="1590"/>
      <c r="IX47" s="1590"/>
      <c r="IY47" s="1590"/>
      <c r="IZ47" s="1590"/>
      <c r="JA47" s="1590"/>
      <c r="JB47" s="1590">
        <f>MAX(0,JB43-JB46)</f>
        <v>62952</v>
      </c>
      <c r="JC47" s="1590"/>
      <c r="JD47" s="1590"/>
      <c r="JE47" s="1590"/>
      <c r="JF47" s="1590"/>
      <c r="JG47" s="1590"/>
      <c r="JH47" s="1590"/>
      <c r="JI47" s="1590">
        <f>MAX(0,JI43-JI46)</f>
        <v>87710</v>
      </c>
      <c r="JJ47" s="1590"/>
      <c r="JK47" s="1590"/>
      <c r="JL47" s="1590"/>
      <c r="JM47" s="1590">
        <f>MAX(0,JM43-JM46)</f>
        <v>5622</v>
      </c>
      <c r="JN47" s="1590"/>
      <c r="JO47" s="1590"/>
      <c r="JP47" s="1590"/>
      <c r="JQ47" s="1590"/>
      <c r="JR47" s="351"/>
      <c r="JS47" s="1400" t="s">
        <v>3590</v>
      </c>
      <c r="JT47" s="450" t="s">
        <v>2224</v>
      </c>
    </row>
    <row r="48" spans="1:280" ht="12.5" x14ac:dyDescent="0.25">
      <c r="A48" s="1367">
        <v>18</v>
      </c>
      <c r="B48" s="1574" t="str">
        <f>IF(PS_B_IND&gt;1,IF(HLOOKUP(PS_B_IND-1,FPS_RANGE,A48)="","",HLOOKUP(PS_B_IND-1,FPS_RANGE,A48)),"")</f>
        <v/>
      </c>
      <c r="C48" s="1435" t="s">
        <v>3591</v>
      </c>
      <c r="D48" s="1436" t="s">
        <v>3512</v>
      </c>
      <c r="E48" s="1568"/>
      <c r="F48" s="1568"/>
      <c r="G48" s="1568"/>
      <c r="H48" s="1568"/>
      <c r="I48" s="1568"/>
      <c r="J48" s="1568"/>
      <c r="K48" s="1568"/>
      <c r="L48" s="1568"/>
      <c r="M48" s="1568"/>
      <c r="N48" s="1568"/>
      <c r="O48" s="1568"/>
      <c r="P48" s="1568"/>
      <c r="Q48" s="1568"/>
      <c r="R48" s="1568"/>
      <c r="S48" s="1568"/>
      <c r="T48" s="1568"/>
      <c r="U48" s="1568"/>
      <c r="V48" s="1568"/>
      <c r="W48" s="1568"/>
      <c r="X48" s="1568"/>
      <c r="Y48" s="1568"/>
      <c r="Z48" s="1568"/>
      <c r="AA48" s="1568"/>
      <c r="AB48" s="1568"/>
      <c r="AC48" s="1568"/>
      <c r="AD48" s="1568"/>
      <c r="AE48" s="1568"/>
      <c r="AF48" s="1568"/>
      <c r="AG48" s="1568"/>
      <c r="AH48" s="1568"/>
      <c r="AI48" s="1568"/>
      <c r="AJ48" s="1568"/>
      <c r="AK48" s="1568"/>
      <c r="AL48" s="1568"/>
      <c r="AM48" s="1568"/>
      <c r="AN48" s="1568"/>
      <c r="AO48" s="1568"/>
      <c r="AP48" s="1568"/>
      <c r="AQ48" s="1568"/>
      <c r="AR48" s="1568"/>
      <c r="AS48" s="1568"/>
      <c r="AT48" s="1568"/>
      <c r="AU48" s="1568"/>
      <c r="AV48" s="1568"/>
      <c r="AW48" s="1568"/>
      <c r="AX48" s="1568"/>
      <c r="AY48" s="1568"/>
      <c r="AZ48" s="1568"/>
      <c r="BA48" s="1568"/>
      <c r="BB48" s="1568"/>
      <c r="BC48" s="1568"/>
      <c r="BD48" s="1568"/>
      <c r="BE48" s="1568"/>
      <c r="BF48" s="1568"/>
      <c r="BG48" s="1568"/>
      <c r="BH48" s="1568"/>
      <c r="BI48" s="1568"/>
      <c r="BJ48" s="1568"/>
      <c r="BK48" s="1568"/>
      <c r="BL48" s="1568"/>
      <c r="BM48" s="1568"/>
      <c r="BN48" s="1568"/>
      <c r="BO48" s="1568"/>
      <c r="BP48" s="1568"/>
      <c r="BQ48" s="1568"/>
      <c r="BR48" s="1568"/>
      <c r="BS48" s="1568"/>
      <c r="BT48" s="1568"/>
      <c r="BU48" s="1568"/>
      <c r="BV48" s="1568"/>
      <c r="BW48" s="1568"/>
      <c r="BX48" s="1568"/>
      <c r="BY48" s="1568"/>
      <c r="BZ48" s="1568"/>
      <c r="CA48" s="1568"/>
      <c r="CB48" s="1568"/>
      <c r="CC48" s="1568"/>
      <c r="CD48" s="1568"/>
      <c r="CE48" s="1568"/>
      <c r="CF48" s="1568"/>
      <c r="CG48" s="1568"/>
      <c r="CH48" s="1568"/>
      <c r="CI48" s="1568"/>
      <c r="CJ48" s="1568"/>
      <c r="CK48" s="1568"/>
      <c r="CL48" s="1568"/>
      <c r="CM48" s="1568"/>
      <c r="CN48" s="1568"/>
      <c r="CO48" s="1568"/>
      <c r="CP48" s="1568"/>
      <c r="CQ48" s="1568"/>
      <c r="CR48" s="1568"/>
      <c r="CS48" s="1568"/>
      <c r="CT48" s="1568"/>
      <c r="CU48" s="1568"/>
      <c r="CV48" s="1568"/>
      <c r="CW48" s="1568"/>
      <c r="CX48" s="1568"/>
      <c r="CY48" s="1568">
        <v>1126</v>
      </c>
      <c r="CZ48" s="1568"/>
      <c r="DA48" s="1568"/>
      <c r="DB48" s="1568"/>
      <c r="DC48" s="1568"/>
      <c r="DD48" s="1568"/>
      <c r="DE48" s="1568"/>
      <c r="DF48" s="1568"/>
      <c r="DG48" s="1568"/>
      <c r="DH48" s="1568"/>
      <c r="DI48" s="1568"/>
      <c r="DJ48" s="1568"/>
      <c r="DK48" s="1568"/>
      <c r="DL48" s="1568"/>
      <c r="DM48" s="1570"/>
      <c r="DN48" s="1568"/>
      <c r="DO48" s="1568"/>
      <c r="DP48" s="1568"/>
      <c r="DQ48" s="1568"/>
      <c r="DR48" s="1568"/>
      <c r="DS48" s="1568"/>
      <c r="DT48" s="1568"/>
      <c r="DU48" s="1568"/>
      <c r="DV48" s="1568"/>
      <c r="DW48" s="1568"/>
      <c r="DX48" s="1568"/>
      <c r="DY48" s="1568"/>
      <c r="DZ48" s="1568"/>
      <c r="EA48" s="1568"/>
      <c r="EB48" s="1568"/>
      <c r="EC48" s="1568"/>
      <c r="ED48" s="1568"/>
      <c r="EE48" s="1568"/>
      <c r="EF48" s="1568"/>
      <c r="EG48" s="1568"/>
      <c r="EH48" s="1568"/>
      <c r="EI48" s="1568"/>
      <c r="EJ48" s="1568"/>
      <c r="EK48" s="1568"/>
      <c r="EL48" s="1568"/>
      <c r="EM48" s="1568"/>
      <c r="EN48" s="1568"/>
      <c r="EO48" s="1568"/>
      <c r="EP48" s="1568"/>
      <c r="EQ48" s="1568"/>
      <c r="ER48" s="1568"/>
      <c r="ES48" s="1568"/>
      <c r="ET48" s="1568"/>
      <c r="EU48" s="1568"/>
      <c r="EV48" s="1568"/>
      <c r="EW48" s="1568"/>
      <c r="EX48" s="1568"/>
      <c r="EY48" s="1568"/>
      <c r="EZ48" s="1568"/>
      <c r="FA48" s="1568">
        <v>1126</v>
      </c>
      <c r="FB48" s="1568"/>
      <c r="FC48" s="1568"/>
      <c r="FD48" s="1568"/>
      <c r="FE48" s="1568"/>
      <c r="FF48" s="1568"/>
      <c r="FG48" s="1568"/>
      <c r="FH48" s="1568"/>
      <c r="FI48" s="1568"/>
      <c r="FJ48" s="1568"/>
      <c r="FK48" s="1568"/>
      <c r="FL48" s="1568"/>
      <c r="FM48" s="1568"/>
      <c r="FN48" s="1568"/>
      <c r="FO48" s="1568"/>
      <c r="FP48" s="1568"/>
      <c r="FQ48" s="1568"/>
      <c r="FR48" s="1568"/>
      <c r="FS48" s="1568"/>
      <c r="FT48" s="1568"/>
      <c r="FU48" s="1568"/>
      <c r="FV48" s="1568"/>
      <c r="FW48" s="1568"/>
      <c r="FX48" s="1568"/>
      <c r="FY48" s="1568"/>
      <c r="FZ48" s="1568"/>
      <c r="GA48" s="1568"/>
      <c r="GB48" s="1568"/>
      <c r="GC48" s="1568"/>
      <c r="GD48" s="1568"/>
      <c r="GE48" s="1568"/>
      <c r="GF48" s="1568"/>
      <c r="GG48" s="1568"/>
      <c r="GH48" s="1568"/>
      <c r="GI48" s="1568"/>
      <c r="GJ48" s="1568"/>
      <c r="GK48" s="1568"/>
      <c r="GL48" s="1568"/>
      <c r="GM48" s="1568"/>
      <c r="GN48" s="1568"/>
      <c r="GO48" s="1568"/>
      <c r="GP48" s="1568"/>
      <c r="GQ48" s="1568"/>
      <c r="GR48" s="1568"/>
      <c r="GS48" s="1568"/>
      <c r="GT48" s="1568"/>
      <c r="GU48" s="1568"/>
      <c r="GV48" s="1568"/>
      <c r="GW48" s="1568"/>
      <c r="GX48" s="1568"/>
      <c r="GY48" s="1568"/>
      <c r="GZ48" s="1568"/>
      <c r="HA48" s="1568"/>
      <c r="HB48" s="1568"/>
      <c r="HC48" s="1568"/>
      <c r="HD48" s="1568"/>
      <c r="HE48" s="1568"/>
      <c r="HF48" s="1568"/>
      <c r="HG48" s="1568"/>
      <c r="HH48" s="1568"/>
      <c r="HI48" s="1568"/>
      <c r="HJ48" s="1568"/>
      <c r="HK48" s="1568"/>
      <c r="HL48" s="1568"/>
      <c r="HM48" s="1568"/>
      <c r="HN48" s="1568"/>
      <c r="HO48" s="1568"/>
      <c r="HP48" s="1568"/>
      <c r="HQ48" s="1568"/>
      <c r="HR48" s="1568"/>
      <c r="HS48" s="1568"/>
      <c r="HT48" s="1568"/>
      <c r="HU48" s="1568"/>
      <c r="HV48" s="1568"/>
      <c r="HW48" s="1568"/>
      <c r="HX48" s="1568"/>
      <c r="HY48" s="1568"/>
      <c r="HZ48" s="1568"/>
      <c r="IA48" s="1568"/>
      <c r="IB48" s="1568"/>
      <c r="IC48" s="1568"/>
      <c r="ID48" s="1568"/>
      <c r="IE48" s="1568"/>
      <c r="IF48" s="1568"/>
      <c r="IG48" s="1568"/>
      <c r="IH48" s="1568"/>
      <c r="II48" s="1568"/>
      <c r="IJ48" s="1568"/>
      <c r="IK48" s="1568"/>
      <c r="IL48" s="1568"/>
      <c r="IM48" s="1568"/>
      <c r="IN48" s="1568"/>
      <c r="IO48" s="1568"/>
      <c r="IP48" s="1568"/>
      <c r="IQ48" s="1568"/>
      <c r="IR48" s="1568"/>
      <c r="IS48" s="1568"/>
      <c r="IT48" s="1568"/>
      <c r="IU48" s="1568"/>
      <c r="IV48" s="1568"/>
      <c r="IW48" s="1568"/>
      <c r="IX48" s="1568"/>
      <c r="IY48" s="1568"/>
      <c r="IZ48" s="1568"/>
      <c r="JA48" s="1568"/>
      <c r="JB48" s="1568"/>
      <c r="JC48" s="1568"/>
      <c r="JD48" s="1568"/>
      <c r="JE48" s="1568"/>
      <c r="JF48" s="1568"/>
      <c r="JG48" s="1568"/>
      <c r="JH48" s="1568"/>
      <c r="JI48" s="1568"/>
      <c r="JJ48" s="1568"/>
      <c r="JK48" s="1568"/>
      <c r="JL48" s="1568"/>
      <c r="JM48" s="1568"/>
      <c r="JN48" s="1568"/>
      <c r="JO48" s="1568"/>
      <c r="JP48" s="1568"/>
      <c r="JQ48" s="1568"/>
      <c r="JR48" s="351"/>
      <c r="JS48" s="1400"/>
      <c r="JT48" s="450" t="s">
        <v>2242</v>
      </c>
    </row>
    <row r="49" spans="1:280" ht="12.5" x14ac:dyDescent="0.25">
      <c r="A49" s="1367">
        <v>19</v>
      </c>
      <c r="B49" s="1574" t="str">
        <f>IF(PS_B_IND&gt;1,IF(HLOOKUP(PS_B_IND-1,FPS_RANGE,A49)="","",HLOOKUP(PS_B_IND-1,FPS_RANGE,A49)),"")</f>
        <v/>
      </c>
      <c r="C49" s="1435" t="s">
        <v>3592</v>
      </c>
      <c r="D49" s="1436" t="s">
        <v>2996</v>
      </c>
      <c r="E49" s="1590"/>
      <c r="F49" s="1590"/>
      <c r="G49" s="1590"/>
      <c r="H49" s="1590"/>
      <c r="I49" s="1590"/>
      <c r="J49" s="1590"/>
      <c r="K49" s="1590"/>
      <c r="L49" s="1590"/>
      <c r="M49" s="1590"/>
      <c r="N49" s="1590"/>
      <c r="O49" s="1590"/>
      <c r="P49" s="1590"/>
      <c r="Q49" s="1590"/>
      <c r="R49" s="1590"/>
      <c r="S49" s="1590"/>
      <c r="T49" s="1590"/>
      <c r="U49" s="1590"/>
      <c r="V49" s="1590"/>
      <c r="W49" s="1590"/>
      <c r="X49" s="1590"/>
      <c r="Y49" s="1590"/>
      <c r="Z49" s="1590"/>
      <c r="AA49" s="1590"/>
      <c r="AB49" s="1590"/>
      <c r="AC49" s="1590"/>
      <c r="AD49" s="1590"/>
      <c r="AE49" s="1590"/>
      <c r="AF49" s="1590"/>
      <c r="AG49" s="1590"/>
      <c r="AH49" s="1590"/>
      <c r="AI49" s="1590"/>
      <c r="AJ49" s="1590"/>
      <c r="AK49" s="1590"/>
      <c r="AL49" s="1590"/>
      <c r="AM49" s="1590"/>
      <c r="AN49" s="1590"/>
      <c r="AO49" s="1590"/>
      <c r="AP49" s="1590"/>
      <c r="AQ49" s="1590"/>
      <c r="AR49" s="1590"/>
      <c r="AS49" s="1590"/>
      <c r="AT49" s="1590"/>
      <c r="AU49" s="1590"/>
      <c r="AV49" s="1590"/>
      <c r="AW49" s="1590"/>
      <c r="AX49" s="1590"/>
      <c r="AY49" s="1590"/>
      <c r="AZ49" s="1590"/>
      <c r="BA49" s="1590"/>
      <c r="BB49" s="1590">
        <f>BB47+BB48</f>
        <v>0</v>
      </c>
      <c r="BC49" s="1590">
        <f>BC47+BC48</f>
        <v>62952</v>
      </c>
      <c r="BD49" s="1590"/>
      <c r="BE49" s="1590"/>
      <c r="BF49" s="1590"/>
      <c r="BG49" s="1590"/>
      <c r="BH49" s="1590"/>
      <c r="BI49" s="1590"/>
      <c r="BJ49" s="1590"/>
      <c r="BK49" s="1590"/>
      <c r="BL49" s="1590"/>
      <c r="BM49" s="1590"/>
      <c r="BN49" s="1590"/>
      <c r="BO49" s="1590"/>
      <c r="BP49" s="1590"/>
      <c r="BQ49" s="1590"/>
      <c r="BR49" s="1590"/>
      <c r="BS49" s="1590"/>
      <c r="BT49" s="1590"/>
      <c r="BU49" s="1590"/>
      <c r="BV49" s="1590"/>
      <c r="BW49" s="1590"/>
      <c r="BX49" s="1590"/>
      <c r="BY49" s="1590"/>
      <c r="BZ49" s="1590"/>
      <c r="CA49" s="1590"/>
      <c r="CB49" s="1590">
        <f>CB47+CB48</f>
        <v>58425</v>
      </c>
      <c r="CC49" s="1590">
        <f>CC47+CC48</f>
        <v>269988</v>
      </c>
      <c r="CD49" s="1590">
        <f>CD47+CD48</f>
        <v>5446</v>
      </c>
      <c r="CE49" s="1590"/>
      <c r="CF49" s="1590"/>
      <c r="CG49" s="1590"/>
      <c r="CH49" s="1590"/>
      <c r="CI49" s="1590">
        <f t="shared" ref="CI49:CJ49" si="22">CI47+CI48</f>
        <v>120817</v>
      </c>
      <c r="CJ49" s="1572">
        <f t="shared" si="22"/>
        <v>241484</v>
      </c>
      <c r="CK49" s="1590">
        <f>CK47+CK48</f>
        <v>30200</v>
      </c>
      <c r="CL49" s="1590"/>
      <c r="CM49" s="1590"/>
      <c r="CN49" s="1590"/>
      <c r="CO49" s="1590"/>
      <c r="CP49" s="1590">
        <f>CP47+CP48</f>
        <v>62583</v>
      </c>
      <c r="CQ49" s="1590"/>
      <c r="CR49" s="1590"/>
      <c r="CS49" s="1590"/>
      <c r="CT49" s="1590"/>
      <c r="CU49" s="1590"/>
      <c r="CV49" s="1590"/>
      <c r="CW49" s="1590"/>
      <c r="CX49" s="1590"/>
      <c r="CY49" s="1590">
        <f>CY47+CY48</f>
        <v>96576</v>
      </c>
      <c r="CZ49" s="1590">
        <f>CZ47+CZ48</f>
        <v>188665</v>
      </c>
      <c r="DA49" s="1590">
        <f>DA47+DA48</f>
        <v>188665</v>
      </c>
      <c r="DB49" s="1590"/>
      <c r="DC49" s="1590"/>
      <c r="DD49" s="1590"/>
      <c r="DE49" s="1590"/>
      <c r="DF49" s="1590"/>
      <c r="DG49" s="1590"/>
      <c r="DH49" s="1590">
        <v>0</v>
      </c>
      <c r="DI49" s="1590"/>
      <c r="DJ49" s="1572">
        <f>DJ47+DJ48</f>
        <v>10242</v>
      </c>
      <c r="DK49" s="1590"/>
      <c r="DL49" s="1590"/>
      <c r="DM49" s="1572">
        <f>DM47+DM48</f>
        <v>105754</v>
      </c>
      <c r="DN49" s="1590"/>
      <c r="DO49" s="1590"/>
      <c r="DP49" s="1590"/>
      <c r="DQ49" s="1590"/>
      <c r="DR49" s="1590"/>
      <c r="DS49" s="1590"/>
      <c r="DT49" s="1590"/>
      <c r="DU49" s="1590"/>
      <c r="DV49" s="1590"/>
      <c r="DW49" s="1590"/>
      <c r="DX49" s="1572">
        <f>DX47+DX48</f>
        <v>8123.53</v>
      </c>
      <c r="DY49" s="1572">
        <f>DY47+DY48</f>
        <v>3841</v>
      </c>
      <c r="DZ49" s="1590"/>
      <c r="EA49" s="1590"/>
      <c r="EB49" s="1590"/>
      <c r="EC49" s="1590"/>
      <c r="ED49" s="1590"/>
      <c r="EE49" s="1590"/>
      <c r="EF49" s="1590"/>
      <c r="EG49" s="1590"/>
      <c r="EH49" s="1590">
        <f>EH47+EH48</f>
        <v>12710</v>
      </c>
      <c r="EI49" s="1590">
        <f>EI47+EI48</f>
        <v>11023</v>
      </c>
      <c r="EJ49" s="1590"/>
      <c r="EK49" s="1590"/>
      <c r="EL49" s="1590"/>
      <c r="EM49" s="1590"/>
      <c r="EN49" s="1590"/>
      <c r="EO49" s="1590"/>
      <c r="EP49" s="1590"/>
      <c r="EQ49" s="1590"/>
      <c r="ER49" s="1590"/>
      <c r="ES49" s="1590"/>
      <c r="ET49" s="1590"/>
      <c r="EU49" s="1590"/>
      <c r="EV49" s="1590"/>
      <c r="EW49" s="1590"/>
      <c r="EX49" s="1590"/>
      <c r="EY49" s="1590"/>
      <c r="EZ49" s="1590"/>
      <c r="FA49" s="1590">
        <f>FA47+FA48</f>
        <v>96576</v>
      </c>
      <c r="FB49" s="1590"/>
      <c r="FC49" s="1590"/>
      <c r="FD49" s="1590"/>
      <c r="FE49" s="1590"/>
      <c r="FF49" s="1590"/>
      <c r="FG49" s="1590"/>
      <c r="FH49" s="1590"/>
      <c r="FI49" s="1590"/>
      <c r="FJ49" s="1590"/>
      <c r="FK49" s="1590">
        <f>FK47+FK48</f>
        <v>188665</v>
      </c>
      <c r="FL49" s="1590"/>
      <c r="FM49" s="1590"/>
      <c r="FN49" s="1590"/>
      <c r="FO49" s="1572">
        <f>FO47+FO48</f>
        <v>109826</v>
      </c>
      <c r="FP49" s="1590"/>
      <c r="FQ49" s="1590"/>
      <c r="FR49" s="1590"/>
      <c r="FS49" s="1590"/>
      <c r="FT49" s="1590"/>
      <c r="FU49" s="1590"/>
      <c r="FV49" s="1572">
        <f>FV47+FV48</f>
        <v>73975</v>
      </c>
      <c r="FW49" s="1590"/>
      <c r="FX49" s="1590"/>
      <c r="FY49" s="1590"/>
      <c r="FZ49" s="1590"/>
      <c r="GA49" s="1590"/>
      <c r="GB49" s="1590"/>
      <c r="GC49" s="1590"/>
      <c r="GD49" s="1590"/>
      <c r="GE49" s="1590"/>
      <c r="GF49" s="1590"/>
      <c r="GG49" s="1590"/>
      <c r="GH49" s="1590"/>
      <c r="GI49" s="1590"/>
      <c r="GJ49" s="1590"/>
      <c r="GK49" s="1590"/>
      <c r="GL49" s="1590"/>
      <c r="GM49" s="1590"/>
      <c r="GN49" s="1590"/>
      <c r="GO49" s="1590"/>
      <c r="GP49" s="1590"/>
      <c r="GQ49" s="1590"/>
      <c r="GR49" s="1590"/>
      <c r="GS49" s="1590"/>
      <c r="GT49" s="1590"/>
      <c r="GU49" s="1590"/>
      <c r="GV49" s="1590"/>
      <c r="GW49" s="1572">
        <f>GW47+GW48</f>
        <v>60019</v>
      </c>
      <c r="GX49" s="1590"/>
      <c r="GY49" s="1590">
        <f>GY47+GY48</f>
        <v>0</v>
      </c>
      <c r="GZ49" s="1590"/>
      <c r="HA49" s="1590"/>
      <c r="HB49" s="1590"/>
      <c r="HC49" s="1590"/>
      <c r="HD49" s="1590"/>
      <c r="HE49" s="1590">
        <f>HE47+HE48</f>
        <v>490000</v>
      </c>
      <c r="HF49" s="1590"/>
      <c r="HG49" s="1590"/>
      <c r="HH49" s="1590"/>
      <c r="HI49" s="1590"/>
      <c r="HJ49" s="1590"/>
      <c r="HK49" s="1590"/>
      <c r="HL49" s="1572">
        <f>HL47+HL48</f>
        <v>348723</v>
      </c>
      <c r="HM49" s="1590"/>
      <c r="HN49" s="1590"/>
      <c r="HO49" s="1590"/>
      <c r="HP49" s="1590"/>
      <c r="HQ49" s="1590"/>
      <c r="HR49" s="1590"/>
      <c r="HS49" s="1590"/>
      <c r="HT49" s="1590"/>
      <c r="HU49" s="1590"/>
      <c r="HV49" s="1590"/>
      <c r="HW49" s="1590"/>
      <c r="HX49" s="1590"/>
      <c r="HY49" s="1590"/>
      <c r="HZ49" s="1590"/>
      <c r="IA49" s="1590"/>
      <c r="IB49" s="1590"/>
      <c r="IC49" s="1590"/>
      <c r="ID49" s="1590"/>
      <c r="IE49" s="1590"/>
      <c r="IF49" s="1590"/>
      <c r="IG49" s="1590"/>
      <c r="IH49" s="1590"/>
      <c r="II49" s="1590"/>
      <c r="IJ49" s="1590"/>
      <c r="IK49" s="1590"/>
      <c r="IL49" s="1590"/>
      <c r="IM49" s="1590"/>
      <c r="IN49" s="1590"/>
      <c r="IO49" s="1590">
        <f>IO47+IO48</f>
        <v>0</v>
      </c>
      <c r="IP49" s="1590"/>
      <c r="IQ49" s="1590">
        <f>IQ47+IQ48</f>
        <v>104753</v>
      </c>
      <c r="IR49" s="1590"/>
      <c r="IS49" s="1590"/>
      <c r="IT49" s="1590">
        <f>IT47+IT48</f>
        <v>228329</v>
      </c>
      <c r="IU49" s="1590"/>
      <c r="IV49" s="1590"/>
      <c r="IW49" s="1590"/>
      <c r="IX49" s="1590"/>
      <c r="IY49" s="1590"/>
      <c r="IZ49" s="1590"/>
      <c r="JA49" s="1590"/>
      <c r="JB49" s="1590">
        <f>JB47+JB48</f>
        <v>62952</v>
      </c>
      <c r="JC49" s="1590"/>
      <c r="JD49" s="1590"/>
      <c r="JE49" s="1590"/>
      <c r="JF49" s="1590"/>
      <c r="JG49" s="1590"/>
      <c r="JH49" s="1590"/>
      <c r="JI49" s="1590">
        <f>JI47+JI48</f>
        <v>87710</v>
      </c>
      <c r="JJ49" s="1590"/>
      <c r="JK49" s="1590"/>
      <c r="JL49" s="1590">
        <v>0</v>
      </c>
      <c r="JM49" s="1590">
        <f>JM47+JM48</f>
        <v>5622</v>
      </c>
      <c r="JN49" s="1590"/>
      <c r="JO49" s="1590"/>
      <c r="JP49" s="1590"/>
      <c r="JQ49" s="1590"/>
      <c r="JR49" s="351"/>
      <c r="JS49" s="1400" t="s">
        <v>3593</v>
      </c>
      <c r="JT49" s="450" t="s">
        <v>2224</v>
      </c>
    </row>
    <row r="50" spans="1:280" ht="12.5" x14ac:dyDescent="0.25">
      <c r="A50" s="1367">
        <v>20</v>
      </c>
      <c r="B50" s="1574" t="str">
        <f>IF(PS_B_IND&gt;1,IF(HLOOKUP(PS_B_IND-1,FPS_RANGE,A50)="","",HLOOKUP(PS_B_IND-1,FPS_RANGE,A50)),"")</f>
        <v/>
      </c>
      <c r="C50" s="1644" t="s">
        <v>3594</v>
      </c>
      <c r="D50" s="1539" t="s">
        <v>3252</v>
      </c>
      <c r="E50" s="1586"/>
      <c r="F50" s="1586"/>
      <c r="G50" s="1586"/>
      <c r="H50" s="1586"/>
      <c r="I50" s="1586"/>
      <c r="J50" s="1586"/>
      <c r="K50" s="1586"/>
      <c r="L50" s="1586"/>
      <c r="M50" s="1586"/>
      <c r="N50" s="1586"/>
      <c r="O50" s="1586"/>
      <c r="P50" s="1586"/>
      <c r="Q50" s="1586"/>
      <c r="R50" s="1586"/>
      <c r="S50" s="1586"/>
      <c r="T50" s="1586"/>
      <c r="U50" s="1586"/>
      <c r="V50" s="1586"/>
      <c r="W50" s="1586"/>
      <c r="X50" s="1586"/>
      <c r="Y50" s="1586"/>
      <c r="Z50" s="1586"/>
      <c r="AA50" s="1586"/>
      <c r="AB50" s="1586"/>
      <c r="AC50" s="1586"/>
      <c r="AD50" s="1586"/>
      <c r="AE50" s="1586"/>
      <c r="AF50" s="1586"/>
      <c r="AG50" s="1586"/>
      <c r="AH50" s="1586"/>
      <c r="AI50" s="1586"/>
      <c r="AJ50" s="1586"/>
      <c r="AK50" s="1586"/>
      <c r="AL50" s="1586"/>
      <c r="AM50" s="1586"/>
      <c r="AN50" s="1586"/>
      <c r="AO50" s="1586"/>
      <c r="AP50" s="1586"/>
      <c r="AQ50" s="1586"/>
      <c r="AR50" s="1586"/>
      <c r="AS50" s="1586"/>
      <c r="AT50" s="1586"/>
      <c r="AU50" s="1586"/>
      <c r="AV50" s="1586"/>
      <c r="AW50" s="1586"/>
      <c r="AX50" s="1586"/>
      <c r="AY50" s="1586"/>
      <c r="AZ50" s="1586"/>
      <c r="BA50" s="1586"/>
      <c r="BB50" s="1586"/>
      <c r="BC50" s="1586"/>
      <c r="BD50" s="1586"/>
      <c r="BE50" s="1586"/>
      <c r="BF50" s="1586"/>
      <c r="BG50" s="1586"/>
      <c r="BH50" s="1586"/>
      <c r="BI50" s="1586"/>
      <c r="BJ50" s="1586"/>
      <c r="BK50" s="1586"/>
      <c r="BL50" s="1586"/>
      <c r="BM50" s="1586"/>
      <c r="BN50" s="1586"/>
      <c r="BO50" s="1586"/>
      <c r="BP50" s="1586"/>
      <c r="BQ50" s="1586"/>
      <c r="BR50" s="1586"/>
      <c r="BS50" s="1586"/>
      <c r="BT50" s="1586"/>
      <c r="BU50" s="1586"/>
      <c r="BV50" s="1586"/>
      <c r="BW50" s="1586"/>
      <c r="BX50" s="1586"/>
      <c r="BY50" s="1586"/>
      <c r="BZ50" s="1586"/>
      <c r="CA50" s="1586"/>
      <c r="CB50" s="1586"/>
      <c r="CC50" s="1586"/>
      <c r="CD50" s="1586"/>
      <c r="CE50" s="1586"/>
      <c r="CF50" s="1586"/>
      <c r="CG50" s="1586"/>
      <c r="CH50" s="1586"/>
      <c r="CI50" s="1586"/>
      <c r="CJ50" s="1586"/>
      <c r="CK50" s="1586"/>
      <c r="CL50" s="1586"/>
      <c r="CM50" s="1586"/>
      <c r="CN50" s="1586"/>
      <c r="CO50" s="1586"/>
      <c r="CP50" s="1586"/>
      <c r="CQ50" s="1586"/>
      <c r="CR50" s="1586"/>
      <c r="CS50" s="1586"/>
      <c r="CT50" s="1586"/>
      <c r="CU50" s="1586"/>
      <c r="CV50" s="1586"/>
      <c r="CW50" s="1586"/>
      <c r="CX50" s="1586"/>
      <c r="CY50" s="1586"/>
      <c r="CZ50" s="1586"/>
      <c r="DA50" s="1586"/>
      <c r="DB50" s="1586"/>
      <c r="DC50" s="1586"/>
      <c r="DD50" s="1586"/>
      <c r="DE50" s="1586"/>
      <c r="DF50" s="1586"/>
      <c r="DG50" s="1586"/>
      <c r="DH50" s="1586"/>
      <c r="DI50" s="1586"/>
      <c r="DJ50" s="1586"/>
      <c r="DK50" s="1586"/>
      <c r="DL50" s="1586"/>
      <c r="DM50" s="1586"/>
      <c r="DN50" s="1586"/>
      <c r="DO50" s="1586"/>
      <c r="DP50" s="1586"/>
      <c r="DQ50" s="1586"/>
      <c r="DR50" s="1586"/>
      <c r="DS50" s="1586"/>
      <c r="DT50" s="1586"/>
      <c r="DU50" s="1586"/>
      <c r="DV50" s="1586"/>
      <c r="DW50" s="1586"/>
      <c r="DX50" s="1586"/>
      <c r="DY50" s="1586"/>
      <c r="DZ50" s="1586"/>
      <c r="EA50" s="1586"/>
      <c r="EB50" s="1586"/>
      <c r="EC50" s="1586"/>
      <c r="ED50" s="1586"/>
      <c r="EE50" s="1586"/>
      <c r="EF50" s="1586"/>
      <c r="EG50" s="1586"/>
      <c r="EH50" s="1586"/>
      <c r="EI50" s="1586"/>
      <c r="EJ50" s="1586"/>
      <c r="EK50" s="1586"/>
      <c r="EL50" s="1586"/>
      <c r="EM50" s="1586"/>
      <c r="EN50" s="1586"/>
      <c r="EO50" s="1586"/>
      <c r="EP50" s="1586"/>
      <c r="EQ50" s="1586"/>
      <c r="ER50" s="1586"/>
      <c r="ES50" s="1586"/>
      <c r="ET50" s="1586"/>
      <c r="EU50" s="1586"/>
      <c r="EV50" s="1586"/>
      <c r="EW50" s="1586"/>
      <c r="EX50" s="1586"/>
      <c r="EY50" s="1586"/>
      <c r="EZ50" s="1586"/>
      <c r="FA50" s="1586"/>
      <c r="FB50" s="1586"/>
      <c r="FC50" s="1586"/>
      <c r="FD50" s="1586"/>
      <c r="FE50" s="1586"/>
      <c r="FF50" s="1586"/>
      <c r="FG50" s="1586"/>
      <c r="FH50" s="1586"/>
      <c r="FI50" s="1586"/>
      <c r="FJ50" s="1586"/>
      <c r="FK50" s="1586"/>
      <c r="FL50" s="1586"/>
      <c r="FM50" s="1586"/>
      <c r="FN50" s="1586"/>
      <c r="FO50" s="1586"/>
      <c r="FP50" s="1586"/>
      <c r="FQ50" s="1586"/>
      <c r="FR50" s="1586"/>
      <c r="FS50" s="1586"/>
      <c r="FT50" s="1586"/>
      <c r="FU50" s="1586"/>
      <c r="FV50" s="1586"/>
      <c r="FW50" s="1586"/>
      <c r="FX50" s="1586"/>
      <c r="FY50" s="1586"/>
      <c r="FZ50" s="1586"/>
      <c r="GA50" s="1586"/>
      <c r="GB50" s="1586"/>
      <c r="GC50" s="1586"/>
      <c r="GD50" s="1586"/>
      <c r="GE50" s="1586"/>
      <c r="GF50" s="1586"/>
      <c r="GG50" s="1586"/>
      <c r="GH50" s="1586"/>
      <c r="GI50" s="1586"/>
      <c r="GJ50" s="1586"/>
      <c r="GK50" s="1586"/>
      <c r="GL50" s="1586"/>
      <c r="GM50" s="1586"/>
      <c r="GN50" s="1586"/>
      <c r="GO50" s="1586"/>
      <c r="GP50" s="1586"/>
      <c r="GQ50" s="1586"/>
      <c r="GR50" s="1586"/>
      <c r="GS50" s="1586"/>
      <c r="GT50" s="1586"/>
      <c r="GU50" s="1586"/>
      <c r="GV50" s="1586"/>
      <c r="GW50" s="1586"/>
      <c r="GX50" s="1586"/>
      <c r="GY50" s="1586"/>
      <c r="GZ50" s="1586"/>
      <c r="HA50" s="1586"/>
      <c r="HB50" s="1586"/>
      <c r="HC50" s="1586"/>
      <c r="HD50" s="1586"/>
      <c r="HE50" s="1586"/>
      <c r="HF50" s="1586"/>
      <c r="HG50" s="1586"/>
      <c r="HH50" s="1586"/>
      <c r="HI50" s="1586"/>
      <c r="HJ50" s="1586"/>
      <c r="HK50" s="1586"/>
      <c r="HL50" s="1586"/>
      <c r="HM50" s="1586"/>
      <c r="HN50" s="1586"/>
      <c r="HO50" s="1586"/>
      <c r="HP50" s="1586"/>
      <c r="HQ50" s="1586"/>
      <c r="HR50" s="1586"/>
      <c r="HS50" s="1586"/>
      <c r="HT50" s="1586"/>
      <c r="HU50" s="1586"/>
      <c r="HV50" s="1586"/>
      <c r="HW50" s="1586"/>
      <c r="HX50" s="1586"/>
      <c r="HY50" s="1586"/>
      <c r="HZ50" s="1586"/>
      <c r="IA50" s="1586"/>
      <c r="IB50" s="1586"/>
      <c r="IC50" s="1586"/>
      <c r="ID50" s="1586"/>
      <c r="IE50" s="1586"/>
      <c r="IF50" s="1586"/>
      <c r="IG50" s="1586"/>
      <c r="IH50" s="1586"/>
      <c r="II50" s="1586"/>
      <c r="IJ50" s="1586"/>
      <c r="IK50" s="1586"/>
      <c r="IL50" s="1586"/>
      <c r="IM50" s="1586"/>
      <c r="IN50" s="1586"/>
      <c r="IO50" s="1586"/>
      <c r="IP50" s="1586"/>
      <c r="IQ50" s="1586"/>
      <c r="IR50" s="1586"/>
      <c r="IS50" s="1586"/>
      <c r="IT50" s="1586"/>
      <c r="IU50" s="1586"/>
      <c r="IV50" s="1586"/>
      <c r="IW50" s="1586"/>
      <c r="IX50" s="1586"/>
      <c r="IY50" s="1586"/>
      <c r="IZ50" s="1586"/>
      <c r="JA50" s="1586"/>
      <c r="JB50" s="1586"/>
      <c r="JC50" s="1586"/>
      <c r="JD50" s="1586"/>
      <c r="JE50" s="1586"/>
      <c r="JF50" s="1586"/>
      <c r="JG50" s="1586"/>
      <c r="JH50" s="1586"/>
      <c r="JI50" s="1586"/>
      <c r="JJ50" s="1586"/>
      <c r="JK50" s="1586"/>
      <c r="JL50" s="1586"/>
      <c r="JM50" s="1586"/>
      <c r="JN50" s="1586"/>
      <c r="JO50" s="1586"/>
      <c r="JP50" s="1586"/>
      <c r="JQ50" s="1586"/>
      <c r="JR50" s="351"/>
      <c r="JS50" s="1400"/>
      <c r="JT50" s="450"/>
    </row>
    <row r="51" spans="1:280" ht="70" x14ac:dyDescent="0.25">
      <c r="A51" s="1367">
        <v>21</v>
      </c>
      <c r="B51" s="1574" t="str">
        <f t="shared" si="4"/>
        <v/>
      </c>
      <c r="C51" s="1435" t="s">
        <v>3595</v>
      </c>
      <c r="D51" s="1436" t="s">
        <v>3516</v>
      </c>
      <c r="E51" s="1590"/>
      <c r="F51" s="1590"/>
      <c r="G51" s="1590"/>
      <c r="H51" s="1590"/>
      <c r="I51" s="1590"/>
      <c r="J51" s="1590"/>
      <c r="K51" s="1590"/>
      <c r="L51" s="1590"/>
      <c r="M51" s="1590"/>
      <c r="N51" s="1590"/>
      <c r="O51" s="1590"/>
      <c r="P51" s="1590"/>
      <c r="Q51" s="1590"/>
      <c r="R51" s="1590"/>
      <c r="S51" s="1590"/>
      <c r="T51" s="1590"/>
      <c r="U51" s="1590"/>
      <c r="V51" s="1590"/>
      <c r="W51" s="1590"/>
      <c r="X51" s="1590"/>
      <c r="Y51" s="1590"/>
      <c r="Z51" s="1590"/>
      <c r="AA51" s="1590"/>
      <c r="AB51" s="1590"/>
      <c r="AC51" s="1590"/>
      <c r="AD51" s="1590"/>
      <c r="AE51" s="1590"/>
      <c r="AF51" s="1590"/>
      <c r="AG51" s="1590"/>
      <c r="AH51" s="1590"/>
      <c r="AI51" s="1590"/>
      <c r="AJ51" s="1590"/>
      <c r="AK51" s="1590"/>
      <c r="AL51" s="1590"/>
      <c r="AM51" s="1590"/>
      <c r="AN51" s="1590"/>
      <c r="AO51" s="1590"/>
      <c r="AP51" s="1590"/>
      <c r="AQ51" s="1590"/>
      <c r="AR51" s="1590"/>
      <c r="AS51" s="1590"/>
      <c r="AT51" s="1590"/>
      <c r="AU51" s="1590"/>
      <c r="AV51" s="1590"/>
      <c r="AW51" s="1590"/>
      <c r="AX51" s="1590"/>
      <c r="AY51" s="1590"/>
      <c r="AZ51" s="1590"/>
      <c r="BA51" s="1590"/>
      <c r="BB51" s="1590">
        <f t="shared" ref="BB51" si="23">MAX(0,BB42-(BB38+BB39+BB40))</f>
        <v>3621</v>
      </c>
      <c r="BC51" s="1590"/>
      <c r="BD51" s="1590"/>
      <c r="BE51" s="1590"/>
      <c r="BF51" s="1590"/>
      <c r="BG51" s="1590"/>
      <c r="BH51" s="1590"/>
      <c r="BI51" s="1590"/>
      <c r="BJ51" s="1590"/>
      <c r="BK51" s="1590"/>
      <c r="BL51" s="1590"/>
      <c r="BM51" s="1590"/>
      <c r="BN51" s="1590"/>
      <c r="BO51" s="1590"/>
      <c r="BP51" s="1590"/>
      <c r="BQ51" s="1590"/>
      <c r="BR51" s="1590"/>
      <c r="BS51" s="1590"/>
      <c r="BT51" s="1590"/>
      <c r="BU51" s="1590"/>
      <c r="BV51" s="1590"/>
      <c r="BW51" s="1590"/>
      <c r="BX51" s="1590"/>
      <c r="BY51" s="1590"/>
      <c r="BZ51" s="1590"/>
      <c r="CA51" s="1590"/>
      <c r="CB51" s="1590"/>
      <c r="CC51" s="1590"/>
      <c r="CD51" s="1590"/>
      <c r="CE51" s="1590">
        <f t="shared" ref="CE51:CH51" si="24">MAX(0,CE42-(CE38+CE39+CE40))</f>
        <v>41049</v>
      </c>
      <c r="CF51" s="1590"/>
      <c r="CG51" s="1590">
        <f t="shared" si="24"/>
        <v>2355</v>
      </c>
      <c r="CH51" s="1590">
        <f t="shared" si="24"/>
        <v>138352</v>
      </c>
      <c r="CI51" s="1590"/>
      <c r="CJ51" s="1590"/>
      <c r="CK51" s="1590"/>
      <c r="CL51" s="1590"/>
      <c r="CM51" s="1590"/>
      <c r="CN51" s="1590"/>
      <c r="CO51" s="1590"/>
      <c r="CP51" s="1590"/>
      <c r="CQ51" s="1590"/>
      <c r="CR51" s="1590"/>
      <c r="CS51" s="1590"/>
      <c r="CT51" s="1590"/>
      <c r="CU51" s="1590"/>
      <c r="CV51" s="1590"/>
      <c r="CW51" s="1590"/>
      <c r="CX51" s="1590"/>
      <c r="CY51" s="1590"/>
      <c r="CZ51" s="1590"/>
      <c r="DA51" s="1590"/>
      <c r="DB51" s="1590"/>
      <c r="DC51" s="1590"/>
      <c r="DD51" s="1590"/>
      <c r="DE51" s="1590"/>
      <c r="DF51" s="1590"/>
      <c r="DG51" s="1590"/>
      <c r="DH51" s="1590">
        <f>MAX(0,DH42-(DH38+DH39+DH40))</f>
        <v>5995</v>
      </c>
      <c r="DI51" s="1590"/>
      <c r="DJ51" s="1590"/>
      <c r="DK51" s="1590"/>
      <c r="DL51" s="1590"/>
      <c r="DM51" s="1590"/>
      <c r="DN51" s="1590"/>
      <c r="DO51" s="1590"/>
      <c r="DP51" s="1590"/>
      <c r="DQ51" s="1590"/>
      <c r="DR51" s="1590"/>
      <c r="DS51" s="1590"/>
      <c r="DT51" s="1590"/>
      <c r="DU51" s="1590"/>
      <c r="DV51" s="1590"/>
      <c r="DW51" s="1590"/>
      <c r="DX51" s="1590"/>
      <c r="DY51" s="1590"/>
      <c r="DZ51" s="1590"/>
      <c r="EA51" s="1590"/>
      <c r="EB51" s="1590"/>
      <c r="EC51" s="1590"/>
      <c r="ED51" s="1590"/>
      <c r="EE51" s="1590"/>
      <c r="EF51" s="1590"/>
      <c r="EG51" s="1590"/>
      <c r="EH51" s="1590"/>
      <c r="EI51" s="1590"/>
      <c r="EJ51" s="1590"/>
      <c r="EK51" s="1590"/>
      <c r="EL51" s="1590"/>
      <c r="EM51" s="1572">
        <f>MAX(0,EM42-(EM38+EM39+EM40))</f>
        <v>15546</v>
      </c>
      <c r="EN51" s="1590"/>
      <c r="EO51" s="1590"/>
      <c r="EP51" s="1590"/>
      <c r="EQ51" s="1590"/>
      <c r="ER51" s="1590"/>
      <c r="ES51" s="1590"/>
      <c r="ET51" s="1590"/>
      <c r="EU51" s="1572">
        <f t="shared" ref="EU51" si="25">MAX(0,EU42-(EU38+EU39+EU40))</f>
        <v>3630</v>
      </c>
      <c r="EV51" s="1590"/>
      <c r="EW51" s="1590"/>
      <c r="EX51" s="1590"/>
      <c r="EY51" s="1590"/>
      <c r="EZ51" s="1590"/>
      <c r="FA51" s="1590"/>
      <c r="FB51" s="1590"/>
      <c r="FC51" s="1590"/>
      <c r="FD51" s="1590"/>
      <c r="FE51" s="1590"/>
      <c r="FF51" s="1590"/>
      <c r="FG51" s="1590"/>
      <c r="FH51" s="1590"/>
      <c r="FI51" s="1590"/>
      <c r="FJ51" s="1590"/>
      <c r="FK51" s="1590"/>
      <c r="FL51" s="1590"/>
      <c r="FM51" s="1590"/>
      <c r="FN51" s="1590"/>
      <c r="FO51" s="1590"/>
      <c r="FP51" s="1590"/>
      <c r="FQ51" s="1590"/>
      <c r="FR51" s="1590"/>
      <c r="FS51" s="1590"/>
      <c r="FT51" s="1590"/>
      <c r="FU51" s="1590"/>
      <c r="FV51" s="1590"/>
      <c r="FW51" s="1590"/>
      <c r="FX51" s="1590"/>
      <c r="FY51" s="1590"/>
      <c r="FZ51" s="1590"/>
      <c r="GA51" s="1590"/>
      <c r="GB51" s="1590"/>
      <c r="GC51" s="1590"/>
      <c r="GD51" s="1590"/>
      <c r="GE51" s="1590"/>
      <c r="GF51" s="1590"/>
      <c r="GG51" s="1590"/>
      <c r="GH51" s="1590"/>
      <c r="GI51" s="1590"/>
      <c r="GJ51" s="1590"/>
      <c r="GK51" s="1590"/>
      <c r="GL51" s="1590"/>
      <c r="GM51" s="1590"/>
      <c r="GN51" s="1590"/>
      <c r="GO51" s="1590"/>
      <c r="GP51" s="1590"/>
      <c r="GQ51" s="1590"/>
      <c r="GR51" s="1590"/>
      <c r="GS51" s="1590"/>
      <c r="GT51" s="1590"/>
      <c r="GU51" s="1590"/>
      <c r="GV51" s="1590"/>
      <c r="GW51" s="1590"/>
      <c r="GX51" s="1590"/>
      <c r="GY51" s="1590">
        <f t="shared" ref="GY51" si="26">MAX(0,GY42-(GY38+GY39+GY40))</f>
        <v>53000</v>
      </c>
      <c r="GZ51" s="1590"/>
      <c r="HA51" s="1590"/>
      <c r="HB51" s="1590"/>
      <c r="HC51" s="1590"/>
      <c r="HD51" s="1590"/>
      <c r="HE51" s="1590"/>
      <c r="HF51" s="1590"/>
      <c r="HG51" s="1590"/>
      <c r="HH51" s="1590"/>
      <c r="HI51" s="1590"/>
      <c r="HJ51" s="1590"/>
      <c r="HK51" s="1590"/>
      <c r="HL51" s="1590"/>
      <c r="HM51" s="1590"/>
      <c r="HN51" s="1590"/>
      <c r="HO51" s="1590"/>
      <c r="HP51" s="1590"/>
      <c r="HQ51" s="1590"/>
      <c r="HR51" s="1590"/>
      <c r="HS51" s="1590"/>
      <c r="HT51" s="1590"/>
      <c r="HU51" s="1590"/>
      <c r="HV51" s="1590"/>
      <c r="HW51" s="1590"/>
      <c r="HX51" s="1590"/>
      <c r="HY51" s="1590"/>
      <c r="HZ51" s="1590"/>
      <c r="IA51" s="1590"/>
      <c r="IB51" s="1590"/>
      <c r="IC51" s="1590"/>
      <c r="ID51" s="1590"/>
      <c r="IE51" s="1590"/>
      <c r="IF51" s="1590"/>
      <c r="IG51" s="1590"/>
      <c r="IH51" s="1590"/>
      <c r="II51" s="1590"/>
      <c r="IJ51" s="1590"/>
      <c r="IK51" s="1590"/>
      <c r="IL51" s="1590"/>
      <c r="IM51" s="1590"/>
      <c r="IN51" s="1590"/>
      <c r="IO51" s="1590">
        <f t="shared" ref="IO51:JL51" si="27">MAX(0,IO42-(IO38+IO39+IO40))</f>
        <v>70250</v>
      </c>
      <c r="IP51" s="1590"/>
      <c r="IQ51" s="1590"/>
      <c r="IR51" s="1590"/>
      <c r="IS51" s="1590"/>
      <c r="IT51" s="1590"/>
      <c r="IU51" s="1590"/>
      <c r="IV51" s="1590"/>
      <c r="IW51" s="1590"/>
      <c r="IX51" s="1590"/>
      <c r="IY51" s="1590"/>
      <c r="IZ51" s="1590"/>
      <c r="JA51" s="1590"/>
      <c r="JB51" s="1590"/>
      <c r="JC51" s="1590"/>
      <c r="JD51" s="1590"/>
      <c r="JE51" s="1590"/>
      <c r="JF51" s="1590"/>
      <c r="JG51" s="1590"/>
      <c r="JH51" s="1590"/>
      <c r="JI51" s="1590"/>
      <c r="JJ51" s="1590"/>
      <c r="JK51" s="1590"/>
      <c r="JL51" s="1590">
        <f t="shared" si="27"/>
        <v>1</v>
      </c>
      <c r="JM51" s="1590"/>
      <c r="JN51" s="1590"/>
      <c r="JO51" s="1590"/>
      <c r="JP51" s="1590"/>
      <c r="JQ51" s="1590"/>
      <c r="JR51" s="351"/>
      <c r="JS51" s="1400" t="s">
        <v>3596</v>
      </c>
      <c r="JT51" s="450" t="s">
        <v>2224</v>
      </c>
    </row>
    <row r="52" spans="1:280" ht="12.5" x14ac:dyDescent="0.25">
      <c r="A52" s="1367">
        <v>22</v>
      </c>
      <c r="B52" s="1574" t="str">
        <f t="shared" si="4"/>
        <v/>
      </c>
      <c r="C52" s="1644" t="s">
        <v>3597</v>
      </c>
      <c r="D52" s="1539" t="s">
        <v>3256</v>
      </c>
      <c r="E52" s="1586"/>
      <c r="F52" s="1586"/>
      <c r="G52" s="1586"/>
      <c r="H52" s="1586"/>
      <c r="I52" s="1586"/>
      <c r="J52" s="1586"/>
      <c r="K52" s="1586"/>
      <c r="L52" s="1586"/>
      <c r="M52" s="1586"/>
      <c r="N52" s="1586"/>
      <c r="O52" s="1586"/>
      <c r="P52" s="1586"/>
      <c r="Q52" s="1586"/>
      <c r="R52" s="1586"/>
      <c r="S52" s="1586"/>
      <c r="T52" s="1586"/>
      <c r="U52" s="1586"/>
      <c r="V52" s="1586"/>
      <c r="W52" s="1586"/>
      <c r="X52" s="1586"/>
      <c r="Y52" s="1586"/>
      <c r="Z52" s="1586"/>
      <c r="AA52" s="1586"/>
      <c r="AB52" s="1586"/>
      <c r="AC52" s="1586"/>
      <c r="AD52" s="1586"/>
      <c r="AE52" s="1586"/>
      <c r="AF52" s="1586"/>
      <c r="AG52" s="1586"/>
      <c r="AH52" s="1586"/>
      <c r="AI52" s="1586"/>
      <c r="AJ52" s="1586"/>
      <c r="AK52" s="1586"/>
      <c r="AL52" s="1586"/>
      <c r="AM52" s="1586"/>
      <c r="AN52" s="1586"/>
      <c r="AO52" s="1586"/>
      <c r="AP52" s="1586"/>
      <c r="AQ52" s="1586"/>
      <c r="AR52" s="1586"/>
      <c r="AS52" s="1586"/>
      <c r="AT52" s="1586"/>
      <c r="AU52" s="1586"/>
      <c r="AV52" s="1586"/>
      <c r="AW52" s="1586"/>
      <c r="AX52" s="1586"/>
      <c r="AY52" s="1586"/>
      <c r="AZ52" s="1586"/>
      <c r="BA52" s="1586"/>
      <c r="BB52" s="1586"/>
      <c r="BC52" s="1586"/>
      <c r="BD52" s="1586"/>
      <c r="BE52" s="1586"/>
      <c r="BF52" s="1586"/>
      <c r="BG52" s="1586"/>
      <c r="BH52" s="1586"/>
      <c r="BI52" s="1586"/>
      <c r="BJ52" s="1586"/>
      <c r="BK52" s="1586"/>
      <c r="BL52" s="1586"/>
      <c r="BM52" s="1586"/>
      <c r="BN52" s="1586"/>
      <c r="BO52" s="1586"/>
      <c r="BP52" s="1586"/>
      <c r="BQ52" s="1586"/>
      <c r="BR52" s="1586"/>
      <c r="BS52" s="1586"/>
      <c r="BT52" s="1586"/>
      <c r="BU52" s="1586"/>
      <c r="BV52" s="1586"/>
      <c r="BW52" s="1586"/>
      <c r="BX52" s="1586"/>
      <c r="BY52" s="1586"/>
      <c r="BZ52" s="1586"/>
      <c r="CA52" s="1586"/>
      <c r="CB52" s="1586"/>
      <c r="CC52" s="1586"/>
      <c r="CD52" s="1586"/>
      <c r="CE52" s="1586"/>
      <c r="CF52" s="1586"/>
      <c r="CG52" s="1586"/>
      <c r="CH52" s="1586"/>
      <c r="CI52" s="1586"/>
      <c r="CJ52" s="1586"/>
      <c r="CK52" s="1586"/>
      <c r="CL52" s="1586"/>
      <c r="CM52" s="1586"/>
      <c r="CN52" s="1586"/>
      <c r="CO52" s="1586"/>
      <c r="CP52" s="1586"/>
      <c r="CQ52" s="1586"/>
      <c r="CR52" s="1586"/>
      <c r="CS52" s="1586"/>
      <c r="CT52" s="1586"/>
      <c r="CU52" s="1586"/>
      <c r="CV52" s="1586"/>
      <c r="CW52" s="1586"/>
      <c r="CX52" s="1586"/>
      <c r="CY52" s="1586"/>
      <c r="CZ52" s="1586"/>
      <c r="DA52" s="1586"/>
      <c r="DB52" s="1586"/>
      <c r="DC52" s="1586"/>
      <c r="DD52" s="1586"/>
      <c r="DE52" s="1586"/>
      <c r="DF52" s="1586"/>
      <c r="DG52" s="1586"/>
      <c r="DH52" s="1586"/>
      <c r="DI52" s="1586"/>
      <c r="DJ52" s="1586"/>
      <c r="DK52" s="1586"/>
      <c r="DL52" s="1586"/>
      <c r="DM52" s="1586"/>
      <c r="DN52" s="1586"/>
      <c r="DO52" s="1586"/>
      <c r="DP52" s="1586"/>
      <c r="DQ52" s="1586"/>
      <c r="DR52" s="1586"/>
      <c r="DS52" s="1586"/>
      <c r="DT52" s="1586"/>
      <c r="DU52" s="1586"/>
      <c r="DV52" s="1586"/>
      <c r="DW52" s="1586"/>
      <c r="DX52" s="1586"/>
      <c r="DY52" s="1586"/>
      <c r="DZ52" s="1586"/>
      <c r="EA52" s="1586"/>
      <c r="EB52" s="1586"/>
      <c r="EC52" s="1586"/>
      <c r="ED52" s="1586"/>
      <c r="EE52" s="1586"/>
      <c r="EF52" s="1586"/>
      <c r="EG52" s="1586"/>
      <c r="EH52" s="1586"/>
      <c r="EI52" s="1586"/>
      <c r="EJ52" s="1586"/>
      <c r="EK52" s="1586"/>
      <c r="EL52" s="1586"/>
      <c r="EM52" s="1586"/>
      <c r="EN52" s="1586"/>
      <c r="EO52" s="1586"/>
      <c r="EP52" s="1586"/>
      <c r="EQ52" s="1586"/>
      <c r="ER52" s="1586"/>
      <c r="ES52" s="1586"/>
      <c r="ET52" s="1586"/>
      <c r="EU52" s="1586"/>
      <c r="EV52" s="1586"/>
      <c r="EW52" s="1586"/>
      <c r="EX52" s="1586"/>
      <c r="EY52" s="1586"/>
      <c r="EZ52" s="1586"/>
      <c r="FA52" s="1586"/>
      <c r="FB52" s="1586"/>
      <c r="FC52" s="1586"/>
      <c r="FD52" s="1586"/>
      <c r="FE52" s="1586"/>
      <c r="FF52" s="1586"/>
      <c r="FG52" s="1586"/>
      <c r="FH52" s="1586"/>
      <c r="FI52" s="1586"/>
      <c r="FJ52" s="1586"/>
      <c r="FK52" s="1586"/>
      <c r="FL52" s="1586"/>
      <c r="FM52" s="1586"/>
      <c r="FN52" s="1586"/>
      <c r="FO52" s="1586"/>
      <c r="FP52" s="1586"/>
      <c r="FQ52" s="1586"/>
      <c r="FR52" s="1586"/>
      <c r="FS52" s="1586"/>
      <c r="FT52" s="1586"/>
      <c r="FU52" s="1586"/>
      <c r="FV52" s="1586"/>
      <c r="FW52" s="1586"/>
      <c r="FX52" s="1586"/>
      <c r="FY52" s="1586"/>
      <c r="FZ52" s="1586"/>
      <c r="GA52" s="1586"/>
      <c r="GB52" s="1586"/>
      <c r="GC52" s="1586"/>
      <c r="GD52" s="1586"/>
      <c r="GE52" s="1586"/>
      <c r="GF52" s="1586"/>
      <c r="GG52" s="1586"/>
      <c r="GH52" s="1586"/>
      <c r="GI52" s="1586"/>
      <c r="GJ52" s="1586"/>
      <c r="GK52" s="1586"/>
      <c r="GL52" s="1586"/>
      <c r="GM52" s="1586"/>
      <c r="GN52" s="1586"/>
      <c r="GO52" s="1586"/>
      <c r="GP52" s="1586"/>
      <c r="GQ52" s="1586"/>
      <c r="GR52" s="1586"/>
      <c r="GS52" s="1586"/>
      <c r="GT52" s="1586"/>
      <c r="GU52" s="1586"/>
      <c r="GV52" s="1586"/>
      <c r="GW52" s="1586"/>
      <c r="GX52" s="1586"/>
      <c r="GY52" s="1586"/>
      <c r="GZ52" s="1586"/>
      <c r="HA52" s="1586"/>
      <c r="HB52" s="1586"/>
      <c r="HC52" s="1586"/>
      <c r="HD52" s="1586"/>
      <c r="HE52" s="1586"/>
      <c r="HF52" s="1586"/>
      <c r="HG52" s="1586"/>
      <c r="HH52" s="1586"/>
      <c r="HI52" s="1586"/>
      <c r="HJ52" s="1586"/>
      <c r="HK52" s="1586"/>
      <c r="HL52" s="1586"/>
      <c r="HM52" s="1586"/>
      <c r="HN52" s="1586"/>
      <c r="HO52" s="1586"/>
      <c r="HP52" s="1586"/>
      <c r="HQ52" s="1586"/>
      <c r="HR52" s="1586"/>
      <c r="HS52" s="1586"/>
      <c r="HT52" s="1586"/>
      <c r="HU52" s="1586"/>
      <c r="HV52" s="1586"/>
      <c r="HW52" s="1586"/>
      <c r="HX52" s="1586"/>
      <c r="HY52" s="1586"/>
      <c r="HZ52" s="1586"/>
      <c r="IA52" s="1586"/>
      <c r="IB52" s="1586"/>
      <c r="IC52" s="1586"/>
      <c r="ID52" s="1586"/>
      <c r="IE52" s="1586"/>
      <c r="IF52" s="1586"/>
      <c r="IG52" s="1586"/>
      <c r="IH52" s="1586"/>
      <c r="II52" s="1586"/>
      <c r="IJ52" s="1586"/>
      <c r="IK52" s="1586"/>
      <c r="IL52" s="1586"/>
      <c r="IM52" s="1586"/>
      <c r="IN52" s="1586"/>
      <c r="IO52" s="1586"/>
      <c r="IP52" s="1586"/>
      <c r="IQ52" s="1587"/>
      <c r="IR52" s="1586"/>
      <c r="IS52" s="1586"/>
      <c r="IT52" s="1587"/>
      <c r="IU52" s="1586"/>
      <c r="IV52" s="1586"/>
      <c r="IW52" s="1586"/>
      <c r="IX52" s="1586"/>
      <c r="IY52" s="1586"/>
      <c r="IZ52" s="1586"/>
      <c r="JA52" s="1586"/>
      <c r="JB52" s="1586"/>
      <c r="JC52" s="1586"/>
      <c r="JD52" s="1586"/>
      <c r="JE52" s="1586"/>
      <c r="JF52" s="1586"/>
      <c r="JG52" s="1586"/>
      <c r="JH52" s="1586"/>
      <c r="JI52" s="1587"/>
      <c r="JJ52" s="1586"/>
      <c r="JK52" s="1587"/>
      <c r="JL52" s="1587"/>
      <c r="JM52" s="1587"/>
      <c r="JN52" s="1586"/>
      <c r="JO52" s="1587"/>
      <c r="JP52" s="1587"/>
      <c r="JQ52" s="1586"/>
      <c r="JR52" s="351"/>
      <c r="JS52" s="1400"/>
      <c r="JT52" s="450"/>
    </row>
    <row r="53" spans="1:280" ht="30" x14ac:dyDescent="0.25">
      <c r="A53" s="1367">
        <v>23</v>
      </c>
      <c r="B53" s="1574" t="str">
        <f t="shared" si="4"/>
        <v/>
      </c>
      <c r="C53" s="1435" t="s">
        <v>3598</v>
      </c>
      <c r="D53" s="1436" t="s">
        <v>3519</v>
      </c>
      <c r="E53" s="1568"/>
      <c r="F53" s="1568"/>
      <c r="G53" s="1568"/>
      <c r="H53" s="1568"/>
      <c r="I53" s="1568"/>
      <c r="J53" s="1568"/>
      <c r="K53" s="1568"/>
      <c r="L53" s="1568"/>
      <c r="M53" s="1568"/>
      <c r="N53" s="1568"/>
      <c r="O53" s="1568"/>
      <c r="P53" s="1568"/>
      <c r="Q53" s="1568"/>
      <c r="R53" s="1568"/>
      <c r="S53" s="1568"/>
      <c r="T53" s="1568"/>
      <c r="U53" s="1568"/>
      <c r="V53" s="1568"/>
      <c r="W53" s="1568"/>
      <c r="X53" s="1568"/>
      <c r="Y53" s="1568"/>
      <c r="Z53" s="1568"/>
      <c r="AA53" s="1568"/>
      <c r="AB53" s="1568"/>
      <c r="AC53" s="1568"/>
      <c r="AD53" s="1568"/>
      <c r="AE53" s="1568"/>
      <c r="AF53" s="1568"/>
      <c r="AG53" s="1568"/>
      <c r="AH53" s="1568"/>
      <c r="AI53" s="1568"/>
      <c r="AJ53" s="1568"/>
      <c r="AK53" s="1568"/>
      <c r="AL53" s="1568"/>
      <c r="AM53" s="1568"/>
      <c r="AN53" s="1568"/>
      <c r="AO53" s="1568"/>
      <c r="AP53" s="1568"/>
      <c r="AQ53" s="1568"/>
      <c r="AR53" s="1568"/>
      <c r="AS53" s="1568"/>
      <c r="AT53" s="1568"/>
      <c r="AU53" s="1568"/>
      <c r="AV53" s="1568"/>
      <c r="AW53" s="1568"/>
      <c r="AX53" s="1568"/>
      <c r="AY53" s="1568"/>
      <c r="AZ53" s="1568"/>
      <c r="BA53" s="1568"/>
      <c r="BB53" s="1568">
        <v>3621</v>
      </c>
      <c r="BC53" s="1568"/>
      <c r="BD53" s="1568"/>
      <c r="BE53" s="1568"/>
      <c r="BF53" s="1568"/>
      <c r="BG53" s="1568"/>
      <c r="BH53" s="1568"/>
      <c r="BI53" s="1568"/>
      <c r="BJ53" s="1568"/>
      <c r="BK53" s="1568"/>
      <c r="BL53" s="1568"/>
      <c r="BM53" s="1568"/>
      <c r="BN53" s="1568"/>
      <c r="BO53" s="1568"/>
      <c r="BP53" s="1568"/>
      <c r="BQ53" s="1568"/>
      <c r="BR53" s="1568"/>
      <c r="BS53" s="1568"/>
      <c r="BT53" s="1568"/>
      <c r="BU53" s="1568"/>
      <c r="BV53" s="1568"/>
      <c r="BW53" s="1568"/>
      <c r="BX53" s="1568"/>
      <c r="BY53" s="1568"/>
      <c r="BZ53" s="1568"/>
      <c r="CA53" s="1568"/>
      <c r="CB53" s="1568"/>
      <c r="CC53" s="1568"/>
      <c r="CD53" s="1568"/>
      <c r="CE53" s="1568">
        <v>41049</v>
      </c>
      <c r="CF53" s="1568"/>
      <c r="CG53" s="1568"/>
      <c r="CH53" s="1568">
        <v>50000</v>
      </c>
      <c r="CI53" s="1568"/>
      <c r="CJ53" s="1568"/>
      <c r="CK53" s="1568"/>
      <c r="CL53" s="1568"/>
      <c r="CM53" s="1568"/>
      <c r="CN53" s="1568"/>
      <c r="CO53" s="1568"/>
      <c r="CP53" s="1568"/>
      <c r="CQ53" s="1568"/>
      <c r="CR53" s="1568"/>
      <c r="CS53" s="1568"/>
      <c r="CT53" s="1568"/>
      <c r="CU53" s="1568"/>
      <c r="CV53" s="1568"/>
      <c r="CW53" s="1568"/>
      <c r="CX53" s="1568"/>
      <c r="CY53" s="1568"/>
      <c r="CZ53" s="1568"/>
      <c r="DA53" s="1568"/>
      <c r="DB53" s="1568"/>
      <c r="DC53" s="1568"/>
      <c r="DD53" s="1568"/>
      <c r="DE53" s="1568"/>
      <c r="DF53" s="1568"/>
      <c r="DG53" s="1568"/>
      <c r="DH53" s="1568"/>
      <c r="DI53" s="1568"/>
      <c r="DJ53" s="1568"/>
      <c r="DK53" s="1568"/>
      <c r="DL53" s="1568"/>
      <c r="DM53" s="1568"/>
      <c r="DN53" s="1568"/>
      <c r="DO53" s="1568"/>
      <c r="DP53" s="1568"/>
      <c r="DQ53" s="1568"/>
      <c r="DR53" s="1568"/>
      <c r="DS53" s="1568"/>
      <c r="DT53" s="1568"/>
      <c r="DU53" s="1568"/>
      <c r="DV53" s="1568"/>
      <c r="DW53" s="1568"/>
      <c r="DX53" s="1568"/>
      <c r="DY53" s="1568"/>
      <c r="DZ53" s="1568"/>
      <c r="EA53" s="1568"/>
      <c r="EB53" s="1568"/>
      <c r="EC53" s="1568"/>
      <c r="ED53" s="1568"/>
      <c r="EE53" s="1568"/>
      <c r="EF53" s="1568"/>
      <c r="EG53" s="1568"/>
      <c r="EH53" s="1568"/>
      <c r="EI53" s="1568"/>
      <c r="EJ53" s="1568"/>
      <c r="EK53" s="1568"/>
      <c r="EL53" s="1568"/>
      <c r="EM53" s="1570">
        <v>15546</v>
      </c>
      <c r="EN53" s="1568"/>
      <c r="EO53" s="1568"/>
      <c r="EP53" s="1568"/>
      <c r="EQ53" s="1568"/>
      <c r="ER53" s="1568"/>
      <c r="ES53" s="1568"/>
      <c r="ET53" s="1568"/>
      <c r="EU53" s="1568"/>
      <c r="EV53" s="1568"/>
      <c r="EW53" s="1568"/>
      <c r="EX53" s="1568"/>
      <c r="EY53" s="1568"/>
      <c r="EZ53" s="1568"/>
      <c r="FA53" s="1568"/>
      <c r="FB53" s="1568"/>
      <c r="FC53" s="1568"/>
      <c r="FD53" s="1568"/>
      <c r="FE53" s="1568"/>
      <c r="FF53" s="1568"/>
      <c r="FG53" s="1568"/>
      <c r="FH53" s="1568"/>
      <c r="FI53" s="1568"/>
      <c r="FJ53" s="1568"/>
      <c r="FK53" s="1568"/>
      <c r="FL53" s="1568"/>
      <c r="FM53" s="1568"/>
      <c r="FN53" s="1568"/>
      <c r="FO53" s="1568"/>
      <c r="FP53" s="1568"/>
      <c r="FQ53" s="1568"/>
      <c r="FR53" s="1568"/>
      <c r="FS53" s="1568"/>
      <c r="FT53" s="1568"/>
      <c r="FU53" s="1568"/>
      <c r="FV53" s="1568"/>
      <c r="FW53" s="1568"/>
      <c r="FX53" s="1568"/>
      <c r="FY53" s="1568"/>
      <c r="FZ53" s="1568"/>
      <c r="GA53" s="1568"/>
      <c r="GB53" s="1568"/>
      <c r="GC53" s="1568"/>
      <c r="GD53" s="1568"/>
      <c r="GE53" s="1568"/>
      <c r="GF53" s="1568"/>
      <c r="GG53" s="1568"/>
      <c r="GH53" s="1568"/>
      <c r="GI53" s="1568"/>
      <c r="GJ53" s="1568"/>
      <c r="GK53" s="1568"/>
      <c r="GL53" s="1568"/>
      <c r="GM53" s="1568"/>
      <c r="GN53" s="1568"/>
      <c r="GO53" s="1568"/>
      <c r="GP53" s="1568"/>
      <c r="GQ53" s="1568"/>
      <c r="GR53" s="1568"/>
      <c r="GS53" s="1568"/>
      <c r="GT53" s="1568"/>
      <c r="GU53" s="1568"/>
      <c r="GV53" s="1568"/>
      <c r="GW53" s="1568"/>
      <c r="GX53" s="1568"/>
      <c r="GY53" s="1568">
        <v>53000</v>
      </c>
      <c r="GZ53" s="1568"/>
      <c r="HA53" s="1568"/>
      <c r="HB53" s="1568"/>
      <c r="HC53" s="1568"/>
      <c r="HD53" s="1568"/>
      <c r="HE53" s="1568"/>
      <c r="HF53" s="1568"/>
      <c r="HG53" s="1568"/>
      <c r="HH53" s="1568"/>
      <c r="HI53" s="1568"/>
      <c r="HJ53" s="1568"/>
      <c r="HK53" s="1568"/>
      <c r="HL53" s="1568"/>
      <c r="HM53" s="1568"/>
      <c r="HN53" s="1568"/>
      <c r="HO53" s="1568"/>
      <c r="HP53" s="1568"/>
      <c r="HQ53" s="1568"/>
      <c r="HR53" s="1568"/>
      <c r="HS53" s="1568"/>
      <c r="HT53" s="1568"/>
      <c r="HU53" s="1568"/>
      <c r="HV53" s="1568"/>
      <c r="HW53" s="1568"/>
      <c r="HX53" s="1568"/>
      <c r="HY53" s="1568"/>
      <c r="HZ53" s="1568"/>
      <c r="IA53" s="1568"/>
      <c r="IB53" s="1568"/>
      <c r="IC53" s="1568"/>
      <c r="ID53" s="1568"/>
      <c r="IE53" s="1568"/>
      <c r="IF53" s="1568"/>
      <c r="IG53" s="1568"/>
      <c r="IH53" s="1568"/>
      <c r="II53" s="1568"/>
      <c r="IJ53" s="1568"/>
      <c r="IK53" s="1568"/>
      <c r="IL53" s="1568"/>
      <c r="IM53" s="1568"/>
      <c r="IN53" s="1568"/>
      <c r="IO53" s="1568">
        <v>50000</v>
      </c>
      <c r="IP53" s="1568"/>
      <c r="IQ53" s="1584"/>
      <c r="IR53" s="1568"/>
      <c r="IS53" s="1568"/>
      <c r="IT53" s="1584"/>
      <c r="IU53" s="1568"/>
      <c r="IV53" s="1568"/>
      <c r="IW53" s="1568"/>
      <c r="IX53" s="1568"/>
      <c r="IY53" s="1568"/>
      <c r="IZ53" s="1568"/>
      <c r="JA53" s="1568"/>
      <c r="JB53" s="1568"/>
      <c r="JC53" s="1568"/>
      <c r="JD53" s="1568"/>
      <c r="JE53" s="1568"/>
      <c r="JF53" s="1568"/>
      <c r="JG53" s="1568"/>
      <c r="JH53" s="1568"/>
      <c r="JI53" s="1584"/>
      <c r="JJ53" s="1568"/>
      <c r="JK53" s="1584"/>
      <c r="JL53" s="1584"/>
      <c r="JM53" s="1584"/>
      <c r="JN53" s="1568"/>
      <c r="JO53" s="1584"/>
      <c r="JP53" s="1584"/>
      <c r="JQ53" s="1585"/>
      <c r="JR53" s="351"/>
      <c r="JS53" s="1400" t="s">
        <v>3599</v>
      </c>
      <c r="JT53" s="450" t="s">
        <v>2242</v>
      </c>
    </row>
    <row r="54" spans="1:280" ht="30" x14ac:dyDescent="0.25">
      <c r="A54" s="1367">
        <v>24</v>
      </c>
      <c r="B54" s="1574" t="str">
        <f t="shared" si="4"/>
        <v/>
      </c>
      <c r="C54" s="1435" t="s">
        <v>3600</v>
      </c>
      <c r="D54" s="1436" t="s">
        <v>3005</v>
      </c>
      <c r="E54" s="1568"/>
      <c r="F54" s="1568"/>
      <c r="G54" s="1568"/>
      <c r="H54" s="1568"/>
      <c r="I54" s="1568"/>
      <c r="J54" s="1568"/>
      <c r="K54" s="1568"/>
      <c r="L54" s="1568"/>
      <c r="M54" s="1568"/>
      <c r="N54" s="1568"/>
      <c r="O54" s="1568"/>
      <c r="P54" s="1568"/>
      <c r="Q54" s="1568"/>
      <c r="R54" s="1568"/>
      <c r="S54" s="1568"/>
      <c r="T54" s="1568"/>
      <c r="U54" s="1568"/>
      <c r="V54" s="1568"/>
      <c r="W54" s="1568"/>
      <c r="X54" s="1568"/>
      <c r="Y54" s="1568"/>
      <c r="Z54" s="1568"/>
      <c r="AA54" s="1568"/>
      <c r="AB54" s="1568"/>
      <c r="AC54" s="1568"/>
      <c r="AD54" s="1568"/>
      <c r="AE54" s="1568"/>
      <c r="AF54" s="1568"/>
      <c r="AG54" s="1568"/>
      <c r="AH54" s="1568"/>
      <c r="AI54" s="1568"/>
      <c r="AJ54" s="1568"/>
      <c r="AK54" s="1568"/>
      <c r="AL54" s="1568"/>
      <c r="AM54" s="1568"/>
      <c r="AN54" s="1568"/>
      <c r="AO54" s="1568"/>
      <c r="AP54" s="1568"/>
      <c r="AQ54" s="1568"/>
      <c r="AR54" s="1568"/>
      <c r="AS54" s="1568"/>
      <c r="AT54" s="1568"/>
      <c r="AU54" s="1568"/>
      <c r="AV54" s="1568"/>
      <c r="AW54" s="1568"/>
      <c r="AX54" s="1568"/>
      <c r="AY54" s="1568"/>
      <c r="AZ54" s="1568"/>
      <c r="BA54" s="1568"/>
      <c r="BB54" s="1568"/>
      <c r="BC54" s="1568"/>
      <c r="BD54" s="1568"/>
      <c r="BE54" s="1568"/>
      <c r="BF54" s="1568"/>
      <c r="BG54" s="1568"/>
      <c r="BH54" s="1568"/>
      <c r="BI54" s="1568"/>
      <c r="BJ54" s="1568"/>
      <c r="BK54" s="1568"/>
      <c r="BL54" s="1568"/>
      <c r="BM54" s="1568"/>
      <c r="BN54" s="1568"/>
      <c r="BO54" s="1568"/>
      <c r="BP54" s="1568"/>
      <c r="BQ54" s="1568"/>
      <c r="BR54" s="1568"/>
      <c r="BS54" s="1568"/>
      <c r="BT54" s="1568"/>
      <c r="BU54" s="1568"/>
      <c r="BV54" s="1568"/>
      <c r="BW54" s="1568"/>
      <c r="BX54" s="1568"/>
      <c r="BY54" s="1568"/>
      <c r="BZ54" s="1568"/>
      <c r="CA54" s="1568"/>
      <c r="CB54" s="1568"/>
      <c r="CC54" s="1568"/>
      <c r="CD54" s="1568"/>
      <c r="CE54" s="1568"/>
      <c r="CF54" s="1568"/>
      <c r="CG54" s="1568"/>
      <c r="CH54" s="1568"/>
      <c r="CI54" s="1568"/>
      <c r="CJ54" s="1568"/>
      <c r="CK54" s="1568"/>
      <c r="CL54" s="1568"/>
      <c r="CM54" s="1568"/>
      <c r="CN54" s="1568"/>
      <c r="CO54" s="1568"/>
      <c r="CP54" s="1568"/>
      <c r="CQ54" s="1568"/>
      <c r="CR54" s="1568"/>
      <c r="CS54" s="1568"/>
      <c r="CT54" s="1568"/>
      <c r="CU54" s="1568"/>
      <c r="CV54" s="1568"/>
      <c r="CW54" s="1568"/>
      <c r="CX54" s="1568"/>
      <c r="CY54" s="1568"/>
      <c r="CZ54" s="1568"/>
      <c r="DA54" s="1568"/>
      <c r="DB54" s="1568"/>
      <c r="DC54" s="1568"/>
      <c r="DD54" s="1568"/>
      <c r="DE54" s="1568"/>
      <c r="DF54" s="1568"/>
      <c r="DG54" s="1568"/>
      <c r="DH54" s="1568"/>
      <c r="DI54" s="1568"/>
      <c r="DJ54" s="1568"/>
      <c r="DK54" s="1568"/>
      <c r="DL54" s="1568"/>
      <c r="DM54" s="1568"/>
      <c r="DN54" s="1568"/>
      <c r="DO54" s="1568"/>
      <c r="DP54" s="1568"/>
      <c r="DQ54" s="1568"/>
      <c r="DR54" s="1568"/>
      <c r="DS54" s="1568"/>
      <c r="DT54" s="1568"/>
      <c r="DU54" s="1568"/>
      <c r="DV54" s="1568"/>
      <c r="DW54" s="1568"/>
      <c r="DX54" s="1568"/>
      <c r="DY54" s="1568"/>
      <c r="DZ54" s="1568"/>
      <c r="EA54" s="1568"/>
      <c r="EB54" s="1568"/>
      <c r="EC54" s="1568"/>
      <c r="ED54" s="1568"/>
      <c r="EE54" s="1568"/>
      <c r="EF54" s="1568"/>
      <c r="EG54" s="1568"/>
      <c r="EH54" s="1568"/>
      <c r="EI54" s="1568"/>
      <c r="EJ54" s="1568"/>
      <c r="EK54" s="1568"/>
      <c r="EL54" s="1568"/>
      <c r="EM54" s="1568"/>
      <c r="EN54" s="1568"/>
      <c r="EO54" s="1568"/>
      <c r="EP54" s="1568"/>
      <c r="EQ54" s="1568"/>
      <c r="ER54" s="1568"/>
      <c r="ES54" s="1568"/>
      <c r="ET54" s="1568"/>
      <c r="EU54" s="1570">
        <v>3630</v>
      </c>
      <c r="EV54" s="1568"/>
      <c r="EW54" s="1568"/>
      <c r="EX54" s="1568"/>
      <c r="EY54" s="1568"/>
      <c r="EZ54" s="1568"/>
      <c r="FA54" s="1568"/>
      <c r="FB54" s="1568"/>
      <c r="FC54" s="1568"/>
      <c r="FD54" s="1568"/>
      <c r="FE54" s="1568"/>
      <c r="FF54" s="1568"/>
      <c r="FG54" s="1568"/>
      <c r="FH54" s="1568"/>
      <c r="FI54" s="1568"/>
      <c r="FJ54" s="1568"/>
      <c r="FK54" s="1568"/>
      <c r="FL54" s="1568"/>
      <c r="FM54" s="1568"/>
      <c r="FN54" s="1568"/>
      <c r="FO54" s="1568"/>
      <c r="FP54" s="1568"/>
      <c r="FQ54" s="1568"/>
      <c r="FR54" s="1568"/>
      <c r="FS54" s="1568"/>
      <c r="FT54" s="1568"/>
      <c r="FU54" s="1568"/>
      <c r="FV54" s="1568"/>
      <c r="FW54" s="1568"/>
      <c r="FX54" s="1568"/>
      <c r="FY54" s="1568"/>
      <c r="FZ54" s="1568"/>
      <c r="GA54" s="1568"/>
      <c r="GB54" s="1568"/>
      <c r="GC54" s="1568"/>
      <c r="GD54" s="1568"/>
      <c r="GE54" s="1568"/>
      <c r="GF54" s="1568"/>
      <c r="GG54" s="1568"/>
      <c r="GH54" s="1568"/>
      <c r="GI54" s="1568"/>
      <c r="GJ54" s="1568"/>
      <c r="GK54" s="1568"/>
      <c r="GL54" s="1568"/>
      <c r="GM54" s="1568"/>
      <c r="GN54" s="1568"/>
      <c r="GO54" s="1568"/>
      <c r="GP54" s="1568"/>
      <c r="GQ54" s="1568"/>
      <c r="GR54" s="1568"/>
      <c r="GS54" s="1568"/>
      <c r="GT54" s="1568"/>
      <c r="GU54" s="1568"/>
      <c r="GV54" s="1568"/>
      <c r="GW54" s="1568"/>
      <c r="GX54" s="1568"/>
      <c r="GY54" s="1568"/>
      <c r="GZ54" s="1568"/>
      <c r="HA54" s="1568"/>
      <c r="HB54" s="1568"/>
      <c r="HC54" s="1568"/>
      <c r="HD54" s="1568"/>
      <c r="HE54" s="1568"/>
      <c r="HF54" s="1568"/>
      <c r="HG54" s="1568"/>
      <c r="HH54" s="1568"/>
      <c r="HI54" s="1568"/>
      <c r="HJ54" s="1568"/>
      <c r="HK54" s="1568"/>
      <c r="HL54" s="1568"/>
      <c r="HM54" s="1568"/>
      <c r="HN54" s="1568"/>
      <c r="HO54" s="1568"/>
      <c r="HP54" s="1568"/>
      <c r="HQ54" s="1568"/>
      <c r="HR54" s="1568"/>
      <c r="HS54" s="1568"/>
      <c r="HT54" s="1568"/>
      <c r="HU54" s="1568"/>
      <c r="HV54" s="1568"/>
      <c r="HW54" s="1568"/>
      <c r="HX54" s="1568"/>
      <c r="HY54" s="1568"/>
      <c r="HZ54" s="1568"/>
      <c r="IA54" s="1568"/>
      <c r="IB54" s="1568"/>
      <c r="IC54" s="1568"/>
      <c r="ID54" s="1568"/>
      <c r="IE54" s="1568"/>
      <c r="IF54" s="1568"/>
      <c r="IG54" s="1568"/>
      <c r="IH54" s="1568"/>
      <c r="II54" s="1568"/>
      <c r="IJ54" s="1568"/>
      <c r="IK54" s="1568"/>
      <c r="IL54" s="1568"/>
      <c r="IM54" s="1568"/>
      <c r="IN54" s="1568"/>
      <c r="IO54" s="1568"/>
      <c r="IP54" s="1568"/>
      <c r="IQ54" s="1584"/>
      <c r="IR54" s="1568"/>
      <c r="IS54" s="1568"/>
      <c r="IT54" s="1584"/>
      <c r="IU54" s="1568"/>
      <c r="IV54" s="1568"/>
      <c r="IW54" s="1568"/>
      <c r="IX54" s="1568"/>
      <c r="IY54" s="1568"/>
      <c r="IZ54" s="1568"/>
      <c r="JA54" s="1568"/>
      <c r="JB54" s="1568"/>
      <c r="JC54" s="1568"/>
      <c r="JD54" s="1568"/>
      <c r="JE54" s="1568"/>
      <c r="JF54" s="1568"/>
      <c r="JG54" s="1568"/>
      <c r="JH54" s="1568"/>
      <c r="JI54" s="1584"/>
      <c r="JJ54" s="1568"/>
      <c r="JK54" s="1584"/>
      <c r="JL54" s="1584"/>
      <c r="JM54" s="1584"/>
      <c r="JN54" s="1568"/>
      <c r="JO54" s="1584"/>
      <c r="JP54" s="1584"/>
      <c r="JQ54" s="1585"/>
      <c r="JR54" s="351"/>
      <c r="JS54" s="1400" t="s">
        <v>3601</v>
      </c>
      <c r="JT54" s="450" t="s">
        <v>2242</v>
      </c>
    </row>
    <row r="55" spans="1:280" ht="12.5" x14ac:dyDescent="0.25">
      <c r="A55" s="1367">
        <v>25</v>
      </c>
      <c r="B55" s="1574" t="str">
        <f t="shared" si="4"/>
        <v/>
      </c>
      <c r="C55" s="1435" t="s">
        <v>3602</v>
      </c>
      <c r="D55" s="1436" t="s">
        <v>3524</v>
      </c>
      <c r="E55" s="1568"/>
      <c r="F55" s="1568"/>
      <c r="G55" s="1568"/>
      <c r="H55" s="1568"/>
      <c r="I55" s="1568"/>
      <c r="J55" s="1568"/>
      <c r="K55" s="1568"/>
      <c r="L55" s="1568"/>
      <c r="M55" s="1568"/>
      <c r="N55" s="1568"/>
      <c r="O55" s="1568"/>
      <c r="P55" s="1568"/>
      <c r="Q55" s="1568"/>
      <c r="R55" s="1568"/>
      <c r="S55" s="1568"/>
      <c r="T55" s="1568"/>
      <c r="U55" s="1568"/>
      <c r="V55" s="1568"/>
      <c r="W55" s="1568"/>
      <c r="X55" s="1568"/>
      <c r="Y55" s="1568"/>
      <c r="Z55" s="1568"/>
      <c r="AA55" s="1568"/>
      <c r="AB55" s="1568"/>
      <c r="AC55" s="1568"/>
      <c r="AD55" s="1568"/>
      <c r="AE55" s="1568"/>
      <c r="AF55" s="1568"/>
      <c r="AG55" s="1568"/>
      <c r="AH55" s="1568"/>
      <c r="AI55" s="1568"/>
      <c r="AJ55" s="1568"/>
      <c r="AK55" s="1568"/>
      <c r="AL55" s="1568"/>
      <c r="AM55" s="1568"/>
      <c r="AN55" s="1568"/>
      <c r="AO55" s="1568"/>
      <c r="AP55" s="1568"/>
      <c r="AQ55" s="1568"/>
      <c r="AR55" s="1568"/>
      <c r="AS55" s="1568"/>
      <c r="AT55" s="1568"/>
      <c r="AU55" s="1568"/>
      <c r="AV55" s="1568"/>
      <c r="AW55" s="1568"/>
      <c r="AX55" s="1568"/>
      <c r="AY55" s="1568"/>
      <c r="AZ55" s="1568"/>
      <c r="BA55" s="1568"/>
      <c r="BB55" s="1568"/>
      <c r="BC55" s="1568"/>
      <c r="BD55" s="1568"/>
      <c r="BE55" s="1568"/>
      <c r="BF55" s="1568"/>
      <c r="BG55" s="1568"/>
      <c r="BH55" s="1568"/>
      <c r="BI55" s="1568"/>
      <c r="BJ55" s="1568"/>
      <c r="BK55" s="1568"/>
      <c r="BL55" s="1568"/>
      <c r="BM55" s="1568"/>
      <c r="BN55" s="1568"/>
      <c r="BO55" s="1568"/>
      <c r="BP55" s="1568"/>
      <c r="BQ55" s="1568"/>
      <c r="BR55" s="1568"/>
      <c r="BS55" s="1568"/>
      <c r="BT55" s="1568"/>
      <c r="BU55" s="1568"/>
      <c r="BV55" s="1568"/>
      <c r="BW55" s="1568"/>
      <c r="BX55" s="1568"/>
      <c r="BY55" s="1568"/>
      <c r="BZ55" s="1568"/>
      <c r="CA55" s="1568"/>
      <c r="CB55" s="1568"/>
      <c r="CC55" s="1568"/>
      <c r="CD55" s="1568"/>
      <c r="CE55" s="1568"/>
      <c r="CF55" s="1568"/>
      <c r="CG55" s="1568">
        <v>17626</v>
      </c>
      <c r="CH55" s="1568">
        <v>767060</v>
      </c>
      <c r="CI55" s="1568"/>
      <c r="CJ55" s="1568"/>
      <c r="CK55" s="1568"/>
      <c r="CL55" s="1568"/>
      <c r="CM55" s="1568"/>
      <c r="CN55" s="1568"/>
      <c r="CO55" s="1568"/>
      <c r="CP55" s="1568"/>
      <c r="CQ55" s="1568"/>
      <c r="CR55" s="1568"/>
      <c r="CS55" s="1568"/>
      <c r="CT55" s="1568"/>
      <c r="CU55" s="1568"/>
      <c r="CV55" s="1568"/>
      <c r="CW55" s="1568"/>
      <c r="CX55" s="1568"/>
      <c r="CY55" s="1568"/>
      <c r="CZ55" s="1568"/>
      <c r="DA55" s="1568"/>
      <c r="DB55" s="1568"/>
      <c r="DC55" s="1568"/>
      <c r="DD55" s="1568"/>
      <c r="DE55" s="1568"/>
      <c r="DF55" s="1568"/>
      <c r="DG55" s="1568"/>
      <c r="DH55" s="1568">
        <v>31263</v>
      </c>
      <c r="DI55" s="1568"/>
      <c r="DJ55" s="1568"/>
      <c r="DK55" s="1568"/>
      <c r="DL55" s="1568"/>
      <c r="DM55" s="1568"/>
      <c r="DN55" s="1568"/>
      <c r="DO55" s="1568"/>
      <c r="DP55" s="1568"/>
      <c r="DQ55" s="1568"/>
      <c r="DR55" s="1568"/>
      <c r="DS55" s="1568"/>
      <c r="DT55" s="1568"/>
      <c r="DU55" s="1568"/>
      <c r="DV55" s="1568"/>
      <c r="DW55" s="1568"/>
      <c r="DX55" s="1568"/>
      <c r="DY55" s="1568"/>
      <c r="DZ55" s="1568"/>
      <c r="EA55" s="1568"/>
      <c r="EB55" s="1568"/>
      <c r="EC55" s="1568"/>
      <c r="ED55" s="1568"/>
      <c r="EE55" s="1568"/>
      <c r="EF55" s="1568"/>
      <c r="EG55" s="1568"/>
      <c r="EH55" s="1568"/>
      <c r="EI55" s="1568"/>
      <c r="EJ55" s="1568"/>
      <c r="EK55" s="1568"/>
      <c r="EL55" s="1568"/>
      <c r="EM55" s="1568"/>
      <c r="EN55" s="1568"/>
      <c r="EO55" s="1568"/>
      <c r="EP55" s="1568"/>
      <c r="EQ55" s="1568"/>
      <c r="ER55" s="1568"/>
      <c r="ES55" s="1568"/>
      <c r="ET55" s="1568"/>
      <c r="EU55" s="1568"/>
      <c r="EV55" s="1568"/>
      <c r="EW55" s="1568"/>
      <c r="EX55" s="1568"/>
      <c r="EY55" s="1568"/>
      <c r="EZ55" s="1568"/>
      <c r="FA55" s="1568"/>
      <c r="FB55" s="1568"/>
      <c r="FC55" s="1568"/>
      <c r="FD55" s="1568"/>
      <c r="FE55" s="1568"/>
      <c r="FF55" s="1568"/>
      <c r="FG55" s="1568"/>
      <c r="FH55" s="1568"/>
      <c r="FI55" s="1568"/>
      <c r="FJ55" s="1568"/>
      <c r="FK55" s="1568"/>
      <c r="FL55" s="1568"/>
      <c r="FM55" s="1568"/>
      <c r="FN55" s="1568"/>
      <c r="FO55" s="1568"/>
      <c r="FP55" s="1568"/>
      <c r="FQ55" s="1568"/>
      <c r="FR55" s="1568"/>
      <c r="FS55" s="1568"/>
      <c r="FT55" s="1568"/>
      <c r="FU55" s="1568"/>
      <c r="FV55" s="1568"/>
      <c r="FW55" s="1568"/>
      <c r="FX55" s="1568"/>
      <c r="FY55" s="1568"/>
      <c r="FZ55" s="1568"/>
      <c r="GA55" s="1568"/>
      <c r="GB55" s="1568"/>
      <c r="GC55" s="1568"/>
      <c r="GD55" s="1568"/>
      <c r="GE55" s="1568"/>
      <c r="GF55" s="1568"/>
      <c r="GG55" s="1568"/>
      <c r="GH55" s="1568"/>
      <c r="GI55" s="1568"/>
      <c r="GJ55" s="1568"/>
      <c r="GK55" s="1568"/>
      <c r="GL55" s="1568"/>
      <c r="GM55" s="1568"/>
      <c r="GN55" s="1568"/>
      <c r="GO55" s="1568"/>
      <c r="GP55" s="1568"/>
      <c r="GQ55" s="1568"/>
      <c r="GR55" s="1568"/>
      <c r="GS55" s="1568"/>
      <c r="GT55" s="1568"/>
      <c r="GU55" s="1568"/>
      <c r="GV55" s="1568"/>
      <c r="GW55" s="1568"/>
      <c r="GX55" s="1568"/>
      <c r="GY55" s="1568"/>
      <c r="GZ55" s="1568"/>
      <c r="HA55" s="1568"/>
      <c r="HB55" s="1568"/>
      <c r="HC55" s="1568"/>
      <c r="HD55" s="1568"/>
      <c r="HE55" s="1568"/>
      <c r="HF55" s="1568"/>
      <c r="HG55" s="1568"/>
      <c r="HH55" s="1568"/>
      <c r="HI55" s="1568"/>
      <c r="HJ55" s="1568"/>
      <c r="HK55" s="1568"/>
      <c r="HL55" s="1568"/>
      <c r="HM55" s="1568"/>
      <c r="HN55" s="1568"/>
      <c r="HO55" s="1568"/>
      <c r="HP55" s="1568"/>
      <c r="HQ55" s="1568"/>
      <c r="HR55" s="1568"/>
      <c r="HS55" s="1568"/>
      <c r="HT55" s="1568"/>
      <c r="HU55" s="1568"/>
      <c r="HV55" s="1568"/>
      <c r="HW55" s="1568"/>
      <c r="HX55" s="1568"/>
      <c r="HY55" s="1568"/>
      <c r="HZ55" s="1568"/>
      <c r="IA55" s="1568"/>
      <c r="IB55" s="1568"/>
      <c r="IC55" s="1568"/>
      <c r="ID55" s="1568"/>
      <c r="IE55" s="1568"/>
      <c r="IF55" s="1568"/>
      <c r="IG55" s="1568"/>
      <c r="IH55" s="1568"/>
      <c r="II55" s="1568"/>
      <c r="IJ55" s="1568"/>
      <c r="IK55" s="1568"/>
      <c r="IL55" s="1568"/>
      <c r="IM55" s="1568"/>
      <c r="IN55" s="1568"/>
      <c r="IO55" s="1568">
        <v>20616</v>
      </c>
      <c r="IP55" s="1568"/>
      <c r="IQ55" s="1584"/>
      <c r="IR55" s="1568"/>
      <c r="IS55" s="1568"/>
      <c r="IT55" s="1584"/>
      <c r="IU55" s="1568"/>
      <c r="IV55" s="1568"/>
      <c r="IW55" s="1568"/>
      <c r="IX55" s="1568"/>
      <c r="IY55" s="1568"/>
      <c r="IZ55" s="1568"/>
      <c r="JA55" s="1568"/>
      <c r="JB55" s="1568"/>
      <c r="JC55" s="1568"/>
      <c r="JD55" s="1568"/>
      <c r="JE55" s="1568"/>
      <c r="JF55" s="1568"/>
      <c r="JG55" s="1568"/>
      <c r="JH55" s="1568"/>
      <c r="JI55" s="1584"/>
      <c r="JJ55" s="1568"/>
      <c r="JK55" s="1584"/>
      <c r="JL55" s="1584">
        <v>950</v>
      </c>
      <c r="JM55" s="1584"/>
      <c r="JN55" s="1568"/>
      <c r="JO55" s="1584"/>
      <c r="JP55" s="1584"/>
      <c r="JQ55" s="1585"/>
      <c r="JR55" s="351"/>
      <c r="JS55" s="1400"/>
      <c r="JT55" s="450" t="s">
        <v>2224</v>
      </c>
    </row>
    <row r="56" spans="1:280" ht="12.5" x14ac:dyDescent="0.25">
      <c r="A56" s="1367">
        <v>26</v>
      </c>
      <c r="B56" s="1574" t="str">
        <f t="shared" si="4"/>
        <v/>
      </c>
      <c r="C56" s="1435" t="s">
        <v>3603</v>
      </c>
      <c r="D56" s="1436" t="str">
        <f>"If your total profits for "&amp;tax_year&amp;" are less than "&amp;DOLLAR(NIC2_SPT,0)&amp;" and you choose to pay Class 2 NICs voluntarily, put 'X' in the box"</f>
        <v>If your total profits for 2025-26 are less than £6,845 and you choose to pay Class 2 NICs voluntarily, put 'X' in the box</v>
      </c>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A56" s="1778"/>
      <c r="AB56" s="1778"/>
      <c r="AC56" s="1778"/>
      <c r="AD56" s="1778"/>
      <c r="AE56" s="1778"/>
      <c r="AF56" s="1778"/>
      <c r="AG56" s="1778"/>
      <c r="AH56" s="1778"/>
      <c r="AI56" s="1778"/>
      <c r="AJ56" s="1778"/>
      <c r="AK56" s="1778"/>
      <c r="AL56" s="1778"/>
      <c r="AM56" s="1778"/>
      <c r="AN56" s="1778"/>
      <c r="AO56" s="1778"/>
      <c r="AP56" s="1778"/>
      <c r="AQ56" s="1778"/>
      <c r="AR56" s="1778"/>
      <c r="AS56" s="1778"/>
      <c r="AT56" s="1778"/>
      <c r="AU56" s="1778"/>
      <c r="AV56" s="1778"/>
      <c r="AW56" s="1778"/>
      <c r="AX56" s="1778"/>
      <c r="AY56" s="1778"/>
      <c r="AZ56" s="1778"/>
      <c r="BA56" s="1778"/>
      <c r="BB56" s="1778" t="s">
        <v>1707</v>
      </c>
      <c r="BC56" s="1778"/>
      <c r="BD56" s="1778"/>
      <c r="BE56" s="1778"/>
      <c r="BF56" s="1778"/>
      <c r="BG56" s="1778"/>
      <c r="BH56" s="1778"/>
      <c r="BI56" s="1778"/>
      <c r="BJ56" s="1778"/>
      <c r="BK56" s="1778"/>
      <c r="BL56" s="1778"/>
      <c r="BM56" s="1778"/>
      <c r="BN56" s="1778"/>
      <c r="BO56" s="1778"/>
      <c r="BP56" s="1778"/>
      <c r="BQ56" s="1778"/>
      <c r="BR56" s="1778"/>
      <c r="BS56" s="1778"/>
      <c r="BT56" s="1778"/>
      <c r="BU56" s="1778"/>
      <c r="BV56" s="1778"/>
      <c r="BW56" s="1778"/>
      <c r="BX56" s="1778"/>
      <c r="BY56" s="1778"/>
      <c r="BZ56" s="1778"/>
      <c r="CA56" s="1778"/>
      <c r="CB56" s="1778"/>
      <c r="CC56" s="1778"/>
      <c r="CD56" s="1778"/>
      <c r="CE56" s="1778"/>
      <c r="CF56" s="1778"/>
      <c r="CG56" s="1778"/>
      <c r="CH56" s="1778"/>
      <c r="CI56" s="1778"/>
      <c r="CJ56" s="1778"/>
      <c r="CK56" s="1778"/>
      <c r="CL56" s="1778"/>
      <c r="CM56" s="1778"/>
      <c r="CN56" s="1778"/>
      <c r="CO56" s="1778"/>
      <c r="CP56" s="1778"/>
      <c r="CQ56" s="1778"/>
      <c r="CR56" s="1778"/>
      <c r="CS56" s="1778"/>
      <c r="CT56" s="1778"/>
      <c r="CU56" s="1778"/>
      <c r="CV56" s="1778"/>
      <c r="CW56" s="1778"/>
      <c r="CX56" s="1778"/>
      <c r="CY56" s="1778"/>
      <c r="CZ56" s="1778"/>
      <c r="DA56" s="1778"/>
      <c r="DB56" s="1778"/>
      <c r="DC56" s="1778"/>
      <c r="DD56" s="1778"/>
      <c r="DE56" s="1778"/>
      <c r="DF56" s="1778"/>
      <c r="DG56" s="1778"/>
      <c r="DH56" s="1778"/>
      <c r="DI56" s="1778"/>
      <c r="DJ56" s="1779" t="s">
        <v>1707</v>
      </c>
      <c r="DK56" s="1778"/>
      <c r="DL56" s="1778"/>
      <c r="DM56" s="1778"/>
      <c r="DN56" s="1778"/>
      <c r="DO56" s="1778"/>
      <c r="DP56" s="1778"/>
      <c r="DQ56" s="1778"/>
      <c r="DR56" s="1778"/>
      <c r="DS56" s="1778"/>
      <c r="DT56" s="1778"/>
      <c r="DU56" s="1778"/>
      <c r="DV56" s="1778"/>
      <c r="DW56" s="1778"/>
      <c r="DX56" s="1778"/>
      <c r="DY56" s="1778"/>
      <c r="DZ56" s="1778"/>
      <c r="EA56" s="1778"/>
      <c r="EB56" s="1778"/>
      <c r="EC56" s="1778"/>
      <c r="ED56" s="1778"/>
      <c r="EE56" s="1778"/>
      <c r="EF56" s="1778"/>
      <c r="EG56" s="1778"/>
      <c r="EH56" s="1778"/>
      <c r="EI56" s="1778"/>
      <c r="EJ56" s="1778"/>
      <c r="EK56" s="1778"/>
      <c r="EL56" s="1778"/>
      <c r="EM56" s="1778"/>
      <c r="EN56" s="1778"/>
      <c r="EO56" s="1778"/>
      <c r="EP56" s="1778"/>
      <c r="EQ56" s="1778"/>
      <c r="ER56" s="1778"/>
      <c r="ES56" s="1778"/>
      <c r="ET56" s="1778"/>
      <c r="EU56" s="1778"/>
      <c r="EV56" s="1778"/>
      <c r="EW56" s="1778"/>
      <c r="EX56" s="1778"/>
      <c r="EY56" s="1778"/>
      <c r="EZ56" s="1778"/>
      <c r="FA56" s="1778"/>
      <c r="FB56" s="1778"/>
      <c r="FC56" s="1778"/>
      <c r="FD56" s="1778"/>
      <c r="FE56" s="1778"/>
      <c r="FF56" s="1778"/>
      <c r="FG56" s="1778"/>
      <c r="FH56" s="1778"/>
      <c r="FI56" s="1778"/>
      <c r="FJ56" s="1778"/>
      <c r="FK56" s="1778"/>
      <c r="FL56" s="1778"/>
      <c r="FM56" s="1778"/>
      <c r="FN56" s="1778"/>
      <c r="FO56" s="1778"/>
      <c r="FP56" s="1778"/>
      <c r="FQ56" s="1778"/>
      <c r="FR56" s="1778"/>
      <c r="FS56" s="1778"/>
      <c r="FT56" s="1778"/>
      <c r="FU56" s="1778"/>
      <c r="FV56" s="1778"/>
      <c r="FW56" s="1778"/>
      <c r="FX56" s="1778"/>
      <c r="FY56" s="1778"/>
      <c r="FZ56" s="1778"/>
      <c r="GA56" s="1778"/>
      <c r="GB56" s="1778"/>
      <c r="GC56" s="1778"/>
      <c r="GD56" s="1778"/>
      <c r="GE56" s="1778"/>
      <c r="GF56" s="1778"/>
      <c r="GG56" s="1778"/>
      <c r="GH56" s="1778"/>
      <c r="GI56" s="1778"/>
      <c r="GJ56" s="1778"/>
      <c r="GK56" s="1778"/>
      <c r="GL56" s="1778"/>
      <c r="GM56" s="1778"/>
      <c r="GN56" s="1778"/>
      <c r="GO56" s="1778"/>
      <c r="GP56" s="1778"/>
      <c r="GQ56" s="1778"/>
      <c r="GR56" s="1778"/>
      <c r="GS56" s="1778"/>
      <c r="GT56" s="1778"/>
      <c r="GU56" s="1778"/>
      <c r="GV56" s="1778"/>
      <c r="GW56" s="1778"/>
      <c r="GX56" s="1778"/>
      <c r="GY56" s="1778" t="s">
        <v>1707</v>
      </c>
      <c r="GZ56" s="1778"/>
      <c r="HA56" s="1778"/>
      <c r="HB56" s="1778"/>
      <c r="HC56" s="1778"/>
      <c r="HD56" s="1778"/>
      <c r="HE56" s="1778"/>
      <c r="HF56" s="1778"/>
      <c r="HG56" s="1778"/>
      <c r="HH56" s="1778"/>
      <c r="HI56" s="1778"/>
      <c r="HJ56" s="1778"/>
      <c r="HK56" s="1778"/>
      <c r="HL56" s="1778"/>
      <c r="HM56" s="1778"/>
      <c r="HN56" s="1778"/>
      <c r="HO56" s="1778"/>
      <c r="HP56" s="1778"/>
      <c r="HQ56" s="1778"/>
      <c r="HR56" s="1778"/>
      <c r="HS56" s="1778"/>
      <c r="HT56" s="1778"/>
      <c r="HU56" s="1778"/>
      <c r="HV56" s="1778"/>
      <c r="HW56" s="1778"/>
      <c r="HX56" s="1778"/>
      <c r="HY56" s="1778"/>
      <c r="HZ56" s="1778"/>
      <c r="IA56" s="1778"/>
      <c r="IB56" s="1778"/>
      <c r="IC56" s="1778"/>
      <c r="ID56" s="1778"/>
      <c r="IE56" s="1778"/>
      <c r="IF56" s="1778"/>
      <c r="IG56" s="1778"/>
      <c r="IH56" s="1778"/>
      <c r="II56" s="1778"/>
      <c r="IJ56" s="1778"/>
      <c r="IK56" s="1778"/>
      <c r="IL56" s="1778"/>
      <c r="IM56" s="1778"/>
      <c r="IN56" s="1778"/>
      <c r="IO56" s="1778" t="s">
        <v>1707</v>
      </c>
      <c r="IP56" s="1778"/>
      <c r="IQ56" s="1642" t="s">
        <v>1615</v>
      </c>
      <c r="IR56" s="1778"/>
      <c r="IS56" s="1778"/>
      <c r="IT56" s="1642"/>
      <c r="IU56" s="1778"/>
      <c r="IV56" s="1778"/>
      <c r="IW56" s="1778"/>
      <c r="IX56" s="1778"/>
      <c r="IY56" s="1778"/>
      <c r="IZ56" s="1778"/>
      <c r="JA56" s="1778"/>
      <c r="JB56" s="1778" t="s">
        <v>1615</v>
      </c>
      <c r="JC56" s="1778"/>
      <c r="JD56" s="1778"/>
      <c r="JE56" s="1778"/>
      <c r="JF56" s="1778"/>
      <c r="JG56" s="1778"/>
      <c r="JH56" s="1778"/>
      <c r="JI56" s="1642"/>
      <c r="JJ56" s="1778"/>
      <c r="JK56" s="1642"/>
      <c r="JL56" s="1642"/>
      <c r="JM56" s="2472" t="s">
        <v>1707</v>
      </c>
      <c r="JN56" s="1778"/>
      <c r="JO56" s="1642"/>
      <c r="JP56" s="1642"/>
      <c r="JQ56" s="1643"/>
      <c r="JR56" s="351"/>
      <c r="JS56" s="1470"/>
      <c r="JT56" s="450" t="s">
        <v>2319</v>
      </c>
    </row>
    <row r="57" spans="1:280" ht="12.5" x14ac:dyDescent="0.25">
      <c r="A57" s="1367">
        <v>27</v>
      </c>
      <c r="B57" s="1574" t="str">
        <f t="shared" si="4"/>
        <v/>
      </c>
      <c r="C57" s="1435" t="s">
        <v>3604</v>
      </c>
      <c r="D57" s="1436" t="s">
        <v>3011</v>
      </c>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A57" s="1778"/>
      <c r="AB57" s="1778"/>
      <c r="AC57" s="1778"/>
      <c r="AD57" s="1778"/>
      <c r="AE57" s="1778"/>
      <c r="AF57" s="1778"/>
      <c r="AG57" s="1778"/>
      <c r="AH57" s="1778"/>
      <c r="AI57" s="1778"/>
      <c r="AJ57" s="1778"/>
      <c r="AK57" s="1778"/>
      <c r="AL57" s="1778"/>
      <c r="AM57" s="1778"/>
      <c r="AN57" s="1778"/>
      <c r="AO57" s="1778"/>
      <c r="AP57" s="1778"/>
      <c r="AQ57" s="1778"/>
      <c r="AR57" s="1778"/>
      <c r="AS57" s="1778"/>
      <c r="AT57" s="1778"/>
      <c r="AU57" s="1778"/>
      <c r="AV57" s="1778"/>
      <c r="AW57" s="1778"/>
      <c r="AX57" s="1778"/>
      <c r="AY57" s="1778"/>
      <c r="AZ57" s="1778"/>
      <c r="BA57" s="1778"/>
      <c r="BB57" s="1778"/>
      <c r="BC57" s="1778"/>
      <c r="BD57" s="1778"/>
      <c r="BE57" s="1778"/>
      <c r="BF57" s="1778"/>
      <c r="BG57" s="1778"/>
      <c r="BH57" s="1778"/>
      <c r="BI57" s="1778"/>
      <c r="BJ57" s="1778"/>
      <c r="BK57" s="1778"/>
      <c r="BL57" s="1778"/>
      <c r="BM57" s="1778"/>
      <c r="BN57" s="1778"/>
      <c r="BO57" s="1778"/>
      <c r="BP57" s="1778"/>
      <c r="BQ57" s="1778"/>
      <c r="BR57" s="1778"/>
      <c r="BS57" s="1778"/>
      <c r="BT57" s="1778"/>
      <c r="BU57" s="1778"/>
      <c r="BV57" s="1778"/>
      <c r="BW57" s="1778"/>
      <c r="BX57" s="1778"/>
      <c r="BY57" s="1778"/>
      <c r="BZ57" s="1778"/>
      <c r="CA57" s="1778"/>
      <c r="CB57" s="1778"/>
      <c r="CC57" s="1778"/>
      <c r="CD57" s="1778"/>
      <c r="CE57" s="1778" t="s">
        <v>1707</v>
      </c>
      <c r="CF57" s="1778"/>
      <c r="CG57" s="1778"/>
      <c r="CH57" s="1778"/>
      <c r="CI57" s="1778"/>
      <c r="CJ57" s="1778"/>
      <c r="CK57" s="1778"/>
      <c r="CL57" s="1778"/>
      <c r="CM57" s="1778"/>
      <c r="CN57" s="1778"/>
      <c r="CO57" s="1778"/>
      <c r="CP57" s="1778"/>
      <c r="CQ57" s="1778"/>
      <c r="CR57" s="1778"/>
      <c r="CS57" s="1778"/>
      <c r="CT57" s="1778"/>
      <c r="CU57" s="1778"/>
      <c r="CV57" s="1778"/>
      <c r="CW57" s="1778"/>
      <c r="CX57" s="1778"/>
      <c r="CY57" s="1778"/>
      <c r="CZ57" s="1778"/>
      <c r="DA57" s="1778"/>
      <c r="DB57" s="1778"/>
      <c r="DC57" s="1778"/>
      <c r="DD57" s="1778"/>
      <c r="DE57" s="1778"/>
      <c r="DF57" s="1778"/>
      <c r="DG57" s="1778"/>
      <c r="DH57" s="1778" t="s">
        <v>1707</v>
      </c>
      <c r="DI57" s="1778"/>
      <c r="DJ57" s="1778"/>
      <c r="DK57" s="1778"/>
      <c r="DL57" s="1778"/>
      <c r="DM57" s="1778"/>
      <c r="DN57" s="1778"/>
      <c r="DO57" s="1778"/>
      <c r="DP57" s="1778"/>
      <c r="DQ57" s="1778"/>
      <c r="DR57" s="1778"/>
      <c r="DS57" s="1778"/>
      <c r="DT57" s="1778"/>
      <c r="DU57" s="1778"/>
      <c r="DV57" s="1778"/>
      <c r="DW57" s="1778"/>
      <c r="DX57" s="1779" t="s">
        <v>1707</v>
      </c>
      <c r="DY57" s="1779" t="s">
        <v>1707</v>
      </c>
      <c r="DZ57" s="1778"/>
      <c r="EA57" s="1778"/>
      <c r="EB57" s="1778"/>
      <c r="EC57" s="1778"/>
      <c r="ED57" s="1778"/>
      <c r="EE57" s="1778"/>
      <c r="EF57" s="1778"/>
      <c r="EG57" s="1778"/>
      <c r="EH57" s="1778"/>
      <c r="EI57" s="1778"/>
      <c r="EJ57" s="1778"/>
      <c r="EK57" s="1778"/>
      <c r="EL57" s="1778"/>
      <c r="EM57" s="1778"/>
      <c r="EN57" s="1778"/>
      <c r="EO57" s="1778"/>
      <c r="EP57" s="1778"/>
      <c r="EQ57" s="1778"/>
      <c r="ER57" s="1778"/>
      <c r="ES57" s="1778"/>
      <c r="ET57" s="1778"/>
      <c r="EU57" s="1779" t="s">
        <v>1707</v>
      </c>
      <c r="EV57" s="1778"/>
      <c r="EW57" s="1778"/>
      <c r="EX57" s="1778"/>
      <c r="EY57" s="1778"/>
      <c r="EZ57" s="1778"/>
      <c r="FA57" s="1778"/>
      <c r="FB57" s="1778"/>
      <c r="FC57" s="1778"/>
      <c r="FD57" s="1778"/>
      <c r="FE57" s="1778"/>
      <c r="FF57" s="1778"/>
      <c r="FG57" s="1778"/>
      <c r="FH57" s="1778"/>
      <c r="FI57" s="1778"/>
      <c r="FJ57" s="1778"/>
      <c r="FK57" s="1778"/>
      <c r="FL57" s="1778"/>
      <c r="FM57" s="1778"/>
      <c r="FN57" s="1778"/>
      <c r="FO57" s="1778"/>
      <c r="FP57" s="1778"/>
      <c r="FQ57" s="1778"/>
      <c r="FR57" s="1778"/>
      <c r="FS57" s="1778"/>
      <c r="FT57" s="1778"/>
      <c r="FU57" s="1778"/>
      <c r="FV57" s="1778" t="s">
        <v>1707</v>
      </c>
      <c r="FW57" s="1778"/>
      <c r="FX57" s="1778"/>
      <c r="FY57" s="1778"/>
      <c r="FZ57" s="1778"/>
      <c r="GA57" s="1778"/>
      <c r="GB57" s="1778"/>
      <c r="GC57" s="1778"/>
      <c r="GD57" s="1778"/>
      <c r="GE57" s="1778"/>
      <c r="GF57" s="1778"/>
      <c r="GG57" s="1778"/>
      <c r="GH57" s="1778"/>
      <c r="GI57" s="1778"/>
      <c r="GJ57" s="1778"/>
      <c r="GK57" s="1778"/>
      <c r="GL57" s="1778"/>
      <c r="GM57" s="1778"/>
      <c r="GN57" s="1778"/>
      <c r="GO57" s="1778"/>
      <c r="GP57" s="1778"/>
      <c r="GQ57" s="1778"/>
      <c r="GR57" s="1778"/>
      <c r="GS57" s="1778"/>
      <c r="GT57" s="1778"/>
      <c r="GU57" s="1778"/>
      <c r="GV57" s="1778"/>
      <c r="GW57" s="1778"/>
      <c r="GX57" s="1778"/>
      <c r="GY57" s="1778" t="s">
        <v>1615</v>
      </c>
      <c r="GZ57" s="1778"/>
      <c r="HA57" s="1778"/>
      <c r="HB57" s="1778"/>
      <c r="HC57" s="1778"/>
      <c r="HD57" s="1778"/>
      <c r="HE57" s="1778"/>
      <c r="HF57" s="1778"/>
      <c r="HG57" s="1778"/>
      <c r="HH57" s="1778"/>
      <c r="HI57" s="1778"/>
      <c r="HJ57" s="1778"/>
      <c r="HK57" s="1778"/>
      <c r="HL57" s="1778"/>
      <c r="HM57" s="1778"/>
      <c r="HN57" s="1778"/>
      <c r="HO57" s="1778"/>
      <c r="HP57" s="1778"/>
      <c r="HQ57" s="1778"/>
      <c r="HR57" s="1778"/>
      <c r="HS57" s="1778"/>
      <c r="HT57" s="1778"/>
      <c r="HU57" s="1778"/>
      <c r="HV57" s="1778"/>
      <c r="HW57" s="1778"/>
      <c r="HX57" s="1778"/>
      <c r="HY57" s="1778"/>
      <c r="HZ57" s="1778"/>
      <c r="IA57" s="1778"/>
      <c r="IB57" s="1778"/>
      <c r="IC57" s="1778"/>
      <c r="ID57" s="1778"/>
      <c r="IE57" s="1778"/>
      <c r="IF57" s="1778"/>
      <c r="IG57" s="1778"/>
      <c r="IH57" s="1778"/>
      <c r="II57" s="1778"/>
      <c r="IJ57" s="1778"/>
      <c r="IK57" s="1778"/>
      <c r="IL57" s="1778"/>
      <c r="IM57" s="1778"/>
      <c r="IN57" s="1778"/>
      <c r="IO57" s="1778" t="s">
        <v>1615</v>
      </c>
      <c r="IP57" s="1778"/>
      <c r="IQ57" s="1642" t="s">
        <v>1707</v>
      </c>
      <c r="IR57" s="1778"/>
      <c r="IS57" s="1778"/>
      <c r="IT57" s="2472" t="s">
        <v>1707</v>
      </c>
      <c r="IU57" s="1778"/>
      <c r="IV57" s="1778"/>
      <c r="IW57" s="1778"/>
      <c r="IX57" s="1778"/>
      <c r="IY57" s="1778"/>
      <c r="IZ57" s="1778"/>
      <c r="JA57" s="1778"/>
      <c r="JB57" s="1778" t="s">
        <v>1615</v>
      </c>
      <c r="JC57" s="1778"/>
      <c r="JD57" s="1778"/>
      <c r="JE57" s="1778"/>
      <c r="JF57" s="1778"/>
      <c r="JG57" s="1778"/>
      <c r="JH57" s="1778"/>
      <c r="JI57" s="1642" t="s">
        <v>1707</v>
      </c>
      <c r="JJ57" s="1778"/>
      <c r="JK57" s="1642"/>
      <c r="JL57" s="1642"/>
      <c r="JM57" s="2472"/>
      <c r="JN57" s="1778"/>
      <c r="JO57" s="1642"/>
      <c r="JP57" s="1642"/>
      <c r="JQ57" s="1643"/>
      <c r="JR57" s="351"/>
      <c r="JS57" s="1470"/>
      <c r="JT57" s="450" t="s">
        <v>2319</v>
      </c>
    </row>
    <row r="58" spans="1:280" ht="12.5" x14ac:dyDescent="0.25">
      <c r="A58" s="1367">
        <v>28</v>
      </c>
      <c r="B58" s="1574" t="str">
        <f t="shared" si="4"/>
        <v/>
      </c>
      <c r="C58" s="1435" t="s">
        <v>3605</v>
      </c>
      <c r="D58" s="1436" t="s">
        <v>3606</v>
      </c>
      <c r="E58" s="1568"/>
      <c r="F58" s="1568"/>
      <c r="G58" s="1568"/>
      <c r="H58" s="1568"/>
      <c r="I58" s="1568"/>
      <c r="J58" s="1568"/>
      <c r="K58" s="1568"/>
      <c r="L58" s="1568"/>
      <c r="M58" s="1568"/>
      <c r="N58" s="1568"/>
      <c r="O58" s="1568"/>
      <c r="P58" s="1568"/>
      <c r="Q58" s="1568"/>
      <c r="R58" s="1568"/>
      <c r="S58" s="1568"/>
      <c r="T58" s="1568"/>
      <c r="U58" s="1568"/>
      <c r="V58" s="1568"/>
      <c r="W58" s="1568"/>
      <c r="X58" s="1568"/>
      <c r="Y58" s="1568"/>
      <c r="Z58" s="1568"/>
      <c r="AA58" s="1568"/>
      <c r="AB58" s="1568"/>
      <c r="AC58" s="1568"/>
      <c r="AD58" s="1568"/>
      <c r="AE58" s="1568"/>
      <c r="AF58" s="1568"/>
      <c r="AG58" s="1568"/>
      <c r="AH58" s="1568"/>
      <c r="AI58" s="1568"/>
      <c r="AJ58" s="1568"/>
      <c r="AK58" s="1568"/>
      <c r="AL58" s="1568"/>
      <c r="AM58" s="1568"/>
      <c r="AN58" s="1568"/>
      <c r="AO58" s="1568"/>
      <c r="AP58" s="1568"/>
      <c r="AQ58" s="1568"/>
      <c r="AR58" s="1568"/>
      <c r="AS58" s="1568"/>
      <c r="AT58" s="1568"/>
      <c r="AU58" s="1568"/>
      <c r="AV58" s="1568"/>
      <c r="AW58" s="1568"/>
      <c r="AX58" s="1568"/>
      <c r="AY58" s="1568"/>
      <c r="AZ58" s="1568"/>
      <c r="BA58" s="1568"/>
      <c r="BB58" s="1568"/>
      <c r="BC58" s="1568"/>
      <c r="BD58" s="1568"/>
      <c r="BE58" s="1568"/>
      <c r="BF58" s="1568"/>
      <c r="BG58" s="1568"/>
      <c r="BH58" s="1568"/>
      <c r="BI58" s="1568"/>
      <c r="BJ58" s="1568"/>
      <c r="BK58" s="1568"/>
      <c r="BL58" s="1568"/>
      <c r="BM58" s="1568"/>
      <c r="BN58" s="1568"/>
      <c r="BO58" s="1568"/>
      <c r="BP58" s="1568"/>
      <c r="BQ58" s="1568"/>
      <c r="BR58" s="1568"/>
      <c r="BS58" s="1568"/>
      <c r="BT58" s="1568"/>
      <c r="BU58" s="1568"/>
      <c r="BV58" s="1568"/>
      <c r="BW58" s="1568"/>
      <c r="BX58" s="1568"/>
      <c r="BY58" s="1568"/>
      <c r="BZ58" s="1568"/>
      <c r="CA58" s="1568"/>
      <c r="CB58" s="1568"/>
      <c r="CC58" s="1568">
        <v>18997</v>
      </c>
      <c r="CD58" s="1568"/>
      <c r="CE58" s="1568"/>
      <c r="CF58" s="1568"/>
      <c r="CG58" s="1568"/>
      <c r="CH58" s="1568"/>
      <c r="CI58" s="1568"/>
      <c r="CJ58" s="1568"/>
      <c r="CK58" s="1568"/>
      <c r="CL58" s="1568"/>
      <c r="CM58" s="1568"/>
      <c r="CN58" s="1568"/>
      <c r="CO58" s="1568"/>
      <c r="CP58" s="1568"/>
      <c r="CQ58" s="1568"/>
      <c r="CR58" s="1568"/>
      <c r="CS58" s="1568"/>
      <c r="CT58" s="1568"/>
      <c r="CU58" s="1568"/>
      <c r="CV58" s="1568"/>
      <c r="CW58" s="1568"/>
      <c r="CX58" s="1568"/>
      <c r="CY58" s="1568"/>
      <c r="CZ58" s="1568">
        <v>8269</v>
      </c>
      <c r="DA58" s="1568">
        <v>8269</v>
      </c>
      <c r="DB58" s="1568"/>
      <c r="DC58" s="1568"/>
      <c r="DD58" s="1568"/>
      <c r="DE58" s="1568"/>
      <c r="DF58" s="1568"/>
      <c r="DG58" s="1568"/>
      <c r="DH58" s="1568"/>
      <c r="DI58" s="1568"/>
      <c r="DJ58" s="1570">
        <v>10242</v>
      </c>
      <c r="DK58" s="1568"/>
      <c r="DL58" s="1568"/>
      <c r="DM58" s="1568"/>
      <c r="DN58" s="1568"/>
      <c r="DO58" s="1568"/>
      <c r="DP58" s="1568"/>
      <c r="DQ58" s="1568"/>
      <c r="DR58" s="1568"/>
      <c r="DS58" s="1568"/>
      <c r="DT58" s="1568"/>
      <c r="DU58" s="1568"/>
      <c r="DV58" s="1568"/>
      <c r="DW58" s="1568"/>
      <c r="DX58" s="1568"/>
      <c r="DY58" s="1568"/>
      <c r="DZ58" s="1568"/>
      <c r="EA58" s="1568"/>
      <c r="EB58" s="1568"/>
      <c r="EC58" s="1568"/>
      <c r="ED58" s="1568"/>
      <c r="EE58" s="1568"/>
      <c r="EF58" s="1568"/>
      <c r="EG58" s="1568"/>
      <c r="EH58" s="1568"/>
      <c r="EI58" s="1568"/>
      <c r="EJ58" s="1568"/>
      <c r="EK58" s="1568"/>
      <c r="EL58" s="1568"/>
      <c r="EM58" s="1568"/>
      <c r="EN58" s="1568"/>
      <c r="EO58" s="1568"/>
      <c r="EP58" s="1568"/>
      <c r="EQ58" s="1568"/>
      <c r="ER58" s="1568"/>
      <c r="ES58" s="1568"/>
      <c r="ET58" s="1568"/>
      <c r="EU58" s="1568"/>
      <c r="EV58" s="1568"/>
      <c r="EW58" s="1568"/>
      <c r="EX58" s="1568"/>
      <c r="EY58" s="1568"/>
      <c r="EZ58" s="1568"/>
      <c r="FA58" s="1568"/>
      <c r="FB58" s="1568"/>
      <c r="FC58" s="1568"/>
      <c r="FD58" s="1568"/>
      <c r="FE58" s="1568"/>
      <c r="FF58" s="1568"/>
      <c r="FG58" s="1568"/>
      <c r="FH58" s="1568"/>
      <c r="FI58" s="1568"/>
      <c r="FJ58" s="1568"/>
      <c r="FK58" s="1568">
        <v>8269</v>
      </c>
      <c r="FL58" s="1568"/>
      <c r="FM58" s="1568"/>
      <c r="FN58" s="1568"/>
      <c r="FO58" s="1568"/>
      <c r="FP58" s="1568"/>
      <c r="FQ58" s="1568"/>
      <c r="FR58" s="1568"/>
      <c r="FS58" s="1568"/>
      <c r="FT58" s="1568"/>
      <c r="FU58" s="1568"/>
      <c r="FV58" s="1568"/>
      <c r="FW58" s="1568"/>
      <c r="FX58" s="1568"/>
      <c r="FY58" s="1568"/>
      <c r="FZ58" s="1568"/>
      <c r="GA58" s="1568"/>
      <c r="GB58" s="1568"/>
      <c r="GC58" s="1568"/>
      <c r="GD58" s="1568"/>
      <c r="GE58" s="1568"/>
      <c r="GF58" s="1568"/>
      <c r="GG58" s="1568"/>
      <c r="GH58" s="1568"/>
      <c r="GI58" s="1568"/>
      <c r="GJ58" s="1568"/>
      <c r="GK58" s="1568"/>
      <c r="GL58" s="1568"/>
      <c r="GM58" s="1568"/>
      <c r="GN58" s="1568"/>
      <c r="GO58" s="1568"/>
      <c r="GP58" s="1568"/>
      <c r="GQ58" s="1568"/>
      <c r="GR58" s="1568"/>
      <c r="GS58" s="1568"/>
      <c r="GT58" s="1568"/>
      <c r="GU58" s="1568"/>
      <c r="GV58" s="1568"/>
      <c r="GW58" s="1568"/>
      <c r="GX58" s="1568"/>
      <c r="GY58" s="1568"/>
      <c r="GZ58" s="1568"/>
      <c r="HA58" s="1568"/>
      <c r="HB58" s="1568"/>
      <c r="HC58" s="1568"/>
      <c r="HD58" s="1568"/>
      <c r="HE58" s="1568"/>
      <c r="HF58" s="1568"/>
      <c r="HG58" s="1568"/>
      <c r="HH58" s="1568"/>
      <c r="HI58" s="1568"/>
      <c r="HJ58" s="1568"/>
      <c r="HK58" s="1568"/>
      <c r="HL58" s="1568"/>
      <c r="HM58" s="1568"/>
      <c r="HN58" s="1568"/>
      <c r="HO58" s="1568"/>
      <c r="HP58" s="1568"/>
      <c r="HQ58" s="1568"/>
      <c r="HR58" s="1568"/>
      <c r="HS58" s="1568"/>
      <c r="HT58" s="1568"/>
      <c r="HU58" s="1568"/>
      <c r="HV58" s="1568"/>
      <c r="HW58" s="1568"/>
      <c r="HX58" s="1568"/>
      <c r="HY58" s="1568"/>
      <c r="HZ58" s="1568"/>
      <c r="IA58" s="1568"/>
      <c r="IB58" s="1568"/>
      <c r="IC58" s="1568"/>
      <c r="ID58" s="1568"/>
      <c r="IE58" s="1568"/>
      <c r="IF58" s="1568"/>
      <c r="IG58" s="1568"/>
      <c r="IH58" s="1568"/>
      <c r="II58" s="1568"/>
      <c r="IJ58" s="1568"/>
      <c r="IK58" s="1568"/>
      <c r="IL58" s="1568"/>
      <c r="IM58" s="1568"/>
      <c r="IN58" s="1568"/>
      <c r="IO58" s="1568"/>
      <c r="IP58" s="1568"/>
      <c r="IQ58" s="1584"/>
      <c r="IR58" s="1568"/>
      <c r="IS58" s="1568"/>
      <c r="IT58" s="1584"/>
      <c r="IU58" s="1568"/>
      <c r="IV58" s="1568"/>
      <c r="IW58" s="1568"/>
      <c r="IX58" s="1568"/>
      <c r="IY58" s="1568"/>
      <c r="IZ58" s="1568"/>
      <c r="JA58" s="1568"/>
      <c r="JB58" s="1568"/>
      <c r="JC58" s="1568"/>
      <c r="JD58" s="1568"/>
      <c r="JE58" s="1568"/>
      <c r="JF58" s="1568"/>
      <c r="JG58" s="1568"/>
      <c r="JH58" s="1568"/>
      <c r="JI58" s="1584"/>
      <c r="JJ58" s="1568"/>
      <c r="JK58" s="1584"/>
      <c r="JL58" s="1584"/>
      <c r="JM58" s="1584"/>
      <c r="JN58" s="1568"/>
      <c r="JO58" s="1584"/>
      <c r="JP58" s="1584"/>
      <c r="JQ58" s="1585"/>
      <c r="JR58" s="351"/>
      <c r="JS58" s="1400" t="s">
        <v>3607</v>
      </c>
      <c r="JT58" s="450" t="s">
        <v>2242</v>
      </c>
    </row>
    <row r="59" spans="1:280" ht="12.5" x14ac:dyDescent="0.25">
      <c r="A59" s="1367">
        <v>29</v>
      </c>
      <c r="B59" s="1574" t="str">
        <f t="shared" si="4"/>
        <v/>
      </c>
      <c r="C59" s="1435" t="s">
        <v>3608</v>
      </c>
      <c r="D59" s="1436" t="s">
        <v>3609</v>
      </c>
      <c r="E59" s="1568"/>
      <c r="F59" s="1568"/>
      <c r="G59" s="1568"/>
      <c r="H59" s="1568"/>
      <c r="I59" s="1568"/>
      <c r="J59" s="1568"/>
      <c r="K59" s="1568"/>
      <c r="L59" s="1568"/>
      <c r="M59" s="1568"/>
      <c r="N59" s="1568"/>
      <c r="O59" s="1568"/>
      <c r="P59" s="1568"/>
      <c r="Q59" s="1568"/>
      <c r="R59" s="1568"/>
      <c r="S59" s="1568"/>
      <c r="T59" s="1568"/>
      <c r="U59" s="1568"/>
      <c r="V59" s="1568"/>
      <c r="W59" s="1568"/>
      <c r="X59" s="1568"/>
      <c r="Y59" s="1568"/>
      <c r="Z59" s="1568"/>
      <c r="AA59" s="1568"/>
      <c r="AB59" s="1568"/>
      <c r="AC59" s="1568"/>
      <c r="AD59" s="1568"/>
      <c r="AE59" s="1568"/>
      <c r="AF59" s="1568"/>
      <c r="AG59" s="1568"/>
      <c r="AH59" s="1568"/>
      <c r="AI59" s="1568"/>
      <c r="AJ59" s="1568"/>
      <c r="AK59" s="1568"/>
      <c r="AL59" s="1568"/>
      <c r="AM59" s="1568"/>
      <c r="AN59" s="1568"/>
      <c r="AO59" s="1568"/>
      <c r="AP59" s="1568"/>
      <c r="AQ59" s="1568"/>
      <c r="AR59" s="1568"/>
      <c r="AS59" s="1568"/>
      <c r="AT59" s="1568"/>
      <c r="AU59" s="1568"/>
      <c r="AV59" s="1568"/>
      <c r="AW59" s="1568"/>
      <c r="AX59" s="1568"/>
      <c r="AY59" s="1568"/>
      <c r="AZ59" s="1568"/>
      <c r="BA59" s="1568"/>
      <c r="BB59" s="1568">
        <v>426</v>
      </c>
      <c r="BC59" s="1568"/>
      <c r="BD59" s="1568"/>
      <c r="BE59" s="1568"/>
      <c r="BF59" s="1568"/>
      <c r="BG59" s="1568"/>
      <c r="BH59" s="1568"/>
      <c r="BI59" s="1568"/>
      <c r="BJ59" s="1568"/>
      <c r="BK59" s="1568"/>
      <c r="BL59" s="1568"/>
      <c r="BM59" s="1568"/>
      <c r="BN59" s="1568"/>
      <c r="BO59" s="1568"/>
      <c r="BP59" s="1568"/>
      <c r="BQ59" s="1568"/>
      <c r="BR59" s="1568"/>
      <c r="BS59" s="1568"/>
      <c r="BT59" s="1568"/>
      <c r="BU59" s="1568"/>
      <c r="BV59" s="1568"/>
      <c r="BW59" s="1568"/>
      <c r="BX59" s="1568"/>
      <c r="BY59" s="1568"/>
      <c r="BZ59" s="1568"/>
      <c r="CA59" s="1568"/>
      <c r="CB59" s="1568">
        <v>2160</v>
      </c>
      <c r="CC59" s="1568">
        <v>2109</v>
      </c>
      <c r="CD59" s="1570">
        <v>5</v>
      </c>
      <c r="CE59" s="1568"/>
      <c r="CF59" s="1568"/>
      <c r="CG59" s="1568"/>
      <c r="CH59" s="1568">
        <v>868</v>
      </c>
      <c r="CI59" s="1568">
        <v>43</v>
      </c>
      <c r="CJ59" s="1570">
        <v>2074</v>
      </c>
      <c r="CK59" s="1568"/>
      <c r="CL59" s="1568"/>
      <c r="CM59" s="1568"/>
      <c r="CN59" s="1568"/>
      <c r="CO59" s="1568"/>
      <c r="CP59" s="1568">
        <v>331</v>
      </c>
      <c r="CQ59" s="1568"/>
      <c r="CR59" s="1568"/>
      <c r="CS59" s="1568"/>
      <c r="CT59" s="1568"/>
      <c r="CU59" s="1568"/>
      <c r="CV59" s="1568"/>
      <c r="CW59" s="1568"/>
      <c r="CX59" s="1568"/>
      <c r="CY59" s="1568">
        <v>1265</v>
      </c>
      <c r="CZ59" s="1568">
        <v>21569</v>
      </c>
      <c r="DA59" s="1568">
        <v>21569</v>
      </c>
      <c r="DB59" s="1568"/>
      <c r="DC59" s="1568"/>
      <c r="DD59" s="1568"/>
      <c r="DE59" s="1568"/>
      <c r="DF59" s="1568"/>
      <c r="DG59" s="1568"/>
      <c r="DH59" s="1568"/>
      <c r="DI59" s="1568"/>
      <c r="DJ59" s="1570">
        <v>41</v>
      </c>
      <c r="DK59" s="1568"/>
      <c r="DL59" s="1568"/>
      <c r="DM59" s="1568">
        <v>1265</v>
      </c>
      <c r="DN59" s="1568"/>
      <c r="DO59" s="1568"/>
      <c r="DP59" s="1568"/>
      <c r="DQ59" s="1568"/>
      <c r="DR59" s="1568"/>
      <c r="DS59" s="1568"/>
      <c r="DT59" s="1568"/>
      <c r="DU59" s="1568"/>
      <c r="DV59" s="1568"/>
      <c r="DW59" s="1568"/>
      <c r="DX59" s="1568"/>
      <c r="DY59" s="1568"/>
      <c r="DZ59" s="1568"/>
      <c r="EA59" s="1568"/>
      <c r="EB59" s="1568"/>
      <c r="EC59" s="1568"/>
      <c r="ED59" s="1568"/>
      <c r="EE59" s="1568"/>
      <c r="EF59" s="1568"/>
      <c r="EG59" s="1568"/>
      <c r="EH59" s="1568"/>
      <c r="EI59" s="1568">
        <v>854</v>
      </c>
      <c r="EJ59" s="1568"/>
      <c r="EK59" s="1568"/>
      <c r="EL59" s="1568"/>
      <c r="EM59" s="1568"/>
      <c r="EN59" s="1568"/>
      <c r="EO59" s="1568"/>
      <c r="EP59" s="1568"/>
      <c r="EQ59" s="1568"/>
      <c r="ER59" s="1568"/>
      <c r="ES59" s="1568"/>
      <c r="ET59" s="1568"/>
      <c r="EU59" s="1568"/>
      <c r="EV59" s="1568"/>
      <c r="EW59" s="1568"/>
      <c r="EX59" s="1568"/>
      <c r="EY59" s="1568"/>
      <c r="EZ59" s="1568"/>
      <c r="FA59" s="1568">
        <v>1265</v>
      </c>
      <c r="FB59" s="1568"/>
      <c r="FC59" s="1568"/>
      <c r="FD59" s="1570">
        <v>3000</v>
      </c>
      <c r="FE59" s="1568"/>
      <c r="FF59" s="1568"/>
      <c r="FG59" s="1568"/>
      <c r="FH59" s="1570">
        <v>3000</v>
      </c>
      <c r="FI59" s="1568"/>
      <c r="FJ59" s="1568"/>
      <c r="FK59" s="1568">
        <v>21569</v>
      </c>
      <c r="FL59" s="1568"/>
      <c r="FM59" s="1568"/>
      <c r="FN59" s="1568"/>
      <c r="FO59" s="1570">
        <v>13</v>
      </c>
      <c r="FP59" s="1568"/>
      <c r="FQ59" s="1568"/>
      <c r="FR59" s="1568"/>
      <c r="FS59" s="1568"/>
      <c r="FT59" s="1568"/>
      <c r="FU59" s="1568"/>
      <c r="FV59" s="1568"/>
      <c r="FW59" s="1568"/>
      <c r="FX59" s="1568"/>
      <c r="FY59" s="1568"/>
      <c r="FZ59" s="1568"/>
      <c r="GA59" s="1568"/>
      <c r="GB59" s="1568"/>
      <c r="GC59" s="1568"/>
      <c r="GD59" s="1568"/>
      <c r="GE59" s="1568"/>
      <c r="GF59" s="1568"/>
      <c r="GG59" s="1568"/>
      <c r="GH59" s="1568"/>
      <c r="GI59" s="1568"/>
      <c r="GJ59" s="1568"/>
      <c r="GK59" s="1568"/>
      <c r="GL59" s="1568"/>
      <c r="GM59" s="1568"/>
      <c r="GN59" s="1568"/>
      <c r="GO59" s="1568"/>
      <c r="GP59" s="1568"/>
      <c r="GQ59" s="1568"/>
      <c r="GR59" s="1568"/>
      <c r="GS59" s="1568"/>
      <c r="GT59" s="1568"/>
      <c r="GU59" s="1568"/>
      <c r="GV59" s="1568"/>
      <c r="GW59" s="1568"/>
      <c r="GX59" s="1568"/>
      <c r="GY59" s="1568">
        <v>855</v>
      </c>
      <c r="GZ59" s="1568"/>
      <c r="HA59" s="1568"/>
      <c r="HB59" s="1568"/>
      <c r="HC59" s="1568"/>
      <c r="HD59" s="1568"/>
      <c r="HE59" s="1568"/>
      <c r="HF59" s="1568"/>
      <c r="HG59" s="1568"/>
      <c r="HH59" s="1568"/>
      <c r="HI59" s="1568"/>
      <c r="HJ59" s="1568"/>
      <c r="HK59" s="1568"/>
      <c r="HL59" s="1568"/>
      <c r="HM59" s="1568"/>
      <c r="HN59" s="1568"/>
      <c r="HO59" s="1568"/>
      <c r="HP59" s="1568"/>
      <c r="HQ59" s="1568"/>
      <c r="HR59" s="1568"/>
      <c r="HS59" s="1568"/>
      <c r="HT59" s="1568"/>
      <c r="HU59" s="1568"/>
      <c r="HV59" s="1568"/>
      <c r="HW59" s="1568"/>
      <c r="HX59" s="1568"/>
      <c r="HY59" s="1568"/>
      <c r="HZ59" s="1568"/>
      <c r="IA59" s="1568"/>
      <c r="IB59" s="1568"/>
      <c r="IC59" s="1568"/>
      <c r="ID59" s="1568"/>
      <c r="IE59" s="1568"/>
      <c r="IF59" s="1568"/>
      <c r="IG59" s="1568"/>
      <c r="IH59" s="1568"/>
      <c r="II59" s="1568"/>
      <c r="IJ59" s="1568"/>
      <c r="IK59" s="1568"/>
      <c r="IL59" s="1568"/>
      <c r="IM59" s="1568"/>
      <c r="IN59" s="1568"/>
      <c r="IO59" s="1568"/>
      <c r="IP59" s="1568"/>
      <c r="IQ59" s="1584"/>
      <c r="IR59" s="1568"/>
      <c r="IS59" s="1570">
        <v>12689</v>
      </c>
      <c r="IT59" s="1584">
        <v>5319</v>
      </c>
      <c r="IU59" s="1570">
        <v>137</v>
      </c>
      <c r="IV59" s="1568"/>
      <c r="IW59" s="1568"/>
      <c r="IX59" s="1568"/>
      <c r="IY59" s="1568"/>
      <c r="IZ59" s="1568"/>
      <c r="JA59" s="1568"/>
      <c r="JB59" s="1568"/>
      <c r="JC59" s="1568"/>
      <c r="JD59" s="1568"/>
      <c r="JE59" s="1568"/>
      <c r="JF59" s="1568"/>
      <c r="JG59" s="1568"/>
      <c r="JH59" s="1568"/>
      <c r="JI59" s="1584">
        <v>14</v>
      </c>
      <c r="JJ59" s="1568"/>
      <c r="JK59" s="1584"/>
      <c r="JL59" s="1584">
        <v>7</v>
      </c>
      <c r="JM59" s="1584">
        <v>14</v>
      </c>
      <c r="JN59" s="1568"/>
      <c r="JO59" s="1584"/>
      <c r="JP59" s="1584"/>
      <c r="JQ59" s="1585"/>
      <c r="JR59" s="351"/>
      <c r="JS59" s="1400"/>
      <c r="JT59" s="450" t="s">
        <v>2242</v>
      </c>
    </row>
    <row r="60" spans="1:280" ht="12.5" x14ac:dyDescent="0.25">
      <c r="A60" s="1367">
        <v>30</v>
      </c>
      <c r="B60" s="1574" t="str">
        <f t="shared" si="4"/>
        <v/>
      </c>
      <c r="C60" s="1435" t="s">
        <v>3610</v>
      </c>
      <c r="D60" s="1436" t="s">
        <v>3611</v>
      </c>
      <c r="E60" s="1568"/>
      <c r="F60" s="1568"/>
      <c r="G60" s="1568"/>
      <c r="H60" s="1568"/>
      <c r="I60" s="1568"/>
      <c r="J60" s="1568"/>
      <c r="K60" s="1568"/>
      <c r="L60" s="1568"/>
      <c r="M60" s="1568"/>
      <c r="N60" s="1568"/>
      <c r="O60" s="1568"/>
      <c r="P60" s="1568"/>
      <c r="Q60" s="1568"/>
      <c r="R60" s="1568"/>
      <c r="S60" s="1568"/>
      <c r="T60" s="1568"/>
      <c r="U60" s="1568"/>
      <c r="V60" s="1568"/>
      <c r="W60" s="1568"/>
      <c r="X60" s="1568"/>
      <c r="Y60" s="1568"/>
      <c r="Z60" s="1568"/>
      <c r="AA60" s="1568"/>
      <c r="AB60" s="1568"/>
      <c r="AC60" s="1568"/>
      <c r="AD60" s="1568"/>
      <c r="AE60" s="1568"/>
      <c r="AF60" s="1568"/>
      <c r="AG60" s="1568"/>
      <c r="AH60" s="1568"/>
      <c r="AI60" s="1568"/>
      <c r="AJ60" s="1568"/>
      <c r="AK60" s="1568"/>
      <c r="AL60" s="1568"/>
      <c r="AM60" s="1568"/>
      <c r="AN60" s="1568"/>
      <c r="AO60" s="1568"/>
      <c r="AP60" s="1568"/>
      <c r="AQ60" s="1568"/>
      <c r="AR60" s="1568"/>
      <c r="AS60" s="1568"/>
      <c r="AT60" s="1568"/>
      <c r="AU60" s="1568"/>
      <c r="AV60" s="1568"/>
      <c r="AW60" s="1568"/>
      <c r="AX60" s="1568"/>
      <c r="AY60" s="1568"/>
      <c r="AZ60" s="1568"/>
      <c r="BA60" s="1568"/>
      <c r="BB60" s="1568"/>
      <c r="BC60" s="1568"/>
      <c r="BD60" s="1568"/>
      <c r="BE60" s="1568"/>
      <c r="BF60" s="1568"/>
      <c r="BG60" s="1568"/>
      <c r="BH60" s="1568"/>
      <c r="BI60" s="1568"/>
      <c r="BJ60" s="1568"/>
      <c r="BK60" s="1568"/>
      <c r="BL60" s="1568"/>
      <c r="BM60" s="1568"/>
      <c r="BN60" s="1568"/>
      <c r="BO60" s="1568"/>
      <c r="BP60" s="1568"/>
      <c r="BQ60" s="1568"/>
      <c r="BR60" s="1568"/>
      <c r="BS60" s="1568"/>
      <c r="BT60" s="1568"/>
      <c r="BU60" s="1568"/>
      <c r="BV60" s="1568"/>
      <c r="BW60" s="1568"/>
      <c r="BX60" s="1568"/>
      <c r="BY60" s="1568"/>
      <c r="BZ60" s="1568"/>
      <c r="CA60" s="1568"/>
      <c r="CB60" s="1568"/>
      <c r="CC60" s="1568"/>
      <c r="CD60" s="1568"/>
      <c r="CE60" s="1568"/>
      <c r="CF60" s="1568"/>
      <c r="CG60" s="1568"/>
      <c r="CH60" s="1568"/>
      <c r="CI60" s="1568"/>
      <c r="CJ60" s="1568"/>
      <c r="CK60" s="1568"/>
      <c r="CL60" s="1568"/>
      <c r="CM60" s="1568"/>
      <c r="CN60" s="1568"/>
      <c r="CO60" s="1568"/>
      <c r="CP60" s="1568"/>
      <c r="CQ60" s="1568"/>
      <c r="CR60" s="1568"/>
      <c r="CS60" s="1568"/>
      <c r="CT60" s="1568"/>
      <c r="CU60" s="1568"/>
      <c r="CV60" s="1568"/>
      <c r="CW60" s="1568"/>
      <c r="CX60" s="1568"/>
      <c r="CY60" s="1568"/>
      <c r="CZ60" s="1569">
        <v>-4314</v>
      </c>
      <c r="DA60" s="1569">
        <v>-4314</v>
      </c>
      <c r="DB60" s="1568"/>
      <c r="DC60" s="1568"/>
      <c r="DD60" s="1568"/>
      <c r="DE60" s="1568"/>
      <c r="DF60" s="1568"/>
      <c r="DG60" s="1568"/>
      <c r="DH60" s="1568"/>
      <c r="DI60" s="1568"/>
      <c r="DJ60" s="1568"/>
      <c r="DK60" s="1568"/>
      <c r="DL60" s="1568"/>
      <c r="DM60" s="1568"/>
      <c r="DN60" s="1568"/>
      <c r="DO60" s="1568"/>
      <c r="DP60" s="1568"/>
      <c r="DQ60" s="1568"/>
      <c r="DR60" s="1568"/>
      <c r="DS60" s="1568"/>
      <c r="DT60" s="1568"/>
      <c r="DU60" s="1568"/>
      <c r="DV60" s="1568"/>
      <c r="DW60" s="1568"/>
      <c r="DX60" s="1568"/>
      <c r="DY60" s="1568"/>
      <c r="DZ60" s="1568"/>
      <c r="EA60" s="1568"/>
      <c r="EB60" s="1568"/>
      <c r="EC60" s="1568"/>
      <c r="ED60" s="1568"/>
      <c r="EE60" s="1568"/>
      <c r="EF60" s="1568"/>
      <c r="EG60" s="1568"/>
      <c r="EH60" s="1568"/>
      <c r="EI60" s="1568"/>
      <c r="EJ60" s="1568"/>
      <c r="EK60" s="1568"/>
      <c r="EL60" s="1568"/>
      <c r="EM60" s="1568"/>
      <c r="EN60" s="1568"/>
      <c r="EO60" s="1568"/>
      <c r="EP60" s="1568"/>
      <c r="EQ60" s="1568"/>
      <c r="ER60" s="1568"/>
      <c r="ES60" s="1568"/>
      <c r="ET60" s="1568"/>
      <c r="EU60" s="1568"/>
      <c r="EV60" s="1568"/>
      <c r="EW60" s="1568"/>
      <c r="EX60" s="1568"/>
      <c r="EY60" s="1568"/>
      <c r="EZ60" s="1568"/>
      <c r="FA60" s="1568"/>
      <c r="FB60" s="1568"/>
      <c r="FC60" s="1568"/>
      <c r="FD60" s="1568"/>
      <c r="FE60" s="1568"/>
      <c r="FF60" s="1568"/>
      <c r="FG60" s="1568"/>
      <c r="FH60" s="1568"/>
      <c r="FI60" s="1568"/>
      <c r="FJ60" s="1568"/>
      <c r="FK60" s="1569">
        <v>-4314</v>
      </c>
      <c r="FL60" s="1568"/>
      <c r="FM60" s="1568"/>
      <c r="FN60" s="1568"/>
      <c r="FO60" s="1568"/>
      <c r="FP60" s="1568"/>
      <c r="FQ60" s="1568"/>
      <c r="FR60" s="1568"/>
      <c r="FS60" s="1568"/>
      <c r="FT60" s="1568"/>
      <c r="FU60" s="1568"/>
      <c r="FV60" s="1568"/>
      <c r="FW60" s="1568"/>
      <c r="FX60" s="1568"/>
      <c r="FY60" s="1568"/>
      <c r="FZ60" s="1568"/>
      <c r="GA60" s="1568"/>
      <c r="GB60" s="1568"/>
      <c r="GC60" s="1568"/>
      <c r="GD60" s="1568"/>
      <c r="GE60" s="1568"/>
      <c r="GF60" s="1568"/>
      <c r="GG60" s="1568"/>
      <c r="GH60" s="1568"/>
      <c r="GI60" s="1568"/>
      <c r="GJ60" s="1568"/>
      <c r="GK60" s="1568"/>
      <c r="GL60" s="1568"/>
      <c r="GM60" s="1568"/>
      <c r="GN60" s="1568"/>
      <c r="GO60" s="1568"/>
      <c r="GP60" s="1568"/>
      <c r="GQ60" s="1568"/>
      <c r="GR60" s="1568"/>
      <c r="GS60" s="1568"/>
      <c r="GT60" s="1568"/>
      <c r="GU60" s="1568"/>
      <c r="GV60" s="1568"/>
      <c r="GW60" s="1568"/>
      <c r="GX60" s="1568"/>
      <c r="GY60" s="1568"/>
      <c r="GZ60" s="1568"/>
      <c r="HA60" s="1568"/>
      <c r="HB60" s="1568"/>
      <c r="HC60" s="1568"/>
      <c r="HD60" s="1568"/>
      <c r="HE60" s="1568"/>
      <c r="HF60" s="1568"/>
      <c r="HG60" s="1568"/>
      <c r="HH60" s="1568"/>
      <c r="HI60" s="1568"/>
      <c r="HJ60" s="1568"/>
      <c r="HK60" s="1568"/>
      <c r="HL60" s="1568"/>
      <c r="HM60" s="1568"/>
      <c r="HN60" s="1568"/>
      <c r="HO60" s="1568"/>
      <c r="HP60" s="1568"/>
      <c r="HQ60" s="1568"/>
      <c r="HR60" s="1568"/>
      <c r="HS60" s="1568"/>
      <c r="HT60" s="1568"/>
      <c r="HU60" s="1568"/>
      <c r="HV60" s="1568"/>
      <c r="HW60" s="1568"/>
      <c r="HX60" s="1568"/>
      <c r="HY60" s="1568"/>
      <c r="HZ60" s="1568"/>
      <c r="IA60" s="1568"/>
      <c r="IB60" s="1568"/>
      <c r="IC60" s="1568"/>
      <c r="ID60" s="1568"/>
      <c r="IE60" s="1568"/>
      <c r="IF60" s="1568"/>
      <c r="IG60" s="1568"/>
      <c r="IH60" s="1568"/>
      <c r="II60" s="1568"/>
      <c r="IJ60" s="1568"/>
      <c r="IK60" s="1568"/>
      <c r="IL60" s="1568"/>
      <c r="IM60" s="1568"/>
      <c r="IN60" s="1568"/>
      <c r="IO60" s="1568"/>
      <c r="IP60" s="1568"/>
      <c r="IQ60" s="1584"/>
      <c r="IR60" s="1568"/>
      <c r="IS60" s="1568"/>
      <c r="IT60" s="1584"/>
      <c r="IU60" s="1568"/>
      <c r="IV60" s="1568"/>
      <c r="IW60" s="1568"/>
      <c r="IX60" s="1568"/>
      <c r="IY60" s="1568"/>
      <c r="IZ60" s="1568"/>
      <c r="JA60" s="1568"/>
      <c r="JB60" s="1568"/>
      <c r="JC60" s="1568"/>
      <c r="JD60" s="1568"/>
      <c r="JE60" s="1568"/>
      <c r="JF60" s="1568"/>
      <c r="JG60" s="1568"/>
      <c r="JH60" s="1568"/>
      <c r="JI60" s="1584"/>
      <c r="JJ60" s="1568"/>
      <c r="JK60" s="1584"/>
      <c r="JL60" s="1584"/>
      <c r="JM60" s="1584"/>
      <c r="JN60" s="1568"/>
      <c r="JO60" s="1584"/>
      <c r="JP60" s="1584"/>
      <c r="JQ60" s="1585"/>
      <c r="JR60" s="351"/>
      <c r="JS60" s="1400"/>
      <c r="JT60" s="450" t="s">
        <v>2253</v>
      </c>
    </row>
    <row r="61" spans="1:280" ht="12.5" x14ac:dyDescent="0.25">
      <c r="A61" s="1367">
        <v>31</v>
      </c>
      <c r="B61" s="1574" t="str">
        <f t="shared" si="4"/>
        <v/>
      </c>
      <c r="C61" s="1435" t="s">
        <v>3612</v>
      </c>
      <c r="D61" s="1436" t="s">
        <v>3613</v>
      </c>
      <c r="E61" s="1563"/>
      <c r="F61" s="1563"/>
      <c r="G61" s="1563"/>
      <c r="H61" s="1563"/>
      <c r="I61" s="1563"/>
      <c r="J61" s="1563"/>
      <c r="K61" s="1563"/>
      <c r="L61" s="1563"/>
      <c r="M61" s="1563"/>
      <c r="N61" s="1563"/>
      <c r="O61" s="1563"/>
      <c r="P61" s="1563"/>
      <c r="Q61" s="1563"/>
      <c r="R61" s="1563"/>
      <c r="S61" s="1563"/>
      <c r="T61" s="1563"/>
      <c r="U61" s="1563"/>
      <c r="V61" s="1563"/>
      <c r="W61" s="1563"/>
      <c r="X61" s="1563"/>
      <c r="Y61" s="1563"/>
      <c r="Z61" s="1563"/>
      <c r="AA61" s="1563"/>
      <c r="AB61" s="1563"/>
      <c r="AC61" s="1563"/>
      <c r="AD61" s="1563"/>
      <c r="AE61" s="1563"/>
      <c r="AF61" s="1563"/>
      <c r="AG61" s="1563"/>
      <c r="AH61" s="1563"/>
      <c r="AI61" s="1563"/>
      <c r="AJ61" s="1563"/>
      <c r="AK61" s="1563"/>
      <c r="AL61" s="1563"/>
      <c r="AM61" s="1563"/>
      <c r="AN61" s="1563"/>
      <c r="AO61" s="1563"/>
      <c r="AP61" s="1563"/>
      <c r="AQ61" s="1563"/>
      <c r="AR61" s="1563"/>
      <c r="AS61" s="1563"/>
      <c r="AT61" s="1563"/>
      <c r="AU61" s="1563"/>
      <c r="AV61" s="1563"/>
      <c r="AW61" s="1563"/>
      <c r="AX61" s="1563"/>
      <c r="AY61" s="1563"/>
      <c r="AZ61" s="1563"/>
      <c r="BA61" s="1563"/>
      <c r="BB61" s="1563">
        <f>BB59+BB60</f>
        <v>426</v>
      </c>
      <c r="BC61" s="1563">
        <f>BC59+BC60</f>
        <v>0</v>
      </c>
      <c r="BD61" s="1563"/>
      <c r="BE61" s="1563"/>
      <c r="BF61" s="1563"/>
      <c r="BG61" s="1563"/>
      <c r="BH61" s="1563"/>
      <c r="BI61" s="1563"/>
      <c r="BJ61" s="1563"/>
      <c r="BK61" s="1563"/>
      <c r="BL61" s="1563"/>
      <c r="BM61" s="1563"/>
      <c r="BN61" s="1563"/>
      <c r="BO61" s="1563"/>
      <c r="BP61" s="1563"/>
      <c r="BQ61" s="1563"/>
      <c r="BR61" s="1563"/>
      <c r="BS61" s="1563"/>
      <c r="BT61" s="1563"/>
      <c r="BU61" s="1563"/>
      <c r="BV61" s="1563"/>
      <c r="BW61" s="1563"/>
      <c r="BX61" s="1563"/>
      <c r="BY61" s="1563"/>
      <c r="BZ61" s="1563"/>
      <c r="CA61" s="1563"/>
      <c r="CB61" s="1563">
        <f>CB59+CB60</f>
        <v>2160</v>
      </c>
      <c r="CC61" s="1563">
        <f>CC59+CC60</f>
        <v>2109</v>
      </c>
      <c r="CD61" s="1572">
        <f>CD59+CD60</f>
        <v>5</v>
      </c>
      <c r="CE61" s="1563"/>
      <c r="CF61" s="1563"/>
      <c r="CG61" s="1563"/>
      <c r="CH61" s="1563">
        <f>CH59+CH60</f>
        <v>868</v>
      </c>
      <c r="CI61" s="1563">
        <f>CI59+CI60</f>
        <v>43</v>
      </c>
      <c r="CJ61" s="1572">
        <f>CJ59+CJ60</f>
        <v>2074</v>
      </c>
      <c r="CK61" s="1563"/>
      <c r="CL61" s="1563"/>
      <c r="CM61" s="1563"/>
      <c r="CN61" s="1563"/>
      <c r="CO61" s="1563"/>
      <c r="CP61" s="1563">
        <f>CP59+CP60</f>
        <v>331</v>
      </c>
      <c r="CQ61" s="1563"/>
      <c r="CR61" s="1563"/>
      <c r="CS61" s="1563"/>
      <c r="CT61" s="1563"/>
      <c r="CU61" s="1563"/>
      <c r="CV61" s="1563"/>
      <c r="CW61" s="1563"/>
      <c r="CX61" s="1563"/>
      <c r="CY61" s="1563">
        <f>CY59+CY60</f>
        <v>1265</v>
      </c>
      <c r="CZ61" s="1563">
        <f>CZ59+CZ60</f>
        <v>17255</v>
      </c>
      <c r="DA61" s="1563">
        <f>DA59+DA60</f>
        <v>17255</v>
      </c>
      <c r="DB61" s="1563"/>
      <c r="DC61" s="1563"/>
      <c r="DD61" s="1563"/>
      <c r="DE61" s="1563"/>
      <c r="DF61" s="1563"/>
      <c r="DG61" s="1563"/>
      <c r="DH61" s="1563"/>
      <c r="DI61" s="1563"/>
      <c r="DJ61" s="1572">
        <f>DJ59+DJ60</f>
        <v>41</v>
      </c>
      <c r="DK61" s="1563"/>
      <c r="DL61" s="1563"/>
      <c r="DM61" s="1563">
        <f>DM59+DM60</f>
        <v>1265</v>
      </c>
      <c r="DN61" s="1563"/>
      <c r="DO61" s="1563"/>
      <c r="DP61" s="1563"/>
      <c r="DQ61" s="1563"/>
      <c r="DR61" s="1563"/>
      <c r="DS61" s="1563"/>
      <c r="DT61" s="1563"/>
      <c r="DU61" s="1563"/>
      <c r="DV61" s="1563"/>
      <c r="DW61" s="1563"/>
      <c r="DX61" s="1563"/>
      <c r="DY61" s="1563"/>
      <c r="DZ61" s="1563"/>
      <c r="EA61" s="1563"/>
      <c r="EB61" s="1563"/>
      <c r="EC61" s="1563"/>
      <c r="ED61" s="1563"/>
      <c r="EE61" s="1563"/>
      <c r="EF61" s="1563"/>
      <c r="EG61" s="1563"/>
      <c r="EH61" s="1563">
        <f>EH59+EH60</f>
        <v>0</v>
      </c>
      <c r="EI61" s="1563">
        <f>EI59+EI60</f>
        <v>854</v>
      </c>
      <c r="EJ61" s="1563"/>
      <c r="EK61" s="1563"/>
      <c r="EL61" s="1563"/>
      <c r="EM61" s="1563"/>
      <c r="EN61" s="1563"/>
      <c r="EO61" s="1563"/>
      <c r="EP61" s="1563"/>
      <c r="EQ61" s="1563"/>
      <c r="ER61" s="1563"/>
      <c r="ES61" s="1563"/>
      <c r="ET61" s="1563"/>
      <c r="EU61" s="1563"/>
      <c r="EV61" s="1563"/>
      <c r="EW61" s="1563"/>
      <c r="EX61" s="1563"/>
      <c r="EY61" s="1563"/>
      <c r="EZ61" s="1563"/>
      <c r="FA61" s="1563">
        <f>FA59+FA60</f>
        <v>1265</v>
      </c>
      <c r="FB61" s="1563"/>
      <c r="FC61" s="1563"/>
      <c r="FD61" s="1572">
        <f t="shared" ref="FD61:FH61" si="28">FD59+FD60</f>
        <v>3000</v>
      </c>
      <c r="FE61" s="1563"/>
      <c r="FF61" s="1563"/>
      <c r="FG61" s="1563"/>
      <c r="FH61" s="1572">
        <f t="shared" si="28"/>
        <v>3000</v>
      </c>
      <c r="FI61" s="1563"/>
      <c r="FJ61" s="1563"/>
      <c r="FK61" s="1563">
        <f>FK59+FK60</f>
        <v>17255</v>
      </c>
      <c r="FL61" s="1563"/>
      <c r="FM61" s="1563"/>
      <c r="FN61" s="1563"/>
      <c r="FO61" s="1572">
        <f t="shared" ref="FO61" si="29">FO59+FO60</f>
        <v>13</v>
      </c>
      <c r="FP61" s="1563"/>
      <c r="FQ61" s="1563"/>
      <c r="FR61" s="1563"/>
      <c r="FS61" s="1563"/>
      <c r="FT61" s="1563"/>
      <c r="FU61" s="1563"/>
      <c r="FV61" s="1563"/>
      <c r="FW61" s="1563"/>
      <c r="FX61" s="1563"/>
      <c r="FY61" s="1563"/>
      <c r="FZ61" s="1563"/>
      <c r="GA61" s="1563"/>
      <c r="GB61" s="1563"/>
      <c r="GC61" s="1563"/>
      <c r="GD61" s="1563"/>
      <c r="GE61" s="1563"/>
      <c r="GF61" s="1563"/>
      <c r="GG61" s="1563"/>
      <c r="GH61" s="1563"/>
      <c r="GI61" s="1563"/>
      <c r="GJ61" s="1563"/>
      <c r="GK61" s="1563"/>
      <c r="GL61" s="1563"/>
      <c r="GM61" s="1563"/>
      <c r="GN61" s="1563"/>
      <c r="GO61" s="1563"/>
      <c r="GP61" s="1563"/>
      <c r="GQ61" s="1563"/>
      <c r="GR61" s="1563"/>
      <c r="GS61" s="1563"/>
      <c r="GT61" s="1563"/>
      <c r="GU61" s="1563"/>
      <c r="GV61" s="1563"/>
      <c r="GW61" s="1563"/>
      <c r="GX61" s="1563"/>
      <c r="GY61" s="1563">
        <f>GY59+GY60</f>
        <v>855</v>
      </c>
      <c r="GZ61" s="1563"/>
      <c r="HA61" s="1563"/>
      <c r="HB61" s="1563"/>
      <c r="HC61" s="1563"/>
      <c r="HD61" s="1563"/>
      <c r="HE61" s="1563"/>
      <c r="HF61" s="1563"/>
      <c r="HG61" s="1563"/>
      <c r="HH61" s="1563"/>
      <c r="HI61" s="1563"/>
      <c r="HJ61" s="1563"/>
      <c r="HK61" s="1563"/>
      <c r="HL61" s="1563"/>
      <c r="HM61" s="1563"/>
      <c r="HN61" s="1563"/>
      <c r="HO61" s="1563"/>
      <c r="HP61" s="1563"/>
      <c r="HQ61" s="1563"/>
      <c r="HR61" s="1563"/>
      <c r="HS61" s="1563"/>
      <c r="HT61" s="1563"/>
      <c r="HU61" s="1563"/>
      <c r="HV61" s="1563"/>
      <c r="HW61" s="1563"/>
      <c r="HX61" s="1563"/>
      <c r="HY61" s="1563"/>
      <c r="HZ61" s="1563"/>
      <c r="IA61" s="1563"/>
      <c r="IB61" s="1563"/>
      <c r="IC61" s="1563"/>
      <c r="ID61" s="1563"/>
      <c r="IE61" s="1563"/>
      <c r="IF61" s="1563"/>
      <c r="IG61" s="1563"/>
      <c r="IH61" s="1563"/>
      <c r="II61" s="1563"/>
      <c r="IJ61" s="1563"/>
      <c r="IK61" s="1563"/>
      <c r="IL61" s="1563"/>
      <c r="IM61" s="1563"/>
      <c r="IN61" s="1563"/>
      <c r="IO61" s="1563"/>
      <c r="IP61" s="1563"/>
      <c r="IQ61" s="1591">
        <f>IQ59+IQ60</f>
        <v>0</v>
      </c>
      <c r="IR61" s="1563"/>
      <c r="IS61" s="1592">
        <f>IS59+IS60</f>
        <v>12689</v>
      </c>
      <c r="IT61" s="1591">
        <f>IT59+IT60</f>
        <v>5319</v>
      </c>
      <c r="IU61" s="1592">
        <f>IU59+IU60</f>
        <v>137</v>
      </c>
      <c r="IV61" s="1563"/>
      <c r="IW61" s="1563"/>
      <c r="IX61" s="1563"/>
      <c r="IY61" s="1563"/>
      <c r="IZ61" s="1563"/>
      <c r="JA61" s="1563"/>
      <c r="JB61" s="1563"/>
      <c r="JC61" s="1563"/>
      <c r="JD61" s="1563"/>
      <c r="JE61" s="1563"/>
      <c r="JF61" s="1563"/>
      <c r="JG61" s="1563"/>
      <c r="JH61" s="1563"/>
      <c r="JI61" s="1591">
        <f>JI59+JI60</f>
        <v>14</v>
      </c>
      <c r="JJ61" s="1563"/>
      <c r="JK61" s="1591"/>
      <c r="JL61" s="1591">
        <f>JL59+JL60</f>
        <v>7</v>
      </c>
      <c r="JM61" s="1591">
        <f>JM59+JM60</f>
        <v>14</v>
      </c>
      <c r="JN61" s="1563"/>
      <c r="JO61" s="1591"/>
      <c r="JP61" s="1591"/>
      <c r="JQ61" s="1593"/>
      <c r="JR61" s="351"/>
      <c r="JS61" s="1400" t="s">
        <v>3614</v>
      </c>
      <c r="JT61" s="450" t="s">
        <v>2224</v>
      </c>
    </row>
    <row r="62" spans="1:280" ht="12.5" x14ac:dyDescent="0.25">
      <c r="A62" s="1367">
        <v>32</v>
      </c>
      <c r="B62" s="1574" t="str">
        <f t="shared" si="4"/>
        <v/>
      </c>
      <c r="C62" s="1435" t="s">
        <v>3615</v>
      </c>
      <c r="D62" s="1436" t="s">
        <v>3616</v>
      </c>
      <c r="E62" s="1568"/>
      <c r="F62" s="1568"/>
      <c r="G62" s="1568"/>
      <c r="H62" s="1568"/>
      <c r="I62" s="1568"/>
      <c r="J62" s="1568"/>
      <c r="K62" s="1568"/>
      <c r="L62" s="1568"/>
      <c r="M62" s="1568"/>
      <c r="N62" s="1568"/>
      <c r="O62" s="1568"/>
      <c r="P62" s="1568"/>
      <c r="Q62" s="1568"/>
      <c r="R62" s="1568"/>
      <c r="S62" s="1568"/>
      <c r="T62" s="1568"/>
      <c r="U62" s="1568"/>
      <c r="V62" s="1568"/>
      <c r="W62" s="1568"/>
      <c r="X62" s="1568"/>
      <c r="Y62" s="1568"/>
      <c r="Z62" s="1568"/>
      <c r="AA62" s="1568"/>
      <c r="AB62" s="1568"/>
      <c r="AC62" s="1568"/>
      <c r="AD62" s="1568"/>
      <c r="AE62" s="1568"/>
      <c r="AF62" s="1568"/>
      <c r="AG62" s="1568"/>
      <c r="AH62" s="1568"/>
      <c r="AI62" s="1568"/>
      <c r="AJ62" s="1568"/>
      <c r="AK62" s="1568"/>
      <c r="AL62" s="1568"/>
      <c r="AM62" s="1568"/>
      <c r="AN62" s="1568"/>
      <c r="AO62" s="1568"/>
      <c r="AP62" s="1568"/>
      <c r="AQ62" s="1568"/>
      <c r="AR62" s="1568"/>
      <c r="AS62" s="1568"/>
      <c r="AT62" s="1568"/>
      <c r="AU62" s="1568"/>
      <c r="AV62" s="1568"/>
      <c r="AW62" s="1568"/>
      <c r="AX62" s="1568"/>
      <c r="AY62" s="1568"/>
      <c r="AZ62" s="1568"/>
      <c r="BA62" s="1568"/>
      <c r="BB62" s="1568"/>
      <c r="BC62" s="1568"/>
      <c r="BD62" s="1568"/>
      <c r="BE62" s="1568"/>
      <c r="BF62" s="1568"/>
      <c r="BG62" s="1568"/>
      <c r="BH62" s="1568"/>
      <c r="BI62" s="1568"/>
      <c r="BJ62" s="1568"/>
      <c r="BK62" s="1568"/>
      <c r="BL62" s="1568"/>
      <c r="BM62" s="1568"/>
      <c r="BN62" s="1568"/>
      <c r="BO62" s="1568"/>
      <c r="BP62" s="1568"/>
      <c r="BQ62" s="1568"/>
      <c r="BR62" s="1568"/>
      <c r="BS62" s="1568"/>
      <c r="BT62" s="1568"/>
      <c r="BU62" s="1568"/>
      <c r="BV62" s="1568"/>
      <c r="BW62" s="1568"/>
      <c r="BX62" s="1568"/>
      <c r="BY62" s="1568"/>
      <c r="BZ62" s="1568"/>
      <c r="CA62" s="1568"/>
      <c r="CB62" s="1568"/>
      <c r="CC62" s="1568">
        <v>3036</v>
      </c>
      <c r="CD62" s="1568"/>
      <c r="CE62" s="1568"/>
      <c r="CF62" s="1568"/>
      <c r="CG62" s="1568"/>
      <c r="CH62" s="1568"/>
      <c r="CI62" s="1568"/>
      <c r="CJ62" s="1568"/>
      <c r="CK62" s="1568"/>
      <c r="CL62" s="1568"/>
      <c r="CM62" s="1568"/>
      <c r="CN62" s="1568"/>
      <c r="CO62" s="1568"/>
      <c r="CP62" s="1568"/>
      <c r="CQ62" s="1568"/>
      <c r="CR62" s="1568"/>
      <c r="CS62" s="1568"/>
      <c r="CT62" s="1568"/>
      <c r="CU62" s="1568"/>
      <c r="CV62" s="1568"/>
      <c r="CW62" s="1568"/>
      <c r="CX62" s="1568"/>
      <c r="CY62" s="1568">
        <v>245</v>
      </c>
      <c r="CZ62" s="1568">
        <v>1620</v>
      </c>
      <c r="DA62" s="1568">
        <v>1620</v>
      </c>
      <c r="DB62" s="1568"/>
      <c r="DC62" s="1568"/>
      <c r="DD62" s="1568"/>
      <c r="DE62" s="1568"/>
      <c r="DF62" s="1568"/>
      <c r="DG62" s="1568"/>
      <c r="DH62" s="1568"/>
      <c r="DI62" s="1568"/>
      <c r="DJ62" s="1568"/>
      <c r="DK62" s="1568"/>
      <c r="DL62" s="1568"/>
      <c r="DM62" s="1568">
        <v>245</v>
      </c>
      <c r="DN62" s="1568"/>
      <c r="DO62" s="1568"/>
      <c r="DP62" s="1568"/>
      <c r="DQ62" s="1568"/>
      <c r="DR62" s="1568"/>
      <c r="DS62" s="1568"/>
      <c r="DT62" s="1568"/>
      <c r="DU62" s="1568"/>
      <c r="DV62" s="1568"/>
      <c r="DW62" s="1568"/>
      <c r="DX62" s="1568"/>
      <c r="DY62" s="1568"/>
      <c r="DZ62" s="1568"/>
      <c r="EA62" s="1568"/>
      <c r="EB62" s="1568"/>
      <c r="EC62" s="1568"/>
      <c r="ED62" s="1568"/>
      <c r="EE62" s="1568"/>
      <c r="EF62" s="1568"/>
      <c r="EG62" s="1568"/>
      <c r="EH62" s="1568"/>
      <c r="EI62" s="1568"/>
      <c r="EJ62" s="1568"/>
      <c r="EK62" s="1568"/>
      <c r="EL62" s="1568"/>
      <c r="EM62" s="1568"/>
      <c r="EN62" s="1568"/>
      <c r="EO62" s="1568"/>
      <c r="EP62" s="1568"/>
      <c r="EQ62" s="1568"/>
      <c r="ER62" s="1570">
        <v>722</v>
      </c>
      <c r="ES62" s="1568"/>
      <c r="ET62" s="1568"/>
      <c r="EU62" s="1568"/>
      <c r="EV62" s="1568"/>
      <c r="EW62" s="1568"/>
      <c r="EX62" s="1568"/>
      <c r="EY62" s="1568"/>
      <c r="EZ62" s="1568"/>
      <c r="FA62" s="1568">
        <v>245</v>
      </c>
      <c r="FB62" s="1570">
        <v>1546</v>
      </c>
      <c r="FC62" s="1568"/>
      <c r="FD62" s="1568"/>
      <c r="FE62" s="1568"/>
      <c r="FF62" s="1568"/>
      <c r="FG62" s="1568"/>
      <c r="FH62" s="1568"/>
      <c r="FI62" s="1568"/>
      <c r="FJ62" s="1568"/>
      <c r="FK62" s="1568">
        <v>1620</v>
      </c>
      <c r="FL62" s="1568"/>
      <c r="FM62" s="1568"/>
      <c r="FN62" s="1568"/>
      <c r="FO62" s="1568"/>
      <c r="FP62" s="1568"/>
      <c r="FQ62" s="1568"/>
      <c r="FR62" s="1568"/>
      <c r="FS62" s="1568"/>
      <c r="FT62" s="1568"/>
      <c r="FU62" s="1568"/>
      <c r="FV62" s="1568"/>
      <c r="FW62" s="1568"/>
      <c r="FX62" s="1568"/>
      <c r="FY62" s="1568"/>
      <c r="FZ62" s="1568"/>
      <c r="GA62" s="1568"/>
      <c r="GB62" s="1568"/>
      <c r="GC62" s="1568"/>
      <c r="GD62" s="1568"/>
      <c r="GE62" s="1568"/>
      <c r="GF62" s="1568"/>
      <c r="GG62" s="1568"/>
      <c r="GH62" s="1568"/>
      <c r="GI62" s="1568"/>
      <c r="GJ62" s="1568"/>
      <c r="GK62" s="1568"/>
      <c r="GL62" s="1568"/>
      <c r="GM62" s="1568"/>
      <c r="GN62" s="1568"/>
      <c r="GO62" s="1568"/>
      <c r="GP62" s="1568"/>
      <c r="GQ62" s="1568"/>
      <c r="GR62" s="1568"/>
      <c r="GS62" s="1568"/>
      <c r="GT62" s="1568"/>
      <c r="GU62" s="1568"/>
      <c r="GV62" s="1568"/>
      <c r="GW62" s="1568"/>
      <c r="GX62" s="1568"/>
      <c r="GY62" s="1568"/>
      <c r="GZ62" s="1568"/>
      <c r="HA62" s="1568"/>
      <c r="HB62" s="1568"/>
      <c r="HC62" s="1568"/>
      <c r="HD62" s="1568"/>
      <c r="HE62" s="1568"/>
      <c r="HF62" s="1568"/>
      <c r="HG62" s="1568"/>
      <c r="HH62" s="1568"/>
      <c r="HI62" s="1568"/>
      <c r="HJ62" s="1568"/>
      <c r="HK62" s="1568"/>
      <c r="HL62" s="1568"/>
      <c r="HM62" s="1568"/>
      <c r="HN62" s="1568"/>
      <c r="HO62" s="1568"/>
      <c r="HP62" s="1568"/>
      <c r="HQ62" s="1568"/>
      <c r="HR62" s="1568"/>
      <c r="HS62" s="1568"/>
      <c r="HT62" s="1568"/>
      <c r="HU62" s="1568"/>
      <c r="HV62" s="1568"/>
      <c r="HW62" s="1568"/>
      <c r="HX62" s="1568"/>
      <c r="HY62" s="1568"/>
      <c r="HZ62" s="1568"/>
      <c r="IA62" s="1568"/>
      <c r="IB62" s="1568"/>
      <c r="IC62" s="1568"/>
      <c r="ID62" s="1568"/>
      <c r="IE62" s="1568"/>
      <c r="IF62" s="1568"/>
      <c r="IG62" s="1568"/>
      <c r="IH62" s="1568"/>
      <c r="II62" s="1568"/>
      <c r="IJ62" s="1568"/>
      <c r="IK62" s="1568"/>
      <c r="IL62" s="1568"/>
      <c r="IM62" s="1568"/>
      <c r="IN62" s="1568"/>
      <c r="IO62" s="1568"/>
      <c r="IP62" s="1568"/>
      <c r="IQ62" s="1584"/>
      <c r="IR62" s="1568"/>
      <c r="IS62" s="1570">
        <v>144</v>
      </c>
      <c r="IT62" s="1584"/>
      <c r="IU62" s="1570">
        <v>4020</v>
      </c>
      <c r="IV62" s="1568"/>
      <c r="IW62" s="1568"/>
      <c r="IX62" s="1568"/>
      <c r="IY62" s="1568"/>
      <c r="IZ62" s="1568"/>
      <c r="JA62" s="1568"/>
      <c r="JB62" s="1568"/>
      <c r="JC62" s="1568"/>
      <c r="JD62" s="1568"/>
      <c r="JE62" s="1568"/>
      <c r="JF62" s="1568"/>
      <c r="JG62" s="1568"/>
      <c r="JH62" s="1568"/>
      <c r="JI62" s="1584"/>
      <c r="JJ62" s="1568"/>
      <c r="JK62" s="1584"/>
      <c r="JL62" s="1584"/>
      <c r="JM62" s="1584"/>
      <c r="JN62" s="1568"/>
      <c r="JO62" s="1584"/>
      <c r="JP62" s="1584"/>
      <c r="JQ62" s="1585"/>
      <c r="JR62" s="351"/>
      <c r="JS62" s="1400"/>
      <c r="JT62" s="450" t="s">
        <v>2242</v>
      </c>
    </row>
    <row r="63" spans="1:280" ht="12.5" x14ac:dyDescent="0.25">
      <c r="A63" s="1367">
        <v>33</v>
      </c>
      <c r="B63" s="1574" t="str">
        <f t="shared" si="4"/>
        <v/>
      </c>
      <c r="C63" s="1435" t="s">
        <v>3617</v>
      </c>
      <c r="D63" s="1436" t="s">
        <v>3618</v>
      </c>
      <c r="E63" s="1568"/>
      <c r="F63" s="1568"/>
      <c r="G63" s="1568"/>
      <c r="H63" s="1568"/>
      <c r="I63" s="1568"/>
      <c r="J63" s="1568"/>
      <c r="K63" s="1568"/>
      <c r="L63" s="1568"/>
      <c r="M63" s="1568"/>
      <c r="N63" s="1568"/>
      <c r="O63" s="1568"/>
      <c r="P63" s="1568"/>
      <c r="Q63" s="1568"/>
      <c r="R63" s="1568"/>
      <c r="S63" s="1568"/>
      <c r="T63" s="1568"/>
      <c r="U63" s="1568"/>
      <c r="V63" s="1568"/>
      <c r="W63" s="1568"/>
      <c r="X63" s="1568"/>
      <c r="Y63" s="1568"/>
      <c r="Z63" s="1568"/>
      <c r="AA63" s="1568"/>
      <c r="AB63" s="1568"/>
      <c r="AC63" s="1568"/>
      <c r="AD63" s="1568"/>
      <c r="AE63" s="1568"/>
      <c r="AF63" s="1568"/>
      <c r="AG63" s="1568"/>
      <c r="AH63" s="1568"/>
      <c r="AI63" s="1568"/>
      <c r="AJ63" s="1568"/>
      <c r="AK63" s="1568"/>
      <c r="AL63" s="1568"/>
      <c r="AM63" s="1568"/>
      <c r="AN63" s="1568"/>
      <c r="AO63" s="1568"/>
      <c r="AP63" s="1568"/>
      <c r="AQ63" s="1568"/>
      <c r="AR63" s="1568"/>
      <c r="AS63" s="1568"/>
      <c r="AT63" s="1568"/>
      <c r="AU63" s="1568"/>
      <c r="AV63" s="1568"/>
      <c r="AW63" s="1568"/>
      <c r="AX63" s="1568"/>
      <c r="AY63" s="1568"/>
      <c r="AZ63" s="1568"/>
      <c r="BA63" s="1568"/>
      <c r="BB63" s="1568"/>
      <c r="BC63" s="1568"/>
      <c r="BD63" s="1568"/>
      <c r="BE63" s="1568"/>
      <c r="BF63" s="1568"/>
      <c r="BG63" s="1568"/>
      <c r="BH63" s="1568"/>
      <c r="BI63" s="1568"/>
      <c r="BJ63" s="1568"/>
      <c r="BK63" s="1568"/>
      <c r="BL63" s="1568"/>
      <c r="BM63" s="1568"/>
      <c r="BN63" s="1568"/>
      <c r="BO63" s="1568"/>
      <c r="BP63" s="1568"/>
      <c r="BQ63" s="1568"/>
      <c r="BR63" s="1568"/>
      <c r="BS63" s="1568"/>
      <c r="BT63" s="1568"/>
      <c r="BU63" s="1568"/>
      <c r="BV63" s="1568"/>
      <c r="BW63" s="1568"/>
      <c r="BX63" s="1568"/>
      <c r="BY63" s="1568"/>
      <c r="BZ63" s="1568"/>
      <c r="CA63" s="1568"/>
      <c r="CB63" s="1568"/>
      <c r="CC63" s="1568"/>
      <c r="CD63" s="1568"/>
      <c r="CE63" s="1568"/>
      <c r="CF63" s="1568"/>
      <c r="CG63" s="1568"/>
      <c r="CH63" s="1568"/>
      <c r="CI63" s="1568"/>
      <c r="CJ63" s="1568"/>
      <c r="CK63" s="1568"/>
      <c r="CL63" s="1568"/>
      <c r="CM63" s="1568"/>
      <c r="CN63" s="1568"/>
      <c r="CO63" s="1568"/>
      <c r="CP63" s="1568"/>
      <c r="CQ63" s="1568"/>
      <c r="CR63" s="1568"/>
      <c r="CS63" s="1568"/>
      <c r="CT63" s="1568"/>
      <c r="CU63" s="1568"/>
      <c r="CV63" s="1568"/>
      <c r="CW63" s="1568"/>
      <c r="CX63" s="1568"/>
      <c r="CY63" s="1568"/>
      <c r="CZ63" s="1569">
        <v>-324</v>
      </c>
      <c r="DA63" s="1569">
        <v>-324</v>
      </c>
      <c r="DB63" s="1568"/>
      <c r="DC63" s="1568"/>
      <c r="DD63" s="1568"/>
      <c r="DE63" s="1568"/>
      <c r="DF63" s="1568"/>
      <c r="DG63" s="1568"/>
      <c r="DH63" s="1568"/>
      <c r="DI63" s="1568"/>
      <c r="DJ63" s="1568"/>
      <c r="DK63" s="1568"/>
      <c r="DL63" s="1568"/>
      <c r="DM63" s="1568"/>
      <c r="DN63" s="1568"/>
      <c r="DO63" s="1568"/>
      <c r="DP63" s="1568"/>
      <c r="DQ63" s="1568"/>
      <c r="DR63" s="1568"/>
      <c r="DS63" s="1568"/>
      <c r="DT63" s="1568"/>
      <c r="DU63" s="1568"/>
      <c r="DV63" s="1568"/>
      <c r="DW63" s="1568"/>
      <c r="DX63" s="1568"/>
      <c r="DY63" s="1568"/>
      <c r="DZ63" s="1568"/>
      <c r="EA63" s="1568"/>
      <c r="EB63" s="1568"/>
      <c r="EC63" s="1568"/>
      <c r="ED63" s="1568"/>
      <c r="EE63" s="1568"/>
      <c r="EF63" s="1568"/>
      <c r="EG63" s="1568"/>
      <c r="EH63" s="1568"/>
      <c r="EI63" s="1568"/>
      <c r="EJ63" s="1568"/>
      <c r="EK63" s="1568"/>
      <c r="EL63" s="1568"/>
      <c r="EM63" s="1568"/>
      <c r="EN63" s="1568"/>
      <c r="EO63" s="1568"/>
      <c r="EP63" s="1568"/>
      <c r="EQ63" s="1568"/>
      <c r="ER63" s="1568"/>
      <c r="ES63" s="1568"/>
      <c r="ET63" s="1568"/>
      <c r="EU63" s="1568"/>
      <c r="EV63" s="1568"/>
      <c r="EW63" s="1568"/>
      <c r="EX63" s="1568"/>
      <c r="EY63" s="1568"/>
      <c r="EZ63" s="1568"/>
      <c r="FA63" s="1568"/>
      <c r="FB63" s="1568"/>
      <c r="FC63" s="1568"/>
      <c r="FD63" s="1568"/>
      <c r="FE63" s="1568"/>
      <c r="FF63" s="1568"/>
      <c r="FG63" s="1568"/>
      <c r="FH63" s="1568"/>
      <c r="FI63" s="1568"/>
      <c r="FJ63" s="1568"/>
      <c r="FK63" s="1569">
        <v>-324</v>
      </c>
      <c r="FL63" s="1568"/>
      <c r="FM63" s="1568"/>
      <c r="FN63" s="1568"/>
      <c r="FO63" s="1568"/>
      <c r="FP63" s="1568"/>
      <c r="FQ63" s="1568"/>
      <c r="FR63" s="1568"/>
      <c r="FS63" s="1568"/>
      <c r="FT63" s="1568"/>
      <c r="FU63" s="1568"/>
      <c r="FV63" s="1568"/>
      <c r="FW63" s="1568"/>
      <c r="FX63" s="1568"/>
      <c r="FY63" s="1568"/>
      <c r="FZ63" s="1568"/>
      <c r="GA63" s="1568"/>
      <c r="GB63" s="1568"/>
      <c r="GC63" s="1568"/>
      <c r="GD63" s="1568"/>
      <c r="GE63" s="1568"/>
      <c r="GF63" s="1568"/>
      <c r="GG63" s="1568"/>
      <c r="GH63" s="1568"/>
      <c r="GI63" s="1568"/>
      <c r="GJ63" s="1568"/>
      <c r="GK63" s="1568"/>
      <c r="GL63" s="1568"/>
      <c r="GM63" s="1568"/>
      <c r="GN63" s="1568"/>
      <c r="GO63" s="1568"/>
      <c r="GP63" s="1568"/>
      <c r="GQ63" s="1568"/>
      <c r="GR63" s="1568"/>
      <c r="GS63" s="1568"/>
      <c r="GT63" s="1568"/>
      <c r="GU63" s="1568"/>
      <c r="GV63" s="1568"/>
      <c r="GW63" s="1568"/>
      <c r="GX63" s="1568"/>
      <c r="GY63" s="1568"/>
      <c r="GZ63" s="1568"/>
      <c r="HA63" s="1568"/>
      <c r="HB63" s="1568"/>
      <c r="HC63" s="1568"/>
      <c r="HD63" s="1568"/>
      <c r="HE63" s="1568"/>
      <c r="HF63" s="1568"/>
      <c r="HG63" s="1568"/>
      <c r="HH63" s="1568"/>
      <c r="HI63" s="1568"/>
      <c r="HJ63" s="1568"/>
      <c r="HK63" s="1568"/>
      <c r="HL63" s="1568"/>
      <c r="HM63" s="1568"/>
      <c r="HN63" s="1568"/>
      <c r="HO63" s="1568"/>
      <c r="HP63" s="1568"/>
      <c r="HQ63" s="1568"/>
      <c r="HR63" s="1568"/>
      <c r="HS63" s="1568"/>
      <c r="HT63" s="1568"/>
      <c r="HU63" s="1568"/>
      <c r="HV63" s="1568"/>
      <c r="HW63" s="1568"/>
      <c r="HX63" s="1568"/>
      <c r="HY63" s="1568"/>
      <c r="HZ63" s="1568"/>
      <c r="IA63" s="1568"/>
      <c r="IB63" s="1568"/>
      <c r="IC63" s="1568"/>
      <c r="ID63" s="1568"/>
      <c r="IE63" s="1568"/>
      <c r="IF63" s="1568"/>
      <c r="IG63" s="1568"/>
      <c r="IH63" s="1568"/>
      <c r="II63" s="1568"/>
      <c r="IJ63" s="1568"/>
      <c r="IK63" s="1568"/>
      <c r="IL63" s="1568"/>
      <c r="IM63" s="1568"/>
      <c r="IN63" s="1568"/>
      <c r="IO63" s="1568"/>
      <c r="IP63" s="1568"/>
      <c r="IQ63" s="1584"/>
      <c r="IR63" s="1568"/>
      <c r="IS63" s="1568"/>
      <c r="IT63" s="1584"/>
      <c r="IU63" s="1568"/>
      <c r="IV63" s="1568"/>
      <c r="IW63" s="1568"/>
      <c r="IX63" s="1568"/>
      <c r="IY63" s="1568"/>
      <c r="IZ63" s="1568"/>
      <c r="JA63" s="1568"/>
      <c r="JB63" s="1568"/>
      <c r="JC63" s="1568"/>
      <c r="JD63" s="1568"/>
      <c r="JE63" s="1568"/>
      <c r="JF63" s="1568"/>
      <c r="JG63" s="1568"/>
      <c r="JH63" s="1568"/>
      <c r="JI63" s="1584"/>
      <c r="JJ63" s="1568"/>
      <c r="JK63" s="1584"/>
      <c r="JL63" s="1584"/>
      <c r="JM63" s="1584"/>
      <c r="JN63" s="1568"/>
      <c r="JO63" s="1584"/>
      <c r="JP63" s="1584"/>
      <c r="JQ63" s="1585"/>
      <c r="JR63" s="351"/>
      <c r="JS63" s="1400"/>
      <c r="JT63" s="450" t="s">
        <v>2253</v>
      </c>
    </row>
    <row r="64" spans="1:280" ht="12.5" x14ac:dyDescent="0.25">
      <c r="A64" s="1367">
        <v>34</v>
      </c>
      <c r="B64" s="1574" t="str">
        <f t="shared" ref="B64:B72" si="30">IF(PS_B_IND&gt;1,IF(HLOOKUP(PS_B_IND-1,FPS_RANGE,A64)="","",HLOOKUP(PS_B_IND-1,FPS_RANGE,A64)),"")</f>
        <v/>
      </c>
      <c r="C64" s="1435" t="s">
        <v>3619</v>
      </c>
      <c r="D64" s="1436" t="s">
        <v>3620</v>
      </c>
      <c r="E64" s="1568"/>
      <c r="F64" s="1568"/>
      <c r="G64" s="1568"/>
      <c r="H64" s="1568"/>
      <c r="I64" s="1568"/>
      <c r="J64" s="1568"/>
      <c r="K64" s="1568"/>
      <c r="L64" s="1568"/>
      <c r="M64" s="1568"/>
      <c r="N64" s="1568"/>
      <c r="O64" s="1568"/>
      <c r="P64" s="1568"/>
      <c r="Q64" s="1568"/>
      <c r="R64" s="1568"/>
      <c r="S64" s="1568"/>
      <c r="T64" s="1568"/>
      <c r="U64" s="1568"/>
      <c r="V64" s="1568"/>
      <c r="W64" s="1568"/>
      <c r="X64" s="1568"/>
      <c r="Y64" s="1568"/>
      <c r="Z64" s="1568"/>
      <c r="AA64" s="1568"/>
      <c r="AB64" s="1568"/>
      <c r="AC64" s="1568"/>
      <c r="AD64" s="1568"/>
      <c r="AE64" s="1568"/>
      <c r="AF64" s="1568"/>
      <c r="AG64" s="1568"/>
      <c r="AH64" s="1568"/>
      <c r="AI64" s="1568"/>
      <c r="AJ64" s="1568"/>
      <c r="AK64" s="1568"/>
      <c r="AL64" s="1568"/>
      <c r="AM64" s="1568"/>
      <c r="AN64" s="1568"/>
      <c r="AO64" s="1568"/>
      <c r="AP64" s="1568"/>
      <c r="AQ64" s="1568"/>
      <c r="AR64" s="1568"/>
      <c r="AS64" s="1568"/>
      <c r="AT64" s="1568"/>
      <c r="AU64" s="1568"/>
      <c r="AV64" s="1568"/>
      <c r="AW64" s="1568"/>
      <c r="AX64" s="1568"/>
      <c r="AY64" s="1568"/>
      <c r="AZ64" s="1568"/>
      <c r="BA64" s="1568"/>
      <c r="BB64" s="1568"/>
      <c r="BC64" s="1568"/>
      <c r="BD64" s="1568"/>
      <c r="BE64" s="1568"/>
      <c r="BF64" s="1568"/>
      <c r="BG64" s="1568"/>
      <c r="BH64" s="1568"/>
      <c r="BI64" s="1568"/>
      <c r="BJ64" s="1568"/>
      <c r="BK64" s="1568"/>
      <c r="BL64" s="1568"/>
      <c r="BM64" s="1568"/>
      <c r="BN64" s="1568"/>
      <c r="BO64" s="1568"/>
      <c r="BP64" s="1568"/>
      <c r="BQ64" s="1568"/>
      <c r="BR64" s="1568"/>
      <c r="BS64" s="1568"/>
      <c r="BT64" s="1568"/>
      <c r="BU64" s="1568"/>
      <c r="BV64" s="1568"/>
      <c r="BW64" s="1568"/>
      <c r="BX64" s="1568"/>
      <c r="BY64" s="1568"/>
      <c r="BZ64" s="1568"/>
      <c r="CA64" s="1568"/>
      <c r="CB64" s="1568"/>
      <c r="CC64" s="1568"/>
      <c r="CD64" s="1568"/>
      <c r="CE64" s="1568"/>
      <c r="CF64" s="1568"/>
      <c r="CG64" s="1568"/>
      <c r="CH64" s="1568"/>
      <c r="CI64" s="1568"/>
      <c r="CJ64" s="1568"/>
      <c r="CK64" s="1568"/>
      <c r="CL64" s="1568"/>
      <c r="CM64" s="1568"/>
      <c r="CN64" s="1568"/>
      <c r="CO64" s="1568"/>
      <c r="CP64" s="1568"/>
      <c r="CQ64" s="1568"/>
      <c r="CR64" s="1568"/>
      <c r="CS64" s="1568"/>
      <c r="CT64" s="1568"/>
      <c r="CU64" s="1568"/>
      <c r="CV64" s="1568"/>
      <c r="CW64" s="1568"/>
      <c r="CX64" s="1568"/>
      <c r="CY64" s="1568">
        <v>24</v>
      </c>
      <c r="CZ64" s="1568"/>
      <c r="DA64" s="1568"/>
      <c r="DB64" s="1568"/>
      <c r="DC64" s="1568"/>
      <c r="DD64" s="1568"/>
      <c r="DE64" s="1568"/>
      <c r="DF64" s="1568"/>
      <c r="DG64" s="1568"/>
      <c r="DH64" s="1568"/>
      <c r="DI64" s="1568"/>
      <c r="DJ64" s="1568"/>
      <c r="DK64" s="1568"/>
      <c r="DL64" s="1568"/>
      <c r="DM64" s="1568">
        <v>24</v>
      </c>
      <c r="DN64" s="1568"/>
      <c r="DO64" s="1568"/>
      <c r="DP64" s="1568"/>
      <c r="DQ64" s="1568"/>
      <c r="DR64" s="1568"/>
      <c r="DS64" s="1568"/>
      <c r="DT64" s="1568"/>
      <c r="DU64" s="1568"/>
      <c r="DV64" s="1568"/>
      <c r="DW64" s="1568"/>
      <c r="DX64" s="1568"/>
      <c r="DY64" s="1568"/>
      <c r="DZ64" s="1568"/>
      <c r="EA64" s="1568"/>
      <c r="EB64" s="1568"/>
      <c r="EC64" s="1568"/>
      <c r="ED64" s="1568"/>
      <c r="EE64" s="1568"/>
      <c r="EF64" s="1568"/>
      <c r="EG64" s="1568"/>
      <c r="EH64" s="1568"/>
      <c r="EI64" s="1568"/>
      <c r="EJ64" s="1568"/>
      <c r="EK64" s="1568"/>
      <c r="EL64" s="1568"/>
      <c r="EM64" s="1568"/>
      <c r="EN64" s="1568"/>
      <c r="EO64" s="1568"/>
      <c r="EP64" s="1568"/>
      <c r="EQ64" s="1568"/>
      <c r="ER64" s="1568"/>
      <c r="ES64" s="1568"/>
      <c r="ET64" s="1568"/>
      <c r="EU64" s="1568"/>
      <c r="EV64" s="1568"/>
      <c r="EW64" s="1568"/>
      <c r="EX64" s="1568"/>
      <c r="EY64" s="1568"/>
      <c r="EZ64" s="1568"/>
      <c r="FA64" s="1568">
        <v>24</v>
      </c>
      <c r="FB64" s="1568"/>
      <c r="FC64" s="1568"/>
      <c r="FD64" s="1568"/>
      <c r="FE64" s="1568"/>
      <c r="FF64" s="1568"/>
      <c r="FG64" s="1568"/>
      <c r="FH64" s="1568"/>
      <c r="FI64" s="1568"/>
      <c r="FJ64" s="1568"/>
      <c r="FK64" s="1568"/>
      <c r="FL64" s="1568"/>
      <c r="FM64" s="1568"/>
      <c r="FN64" s="1568"/>
      <c r="FO64" s="1568"/>
      <c r="FP64" s="1568"/>
      <c r="FQ64" s="1568"/>
      <c r="FR64" s="1568"/>
      <c r="FS64" s="1568"/>
      <c r="FT64" s="1568"/>
      <c r="FU64" s="1568"/>
      <c r="FV64" s="1568"/>
      <c r="FW64" s="1568"/>
      <c r="FX64" s="1568"/>
      <c r="FY64" s="1568"/>
      <c r="FZ64" s="1568"/>
      <c r="GA64" s="1568"/>
      <c r="GB64" s="1568"/>
      <c r="GC64" s="1568"/>
      <c r="GD64" s="1568"/>
      <c r="GE64" s="1568"/>
      <c r="GF64" s="1568"/>
      <c r="GG64" s="1568"/>
      <c r="GH64" s="1568"/>
      <c r="GI64" s="1568"/>
      <c r="GJ64" s="1568"/>
      <c r="GK64" s="1568"/>
      <c r="GL64" s="1568"/>
      <c r="GM64" s="1568"/>
      <c r="GN64" s="1568"/>
      <c r="GO64" s="1568"/>
      <c r="GP64" s="1568"/>
      <c r="GQ64" s="1568"/>
      <c r="GR64" s="1568"/>
      <c r="GS64" s="1568"/>
      <c r="GT64" s="1568"/>
      <c r="GU64" s="1568"/>
      <c r="GV64" s="1568"/>
      <c r="GW64" s="1568"/>
      <c r="GX64" s="1568"/>
      <c r="GY64" s="1568"/>
      <c r="GZ64" s="1568"/>
      <c r="HA64" s="1568"/>
      <c r="HB64" s="1568"/>
      <c r="HC64" s="1568"/>
      <c r="HD64" s="1568"/>
      <c r="HE64" s="1568"/>
      <c r="HF64" s="1568"/>
      <c r="HG64" s="1568"/>
      <c r="HH64" s="1568"/>
      <c r="HI64" s="1568"/>
      <c r="HJ64" s="1568"/>
      <c r="HK64" s="1568"/>
      <c r="HL64" s="1568"/>
      <c r="HM64" s="1568"/>
      <c r="HN64" s="1568"/>
      <c r="HO64" s="1568"/>
      <c r="HP64" s="1568"/>
      <c r="HQ64" s="1568"/>
      <c r="HR64" s="1568"/>
      <c r="HS64" s="1568"/>
      <c r="HT64" s="1568"/>
      <c r="HU64" s="1568"/>
      <c r="HV64" s="1568"/>
      <c r="HW64" s="1568"/>
      <c r="HX64" s="1568"/>
      <c r="HY64" s="1568"/>
      <c r="HZ64" s="1568"/>
      <c r="IA64" s="1568"/>
      <c r="IB64" s="1568"/>
      <c r="IC64" s="1568"/>
      <c r="ID64" s="1568"/>
      <c r="IE64" s="1568"/>
      <c r="IF64" s="1568"/>
      <c r="IG64" s="1568"/>
      <c r="IH64" s="1568"/>
      <c r="II64" s="1568"/>
      <c r="IJ64" s="1568"/>
      <c r="IK64" s="1568"/>
      <c r="IL64" s="1568"/>
      <c r="IM64" s="1568"/>
      <c r="IN64" s="1568"/>
      <c r="IO64" s="1568"/>
      <c r="IP64" s="1568"/>
      <c r="IQ64" s="1584"/>
      <c r="IR64" s="1568"/>
      <c r="IS64" s="1568"/>
      <c r="IT64" s="1584"/>
      <c r="IU64" s="1568"/>
      <c r="IV64" s="1568"/>
      <c r="IW64" s="1568"/>
      <c r="IX64" s="1568"/>
      <c r="IY64" s="1568"/>
      <c r="IZ64" s="1568"/>
      <c r="JA64" s="1568"/>
      <c r="JB64" s="1568"/>
      <c r="JC64" s="1568"/>
      <c r="JD64" s="1568"/>
      <c r="JE64" s="1568"/>
      <c r="JF64" s="1568"/>
      <c r="JG64" s="1568"/>
      <c r="JH64" s="1568"/>
      <c r="JI64" s="1584"/>
      <c r="JJ64" s="1568"/>
      <c r="JK64" s="1584"/>
      <c r="JL64" s="1584"/>
      <c r="JM64" s="1584"/>
      <c r="JN64" s="1568"/>
      <c r="JO64" s="1584"/>
      <c r="JP64" s="1584"/>
      <c r="JQ64" s="1585"/>
      <c r="JR64" s="351"/>
      <c r="JS64" s="1400"/>
      <c r="JT64" s="450" t="s">
        <v>2242</v>
      </c>
    </row>
    <row r="65" spans="1:280" ht="12.5" x14ac:dyDescent="0.25">
      <c r="A65" s="1367">
        <v>35</v>
      </c>
      <c r="B65" s="1574" t="str">
        <f t="shared" si="30"/>
        <v/>
      </c>
      <c r="C65" s="1435" t="s">
        <v>3621</v>
      </c>
      <c r="D65" s="1436" t="s">
        <v>3622</v>
      </c>
      <c r="E65" s="1563"/>
      <c r="F65" s="1563"/>
      <c r="G65" s="1563"/>
      <c r="H65" s="1563"/>
      <c r="I65" s="1563"/>
      <c r="J65" s="1563"/>
      <c r="K65" s="1563"/>
      <c r="L65" s="1563"/>
      <c r="M65" s="1563"/>
      <c r="N65" s="1563"/>
      <c r="O65" s="1563"/>
      <c r="P65" s="1563"/>
      <c r="Q65" s="1563"/>
      <c r="R65" s="1563"/>
      <c r="S65" s="1563"/>
      <c r="T65" s="1563"/>
      <c r="U65" s="1563"/>
      <c r="V65" s="1563"/>
      <c r="W65" s="1563"/>
      <c r="X65" s="1563"/>
      <c r="Y65" s="1563"/>
      <c r="Z65" s="1563"/>
      <c r="AA65" s="1563"/>
      <c r="AB65" s="1563"/>
      <c r="AC65" s="1563"/>
      <c r="AD65" s="1563"/>
      <c r="AE65" s="1563"/>
      <c r="AF65" s="1563"/>
      <c r="AG65" s="1563"/>
      <c r="AH65" s="1563"/>
      <c r="AI65" s="1563"/>
      <c r="AJ65" s="1563"/>
      <c r="AK65" s="1563"/>
      <c r="AL65" s="1563"/>
      <c r="AM65" s="1563"/>
      <c r="AN65" s="1563"/>
      <c r="AO65" s="1563"/>
      <c r="AP65" s="1563"/>
      <c r="AQ65" s="1563"/>
      <c r="AR65" s="1563"/>
      <c r="AS65" s="1563"/>
      <c r="AT65" s="1563"/>
      <c r="AU65" s="1563"/>
      <c r="AV65" s="1563"/>
      <c r="AW65" s="1563"/>
      <c r="AX65" s="1563"/>
      <c r="AY65" s="1563"/>
      <c r="AZ65" s="1563"/>
      <c r="BA65" s="1563"/>
      <c r="BB65" s="1563">
        <f>MAX(0,BB62+BB63-BB64)</f>
        <v>0</v>
      </c>
      <c r="BC65" s="1563">
        <f>MAX(0,BC62+BC63-BC64)</f>
        <v>0</v>
      </c>
      <c r="BD65" s="1563"/>
      <c r="BE65" s="1563"/>
      <c r="BF65" s="1563"/>
      <c r="BG65" s="1563"/>
      <c r="BH65" s="1563"/>
      <c r="BI65" s="1563"/>
      <c r="BJ65" s="1563"/>
      <c r="BK65" s="1563"/>
      <c r="BL65" s="1563"/>
      <c r="BM65" s="1563"/>
      <c r="BN65" s="1563"/>
      <c r="BO65" s="1563"/>
      <c r="BP65" s="1563"/>
      <c r="BQ65" s="1563"/>
      <c r="BR65" s="1563"/>
      <c r="BS65" s="1563"/>
      <c r="BT65" s="1563"/>
      <c r="BU65" s="1563"/>
      <c r="BV65" s="1563"/>
      <c r="BW65" s="1563"/>
      <c r="BX65" s="1563"/>
      <c r="BY65" s="1563"/>
      <c r="BZ65" s="1563"/>
      <c r="CA65" s="1563"/>
      <c r="CB65" s="1563">
        <f>MAX(0,CB62+CB63-CB64)</f>
        <v>0</v>
      </c>
      <c r="CC65" s="1563">
        <f>MAX(0,CC62+CC63-CC64)</f>
        <v>3036</v>
      </c>
      <c r="CD65" s="1563"/>
      <c r="CE65" s="1563"/>
      <c r="CF65" s="1563"/>
      <c r="CG65" s="1563"/>
      <c r="CH65" s="1563"/>
      <c r="CI65" s="1563"/>
      <c r="CJ65" s="1563"/>
      <c r="CK65" s="1563"/>
      <c r="CL65" s="1563"/>
      <c r="CM65" s="1563"/>
      <c r="CN65" s="1563"/>
      <c r="CO65" s="1563"/>
      <c r="CP65" s="1563">
        <f>MAX(0,CP62+CP63-CP64)</f>
        <v>0</v>
      </c>
      <c r="CQ65" s="1563"/>
      <c r="CR65" s="1563"/>
      <c r="CS65" s="1563"/>
      <c r="CT65" s="1563"/>
      <c r="CU65" s="1563"/>
      <c r="CV65" s="1563"/>
      <c r="CW65" s="1563"/>
      <c r="CX65" s="1563"/>
      <c r="CY65" s="1563">
        <f>MAX(0,CY62+CY63-CY64)</f>
        <v>221</v>
      </c>
      <c r="CZ65" s="1563">
        <f>MAX(0,CZ62+CZ63-CZ64)</f>
        <v>1296</v>
      </c>
      <c r="DA65" s="1563">
        <f>MAX(0,DA62+DA63-DA64)</f>
        <v>1296</v>
      </c>
      <c r="DB65" s="1563"/>
      <c r="DC65" s="1563"/>
      <c r="DD65" s="1563"/>
      <c r="DE65" s="1563"/>
      <c r="DF65" s="1563"/>
      <c r="DG65" s="1563"/>
      <c r="DH65" s="1563"/>
      <c r="DI65" s="1563"/>
      <c r="DJ65" s="1563">
        <f>MAX(0,DJ62+DJ63-DJ64)</f>
        <v>0</v>
      </c>
      <c r="DK65" s="1563"/>
      <c r="DL65" s="1563"/>
      <c r="DM65" s="1563">
        <f>MAX(0,DM62+DM63-DM64)</f>
        <v>221</v>
      </c>
      <c r="DN65" s="1563"/>
      <c r="DO65" s="1563"/>
      <c r="DP65" s="1563"/>
      <c r="DQ65" s="1563"/>
      <c r="DR65" s="1563"/>
      <c r="DS65" s="1563"/>
      <c r="DT65" s="1563"/>
      <c r="DU65" s="1563"/>
      <c r="DV65" s="1563"/>
      <c r="DW65" s="1563"/>
      <c r="DX65" s="1563"/>
      <c r="DY65" s="1563"/>
      <c r="DZ65" s="1563"/>
      <c r="EA65" s="1563"/>
      <c r="EB65" s="1563"/>
      <c r="EC65" s="1563"/>
      <c r="ED65" s="1563"/>
      <c r="EE65" s="1563"/>
      <c r="EF65" s="1563"/>
      <c r="EG65" s="1563"/>
      <c r="EH65" s="1563">
        <f>MAX(0,EH62+EH63-EH64)</f>
        <v>0</v>
      </c>
      <c r="EI65" s="1563">
        <f>MAX(0,EI62+EI63-EI64)</f>
        <v>0</v>
      </c>
      <c r="EJ65" s="1563"/>
      <c r="EK65" s="1563"/>
      <c r="EL65" s="1563"/>
      <c r="EM65" s="1563"/>
      <c r="EN65" s="1563"/>
      <c r="EO65" s="1563"/>
      <c r="EP65" s="1563"/>
      <c r="EQ65" s="1563"/>
      <c r="ER65" s="1572">
        <v>722</v>
      </c>
      <c r="ES65" s="1563"/>
      <c r="ET65" s="1563"/>
      <c r="EU65" s="1563"/>
      <c r="EV65" s="1563"/>
      <c r="EW65" s="1563"/>
      <c r="EX65" s="1563"/>
      <c r="EY65" s="1563"/>
      <c r="EZ65" s="1563"/>
      <c r="FA65" s="1563">
        <f>MAX(0,FA62+FA63-FA64)</f>
        <v>221</v>
      </c>
      <c r="FB65" s="1572">
        <f>MAX(0,FB62+FB63-FB64)</f>
        <v>1546</v>
      </c>
      <c r="FC65" s="1563"/>
      <c r="FD65" s="1563"/>
      <c r="FE65" s="1563"/>
      <c r="FF65" s="1563"/>
      <c r="FG65" s="1563"/>
      <c r="FH65" s="1563"/>
      <c r="FI65" s="1563"/>
      <c r="FJ65" s="1563"/>
      <c r="FK65" s="1563">
        <f>MAX(0,FK62+FK63-FK64)</f>
        <v>1296</v>
      </c>
      <c r="FL65" s="1563"/>
      <c r="FM65" s="1563"/>
      <c r="FN65" s="1563"/>
      <c r="FO65" s="1563"/>
      <c r="FP65" s="1563"/>
      <c r="FQ65" s="1563"/>
      <c r="FR65" s="1563"/>
      <c r="FS65" s="1563"/>
      <c r="FT65" s="1563"/>
      <c r="FU65" s="1563"/>
      <c r="FV65" s="1563"/>
      <c r="FW65" s="1563"/>
      <c r="FX65" s="1563"/>
      <c r="FY65" s="1563"/>
      <c r="FZ65" s="1563"/>
      <c r="GA65" s="1563"/>
      <c r="GB65" s="1563"/>
      <c r="GC65" s="1563"/>
      <c r="GD65" s="1563"/>
      <c r="GE65" s="1563"/>
      <c r="GF65" s="1563"/>
      <c r="GG65" s="1563"/>
      <c r="GH65" s="1563"/>
      <c r="GI65" s="1563"/>
      <c r="GJ65" s="1563"/>
      <c r="GK65" s="1563"/>
      <c r="GL65" s="1563"/>
      <c r="GM65" s="1563"/>
      <c r="GN65" s="1563"/>
      <c r="GO65" s="1563"/>
      <c r="GP65" s="1563"/>
      <c r="GQ65" s="1563"/>
      <c r="GR65" s="1563"/>
      <c r="GS65" s="1563"/>
      <c r="GT65" s="1563"/>
      <c r="GU65" s="1563"/>
      <c r="GV65" s="1563"/>
      <c r="GW65" s="1563"/>
      <c r="GX65" s="1563"/>
      <c r="GY65" s="1563">
        <f>MAX(0,GY62+GY63-GY64)</f>
        <v>0</v>
      </c>
      <c r="GZ65" s="1563"/>
      <c r="HA65" s="1563"/>
      <c r="HB65" s="1563"/>
      <c r="HC65" s="1563"/>
      <c r="HD65" s="1563"/>
      <c r="HE65" s="1563"/>
      <c r="HF65" s="1563"/>
      <c r="HG65" s="1563"/>
      <c r="HH65" s="1563"/>
      <c r="HI65" s="1563"/>
      <c r="HJ65" s="1563"/>
      <c r="HK65" s="1563"/>
      <c r="HL65" s="1563"/>
      <c r="HM65" s="1563"/>
      <c r="HN65" s="1563"/>
      <c r="HO65" s="1563"/>
      <c r="HP65" s="1563"/>
      <c r="HQ65" s="1563"/>
      <c r="HR65" s="1563"/>
      <c r="HS65" s="1563"/>
      <c r="HT65" s="1563"/>
      <c r="HU65" s="1563"/>
      <c r="HV65" s="1563"/>
      <c r="HW65" s="1563"/>
      <c r="HX65" s="1563"/>
      <c r="HY65" s="1563"/>
      <c r="HZ65" s="1563"/>
      <c r="IA65" s="1563"/>
      <c r="IB65" s="1563"/>
      <c r="IC65" s="1563"/>
      <c r="ID65" s="1563"/>
      <c r="IE65" s="1563"/>
      <c r="IF65" s="1563"/>
      <c r="IG65" s="1563"/>
      <c r="IH65" s="1563"/>
      <c r="II65" s="1563"/>
      <c r="IJ65" s="1563"/>
      <c r="IK65" s="1563"/>
      <c r="IL65" s="1563"/>
      <c r="IM65" s="1563"/>
      <c r="IN65" s="1563"/>
      <c r="IO65" s="1563"/>
      <c r="IP65" s="1563"/>
      <c r="IQ65" s="1591">
        <f>MAX(0,IQ62+IQ63-IQ64)</f>
        <v>0</v>
      </c>
      <c r="IR65" s="1563"/>
      <c r="IS65" s="1592">
        <f>MAX(0,IS62+IS63-IS64)</f>
        <v>144</v>
      </c>
      <c r="IT65" s="1591"/>
      <c r="IU65" s="1592">
        <f>MAX(0,IU62+IU63-IU64)</f>
        <v>4020</v>
      </c>
      <c r="IV65" s="1563"/>
      <c r="IW65" s="1563"/>
      <c r="IX65" s="1563"/>
      <c r="IY65" s="1563"/>
      <c r="IZ65" s="1563"/>
      <c r="JA65" s="1563"/>
      <c r="JB65" s="1563"/>
      <c r="JC65" s="1563"/>
      <c r="JD65" s="1563"/>
      <c r="JE65" s="1563"/>
      <c r="JF65" s="1563"/>
      <c r="JG65" s="1563"/>
      <c r="JH65" s="1563"/>
      <c r="JI65" s="1591"/>
      <c r="JJ65" s="1563"/>
      <c r="JK65" s="1591"/>
      <c r="JL65" s="1591"/>
      <c r="JM65" s="1591">
        <f>MAX(0,JM62+JM63-JM64)</f>
        <v>0</v>
      </c>
      <c r="JN65" s="1563"/>
      <c r="JO65" s="1591"/>
      <c r="JP65" s="1591"/>
      <c r="JQ65" s="1593"/>
      <c r="JR65" s="351"/>
      <c r="JS65" s="1400" t="s">
        <v>3623</v>
      </c>
      <c r="JT65" s="450" t="s">
        <v>2253</v>
      </c>
    </row>
    <row r="66" spans="1:280" ht="12.5" x14ac:dyDescent="0.25">
      <c r="A66" s="1367">
        <v>36</v>
      </c>
      <c r="B66" s="1574" t="str">
        <f t="shared" si="30"/>
        <v/>
      </c>
      <c r="C66" s="1435" t="s">
        <v>3624</v>
      </c>
      <c r="D66" s="1436" t="s">
        <v>3625</v>
      </c>
      <c r="E66" s="1563"/>
      <c r="F66" s="1563"/>
      <c r="G66" s="1563"/>
      <c r="H66" s="1563"/>
      <c r="I66" s="1563"/>
      <c r="J66" s="1563"/>
      <c r="K66" s="1563"/>
      <c r="L66" s="1563"/>
      <c r="M66" s="1563"/>
      <c r="N66" s="1563"/>
      <c r="O66" s="1563"/>
      <c r="P66" s="1563"/>
      <c r="Q66" s="1563"/>
      <c r="R66" s="1563"/>
      <c r="S66" s="1563"/>
      <c r="T66" s="1563"/>
      <c r="U66" s="1563"/>
      <c r="V66" s="1563"/>
      <c r="W66" s="1563"/>
      <c r="X66" s="1563"/>
      <c r="Y66" s="1563"/>
      <c r="Z66" s="1563"/>
      <c r="AA66" s="1563"/>
      <c r="AB66" s="1563"/>
      <c r="AC66" s="1563"/>
      <c r="AD66" s="1563"/>
      <c r="AE66" s="1563"/>
      <c r="AF66" s="1563"/>
      <c r="AG66" s="1563"/>
      <c r="AH66" s="1563"/>
      <c r="AI66" s="1563"/>
      <c r="AJ66" s="1563"/>
      <c r="AK66" s="1563"/>
      <c r="AL66" s="1563"/>
      <c r="AM66" s="1563"/>
      <c r="AN66" s="1563"/>
      <c r="AO66" s="1563"/>
      <c r="AP66" s="1563"/>
      <c r="AQ66" s="1563"/>
      <c r="AR66" s="1563"/>
      <c r="AS66" s="1563"/>
      <c r="AT66" s="1563"/>
      <c r="AU66" s="1563"/>
      <c r="AV66" s="1563"/>
      <c r="AW66" s="1563"/>
      <c r="AX66" s="1563"/>
      <c r="AY66" s="1563"/>
      <c r="AZ66" s="1563"/>
      <c r="BA66" s="1563"/>
      <c r="BB66" s="1563">
        <f>BB61+BB65</f>
        <v>426</v>
      </c>
      <c r="BC66" s="1563">
        <f>BC61+BC65</f>
        <v>0</v>
      </c>
      <c r="BD66" s="1563"/>
      <c r="BE66" s="1563"/>
      <c r="BF66" s="1563"/>
      <c r="BG66" s="1563"/>
      <c r="BH66" s="1563"/>
      <c r="BI66" s="1563"/>
      <c r="BJ66" s="1563"/>
      <c r="BK66" s="1563"/>
      <c r="BL66" s="1563"/>
      <c r="BM66" s="1563"/>
      <c r="BN66" s="1563"/>
      <c r="BO66" s="1563"/>
      <c r="BP66" s="1563"/>
      <c r="BQ66" s="1563"/>
      <c r="BR66" s="1563"/>
      <c r="BS66" s="1563"/>
      <c r="BT66" s="1563"/>
      <c r="BU66" s="1563"/>
      <c r="BV66" s="1563"/>
      <c r="BW66" s="1563"/>
      <c r="BX66" s="1563"/>
      <c r="BY66" s="1563"/>
      <c r="BZ66" s="1563"/>
      <c r="CA66" s="1563"/>
      <c r="CB66" s="2473">
        <f>CB61+CB65</f>
        <v>2160</v>
      </c>
      <c r="CC66" s="1563">
        <f>CC61+CC65</f>
        <v>5145</v>
      </c>
      <c r="CD66" s="1572">
        <f>CD61+CD65</f>
        <v>5</v>
      </c>
      <c r="CE66" s="1572">
        <v>2890</v>
      </c>
      <c r="CF66" s="1563"/>
      <c r="CG66" s="1563"/>
      <c r="CH66" s="1563">
        <f>CH61+CH65</f>
        <v>868</v>
      </c>
      <c r="CI66" s="1563">
        <f>CI61+CI65</f>
        <v>43</v>
      </c>
      <c r="CJ66" s="1572">
        <f>CJ61+CJ65</f>
        <v>2074</v>
      </c>
      <c r="CK66" s="1563"/>
      <c r="CL66" s="1563"/>
      <c r="CM66" s="1563"/>
      <c r="CN66" s="1563"/>
      <c r="CO66" s="1563"/>
      <c r="CP66" s="1563">
        <f>CP61+CP65</f>
        <v>331</v>
      </c>
      <c r="CQ66" s="1563"/>
      <c r="CR66" s="1563"/>
      <c r="CS66" s="1563"/>
      <c r="CT66" s="1563"/>
      <c r="CU66" s="1563"/>
      <c r="CV66" s="1563"/>
      <c r="CW66" s="1563"/>
      <c r="CX66" s="1563"/>
      <c r="CY66" s="1563">
        <f>CY61+CY65</f>
        <v>1486</v>
      </c>
      <c r="CZ66" s="1563">
        <f>CZ61+CZ65</f>
        <v>18551</v>
      </c>
      <c r="DA66" s="1563">
        <f>DA61+DA65</f>
        <v>18551</v>
      </c>
      <c r="DB66" s="1563"/>
      <c r="DC66" s="1563"/>
      <c r="DD66" s="1563"/>
      <c r="DE66" s="1563"/>
      <c r="DF66" s="1563"/>
      <c r="DG66" s="1563"/>
      <c r="DH66" s="1563"/>
      <c r="DI66" s="1563"/>
      <c r="DJ66" s="1572">
        <f>DJ61+DJ65</f>
        <v>41</v>
      </c>
      <c r="DK66" s="1563"/>
      <c r="DL66" s="1563"/>
      <c r="DM66" s="1563">
        <f>DM61+DM65</f>
        <v>1486</v>
      </c>
      <c r="DN66" s="1563"/>
      <c r="DO66" s="1563"/>
      <c r="DP66" s="1563"/>
      <c r="DQ66" s="1563"/>
      <c r="DR66" s="1563"/>
      <c r="DS66" s="1563"/>
      <c r="DT66" s="1563"/>
      <c r="DU66" s="1563"/>
      <c r="DV66" s="1563"/>
      <c r="DW66" s="1563"/>
      <c r="DX66" s="1563"/>
      <c r="DY66" s="1563"/>
      <c r="DZ66" s="1563"/>
      <c r="EA66" s="1563"/>
      <c r="EB66" s="1563"/>
      <c r="EC66" s="1563"/>
      <c r="ED66" s="1563"/>
      <c r="EE66" s="1563"/>
      <c r="EF66" s="1563"/>
      <c r="EG66" s="1563"/>
      <c r="EH66" s="1563">
        <f>EH61+EH65</f>
        <v>0</v>
      </c>
      <c r="EI66" s="1563">
        <f>EI61+EI65</f>
        <v>854</v>
      </c>
      <c r="EJ66" s="1563"/>
      <c r="EK66" s="1563"/>
      <c r="EL66" s="1563"/>
      <c r="EM66" s="1563"/>
      <c r="EN66" s="1563"/>
      <c r="EO66" s="1563"/>
      <c r="EP66" s="1563"/>
      <c r="EQ66" s="1563"/>
      <c r="ER66" s="1572">
        <f>ER61+ER65</f>
        <v>722</v>
      </c>
      <c r="ES66" s="1563"/>
      <c r="ET66" s="1563"/>
      <c r="EU66" s="1563"/>
      <c r="EV66" s="1563">
        <v>68</v>
      </c>
      <c r="EW66" s="1563"/>
      <c r="EX66" s="1563"/>
      <c r="EY66" s="1563"/>
      <c r="EZ66" s="1563"/>
      <c r="FA66" s="1563">
        <f>FA61+FA65</f>
        <v>1486</v>
      </c>
      <c r="FB66" s="1572">
        <f>FB61+FB65</f>
        <v>1546</v>
      </c>
      <c r="FC66" s="1563"/>
      <c r="FD66" s="1572">
        <f t="shared" ref="FD66:FK66" si="31">FD61+FD65</f>
        <v>3000</v>
      </c>
      <c r="FE66" s="1563"/>
      <c r="FF66" s="1563"/>
      <c r="FG66" s="1563"/>
      <c r="FH66" s="1572">
        <f t="shared" si="31"/>
        <v>3000</v>
      </c>
      <c r="FI66" s="1563"/>
      <c r="FJ66" s="1563"/>
      <c r="FK66" s="1563">
        <f t="shared" si="31"/>
        <v>18551</v>
      </c>
      <c r="FL66" s="1563"/>
      <c r="FM66" s="1563"/>
      <c r="FN66" s="1563"/>
      <c r="FO66" s="1572">
        <f>FO61+FO65</f>
        <v>13</v>
      </c>
      <c r="FP66" s="1563"/>
      <c r="FQ66" s="1563"/>
      <c r="FR66" s="1563"/>
      <c r="FS66" s="1563"/>
      <c r="FT66" s="1563"/>
      <c r="FU66" s="1563"/>
      <c r="FV66" s="1563"/>
      <c r="FW66" s="1563"/>
      <c r="FX66" s="1563"/>
      <c r="FY66" s="1563"/>
      <c r="FZ66" s="1563"/>
      <c r="GA66" s="1563"/>
      <c r="GB66" s="1563"/>
      <c r="GC66" s="1563"/>
      <c r="GD66" s="1563"/>
      <c r="GE66" s="1563"/>
      <c r="GF66" s="1563"/>
      <c r="GG66" s="1563"/>
      <c r="GH66" s="1563"/>
      <c r="GI66" s="1563"/>
      <c r="GJ66" s="1563"/>
      <c r="GK66" s="1563"/>
      <c r="GL66" s="1563"/>
      <c r="GM66" s="1563"/>
      <c r="GN66" s="1563"/>
      <c r="GO66" s="1563"/>
      <c r="GP66" s="1563"/>
      <c r="GQ66" s="1563"/>
      <c r="GR66" s="1563"/>
      <c r="GS66" s="1563"/>
      <c r="GT66" s="1563"/>
      <c r="GU66" s="1563"/>
      <c r="GV66" s="1563"/>
      <c r="GW66" s="1563"/>
      <c r="GX66" s="1563"/>
      <c r="GY66" s="1563">
        <f>GY61+GY65</f>
        <v>855</v>
      </c>
      <c r="GZ66" s="1563"/>
      <c r="HA66" s="1563"/>
      <c r="HB66" s="1563"/>
      <c r="HC66" s="1563"/>
      <c r="HD66" s="1563"/>
      <c r="HE66" s="1563"/>
      <c r="HF66" s="1563"/>
      <c r="HG66" s="1563"/>
      <c r="HH66" s="1563"/>
      <c r="HI66" s="1563"/>
      <c r="HJ66" s="1563"/>
      <c r="HK66" s="1563"/>
      <c r="HL66" s="1563"/>
      <c r="HM66" s="1563"/>
      <c r="HN66" s="1563"/>
      <c r="HO66" s="1563"/>
      <c r="HP66" s="1563"/>
      <c r="HQ66" s="1563"/>
      <c r="HR66" s="1563"/>
      <c r="HS66" s="1563"/>
      <c r="HT66" s="1563"/>
      <c r="HU66" s="1563"/>
      <c r="HV66" s="1563"/>
      <c r="HW66" s="1563"/>
      <c r="HX66" s="1563"/>
      <c r="HY66" s="1563"/>
      <c r="HZ66" s="1563"/>
      <c r="IA66" s="1563"/>
      <c r="IB66" s="1563"/>
      <c r="IC66" s="1563"/>
      <c r="ID66" s="1563"/>
      <c r="IE66" s="1563"/>
      <c r="IF66" s="1563"/>
      <c r="IG66" s="1563"/>
      <c r="IH66" s="1563"/>
      <c r="II66" s="1563"/>
      <c r="IJ66" s="1563"/>
      <c r="IK66" s="1563"/>
      <c r="IL66" s="1563"/>
      <c r="IM66" s="1563"/>
      <c r="IN66" s="1563"/>
      <c r="IO66" s="1563"/>
      <c r="IP66" s="1563"/>
      <c r="IQ66" s="1563">
        <f>IQ61+IQ65</f>
        <v>0</v>
      </c>
      <c r="IR66" s="1563"/>
      <c r="IS66" s="1572">
        <f>IS61+IS65</f>
        <v>12833</v>
      </c>
      <c r="IT66" s="1563">
        <f>IT61+IT65</f>
        <v>5319</v>
      </c>
      <c r="IU66" s="1572">
        <f>IU61+IU65</f>
        <v>4157</v>
      </c>
      <c r="IV66" s="1563"/>
      <c r="IW66" s="1563"/>
      <c r="IX66" s="1563"/>
      <c r="IY66" s="1563"/>
      <c r="IZ66" s="1563"/>
      <c r="JA66" s="1563"/>
      <c r="JB66" s="1563"/>
      <c r="JC66" s="1563"/>
      <c r="JD66" s="1563"/>
      <c r="JE66" s="1563"/>
      <c r="JF66" s="1563"/>
      <c r="JG66" s="1563"/>
      <c r="JH66" s="1563"/>
      <c r="JI66" s="1563">
        <f>JI61+JI65</f>
        <v>14</v>
      </c>
      <c r="JJ66" s="1563"/>
      <c r="JK66" s="1563"/>
      <c r="JL66" s="1563">
        <f>JL61+JL65</f>
        <v>7</v>
      </c>
      <c r="JM66" s="1563">
        <f>JM61+JM65</f>
        <v>14</v>
      </c>
      <c r="JN66" s="1563"/>
      <c r="JO66" s="1591"/>
      <c r="JP66" s="1591"/>
      <c r="JQ66" s="1593"/>
      <c r="JR66" s="351"/>
      <c r="JS66" s="1400" t="s">
        <v>3626</v>
      </c>
      <c r="JT66" s="450" t="s">
        <v>2224</v>
      </c>
    </row>
    <row r="67" spans="1:280" ht="12.5" x14ac:dyDescent="0.25">
      <c r="A67" s="1367">
        <v>37</v>
      </c>
      <c r="B67" s="1574" t="str">
        <f t="shared" si="30"/>
        <v/>
      </c>
      <c r="C67" s="1644" t="s">
        <v>3627</v>
      </c>
      <c r="D67" s="1539" t="s">
        <v>3252</v>
      </c>
      <c r="E67" s="1586"/>
      <c r="F67" s="1586"/>
      <c r="G67" s="1586"/>
      <c r="H67" s="1586"/>
      <c r="I67" s="1586"/>
      <c r="J67" s="1586"/>
      <c r="K67" s="1586"/>
      <c r="L67" s="1586"/>
      <c r="M67" s="1586"/>
      <c r="N67" s="1586"/>
      <c r="O67" s="1586"/>
      <c r="P67" s="1586"/>
      <c r="Q67" s="1586"/>
      <c r="R67" s="1586"/>
      <c r="S67" s="1586"/>
      <c r="T67" s="1586"/>
      <c r="U67" s="1586"/>
      <c r="V67" s="1586"/>
      <c r="W67" s="1586"/>
      <c r="X67" s="1586"/>
      <c r="Y67" s="1586"/>
      <c r="Z67" s="1586"/>
      <c r="AA67" s="1586"/>
      <c r="AB67" s="1586"/>
      <c r="AC67" s="1586"/>
      <c r="AD67" s="1586"/>
      <c r="AE67" s="1586"/>
      <c r="AF67" s="1586"/>
      <c r="AG67" s="1586"/>
      <c r="AH67" s="1586"/>
      <c r="AI67" s="1586"/>
      <c r="AJ67" s="1586"/>
      <c r="AK67" s="1586"/>
      <c r="AL67" s="1586"/>
      <c r="AM67" s="1586"/>
      <c r="AN67" s="1586"/>
      <c r="AO67" s="1586"/>
      <c r="AP67" s="1586"/>
      <c r="AQ67" s="1586"/>
      <c r="AR67" s="1586"/>
      <c r="AS67" s="1586"/>
      <c r="AT67" s="1586"/>
      <c r="AU67" s="1586"/>
      <c r="AV67" s="1586"/>
      <c r="AW67" s="1586"/>
      <c r="AX67" s="1586"/>
      <c r="AY67" s="1586"/>
      <c r="AZ67" s="1586"/>
      <c r="BA67" s="1586"/>
      <c r="BB67" s="1586"/>
      <c r="BC67" s="1586"/>
      <c r="BD67" s="1586"/>
      <c r="BE67" s="1586"/>
      <c r="BF67" s="1586"/>
      <c r="BG67" s="1586"/>
      <c r="BH67" s="1586"/>
      <c r="BI67" s="1586"/>
      <c r="BJ67" s="1586"/>
      <c r="BK67" s="1586"/>
      <c r="BL67" s="1586"/>
      <c r="BM67" s="1586"/>
      <c r="BN67" s="1586"/>
      <c r="BO67" s="1586"/>
      <c r="BP67" s="1586"/>
      <c r="BQ67" s="1586"/>
      <c r="BR67" s="1586"/>
      <c r="BS67" s="1586"/>
      <c r="BT67" s="1586"/>
      <c r="BU67" s="1586"/>
      <c r="BV67" s="1586"/>
      <c r="BW67" s="1586"/>
      <c r="BX67" s="1586"/>
      <c r="BY67" s="1586"/>
      <c r="BZ67" s="1586"/>
      <c r="CA67" s="1586"/>
      <c r="CB67" s="1586"/>
      <c r="CC67" s="1586"/>
      <c r="CD67" s="1586"/>
      <c r="CE67" s="1586"/>
      <c r="CF67" s="1586"/>
      <c r="CG67" s="1586"/>
      <c r="CH67" s="1586"/>
      <c r="CI67" s="1586"/>
      <c r="CJ67" s="1586"/>
      <c r="CK67" s="1586"/>
      <c r="CL67" s="1586"/>
      <c r="CM67" s="1586"/>
      <c r="CN67" s="1586"/>
      <c r="CO67" s="1586"/>
      <c r="CP67" s="1586"/>
      <c r="CQ67" s="1586"/>
      <c r="CR67" s="1586"/>
      <c r="CS67" s="1586"/>
      <c r="CT67" s="1586"/>
      <c r="CU67" s="1586"/>
      <c r="CV67" s="1586"/>
      <c r="CW67" s="1586"/>
      <c r="CX67" s="1586"/>
      <c r="CY67" s="1586"/>
      <c r="CZ67" s="1586"/>
      <c r="DA67" s="1586"/>
      <c r="DB67" s="1586"/>
      <c r="DC67" s="1586"/>
      <c r="DD67" s="1586"/>
      <c r="DE67" s="1586"/>
      <c r="DF67" s="1586"/>
      <c r="DG67" s="1586"/>
      <c r="DH67" s="1586"/>
      <c r="DI67" s="1586"/>
      <c r="DJ67" s="1586"/>
      <c r="DK67" s="1586"/>
      <c r="DL67" s="1586"/>
      <c r="DM67" s="1586"/>
      <c r="DN67" s="1586"/>
      <c r="DO67" s="1586"/>
      <c r="DP67" s="1586"/>
      <c r="DQ67" s="1586"/>
      <c r="DR67" s="1586"/>
      <c r="DS67" s="1586"/>
      <c r="DT67" s="1586"/>
      <c r="DU67" s="1586"/>
      <c r="DV67" s="1586"/>
      <c r="DW67" s="1586"/>
      <c r="DX67" s="1586"/>
      <c r="DY67" s="1586"/>
      <c r="DZ67" s="1586"/>
      <c r="EA67" s="1586"/>
      <c r="EB67" s="1586"/>
      <c r="EC67" s="1586"/>
      <c r="ED67" s="1586"/>
      <c r="EE67" s="1586"/>
      <c r="EF67" s="1586"/>
      <c r="EG67" s="1586"/>
      <c r="EH67" s="1586"/>
      <c r="EI67" s="1586"/>
      <c r="EJ67" s="1586"/>
      <c r="EK67" s="1586"/>
      <c r="EL67" s="1586"/>
      <c r="EM67" s="1586"/>
      <c r="EN67" s="1586"/>
      <c r="EO67" s="1586"/>
      <c r="EP67" s="1586"/>
      <c r="EQ67" s="1586"/>
      <c r="ER67" s="1586"/>
      <c r="ES67" s="1586"/>
      <c r="ET67" s="1586"/>
      <c r="EU67" s="1586"/>
      <c r="EV67" s="1586"/>
      <c r="EW67" s="1586"/>
      <c r="EX67" s="1586"/>
      <c r="EY67" s="1586"/>
      <c r="EZ67" s="1586"/>
      <c r="FA67" s="1586"/>
      <c r="FB67" s="1586"/>
      <c r="FC67" s="1586"/>
      <c r="FD67" s="1586"/>
      <c r="FE67" s="1586"/>
      <c r="FF67" s="1586"/>
      <c r="FG67" s="1586"/>
      <c r="FH67" s="1586"/>
      <c r="FI67" s="1586"/>
      <c r="FJ67" s="1586"/>
      <c r="FK67" s="1586"/>
      <c r="FL67" s="1586"/>
      <c r="FM67" s="1586"/>
      <c r="FN67" s="1586"/>
      <c r="FO67" s="1586"/>
      <c r="FP67" s="1586"/>
      <c r="FQ67" s="1586"/>
      <c r="FR67" s="1586"/>
      <c r="FS67" s="1586"/>
      <c r="FT67" s="1586"/>
      <c r="FU67" s="1586"/>
      <c r="FV67" s="1586"/>
      <c r="FW67" s="1586"/>
      <c r="FX67" s="1586"/>
      <c r="FY67" s="1586"/>
      <c r="FZ67" s="1586"/>
      <c r="GA67" s="1586"/>
      <c r="GB67" s="1586"/>
      <c r="GC67" s="1586"/>
      <c r="GD67" s="1586"/>
      <c r="GE67" s="1586"/>
      <c r="GF67" s="1586"/>
      <c r="GG67" s="1586"/>
      <c r="GH67" s="1586"/>
      <c r="GI67" s="1586"/>
      <c r="GJ67" s="1586"/>
      <c r="GK67" s="1586"/>
      <c r="GL67" s="1586"/>
      <c r="GM67" s="1586"/>
      <c r="GN67" s="1586"/>
      <c r="GO67" s="1586"/>
      <c r="GP67" s="1586"/>
      <c r="GQ67" s="1586"/>
      <c r="GR67" s="1586"/>
      <c r="GS67" s="1586"/>
      <c r="GT67" s="1586"/>
      <c r="GU67" s="1586"/>
      <c r="GV67" s="1586"/>
      <c r="GW67" s="1586"/>
      <c r="GX67" s="1586"/>
      <c r="GY67" s="1586"/>
      <c r="GZ67" s="1586"/>
      <c r="HA67" s="1586"/>
      <c r="HB67" s="1586"/>
      <c r="HC67" s="1586"/>
      <c r="HD67" s="1586"/>
      <c r="HE67" s="1586"/>
      <c r="HF67" s="1586"/>
      <c r="HG67" s="1586"/>
      <c r="HH67" s="1586"/>
      <c r="HI67" s="1586"/>
      <c r="HJ67" s="1586"/>
      <c r="HK67" s="1586"/>
      <c r="HL67" s="1586"/>
      <c r="HM67" s="1586"/>
      <c r="HN67" s="1586"/>
      <c r="HO67" s="1586"/>
      <c r="HP67" s="1586"/>
      <c r="HQ67" s="1586"/>
      <c r="HR67" s="1586"/>
      <c r="HS67" s="1586"/>
      <c r="HT67" s="1586"/>
      <c r="HU67" s="1586"/>
      <c r="HV67" s="1586"/>
      <c r="HW67" s="1586"/>
      <c r="HX67" s="1586"/>
      <c r="HY67" s="1586"/>
      <c r="HZ67" s="1586"/>
      <c r="IA67" s="1586"/>
      <c r="IB67" s="1586"/>
      <c r="IC67" s="1586"/>
      <c r="ID67" s="1586"/>
      <c r="IE67" s="1586"/>
      <c r="IF67" s="1586"/>
      <c r="IG67" s="1586"/>
      <c r="IH67" s="1586"/>
      <c r="II67" s="1586"/>
      <c r="IJ67" s="1586"/>
      <c r="IK67" s="1586"/>
      <c r="IL67" s="1586"/>
      <c r="IM67" s="1586"/>
      <c r="IN67" s="1586"/>
      <c r="IO67" s="1586"/>
      <c r="IP67" s="1586"/>
      <c r="IQ67" s="1587"/>
      <c r="IR67" s="1586"/>
      <c r="IS67" s="1586"/>
      <c r="IT67" s="1587"/>
      <c r="IU67" s="1586"/>
      <c r="IV67" s="1586"/>
      <c r="IW67" s="1586"/>
      <c r="IX67" s="1586"/>
      <c r="IY67" s="1586"/>
      <c r="IZ67" s="1586"/>
      <c r="JA67" s="1586"/>
      <c r="JB67" s="1586"/>
      <c r="JC67" s="1586"/>
      <c r="JD67" s="1586"/>
      <c r="JE67" s="1586"/>
      <c r="JF67" s="1586"/>
      <c r="JG67" s="1586"/>
      <c r="JH67" s="1586"/>
      <c r="JI67" s="1587"/>
      <c r="JJ67" s="1586"/>
      <c r="JK67" s="1587"/>
      <c r="JL67" s="1587"/>
      <c r="JM67" s="1587"/>
      <c r="JN67" s="1586"/>
      <c r="JO67" s="1587"/>
      <c r="JP67" s="1587"/>
      <c r="JQ67" s="1588"/>
      <c r="JR67" s="351"/>
      <c r="JS67" s="1400"/>
      <c r="JT67" s="450"/>
    </row>
    <row r="68" spans="1:280" ht="12.5" x14ac:dyDescent="0.25">
      <c r="A68" s="1367">
        <v>38</v>
      </c>
      <c r="B68" s="1574" t="str">
        <f t="shared" si="30"/>
        <v/>
      </c>
      <c r="C68" s="1435" t="s">
        <v>3628</v>
      </c>
      <c r="D68" s="1436" t="s">
        <v>3629</v>
      </c>
      <c r="E68" s="1571"/>
      <c r="F68" s="1571"/>
      <c r="G68" s="1571"/>
      <c r="H68" s="1571"/>
      <c r="I68" s="1571"/>
      <c r="J68" s="1571"/>
      <c r="K68" s="1571"/>
      <c r="L68" s="1571"/>
      <c r="M68" s="1571"/>
      <c r="N68" s="1571"/>
      <c r="O68" s="1571"/>
      <c r="P68" s="1571"/>
      <c r="Q68" s="1571"/>
      <c r="R68" s="1571"/>
      <c r="S68" s="1571"/>
      <c r="T68" s="1571"/>
      <c r="U68" s="1571"/>
      <c r="V68" s="1571"/>
      <c r="W68" s="1571"/>
      <c r="X68" s="1571"/>
      <c r="Y68" s="1571"/>
      <c r="Z68" s="1571"/>
      <c r="AA68" s="1571"/>
      <c r="AB68" s="1571"/>
      <c r="AC68" s="1571"/>
      <c r="AD68" s="1571"/>
      <c r="AE68" s="1571"/>
      <c r="AF68" s="1571"/>
      <c r="AG68" s="1571"/>
      <c r="AH68" s="1571"/>
      <c r="AI68" s="1571"/>
      <c r="AJ68" s="1568"/>
      <c r="AK68" s="1571"/>
      <c r="AL68" s="1571"/>
      <c r="AM68" s="1568"/>
      <c r="AN68" s="1571"/>
      <c r="AO68" s="1571"/>
      <c r="AP68" s="1571"/>
      <c r="AQ68" s="1571"/>
      <c r="AR68" s="1571"/>
      <c r="AS68" s="1571"/>
      <c r="AT68" s="1571"/>
      <c r="AU68" s="1571"/>
      <c r="AV68" s="1571"/>
      <c r="AW68" s="1571"/>
      <c r="AX68" s="1571"/>
      <c r="AY68" s="1571"/>
      <c r="AZ68" s="1571"/>
      <c r="BA68" s="1571"/>
      <c r="BB68" s="1568">
        <v>6421</v>
      </c>
      <c r="BC68" s="1568">
        <v>0</v>
      </c>
      <c r="BD68" s="1571"/>
      <c r="BE68" s="1571"/>
      <c r="BF68" s="1571"/>
      <c r="BG68" s="1571"/>
      <c r="BH68" s="1571"/>
      <c r="BI68" s="1571"/>
      <c r="BJ68" s="1571"/>
      <c r="BK68" s="1571"/>
      <c r="BL68" s="1571"/>
      <c r="BM68" s="1571"/>
      <c r="BN68" s="1571"/>
      <c r="BO68" s="1571"/>
      <c r="BP68" s="1571"/>
      <c r="BQ68" s="1571"/>
      <c r="BR68" s="1571"/>
      <c r="BS68" s="1571"/>
      <c r="BT68" s="1571"/>
      <c r="BU68" s="1571"/>
      <c r="BV68" s="1571"/>
      <c r="BW68" s="1571"/>
      <c r="BX68" s="1571"/>
      <c r="BY68" s="1571"/>
      <c r="BZ68" s="1571"/>
      <c r="CA68" s="1571"/>
      <c r="CB68" s="1571"/>
      <c r="CC68" s="1571">
        <v>989</v>
      </c>
      <c r="CD68" s="1571">
        <v>9551</v>
      </c>
      <c r="CE68" s="1571">
        <v>9498</v>
      </c>
      <c r="CF68" s="1571"/>
      <c r="CG68" s="1579">
        <f>BR_band+BPA+9250</f>
        <v>50080</v>
      </c>
      <c r="CH68" s="1571">
        <v>18970</v>
      </c>
      <c r="CI68" s="1571">
        <v>2221</v>
      </c>
      <c r="CJ68" s="1579">
        <v>11187</v>
      </c>
      <c r="CK68" s="1571"/>
      <c r="CL68" s="1571"/>
      <c r="CM68" s="1571"/>
      <c r="CN68" s="1571"/>
      <c r="CO68" s="1571"/>
      <c r="CP68" s="1568">
        <v>0</v>
      </c>
      <c r="CQ68" s="1571"/>
      <c r="CR68" s="1571"/>
      <c r="CS68" s="1571"/>
      <c r="CT68" s="1571"/>
      <c r="CU68" s="1571"/>
      <c r="CV68" s="1571"/>
      <c r="CW68" s="1571"/>
      <c r="CX68" s="1571"/>
      <c r="CY68" s="1569">
        <v>-6400</v>
      </c>
      <c r="CZ68" s="1568">
        <v>0</v>
      </c>
      <c r="DA68" s="1568">
        <v>0</v>
      </c>
      <c r="DB68" s="1571"/>
      <c r="DC68" s="1571"/>
      <c r="DD68" s="1571"/>
      <c r="DE68" s="1571"/>
      <c r="DF68" s="1571"/>
      <c r="DG68" s="1571"/>
      <c r="DH68" s="1571"/>
      <c r="DI68" s="1571"/>
      <c r="DJ68" s="1594">
        <v>132</v>
      </c>
      <c r="DK68" s="1571"/>
      <c r="DL68" s="1571"/>
      <c r="DM68" s="1569">
        <v>-6400</v>
      </c>
      <c r="DN68" s="1571"/>
      <c r="DO68" s="1571"/>
      <c r="DP68" s="1571"/>
      <c r="DQ68" s="1571"/>
      <c r="DR68" s="1571"/>
      <c r="DS68" s="1571"/>
      <c r="DT68" s="1571"/>
      <c r="DU68" s="1571"/>
      <c r="DV68" s="1571"/>
      <c r="DW68" s="1571"/>
      <c r="DX68" s="1571"/>
      <c r="DY68" s="1571"/>
      <c r="DZ68" s="1571"/>
      <c r="EA68" s="1571"/>
      <c r="EB68" s="1571"/>
      <c r="EC68" s="1571"/>
      <c r="ED68" s="1571"/>
      <c r="EE68" s="1571"/>
      <c r="EF68" s="1571"/>
      <c r="EG68" s="1571"/>
      <c r="EH68" s="1568">
        <v>5500</v>
      </c>
      <c r="EI68" s="1571">
        <v>-5000</v>
      </c>
      <c r="EJ68" s="1571"/>
      <c r="EK68" s="1571"/>
      <c r="EL68" s="1571"/>
      <c r="EM68" s="1571"/>
      <c r="EN68" s="1571"/>
      <c r="EO68" s="1571"/>
      <c r="EP68" s="1571"/>
      <c r="EQ68" s="1571"/>
      <c r="ER68" s="1571"/>
      <c r="ES68" s="1571"/>
      <c r="ET68" s="1571"/>
      <c r="EU68" s="1571"/>
      <c r="EV68" s="1571"/>
      <c r="EW68" s="1571"/>
      <c r="EX68" s="1571"/>
      <c r="EY68" s="1571"/>
      <c r="EZ68" s="1571"/>
      <c r="FA68" s="1569">
        <v>-6400</v>
      </c>
      <c r="FB68" s="1571"/>
      <c r="FC68" s="1571"/>
      <c r="FD68" s="1571"/>
      <c r="FE68" s="1571"/>
      <c r="FF68" s="1571"/>
      <c r="FG68" s="1571"/>
      <c r="FH68" s="1571"/>
      <c r="FI68" s="1571"/>
      <c r="FJ68" s="1571"/>
      <c r="FK68" s="1568">
        <v>0</v>
      </c>
      <c r="FL68" s="1571"/>
      <c r="FM68" s="1571"/>
      <c r="FN68" s="1571"/>
      <c r="FO68" s="1571"/>
      <c r="FP68" s="1571"/>
      <c r="FQ68" s="1571"/>
      <c r="FR68" s="1571"/>
      <c r="FS68" s="1571"/>
      <c r="FT68" s="1571"/>
      <c r="FU68" s="1571"/>
      <c r="FV68" s="1568"/>
      <c r="FW68" s="1571"/>
      <c r="FX68" s="1571"/>
      <c r="FY68" s="1571"/>
      <c r="FZ68" s="1571"/>
      <c r="GA68" s="1571"/>
      <c r="GB68" s="1571"/>
      <c r="GC68" s="1571"/>
      <c r="GD68" s="1571"/>
      <c r="GE68" s="1571"/>
      <c r="GF68" s="1571"/>
      <c r="GG68" s="1571"/>
      <c r="GH68" s="1571"/>
      <c r="GI68" s="1571"/>
      <c r="GJ68" s="1571"/>
      <c r="GK68" s="1571"/>
      <c r="GL68" s="1571"/>
      <c r="GM68" s="1571"/>
      <c r="GN68" s="1571"/>
      <c r="GO68" s="1571"/>
      <c r="GP68" s="1571"/>
      <c r="GQ68" s="1571"/>
      <c r="GR68" s="1571"/>
      <c r="GS68" s="1571"/>
      <c r="GT68" s="1571"/>
      <c r="GU68" s="1571"/>
      <c r="GV68" s="1571"/>
      <c r="GW68" s="1568"/>
      <c r="GX68" s="1571"/>
      <c r="GY68" s="1571">
        <v>-3000</v>
      </c>
      <c r="GZ68" s="1571"/>
      <c r="HA68" s="1571"/>
      <c r="HB68" s="1571"/>
      <c r="HC68" s="1571"/>
      <c r="HD68" s="1571"/>
      <c r="HE68" s="1571"/>
      <c r="HF68" s="1571"/>
      <c r="HG68" s="1571"/>
      <c r="HH68" s="1571"/>
      <c r="HI68" s="1571"/>
      <c r="HJ68" s="1571"/>
      <c r="HK68" s="1571"/>
      <c r="HL68" s="1571"/>
      <c r="HM68" s="1571"/>
      <c r="HN68" s="1571"/>
      <c r="HO68" s="1571"/>
      <c r="HP68" s="1571"/>
      <c r="HQ68" s="1571"/>
      <c r="HR68" s="1571"/>
      <c r="HS68" s="1571"/>
      <c r="HT68" s="1571"/>
      <c r="HU68" s="1571"/>
      <c r="HV68" s="1571"/>
      <c r="HW68" s="1571"/>
      <c r="HX68" s="1571"/>
      <c r="HY68" s="1571"/>
      <c r="HZ68" s="1571"/>
      <c r="IA68" s="1571"/>
      <c r="IB68" s="1571"/>
      <c r="IC68" s="1571"/>
      <c r="ID68" s="1571"/>
      <c r="IE68" s="1571"/>
      <c r="IF68" s="1571"/>
      <c r="IG68" s="1571"/>
      <c r="IH68" s="1571"/>
      <c r="II68" s="1571"/>
      <c r="IJ68" s="1571"/>
      <c r="IK68" s="1571"/>
      <c r="IL68" s="1571"/>
      <c r="IM68" s="1571"/>
      <c r="IN68" s="1571"/>
      <c r="IO68" s="1571"/>
      <c r="IP68" s="1571"/>
      <c r="IQ68" s="1580">
        <v>106</v>
      </c>
      <c r="IR68" s="1571"/>
      <c r="IS68" s="1571"/>
      <c r="IT68" s="1580"/>
      <c r="IU68" s="1571"/>
      <c r="IV68" s="1571"/>
      <c r="IW68" s="1571"/>
      <c r="IX68" s="1571"/>
      <c r="IY68" s="1568"/>
      <c r="IZ68" s="1571"/>
      <c r="JA68" s="1571"/>
      <c r="JB68" s="1568"/>
      <c r="JC68" s="1571"/>
      <c r="JD68" s="1571"/>
      <c r="JE68" s="1571"/>
      <c r="JF68" s="1571"/>
      <c r="JG68" s="1571"/>
      <c r="JH68" s="1571"/>
      <c r="JI68" s="1580"/>
      <c r="JJ68" s="1571"/>
      <c r="JK68" s="1580"/>
      <c r="JL68" s="1580">
        <v>269</v>
      </c>
      <c r="JM68" s="1580"/>
      <c r="JN68" s="1568"/>
      <c r="JO68" s="1580"/>
      <c r="JP68" s="1580"/>
      <c r="JQ68" s="1581"/>
      <c r="JR68" s="351"/>
      <c r="JS68" s="1400"/>
      <c r="JT68" s="450" t="s">
        <v>2253</v>
      </c>
    </row>
    <row r="69" spans="1:280" ht="12.5" x14ac:dyDescent="0.25">
      <c r="A69" s="1367">
        <v>39</v>
      </c>
      <c r="B69" s="1574" t="str">
        <f t="shared" si="30"/>
        <v/>
      </c>
      <c r="C69" s="1435" t="s">
        <v>3630</v>
      </c>
      <c r="D69" s="1436" t="s">
        <v>3631</v>
      </c>
      <c r="E69" s="1568"/>
      <c r="F69" s="1568"/>
      <c r="G69" s="1568"/>
      <c r="H69" s="1568"/>
      <c r="I69" s="1568"/>
      <c r="J69" s="1568"/>
      <c r="K69" s="1568"/>
      <c r="L69" s="1568"/>
      <c r="M69" s="1568"/>
      <c r="N69" s="1568"/>
      <c r="O69" s="1568"/>
      <c r="P69" s="1568"/>
      <c r="Q69" s="1568"/>
      <c r="R69" s="1568"/>
      <c r="S69" s="1568"/>
      <c r="T69" s="1568"/>
      <c r="U69" s="1568"/>
      <c r="V69" s="1568"/>
      <c r="W69" s="1568"/>
      <c r="X69" s="1568"/>
      <c r="Y69" s="1568"/>
      <c r="Z69" s="1568"/>
      <c r="AA69" s="1568"/>
      <c r="AB69" s="1568"/>
      <c r="AC69" s="1568"/>
      <c r="AD69" s="1568"/>
      <c r="AE69" s="1568"/>
      <c r="AF69" s="1568"/>
      <c r="AG69" s="1568"/>
      <c r="AH69" s="1568"/>
      <c r="AI69" s="1568"/>
      <c r="AJ69" s="1568"/>
      <c r="AK69" s="1568"/>
      <c r="AL69" s="1568"/>
      <c r="AM69" s="1568"/>
      <c r="AN69" s="1568"/>
      <c r="AO69" s="1568"/>
      <c r="AP69" s="1568"/>
      <c r="AQ69" s="1568"/>
      <c r="AR69" s="1568"/>
      <c r="AS69" s="1568"/>
      <c r="AT69" s="1568"/>
      <c r="AU69" s="1568"/>
      <c r="AV69" s="1568"/>
      <c r="AW69" s="1568"/>
      <c r="AX69" s="1568"/>
      <c r="AY69" s="1568"/>
      <c r="AZ69" s="1568"/>
      <c r="BA69" s="1568"/>
      <c r="BB69" s="1568">
        <v>0</v>
      </c>
      <c r="BC69" s="1568">
        <v>0</v>
      </c>
      <c r="BD69" s="1568"/>
      <c r="BE69" s="1568"/>
      <c r="BF69" s="1568"/>
      <c r="BG69" s="1568"/>
      <c r="BH69" s="1568"/>
      <c r="BI69" s="1568"/>
      <c r="BJ69" s="1568"/>
      <c r="BK69" s="1568"/>
      <c r="BL69" s="1568"/>
      <c r="BM69" s="1568"/>
      <c r="BN69" s="1568"/>
      <c r="BO69" s="1568"/>
      <c r="BP69" s="1568"/>
      <c r="BQ69" s="1568"/>
      <c r="BR69" s="1568"/>
      <c r="BS69" s="1568"/>
      <c r="BT69" s="1568"/>
      <c r="BU69" s="1568"/>
      <c r="BV69" s="1568"/>
      <c r="BW69" s="1568"/>
      <c r="BX69" s="1568"/>
      <c r="BY69" s="1568"/>
      <c r="BZ69" s="1568"/>
      <c r="CA69" s="1568"/>
      <c r="CB69" s="1568"/>
      <c r="CC69" s="1568"/>
      <c r="CD69" s="1570">
        <v>3600</v>
      </c>
      <c r="CE69" s="1568"/>
      <c r="CF69" s="1568"/>
      <c r="CG69" s="1568"/>
      <c r="CH69" s="1568"/>
      <c r="CI69" s="1568"/>
      <c r="CJ69" s="1568"/>
      <c r="CK69" s="1568"/>
      <c r="CL69" s="1568"/>
      <c r="CM69" s="1568"/>
      <c r="CN69" s="1568"/>
      <c r="CO69" s="1568"/>
      <c r="CP69" s="1568">
        <v>0</v>
      </c>
      <c r="CQ69" s="1568"/>
      <c r="CR69" s="1568"/>
      <c r="CS69" s="1568"/>
      <c r="CT69" s="1568"/>
      <c r="CU69" s="1568"/>
      <c r="CV69" s="1568"/>
      <c r="CW69" s="1568"/>
      <c r="CX69" s="1568"/>
      <c r="CY69" s="1568">
        <v>0</v>
      </c>
      <c r="CZ69" s="1568">
        <v>0</v>
      </c>
      <c r="DA69" s="1568">
        <v>0</v>
      </c>
      <c r="DB69" s="1568"/>
      <c r="DC69" s="1568"/>
      <c r="DD69" s="1568"/>
      <c r="DE69" s="1568"/>
      <c r="DF69" s="1568"/>
      <c r="DG69" s="1568"/>
      <c r="DH69" s="1568"/>
      <c r="DI69" s="1568"/>
      <c r="DJ69" s="1568">
        <v>0</v>
      </c>
      <c r="DK69" s="1568"/>
      <c r="DL69" s="1568"/>
      <c r="DM69" s="1568">
        <v>0</v>
      </c>
      <c r="DN69" s="1568"/>
      <c r="DO69" s="1568"/>
      <c r="DP69" s="1568"/>
      <c r="DQ69" s="1568"/>
      <c r="DR69" s="1568"/>
      <c r="DS69" s="1568"/>
      <c r="DT69" s="1568"/>
      <c r="DU69" s="1568"/>
      <c r="DV69" s="1568"/>
      <c r="DW69" s="1568"/>
      <c r="DX69" s="1568"/>
      <c r="DY69" s="1568"/>
      <c r="DZ69" s="1568"/>
      <c r="EA69" s="1568"/>
      <c r="EB69" s="1568"/>
      <c r="EC69" s="1568"/>
      <c r="ED69" s="1568"/>
      <c r="EE69" s="1568"/>
      <c r="EF69" s="1568"/>
      <c r="EG69" s="1568"/>
      <c r="EH69" s="1568">
        <v>0</v>
      </c>
      <c r="EI69" s="1568">
        <v>0</v>
      </c>
      <c r="EJ69" s="1568"/>
      <c r="EK69" s="1568"/>
      <c r="EL69" s="1568"/>
      <c r="EM69" s="1568"/>
      <c r="EN69" s="1568"/>
      <c r="EO69" s="1568"/>
      <c r="EP69" s="1568"/>
      <c r="EQ69" s="1568"/>
      <c r="ER69" s="1568"/>
      <c r="ES69" s="1568"/>
      <c r="ET69" s="1568"/>
      <c r="EU69" s="1568"/>
      <c r="EV69" s="1568"/>
      <c r="EW69" s="1568"/>
      <c r="EX69" s="1568"/>
      <c r="EY69" s="1568"/>
      <c r="EZ69" s="1568"/>
      <c r="FA69" s="1568">
        <v>0</v>
      </c>
      <c r="FB69" s="1568"/>
      <c r="FC69" s="1568"/>
      <c r="FD69" s="1568"/>
      <c r="FE69" s="1568"/>
      <c r="FF69" s="1568"/>
      <c r="FG69" s="1568"/>
      <c r="FH69" s="1568"/>
      <c r="FI69" s="1568"/>
      <c r="FJ69" s="1568"/>
      <c r="FK69" s="1568">
        <v>0</v>
      </c>
      <c r="FL69" s="1568"/>
      <c r="FM69" s="1568"/>
      <c r="FN69" s="1568"/>
      <c r="FO69" s="1568"/>
      <c r="FP69" s="1568"/>
      <c r="FQ69" s="1568"/>
      <c r="FR69" s="1568"/>
      <c r="FS69" s="1568"/>
      <c r="FT69" s="1568"/>
      <c r="FU69" s="1568"/>
      <c r="FV69" s="1568"/>
      <c r="FW69" s="1568"/>
      <c r="FX69" s="1568"/>
      <c r="FY69" s="1568"/>
      <c r="FZ69" s="1568"/>
      <c r="GA69" s="1568"/>
      <c r="GB69" s="1568"/>
      <c r="GC69" s="1568"/>
      <c r="GD69" s="1568"/>
      <c r="GE69" s="1568"/>
      <c r="GF69" s="1568"/>
      <c r="GG69" s="1568"/>
      <c r="GH69" s="1568"/>
      <c r="GI69" s="1568"/>
      <c r="GJ69" s="1568"/>
      <c r="GK69" s="1568"/>
      <c r="GL69" s="1568"/>
      <c r="GM69" s="1568"/>
      <c r="GN69" s="1568"/>
      <c r="GO69" s="1568"/>
      <c r="GP69" s="1568"/>
      <c r="GQ69" s="1568"/>
      <c r="GR69" s="1568"/>
      <c r="GS69" s="1568"/>
      <c r="GT69" s="1568"/>
      <c r="GU69" s="1568"/>
      <c r="GV69" s="1568"/>
      <c r="GW69" s="1568"/>
      <c r="GX69" s="1568"/>
      <c r="GY69" s="1568">
        <v>0</v>
      </c>
      <c r="GZ69" s="1568"/>
      <c r="HA69" s="1568"/>
      <c r="HB69" s="1568"/>
      <c r="HC69" s="1568"/>
      <c r="HD69" s="1568"/>
      <c r="HE69" s="1568"/>
      <c r="HF69" s="1568"/>
      <c r="HG69" s="1568"/>
      <c r="HH69" s="1568"/>
      <c r="HI69" s="1568"/>
      <c r="HJ69" s="1568"/>
      <c r="HK69" s="1568"/>
      <c r="HL69" s="1568"/>
      <c r="HM69" s="1568"/>
      <c r="HN69" s="1568"/>
      <c r="HO69" s="1568"/>
      <c r="HP69" s="1568"/>
      <c r="HQ69" s="1568"/>
      <c r="HR69" s="1568"/>
      <c r="HS69" s="1568"/>
      <c r="HT69" s="1568"/>
      <c r="HU69" s="1568"/>
      <c r="HV69" s="1568"/>
      <c r="HW69" s="1568"/>
      <c r="HX69" s="1568"/>
      <c r="HY69" s="1568"/>
      <c r="HZ69" s="1568"/>
      <c r="IA69" s="1568"/>
      <c r="IB69" s="1568"/>
      <c r="IC69" s="1568"/>
      <c r="ID69" s="1568"/>
      <c r="IE69" s="1568"/>
      <c r="IF69" s="1568"/>
      <c r="IG69" s="1568"/>
      <c r="IH69" s="1568"/>
      <c r="II69" s="1568"/>
      <c r="IJ69" s="1568"/>
      <c r="IK69" s="1568"/>
      <c r="IL69" s="1568"/>
      <c r="IM69" s="1568"/>
      <c r="IN69" s="1568"/>
      <c r="IO69" s="1568"/>
      <c r="IP69" s="1568"/>
      <c r="IQ69" s="1584"/>
      <c r="IR69" s="1568"/>
      <c r="IS69" s="1568"/>
      <c r="IT69" s="1584"/>
      <c r="IU69" s="1568"/>
      <c r="IV69" s="1568"/>
      <c r="IW69" s="1568"/>
      <c r="IX69" s="1568"/>
      <c r="IY69" s="1568"/>
      <c r="IZ69" s="1568"/>
      <c r="JA69" s="1568"/>
      <c r="JB69" s="1568"/>
      <c r="JC69" s="1568"/>
      <c r="JD69" s="1568"/>
      <c r="JE69" s="1568"/>
      <c r="JF69" s="1568"/>
      <c r="JG69" s="1568"/>
      <c r="JH69" s="1568"/>
      <c r="JI69" s="1584"/>
      <c r="JJ69" s="1568"/>
      <c r="JK69" s="1584"/>
      <c r="JL69" s="1584"/>
      <c r="JM69" s="1584"/>
      <c r="JN69" s="1568"/>
      <c r="JO69" s="1584"/>
      <c r="JP69" s="1584"/>
      <c r="JQ69" s="1585"/>
      <c r="JR69" s="351"/>
      <c r="JS69" s="1400"/>
      <c r="JT69" s="450" t="s">
        <v>2253</v>
      </c>
    </row>
    <row r="70" spans="1:280" ht="20" x14ac:dyDescent="0.25">
      <c r="A70" s="1367">
        <v>40</v>
      </c>
      <c r="B70" s="1574" t="str">
        <f t="shared" si="30"/>
        <v/>
      </c>
      <c r="C70" s="1435" t="s">
        <v>3632</v>
      </c>
      <c r="D70" s="1436" t="s">
        <v>3633</v>
      </c>
      <c r="E70" s="1568"/>
      <c r="F70" s="1568"/>
      <c r="G70" s="1568"/>
      <c r="H70" s="1568"/>
      <c r="I70" s="1568"/>
      <c r="J70" s="1568"/>
      <c r="K70" s="1568"/>
      <c r="L70" s="1568"/>
      <c r="M70" s="1568"/>
      <c r="N70" s="1568"/>
      <c r="O70" s="1568"/>
      <c r="P70" s="1568"/>
      <c r="Q70" s="1568"/>
      <c r="R70" s="1568"/>
      <c r="S70" s="1568"/>
      <c r="T70" s="1568"/>
      <c r="U70" s="1568"/>
      <c r="V70" s="1568"/>
      <c r="W70" s="1568"/>
      <c r="X70" s="1568"/>
      <c r="Y70" s="1568"/>
      <c r="Z70" s="1568"/>
      <c r="AA70" s="1568"/>
      <c r="AB70" s="1568"/>
      <c r="AC70" s="1568"/>
      <c r="AD70" s="1568"/>
      <c r="AE70" s="1568"/>
      <c r="AF70" s="1568"/>
      <c r="AG70" s="1568"/>
      <c r="AH70" s="1568"/>
      <c r="AI70" s="1568"/>
      <c r="AJ70" s="1568"/>
      <c r="AK70" s="1568"/>
      <c r="AL70" s="1568"/>
      <c r="AM70" s="1568"/>
      <c r="AN70" s="1568"/>
      <c r="AO70" s="1568"/>
      <c r="AP70" s="1568"/>
      <c r="AQ70" s="1568"/>
      <c r="AR70" s="1568"/>
      <c r="AS70" s="1568"/>
      <c r="AT70" s="1568"/>
      <c r="AU70" s="1568"/>
      <c r="AV70" s="1568"/>
      <c r="AW70" s="1568"/>
      <c r="AX70" s="1568"/>
      <c r="AY70" s="1568"/>
      <c r="AZ70" s="1568"/>
      <c r="BA70" s="1568"/>
      <c r="BB70" s="1568">
        <v>365</v>
      </c>
      <c r="BC70" s="1568"/>
      <c r="BD70" s="1568"/>
      <c r="BE70" s="1568"/>
      <c r="BF70" s="1568"/>
      <c r="BG70" s="1568"/>
      <c r="BH70" s="1568"/>
      <c r="BI70" s="1568"/>
      <c r="BJ70" s="1568"/>
      <c r="BK70" s="1568"/>
      <c r="BL70" s="1568"/>
      <c r="BM70" s="1568"/>
      <c r="BN70" s="1568"/>
      <c r="BO70" s="1568"/>
      <c r="BP70" s="1568"/>
      <c r="BQ70" s="1568"/>
      <c r="BR70" s="1568"/>
      <c r="BS70" s="1568"/>
      <c r="BT70" s="1568"/>
      <c r="BU70" s="1568"/>
      <c r="BV70" s="1568"/>
      <c r="BW70" s="1568"/>
      <c r="BX70" s="1568"/>
      <c r="BY70" s="1568"/>
      <c r="BZ70" s="1568"/>
      <c r="CA70" s="1568"/>
      <c r="CB70" s="1568"/>
      <c r="CC70" s="1568"/>
      <c r="CD70" s="1568">
        <v>7000</v>
      </c>
      <c r="CE70" s="1568">
        <v>9498</v>
      </c>
      <c r="CF70" s="1568"/>
      <c r="CG70" s="1568"/>
      <c r="CH70" s="1568"/>
      <c r="CI70" s="1568"/>
      <c r="CJ70" s="1568"/>
      <c r="CK70" s="1568"/>
      <c r="CL70" s="1568"/>
      <c r="CM70" s="1568"/>
      <c r="CN70" s="1568"/>
      <c r="CO70" s="1568"/>
      <c r="CP70" s="1568"/>
      <c r="CQ70" s="1568"/>
      <c r="CR70" s="1568"/>
      <c r="CS70" s="1568"/>
      <c r="CT70" s="1568"/>
      <c r="CU70" s="1568"/>
      <c r="CV70" s="1568"/>
      <c r="CW70" s="1568"/>
      <c r="CX70" s="1568"/>
      <c r="CY70" s="1568"/>
      <c r="CZ70" s="1568"/>
      <c r="DA70" s="1568"/>
      <c r="DB70" s="1568"/>
      <c r="DC70" s="1568"/>
      <c r="DD70" s="1568"/>
      <c r="DE70" s="1568"/>
      <c r="DF70" s="1568"/>
      <c r="DG70" s="1568"/>
      <c r="DH70" s="1568"/>
      <c r="DI70" s="1568"/>
      <c r="DJ70" s="1568"/>
      <c r="DK70" s="1568"/>
      <c r="DL70" s="1568"/>
      <c r="DM70" s="1568"/>
      <c r="DN70" s="1568"/>
      <c r="DO70" s="1568"/>
      <c r="DP70" s="1568"/>
      <c r="DQ70" s="1568"/>
      <c r="DR70" s="1568"/>
      <c r="DS70" s="1568"/>
      <c r="DT70" s="1568"/>
      <c r="DU70" s="1568"/>
      <c r="DV70" s="1568"/>
      <c r="DW70" s="1568"/>
      <c r="DX70" s="1568"/>
      <c r="DY70" s="1568"/>
      <c r="DZ70" s="1568"/>
      <c r="EA70" s="1568"/>
      <c r="EB70" s="1568"/>
      <c r="EC70" s="1568"/>
      <c r="ED70" s="1568"/>
      <c r="EE70" s="1568"/>
      <c r="EF70" s="1568"/>
      <c r="EG70" s="1568"/>
      <c r="EH70" s="1568">
        <v>5500</v>
      </c>
      <c r="EI70" s="1568"/>
      <c r="EJ70" s="1568"/>
      <c r="EK70" s="1568"/>
      <c r="EL70" s="1568"/>
      <c r="EM70" s="1568"/>
      <c r="EN70" s="1568"/>
      <c r="EO70" s="1568"/>
      <c r="EP70" s="1568"/>
      <c r="EQ70" s="1568"/>
      <c r="ER70" s="1568"/>
      <c r="ES70" s="1568"/>
      <c r="ET70" s="1568"/>
      <c r="EU70" s="1568"/>
      <c r="EV70" s="1568"/>
      <c r="EW70" s="1568"/>
      <c r="EX70" s="1568"/>
      <c r="EY70" s="1568"/>
      <c r="EZ70" s="1568"/>
      <c r="FA70" s="1568"/>
      <c r="FB70" s="1568"/>
      <c r="FC70" s="1568"/>
      <c r="FD70" s="1568"/>
      <c r="FE70" s="1568"/>
      <c r="FF70" s="1568"/>
      <c r="FG70" s="1568"/>
      <c r="FH70" s="1568"/>
      <c r="FI70" s="1568"/>
      <c r="FJ70" s="1568"/>
      <c r="FK70" s="1568"/>
      <c r="FL70" s="1568"/>
      <c r="FM70" s="1568"/>
      <c r="FN70" s="1568"/>
      <c r="FO70" s="1568"/>
      <c r="FP70" s="1568"/>
      <c r="FQ70" s="1568"/>
      <c r="FR70" s="1568"/>
      <c r="FS70" s="1568"/>
      <c r="FT70" s="1568"/>
      <c r="FU70" s="1568"/>
      <c r="FV70" s="1568"/>
      <c r="FW70" s="1568"/>
      <c r="FX70" s="1568"/>
      <c r="FY70" s="1568"/>
      <c r="FZ70" s="1568"/>
      <c r="GA70" s="1568"/>
      <c r="GB70" s="1568"/>
      <c r="GC70" s="1568"/>
      <c r="GD70" s="1568"/>
      <c r="GE70" s="1568"/>
      <c r="GF70" s="1568"/>
      <c r="GG70" s="1568"/>
      <c r="GH70" s="1568"/>
      <c r="GI70" s="1568"/>
      <c r="GJ70" s="1568"/>
      <c r="GK70" s="1568"/>
      <c r="GL70" s="1568"/>
      <c r="GM70" s="1568"/>
      <c r="GN70" s="1568"/>
      <c r="GO70" s="1568"/>
      <c r="GP70" s="1568"/>
      <c r="GQ70" s="1568"/>
      <c r="GR70" s="1568"/>
      <c r="GS70" s="1568"/>
      <c r="GT70" s="1568"/>
      <c r="GU70" s="1568"/>
      <c r="GV70" s="1568"/>
      <c r="GW70" s="1568"/>
      <c r="GX70" s="1568"/>
      <c r="GY70" s="1568"/>
      <c r="GZ70" s="1568"/>
      <c r="HA70" s="1568"/>
      <c r="HB70" s="1568"/>
      <c r="HC70" s="1568"/>
      <c r="HD70" s="1568"/>
      <c r="HE70" s="1568"/>
      <c r="HF70" s="1568"/>
      <c r="HG70" s="1568"/>
      <c r="HH70" s="1568"/>
      <c r="HI70" s="1568"/>
      <c r="HJ70" s="1568"/>
      <c r="HK70" s="1568"/>
      <c r="HL70" s="1568"/>
      <c r="HM70" s="1568"/>
      <c r="HN70" s="1568"/>
      <c r="HO70" s="1568"/>
      <c r="HP70" s="1568"/>
      <c r="HQ70" s="1568"/>
      <c r="HR70" s="1568"/>
      <c r="HS70" s="1568"/>
      <c r="HT70" s="1568"/>
      <c r="HU70" s="1568"/>
      <c r="HV70" s="1568"/>
      <c r="HW70" s="1568"/>
      <c r="HX70" s="1568"/>
      <c r="HY70" s="1568"/>
      <c r="HZ70" s="1568"/>
      <c r="IA70" s="1568"/>
      <c r="IB70" s="1568"/>
      <c r="IC70" s="1568"/>
      <c r="ID70" s="1568"/>
      <c r="IE70" s="1568"/>
      <c r="IF70" s="1568"/>
      <c r="IG70" s="1568"/>
      <c r="IH70" s="1568"/>
      <c r="II70" s="1568"/>
      <c r="IJ70" s="1568"/>
      <c r="IK70" s="1568"/>
      <c r="IL70" s="1568"/>
      <c r="IM70" s="1568"/>
      <c r="IN70" s="1568"/>
      <c r="IO70" s="1568"/>
      <c r="IP70" s="1568"/>
      <c r="IQ70" s="1584"/>
      <c r="IR70" s="1568"/>
      <c r="IS70" s="1568"/>
      <c r="IT70" s="1584"/>
      <c r="IU70" s="1568"/>
      <c r="IV70" s="1568"/>
      <c r="IW70" s="1568"/>
      <c r="IX70" s="1568"/>
      <c r="IY70" s="1568"/>
      <c r="IZ70" s="1568"/>
      <c r="JA70" s="1568"/>
      <c r="JB70" s="1568"/>
      <c r="JC70" s="1568"/>
      <c r="JD70" s="1568"/>
      <c r="JE70" s="1568"/>
      <c r="JF70" s="1568"/>
      <c r="JG70" s="1568"/>
      <c r="JH70" s="1568"/>
      <c r="JI70" s="1584"/>
      <c r="JJ70" s="1568"/>
      <c r="JK70" s="1584"/>
      <c r="JL70" s="1584"/>
      <c r="JM70" s="1584"/>
      <c r="JN70" s="1568"/>
      <c r="JO70" s="1584"/>
      <c r="JP70" s="1584"/>
      <c r="JQ70" s="1585"/>
      <c r="JR70" s="351"/>
      <c r="JS70" s="1400" t="s">
        <v>3634</v>
      </c>
      <c r="JT70" s="450" t="s">
        <v>2242</v>
      </c>
    </row>
    <row r="71" spans="1:280" ht="40" x14ac:dyDescent="0.25">
      <c r="A71" s="1367">
        <v>41</v>
      </c>
      <c r="B71" s="1574" t="str">
        <f t="shared" si="30"/>
        <v/>
      </c>
      <c r="C71" s="1435" t="s">
        <v>3635</v>
      </c>
      <c r="D71" s="1436" t="str">
        <f>"Loss set off against "&amp;tax_year&amp;" total income"</f>
        <v>Loss set off against 2025-26 total income</v>
      </c>
      <c r="E71" s="1568"/>
      <c r="F71" s="1568"/>
      <c r="G71" s="1568"/>
      <c r="H71" s="1568"/>
      <c r="I71" s="1568"/>
      <c r="J71" s="1568"/>
      <c r="K71" s="1568"/>
      <c r="L71" s="1568"/>
      <c r="M71" s="1568"/>
      <c r="N71" s="1568"/>
      <c r="O71" s="1568"/>
      <c r="P71" s="1568"/>
      <c r="Q71" s="1568"/>
      <c r="R71" s="1568"/>
      <c r="S71" s="1568"/>
      <c r="T71" s="1568"/>
      <c r="U71" s="1568"/>
      <c r="V71" s="1568"/>
      <c r="W71" s="1568"/>
      <c r="X71" s="1568"/>
      <c r="Y71" s="1568"/>
      <c r="Z71" s="1568"/>
      <c r="AA71" s="1568"/>
      <c r="AB71" s="1568"/>
      <c r="AC71" s="1568"/>
      <c r="AD71" s="1568"/>
      <c r="AE71" s="1568"/>
      <c r="AF71" s="1568"/>
      <c r="AG71" s="1568"/>
      <c r="AH71" s="1568"/>
      <c r="AI71" s="1568"/>
      <c r="AJ71" s="1568"/>
      <c r="AK71" s="1568"/>
      <c r="AL71" s="1568"/>
      <c r="AM71" s="1568"/>
      <c r="AN71" s="1568"/>
      <c r="AO71" s="1568"/>
      <c r="AP71" s="1568"/>
      <c r="AQ71" s="1568"/>
      <c r="AR71" s="1568"/>
      <c r="AS71" s="1568"/>
      <c r="AT71" s="1568"/>
      <c r="AU71" s="1568"/>
      <c r="AV71" s="1568"/>
      <c r="AW71" s="1568"/>
      <c r="AX71" s="1568"/>
      <c r="AY71" s="1568"/>
      <c r="AZ71" s="1568"/>
      <c r="BA71" s="1568"/>
      <c r="BB71" s="1568"/>
      <c r="BC71" s="1568"/>
      <c r="BD71" s="1568"/>
      <c r="BE71" s="1568"/>
      <c r="BF71" s="1568"/>
      <c r="BG71" s="1568"/>
      <c r="BH71" s="1568"/>
      <c r="BI71" s="1568"/>
      <c r="BJ71" s="1568"/>
      <c r="BK71" s="1568"/>
      <c r="BL71" s="1568"/>
      <c r="BM71" s="1568"/>
      <c r="BN71" s="1568"/>
      <c r="BO71" s="1568"/>
      <c r="BP71" s="1568"/>
      <c r="BQ71" s="1568"/>
      <c r="BR71" s="1568"/>
      <c r="BS71" s="1568"/>
      <c r="BT71" s="1568"/>
      <c r="BU71" s="1568"/>
      <c r="BV71" s="1568"/>
      <c r="BW71" s="1568"/>
      <c r="BX71" s="1568"/>
      <c r="BY71" s="1568"/>
      <c r="BZ71" s="1568"/>
      <c r="CA71" s="1568"/>
      <c r="CB71" s="1568"/>
      <c r="CC71" s="1568"/>
      <c r="CD71" s="1568"/>
      <c r="CE71" s="1568"/>
      <c r="CF71" s="1568"/>
      <c r="CG71" s="1568"/>
      <c r="CH71" s="1568"/>
      <c r="CI71" s="1568"/>
      <c r="CJ71" s="1568"/>
      <c r="CK71" s="1568"/>
      <c r="CL71" s="1568"/>
      <c r="CM71" s="1568"/>
      <c r="CN71" s="1568"/>
      <c r="CO71" s="1568"/>
      <c r="CP71" s="1568"/>
      <c r="CQ71" s="1568"/>
      <c r="CR71" s="1568"/>
      <c r="CS71" s="1568"/>
      <c r="CT71" s="1568"/>
      <c r="CU71" s="1568"/>
      <c r="CV71" s="1568"/>
      <c r="CW71" s="1568"/>
      <c r="CX71" s="1568"/>
      <c r="CY71" s="1568">
        <v>6400</v>
      </c>
      <c r="CZ71" s="1568"/>
      <c r="DA71" s="1568"/>
      <c r="DB71" s="1568"/>
      <c r="DC71" s="1568"/>
      <c r="DD71" s="1568"/>
      <c r="DE71" s="1568"/>
      <c r="DF71" s="1568"/>
      <c r="DG71" s="1568"/>
      <c r="DH71" s="1568"/>
      <c r="DI71" s="1568"/>
      <c r="DJ71" s="1568"/>
      <c r="DK71" s="1568"/>
      <c r="DL71" s="1568"/>
      <c r="DM71" s="1568">
        <v>6400</v>
      </c>
      <c r="DN71" s="1568"/>
      <c r="DO71" s="1568"/>
      <c r="DP71" s="1568"/>
      <c r="DQ71" s="1568"/>
      <c r="DR71" s="1568"/>
      <c r="DS71" s="1568"/>
      <c r="DT71" s="1568"/>
      <c r="DU71" s="1568"/>
      <c r="DV71" s="1568"/>
      <c r="DW71" s="1568"/>
      <c r="DX71" s="1568"/>
      <c r="DY71" s="1568"/>
      <c r="DZ71" s="1568"/>
      <c r="EA71" s="1568"/>
      <c r="EB71" s="1568"/>
      <c r="EC71" s="1568"/>
      <c r="ED71" s="1568"/>
      <c r="EE71" s="1568"/>
      <c r="EF71" s="1568"/>
      <c r="EG71" s="1568"/>
      <c r="EH71" s="1568"/>
      <c r="EI71" s="1568"/>
      <c r="EJ71" s="1568"/>
      <c r="EK71" s="1568"/>
      <c r="EL71" s="1568"/>
      <c r="EM71" s="1568"/>
      <c r="EN71" s="1568"/>
      <c r="EO71" s="1568"/>
      <c r="EP71" s="1568"/>
      <c r="EQ71" s="1568"/>
      <c r="ER71" s="1568"/>
      <c r="ES71" s="1568"/>
      <c r="ET71" s="1568"/>
      <c r="EU71" s="1568"/>
      <c r="EV71" s="1568"/>
      <c r="EW71" s="1568"/>
      <c r="EX71" s="1568"/>
      <c r="EY71" s="1568"/>
      <c r="EZ71" s="1568"/>
      <c r="FA71" s="1568">
        <v>6400</v>
      </c>
      <c r="FB71" s="1568"/>
      <c r="FC71" s="1568"/>
      <c r="FD71" s="1568"/>
      <c r="FE71" s="1568"/>
      <c r="FF71" s="1568"/>
      <c r="FG71" s="1568"/>
      <c r="FH71" s="1568"/>
      <c r="FI71" s="1568"/>
      <c r="FJ71" s="1568"/>
      <c r="FK71" s="1568"/>
      <c r="FL71" s="1568"/>
      <c r="FM71" s="1568"/>
      <c r="FN71" s="1568"/>
      <c r="FO71" s="1568"/>
      <c r="FP71" s="1568"/>
      <c r="FQ71" s="1568"/>
      <c r="FR71" s="1568"/>
      <c r="FS71" s="1568"/>
      <c r="FT71" s="1568"/>
      <c r="FU71" s="1568"/>
      <c r="FV71" s="1568"/>
      <c r="FW71" s="1568"/>
      <c r="FX71" s="1568"/>
      <c r="FY71" s="1568"/>
      <c r="FZ71" s="1568"/>
      <c r="GA71" s="1568"/>
      <c r="GB71" s="1568"/>
      <c r="GC71" s="1568"/>
      <c r="GD71" s="1568"/>
      <c r="GE71" s="1568"/>
      <c r="GF71" s="1568"/>
      <c r="GG71" s="1568"/>
      <c r="GH71" s="1568"/>
      <c r="GI71" s="1568"/>
      <c r="GJ71" s="1568"/>
      <c r="GK71" s="1568"/>
      <c r="GL71" s="1568"/>
      <c r="GM71" s="1568"/>
      <c r="GN71" s="1568"/>
      <c r="GO71" s="1568"/>
      <c r="GP71" s="1568"/>
      <c r="GQ71" s="1568"/>
      <c r="GR71" s="1568"/>
      <c r="GS71" s="1568"/>
      <c r="GT71" s="1568"/>
      <c r="GU71" s="1568"/>
      <c r="GV71" s="1568"/>
      <c r="GW71" s="1568"/>
      <c r="GX71" s="1568"/>
      <c r="GY71" s="1568">
        <v>3000</v>
      </c>
      <c r="GZ71" s="1568"/>
      <c r="HA71" s="1568"/>
      <c r="HB71" s="1568"/>
      <c r="HC71" s="1568"/>
      <c r="HD71" s="1568"/>
      <c r="HE71" s="1568">
        <v>190000</v>
      </c>
      <c r="HF71" s="1568"/>
      <c r="HG71" s="1568"/>
      <c r="HH71" s="1568"/>
      <c r="HI71" s="1568"/>
      <c r="HJ71" s="1568"/>
      <c r="HK71" s="1568"/>
      <c r="HL71" s="1568"/>
      <c r="HM71" s="1568"/>
      <c r="HN71" s="1568"/>
      <c r="HO71" s="1568"/>
      <c r="HP71" s="1568"/>
      <c r="HQ71" s="1568"/>
      <c r="HR71" s="1568"/>
      <c r="HS71" s="1568"/>
      <c r="HT71" s="1568"/>
      <c r="HU71" s="1568"/>
      <c r="HV71" s="1568"/>
      <c r="HW71" s="1568"/>
      <c r="HX71" s="1568"/>
      <c r="HY71" s="1568"/>
      <c r="HZ71" s="1568"/>
      <c r="IA71" s="1568"/>
      <c r="IB71" s="1568"/>
      <c r="IC71" s="1568"/>
      <c r="ID71" s="1568"/>
      <c r="IE71" s="1568"/>
      <c r="IF71" s="1568"/>
      <c r="IG71" s="1568"/>
      <c r="IH71" s="1568"/>
      <c r="II71" s="1568"/>
      <c r="IJ71" s="1568"/>
      <c r="IK71" s="1568"/>
      <c r="IL71" s="1568"/>
      <c r="IM71" s="1568"/>
      <c r="IN71" s="1568"/>
      <c r="IO71" s="1568"/>
      <c r="IP71" s="1568"/>
      <c r="IQ71" s="1584"/>
      <c r="IR71" s="1568"/>
      <c r="IS71" s="1568"/>
      <c r="IT71" s="1584"/>
      <c r="IU71" s="1568"/>
      <c r="IV71" s="1568"/>
      <c r="IW71" s="1568"/>
      <c r="IX71" s="1568"/>
      <c r="IY71" s="1568"/>
      <c r="IZ71" s="1568"/>
      <c r="JA71" s="1568"/>
      <c r="JB71" s="1568"/>
      <c r="JC71" s="1568"/>
      <c r="JD71" s="1568"/>
      <c r="JE71" s="1568"/>
      <c r="JF71" s="1568"/>
      <c r="JG71" s="1568"/>
      <c r="JH71" s="1568"/>
      <c r="JI71" s="1584"/>
      <c r="JJ71" s="1568"/>
      <c r="JK71" s="1584"/>
      <c r="JL71" s="1584"/>
      <c r="JM71" s="1584"/>
      <c r="JN71" s="1568"/>
      <c r="JO71" s="1584"/>
      <c r="JP71" s="1584"/>
      <c r="JQ71" s="1585"/>
      <c r="JR71" s="351"/>
      <c r="JS71" s="1400" t="s">
        <v>3636</v>
      </c>
      <c r="JT71" s="450" t="s">
        <v>2242</v>
      </c>
    </row>
    <row r="72" spans="1:280" ht="12.5" x14ac:dyDescent="0.25">
      <c r="A72" s="1367">
        <v>42</v>
      </c>
      <c r="B72" s="1574" t="str">
        <f t="shared" si="30"/>
        <v/>
      </c>
      <c r="C72" s="1435" t="s">
        <v>3637</v>
      </c>
      <c r="D72" s="1436" t="s">
        <v>3638</v>
      </c>
      <c r="E72" s="1568"/>
      <c r="F72" s="1568"/>
      <c r="G72" s="1568"/>
      <c r="H72" s="1568"/>
      <c r="I72" s="1568"/>
      <c r="J72" s="1568"/>
      <c r="K72" s="1568"/>
      <c r="L72" s="1568"/>
      <c r="M72" s="1568"/>
      <c r="N72" s="1568"/>
      <c r="O72" s="1568"/>
      <c r="P72" s="1568"/>
      <c r="Q72" s="1568"/>
      <c r="R72" s="1568"/>
      <c r="S72" s="1568"/>
      <c r="T72" s="1568"/>
      <c r="U72" s="1568"/>
      <c r="V72" s="1568"/>
      <c r="W72" s="1568"/>
      <c r="X72" s="1568"/>
      <c r="Y72" s="1568"/>
      <c r="Z72" s="1568"/>
      <c r="AA72" s="1568"/>
      <c r="AB72" s="1568"/>
      <c r="AC72" s="1568"/>
      <c r="AD72" s="1568"/>
      <c r="AE72" s="1568"/>
      <c r="AF72" s="1568"/>
      <c r="AG72" s="1568"/>
      <c r="AH72" s="1568"/>
      <c r="AI72" s="1568"/>
      <c r="AJ72" s="1568"/>
      <c r="AK72" s="1568"/>
      <c r="AL72" s="1568"/>
      <c r="AM72" s="1568"/>
      <c r="AN72" s="1568"/>
      <c r="AO72" s="1568"/>
      <c r="AP72" s="1568"/>
      <c r="AQ72" s="1568"/>
      <c r="AR72" s="1568"/>
      <c r="AS72" s="1568"/>
      <c r="AT72" s="1568"/>
      <c r="AU72" s="1568"/>
      <c r="AV72" s="1568"/>
      <c r="AW72" s="1568"/>
      <c r="AX72" s="1568"/>
      <c r="AY72" s="1568"/>
      <c r="AZ72" s="1568"/>
      <c r="BA72" s="1568"/>
      <c r="BB72" s="1568"/>
      <c r="BC72" s="1568"/>
      <c r="BD72" s="1568"/>
      <c r="BE72" s="1568"/>
      <c r="BF72" s="1568"/>
      <c r="BG72" s="1568"/>
      <c r="BH72" s="1568"/>
      <c r="BI72" s="1568"/>
      <c r="BJ72" s="1568"/>
      <c r="BK72" s="1568"/>
      <c r="BL72" s="1568"/>
      <c r="BM72" s="1568"/>
      <c r="BN72" s="1568"/>
      <c r="BO72" s="1568"/>
      <c r="BP72" s="1568"/>
      <c r="BQ72" s="1568"/>
      <c r="BR72" s="1568"/>
      <c r="BS72" s="1568"/>
      <c r="BT72" s="1568"/>
      <c r="BU72" s="1568"/>
      <c r="BV72" s="1568"/>
      <c r="BW72" s="1568"/>
      <c r="BX72" s="1568"/>
      <c r="BY72" s="1568"/>
      <c r="BZ72" s="1568"/>
      <c r="CA72" s="1568"/>
      <c r="CB72" s="1568"/>
      <c r="CC72" s="1568"/>
      <c r="CD72" s="1568"/>
      <c r="CE72" s="1568">
        <v>59490</v>
      </c>
      <c r="CF72" s="1568"/>
      <c r="CG72" s="1568"/>
      <c r="CH72" s="1568"/>
      <c r="CI72" s="1568"/>
      <c r="CJ72" s="1568"/>
      <c r="CK72" s="1568"/>
      <c r="CL72" s="1568"/>
      <c r="CM72" s="1568"/>
      <c r="CN72" s="1568"/>
      <c r="CO72" s="1568"/>
      <c r="CP72" s="1568"/>
      <c r="CQ72" s="1568"/>
      <c r="CR72" s="1568"/>
      <c r="CS72" s="1568"/>
      <c r="CT72" s="1568"/>
      <c r="CU72" s="1568"/>
      <c r="CV72" s="1568"/>
      <c r="CW72" s="1568"/>
      <c r="CX72" s="1568"/>
      <c r="CY72" s="1568"/>
      <c r="CZ72" s="1568"/>
      <c r="DA72" s="1568"/>
      <c r="DB72" s="1568"/>
      <c r="DC72" s="1568"/>
      <c r="DD72" s="1568"/>
      <c r="DE72" s="1568"/>
      <c r="DF72" s="1568"/>
      <c r="DG72" s="1568"/>
      <c r="DH72" s="1568"/>
      <c r="DI72" s="1568"/>
      <c r="DJ72" s="1568"/>
      <c r="DK72" s="1568"/>
      <c r="DL72" s="1568"/>
      <c r="DM72" s="1568"/>
      <c r="DN72" s="1568"/>
      <c r="DO72" s="1568"/>
      <c r="DP72" s="1568"/>
      <c r="DQ72" s="1568"/>
      <c r="DR72" s="1568"/>
      <c r="DS72" s="1568"/>
      <c r="DT72" s="1568"/>
      <c r="DU72" s="1568"/>
      <c r="DV72" s="1568"/>
      <c r="DW72" s="1568"/>
      <c r="DX72" s="1568"/>
      <c r="DY72" s="1568"/>
      <c r="DZ72" s="1568"/>
      <c r="EA72" s="1568"/>
      <c r="EB72" s="1568"/>
      <c r="EC72" s="1568"/>
      <c r="ED72" s="1568"/>
      <c r="EE72" s="1568"/>
      <c r="EF72" s="1568"/>
      <c r="EG72" s="1568"/>
      <c r="EH72" s="1568"/>
      <c r="EI72" s="1568"/>
      <c r="EJ72" s="1568"/>
      <c r="EK72" s="1568"/>
      <c r="EL72" s="1568"/>
      <c r="EM72" s="1568"/>
      <c r="EN72" s="1568"/>
      <c r="EO72" s="1568"/>
      <c r="EP72" s="1568"/>
      <c r="EQ72" s="1568"/>
      <c r="ER72" s="1568"/>
      <c r="ES72" s="1568"/>
      <c r="ET72" s="1568"/>
      <c r="EU72" s="1568"/>
      <c r="EV72" s="1568"/>
      <c r="EW72" s="1568"/>
      <c r="EX72" s="1568"/>
      <c r="EY72" s="1568"/>
      <c r="EZ72" s="1568"/>
      <c r="FA72" s="1568"/>
      <c r="FB72" s="1568"/>
      <c r="FC72" s="1568"/>
      <c r="FD72" s="1568"/>
      <c r="FE72" s="1568"/>
      <c r="FF72" s="1568"/>
      <c r="FG72" s="1568"/>
      <c r="FH72" s="1568"/>
      <c r="FI72" s="1568"/>
      <c r="FJ72" s="1568"/>
      <c r="FK72" s="1568"/>
      <c r="FL72" s="1568"/>
      <c r="FM72" s="1568"/>
      <c r="FN72" s="1568"/>
      <c r="FO72" s="1568"/>
      <c r="FP72" s="1568"/>
      <c r="FQ72" s="1568"/>
      <c r="FR72" s="1568"/>
      <c r="FS72" s="1568"/>
      <c r="FT72" s="1568"/>
      <c r="FU72" s="1568"/>
      <c r="FV72" s="1568"/>
      <c r="FW72" s="1568"/>
      <c r="FX72" s="1568"/>
      <c r="FY72" s="1568"/>
      <c r="FZ72" s="1568"/>
      <c r="GA72" s="1568"/>
      <c r="GB72" s="1568"/>
      <c r="GC72" s="1568"/>
      <c r="GD72" s="1568"/>
      <c r="GE72" s="1568"/>
      <c r="GF72" s="1568"/>
      <c r="GG72" s="1568"/>
      <c r="GH72" s="1568"/>
      <c r="GI72" s="1568"/>
      <c r="GJ72" s="1568"/>
      <c r="GK72" s="1568"/>
      <c r="GL72" s="1568"/>
      <c r="GM72" s="1568"/>
      <c r="GN72" s="1568"/>
      <c r="GO72" s="1568"/>
      <c r="GP72" s="1568"/>
      <c r="GQ72" s="1568"/>
      <c r="GR72" s="1568"/>
      <c r="GS72" s="1568"/>
      <c r="GT72" s="1568"/>
      <c r="GU72" s="1568"/>
      <c r="GV72" s="1568"/>
      <c r="GW72" s="1568"/>
      <c r="GX72" s="1568"/>
      <c r="GY72" s="1568">
        <v>0</v>
      </c>
      <c r="GZ72" s="1568"/>
      <c r="HA72" s="1568"/>
      <c r="HB72" s="1568"/>
      <c r="HC72" s="1568"/>
      <c r="HD72" s="1568"/>
      <c r="HE72" s="1568"/>
      <c r="HF72" s="1568"/>
      <c r="HG72" s="1568"/>
      <c r="HH72" s="1568"/>
      <c r="HI72" s="1568"/>
      <c r="HJ72" s="1568"/>
      <c r="HK72" s="1568"/>
      <c r="HL72" s="1568"/>
      <c r="HM72" s="1568"/>
      <c r="HN72" s="1568"/>
      <c r="HO72" s="1568"/>
      <c r="HP72" s="1568"/>
      <c r="HQ72" s="1568"/>
      <c r="HR72" s="1568"/>
      <c r="HS72" s="1568"/>
      <c r="HT72" s="1568"/>
      <c r="HU72" s="1568"/>
      <c r="HV72" s="1568"/>
      <c r="HW72" s="1568"/>
      <c r="HX72" s="1568"/>
      <c r="HY72" s="1568"/>
      <c r="HZ72" s="1568"/>
      <c r="IA72" s="1568"/>
      <c r="IB72" s="1568"/>
      <c r="IC72" s="1568"/>
      <c r="ID72" s="1568"/>
      <c r="IE72" s="1568"/>
      <c r="IF72" s="1568"/>
      <c r="IG72" s="1568"/>
      <c r="IH72" s="1568"/>
      <c r="II72" s="1568"/>
      <c r="IJ72" s="1568"/>
      <c r="IK72" s="1568"/>
      <c r="IL72" s="1568"/>
      <c r="IM72" s="1568"/>
      <c r="IN72" s="1568"/>
      <c r="IO72" s="1568"/>
      <c r="IP72" s="1568"/>
      <c r="IQ72" s="1584">
        <v>106</v>
      </c>
      <c r="IR72" s="1568"/>
      <c r="IS72" s="1568"/>
      <c r="IT72" s="1584"/>
      <c r="IU72" s="1568"/>
      <c r="IV72" s="1568"/>
      <c r="IW72" s="1568"/>
      <c r="IX72" s="1568"/>
      <c r="IY72" s="1568"/>
      <c r="IZ72" s="1568"/>
      <c r="JA72" s="1568"/>
      <c r="JB72" s="1568"/>
      <c r="JC72" s="1568"/>
      <c r="JD72" s="1568"/>
      <c r="JE72" s="1568"/>
      <c r="JF72" s="1568"/>
      <c r="JG72" s="1568"/>
      <c r="JH72" s="1568"/>
      <c r="JI72" s="1584"/>
      <c r="JJ72" s="1568"/>
      <c r="JK72" s="1584"/>
      <c r="JL72" s="1584"/>
      <c r="JM72" s="1584"/>
      <c r="JN72" s="1568"/>
      <c r="JO72" s="1584"/>
      <c r="JP72" s="1584"/>
      <c r="JQ72" s="1585"/>
      <c r="JR72" s="351"/>
      <c r="JS72" s="1400"/>
      <c r="JT72" s="450" t="s">
        <v>2224</v>
      </c>
    </row>
    <row r="73" spans="1:280" ht="40" x14ac:dyDescent="0.25">
      <c r="A73" s="1367">
        <v>43</v>
      </c>
      <c r="B73" s="1574" t="str">
        <f>IF(PS_B_IND&gt;1,IF(HLOOKUP(PS_B_IND-1,FPS_RANGE,A73)="","",HLOOKUP(PS_B_IND-1,FPS_RANGE,A73)),"")</f>
        <v/>
      </c>
      <c r="C73" s="1435" t="s">
        <v>1887</v>
      </c>
      <c r="D73" s="1436" t="s">
        <v>3639</v>
      </c>
      <c r="E73" s="1563"/>
      <c r="F73" s="1563"/>
      <c r="G73" s="1563"/>
      <c r="H73" s="1563"/>
      <c r="I73" s="1563"/>
      <c r="J73" s="1563"/>
      <c r="K73" s="1563"/>
      <c r="L73" s="1563"/>
      <c r="M73" s="1563"/>
      <c r="N73" s="1563"/>
      <c r="O73" s="1563"/>
      <c r="P73" s="1563"/>
      <c r="Q73" s="1563"/>
      <c r="R73" s="1563"/>
      <c r="S73" s="1563"/>
      <c r="T73" s="1563"/>
      <c r="U73" s="1563"/>
      <c r="V73" s="1563"/>
      <c r="W73" s="1563"/>
      <c r="X73" s="1563"/>
      <c r="Y73" s="1563"/>
      <c r="Z73" s="1563"/>
      <c r="AA73" s="1563"/>
      <c r="AB73" s="1563"/>
      <c r="AC73" s="1563"/>
      <c r="AD73" s="1563"/>
      <c r="AE73" s="1563"/>
      <c r="AF73" s="1563"/>
      <c r="AG73" s="1563"/>
      <c r="AH73" s="1563"/>
      <c r="AI73" s="1563"/>
      <c r="AJ73" s="1563"/>
      <c r="AK73" s="1563"/>
      <c r="AL73" s="1563"/>
      <c r="AM73" s="1563"/>
      <c r="AN73" s="1563"/>
      <c r="AO73" s="1563"/>
      <c r="AP73" s="1563"/>
      <c r="AQ73" s="1563"/>
      <c r="AR73" s="1563"/>
      <c r="AS73" s="1563"/>
      <c r="AT73" s="1563"/>
      <c r="AU73" s="1563"/>
      <c r="AV73" s="1563"/>
      <c r="AW73" s="1563"/>
      <c r="AX73" s="1563"/>
      <c r="AY73" s="1563"/>
      <c r="AZ73" s="1563"/>
      <c r="BA73" s="1563"/>
      <c r="BB73" s="1563">
        <f>MAX(0,BB68+BB69-BB70)</f>
        <v>6056</v>
      </c>
      <c r="BC73" s="1563">
        <f>MAX(0,BC68+BC69-BC70)</f>
        <v>0</v>
      </c>
      <c r="BD73" s="1563"/>
      <c r="BE73" s="1563"/>
      <c r="BF73" s="1563"/>
      <c r="BG73" s="1563"/>
      <c r="BH73" s="1563"/>
      <c r="BI73" s="1563"/>
      <c r="BJ73" s="1563"/>
      <c r="BK73" s="1563"/>
      <c r="BL73" s="1563"/>
      <c r="BM73" s="1563"/>
      <c r="BN73" s="1563"/>
      <c r="BO73" s="1563"/>
      <c r="BP73" s="1563"/>
      <c r="BQ73" s="1563"/>
      <c r="BR73" s="1563"/>
      <c r="BS73" s="1563"/>
      <c r="BT73" s="1563"/>
      <c r="BU73" s="1563"/>
      <c r="BV73" s="1563"/>
      <c r="BW73" s="1563"/>
      <c r="BX73" s="1563"/>
      <c r="BY73" s="1563"/>
      <c r="BZ73" s="1563"/>
      <c r="CA73" s="1563"/>
      <c r="CB73" s="1563">
        <f>MAX(0,CB68+CB69-CB70)</f>
        <v>0</v>
      </c>
      <c r="CC73" s="1563">
        <f>MAX(0,CC68+CC69-CC70)</f>
        <v>989</v>
      </c>
      <c r="CD73" s="1563">
        <f>MAX(0,CD68+CD69-CD70)</f>
        <v>6151</v>
      </c>
      <c r="CE73" s="1563">
        <f>MAX(0,CE68+CE69-CE70)</f>
        <v>0</v>
      </c>
      <c r="CF73" s="1563"/>
      <c r="CG73" s="1572">
        <f>MAX(0,CG68+CG69-CG70)</f>
        <v>50080</v>
      </c>
      <c r="CH73" s="1563">
        <f t="shared" ref="CH73:CI73" si="32">MAX(0,CH68+CH69-CH70)</f>
        <v>18970</v>
      </c>
      <c r="CI73" s="1563">
        <f t="shared" si="32"/>
        <v>2221</v>
      </c>
      <c r="CJ73" s="1572">
        <v>11187</v>
      </c>
      <c r="CK73" s="1563">
        <f>MAX(0,CK68+CK69-CK70)</f>
        <v>0</v>
      </c>
      <c r="CL73" s="1563"/>
      <c r="CM73" s="1563"/>
      <c r="CN73" s="1563"/>
      <c r="CO73" s="1563"/>
      <c r="CP73" s="1563">
        <f>MAX(0,CP68+CP69-CP70)</f>
        <v>0</v>
      </c>
      <c r="CQ73" s="1563"/>
      <c r="CR73" s="1563"/>
      <c r="CS73" s="1563"/>
      <c r="CT73" s="1563"/>
      <c r="CU73" s="1563"/>
      <c r="CV73" s="1563"/>
      <c r="CW73" s="1563"/>
      <c r="CX73" s="1563"/>
      <c r="CY73" s="1563"/>
      <c r="CZ73" s="1563"/>
      <c r="DA73" s="1563"/>
      <c r="DB73" s="1563"/>
      <c r="DC73" s="1563"/>
      <c r="DD73" s="1563"/>
      <c r="DE73" s="1563"/>
      <c r="DF73" s="1563"/>
      <c r="DG73" s="1563"/>
      <c r="DH73" s="1563"/>
      <c r="DI73" s="1563"/>
      <c r="DJ73" s="1572">
        <f>MAX(0,DJ68+DJ69-DJ70)</f>
        <v>132</v>
      </c>
      <c r="DK73" s="1563"/>
      <c r="DL73" s="1563"/>
      <c r="DM73" s="1563">
        <f>MAX(0,DM68+DM69-DM70)</f>
        <v>0</v>
      </c>
      <c r="DN73" s="1563"/>
      <c r="DO73" s="1563"/>
      <c r="DP73" s="1563"/>
      <c r="DQ73" s="1563"/>
      <c r="DR73" s="1563"/>
      <c r="DS73" s="1563"/>
      <c r="DT73" s="1563"/>
      <c r="DU73" s="1563"/>
      <c r="DV73" s="1563"/>
      <c r="DW73" s="1563"/>
      <c r="DX73" s="1563"/>
      <c r="DY73" s="1563"/>
      <c r="DZ73" s="1563"/>
      <c r="EA73" s="1563"/>
      <c r="EB73" s="1563"/>
      <c r="EC73" s="1563"/>
      <c r="ED73" s="1563"/>
      <c r="EE73" s="1563"/>
      <c r="EF73" s="1563"/>
      <c r="EG73" s="1563"/>
      <c r="EH73" s="1563"/>
      <c r="EI73" s="1563"/>
      <c r="EJ73" s="1563"/>
      <c r="EK73" s="1563"/>
      <c r="EL73" s="1563"/>
      <c r="EM73" s="1563"/>
      <c r="EN73" s="1563"/>
      <c r="EO73" s="1563"/>
      <c r="EP73" s="1563"/>
      <c r="EQ73" s="1563"/>
      <c r="ER73" s="1563"/>
      <c r="ES73" s="1563"/>
      <c r="ET73" s="1563"/>
      <c r="EU73" s="1563"/>
      <c r="EV73" s="1563"/>
      <c r="EW73" s="1563"/>
      <c r="EX73" s="1563"/>
      <c r="EY73" s="1563"/>
      <c r="EZ73" s="1563"/>
      <c r="FA73" s="1563">
        <f>MAX(0,FA68+FA69-FA70)</f>
        <v>0</v>
      </c>
      <c r="FB73" s="1563"/>
      <c r="FC73" s="1563"/>
      <c r="FD73" s="1563"/>
      <c r="FE73" s="1563"/>
      <c r="FF73" s="1563"/>
      <c r="FG73" s="1563"/>
      <c r="FH73" s="1563"/>
      <c r="FI73" s="1563"/>
      <c r="FJ73" s="1563"/>
      <c r="FK73" s="1563">
        <f>MAX(0,FK68+FK69-FK70)</f>
        <v>0</v>
      </c>
      <c r="FL73" s="1563"/>
      <c r="FM73" s="1563"/>
      <c r="FN73" s="1563"/>
      <c r="FO73" s="1563"/>
      <c r="FP73" s="1563"/>
      <c r="FQ73" s="1563"/>
      <c r="FR73" s="1563"/>
      <c r="FS73" s="1563"/>
      <c r="FT73" s="1563"/>
      <c r="FU73" s="1563"/>
      <c r="FV73" s="1563"/>
      <c r="FW73" s="1563"/>
      <c r="FX73" s="1563"/>
      <c r="FY73" s="1563"/>
      <c r="FZ73" s="1563"/>
      <c r="GA73" s="1563"/>
      <c r="GB73" s="1563"/>
      <c r="GC73" s="1563"/>
      <c r="GD73" s="1563"/>
      <c r="GE73" s="1563"/>
      <c r="GF73" s="1563"/>
      <c r="GG73" s="1563"/>
      <c r="GH73" s="1563"/>
      <c r="GI73" s="1563"/>
      <c r="GJ73" s="1563"/>
      <c r="GK73" s="1563"/>
      <c r="GL73" s="1563"/>
      <c r="GM73" s="1563"/>
      <c r="GN73" s="1563"/>
      <c r="GO73" s="1563"/>
      <c r="GP73" s="1563"/>
      <c r="GQ73" s="1563"/>
      <c r="GR73" s="1563"/>
      <c r="GS73" s="1563"/>
      <c r="GT73" s="1563"/>
      <c r="GU73" s="1563"/>
      <c r="GV73" s="1563"/>
      <c r="GW73" s="1563"/>
      <c r="GX73" s="1563"/>
      <c r="GY73" s="1563">
        <f>MAX(0,GY68+GY69-GY70)</f>
        <v>0</v>
      </c>
      <c r="GZ73" s="1563"/>
      <c r="HA73" s="1563"/>
      <c r="HB73" s="1563"/>
      <c r="HC73" s="1563"/>
      <c r="HD73" s="1563"/>
      <c r="HE73" s="1563"/>
      <c r="HF73" s="1563"/>
      <c r="HG73" s="1563"/>
      <c r="HH73" s="1563"/>
      <c r="HI73" s="1563"/>
      <c r="HJ73" s="1563"/>
      <c r="HK73" s="1563"/>
      <c r="HL73" s="1563"/>
      <c r="HM73" s="1563"/>
      <c r="HN73" s="1563"/>
      <c r="HO73" s="1563"/>
      <c r="HP73" s="1563"/>
      <c r="HQ73" s="1563"/>
      <c r="HR73" s="1563"/>
      <c r="HS73" s="1563"/>
      <c r="HT73" s="1563"/>
      <c r="HU73" s="1563"/>
      <c r="HV73" s="1563"/>
      <c r="HW73" s="1563"/>
      <c r="HX73" s="1563"/>
      <c r="HY73" s="1563"/>
      <c r="HZ73" s="1563"/>
      <c r="IA73" s="1563"/>
      <c r="IB73" s="1563"/>
      <c r="IC73" s="1563"/>
      <c r="ID73" s="1563"/>
      <c r="IE73" s="1563"/>
      <c r="IF73" s="1563"/>
      <c r="IG73" s="1563"/>
      <c r="IH73" s="1563"/>
      <c r="II73" s="1563"/>
      <c r="IJ73" s="1563"/>
      <c r="IK73" s="1563"/>
      <c r="IL73" s="1563"/>
      <c r="IM73" s="1563"/>
      <c r="IN73" s="1563"/>
      <c r="IO73" s="1563"/>
      <c r="IP73" s="1563"/>
      <c r="IQ73" s="1595">
        <f>MAX(0,IQ68+IQ69-IQ70)</f>
        <v>106</v>
      </c>
      <c r="IR73" s="1595"/>
      <c r="IS73" s="1595"/>
      <c r="IT73" s="1595"/>
      <c r="IU73" s="1595"/>
      <c r="IV73" s="1595"/>
      <c r="IW73" s="1595"/>
      <c r="IX73" s="1563"/>
      <c r="IY73" s="1563"/>
      <c r="IZ73" s="1563"/>
      <c r="JA73" s="1563"/>
      <c r="JB73" s="1563"/>
      <c r="JC73" s="1563"/>
      <c r="JD73" s="1563"/>
      <c r="JE73" s="1563"/>
      <c r="JF73" s="1563"/>
      <c r="JG73" s="1563"/>
      <c r="JH73" s="1595"/>
      <c r="JI73" s="1595">
        <f>MAX(0,JI68+JI69-JI70)</f>
        <v>0</v>
      </c>
      <c r="JJ73" s="1595"/>
      <c r="JK73" s="1595"/>
      <c r="JL73" s="1595">
        <f>MAX(0,JL68+JL69-JL70)</f>
        <v>269</v>
      </c>
      <c r="JM73" s="1595">
        <f>MAX(0,JM68+JM69-JM70)</f>
        <v>0</v>
      </c>
      <c r="JN73" s="1563"/>
      <c r="JO73" s="1591"/>
      <c r="JP73" s="1591"/>
      <c r="JQ73" s="1593"/>
      <c r="JR73" s="351"/>
      <c r="JS73" s="1400" t="s">
        <v>3640</v>
      </c>
      <c r="JT73" s="450" t="s">
        <v>2224</v>
      </c>
    </row>
    <row r="74" spans="1:280" ht="12.5" x14ac:dyDescent="0.25">
      <c r="A74" s="1367">
        <v>44</v>
      </c>
      <c r="B74" s="1574" t="str">
        <f>IF(PS_B_IND&gt;1,IF(HLOOKUP(PS_B_IND-1,FPS_RANGE,A74)="","",HLOOKUP(PS_B_IND-1,FPS_RANGE,A74)),"")</f>
        <v/>
      </c>
      <c r="C74" s="1435" t="s">
        <v>1888</v>
      </c>
      <c r="D74" s="1436" t="s">
        <v>3641</v>
      </c>
      <c r="E74" s="1568"/>
      <c r="F74" s="1568"/>
      <c r="G74" s="1568"/>
      <c r="H74" s="1568"/>
      <c r="I74" s="1568"/>
      <c r="J74" s="1568"/>
      <c r="K74" s="1568"/>
      <c r="L74" s="1568"/>
      <c r="M74" s="1568"/>
      <c r="N74" s="1568"/>
      <c r="O74" s="1568"/>
      <c r="P74" s="1568"/>
      <c r="Q74" s="1568"/>
      <c r="R74" s="1568"/>
      <c r="S74" s="1568"/>
      <c r="T74" s="1568"/>
      <c r="U74" s="1568"/>
      <c r="V74" s="1568"/>
      <c r="W74" s="1568"/>
      <c r="X74" s="1568"/>
      <c r="Y74" s="1568"/>
      <c r="Z74" s="1568"/>
      <c r="AA74" s="1568"/>
      <c r="AB74" s="1568"/>
      <c r="AC74" s="1568"/>
      <c r="AD74" s="1568"/>
      <c r="AE74" s="1568"/>
      <c r="AF74" s="1568"/>
      <c r="AG74" s="1568"/>
      <c r="AH74" s="1568"/>
      <c r="AI74" s="1568"/>
      <c r="AJ74" s="1568"/>
      <c r="AK74" s="1568"/>
      <c r="AL74" s="1568"/>
      <c r="AM74" s="1568"/>
      <c r="AN74" s="1568"/>
      <c r="AO74" s="1568"/>
      <c r="AP74" s="1568"/>
      <c r="AQ74" s="1568"/>
      <c r="AR74" s="1568"/>
      <c r="AS74" s="1568"/>
      <c r="AT74" s="1568"/>
      <c r="AU74" s="1568"/>
      <c r="AV74" s="1568"/>
      <c r="AW74" s="1568"/>
      <c r="AX74" s="1568"/>
      <c r="AY74" s="1568"/>
      <c r="AZ74" s="1568"/>
      <c r="BA74" s="1568"/>
      <c r="BB74" s="1568">
        <v>200</v>
      </c>
      <c r="BC74" s="1568"/>
      <c r="BD74" s="1568"/>
      <c r="BE74" s="1568"/>
      <c r="BF74" s="1568"/>
      <c r="BG74" s="1568"/>
      <c r="BH74" s="1568"/>
      <c r="BI74" s="1568"/>
      <c r="BJ74" s="1568"/>
      <c r="BK74" s="1568"/>
      <c r="BL74" s="1568"/>
      <c r="BM74" s="1568"/>
      <c r="BN74" s="1568"/>
      <c r="BO74" s="1568"/>
      <c r="BP74" s="1568"/>
      <c r="BQ74" s="1568"/>
      <c r="BR74" s="1568"/>
      <c r="BS74" s="1568"/>
      <c r="BT74" s="1568"/>
      <c r="BU74" s="1568"/>
      <c r="BV74" s="1568"/>
      <c r="BW74" s="1568"/>
      <c r="BX74" s="1568"/>
      <c r="BY74" s="1568"/>
      <c r="BZ74" s="1568"/>
      <c r="CA74" s="1568"/>
      <c r="CB74" s="1568"/>
      <c r="CC74" s="1568"/>
      <c r="CD74" s="1568"/>
      <c r="CE74" s="1568"/>
      <c r="CF74" s="1568"/>
      <c r="CG74" s="1568"/>
      <c r="CH74" s="1568">
        <v>4684</v>
      </c>
      <c r="CI74" s="1568"/>
      <c r="CJ74" s="1568"/>
      <c r="CK74" s="1568"/>
      <c r="CL74" s="1568"/>
      <c r="CM74" s="1568"/>
      <c r="CN74" s="1568"/>
      <c r="CO74" s="1568"/>
      <c r="CP74" s="1568"/>
      <c r="CQ74" s="1568"/>
      <c r="CR74" s="1568"/>
      <c r="CS74" s="1568"/>
      <c r="CT74" s="1568"/>
      <c r="CU74" s="1568"/>
      <c r="CV74" s="1568"/>
      <c r="CW74" s="1568"/>
      <c r="CX74" s="1568"/>
      <c r="CY74" s="1568"/>
      <c r="CZ74" s="1568"/>
      <c r="DA74" s="1568"/>
      <c r="DB74" s="1568"/>
      <c r="DC74" s="1568"/>
      <c r="DD74" s="1568"/>
      <c r="DE74" s="1568"/>
      <c r="DF74" s="1568"/>
      <c r="DG74" s="1568"/>
      <c r="DH74" s="1568"/>
      <c r="DI74" s="1568"/>
      <c r="DJ74" s="1568"/>
      <c r="DK74" s="1568"/>
      <c r="DL74" s="1568"/>
      <c r="DM74" s="1568"/>
      <c r="DN74" s="1568"/>
      <c r="DO74" s="1568"/>
      <c r="DP74" s="1568"/>
      <c r="DQ74" s="1568"/>
      <c r="DR74" s="1568"/>
      <c r="DS74" s="1568"/>
      <c r="DT74" s="1568"/>
      <c r="DU74" s="1568"/>
      <c r="DV74" s="1568"/>
      <c r="DW74" s="1568"/>
      <c r="DX74" s="1568"/>
      <c r="DY74" s="1568"/>
      <c r="DZ74" s="1568"/>
      <c r="EA74" s="1568"/>
      <c r="EB74" s="1568"/>
      <c r="EC74" s="1568"/>
      <c r="ED74" s="1568"/>
      <c r="EE74" s="1568"/>
      <c r="EF74" s="1568"/>
      <c r="EG74" s="1568"/>
      <c r="EH74" s="1568"/>
      <c r="EI74" s="1568"/>
      <c r="EJ74" s="1568"/>
      <c r="EK74" s="1568"/>
      <c r="EL74" s="1568"/>
      <c r="EM74" s="1568"/>
      <c r="EN74" s="1568"/>
      <c r="EO74" s="1568"/>
      <c r="EP74" s="1568"/>
      <c r="EQ74" s="1568"/>
      <c r="ER74" s="1568"/>
      <c r="ES74" s="1568"/>
      <c r="ET74" s="1568"/>
      <c r="EU74" s="1568"/>
      <c r="EV74" s="1568"/>
      <c r="EW74" s="1568"/>
      <c r="EX74" s="1568"/>
      <c r="EY74" s="1568"/>
      <c r="EZ74" s="1568"/>
      <c r="FA74" s="1568"/>
      <c r="FB74" s="1568"/>
      <c r="FC74" s="1568"/>
      <c r="FD74" s="1568"/>
      <c r="FE74" s="1568"/>
      <c r="FF74" s="1568"/>
      <c r="FG74" s="1568"/>
      <c r="FH74" s="1568"/>
      <c r="FI74" s="1568"/>
      <c r="FJ74" s="1568"/>
      <c r="FK74" s="1568"/>
      <c r="FL74" s="1568"/>
      <c r="FM74" s="1568"/>
      <c r="FN74" s="1568"/>
      <c r="FO74" s="1568"/>
      <c r="FP74" s="1568"/>
      <c r="FQ74" s="1568"/>
      <c r="FR74" s="1568"/>
      <c r="FS74" s="1568"/>
      <c r="FT74" s="1568"/>
      <c r="FU74" s="1568"/>
      <c r="FV74" s="1568"/>
      <c r="FW74" s="1568"/>
      <c r="FX74" s="1568"/>
      <c r="FY74" s="1568"/>
      <c r="FZ74" s="1568"/>
      <c r="GA74" s="1568"/>
      <c r="GB74" s="1568"/>
      <c r="GC74" s="1568"/>
      <c r="GD74" s="1568"/>
      <c r="GE74" s="1568"/>
      <c r="GF74" s="1568"/>
      <c r="GG74" s="1568"/>
      <c r="GH74" s="1568"/>
      <c r="GI74" s="1568"/>
      <c r="GJ74" s="1568"/>
      <c r="GK74" s="1568"/>
      <c r="GL74" s="1568"/>
      <c r="GM74" s="1568"/>
      <c r="GN74" s="1568"/>
      <c r="GO74" s="1568"/>
      <c r="GP74" s="1568"/>
      <c r="GQ74" s="1568"/>
      <c r="GR74" s="1568"/>
      <c r="GS74" s="1568"/>
      <c r="GT74" s="1568"/>
      <c r="GU74" s="1568"/>
      <c r="GV74" s="1568"/>
      <c r="GW74" s="1568"/>
      <c r="GX74" s="1568"/>
      <c r="GY74" s="1568"/>
      <c r="GZ74" s="1568"/>
      <c r="HA74" s="1568"/>
      <c r="HB74" s="1568"/>
      <c r="HC74" s="1568"/>
      <c r="HD74" s="1568"/>
      <c r="HE74" s="1568"/>
      <c r="HF74" s="1568"/>
      <c r="HG74" s="1568"/>
      <c r="HH74" s="1568"/>
      <c r="HI74" s="1568"/>
      <c r="HJ74" s="1568"/>
      <c r="HK74" s="1568"/>
      <c r="HL74" s="1568"/>
      <c r="HM74" s="1568"/>
      <c r="HN74" s="1568"/>
      <c r="HO74" s="1568"/>
      <c r="HP74" s="1568"/>
      <c r="HQ74" s="1568"/>
      <c r="HR74" s="1568"/>
      <c r="HS74" s="1568"/>
      <c r="HT74" s="1568"/>
      <c r="HU74" s="1568"/>
      <c r="HV74" s="1568"/>
      <c r="HW74" s="1568"/>
      <c r="HX74" s="1568"/>
      <c r="HY74" s="1568"/>
      <c r="HZ74" s="1568"/>
      <c r="IA74" s="1568"/>
      <c r="IB74" s="1568"/>
      <c r="IC74" s="1568"/>
      <c r="ID74" s="1568"/>
      <c r="IE74" s="1568"/>
      <c r="IF74" s="1568"/>
      <c r="IG74" s="1568"/>
      <c r="IH74" s="1568"/>
      <c r="II74" s="1568"/>
      <c r="IJ74" s="1568"/>
      <c r="IK74" s="1568"/>
      <c r="IL74" s="1568"/>
      <c r="IM74" s="1568"/>
      <c r="IN74" s="1568"/>
      <c r="IO74" s="1568"/>
      <c r="IP74" s="1568"/>
      <c r="IQ74" s="1584"/>
      <c r="IR74" s="1568"/>
      <c r="IS74" s="1568"/>
      <c r="IT74" s="1584"/>
      <c r="IU74" s="1568"/>
      <c r="IV74" s="1568"/>
      <c r="IW74" s="1568"/>
      <c r="IX74" s="1568"/>
      <c r="IY74" s="1568"/>
      <c r="IZ74" s="1568"/>
      <c r="JA74" s="1568"/>
      <c r="JB74" s="1568"/>
      <c r="JC74" s="1568"/>
      <c r="JD74" s="1568"/>
      <c r="JE74" s="1568"/>
      <c r="JF74" s="1568"/>
      <c r="JG74" s="1568"/>
      <c r="JH74" s="1568"/>
      <c r="JI74" s="1584"/>
      <c r="JJ74" s="1568"/>
      <c r="JK74" s="1584"/>
      <c r="JL74" s="1584"/>
      <c r="JM74" s="1584"/>
      <c r="JN74" s="1568"/>
      <c r="JO74" s="1584"/>
      <c r="JP74" s="1584"/>
      <c r="JQ74" s="1585"/>
      <c r="JR74" s="351"/>
      <c r="JS74" s="1400"/>
      <c r="JT74" s="450"/>
    </row>
    <row r="75" spans="1:280" ht="12.5" x14ac:dyDescent="0.25">
      <c r="A75" s="1367">
        <v>45</v>
      </c>
      <c r="B75" s="1574" t="str">
        <f>IF(PS_B_IND&gt;1,IF(HLOOKUP(PS_B_IND-1,FPS_RANGE,A75)="","",HLOOKUP(PS_B_IND-1,FPS_RANGE,A75)),"")</f>
        <v/>
      </c>
      <c r="C75" s="1435" t="s">
        <v>1889</v>
      </c>
      <c r="D75" s="1436" t="s">
        <v>3642</v>
      </c>
      <c r="E75" s="1568"/>
      <c r="F75" s="1568"/>
      <c r="G75" s="1568"/>
      <c r="H75" s="1568"/>
      <c r="I75" s="1568"/>
      <c r="J75" s="1568"/>
      <c r="K75" s="1568"/>
      <c r="L75" s="1568"/>
      <c r="M75" s="1568"/>
      <c r="N75" s="1568"/>
      <c r="O75" s="1568"/>
      <c r="P75" s="1568"/>
      <c r="Q75" s="1568"/>
      <c r="R75" s="1568"/>
      <c r="S75" s="1568"/>
      <c r="T75" s="1568"/>
      <c r="U75" s="1568"/>
      <c r="V75" s="1568"/>
      <c r="W75" s="1568"/>
      <c r="X75" s="1568"/>
      <c r="Y75" s="1568"/>
      <c r="Z75" s="1568"/>
      <c r="AA75" s="1568"/>
      <c r="AB75" s="1568"/>
      <c r="AC75" s="1568"/>
      <c r="AD75" s="1568"/>
      <c r="AE75" s="1568"/>
      <c r="AF75" s="1568"/>
      <c r="AG75" s="1568"/>
      <c r="AH75" s="1568"/>
      <c r="AI75" s="1568"/>
      <c r="AJ75" s="1568"/>
      <c r="AK75" s="1568"/>
      <c r="AL75" s="1568"/>
      <c r="AM75" s="1568"/>
      <c r="AN75" s="1568"/>
      <c r="AO75" s="1568"/>
      <c r="AP75" s="1568"/>
      <c r="AQ75" s="1568"/>
      <c r="AR75" s="1568"/>
      <c r="AS75" s="1568"/>
      <c r="AT75" s="1568"/>
      <c r="AU75" s="1568"/>
      <c r="AV75" s="1568"/>
      <c r="AW75" s="1568"/>
      <c r="AX75" s="1568"/>
      <c r="AY75" s="1568"/>
      <c r="AZ75" s="1568"/>
      <c r="BA75" s="1568"/>
      <c r="BB75" s="1568">
        <v>40</v>
      </c>
      <c r="BC75" s="1568"/>
      <c r="BD75" s="1568"/>
      <c r="BE75" s="1568"/>
      <c r="BF75" s="1568"/>
      <c r="BG75" s="1568"/>
      <c r="BH75" s="1568"/>
      <c r="BI75" s="1568"/>
      <c r="BJ75" s="1568"/>
      <c r="BK75" s="1568"/>
      <c r="BL75" s="1568"/>
      <c r="BM75" s="1568"/>
      <c r="BN75" s="1568"/>
      <c r="BO75" s="1568"/>
      <c r="BP75" s="1568"/>
      <c r="BQ75" s="1568"/>
      <c r="BR75" s="1568"/>
      <c r="BS75" s="1568"/>
      <c r="BT75" s="1568"/>
      <c r="BU75" s="1568"/>
      <c r="BV75" s="1568"/>
      <c r="BW75" s="1568"/>
      <c r="BX75" s="1568"/>
      <c r="BY75" s="1568"/>
      <c r="BZ75" s="1568"/>
      <c r="CA75" s="1568"/>
      <c r="CB75" s="1568"/>
      <c r="CC75" s="1568"/>
      <c r="CD75" s="1568"/>
      <c r="CE75" s="1568"/>
      <c r="CF75" s="1568"/>
      <c r="CG75" s="1568"/>
      <c r="CH75" s="1568"/>
      <c r="CI75" s="1568"/>
      <c r="CJ75" s="1568"/>
      <c r="CK75" s="1568"/>
      <c r="CL75" s="1568"/>
      <c r="CM75" s="1568"/>
      <c r="CN75" s="1568"/>
      <c r="CO75" s="1568"/>
      <c r="CP75" s="1568"/>
      <c r="CQ75" s="1568"/>
      <c r="CR75" s="1568"/>
      <c r="CS75" s="1568"/>
      <c r="CT75" s="1568"/>
      <c r="CU75" s="1568"/>
      <c r="CV75" s="1568"/>
      <c r="CW75" s="1568"/>
      <c r="CX75" s="1568"/>
      <c r="CY75" s="1568"/>
      <c r="CZ75" s="1568"/>
      <c r="DA75" s="1568"/>
      <c r="DB75" s="1568"/>
      <c r="DC75" s="1568"/>
      <c r="DD75" s="1568"/>
      <c r="DE75" s="1568"/>
      <c r="DF75" s="1568"/>
      <c r="DG75" s="1568"/>
      <c r="DH75" s="1568"/>
      <c r="DI75" s="1568"/>
      <c r="DJ75" s="1568"/>
      <c r="DK75" s="1568"/>
      <c r="DL75" s="1568"/>
      <c r="DM75" s="1568"/>
      <c r="DN75" s="1568"/>
      <c r="DO75" s="1568"/>
      <c r="DP75" s="1568"/>
      <c r="DQ75" s="1568"/>
      <c r="DR75" s="1568"/>
      <c r="DS75" s="1568"/>
      <c r="DT75" s="1568"/>
      <c r="DU75" s="1568"/>
      <c r="DV75" s="1568"/>
      <c r="DW75" s="1568"/>
      <c r="DX75" s="1568"/>
      <c r="DY75" s="1568"/>
      <c r="DZ75" s="1568"/>
      <c r="EA75" s="1568"/>
      <c r="EB75" s="1568"/>
      <c r="EC75" s="1568"/>
      <c r="ED75" s="1568"/>
      <c r="EE75" s="1568"/>
      <c r="EF75" s="1568"/>
      <c r="EG75" s="1568"/>
      <c r="EH75" s="1568"/>
      <c r="EI75" s="1568"/>
      <c r="EJ75" s="1568"/>
      <c r="EK75" s="1568"/>
      <c r="EL75" s="1568"/>
      <c r="EM75" s="1568"/>
      <c r="EN75" s="1568"/>
      <c r="EO75" s="1568"/>
      <c r="EP75" s="1568"/>
      <c r="EQ75" s="1568"/>
      <c r="ER75" s="1568"/>
      <c r="ES75" s="1568"/>
      <c r="ET75" s="1568"/>
      <c r="EU75" s="1568"/>
      <c r="EV75" s="1568"/>
      <c r="EW75" s="1568"/>
      <c r="EX75" s="1568"/>
      <c r="EY75" s="1568"/>
      <c r="EZ75" s="1568"/>
      <c r="FA75" s="1568"/>
      <c r="FB75" s="1568"/>
      <c r="FC75" s="1568"/>
      <c r="FD75" s="1568"/>
      <c r="FE75" s="1568"/>
      <c r="FF75" s="1568"/>
      <c r="FG75" s="1568"/>
      <c r="FH75" s="1568"/>
      <c r="FI75" s="1568"/>
      <c r="FJ75" s="1568"/>
      <c r="FK75" s="1568"/>
      <c r="FL75" s="1568"/>
      <c r="FM75" s="1568"/>
      <c r="FN75" s="1568"/>
      <c r="FO75" s="1568"/>
      <c r="FP75" s="1568"/>
      <c r="FQ75" s="1568"/>
      <c r="FR75" s="1568"/>
      <c r="FS75" s="1568"/>
      <c r="FT75" s="1568"/>
      <c r="FU75" s="1568"/>
      <c r="FV75" s="1568"/>
      <c r="FW75" s="1568"/>
      <c r="FX75" s="1568"/>
      <c r="FY75" s="1568"/>
      <c r="FZ75" s="1568"/>
      <c r="GA75" s="1568"/>
      <c r="GB75" s="1568"/>
      <c r="GC75" s="1568"/>
      <c r="GD75" s="1568"/>
      <c r="GE75" s="1568"/>
      <c r="GF75" s="1568"/>
      <c r="GG75" s="1568"/>
      <c r="GH75" s="1568"/>
      <c r="GI75" s="1568"/>
      <c r="GJ75" s="1568"/>
      <c r="GK75" s="1568"/>
      <c r="GL75" s="1568"/>
      <c r="GM75" s="1568"/>
      <c r="GN75" s="1568"/>
      <c r="GO75" s="1568"/>
      <c r="GP75" s="1568"/>
      <c r="GQ75" s="1568"/>
      <c r="GR75" s="1568"/>
      <c r="GS75" s="1568"/>
      <c r="GT75" s="1568"/>
      <c r="GU75" s="1568"/>
      <c r="GV75" s="1568"/>
      <c r="GW75" s="1568"/>
      <c r="GX75" s="1568"/>
      <c r="GY75" s="1568"/>
      <c r="GZ75" s="1568"/>
      <c r="HA75" s="1568"/>
      <c r="HB75" s="1568"/>
      <c r="HC75" s="1568"/>
      <c r="HD75" s="1568"/>
      <c r="HE75" s="1568"/>
      <c r="HF75" s="1568"/>
      <c r="HG75" s="1568"/>
      <c r="HH75" s="1568"/>
      <c r="HI75" s="1568"/>
      <c r="HJ75" s="1568"/>
      <c r="HK75" s="1568"/>
      <c r="HL75" s="1568"/>
      <c r="HM75" s="1568"/>
      <c r="HN75" s="1568"/>
      <c r="HO75" s="1568"/>
      <c r="HP75" s="1568"/>
      <c r="HQ75" s="1568"/>
      <c r="HR75" s="1568"/>
      <c r="HS75" s="1568"/>
      <c r="HT75" s="1568"/>
      <c r="HU75" s="1568"/>
      <c r="HV75" s="1568"/>
      <c r="HW75" s="1568"/>
      <c r="HX75" s="1568"/>
      <c r="HY75" s="1568"/>
      <c r="HZ75" s="1568"/>
      <c r="IA75" s="1568"/>
      <c r="IB75" s="1568"/>
      <c r="IC75" s="1568"/>
      <c r="ID75" s="1568"/>
      <c r="IE75" s="1568"/>
      <c r="IF75" s="1568"/>
      <c r="IG75" s="1568"/>
      <c r="IH75" s="1568"/>
      <c r="II75" s="1568"/>
      <c r="IJ75" s="1568"/>
      <c r="IK75" s="1568"/>
      <c r="IL75" s="1568"/>
      <c r="IM75" s="1568"/>
      <c r="IN75" s="1568"/>
      <c r="IO75" s="1568"/>
      <c r="IP75" s="1568"/>
      <c r="IQ75" s="1584"/>
      <c r="IR75" s="1568"/>
      <c r="IS75" s="1568"/>
      <c r="IT75" s="1584"/>
      <c r="IU75" s="1568"/>
      <c r="IV75" s="1568"/>
      <c r="IW75" s="1568"/>
      <c r="IX75" s="1568"/>
      <c r="IY75" s="1568"/>
      <c r="IZ75" s="1568"/>
      <c r="JA75" s="1568"/>
      <c r="JB75" s="1568"/>
      <c r="JC75" s="1568"/>
      <c r="JD75" s="1568"/>
      <c r="JE75" s="1568"/>
      <c r="JF75" s="1568"/>
      <c r="JG75" s="1568"/>
      <c r="JH75" s="1568"/>
      <c r="JI75" s="1584"/>
      <c r="JJ75" s="1568"/>
      <c r="JK75" s="1584"/>
      <c r="JL75" s="1584"/>
      <c r="JM75" s="1584"/>
      <c r="JN75" s="1568"/>
      <c r="JO75" s="1584"/>
      <c r="JP75" s="1584"/>
      <c r="JQ75" s="1585"/>
      <c r="JR75" s="351"/>
      <c r="JS75" s="1400"/>
      <c r="JT75" s="450" t="s">
        <v>2224</v>
      </c>
    </row>
    <row r="76" spans="1:280" ht="12.5" x14ac:dyDescent="0.25">
      <c r="A76" s="1367">
        <v>46</v>
      </c>
      <c r="B76" s="1574" t="str">
        <f>IF(PS_B_IND&gt;1,IF(HLOOKUP(PS_B_IND-1,FPS_RANGE,A76)="","",HLOOKUP(PS_B_IND-1,FPS_RANGE,A76)),"")</f>
        <v/>
      </c>
      <c r="C76" s="1435" t="s">
        <v>3643</v>
      </c>
      <c r="D76" s="1436" t="s">
        <v>3644</v>
      </c>
      <c r="E76" s="1568"/>
      <c r="F76" s="1568"/>
      <c r="G76" s="1568"/>
      <c r="H76" s="1568"/>
      <c r="I76" s="1568"/>
      <c r="J76" s="1568"/>
      <c r="K76" s="1568"/>
      <c r="L76" s="1568"/>
      <c r="M76" s="1568"/>
      <c r="N76" s="1568"/>
      <c r="O76" s="1568"/>
      <c r="P76" s="1568"/>
      <c r="Q76" s="1568"/>
      <c r="R76" s="1568"/>
      <c r="S76" s="1568"/>
      <c r="T76" s="1568"/>
      <c r="U76" s="1568"/>
      <c r="V76" s="1568"/>
      <c r="W76" s="1568"/>
      <c r="X76" s="1568"/>
      <c r="Y76" s="1568"/>
      <c r="Z76" s="1568"/>
      <c r="AA76" s="1568"/>
      <c r="AB76" s="1568"/>
      <c r="AC76" s="1568"/>
      <c r="AD76" s="1568"/>
      <c r="AE76" s="1568"/>
      <c r="AF76" s="1568"/>
      <c r="AG76" s="1568"/>
      <c r="AH76" s="1568"/>
      <c r="AI76" s="1568"/>
      <c r="AJ76" s="1568"/>
      <c r="AK76" s="1568"/>
      <c r="AL76" s="1568"/>
      <c r="AM76" s="1568"/>
      <c r="AN76" s="1568"/>
      <c r="AO76" s="1568"/>
      <c r="AP76" s="1568"/>
      <c r="AQ76" s="1568"/>
      <c r="AR76" s="1568"/>
      <c r="AS76" s="1568"/>
      <c r="AT76" s="1568"/>
      <c r="AU76" s="1568"/>
      <c r="AV76" s="1568"/>
      <c r="AW76" s="1568"/>
      <c r="AX76" s="1568"/>
      <c r="AY76" s="1568"/>
      <c r="AZ76" s="1568"/>
      <c r="BA76" s="1568"/>
      <c r="BB76" s="1568"/>
      <c r="BC76" s="1568"/>
      <c r="BD76" s="1568"/>
      <c r="BE76" s="1568"/>
      <c r="BF76" s="1568"/>
      <c r="BG76" s="1568"/>
      <c r="BH76" s="1568"/>
      <c r="BI76" s="1568"/>
      <c r="BJ76" s="1568"/>
      <c r="BK76" s="1568"/>
      <c r="BL76" s="1568"/>
      <c r="BM76" s="1568"/>
      <c r="BN76" s="1568"/>
      <c r="BO76" s="1568"/>
      <c r="BP76" s="1568"/>
      <c r="BQ76" s="1568"/>
      <c r="BR76" s="1568"/>
      <c r="BS76" s="1568"/>
      <c r="BT76" s="1568"/>
      <c r="BU76" s="1568"/>
      <c r="BV76" s="1568"/>
      <c r="BW76" s="1568"/>
      <c r="BX76" s="1568"/>
      <c r="BY76" s="1568"/>
      <c r="BZ76" s="1568"/>
      <c r="CA76" s="1568"/>
      <c r="CB76" s="1568"/>
      <c r="CC76" s="1568"/>
      <c r="CD76" s="1568"/>
      <c r="CE76" s="1568"/>
      <c r="CF76" s="1568"/>
      <c r="CG76" s="1568"/>
      <c r="CH76" s="1568"/>
      <c r="CI76" s="1568"/>
      <c r="CJ76" s="1568"/>
      <c r="CK76" s="1568"/>
      <c r="CL76" s="1568"/>
      <c r="CM76" s="1568"/>
      <c r="CN76" s="1568"/>
      <c r="CO76" s="1568"/>
      <c r="CP76" s="1568"/>
      <c r="CQ76" s="1568"/>
      <c r="CR76" s="1568"/>
      <c r="CS76" s="1568"/>
      <c r="CT76" s="1568"/>
      <c r="CU76" s="1568"/>
      <c r="CV76" s="1568"/>
      <c r="CW76" s="1568"/>
      <c r="CX76" s="1568"/>
      <c r="CY76" s="1568"/>
      <c r="CZ76" s="1568"/>
      <c r="DA76" s="1568"/>
      <c r="DB76" s="1568"/>
      <c r="DC76" s="1568"/>
      <c r="DD76" s="1568"/>
      <c r="DE76" s="1568"/>
      <c r="DF76" s="1568"/>
      <c r="DG76" s="1568"/>
      <c r="DH76" s="1568"/>
      <c r="DI76" s="1568"/>
      <c r="DJ76" s="1568"/>
      <c r="DK76" s="1568"/>
      <c r="DL76" s="1568"/>
      <c r="DM76" s="1568"/>
      <c r="DN76" s="1568"/>
      <c r="DO76" s="1568"/>
      <c r="DP76" s="1568"/>
      <c r="DQ76" s="1568"/>
      <c r="DR76" s="1568"/>
      <c r="DS76" s="1568"/>
      <c r="DT76" s="1568"/>
      <c r="DU76" s="1568"/>
      <c r="DV76" s="1568"/>
      <c r="DW76" s="1568"/>
      <c r="DX76" s="1568"/>
      <c r="DY76" s="1568"/>
      <c r="DZ76" s="1568"/>
      <c r="EA76" s="1568"/>
      <c r="EB76" s="1568"/>
      <c r="EC76" s="1568"/>
      <c r="ED76" s="1568"/>
      <c r="EE76" s="1568"/>
      <c r="EF76" s="1568"/>
      <c r="EG76" s="1568"/>
      <c r="EH76" s="1568"/>
      <c r="EI76" s="1568"/>
      <c r="EJ76" s="1568"/>
      <c r="EK76" s="1568"/>
      <c r="EL76" s="1568"/>
      <c r="EM76" s="1568"/>
      <c r="EN76" s="1568"/>
      <c r="EO76" s="1568"/>
      <c r="EP76" s="1568"/>
      <c r="EQ76" s="1568"/>
      <c r="ER76" s="1568"/>
      <c r="ES76" s="1568"/>
      <c r="ET76" s="1568"/>
      <c r="EU76" s="1568"/>
      <c r="EV76" s="1568"/>
      <c r="EW76" s="1568"/>
      <c r="EX76" s="1568"/>
      <c r="EY76" s="1568"/>
      <c r="EZ76" s="1568"/>
      <c r="FA76" s="1568"/>
      <c r="FB76" s="1568"/>
      <c r="FC76" s="1568"/>
      <c r="FD76" s="1568"/>
      <c r="FE76" s="1568"/>
      <c r="FF76" s="1568"/>
      <c r="FG76" s="1568"/>
      <c r="FH76" s="1568"/>
      <c r="FI76" s="1568"/>
      <c r="FJ76" s="1568"/>
      <c r="FK76" s="1568"/>
      <c r="FL76" s="1568"/>
      <c r="FM76" s="1568"/>
      <c r="FN76" s="1568"/>
      <c r="FO76" s="1568"/>
      <c r="FP76" s="1568"/>
      <c r="FQ76" s="1568"/>
      <c r="FR76" s="1568"/>
      <c r="FS76" s="1568"/>
      <c r="FT76" s="1568"/>
      <c r="FU76" s="1568"/>
      <c r="FV76" s="1568"/>
      <c r="FW76" s="1568"/>
      <c r="FX76" s="1568"/>
      <c r="FY76" s="1568"/>
      <c r="FZ76" s="1568"/>
      <c r="GA76" s="1568"/>
      <c r="GB76" s="1568"/>
      <c r="GC76" s="1568"/>
      <c r="GD76" s="1568"/>
      <c r="GE76" s="1568"/>
      <c r="GF76" s="1568"/>
      <c r="GG76" s="1568"/>
      <c r="GH76" s="1568"/>
      <c r="GI76" s="1568"/>
      <c r="GJ76" s="1568"/>
      <c r="GK76" s="1568"/>
      <c r="GL76" s="1568"/>
      <c r="GM76" s="1568"/>
      <c r="GN76" s="1568"/>
      <c r="GO76" s="1568"/>
      <c r="GP76" s="1568"/>
      <c r="GQ76" s="1568"/>
      <c r="GR76" s="1568"/>
      <c r="GS76" s="1568"/>
      <c r="GT76" s="1568"/>
      <c r="GU76" s="1568"/>
      <c r="GV76" s="1568"/>
      <c r="GW76" s="1568"/>
      <c r="GX76" s="1568"/>
      <c r="GY76" s="1568"/>
      <c r="GZ76" s="1568"/>
      <c r="HA76" s="1568"/>
      <c r="HB76" s="1568"/>
      <c r="HC76" s="1568"/>
      <c r="HD76" s="1568"/>
      <c r="HE76" s="1568"/>
      <c r="HF76" s="1568"/>
      <c r="HG76" s="1568"/>
      <c r="HH76" s="1568"/>
      <c r="HI76" s="1568"/>
      <c r="HJ76" s="1568"/>
      <c r="HK76" s="1568"/>
      <c r="HL76" s="1568"/>
      <c r="HM76" s="1568"/>
      <c r="HN76" s="1568"/>
      <c r="HO76" s="1568"/>
      <c r="HP76" s="1568"/>
      <c r="HQ76" s="1568"/>
      <c r="HR76" s="1568"/>
      <c r="HS76" s="1568"/>
      <c r="HT76" s="1568"/>
      <c r="HU76" s="1568"/>
      <c r="HV76" s="1568"/>
      <c r="HW76" s="1568"/>
      <c r="HX76" s="1568"/>
      <c r="HY76" s="1568"/>
      <c r="HZ76" s="1568"/>
      <c r="IA76" s="1568"/>
      <c r="IB76" s="1568"/>
      <c r="IC76" s="1568"/>
      <c r="ID76" s="1568"/>
      <c r="IE76" s="1568"/>
      <c r="IF76" s="1568"/>
      <c r="IG76" s="1568"/>
      <c r="IH76" s="1568"/>
      <c r="II76" s="1568"/>
      <c r="IJ76" s="1568"/>
      <c r="IK76" s="1568"/>
      <c r="IL76" s="1568"/>
      <c r="IM76" s="1568"/>
      <c r="IN76" s="1568"/>
      <c r="IO76" s="1568"/>
      <c r="IP76" s="1568"/>
      <c r="IQ76" s="1584"/>
      <c r="IR76" s="1568"/>
      <c r="IS76" s="1568"/>
      <c r="IT76" s="1584"/>
      <c r="IU76" s="1568"/>
      <c r="IV76" s="1568"/>
      <c r="IW76" s="1568"/>
      <c r="IX76" s="1568"/>
      <c r="IY76" s="1568"/>
      <c r="IZ76" s="1568"/>
      <c r="JA76" s="1568"/>
      <c r="JB76" s="1568"/>
      <c r="JC76" s="1568"/>
      <c r="JD76" s="1568"/>
      <c r="JE76" s="1568"/>
      <c r="JF76" s="1568"/>
      <c r="JG76" s="1568"/>
      <c r="JH76" s="1568"/>
      <c r="JI76" s="1584"/>
      <c r="JJ76" s="1568"/>
      <c r="JK76" s="1584"/>
      <c r="JL76" s="1584"/>
      <c r="JM76" s="1584"/>
      <c r="JN76" s="1568"/>
      <c r="JO76" s="1584"/>
      <c r="JP76" s="1584"/>
      <c r="JQ76" s="1585"/>
      <c r="JR76" s="351"/>
      <c r="JS76" s="1400"/>
      <c r="JT76" s="450"/>
    </row>
    <row r="77" spans="1:280" ht="12.5" x14ac:dyDescent="0.25">
      <c r="A77" s="1367">
        <v>47</v>
      </c>
      <c r="B77" s="1574" t="str">
        <f t="shared" ref="B77:B109" si="33">IF(PS_B_IND&gt;1,IF(HLOOKUP(PS_B_IND-1,FPS_RANGE,A77)="","",HLOOKUP(PS_B_IND-1,FPS_RANGE,A77)),"")</f>
        <v/>
      </c>
      <c r="C77" s="2471" t="s">
        <v>3645</v>
      </c>
      <c r="D77" s="1596" t="s">
        <v>3646</v>
      </c>
      <c r="E77" s="1568"/>
      <c r="F77" s="1568"/>
      <c r="G77" s="1568"/>
      <c r="H77" s="1568"/>
      <c r="I77" s="1568"/>
      <c r="J77" s="1568"/>
      <c r="K77" s="1568"/>
      <c r="L77" s="1568"/>
      <c r="M77" s="1568"/>
      <c r="N77" s="1568"/>
      <c r="O77" s="1568"/>
      <c r="P77" s="1568"/>
      <c r="Q77" s="1568"/>
      <c r="R77" s="1568"/>
      <c r="S77" s="1568"/>
      <c r="T77" s="1568"/>
      <c r="U77" s="1568"/>
      <c r="V77" s="1568"/>
      <c r="W77" s="1568"/>
      <c r="X77" s="1568"/>
      <c r="Y77" s="1568"/>
      <c r="Z77" s="1568"/>
      <c r="AA77" s="1568"/>
      <c r="AB77" s="1568"/>
      <c r="AC77" s="1568"/>
      <c r="AD77" s="1568"/>
      <c r="AE77" s="1568"/>
      <c r="AF77" s="1568"/>
      <c r="AG77" s="1568"/>
      <c r="AH77" s="1568"/>
      <c r="AI77" s="1568"/>
      <c r="AJ77" s="1568"/>
      <c r="AK77" s="1568"/>
      <c r="AL77" s="1568"/>
      <c r="AM77" s="1568"/>
      <c r="AN77" s="1568"/>
      <c r="AO77" s="1568"/>
      <c r="AP77" s="1568"/>
      <c r="AQ77" s="1568"/>
      <c r="AR77" s="1568"/>
      <c r="AS77" s="1568"/>
      <c r="AT77" s="1568"/>
      <c r="AU77" s="1568"/>
      <c r="AV77" s="1568"/>
      <c r="AW77" s="1568"/>
      <c r="AX77" s="1568"/>
      <c r="AY77" s="1568"/>
      <c r="AZ77" s="1568"/>
      <c r="BA77" s="1568"/>
      <c r="BB77" s="1570"/>
      <c r="BC77" s="1568"/>
      <c r="BD77" s="1568"/>
      <c r="BE77" s="1568"/>
      <c r="BF77" s="1568"/>
      <c r="BG77" s="1568"/>
      <c r="BH77" s="1568"/>
      <c r="BI77" s="1568"/>
      <c r="BJ77" s="1568"/>
      <c r="BK77" s="1568"/>
      <c r="BL77" s="1568"/>
      <c r="BM77" s="1568"/>
      <c r="BN77" s="1568"/>
      <c r="BO77" s="1568"/>
      <c r="BP77" s="1568"/>
      <c r="BQ77" s="1568"/>
      <c r="BR77" s="1568"/>
      <c r="BS77" s="1568"/>
      <c r="BT77" s="1568"/>
      <c r="BU77" s="1568"/>
      <c r="BV77" s="1568"/>
      <c r="BW77" s="1568"/>
      <c r="BX77" s="1568"/>
      <c r="BY77" s="1568"/>
      <c r="BZ77" s="1568"/>
      <c r="CA77" s="1568"/>
      <c r="CB77" s="1568"/>
      <c r="CC77" s="1568"/>
      <c r="CD77" s="1568"/>
      <c r="CE77" s="1568"/>
      <c r="CF77" s="1568"/>
      <c r="CG77" s="1568"/>
      <c r="CH77" s="1568"/>
      <c r="CI77" s="1568"/>
      <c r="CJ77" s="1568"/>
      <c r="CK77" s="1568"/>
      <c r="CL77" s="1568"/>
      <c r="CM77" s="1568"/>
      <c r="CN77" s="1568"/>
      <c r="CO77" s="1568"/>
      <c r="CP77" s="1568"/>
      <c r="CQ77" s="1568"/>
      <c r="CR77" s="1568"/>
      <c r="CS77" s="1568"/>
      <c r="CT77" s="1568"/>
      <c r="CU77" s="1568"/>
      <c r="CV77" s="1568"/>
      <c r="CW77" s="1568"/>
      <c r="CX77" s="1568"/>
      <c r="CY77" s="1570"/>
      <c r="CZ77" s="1568"/>
      <c r="DA77" s="1568"/>
      <c r="DB77" s="1568"/>
      <c r="DC77" s="1568"/>
      <c r="DD77" s="1568"/>
      <c r="DE77" s="1568"/>
      <c r="DF77" s="1568"/>
      <c r="DG77" s="1568"/>
      <c r="DH77" s="1568"/>
      <c r="DI77" s="1568"/>
      <c r="DJ77" s="1568"/>
      <c r="DK77" s="1568"/>
      <c r="DL77" s="1568"/>
      <c r="DM77" s="1570"/>
      <c r="DN77" s="1568"/>
      <c r="DO77" s="1568"/>
      <c r="DP77" s="1568"/>
      <c r="DQ77" s="1568"/>
      <c r="DR77" s="1568"/>
      <c r="DS77" s="1568"/>
      <c r="DT77" s="1568"/>
      <c r="DU77" s="1568"/>
      <c r="DV77" s="1568"/>
      <c r="DW77" s="1568"/>
      <c r="DX77" s="1568"/>
      <c r="DY77" s="1568"/>
      <c r="DZ77" s="1568"/>
      <c r="EA77" s="1568"/>
      <c r="EB77" s="1568"/>
      <c r="EC77" s="1568"/>
      <c r="ED77" s="1568"/>
      <c r="EE77" s="1568"/>
      <c r="EF77" s="1568"/>
      <c r="EG77" s="1568"/>
      <c r="EH77" s="1568"/>
      <c r="EI77" s="1568"/>
      <c r="EJ77" s="1568"/>
      <c r="EK77" s="1568"/>
      <c r="EL77" s="1568"/>
      <c r="EM77" s="1568"/>
      <c r="EN77" s="1568"/>
      <c r="EO77" s="1568"/>
      <c r="EP77" s="1568"/>
      <c r="EQ77" s="1568"/>
      <c r="ER77" s="1568"/>
      <c r="ES77" s="1568"/>
      <c r="ET77" s="1568"/>
      <c r="EU77" s="1568"/>
      <c r="EV77" s="1568"/>
      <c r="EW77" s="1568"/>
      <c r="EX77" s="1568"/>
      <c r="EY77" s="1568"/>
      <c r="EZ77" s="1568"/>
      <c r="FA77" s="1568">
        <v>2126</v>
      </c>
      <c r="FB77" s="1568"/>
      <c r="FC77" s="1568"/>
      <c r="FD77" s="1568"/>
      <c r="FE77" s="1568"/>
      <c r="FF77" s="1568"/>
      <c r="FG77" s="1568"/>
      <c r="FH77" s="1568"/>
      <c r="FI77" s="1568"/>
      <c r="FJ77" s="1568"/>
      <c r="FK77" s="1568"/>
      <c r="FL77" s="1568"/>
      <c r="FM77" s="1568"/>
      <c r="FN77" s="1568"/>
      <c r="FO77" s="1568"/>
      <c r="FP77" s="1568"/>
      <c r="FQ77" s="1568"/>
      <c r="FR77" s="1568"/>
      <c r="FS77" s="1568"/>
      <c r="FT77" s="1568"/>
      <c r="FU77" s="1568"/>
      <c r="FV77" s="1568"/>
      <c r="FW77" s="1568"/>
      <c r="FX77" s="1568"/>
      <c r="FY77" s="1568"/>
      <c r="FZ77" s="1568"/>
      <c r="GA77" s="1568"/>
      <c r="GB77" s="1568"/>
      <c r="GC77" s="1568"/>
      <c r="GD77" s="1568"/>
      <c r="GE77" s="1568"/>
      <c r="GF77" s="1568"/>
      <c r="GG77" s="1568"/>
      <c r="GH77" s="1568"/>
      <c r="GI77" s="1568"/>
      <c r="GJ77" s="1568"/>
      <c r="GK77" s="1568"/>
      <c r="GL77" s="1568"/>
      <c r="GM77" s="1568"/>
      <c r="GN77" s="1568"/>
      <c r="GO77" s="1568"/>
      <c r="GP77" s="1568"/>
      <c r="GQ77" s="1568"/>
      <c r="GR77" s="1568"/>
      <c r="GS77" s="1568"/>
      <c r="GT77" s="1568"/>
      <c r="GU77" s="1568"/>
      <c r="GV77" s="1568"/>
      <c r="GW77" s="1568"/>
      <c r="GX77" s="1568"/>
      <c r="GY77" s="1568"/>
      <c r="GZ77" s="1568"/>
      <c r="HA77" s="1568"/>
      <c r="HB77" s="1568"/>
      <c r="HC77" s="1568"/>
      <c r="HD77" s="1568"/>
      <c r="HE77" s="1568"/>
      <c r="HF77" s="1568"/>
      <c r="HG77" s="1568"/>
      <c r="HH77" s="1568"/>
      <c r="HI77" s="1568"/>
      <c r="HJ77" s="1568"/>
      <c r="HK77" s="1568"/>
      <c r="HL77" s="1568"/>
      <c r="HM77" s="1568"/>
      <c r="HN77" s="1568"/>
      <c r="HO77" s="1568"/>
      <c r="HP77" s="1568"/>
      <c r="HQ77" s="1568"/>
      <c r="HR77" s="1568"/>
      <c r="HS77" s="1568"/>
      <c r="HT77" s="1568"/>
      <c r="HU77" s="1568"/>
      <c r="HV77" s="1568"/>
      <c r="HW77" s="1568"/>
      <c r="HX77" s="1568"/>
      <c r="HY77" s="1568"/>
      <c r="HZ77" s="1568"/>
      <c r="IA77" s="1568"/>
      <c r="IB77" s="1568"/>
      <c r="IC77" s="1568"/>
      <c r="ID77" s="1568"/>
      <c r="IE77" s="1568"/>
      <c r="IF77" s="1568"/>
      <c r="IG77" s="1568"/>
      <c r="IH77" s="1568"/>
      <c r="II77" s="1568"/>
      <c r="IJ77" s="1568"/>
      <c r="IK77" s="1568"/>
      <c r="IL77" s="1568"/>
      <c r="IM77" s="1568"/>
      <c r="IN77" s="1568"/>
      <c r="IO77" s="1568"/>
      <c r="IP77" s="1568"/>
      <c r="IQ77" s="1584"/>
      <c r="IR77" s="1568"/>
      <c r="IS77" s="1568"/>
      <c r="IT77" s="1584"/>
      <c r="IU77" s="1568"/>
      <c r="IV77" s="1568"/>
      <c r="IW77" s="1568"/>
      <c r="IX77" s="1568"/>
      <c r="IY77" s="1568"/>
      <c r="IZ77" s="1568"/>
      <c r="JA77" s="1568"/>
      <c r="JB77" s="1568"/>
      <c r="JC77" s="1568"/>
      <c r="JD77" s="1568"/>
      <c r="JE77" s="1568"/>
      <c r="JF77" s="1568"/>
      <c r="JG77" s="1568"/>
      <c r="JH77" s="1568"/>
      <c r="JI77" s="1584"/>
      <c r="JJ77" s="1568"/>
      <c r="JK77" s="1584"/>
      <c r="JL77" s="1584"/>
      <c r="JM77" s="1584"/>
      <c r="JN77" s="1568"/>
      <c r="JO77" s="1584"/>
      <c r="JP77" s="1584"/>
      <c r="JQ77" s="1585"/>
      <c r="JR77" s="351"/>
      <c r="JS77" s="1400"/>
      <c r="JT77" s="450" t="s">
        <v>2224</v>
      </c>
    </row>
    <row r="78" spans="1:280" ht="12.5" x14ac:dyDescent="0.25">
      <c r="A78" s="1367">
        <v>48</v>
      </c>
      <c r="B78" s="1574" t="str">
        <f t="shared" si="33"/>
        <v/>
      </c>
      <c r="C78" s="2471" t="s">
        <v>3647</v>
      </c>
      <c r="D78" s="1596" t="s">
        <v>3648</v>
      </c>
      <c r="E78" s="1568"/>
      <c r="F78" s="1568"/>
      <c r="G78" s="1568"/>
      <c r="H78" s="1568"/>
      <c r="I78" s="1568"/>
      <c r="J78" s="1568"/>
      <c r="K78" s="1568"/>
      <c r="L78" s="1568"/>
      <c r="M78" s="1568"/>
      <c r="N78" s="1568"/>
      <c r="O78" s="1568"/>
      <c r="P78" s="1568"/>
      <c r="Q78" s="1568"/>
      <c r="R78" s="1568"/>
      <c r="S78" s="1568"/>
      <c r="T78" s="1568"/>
      <c r="U78" s="1568"/>
      <c r="V78" s="1568"/>
      <c r="W78" s="1568"/>
      <c r="X78" s="1568"/>
      <c r="Y78" s="1568"/>
      <c r="Z78" s="1568"/>
      <c r="AA78" s="1568"/>
      <c r="AB78" s="1568"/>
      <c r="AC78" s="1568"/>
      <c r="AD78" s="1568"/>
      <c r="AE78" s="1568"/>
      <c r="AF78" s="1568"/>
      <c r="AG78" s="1568"/>
      <c r="AH78" s="1568"/>
      <c r="AI78" s="1568"/>
      <c r="AJ78" s="1568"/>
      <c r="AK78" s="1568"/>
      <c r="AL78" s="1568"/>
      <c r="AM78" s="1568"/>
      <c r="AN78" s="1568"/>
      <c r="AO78" s="1568"/>
      <c r="AP78" s="1568"/>
      <c r="AQ78" s="1568"/>
      <c r="AR78" s="1568"/>
      <c r="AS78" s="1568"/>
      <c r="AT78" s="1568"/>
      <c r="AU78" s="1568"/>
      <c r="AV78" s="1568"/>
      <c r="AW78" s="1568"/>
      <c r="AX78" s="1568"/>
      <c r="AY78" s="1568"/>
      <c r="AZ78" s="1568"/>
      <c r="BA78" s="1568"/>
      <c r="BB78" s="1570"/>
      <c r="BC78" s="1568"/>
      <c r="BD78" s="1568"/>
      <c r="BE78" s="1568"/>
      <c r="BF78" s="1568"/>
      <c r="BG78" s="1568"/>
      <c r="BH78" s="1568"/>
      <c r="BI78" s="1568"/>
      <c r="BJ78" s="1568"/>
      <c r="BK78" s="1568"/>
      <c r="BL78" s="1568"/>
      <c r="BM78" s="1568"/>
      <c r="BN78" s="1568"/>
      <c r="BO78" s="1568"/>
      <c r="BP78" s="1568"/>
      <c r="BQ78" s="1568"/>
      <c r="BR78" s="1568"/>
      <c r="BS78" s="1568"/>
      <c r="BT78" s="1568"/>
      <c r="BU78" s="1568"/>
      <c r="BV78" s="1568"/>
      <c r="BW78" s="1568"/>
      <c r="BX78" s="1568"/>
      <c r="BY78" s="1568"/>
      <c r="BZ78" s="1568"/>
      <c r="CA78" s="1568"/>
      <c r="CB78" s="1568"/>
      <c r="CC78" s="1568"/>
      <c r="CD78" s="1568"/>
      <c r="CE78" s="1568"/>
      <c r="CF78" s="1568"/>
      <c r="CG78" s="1568"/>
      <c r="CH78" s="1568"/>
      <c r="CI78" s="1568"/>
      <c r="CJ78" s="1568"/>
      <c r="CK78" s="1568"/>
      <c r="CL78" s="1568"/>
      <c r="CM78" s="1568"/>
      <c r="CN78" s="1568"/>
      <c r="CO78" s="1568"/>
      <c r="CP78" s="1568"/>
      <c r="CQ78" s="1568"/>
      <c r="CR78" s="1568"/>
      <c r="CS78" s="1568"/>
      <c r="CT78" s="1568"/>
      <c r="CU78" s="1568"/>
      <c r="CV78" s="1568"/>
      <c r="CW78" s="1568"/>
      <c r="CX78" s="1568"/>
      <c r="CY78" s="1570"/>
      <c r="CZ78" s="1568"/>
      <c r="DA78" s="1568"/>
      <c r="DB78" s="1568"/>
      <c r="DC78" s="1568"/>
      <c r="DD78" s="1568"/>
      <c r="DE78" s="1568"/>
      <c r="DF78" s="1568"/>
      <c r="DG78" s="1568"/>
      <c r="DH78" s="1568"/>
      <c r="DI78" s="1568"/>
      <c r="DJ78" s="1568"/>
      <c r="DK78" s="1568"/>
      <c r="DL78" s="1568"/>
      <c r="DM78" s="1570"/>
      <c r="DN78" s="1568"/>
      <c r="DO78" s="1568"/>
      <c r="DP78" s="1568"/>
      <c r="DQ78" s="1568"/>
      <c r="DR78" s="1568"/>
      <c r="DS78" s="1568"/>
      <c r="DT78" s="1568"/>
      <c r="DU78" s="1568"/>
      <c r="DV78" s="1568"/>
      <c r="DW78" s="1568"/>
      <c r="DX78" s="1568"/>
      <c r="DY78" s="1568"/>
      <c r="DZ78" s="1568"/>
      <c r="EA78" s="1568"/>
      <c r="EB78" s="1568"/>
      <c r="EC78" s="1568"/>
      <c r="ED78" s="1568"/>
      <c r="EE78" s="1568"/>
      <c r="EF78" s="1568"/>
      <c r="EG78" s="1568"/>
      <c r="EH78" s="1568"/>
      <c r="EI78" s="1568"/>
      <c r="EJ78" s="1568"/>
      <c r="EK78" s="1568"/>
      <c r="EL78" s="1568"/>
      <c r="EM78" s="1568"/>
      <c r="EN78" s="1568"/>
      <c r="EO78" s="1568"/>
      <c r="EP78" s="1568"/>
      <c r="EQ78" s="1568"/>
      <c r="ER78" s="1568"/>
      <c r="ES78" s="1568"/>
      <c r="ET78" s="1568"/>
      <c r="EU78" s="1568"/>
      <c r="EV78" s="1568"/>
      <c r="EW78" s="1568"/>
      <c r="EX78" s="1568"/>
      <c r="EY78" s="1568"/>
      <c r="EZ78" s="1568"/>
      <c r="FA78" s="1568"/>
      <c r="FB78" s="1568"/>
      <c r="FC78" s="1568"/>
      <c r="FD78" s="1568"/>
      <c r="FE78" s="1568"/>
      <c r="FF78" s="1568"/>
      <c r="FG78" s="1568"/>
      <c r="FH78" s="1568"/>
      <c r="FI78" s="1568"/>
      <c r="FJ78" s="1568"/>
      <c r="FK78" s="1568"/>
      <c r="FL78" s="1568"/>
      <c r="FM78" s="1568"/>
      <c r="FN78" s="1568"/>
      <c r="FO78" s="1568"/>
      <c r="FP78" s="1568"/>
      <c r="FQ78" s="1568"/>
      <c r="FR78" s="1568"/>
      <c r="FS78" s="1568"/>
      <c r="FT78" s="1568"/>
      <c r="FU78" s="1568"/>
      <c r="FV78" s="1568"/>
      <c r="FW78" s="1568"/>
      <c r="FX78" s="1568"/>
      <c r="FY78" s="1568"/>
      <c r="FZ78" s="1568"/>
      <c r="GA78" s="1568"/>
      <c r="GB78" s="1568"/>
      <c r="GC78" s="1568"/>
      <c r="GD78" s="1568"/>
      <c r="GE78" s="1568"/>
      <c r="GF78" s="1568"/>
      <c r="GG78" s="1568"/>
      <c r="GH78" s="1568"/>
      <c r="GI78" s="1568"/>
      <c r="GJ78" s="1568"/>
      <c r="GK78" s="1568"/>
      <c r="GL78" s="1568"/>
      <c r="GM78" s="1568"/>
      <c r="GN78" s="1568"/>
      <c r="GO78" s="1568"/>
      <c r="GP78" s="1568"/>
      <c r="GQ78" s="1568"/>
      <c r="GR78" s="1568"/>
      <c r="GS78" s="1568"/>
      <c r="GT78" s="1568"/>
      <c r="GU78" s="1568"/>
      <c r="GV78" s="1568"/>
      <c r="GW78" s="1568"/>
      <c r="GX78" s="1568"/>
      <c r="GY78" s="1568"/>
      <c r="GZ78" s="1568"/>
      <c r="HA78" s="1568"/>
      <c r="HB78" s="1568"/>
      <c r="HC78" s="1568"/>
      <c r="HD78" s="1568"/>
      <c r="HE78" s="1568"/>
      <c r="HF78" s="1568"/>
      <c r="HG78" s="1568"/>
      <c r="HH78" s="1568"/>
      <c r="HI78" s="1568"/>
      <c r="HJ78" s="1568"/>
      <c r="HK78" s="1568"/>
      <c r="HL78" s="1568"/>
      <c r="HM78" s="1568"/>
      <c r="HN78" s="1568"/>
      <c r="HO78" s="1568"/>
      <c r="HP78" s="1568"/>
      <c r="HQ78" s="1568"/>
      <c r="HR78" s="1568"/>
      <c r="HS78" s="1568"/>
      <c r="HT78" s="1568"/>
      <c r="HU78" s="1568"/>
      <c r="HV78" s="1568"/>
      <c r="HW78" s="1568"/>
      <c r="HX78" s="1568"/>
      <c r="HY78" s="1568"/>
      <c r="HZ78" s="1568"/>
      <c r="IA78" s="1568"/>
      <c r="IB78" s="1568"/>
      <c r="IC78" s="1568"/>
      <c r="ID78" s="1568"/>
      <c r="IE78" s="1568"/>
      <c r="IF78" s="1568"/>
      <c r="IG78" s="1568"/>
      <c r="IH78" s="1568"/>
      <c r="II78" s="1568"/>
      <c r="IJ78" s="1568"/>
      <c r="IK78" s="1568"/>
      <c r="IL78" s="1568"/>
      <c r="IM78" s="1568"/>
      <c r="IN78" s="1568"/>
      <c r="IO78" s="1568"/>
      <c r="IP78" s="1568"/>
      <c r="IQ78" s="1584"/>
      <c r="IR78" s="1568"/>
      <c r="IS78" s="1568"/>
      <c r="IT78" s="1584"/>
      <c r="IU78" s="1568"/>
      <c r="IV78" s="1568"/>
      <c r="IW78" s="1568"/>
      <c r="IX78" s="1568"/>
      <c r="IY78" s="1568"/>
      <c r="IZ78" s="1568"/>
      <c r="JA78" s="1568"/>
      <c r="JB78" s="1568"/>
      <c r="JC78" s="1568"/>
      <c r="JD78" s="1568"/>
      <c r="JE78" s="1568"/>
      <c r="JF78" s="1568"/>
      <c r="JG78" s="1568"/>
      <c r="JH78" s="1568"/>
      <c r="JI78" s="1584"/>
      <c r="JJ78" s="1568"/>
      <c r="JK78" s="1584"/>
      <c r="JL78" s="1584"/>
      <c r="JM78" s="1584"/>
      <c r="JN78" s="1568"/>
      <c r="JO78" s="1584"/>
      <c r="JP78" s="1584"/>
      <c r="JQ78" s="1585"/>
      <c r="JR78" s="351"/>
      <c r="JS78" s="1400" t="s">
        <v>3649</v>
      </c>
      <c r="JT78" s="450" t="s">
        <v>2253</v>
      </c>
    </row>
    <row r="79" spans="1:280" ht="50" x14ac:dyDescent="0.25">
      <c r="A79" s="1367">
        <v>49</v>
      </c>
      <c r="B79" s="1574" t="str">
        <f t="shared" si="33"/>
        <v/>
      </c>
      <c r="C79" s="2471" t="s">
        <v>3650</v>
      </c>
      <c r="D79" s="1596" t="s">
        <v>3651</v>
      </c>
      <c r="E79" s="1597"/>
      <c r="F79" s="1597"/>
      <c r="G79" s="1597"/>
      <c r="H79" s="1597"/>
      <c r="I79" s="1597"/>
      <c r="J79" s="1597"/>
      <c r="K79" s="1597"/>
      <c r="L79" s="1597"/>
      <c r="M79" s="1597"/>
      <c r="N79" s="1597"/>
      <c r="O79" s="1597"/>
      <c r="P79" s="1597"/>
      <c r="Q79" s="1597"/>
      <c r="R79" s="1597"/>
      <c r="S79" s="1597"/>
      <c r="T79" s="1597"/>
      <c r="U79" s="1597"/>
      <c r="V79" s="1597"/>
      <c r="W79" s="1597"/>
      <c r="X79" s="1597"/>
      <c r="Y79" s="1597"/>
      <c r="Z79" s="1597"/>
      <c r="AA79" s="1597"/>
      <c r="AB79" s="1597"/>
      <c r="AC79" s="1597"/>
      <c r="AD79" s="1597"/>
      <c r="AE79" s="1597"/>
      <c r="AF79" s="1597"/>
      <c r="AG79" s="1597"/>
      <c r="AH79" s="1597"/>
      <c r="AI79" s="1597"/>
      <c r="AJ79" s="1597"/>
      <c r="AK79" s="1597"/>
      <c r="AL79" s="1597"/>
      <c r="AM79" s="1597"/>
      <c r="AN79" s="1597"/>
      <c r="AO79" s="1597"/>
      <c r="AP79" s="1597"/>
      <c r="AQ79" s="1597"/>
      <c r="AR79" s="1597"/>
      <c r="AS79" s="1597"/>
      <c r="AT79" s="1597"/>
      <c r="AU79" s="1597"/>
      <c r="AV79" s="1597"/>
      <c r="AW79" s="1597"/>
      <c r="AX79" s="1597"/>
      <c r="AY79" s="1597"/>
      <c r="AZ79" s="1597"/>
      <c r="BA79" s="1597"/>
      <c r="BB79" s="1570"/>
      <c r="BC79" s="1597"/>
      <c r="BD79" s="1597"/>
      <c r="BE79" s="1597"/>
      <c r="BF79" s="1597"/>
      <c r="BG79" s="1597"/>
      <c r="BH79" s="1597"/>
      <c r="BI79" s="1597"/>
      <c r="BJ79" s="1597"/>
      <c r="BK79" s="1597"/>
      <c r="BL79" s="1597"/>
      <c r="BM79" s="1597"/>
      <c r="BN79" s="1597"/>
      <c r="BO79" s="1597"/>
      <c r="BP79" s="1597"/>
      <c r="BQ79" s="1597"/>
      <c r="BR79" s="1597"/>
      <c r="BS79" s="1597"/>
      <c r="BT79" s="1597"/>
      <c r="BU79" s="1597"/>
      <c r="BV79" s="1597"/>
      <c r="BW79" s="1597"/>
      <c r="BX79" s="1597"/>
      <c r="BY79" s="1597"/>
      <c r="BZ79" s="1597"/>
      <c r="CA79" s="1597"/>
      <c r="CB79" s="1597"/>
      <c r="CC79" s="1597"/>
      <c r="CD79" s="1570"/>
      <c r="CE79" s="1597"/>
      <c r="CF79" s="1597"/>
      <c r="CG79" s="1597"/>
      <c r="CH79" s="1597"/>
      <c r="CI79" s="1597"/>
      <c r="CJ79" s="1597"/>
      <c r="CK79" s="1597"/>
      <c r="CL79" s="1597"/>
      <c r="CM79" s="1597"/>
      <c r="CN79" s="1597"/>
      <c r="CO79" s="1597"/>
      <c r="CP79" s="1597"/>
      <c r="CQ79" s="1597"/>
      <c r="CR79" s="1597"/>
      <c r="CS79" s="1597"/>
      <c r="CT79" s="1597"/>
      <c r="CU79" s="1597"/>
      <c r="CV79" s="1597"/>
      <c r="CW79" s="1597"/>
      <c r="CX79" s="1597"/>
      <c r="CY79" s="1570"/>
      <c r="CZ79" s="1597"/>
      <c r="DA79" s="1597"/>
      <c r="DB79" s="1597"/>
      <c r="DC79" s="1597"/>
      <c r="DD79" s="1597"/>
      <c r="DE79" s="1597"/>
      <c r="DF79" s="1597"/>
      <c r="DG79" s="1597"/>
      <c r="DH79" s="1597"/>
      <c r="DI79" s="1597"/>
      <c r="DJ79" s="1597"/>
      <c r="DK79" s="1597"/>
      <c r="DL79" s="1597"/>
      <c r="DM79" s="1570"/>
      <c r="DN79" s="1597"/>
      <c r="DO79" s="1597"/>
      <c r="DP79" s="1597"/>
      <c r="DQ79" s="1597"/>
      <c r="DR79" s="1597"/>
      <c r="DS79" s="1597"/>
      <c r="DT79" s="1597"/>
      <c r="DU79" s="1597"/>
      <c r="DV79" s="1597"/>
      <c r="DW79" s="1597"/>
      <c r="DX79" s="1597"/>
      <c r="DY79" s="1597"/>
      <c r="DZ79" s="1597"/>
      <c r="EA79" s="1597"/>
      <c r="EB79" s="1597"/>
      <c r="EC79" s="1597"/>
      <c r="ED79" s="1597"/>
      <c r="EE79" s="1597"/>
      <c r="EF79" s="1597"/>
      <c r="EG79" s="1597"/>
      <c r="EH79" s="1597"/>
      <c r="EI79" s="1597"/>
      <c r="EJ79" s="1597"/>
      <c r="EK79" s="1597"/>
      <c r="EL79" s="1597"/>
      <c r="EM79" s="1597"/>
      <c r="EN79" s="1597"/>
      <c r="EO79" s="1597"/>
      <c r="EP79" s="1597"/>
      <c r="EQ79" s="1597"/>
      <c r="ER79" s="1597"/>
      <c r="ES79" s="1597"/>
      <c r="ET79" s="1597"/>
      <c r="EU79" s="1597"/>
      <c r="EV79" s="1597"/>
      <c r="EW79" s="1597"/>
      <c r="EX79" s="1597"/>
      <c r="EY79" s="1597"/>
      <c r="EZ79" s="1597"/>
      <c r="FA79" s="1597"/>
      <c r="FB79" s="1597"/>
      <c r="FC79" s="1597"/>
      <c r="FD79" s="1597"/>
      <c r="FE79" s="1597"/>
      <c r="FF79" s="1597"/>
      <c r="FG79" s="1597"/>
      <c r="FH79" s="1597"/>
      <c r="FI79" s="1597"/>
      <c r="FJ79" s="1597"/>
      <c r="FK79" s="1597"/>
      <c r="FL79" s="1597"/>
      <c r="FM79" s="1597"/>
      <c r="FN79" s="1597"/>
      <c r="FO79" s="1597"/>
      <c r="FP79" s="1597"/>
      <c r="FQ79" s="1597"/>
      <c r="FR79" s="1597"/>
      <c r="FS79" s="1597"/>
      <c r="FT79" s="1597"/>
      <c r="FU79" s="1597"/>
      <c r="FV79" s="1597"/>
      <c r="FW79" s="1597"/>
      <c r="FX79" s="1597"/>
      <c r="FY79" s="1597"/>
      <c r="FZ79" s="1597"/>
      <c r="GA79" s="1597"/>
      <c r="GB79" s="1597"/>
      <c r="GC79" s="1597"/>
      <c r="GD79" s="1597"/>
      <c r="GE79" s="1597"/>
      <c r="GF79" s="1597"/>
      <c r="GG79" s="1597"/>
      <c r="GH79" s="1597"/>
      <c r="GI79" s="1597"/>
      <c r="GJ79" s="1597"/>
      <c r="GK79" s="1597"/>
      <c r="GL79" s="1597"/>
      <c r="GM79" s="1597"/>
      <c r="GN79" s="1597"/>
      <c r="GO79" s="1597"/>
      <c r="GP79" s="1597"/>
      <c r="GQ79" s="1597"/>
      <c r="GR79" s="1597"/>
      <c r="GS79" s="1597"/>
      <c r="GT79" s="1597"/>
      <c r="GU79" s="1597"/>
      <c r="GV79" s="1597"/>
      <c r="GW79" s="1597"/>
      <c r="GX79" s="1597"/>
      <c r="GY79" s="1597"/>
      <c r="GZ79" s="1597"/>
      <c r="HA79" s="1597"/>
      <c r="HB79" s="1597"/>
      <c r="HC79" s="1597"/>
      <c r="HD79" s="1597"/>
      <c r="HE79" s="1597"/>
      <c r="HF79" s="1597"/>
      <c r="HG79" s="1597"/>
      <c r="HH79" s="1597"/>
      <c r="HI79" s="1597"/>
      <c r="HJ79" s="1597"/>
      <c r="HK79" s="1597"/>
      <c r="HL79" s="1597"/>
      <c r="HM79" s="1597"/>
      <c r="HN79" s="1597"/>
      <c r="HO79" s="1597"/>
      <c r="HP79" s="1597"/>
      <c r="HQ79" s="1597"/>
      <c r="HR79" s="1597"/>
      <c r="HS79" s="1597"/>
      <c r="HT79" s="1597"/>
      <c r="HU79" s="1597"/>
      <c r="HV79" s="1597"/>
      <c r="HW79" s="1597"/>
      <c r="HX79" s="1597"/>
      <c r="HY79" s="1597"/>
      <c r="HZ79" s="1597"/>
      <c r="IA79" s="1597"/>
      <c r="IB79" s="1597"/>
      <c r="IC79" s="1597"/>
      <c r="ID79" s="1597"/>
      <c r="IE79" s="1597"/>
      <c r="IF79" s="1597"/>
      <c r="IG79" s="1597"/>
      <c r="IH79" s="1597"/>
      <c r="II79" s="1597"/>
      <c r="IJ79" s="1597"/>
      <c r="IK79" s="1597"/>
      <c r="IL79" s="1597"/>
      <c r="IM79" s="1597"/>
      <c r="IN79" s="1597"/>
      <c r="IO79" s="1597"/>
      <c r="IP79" s="1597"/>
      <c r="IQ79" s="1597"/>
      <c r="IR79" s="1597"/>
      <c r="IS79" s="1597"/>
      <c r="IT79" s="1597"/>
      <c r="IU79" s="1597"/>
      <c r="IV79" s="1597"/>
      <c r="IW79" s="1597"/>
      <c r="IX79" s="1597"/>
      <c r="IY79" s="1597"/>
      <c r="IZ79" s="1597"/>
      <c r="JA79" s="1597"/>
      <c r="JB79" s="1597"/>
      <c r="JC79" s="1597"/>
      <c r="JD79" s="1597"/>
      <c r="JE79" s="1597"/>
      <c r="JF79" s="1597"/>
      <c r="JG79" s="1597"/>
      <c r="JH79" s="1597"/>
      <c r="JI79" s="1597"/>
      <c r="JJ79" s="1597"/>
      <c r="JK79" s="1597"/>
      <c r="JL79" s="1597"/>
      <c r="JM79" s="1597"/>
      <c r="JN79" s="1597"/>
      <c r="JO79" s="1597"/>
      <c r="JP79" s="1597"/>
      <c r="JQ79" s="1597"/>
      <c r="JR79" s="351"/>
      <c r="JS79" s="1400" t="s">
        <v>3652</v>
      </c>
      <c r="JT79" s="450" t="s">
        <v>2224</v>
      </c>
    </row>
    <row r="80" spans="1:280" ht="12.5" x14ac:dyDescent="0.25">
      <c r="A80" s="1367">
        <v>50</v>
      </c>
      <c r="B80" s="1574" t="str">
        <f t="shared" si="33"/>
        <v/>
      </c>
      <c r="C80" s="1435" t="s">
        <v>3653</v>
      </c>
      <c r="D80" s="1436" t="s">
        <v>3654</v>
      </c>
      <c r="E80" s="1568"/>
      <c r="F80" s="1568"/>
      <c r="G80" s="1568"/>
      <c r="H80" s="1568"/>
      <c r="I80" s="1568"/>
      <c r="J80" s="1568"/>
      <c r="K80" s="1568"/>
      <c r="L80" s="1568"/>
      <c r="M80" s="1568"/>
      <c r="N80" s="1568"/>
      <c r="O80" s="1568"/>
      <c r="P80" s="1568"/>
      <c r="Q80" s="1568"/>
      <c r="R80" s="1568"/>
      <c r="S80" s="1568"/>
      <c r="T80" s="1568"/>
      <c r="U80" s="1568"/>
      <c r="V80" s="1568"/>
      <c r="W80" s="1568"/>
      <c r="X80" s="1568"/>
      <c r="Y80" s="1568"/>
      <c r="Z80" s="1568"/>
      <c r="AA80" s="1568"/>
      <c r="AB80" s="1568"/>
      <c r="AC80" s="1568"/>
      <c r="AD80" s="1568"/>
      <c r="AE80" s="1568"/>
      <c r="AF80" s="1568"/>
      <c r="AG80" s="1568"/>
      <c r="AH80" s="1568"/>
      <c r="AI80" s="1568"/>
      <c r="AJ80" s="1568"/>
      <c r="AK80" s="1568"/>
      <c r="AL80" s="1568"/>
      <c r="AM80" s="1568"/>
      <c r="AN80" s="1568"/>
      <c r="AO80" s="1568"/>
      <c r="AP80" s="1568"/>
      <c r="AQ80" s="1568"/>
      <c r="AR80" s="1568"/>
      <c r="AS80" s="1568"/>
      <c r="AT80" s="1568"/>
      <c r="AU80" s="1568"/>
      <c r="AV80" s="1568"/>
      <c r="AW80" s="1568"/>
      <c r="AX80" s="1568"/>
      <c r="AY80" s="1568"/>
      <c r="AZ80" s="1568"/>
      <c r="BA80" s="1568"/>
      <c r="BB80" s="1568"/>
      <c r="BC80" s="1568"/>
      <c r="BD80" s="1568"/>
      <c r="BE80" s="1568"/>
      <c r="BF80" s="1568"/>
      <c r="BG80" s="1568"/>
      <c r="BH80" s="1568"/>
      <c r="BI80" s="1568"/>
      <c r="BJ80" s="1568"/>
      <c r="BK80" s="1568"/>
      <c r="BL80" s="1568"/>
      <c r="BM80" s="1568"/>
      <c r="BN80" s="1568"/>
      <c r="BO80" s="1568"/>
      <c r="BP80" s="1568"/>
      <c r="BQ80" s="1568"/>
      <c r="BR80" s="1568"/>
      <c r="BS80" s="1568"/>
      <c r="BT80" s="1568"/>
      <c r="BU80" s="1568"/>
      <c r="BV80" s="1568"/>
      <c r="BW80" s="1568"/>
      <c r="BX80" s="1568"/>
      <c r="BY80" s="1568"/>
      <c r="BZ80" s="1568"/>
      <c r="CA80" s="1568"/>
      <c r="CB80" s="1568"/>
      <c r="CC80" s="1568"/>
      <c r="CD80" s="1568"/>
      <c r="CE80" s="1568">
        <v>2035</v>
      </c>
      <c r="CF80" s="1568"/>
      <c r="CG80" s="1568"/>
      <c r="CH80" s="1568">
        <v>58166</v>
      </c>
      <c r="CI80" s="1568"/>
      <c r="CJ80" s="1568"/>
      <c r="CK80" s="1568"/>
      <c r="CL80" s="1568"/>
      <c r="CM80" s="1568"/>
      <c r="CN80" s="1568"/>
      <c r="CO80" s="1568"/>
      <c r="CP80" s="1568"/>
      <c r="CQ80" s="1568"/>
      <c r="CR80" s="1568"/>
      <c r="CS80" s="1568"/>
      <c r="CT80" s="1568"/>
      <c r="CU80" s="1568"/>
      <c r="CV80" s="1568"/>
      <c r="CW80" s="1568"/>
      <c r="CX80" s="1568"/>
      <c r="CY80" s="1568">
        <v>16570</v>
      </c>
      <c r="CZ80" s="1568">
        <v>13625</v>
      </c>
      <c r="DA80" s="1568">
        <v>13625</v>
      </c>
      <c r="DB80" s="1568"/>
      <c r="DC80" s="1568"/>
      <c r="DD80" s="1568"/>
      <c r="DE80" s="1568"/>
      <c r="DF80" s="1568"/>
      <c r="DG80" s="1568"/>
      <c r="DH80" s="1568"/>
      <c r="DI80" s="1568"/>
      <c r="DJ80" s="1568"/>
      <c r="DK80" s="1568"/>
      <c r="DL80" s="1568"/>
      <c r="DM80" s="1568">
        <v>16570</v>
      </c>
      <c r="DN80" s="1568"/>
      <c r="DO80" s="1568"/>
      <c r="DP80" s="1568"/>
      <c r="DQ80" s="1568"/>
      <c r="DR80" s="1568"/>
      <c r="DS80" s="1568"/>
      <c r="DT80" s="1568"/>
      <c r="DU80" s="1568"/>
      <c r="DV80" s="1568"/>
      <c r="DW80" s="1568"/>
      <c r="DX80" s="1568"/>
      <c r="DY80" s="1568"/>
      <c r="DZ80" s="1568"/>
      <c r="EA80" s="1568"/>
      <c r="EB80" s="1568"/>
      <c r="EC80" s="1568"/>
      <c r="ED80" s="1568"/>
      <c r="EE80" s="1568"/>
      <c r="EF80" s="1568"/>
      <c r="EG80" s="1568"/>
      <c r="EH80" s="1568"/>
      <c r="EI80" s="1568">
        <v>1589</v>
      </c>
      <c r="EJ80" s="1568"/>
      <c r="EK80" s="1568"/>
      <c r="EL80" s="1568"/>
      <c r="EM80" s="1568"/>
      <c r="EN80" s="1568"/>
      <c r="EO80" s="1568"/>
      <c r="EP80" s="1568"/>
      <c r="EQ80" s="1568"/>
      <c r="ER80" s="1568"/>
      <c r="ES80" s="1568"/>
      <c r="ET80" s="1568"/>
      <c r="EU80" s="1568"/>
      <c r="EV80" s="1568"/>
      <c r="EW80" s="1568"/>
      <c r="EX80" s="1568"/>
      <c r="EY80" s="1568"/>
      <c r="EZ80" s="1568"/>
      <c r="FA80" s="1568">
        <v>16570</v>
      </c>
      <c r="FB80" s="1568"/>
      <c r="FC80" s="1568"/>
      <c r="FD80" s="1570">
        <v>1190</v>
      </c>
      <c r="FE80" s="1568"/>
      <c r="FF80" s="1568"/>
      <c r="FG80" s="1568"/>
      <c r="FH80" s="1570">
        <v>1190</v>
      </c>
      <c r="FI80" s="1568"/>
      <c r="FJ80" s="1568"/>
      <c r="FK80" s="1568">
        <v>13625</v>
      </c>
      <c r="FL80" s="1568"/>
      <c r="FM80" s="1568"/>
      <c r="FN80" s="1568"/>
      <c r="FO80" s="1568"/>
      <c r="FP80" s="1568"/>
      <c r="FQ80" s="1568"/>
      <c r="FR80" s="1568"/>
      <c r="FS80" s="1568"/>
      <c r="FT80" s="1568"/>
      <c r="FU80" s="1568"/>
      <c r="FV80" s="1568"/>
      <c r="FW80" s="1568"/>
      <c r="FX80" s="1568"/>
      <c r="FY80" s="1568"/>
      <c r="FZ80" s="1568"/>
      <c r="GA80" s="1568"/>
      <c r="GB80" s="1568"/>
      <c r="GC80" s="1568"/>
      <c r="GD80" s="1568"/>
      <c r="GE80" s="1568"/>
      <c r="GF80" s="1568"/>
      <c r="GG80" s="1568"/>
      <c r="GH80" s="1568"/>
      <c r="GI80" s="1568"/>
      <c r="GJ80" s="1568"/>
      <c r="GK80" s="1568"/>
      <c r="GL80" s="1568"/>
      <c r="GM80" s="1568"/>
      <c r="GN80" s="1568"/>
      <c r="GO80" s="1568"/>
      <c r="GP80" s="1568"/>
      <c r="GQ80" s="1568"/>
      <c r="GR80" s="1568"/>
      <c r="GS80" s="1568"/>
      <c r="GT80" s="1568"/>
      <c r="GU80" s="1568"/>
      <c r="GV80" s="1568"/>
      <c r="GW80" s="1568"/>
      <c r="GX80" s="1568"/>
      <c r="GY80" s="1568">
        <v>1589</v>
      </c>
      <c r="GZ80" s="1568"/>
      <c r="HA80" s="1568"/>
      <c r="HB80" s="1568"/>
      <c r="HC80" s="1568"/>
      <c r="HD80" s="1568"/>
      <c r="HE80" s="1568"/>
      <c r="HF80" s="1568"/>
      <c r="HG80" s="1568"/>
      <c r="HH80" s="1568"/>
      <c r="HI80" s="1568"/>
      <c r="HJ80" s="1568"/>
      <c r="HK80" s="1568"/>
      <c r="HL80" s="1568"/>
      <c r="HM80" s="1568"/>
      <c r="HN80" s="1568"/>
      <c r="HO80" s="1568"/>
      <c r="HP80" s="1568"/>
      <c r="HQ80" s="1568"/>
      <c r="HR80" s="1568"/>
      <c r="HS80" s="1568"/>
      <c r="HT80" s="1568"/>
      <c r="HU80" s="1568"/>
      <c r="HV80" s="1568"/>
      <c r="HW80" s="1568"/>
      <c r="HX80" s="1568"/>
      <c r="HY80" s="1568"/>
      <c r="HZ80" s="1568"/>
      <c r="IA80" s="1568"/>
      <c r="IB80" s="1568"/>
      <c r="IC80" s="1568"/>
      <c r="ID80" s="1568"/>
      <c r="IE80" s="1568"/>
      <c r="IF80" s="1568"/>
      <c r="IG80" s="1568"/>
      <c r="IH80" s="1568"/>
      <c r="II80" s="1568"/>
      <c r="IJ80" s="1568"/>
      <c r="IK80" s="1568"/>
      <c r="IL80" s="1568"/>
      <c r="IM80" s="1568"/>
      <c r="IN80" s="1568"/>
      <c r="IO80" s="1568"/>
      <c r="IP80" s="1568"/>
      <c r="IQ80" s="1584"/>
      <c r="IR80" s="1568"/>
      <c r="IS80" s="1568"/>
      <c r="IT80" s="1584"/>
      <c r="IU80" s="1568"/>
      <c r="IV80" s="1568"/>
      <c r="IW80" s="1568"/>
      <c r="IX80" s="1568"/>
      <c r="IY80" s="1568"/>
      <c r="IZ80" s="1568"/>
      <c r="JA80" s="1568"/>
      <c r="JB80" s="1568"/>
      <c r="JC80" s="1568"/>
      <c r="JD80" s="1568"/>
      <c r="JE80" s="1568"/>
      <c r="JF80" s="1568"/>
      <c r="JG80" s="1568"/>
      <c r="JH80" s="1568"/>
      <c r="JI80" s="1584"/>
      <c r="JJ80" s="1568"/>
      <c r="JK80" s="1584"/>
      <c r="JL80" s="1584"/>
      <c r="JM80" s="1584"/>
      <c r="JN80" s="1568"/>
      <c r="JO80" s="1584"/>
      <c r="JP80" s="1584"/>
      <c r="JQ80" s="1585"/>
      <c r="JR80" s="351"/>
      <c r="JS80" s="1400"/>
      <c r="JT80" s="450" t="s">
        <v>2242</v>
      </c>
    </row>
    <row r="81" spans="1:280" ht="12.5" x14ac:dyDescent="0.25">
      <c r="A81" s="1367">
        <v>51</v>
      </c>
      <c r="B81" s="1574" t="str">
        <f t="shared" si="33"/>
        <v/>
      </c>
      <c r="C81" s="1435" t="s">
        <v>3655</v>
      </c>
      <c r="D81" s="1436" t="s">
        <v>3656</v>
      </c>
      <c r="E81" s="1568"/>
      <c r="F81" s="1568"/>
      <c r="G81" s="1568"/>
      <c r="H81" s="1568"/>
      <c r="I81" s="1568"/>
      <c r="J81" s="1568"/>
      <c r="K81" s="1568"/>
      <c r="L81" s="1568"/>
      <c r="M81" s="1568"/>
      <c r="N81" s="1568"/>
      <c r="O81" s="1568"/>
      <c r="P81" s="1568"/>
      <c r="Q81" s="1568"/>
      <c r="R81" s="1568"/>
      <c r="S81" s="1568"/>
      <c r="T81" s="1568"/>
      <c r="U81" s="1568"/>
      <c r="V81" s="1568"/>
      <c r="W81" s="1568"/>
      <c r="X81" s="1568"/>
      <c r="Y81" s="1568"/>
      <c r="Z81" s="1568"/>
      <c r="AA81" s="1568"/>
      <c r="AB81" s="1568"/>
      <c r="AC81" s="1568"/>
      <c r="AD81" s="1568"/>
      <c r="AE81" s="1568"/>
      <c r="AF81" s="1568"/>
      <c r="AG81" s="1568"/>
      <c r="AH81" s="1568"/>
      <c r="AI81" s="1568"/>
      <c r="AJ81" s="1568"/>
      <c r="AK81" s="1568"/>
      <c r="AL81" s="1568"/>
      <c r="AM81" s="1568"/>
      <c r="AN81" s="1568"/>
      <c r="AO81" s="1568"/>
      <c r="AP81" s="1568"/>
      <c r="AQ81" s="1568"/>
      <c r="AR81" s="1568"/>
      <c r="AS81" s="1568"/>
      <c r="AT81" s="1568"/>
      <c r="AU81" s="1568"/>
      <c r="AV81" s="1568"/>
      <c r="AW81" s="1568"/>
      <c r="AX81" s="1568"/>
      <c r="AY81" s="1568"/>
      <c r="AZ81" s="1568"/>
      <c r="BA81" s="1568"/>
      <c r="BB81" s="1568"/>
      <c r="BC81" s="1568"/>
      <c r="BD81" s="1568"/>
      <c r="BE81" s="1568"/>
      <c r="BF81" s="1568"/>
      <c r="BG81" s="1568"/>
      <c r="BH81" s="1568"/>
      <c r="BI81" s="1568"/>
      <c r="BJ81" s="1568"/>
      <c r="BK81" s="1568"/>
      <c r="BL81" s="1568"/>
      <c r="BM81" s="1568"/>
      <c r="BN81" s="1568"/>
      <c r="BO81" s="1568"/>
      <c r="BP81" s="1568"/>
      <c r="BQ81" s="1568"/>
      <c r="BR81" s="1568"/>
      <c r="BS81" s="1568"/>
      <c r="BT81" s="1568"/>
      <c r="BU81" s="1568"/>
      <c r="BV81" s="1568"/>
      <c r="BW81" s="1568"/>
      <c r="BX81" s="1568"/>
      <c r="BY81" s="1568"/>
      <c r="BZ81" s="1568"/>
      <c r="CA81" s="1568"/>
      <c r="CB81" s="1568"/>
      <c r="CC81" s="1568"/>
      <c r="CD81" s="1568"/>
      <c r="CE81" s="1568"/>
      <c r="CF81" s="1568"/>
      <c r="CG81" s="1568"/>
      <c r="CH81" s="1568"/>
      <c r="CI81" s="1568"/>
      <c r="CJ81" s="1568"/>
      <c r="CK81" s="1568"/>
      <c r="CL81" s="1568"/>
      <c r="CM81" s="1568"/>
      <c r="CN81" s="1568"/>
      <c r="CO81" s="1568"/>
      <c r="CP81" s="1568"/>
      <c r="CQ81" s="1568"/>
      <c r="CR81" s="1568"/>
      <c r="CS81" s="1568"/>
      <c r="CT81" s="1568"/>
      <c r="CU81" s="1568"/>
      <c r="CV81" s="1568"/>
      <c r="CW81" s="1568"/>
      <c r="CX81" s="1568"/>
      <c r="CY81" s="1568"/>
      <c r="CZ81" s="1569">
        <v>-2725</v>
      </c>
      <c r="DA81" s="1569">
        <v>-2725</v>
      </c>
      <c r="DB81" s="1568"/>
      <c r="DC81" s="1568"/>
      <c r="DD81" s="1568"/>
      <c r="DE81" s="1568"/>
      <c r="DF81" s="1568"/>
      <c r="DG81" s="1568"/>
      <c r="DH81" s="1568"/>
      <c r="DI81" s="1568"/>
      <c r="DJ81" s="1568"/>
      <c r="DK81" s="1568"/>
      <c r="DL81" s="1568"/>
      <c r="DM81" s="1568"/>
      <c r="DN81" s="1568"/>
      <c r="DO81" s="1568"/>
      <c r="DP81" s="1568"/>
      <c r="DQ81" s="1568"/>
      <c r="DR81" s="1568"/>
      <c r="DS81" s="1568"/>
      <c r="DT81" s="1568"/>
      <c r="DU81" s="1568"/>
      <c r="DV81" s="1568"/>
      <c r="DW81" s="1568"/>
      <c r="DX81" s="1568"/>
      <c r="DY81" s="1568"/>
      <c r="DZ81" s="1568"/>
      <c r="EA81" s="1568"/>
      <c r="EB81" s="1568"/>
      <c r="EC81" s="1568"/>
      <c r="ED81" s="1568"/>
      <c r="EE81" s="1568"/>
      <c r="EF81" s="1568"/>
      <c r="EG81" s="1568"/>
      <c r="EH81" s="1568"/>
      <c r="EI81" s="1568"/>
      <c r="EJ81" s="1568"/>
      <c r="EK81" s="1568"/>
      <c r="EL81" s="1568"/>
      <c r="EM81" s="1568"/>
      <c r="EN81" s="1568"/>
      <c r="EO81" s="1568"/>
      <c r="EP81" s="1568"/>
      <c r="EQ81" s="1568"/>
      <c r="ER81" s="1568"/>
      <c r="ES81" s="1568"/>
      <c r="ET81" s="1568"/>
      <c r="EU81" s="1568"/>
      <c r="EV81" s="1568"/>
      <c r="EW81" s="1568"/>
      <c r="EX81" s="1568"/>
      <c r="EY81" s="1568"/>
      <c r="EZ81" s="1568"/>
      <c r="FA81" s="1568"/>
      <c r="FB81" s="1568"/>
      <c r="FC81" s="1568"/>
      <c r="FD81" s="1568"/>
      <c r="FE81" s="1568"/>
      <c r="FF81" s="1568"/>
      <c r="FG81" s="1568"/>
      <c r="FH81" s="1568"/>
      <c r="FI81" s="1568"/>
      <c r="FJ81" s="1568"/>
      <c r="FK81" s="1569">
        <v>-2725</v>
      </c>
      <c r="FL81" s="1568"/>
      <c r="FM81" s="1568"/>
      <c r="FN81" s="1568"/>
      <c r="FO81" s="1568"/>
      <c r="FP81" s="1568"/>
      <c r="FQ81" s="1568"/>
      <c r="FR81" s="1568"/>
      <c r="FS81" s="1568"/>
      <c r="FT81" s="1568"/>
      <c r="FU81" s="1568"/>
      <c r="FV81" s="1568"/>
      <c r="FW81" s="1568"/>
      <c r="FX81" s="1568"/>
      <c r="FY81" s="1568"/>
      <c r="FZ81" s="1568"/>
      <c r="GA81" s="1568"/>
      <c r="GB81" s="1568"/>
      <c r="GC81" s="1568"/>
      <c r="GD81" s="1568"/>
      <c r="GE81" s="1568"/>
      <c r="GF81" s="1568"/>
      <c r="GG81" s="1568"/>
      <c r="GH81" s="1568"/>
      <c r="GI81" s="1568"/>
      <c r="GJ81" s="1568"/>
      <c r="GK81" s="1568"/>
      <c r="GL81" s="1568"/>
      <c r="GM81" s="1568"/>
      <c r="GN81" s="1568"/>
      <c r="GO81" s="1568"/>
      <c r="GP81" s="1568"/>
      <c r="GQ81" s="1568"/>
      <c r="GR81" s="1568"/>
      <c r="GS81" s="1568"/>
      <c r="GT81" s="1568"/>
      <c r="GU81" s="1568"/>
      <c r="GV81" s="1568"/>
      <c r="GW81" s="1568"/>
      <c r="GX81" s="1568"/>
      <c r="GY81" s="1568"/>
      <c r="GZ81" s="1568"/>
      <c r="HA81" s="1568"/>
      <c r="HB81" s="1568"/>
      <c r="HC81" s="1568"/>
      <c r="HD81" s="1568"/>
      <c r="HE81" s="1568"/>
      <c r="HF81" s="1568"/>
      <c r="HG81" s="1568"/>
      <c r="HH81" s="1568"/>
      <c r="HI81" s="1568"/>
      <c r="HJ81" s="1568"/>
      <c r="HK81" s="1568"/>
      <c r="HL81" s="1568"/>
      <c r="HM81" s="1568"/>
      <c r="HN81" s="1568"/>
      <c r="HO81" s="1568"/>
      <c r="HP81" s="1568"/>
      <c r="HQ81" s="1568"/>
      <c r="HR81" s="1568"/>
      <c r="HS81" s="1568"/>
      <c r="HT81" s="1568"/>
      <c r="HU81" s="1568"/>
      <c r="HV81" s="1568"/>
      <c r="HW81" s="1568"/>
      <c r="HX81" s="1568"/>
      <c r="HY81" s="1568"/>
      <c r="HZ81" s="1568"/>
      <c r="IA81" s="1568"/>
      <c r="IB81" s="1568"/>
      <c r="IC81" s="1568"/>
      <c r="ID81" s="1568"/>
      <c r="IE81" s="1568"/>
      <c r="IF81" s="1568"/>
      <c r="IG81" s="1568"/>
      <c r="IH81" s="1568"/>
      <c r="II81" s="1568"/>
      <c r="IJ81" s="1568"/>
      <c r="IK81" s="1568"/>
      <c r="IL81" s="1568"/>
      <c r="IM81" s="1568"/>
      <c r="IN81" s="1568"/>
      <c r="IO81" s="1568"/>
      <c r="IP81" s="1568"/>
      <c r="IQ81" s="1584"/>
      <c r="IR81" s="1568"/>
      <c r="IS81" s="1568"/>
      <c r="IT81" s="1584"/>
      <c r="IU81" s="1568"/>
      <c r="IV81" s="1568"/>
      <c r="IW81" s="1568"/>
      <c r="IX81" s="1568"/>
      <c r="IY81" s="1568"/>
      <c r="IZ81" s="1568"/>
      <c r="JA81" s="1568"/>
      <c r="JB81" s="1568"/>
      <c r="JC81" s="1568"/>
      <c r="JD81" s="1568"/>
      <c r="JE81" s="1568"/>
      <c r="JF81" s="1568"/>
      <c r="JG81" s="1568"/>
      <c r="JH81" s="1568"/>
      <c r="JI81" s="1584"/>
      <c r="JJ81" s="1568"/>
      <c r="JK81" s="1584"/>
      <c r="JL81" s="1584"/>
      <c r="JM81" s="1584"/>
      <c r="JN81" s="1568"/>
      <c r="JO81" s="1584"/>
      <c r="JP81" s="1584"/>
      <c r="JQ81" s="1585"/>
      <c r="JR81" s="351"/>
      <c r="JS81" s="1400"/>
      <c r="JT81" s="450" t="s">
        <v>2253</v>
      </c>
    </row>
    <row r="82" spans="1:280" ht="20" x14ac:dyDescent="0.25">
      <c r="A82" s="1367">
        <v>52</v>
      </c>
      <c r="B82" s="1574" t="str">
        <f t="shared" si="33"/>
        <v/>
      </c>
      <c r="C82" s="1435" t="s">
        <v>3657</v>
      </c>
      <c r="D82" s="1436" t="s">
        <v>3658</v>
      </c>
      <c r="E82" s="1568"/>
      <c r="F82" s="1568"/>
      <c r="G82" s="1568"/>
      <c r="H82" s="1568"/>
      <c r="I82" s="1568"/>
      <c r="J82" s="1568"/>
      <c r="K82" s="1568"/>
      <c r="L82" s="1568"/>
      <c r="M82" s="1568"/>
      <c r="N82" s="1568"/>
      <c r="O82" s="1568"/>
      <c r="P82" s="1568"/>
      <c r="Q82" s="1568"/>
      <c r="R82" s="1568"/>
      <c r="S82" s="1568"/>
      <c r="T82" s="1568"/>
      <c r="U82" s="1568"/>
      <c r="V82" s="1568"/>
      <c r="W82" s="1568"/>
      <c r="X82" s="1568"/>
      <c r="Y82" s="1568"/>
      <c r="Z82" s="1568"/>
      <c r="AA82" s="1568"/>
      <c r="AB82" s="1568"/>
      <c r="AC82" s="1568"/>
      <c r="AD82" s="1568"/>
      <c r="AE82" s="1568"/>
      <c r="AF82" s="1568"/>
      <c r="AG82" s="1568"/>
      <c r="AH82" s="1568"/>
      <c r="AI82" s="1568"/>
      <c r="AJ82" s="1568"/>
      <c r="AK82" s="1568"/>
      <c r="AL82" s="1568"/>
      <c r="AM82" s="1568"/>
      <c r="AN82" s="1568"/>
      <c r="AO82" s="1568"/>
      <c r="AP82" s="1568"/>
      <c r="AQ82" s="1568"/>
      <c r="AR82" s="1568"/>
      <c r="AS82" s="1568"/>
      <c r="AT82" s="1568"/>
      <c r="AU82" s="1568"/>
      <c r="AV82" s="1568"/>
      <c r="AW82" s="1568"/>
      <c r="AX82" s="1568"/>
      <c r="AY82" s="1568"/>
      <c r="AZ82" s="1568"/>
      <c r="BA82" s="1568"/>
      <c r="BB82" s="1568"/>
      <c r="BC82" s="1568"/>
      <c r="BD82" s="1568"/>
      <c r="BE82" s="1568"/>
      <c r="BF82" s="1568"/>
      <c r="BG82" s="1568"/>
      <c r="BH82" s="1568"/>
      <c r="BI82" s="1568"/>
      <c r="BJ82" s="1568"/>
      <c r="BK82" s="1568"/>
      <c r="BL82" s="1568"/>
      <c r="BM82" s="1568"/>
      <c r="BN82" s="1568"/>
      <c r="BO82" s="1568"/>
      <c r="BP82" s="1568"/>
      <c r="BQ82" s="1568"/>
      <c r="BR82" s="1568"/>
      <c r="BS82" s="1568"/>
      <c r="BT82" s="1568"/>
      <c r="BU82" s="1568"/>
      <c r="BV82" s="1568"/>
      <c r="BW82" s="1568"/>
      <c r="BX82" s="1568"/>
      <c r="BY82" s="1568"/>
      <c r="BZ82" s="1568"/>
      <c r="CA82" s="1568"/>
      <c r="CB82" s="1568"/>
      <c r="CC82" s="1568"/>
      <c r="CD82" s="1568"/>
      <c r="CE82" s="1568"/>
      <c r="CF82" s="1568"/>
      <c r="CG82" s="1568"/>
      <c r="CH82" s="1568"/>
      <c r="CI82" s="1568"/>
      <c r="CJ82" s="1568"/>
      <c r="CK82" s="1568"/>
      <c r="CL82" s="1568"/>
      <c r="CM82" s="1568"/>
      <c r="CN82" s="1568"/>
      <c r="CO82" s="1568"/>
      <c r="CP82" s="1568"/>
      <c r="CQ82" s="1568"/>
      <c r="CR82" s="1568"/>
      <c r="CS82" s="1568"/>
      <c r="CT82" s="1568"/>
      <c r="CU82" s="1568"/>
      <c r="CV82" s="1568"/>
      <c r="CW82" s="1568"/>
      <c r="CX82" s="1568"/>
      <c r="CY82" s="1568">
        <v>9225</v>
      </c>
      <c r="CZ82" s="1568">
        <v>1122</v>
      </c>
      <c r="DA82" s="1568">
        <v>1122</v>
      </c>
      <c r="DB82" s="1568"/>
      <c r="DC82" s="1568"/>
      <c r="DD82" s="1568"/>
      <c r="DE82" s="1568"/>
      <c r="DF82" s="1568"/>
      <c r="DG82" s="1568"/>
      <c r="DH82" s="1568"/>
      <c r="DI82" s="1568"/>
      <c r="DJ82" s="1568"/>
      <c r="DK82" s="1568"/>
      <c r="DL82" s="1568"/>
      <c r="DM82" s="1568">
        <v>9225</v>
      </c>
      <c r="DN82" s="1568"/>
      <c r="DO82" s="1568"/>
      <c r="DP82" s="1568"/>
      <c r="DQ82" s="1568"/>
      <c r="DR82" s="1568"/>
      <c r="DS82" s="1568"/>
      <c r="DT82" s="1568"/>
      <c r="DU82" s="1568"/>
      <c r="DV82" s="1568"/>
      <c r="DW82" s="1568"/>
      <c r="DX82" s="1568"/>
      <c r="DY82" s="1568"/>
      <c r="DZ82" s="1568"/>
      <c r="EA82" s="1568"/>
      <c r="EB82" s="1568"/>
      <c r="EC82" s="1568"/>
      <c r="ED82" s="1568"/>
      <c r="EE82" s="1568"/>
      <c r="EF82" s="1568"/>
      <c r="EG82" s="1568"/>
      <c r="EH82" s="1568"/>
      <c r="EI82" s="1568">
        <v>20</v>
      </c>
      <c r="EJ82" s="1568"/>
      <c r="EK82" s="1568"/>
      <c r="EL82" s="1568"/>
      <c r="EM82" s="1568"/>
      <c r="EN82" s="1568"/>
      <c r="EO82" s="1568"/>
      <c r="EP82" s="1568"/>
      <c r="EQ82" s="1568"/>
      <c r="ER82" s="1568"/>
      <c r="ES82" s="1568"/>
      <c r="ET82" s="1568"/>
      <c r="EU82" s="1568"/>
      <c r="EV82" s="1568"/>
      <c r="EW82" s="1568"/>
      <c r="EX82" s="1568"/>
      <c r="EY82" s="1568"/>
      <c r="EZ82" s="1568"/>
      <c r="FA82" s="1568">
        <v>9225</v>
      </c>
      <c r="FB82" s="1568"/>
      <c r="FC82" s="1568"/>
      <c r="FD82" s="1568"/>
      <c r="FE82" s="1568"/>
      <c r="FF82" s="1568"/>
      <c r="FG82" s="1568"/>
      <c r="FH82" s="1568"/>
      <c r="FI82" s="1568"/>
      <c r="FJ82" s="1568"/>
      <c r="FK82" s="1568">
        <v>1122</v>
      </c>
      <c r="FL82" s="1568"/>
      <c r="FM82" s="1568"/>
      <c r="FN82" s="1568"/>
      <c r="FO82" s="1568"/>
      <c r="FP82" s="1568"/>
      <c r="FQ82" s="1568"/>
      <c r="FR82" s="1568"/>
      <c r="FS82" s="1568"/>
      <c r="FT82" s="1568"/>
      <c r="FU82" s="1568"/>
      <c r="FV82" s="1568"/>
      <c r="FW82" s="1568"/>
      <c r="FX82" s="1568"/>
      <c r="FY82" s="1568"/>
      <c r="FZ82" s="1568"/>
      <c r="GA82" s="1568"/>
      <c r="GB82" s="1568"/>
      <c r="GC82" s="1568"/>
      <c r="GD82" s="1568"/>
      <c r="GE82" s="1568"/>
      <c r="GF82" s="1568"/>
      <c r="GG82" s="1568"/>
      <c r="GH82" s="1568"/>
      <c r="GI82" s="1568"/>
      <c r="GJ82" s="1568"/>
      <c r="GK82" s="1568"/>
      <c r="GL82" s="1568"/>
      <c r="GM82" s="1568"/>
      <c r="GN82" s="1568"/>
      <c r="GO82" s="1568"/>
      <c r="GP82" s="1568"/>
      <c r="GQ82" s="1568"/>
      <c r="GR82" s="1568"/>
      <c r="GS82" s="1568"/>
      <c r="GT82" s="1568"/>
      <c r="GU82" s="1568"/>
      <c r="GV82" s="1568"/>
      <c r="GW82" s="1568"/>
      <c r="GX82" s="1568"/>
      <c r="GY82" s="1568">
        <v>20</v>
      </c>
      <c r="GZ82" s="1568"/>
      <c r="HA82" s="1568"/>
      <c r="HB82" s="1568"/>
      <c r="HC82" s="1568"/>
      <c r="HD82" s="1568"/>
      <c r="HE82" s="1568"/>
      <c r="HF82" s="1568"/>
      <c r="HG82" s="1568"/>
      <c r="HH82" s="1568"/>
      <c r="HI82" s="1568"/>
      <c r="HJ82" s="1568"/>
      <c r="HK82" s="1568"/>
      <c r="HL82" s="1568"/>
      <c r="HM82" s="1568"/>
      <c r="HN82" s="1568"/>
      <c r="HO82" s="1568"/>
      <c r="HP82" s="1568"/>
      <c r="HQ82" s="1568"/>
      <c r="HR82" s="1568"/>
      <c r="HS82" s="1568"/>
      <c r="HT82" s="1568"/>
      <c r="HU82" s="1568"/>
      <c r="HV82" s="1568"/>
      <c r="HW82" s="1568"/>
      <c r="HX82" s="1568"/>
      <c r="HY82" s="1568"/>
      <c r="HZ82" s="1568"/>
      <c r="IA82" s="1568"/>
      <c r="IB82" s="1568"/>
      <c r="IC82" s="1568"/>
      <c r="ID82" s="1568"/>
      <c r="IE82" s="1568"/>
      <c r="IF82" s="1568"/>
      <c r="IG82" s="1568"/>
      <c r="IH82" s="1568"/>
      <c r="II82" s="1568"/>
      <c r="IJ82" s="1568"/>
      <c r="IK82" s="1568"/>
      <c r="IL82" s="1568"/>
      <c r="IM82" s="1568"/>
      <c r="IN82" s="1568"/>
      <c r="IO82" s="1568"/>
      <c r="IP82" s="1568"/>
      <c r="IQ82" s="1584"/>
      <c r="IR82" s="1568"/>
      <c r="IS82" s="1568"/>
      <c r="IT82" s="1584"/>
      <c r="IU82" s="1568"/>
      <c r="IV82" s="1568"/>
      <c r="IW82" s="1568"/>
      <c r="IX82" s="1568"/>
      <c r="IY82" s="1568"/>
      <c r="IZ82" s="1568"/>
      <c r="JA82" s="1568"/>
      <c r="JB82" s="1568"/>
      <c r="JC82" s="1568"/>
      <c r="JD82" s="1568"/>
      <c r="JE82" s="1568"/>
      <c r="JF82" s="1568"/>
      <c r="JG82" s="1568"/>
      <c r="JH82" s="1568"/>
      <c r="JI82" s="1584"/>
      <c r="JJ82" s="1568"/>
      <c r="JK82" s="1584"/>
      <c r="JL82" s="1584"/>
      <c r="JM82" s="1584"/>
      <c r="JN82" s="1568"/>
      <c r="JO82" s="1584"/>
      <c r="JP82" s="1584"/>
      <c r="JQ82" s="1585"/>
      <c r="JR82" s="351"/>
      <c r="JS82" s="1400" t="s">
        <v>3659</v>
      </c>
      <c r="JT82" s="450" t="s">
        <v>2347</v>
      </c>
    </row>
    <row r="83" spans="1:280" ht="20" x14ac:dyDescent="0.25">
      <c r="A83" s="1367">
        <v>53</v>
      </c>
      <c r="B83" s="1574" t="str">
        <f t="shared" si="33"/>
        <v/>
      </c>
      <c r="C83" s="1435" t="s">
        <v>3660</v>
      </c>
      <c r="D83" s="1436" t="s">
        <v>3661</v>
      </c>
      <c r="E83" s="1563"/>
      <c r="F83" s="1563"/>
      <c r="G83" s="1563"/>
      <c r="H83" s="1563"/>
      <c r="I83" s="1563"/>
      <c r="J83" s="1563"/>
      <c r="K83" s="1563"/>
      <c r="L83" s="1563"/>
      <c r="M83" s="1563"/>
      <c r="N83" s="1563"/>
      <c r="O83" s="1563"/>
      <c r="P83" s="1563"/>
      <c r="Q83" s="1563"/>
      <c r="R83" s="1563"/>
      <c r="S83" s="1563"/>
      <c r="T83" s="1563"/>
      <c r="U83" s="1563"/>
      <c r="V83" s="1563"/>
      <c r="W83" s="1563"/>
      <c r="X83" s="1563"/>
      <c r="Y83" s="1563"/>
      <c r="Z83" s="1563"/>
      <c r="AA83" s="1563"/>
      <c r="AB83" s="1563"/>
      <c r="AC83" s="1563"/>
      <c r="AD83" s="1563"/>
      <c r="AE83" s="1563"/>
      <c r="AF83" s="1563"/>
      <c r="AG83" s="1563"/>
      <c r="AH83" s="1563"/>
      <c r="AI83" s="1563"/>
      <c r="AJ83" s="1563"/>
      <c r="AK83" s="1563"/>
      <c r="AL83" s="1563"/>
      <c r="AM83" s="1563"/>
      <c r="AN83" s="1563"/>
      <c r="AO83" s="1563"/>
      <c r="AP83" s="1563"/>
      <c r="AQ83" s="1563"/>
      <c r="AR83" s="1563"/>
      <c r="AS83" s="1563"/>
      <c r="AT83" s="1563"/>
      <c r="AU83" s="1563"/>
      <c r="AV83" s="1563"/>
      <c r="AW83" s="1563"/>
      <c r="AX83" s="1563"/>
      <c r="AY83" s="1563"/>
      <c r="AZ83" s="1563"/>
      <c r="BA83" s="1563"/>
      <c r="BB83" s="1563"/>
      <c r="BC83" s="1563"/>
      <c r="BD83" s="1563"/>
      <c r="BE83" s="1563"/>
      <c r="BF83" s="1563"/>
      <c r="BG83" s="1563"/>
      <c r="BH83" s="1563"/>
      <c r="BI83" s="1563"/>
      <c r="BJ83" s="1563"/>
      <c r="BK83" s="1563"/>
      <c r="BL83" s="1563"/>
      <c r="BM83" s="1563"/>
      <c r="BN83" s="1563"/>
      <c r="BO83" s="1563"/>
      <c r="BP83" s="1563"/>
      <c r="BQ83" s="1563"/>
      <c r="BR83" s="1563"/>
      <c r="BS83" s="1563"/>
      <c r="BT83" s="1563"/>
      <c r="BU83" s="1563"/>
      <c r="BV83" s="1563"/>
      <c r="BW83" s="1563"/>
      <c r="BX83" s="1563"/>
      <c r="BY83" s="1563"/>
      <c r="BZ83" s="1563"/>
      <c r="CA83" s="1563"/>
      <c r="CB83" s="1563"/>
      <c r="CC83" s="1563"/>
      <c r="CD83" s="1563"/>
      <c r="CE83" s="1563">
        <v>2035</v>
      </c>
      <c r="CF83" s="1563"/>
      <c r="CG83" s="1563"/>
      <c r="CH83" s="1563">
        <v>58166</v>
      </c>
      <c r="CI83" s="1563"/>
      <c r="CJ83" s="1563"/>
      <c r="CK83" s="1563"/>
      <c r="CL83" s="1563"/>
      <c r="CM83" s="1563"/>
      <c r="CN83" s="1563"/>
      <c r="CO83" s="1563"/>
      <c r="CP83" s="1563"/>
      <c r="CQ83" s="1563"/>
      <c r="CR83" s="1563"/>
      <c r="CS83" s="1563"/>
      <c r="CT83" s="1563"/>
      <c r="CU83" s="1563"/>
      <c r="CV83" s="1563"/>
      <c r="CW83" s="1563"/>
      <c r="CX83" s="1563"/>
      <c r="CY83" s="1563">
        <f>MAX(0,CY80+CY81-CY82)</f>
        <v>7345</v>
      </c>
      <c r="CZ83" s="1563">
        <f>MAX(0,CZ80+CZ81-CZ82)</f>
        <v>9778</v>
      </c>
      <c r="DA83" s="1563">
        <f>MAX(0,DA80+DA81-DA82)</f>
        <v>9778</v>
      </c>
      <c r="DB83" s="1563"/>
      <c r="DC83" s="1563"/>
      <c r="DD83" s="1563"/>
      <c r="DE83" s="1563"/>
      <c r="DF83" s="1563"/>
      <c r="DG83" s="1563"/>
      <c r="DH83" s="1563"/>
      <c r="DI83" s="1563"/>
      <c r="DJ83" s="1563"/>
      <c r="DK83" s="1563"/>
      <c r="DL83" s="1563"/>
      <c r="DM83" s="1563">
        <f>MAX(0,DM80+DM81-DM82)</f>
        <v>7345</v>
      </c>
      <c r="DN83" s="1563"/>
      <c r="DO83" s="1563"/>
      <c r="DP83" s="1563"/>
      <c r="DQ83" s="1563"/>
      <c r="DR83" s="1563"/>
      <c r="DS83" s="1563"/>
      <c r="DT83" s="1563"/>
      <c r="DU83" s="1563"/>
      <c r="DV83" s="1563"/>
      <c r="DW83" s="1563"/>
      <c r="DX83" s="1563"/>
      <c r="DY83" s="1563"/>
      <c r="DZ83" s="1563"/>
      <c r="EA83" s="1563"/>
      <c r="EB83" s="1563"/>
      <c r="EC83" s="1563"/>
      <c r="ED83" s="1563"/>
      <c r="EE83" s="1563"/>
      <c r="EF83" s="1563"/>
      <c r="EG83" s="1563"/>
      <c r="EH83" s="1563"/>
      <c r="EI83" s="1563">
        <f>MAX(0,EI80+EI81-EI82)</f>
        <v>1569</v>
      </c>
      <c r="EJ83" s="1563"/>
      <c r="EK83" s="1563"/>
      <c r="EL83" s="1563"/>
      <c r="EM83" s="1563"/>
      <c r="EN83" s="1563"/>
      <c r="EO83" s="1563"/>
      <c r="EP83" s="1563"/>
      <c r="EQ83" s="1563"/>
      <c r="ER83" s="1563"/>
      <c r="ES83" s="1563"/>
      <c r="ET83" s="1563"/>
      <c r="EU83" s="1563"/>
      <c r="EV83" s="1563"/>
      <c r="EW83" s="1563"/>
      <c r="EX83" s="1563"/>
      <c r="EY83" s="1563"/>
      <c r="EZ83" s="1563"/>
      <c r="FA83" s="1563">
        <f>MAX(0,FA80+FA81-FA82)</f>
        <v>7345</v>
      </c>
      <c r="FB83" s="1563"/>
      <c r="FC83" s="1563"/>
      <c r="FD83" s="1572">
        <f t="shared" ref="FD83:FJ83" si="34">MAX(0,FD80+FD81-FD82)</f>
        <v>1190</v>
      </c>
      <c r="FE83" s="1563">
        <f t="shared" si="34"/>
        <v>0</v>
      </c>
      <c r="FF83" s="1563">
        <f t="shared" si="34"/>
        <v>0</v>
      </c>
      <c r="FG83" s="1563">
        <f t="shared" si="34"/>
        <v>0</v>
      </c>
      <c r="FH83" s="1572">
        <f t="shared" si="34"/>
        <v>1190</v>
      </c>
      <c r="FI83" s="1563">
        <f t="shared" si="34"/>
        <v>0</v>
      </c>
      <c r="FJ83" s="1563">
        <f t="shared" si="34"/>
        <v>0</v>
      </c>
      <c r="FK83" s="1563">
        <f>MAX(0,FK80+FK81-FK82)</f>
        <v>9778</v>
      </c>
      <c r="FL83" s="1563"/>
      <c r="FM83" s="1563"/>
      <c r="FN83" s="1563"/>
      <c r="FO83" s="1563"/>
      <c r="FP83" s="1563"/>
      <c r="FQ83" s="1563"/>
      <c r="FR83" s="1563"/>
      <c r="FS83" s="1563"/>
      <c r="FT83" s="1563"/>
      <c r="FU83" s="1563"/>
      <c r="FV83" s="1563"/>
      <c r="FW83" s="1563"/>
      <c r="FX83" s="1563"/>
      <c r="FY83" s="1563"/>
      <c r="FZ83" s="1563"/>
      <c r="GA83" s="1563"/>
      <c r="GB83" s="1563"/>
      <c r="GC83" s="1563"/>
      <c r="GD83" s="1563"/>
      <c r="GE83" s="1563"/>
      <c r="GF83" s="1563"/>
      <c r="GG83" s="1563"/>
      <c r="GH83" s="1563"/>
      <c r="GI83" s="1563"/>
      <c r="GJ83" s="1563"/>
      <c r="GK83" s="1563"/>
      <c r="GL83" s="1563"/>
      <c r="GM83" s="1563"/>
      <c r="GN83" s="1563"/>
      <c r="GO83" s="1563"/>
      <c r="GP83" s="1563"/>
      <c r="GQ83" s="1563"/>
      <c r="GR83" s="1563"/>
      <c r="GS83" s="1563"/>
      <c r="GT83" s="1563"/>
      <c r="GU83" s="1563"/>
      <c r="GV83" s="1563"/>
      <c r="GW83" s="1563"/>
      <c r="GX83" s="1563"/>
      <c r="GY83" s="1563">
        <f>MAX(0,GY80+GY81-GY82)</f>
        <v>1569</v>
      </c>
      <c r="GZ83" s="1563"/>
      <c r="HA83" s="1563"/>
      <c r="HB83" s="1563"/>
      <c r="HC83" s="1563"/>
      <c r="HD83" s="1563"/>
      <c r="HE83" s="1563"/>
      <c r="HF83" s="1563"/>
      <c r="HG83" s="1563"/>
      <c r="HH83" s="1563"/>
      <c r="HI83" s="1563"/>
      <c r="HJ83" s="1563"/>
      <c r="HK83" s="1563"/>
      <c r="HL83" s="1563"/>
      <c r="HM83" s="1563"/>
      <c r="HN83" s="1563"/>
      <c r="HO83" s="1563"/>
      <c r="HP83" s="1563"/>
      <c r="HQ83" s="1563"/>
      <c r="HR83" s="1563"/>
      <c r="HS83" s="1563"/>
      <c r="HT83" s="1563"/>
      <c r="HU83" s="1563"/>
      <c r="HV83" s="1563"/>
      <c r="HW83" s="1563"/>
      <c r="HX83" s="1563"/>
      <c r="HY83" s="1563"/>
      <c r="HZ83" s="1563"/>
      <c r="IA83" s="1563"/>
      <c r="IB83" s="1563"/>
      <c r="IC83" s="1563"/>
      <c r="ID83" s="1563"/>
      <c r="IE83" s="1563"/>
      <c r="IF83" s="1563"/>
      <c r="IG83" s="1563"/>
      <c r="IH83" s="1563"/>
      <c r="II83" s="1563"/>
      <c r="IJ83" s="1563"/>
      <c r="IK83" s="1563"/>
      <c r="IL83" s="1563"/>
      <c r="IM83" s="1563"/>
      <c r="IN83" s="1563"/>
      <c r="IO83" s="1563"/>
      <c r="IP83" s="1563"/>
      <c r="IQ83" s="1563"/>
      <c r="IR83" s="1563"/>
      <c r="IS83" s="1563"/>
      <c r="IT83" s="1563"/>
      <c r="IU83" s="1563"/>
      <c r="IV83" s="1563"/>
      <c r="IW83" s="1563"/>
      <c r="IX83" s="1563"/>
      <c r="IY83" s="1563"/>
      <c r="IZ83" s="1563"/>
      <c r="JA83" s="1563"/>
      <c r="JB83" s="1563"/>
      <c r="JC83" s="1563"/>
      <c r="JD83" s="1563"/>
      <c r="JE83" s="1563"/>
      <c r="JF83" s="1563"/>
      <c r="JG83" s="1563"/>
      <c r="JH83" s="1563"/>
      <c r="JI83" s="1563"/>
      <c r="JJ83" s="1563"/>
      <c r="JK83" s="1563"/>
      <c r="JL83" s="1563"/>
      <c r="JM83" s="1563"/>
      <c r="JN83" s="1563"/>
      <c r="JO83" s="1563"/>
      <c r="JP83" s="1563"/>
      <c r="JQ83" s="1563"/>
      <c r="JR83" s="351"/>
      <c r="JS83" s="1400" t="s">
        <v>3662</v>
      </c>
      <c r="JT83" s="450" t="s">
        <v>2224</v>
      </c>
    </row>
    <row r="84" spans="1:280" ht="12.5" x14ac:dyDescent="0.25">
      <c r="A84" s="1367">
        <v>54</v>
      </c>
      <c r="B84" s="1574" t="str">
        <f t="shared" si="33"/>
        <v/>
      </c>
      <c r="C84" s="1435" t="s">
        <v>3663</v>
      </c>
      <c r="D84" s="1436" t="s">
        <v>3664</v>
      </c>
      <c r="E84" s="1568"/>
      <c r="F84" s="1568"/>
      <c r="G84" s="1568"/>
      <c r="H84" s="1568"/>
      <c r="I84" s="1568"/>
      <c r="J84" s="1568"/>
      <c r="K84" s="1568"/>
      <c r="L84" s="1568"/>
      <c r="M84" s="1568"/>
      <c r="N84" s="1568"/>
      <c r="O84" s="1568"/>
      <c r="P84" s="1568"/>
      <c r="Q84" s="1568"/>
      <c r="R84" s="1568"/>
      <c r="S84" s="1568"/>
      <c r="T84" s="1568"/>
      <c r="U84" s="1568"/>
      <c r="V84" s="1568"/>
      <c r="W84" s="1568"/>
      <c r="X84" s="1568"/>
      <c r="Y84" s="1568"/>
      <c r="Z84" s="1568"/>
      <c r="AA84" s="1568"/>
      <c r="AB84" s="1568"/>
      <c r="AC84" s="1568"/>
      <c r="AD84" s="1568"/>
      <c r="AE84" s="1568"/>
      <c r="AF84" s="1568"/>
      <c r="AG84" s="1568"/>
      <c r="AH84" s="1568"/>
      <c r="AI84" s="1568"/>
      <c r="AJ84" s="1568"/>
      <c r="AK84" s="1568"/>
      <c r="AL84" s="1568"/>
      <c r="AM84" s="1568"/>
      <c r="AN84" s="1568"/>
      <c r="AO84" s="1568"/>
      <c r="AP84" s="1568"/>
      <c r="AQ84" s="1568"/>
      <c r="AR84" s="1568"/>
      <c r="AS84" s="1568"/>
      <c r="AT84" s="1568"/>
      <c r="AU84" s="1568"/>
      <c r="AV84" s="1568"/>
      <c r="AW84" s="1568"/>
      <c r="AX84" s="1568"/>
      <c r="AY84" s="1568"/>
      <c r="AZ84" s="1568"/>
      <c r="BA84" s="1568"/>
      <c r="BB84" s="1568"/>
      <c r="BC84" s="1568"/>
      <c r="BD84" s="1568"/>
      <c r="BE84" s="1568"/>
      <c r="BF84" s="1568"/>
      <c r="BG84" s="1568"/>
      <c r="BH84" s="1568"/>
      <c r="BI84" s="1568"/>
      <c r="BJ84" s="1568"/>
      <c r="BK84" s="1568"/>
      <c r="BL84" s="1568"/>
      <c r="BM84" s="1568"/>
      <c r="BN84" s="1568"/>
      <c r="BO84" s="1568"/>
      <c r="BP84" s="1568"/>
      <c r="BQ84" s="1568"/>
      <c r="BR84" s="1568"/>
      <c r="BS84" s="1568"/>
      <c r="BT84" s="1568"/>
      <c r="BU84" s="1568"/>
      <c r="BV84" s="1568"/>
      <c r="BW84" s="1568"/>
      <c r="BX84" s="1568"/>
      <c r="BY84" s="1568"/>
      <c r="BZ84" s="1568"/>
      <c r="CA84" s="1568"/>
      <c r="CB84" s="1568"/>
      <c r="CC84" s="1568"/>
      <c r="CD84" s="1568"/>
      <c r="CE84" s="1568"/>
      <c r="CF84" s="1568"/>
      <c r="CG84" s="1568"/>
      <c r="CH84" s="1568"/>
      <c r="CI84" s="1568"/>
      <c r="CJ84" s="1568"/>
      <c r="CK84" s="1568"/>
      <c r="CL84" s="1568"/>
      <c r="CM84" s="1568"/>
      <c r="CN84" s="1568"/>
      <c r="CO84" s="1568"/>
      <c r="CP84" s="1568"/>
      <c r="CQ84" s="1568"/>
      <c r="CR84" s="1568"/>
      <c r="CS84" s="1568"/>
      <c r="CT84" s="1568"/>
      <c r="CU84" s="1568"/>
      <c r="CV84" s="1568"/>
      <c r="CW84" s="1568"/>
      <c r="CX84" s="1568"/>
      <c r="CY84" s="1568"/>
      <c r="CZ84" s="1568"/>
      <c r="DA84" s="1568"/>
      <c r="DB84" s="1568"/>
      <c r="DC84" s="1568"/>
      <c r="DD84" s="1568"/>
      <c r="DE84" s="1568"/>
      <c r="DF84" s="1568"/>
      <c r="DG84" s="1568"/>
      <c r="DH84" s="1568"/>
      <c r="DI84" s="1568"/>
      <c r="DJ84" s="1568"/>
      <c r="DK84" s="1568"/>
      <c r="DL84" s="1568"/>
      <c r="DM84" s="1568"/>
      <c r="DN84" s="1568"/>
      <c r="DO84" s="1568"/>
      <c r="DP84" s="1568"/>
      <c r="DQ84" s="1568"/>
      <c r="DR84" s="1568"/>
      <c r="DS84" s="1568"/>
      <c r="DT84" s="1568"/>
      <c r="DU84" s="1568"/>
      <c r="DV84" s="1568"/>
      <c r="DW84" s="1568"/>
      <c r="DX84" s="1568"/>
      <c r="DY84" s="1568"/>
      <c r="DZ84" s="1568"/>
      <c r="EA84" s="1568"/>
      <c r="EB84" s="1568"/>
      <c r="EC84" s="1568"/>
      <c r="ED84" s="1568"/>
      <c r="EE84" s="1568"/>
      <c r="EF84" s="1568"/>
      <c r="EG84" s="1568"/>
      <c r="EH84" s="1568"/>
      <c r="EI84" s="1568"/>
      <c r="EJ84" s="1568"/>
      <c r="EK84" s="1568"/>
      <c r="EL84" s="1568"/>
      <c r="EM84" s="1568"/>
      <c r="EN84" s="1568"/>
      <c r="EO84" s="1568"/>
      <c r="EP84" s="1568"/>
      <c r="EQ84" s="1568"/>
      <c r="ER84" s="1568"/>
      <c r="ES84" s="1568"/>
      <c r="ET84" s="1568"/>
      <c r="EU84" s="1568"/>
      <c r="EV84" s="1568"/>
      <c r="EW84" s="1568"/>
      <c r="EX84" s="1568"/>
      <c r="EY84" s="1568"/>
      <c r="EZ84" s="1568"/>
      <c r="FA84" s="1568"/>
      <c r="FB84" s="1568"/>
      <c r="FC84" s="1568"/>
      <c r="FD84" s="1568"/>
      <c r="FE84" s="1568"/>
      <c r="FF84" s="1568"/>
      <c r="FG84" s="1568"/>
      <c r="FH84" s="1568"/>
      <c r="FI84" s="1568"/>
      <c r="FJ84" s="1568"/>
      <c r="FK84" s="1568"/>
      <c r="FL84" s="1568"/>
      <c r="FM84" s="1568"/>
      <c r="FN84" s="1568"/>
      <c r="FO84" s="1568"/>
      <c r="FP84" s="1568"/>
      <c r="FQ84" s="1568"/>
      <c r="FR84" s="1568"/>
      <c r="FS84" s="1568"/>
      <c r="FT84" s="1568"/>
      <c r="FU84" s="1568"/>
      <c r="FV84" s="1568"/>
      <c r="FW84" s="1568"/>
      <c r="FX84" s="1568"/>
      <c r="FY84" s="1568"/>
      <c r="FZ84" s="1568"/>
      <c r="GA84" s="1568"/>
      <c r="GB84" s="1568"/>
      <c r="GC84" s="1568"/>
      <c r="GD84" s="1568"/>
      <c r="GE84" s="1568"/>
      <c r="GF84" s="1568"/>
      <c r="GG84" s="1568"/>
      <c r="GH84" s="1568"/>
      <c r="GI84" s="1568"/>
      <c r="GJ84" s="1568"/>
      <c r="GK84" s="1568"/>
      <c r="GL84" s="1568"/>
      <c r="GM84" s="1568"/>
      <c r="GN84" s="1568"/>
      <c r="GO84" s="1568"/>
      <c r="GP84" s="1568"/>
      <c r="GQ84" s="1568"/>
      <c r="GR84" s="1568"/>
      <c r="GS84" s="1568"/>
      <c r="GT84" s="1568"/>
      <c r="GU84" s="1568"/>
      <c r="GV84" s="1568"/>
      <c r="GW84" s="1568"/>
      <c r="GX84" s="1568"/>
      <c r="GY84" s="1568"/>
      <c r="GZ84" s="1568"/>
      <c r="HA84" s="1568"/>
      <c r="HB84" s="1568"/>
      <c r="HC84" s="1568"/>
      <c r="HD84" s="1568"/>
      <c r="HE84" s="1568"/>
      <c r="HF84" s="1568"/>
      <c r="HG84" s="1568"/>
      <c r="HH84" s="1568"/>
      <c r="HI84" s="1568"/>
      <c r="HJ84" s="1568"/>
      <c r="HK84" s="1568"/>
      <c r="HL84" s="1568"/>
      <c r="HM84" s="1568"/>
      <c r="HN84" s="1568"/>
      <c r="HO84" s="1568"/>
      <c r="HP84" s="1568"/>
      <c r="HQ84" s="1568"/>
      <c r="HR84" s="1568"/>
      <c r="HS84" s="1568"/>
      <c r="HT84" s="1568"/>
      <c r="HU84" s="1568"/>
      <c r="HV84" s="1568"/>
      <c r="HW84" s="1568"/>
      <c r="HX84" s="1568"/>
      <c r="HY84" s="1568"/>
      <c r="HZ84" s="1568"/>
      <c r="IA84" s="1568"/>
      <c r="IB84" s="1568"/>
      <c r="IC84" s="1568"/>
      <c r="ID84" s="1568"/>
      <c r="IE84" s="1568"/>
      <c r="IF84" s="1568"/>
      <c r="IG84" s="1568"/>
      <c r="IH84" s="1568"/>
      <c r="II84" s="1568"/>
      <c r="IJ84" s="1568"/>
      <c r="IK84" s="1568"/>
      <c r="IL84" s="1568"/>
      <c r="IM84" s="1568"/>
      <c r="IN84" s="1568"/>
      <c r="IO84" s="1568"/>
      <c r="IP84" s="1568"/>
      <c r="IQ84" s="1584"/>
      <c r="IR84" s="1568"/>
      <c r="IS84" s="1568"/>
      <c r="IT84" s="1584"/>
      <c r="IU84" s="1568"/>
      <c r="IV84" s="1568"/>
      <c r="IW84" s="1568"/>
      <c r="IX84" s="1568"/>
      <c r="IY84" s="1568"/>
      <c r="IZ84" s="1568"/>
      <c r="JA84" s="1568"/>
      <c r="JB84" s="1568"/>
      <c r="JC84" s="1568"/>
      <c r="JD84" s="1568"/>
      <c r="JE84" s="1568"/>
      <c r="JF84" s="1568"/>
      <c r="JG84" s="1568"/>
      <c r="JH84" s="1568"/>
      <c r="JI84" s="1584"/>
      <c r="JJ84" s="1568"/>
      <c r="JK84" s="1584"/>
      <c r="JL84" s="1584"/>
      <c r="JM84" s="1584"/>
      <c r="JN84" s="1568"/>
      <c r="JO84" s="1584"/>
      <c r="JP84" s="1584"/>
      <c r="JQ84" s="1585"/>
      <c r="JR84" s="351"/>
      <c r="JS84" s="1400"/>
      <c r="JT84" s="450" t="s">
        <v>2242</v>
      </c>
    </row>
    <row r="85" spans="1:280" ht="12.5" x14ac:dyDescent="0.25">
      <c r="A85" s="1367">
        <v>55</v>
      </c>
      <c r="B85" s="1574" t="str">
        <f t="shared" si="33"/>
        <v/>
      </c>
      <c r="C85" s="1435" t="s">
        <v>3665</v>
      </c>
      <c r="D85" s="1436" t="s">
        <v>3666</v>
      </c>
      <c r="E85" s="1568"/>
      <c r="F85" s="1568"/>
      <c r="G85" s="1568"/>
      <c r="H85" s="1568"/>
      <c r="I85" s="1568"/>
      <c r="J85" s="1568"/>
      <c r="K85" s="1568"/>
      <c r="L85" s="1568"/>
      <c r="M85" s="1568"/>
      <c r="N85" s="1568"/>
      <c r="O85" s="1568"/>
      <c r="P85" s="1568"/>
      <c r="Q85" s="1568"/>
      <c r="R85" s="1568"/>
      <c r="S85" s="1568"/>
      <c r="T85" s="1568"/>
      <c r="U85" s="1568"/>
      <c r="V85" s="1568"/>
      <c r="W85" s="1568"/>
      <c r="X85" s="1568"/>
      <c r="Y85" s="1568"/>
      <c r="Z85" s="1568"/>
      <c r="AA85" s="1568"/>
      <c r="AB85" s="1568"/>
      <c r="AC85" s="1568"/>
      <c r="AD85" s="1568"/>
      <c r="AE85" s="1568"/>
      <c r="AF85" s="1568"/>
      <c r="AG85" s="1568"/>
      <c r="AH85" s="1568"/>
      <c r="AI85" s="1568"/>
      <c r="AJ85" s="1568"/>
      <c r="AK85" s="1568"/>
      <c r="AL85" s="1568"/>
      <c r="AM85" s="1568"/>
      <c r="AN85" s="1568"/>
      <c r="AO85" s="1568"/>
      <c r="AP85" s="1568"/>
      <c r="AQ85" s="1568"/>
      <c r="AR85" s="1568"/>
      <c r="AS85" s="1568"/>
      <c r="AT85" s="1568"/>
      <c r="AU85" s="1568"/>
      <c r="AV85" s="1568"/>
      <c r="AW85" s="1568"/>
      <c r="AX85" s="1568"/>
      <c r="AY85" s="1568"/>
      <c r="AZ85" s="1568"/>
      <c r="BA85" s="1568"/>
      <c r="BB85" s="1568"/>
      <c r="BC85" s="1568"/>
      <c r="BD85" s="1568"/>
      <c r="BE85" s="1568"/>
      <c r="BF85" s="1568"/>
      <c r="BG85" s="1568"/>
      <c r="BH85" s="1568"/>
      <c r="BI85" s="1568"/>
      <c r="BJ85" s="1568"/>
      <c r="BK85" s="1568"/>
      <c r="BL85" s="1568"/>
      <c r="BM85" s="1568"/>
      <c r="BN85" s="1568"/>
      <c r="BO85" s="1568"/>
      <c r="BP85" s="1568"/>
      <c r="BQ85" s="1568"/>
      <c r="BR85" s="1568"/>
      <c r="BS85" s="1568"/>
      <c r="BT85" s="1568"/>
      <c r="BU85" s="1568"/>
      <c r="BV85" s="1568"/>
      <c r="BW85" s="1568"/>
      <c r="BX85" s="1568"/>
      <c r="BY85" s="1568"/>
      <c r="BZ85" s="1568"/>
      <c r="CA85" s="1568"/>
      <c r="CB85" s="1568"/>
      <c r="CC85" s="1568"/>
      <c r="CD85" s="1568"/>
      <c r="CE85" s="1568"/>
      <c r="CF85" s="1568"/>
      <c r="CG85" s="1568"/>
      <c r="CH85" s="1568"/>
      <c r="CI85" s="1568"/>
      <c r="CJ85" s="1568"/>
      <c r="CK85" s="1568"/>
      <c r="CL85" s="1568"/>
      <c r="CM85" s="1568"/>
      <c r="CN85" s="1568"/>
      <c r="CO85" s="1568"/>
      <c r="CP85" s="1568"/>
      <c r="CQ85" s="1568"/>
      <c r="CR85" s="1568"/>
      <c r="CS85" s="1568"/>
      <c r="CT85" s="1568"/>
      <c r="CU85" s="1568"/>
      <c r="CV85" s="1568"/>
      <c r="CW85" s="1568"/>
      <c r="CX85" s="1568"/>
      <c r="CY85" s="1568"/>
      <c r="CZ85" s="1568"/>
      <c r="DA85" s="1568"/>
      <c r="DB85" s="1568"/>
      <c r="DC85" s="1568"/>
      <c r="DD85" s="1568"/>
      <c r="DE85" s="1568"/>
      <c r="DF85" s="1568"/>
      <c r="DG85" s="1568"/>
      <c r="DH85" s="1568"/>
      <c r="DI85" s="1568"/>
      <c r="DJ85" s="1568"/>
      <c r="DK85" s="1568"/>
      <c r="DL85" s="1568"/>
      <c r="DM85" s="1568"/>
      <c r="DN85" s="1568"/>
      <c r="DO85" s="1568"/>
      <c r="DP85" s="1568"/>
      <c r="DQ85" s="1568"/>
      <c r="DR85" s="1568"/>
      <c r="DS85" s="1568"/>
      <c r="DT85" s="1568"/>
      <c r="DU85" s="1568"/>
      <c r="DV85" s="1568"/>
      <c r="DW85" s="1568"/>
      <c r="DX85" s="1568"/>
      <c r="DY85" s="1568"/>
      <c r="DZ85" s="1568"/>
      <c r="EA85" s="1568"/>
      <c r="EB85" s="1568"/>
      <c r="EC85" s="1568"/>
      <c r="ED85" s="1568"/>
      <c r="EE85" s="1568"/>
      <c r="EF85" s="1568"/>
      <c r="EG85" s="1568"/>
      <c r="EH85" s="1568"/>
      <c r="EI85" s="1568"/>
      <c r="EJ85" s="1568"/>
      <c r="EK85" s="1568"/>
      <c r="EL85" s="1568"/>
      <c r="EM85" s="1568"/>
      <c r="EN85" s="1568"/>
      <c r="EO85" s="1568"/>
      <c r="EP85" s="1568"/>
      <c r="EQ85" s="1568"/>
      <c r="ER85" s="1568"/>
      <c r="ES85" s="1568"/>
      <c r="ET85" s="1568"/>
      <c r="EU85" s="1568"/>
      <c r="EV85" s="1568"/>
      <c r="EW85" s="1568"/>
      <c r="EX85" s="1568"/>
      <c r="EY85" s="1568"/>
      <c r="EZ85" s="1568"/>
      <c r="FA85" s="1568"/>
      <c r="FB85" s="1568"/>
      <c r="FC85" s="1568"/>
      <c r="FD85" s="1568"/>
      <c r="FE85" s="1568"/>
      <c r="FF85" s="1568"/>
      <c r="FG85" s="1568"/>
      <c r="FH85" s="1568"/>
      <c r="FI85" s="1568"/>
      <c r="FJ85" s="1568"/>
      <c r="FK85" s="1568"/>
      <c r="FL85" s="1568"/>
      <c r="FM85" s="1568"/>
      <c r="FN85" s="1568"/>
      <c r="FO85" s="1568"/>
      <c r="FP85" s="1568"/>
      <c r="FQ85" s="1568"/>
      <c r="FR85" s="1568"/>
      <c r="FS85" s="1568"/>
      <c r="FT85" s="1568"/>
      <c r="FU85" s="1568"/>
      <c r="FV85" s="1568"/>
      <c r="FW85" s="1568"/>
      <c r="FX85" s="1568"/>
      <c r="FY85" s="1568"/>
      <c r="FZ85" s="1568"/>
      <c r="GA85" s="1568"/>
      <c r="GB85" s="1568"/>
      <c r="GC85" s="1568"/>
      <c r="GD85" s="1568"/>
      <c r="GE85" s="1568"/>
      <c r="GF85" s="1568"/>
      <c r="GG85" s="1568"/>
      <c r="GH85" s="1568"/>
      <c r="GI85" s="1568"/>
      <c r="GJ85" s="1568"/>
      <c r="GK85" s="1568"/>
      <c r="GL85" s="1568"/>
      <c r="GM85" s="1568"/>
      <c r="GN85" s="1568"/>
      <c r="GO85" s="1568"/>
      <c r="GP85" s="1568"/>
      <c r="GQ85" s="1568"/>
      <c r="GR85" s="1568"/>
      <c r="GS85" s="1568"/>
      <c r="GT85" s="1568"/>
      <c r="GU85" s="1568"/>
      <c r="GV85" s="1568"/>
      <c r="GW85" s="1568"/>
      <c r="GX85" s="1568"/>
      <c r="GY85" s="1568"/>
      <c r="GZ85" s="1568"/>
      <c r="HA85" s="1568"/>
      <c r="HB85" s="1568"/>
      <c r="HC85" s="1568"/>
      <c r="HD85" s="1568"/>
      <c r="HE85" s="1568"/>
      <c r="HF85" s="1568"/>
      <c r="HG85" s="1568"/>
      <c r="HH85" s="1568"/>
      <c r="HI85" s="1568"/>
      <c r="HJ85" s="1568"/>
      <c r="HK85" s="1568"/>
      <c r="HL85" s="1568"/>
      <c r="HM85" s="1568"/>
      <c r="HN85" s="1568"/>
      <c r="HO85" s="1568"/>
      <c r="HP85" s="1568"/>
      <c r="HQ85" s="1568"/>
      <c r="HR85" s="1568"/>
      <c r="HS85" s="1568"/>
      <c r="HT85" s="1568"/>
      <c r="HU85" s="1568"/>
      <c r="HV85" s="1568"/>
      <c r="HW85" s="1568"/>
      <c r="HX85" s="1568"/>
      <c r="HY85" s="1568"/>
      <c r="HZ85" s="1568"/>
      <c r="IA85" s="1568"/>
      <c r="IB85" s="1568"/>
      <c r="IC85" s="1568"/>
      <c r="ID85" s="1568"/>
      <c r="IE85" s="1568"/>
      <c r="IF85" s="1568"/>
      <c r="IG85" s="1568"/>
      <c r="IH85" s="1568"/>
      <c r="II85" s="1568"/>
      <c r="IJ85" s="1568"/>
      <c r="IK85" s="1568"/>
      <c r="IL85" s="1568"/>
      <c r="IM85" s="1568"/>
      <c r="IN85" s="1568"/>
      <c r="IO85" s="1568"/>
      <c r="IP85" s="1568"/>
      <c r="IQ85" s="1584"/>
      <c r="IR85" s="1568"/>
      <c r="IS85" s="1568"/>
      <c r="IT85" s="1584"/>
      <c r="IU85" s="1568"/>
      <c r="IV85" s="1568"/>
      <c r="IW85" s="1568"/>
      <c r="IX85" s="1568"/>
      <c r="IY85" s="1568"/>
      <c r="IZ85" s="1568"/>
      <c r="JA85" s="1568"/>
      <c r="JB85" s="1568"/>
      <c r="JC85" s="1568"/>
      <c r="JD85" s="1568"/>
      <c r="JE85" s="1568"/>
      <c r="JF85" s="1568"/>
      <c r="JG85" s="1568"/>
      <c r="JH85" s="1568"/>
      <c r="JI85" s="1584"/>
      <c r="JJ85" s="1568"/>
      <c r="JK85" s="1584"/>
      <c r="JL85" s="1584"/>
      <c r="JM85" s="1584"/>
      <c r="JN85" s="1568"/>
      <c r="JO85" s="1584"/>
      <c r="JP85" s="1584"/>
      <c r="JQ85" s="1585"/>
      <c r="JR85" s="351"/>
      <c r="JS85" s="1400"/>
      <c r="JT85" s="450" t="s">
        <v>2253</v>
      </c>
    </row>
    <row r="86" spans="1:280" ht="12.5" x14ac:dyDescent="0.25">
      <c r="A86" s="1367">
        <v>56</v>
      </c>
      <c r="B86" s="1574" t="str">
        <f t="shared" si="33"/>
        <v/>
      </c>
      <c r="C86" s="1435" t="s">
        <v>3667</v>
      </c>
      <c r="D86" s="1436" t="s">
        <v>3668</v>
      </c>
      <c r="E86" s="1568"/>
      <c r="F86" s="1568"/>
      <c r="G86" s="1568"/>
      <c r="H86" s="1568"/>
      <c r="I86" s="1568"/>
      <c r="J86" s="1568"/>
      <c r="K86" s="1568"/>
      <c r="L86" s="1568"/>
      <c r="M86" s="1568"/>
      <c r="N86" s="1568"/>
      <c r="O86" s="1568"/>
      <c r="P86" s="1568"/>
      <c r="Q86" s="1568"/>
      <c r="R86" s="1568"/>
      <c r="S86" s="1568"/>
      <c r="T86" s="1568"/>
      <c r="U86" s="1568"/>
      <c r="V86" s="1568"/>
      <c r="W86" s="1568"/>
      <c r="X86" s="1568"/>
      <c r="Y86" s="1568"/>
      <c r="Z86" s="1568"/>
      <c r="AA86" s="1568"/>
      <c r="AB86" s="1568"/>
      <c r="AC86" s="1568"/>
      <c r="AD86" s="1568"/>
      <c r="AE86" s="1568"/>
      <c r="AF86" s="1568"/>
      <c r="AG86" s="1568"/>
      <c r="AH86" s="1568"/>
      <c r="AI86" s="1568"/>
      <c r="AJ86" s="1568"/>
      <c r="AK86" s="1568"/>
      <c r="AL86" s="1568"/>
      <c r="AM86" s="1568"/>
      <c r="AN86" s="1568"/>
      <c r="AO86" s="1568"/>
      <c r="AP86" s="1568"/>
      <c r="AQ86" s="1568"/>
      <c r="AR86" s="1568"/>
      <c r="AS86" s="1568"/>
      <c r="AT86" s="1568"/>
      <c r="AU86" s="1568"/>
      <c r="AV86" s="1568"/>
      <c r="AW86" s="1568"/>
      <c r="AX86" s="1568"/>
      <c r="AY86" s="1568"/>
      <c r="AZ86" s="1568"/>
      <c r="BA86" s="1568"/>
      <c r="BB86" s="1568"/>
      <c r="BC86" s="1568"/>
      <c r="BD86" s="1568"/>
      <c r="BE86" s="1568"/>
      <c r="BF86" s="1568"/>
      <c r="BG86" s="1568"/>
      <c r="BH86" s="1568"/>
      <c r="BI86" s="1568"/>
      <c r="BJ86" s="1568"/>
      <c r="BK86" s="1568"/>
      <c r="BL86" s="1568"/>
      <c r="BM86" s="1568"/>
      <c r="BN86" s="1568"/>
      <c r="BO86" s="1568"/>
      <c r="BP86" s="1568"/>
      <c r="BQ86" s="1568"/>
      <c r="BR86" s="1568"/>
      <c r="BS86" s="1568"/>
      <c r="BT86" s="1568"/>
      <c r="BU86" s="1568"/>
      <c r="BV86" s="1568"/>
      <c r="BW86" s="1568"/>
      <c r="BX86" s="1568"/>
      <c r="BY86" s="1568"/>
      <c r="BZ86" s="1568"/>
      <c r="CA86" s="1568"/>
      <c r="CB86" s="1568"/>
      <c r="CC86" s="1568"/>
      <c r="CD86" s="1568"/>
      <c r="CE86" s="1568"/>
      <c r="CF86" s="1568"/>
      <c r="CG86" s="1568"/>
      <c r="CH86" s="1568"/>
      <c r="CI86" s="1568"/>
      <c r="CJ86" s="1568"/>
      <c r="CK86" s="1568"/>
      <c r="CL86" s="1568"/>
      <c r="CM86" s="1568"/>
      <c r="CN86" s="1568"/>
      <c r="CO86" s="1568"/>
      <c r="CP86" s="1568"/>
      <c r="CQ86" s="1568"/>
      <c r="CR86" s="1568"/>
      <c r="CS86" s="1568"/>
      <c r="CT86" s="1568"/>
      <c r="CU86" s="1568"/>
      <c r="CV86" s="1568"/>
      <c r="CW86" s="1568"/>
      <c r="CX86" s="1568"/>
      <c r="CY86" s="1568"/>
      <c r="CZ86" s="1568"/>
      <c r="DA86" s="1568"/>
      <c r="DB86" s="1568"/>
      <c r="DC86" s="1568"/>
      <c r="DD86" s="1568"/>
      <c r="DE86" s="1568"/>
      <c r="DF86" s="1568"/>
      <c r="DG86" s="1568"/>
      <c r="DH86" s="1568"/>
      <c r="DI86" s="1568"/>
      <c r="DJ86" s="1568"/>
      <c r="DK86" s="1568"/>
      <c r="DL86" s="1568"/>
      <c r="DM86" s="1568"/>
      <c r="DN86" s="1568"/>
      <c r="DO86" s="1568"/>
      <c r="DP86" s="1568"/>
      <c r="DQ86" s="1568"/>
      <c r="DR86" s="1568"/>
      <c r="DS86" s="1568"/>
      <c r="DT86" s="1568"/>
      <c r="DU86" s="1568"/>
      <c r="DV86" s="1568"/>
      <c r="DW86" s="1568"/>
      <c r="DX86" s="1568"/>
      <c r="DY86" s="1568"/>
      <c r="DZ86" s="1568"/>
      <c r="EA86" s="1568"/>
      <c r="EB86" s="1568"/>
      <c r="EC86" s="1568"/>
      <c r="ED86" s="1568"/>
      <c r="EE86" s="1568"/>
      <c r="EF86" s="1568"/>
      <c r="EG86" s="1568"/>
      <c r="EH86" s="1568"/>
      <c r="EI86" s="1568"/>
      <c r="EJ86" s="1568"/>
      <c r="EK86" s="1568"/>
      <c r="EL86" s="1568"/>
      <c r="EM86" s="1568"/>
      <c r="EN86" s="1568"/>
      <c r="EO86" s="1568"/>
      <c r="EP86" s="1568"/>
      <c r="EQ86" s="1568"/>
      <c r="ER86" s="1568"/>
      <c r="ES86" s="1568"/>
      <c r="ET86" s="1568"/>
      <c r="EU86" s="1568"/>
      <c r="EV86" s="1568"/>
      <c r="EW86" s="1568"/>
      <c r="EX86" s="1568"/>
      <c r="EY86" s="1568"/>
      <c r="EZ86" s="1568"/>
      <c r="FA86" s="1568"/>
      <c r="FB86" s="1568"/>
      <c r="FC86" s="1568"/>
      <c r="FD86" s="1568"/>
      <c r="FE86" s="1568"/>
      <c r="FF86" s="1568"/>
      <c r="FG86" s="1568"/>
      <c r="FH86" s="1568"/>
      <c r="FI86" s="1568"/>
      <c r="FJ86" s="1568"/>
      <c r="FK86" s="1568"/>
      <c r="FL86" s="1568"/>
      <c r="FM86" s="1568"/>
      <c r="FN86" s="1568"/>
      <c r="FO86" s="1568"/>
      <c r="FP86" s="1568"/>
      <c r="FQ86" s="1568"/>
      <c r="FR86" s="1568"/>
      <c r="FS86" s="1568"/>
      <c r="FT86" s="1568"/>
      <c r="FU86" s="1568"/>
      <c r="FV86" s="1568"/>
      <c r="FW86" s="1568"/>
      <c r="FX86" s="1568"/>
      <c r="FY86" s="1568"/>
      <c r="FZ86" s="1568"/>
      <c r="GA86" s="1568"/>
      <c r="GB86" s="1568"/>
      <c r="GC86" s="1568"/>
      <c r="GD86" s="1568"/>
      <c r="GE86" s="1568"/>
      <c r="GF86" s="1568"/>
      <c r="GG86" s="1568"/>
      <c r="GH86" s="1568"/>
      <c r="GI86" s="1568"/>
      <c r="GJ86" s="1568"/>
      <c r="GK86" s="1568"/>
      <c r="GL86" s="1568"/>
      <c r="GM86" s="1568"/>
      <c r="GN86" s="1568"/>
      <c r="GO86" s="1568"/>
      <c r="GP86" s="1568"/>
      <c r="GQ86" s="1568"/>
      <c r="GR86" s="1568"/>
      <c r="GS86" s="1568"/>
      <c r="GT86" s="1568"/>
      <c r="GU86" s="1568"/>
      <c r="GV86" s="1568"/>
      <c r="GW86" s="1568"/>
      <c r="GX86" s="1568"/>
      <c r="GY86" s="1568"/>
      <c r="GZ86" s="1568"/>
      <c r="HA86" s="1568"/>
      <c r="HB86" s="1568"/>
      <c r="HC86" s="1568"/>
      <c r="HD86" s="1568"/>
      <c r="HE86" s="1568"/>
      <c r="HF86" s="1568"/>
      <c r="HG86" s="1568"/>
      <c r="HH86" s="1568"/>
      <c r="HI86" s="1568"/>
      <c r="HJ86" s="1568"/>
      <c r="HK86" s="1568"/>
      <c r="HL86" s="1568"/>
      <c r="HM86" s="1568"/>
      <c r="HN86" s="1568"/>
      <c r="HO86" s="1568"/>
      <c r="HP86" s="1568"/>
      <c r="HQ86" s="1568"/>
      <c r="HR86" s="1568"/>
      <c r="HS86" s="1568"/>
      <c r="HT86" s="1568"/>
      <c r="HU86" s="1568"/>
      <c r="HV86" s="1568"/>
      <c r="HW86" s="1568"/>
      <c r="HX86" s="1568"/>
      <c r="HY86" s="1568"/>
      <c r="HZ86" s="1568"/>
      <c r="IA86" s="1568"/>
      <c r="IB86" s="1568"/>
      <c r="IC86" s="1568"/>
      <c r="ID86" s="1568"/>
      <c r="IE86" s="1568"/>
      <c r="IF86" s="1568"/>
      <c r="IG86" s="1568"/>
      <c r="IH86" s="1568"/>
      <c r="II86" s="1568"/>
      <c r="IJ86" s="1568"/>
      <c r="IK86" s="1568"/>
      <c r="IL86" s="1568"/>
      <c r="IM86" s="1568"/>
      <c r="IN86" s="1568"/>
      <c r="IO86" s="1568"/>
      <c r="IP86" s="1568"/>
      <c r="IQ86" s="1584"/>
      <c r="IR86" s="1568"/>
      <c r="IS86" s="1568"/>
      <c r="IT86" s="1584"/>
      <c r="IU86" s="1568"/>
      <c r="IV86" s="1568"/>
      <c r="IW86" s="1568"/>
      <c r="IX86" s="1568"/>
      <c r="IY86" s="1568"/>
      <c r="IZ86" s="1568"/>
      <c r="JA86" s="1568"/>
      <c r="JB86" s="1568"/>
      <c r="JC86" s="1568"/>
      <c r="JD86" s="1568"/>
      <c r="JE86" s="1568"/>
      <c r="JF86" s="1568"/>
      <c r="JG86" s="1568"/>
      <c r="JH86" s="1568"/>
      <c r="JI86" s="1584"/>
      <c r="JJ86" s="1568"/>
      <c r="JK86" s="1584"/>
      <c r="JL86" s="1584"/>
      <c r="JM86" s="1584"/>
      <c r="JN86" s="1568"/>
      <c r="JO86" s="1584"/>
      <c r="JP86" s="1584"/>
      <c r="JQ86" s="1585"/>
      <c r="JR86" s="351"/>
      <c r="JS86" s="1400"/>
      <c r="JT86" s="450" t="s">
        <v>2242</v>
      </c>
    </row>
    <row r="87" spans="1:280" ht="12.5" x14ac:dyDescent="0.25">
      <c r="A87" s="1367">
        <v>57</v>
      </c>
      <c r="B87" s="1574" t="str">
        <f t="shared" si="33"/>
        <v/>
      </c>
      <c r="C87" s="1435" t="s">
        <v>3669</v>
      </c>
      <c r="D87" s="1436" t="s">
        <v>3670</v>
      </c>
      <c r="E87" s="1568"/>
      <c r="F87" s="1568"/>
      <c r="G87" s="1568"/>
      <c r="H87" s="1568"/>
      <c r="I87" s="1568"/>
      <c r="J87" s="1568"/>
      <c r="K87" s="1568"/>
      <c r="L87" s="1568"/>
      <c r="M87" s="1568"/>
      <c r="N87" s="1568"/>
      <c r="O87" s="1568"/>
      <c r="P87" s="1568"/>
      <c r="Q87" s="1568"/>
      <c r="R87" s="1568"/>
      <c r="S87" s="1568"/>
      <c r="T87" s="1568"/>
      <c r="U87" s="1568"/>
      <c r="V87" s="1568"/>
      <c r="W87" s="1568"/>
      <c r="X87" s="1568"/>
      <c r="Y87" s="1568"/>
      <c r="Z87" s="1568"/>
      <c r="AA87" s="1568"/>
      <c r="AB87" s="1568"/>
      <c r="AC87" s="1568"/>
      <c r="AD87" s="1568"/>
      <c r="AE87" s="1568"/>
      <c r="AF87" s="1568"/>
      <c r="AG87" s="1568"/>
      <c r="AH87" s="1568"/>
      <c r="AI87" s="1568"/>
      <c r="AJ87" s="1568"/>
      <c r="AK87" s="1568"/>
      <c r="AL87" s="1568"/>
      <c r="AM87" s="1568"/>
      <c r="AN87" s="1568"/>
      <c r="AO87" s="1568"/>
      <c r="AP87" s="1568"/>
      <c r="AQ87" s="1568"/>
      <c r="AR87" s="1568"/>
      <c r="AS87" s="1568"/>
      <c r="AT87" s="1568"/>
      <c r="AU87" s="1568"/>
      <c r="AV87" s="1568"/>
      <c r="AW87" s="1568"/>
      <c r="AX87" s="1568"/>
      <c r="AY87" s="1568"/>
      <c r="AZ87" s="1568"/>
      <c r="BA87" s="1568"/>
      <c r="BB87" s="1568"/>
      <c r="BC87" s="1568"/>
      <c r="BD87" s="1568"/>
      <c r="BE87" s="1568"/>
      <c r="BF87" s="1568"/>
      <c r="BG87" s="1568"/>
      <c r="BH87" s="1568"/>
      <c r="BI87" s="1568"/>
      <c r="BJ87" s="1568"/>
      <c r="BK87" s="1568"/>
      <c r="BL87" s="1568"/>
      <c r="BM87" s="1568"/>
      <c r="BN87" s="1568"/>
      <c r="BO87" s="1568"/>
      <c r="BP87" s="1568"/>
      <c r="BQ87" s="1568"/>
      <c r="BR87" s="1568"/>
      <c r="BS87" s="1568"/>
      <c r="BT87" s="1568"/>
      <c r="BU87" s="1568"/>
      <c r="BV87" s="1568"/>
      <c r="BW87" s="1568"/>
      <c r="BX87" s="1568"/>
      <c r="BY87" s="1568"/>
      <c r="BZ87" s="1568"/>
      <c r="CA87" s="1568"/>
      <c r="CB87" s="1568"/>
      <c r="CC87" s="1568"/>
      <c r="CD87" s="1568"/>
      <c r="CE87" s="1568"/>
      <c r="CF87" s="1568"/>
      <c r="CG87" s="1568"/>
      <c r="CH87" s="1568"/>
      <c r="CI87" s="1568"/>
      <c r="CJ87" s="1568"/>
      <c r="CK87" s="1568"/>
      <c r="CL87" s="1568"/>
      <c r="CM87" s="1568"/>
      <c r="CN87" s="1568"/>
      <c r="CO87" s="1568"/>
      <c r="CP87" s="1568"/>
      <c r="CQ87" s="1568"/>
      <c r="CR87" s="1568"/>
      <c r="CS87" s="1568"/>
      <c r="CT87" s="1568"/>
      <c r="CU87" s="1568"/>
      <c r="CV87" s="1568"/>
      <c r="CW87" s="1568"/>
      <c r="CX87" s="1568"/>
      <c r="CY87" s="1568"/>
      <c r="CZ87" s="1568">
        <v>6791</v>
      </c>
      <c r="DA87" s="1568">
        <v>6791</v>
      </c>
      <c r="DB87" s="1568"/>
      <c r="DC87" s="1568"/>
      <c r="DD87" s="1568"/>
      <c r="DE87" s="1568"/>
      <c r="DF87" s="1568"/>
      <c r="DG87" s="1568"/>
      <c r="DH87" s="1568"/>
      <c r="DI87" s="1568"/>
      <c r="DJ87" s="1568"/>
      <c r="DK87" s="1568"/>
      <c r="DL87" s="1568"/>
      <c r="DM87" s="1568"/>
      <c r="DN87" s="1568"/>
      <c r="DO87" s="1568"/>
      <c r="DP87" s="1568"/>
      <c r="DQ87" s="1568"/>
      <c r="DR87" s="1568"/>
      <c r="DS87" s="1568"/>
      <c r="DT87" s="1568"/>
      <c r="DU87" s="1568"/>
      <c r="DV87" s="1568"/>
      <c r="DW87" s="1568"/>
      <c r="DX87" s="1568"/>
      <c r="DY87" s="1568"/>
      <c r="DZ87" s="1568"/>
      <c r="EA87" s="1568"/>
      <c r="EB87" s="1568"/>
      <c r="EC87" s="1568"/>
      <c r="ED87" s="1568"/>
      <c r="EE87" s="1568"/>
      <c r="EF87" s="1568"/>
      <c r="EG87" s="1568"/>
      <c r="EH87" s="1568"/>
      <c r="EI87" s="1568">
        <v>9861</v>
      </c>
      <c r="EJ87" s="1568"/>
      <c r="EK87" s="1568"/>
      <c r="EL87" s="1568"/>
      <c r="EM87" s="1568"/>
      <c r="EN87" s="1568"/>
      <c r="EO87" s="1568"/>
      <c r="EP87" s="1568"/>
      <c r="EQ87" s="1568"/>
      <c r="ER87" s="1568"/>
      <c r="ES87" s="1568"/>
      <c r="ET87" s="1568"/>
      <c r="EU87" s="1568"/>
      <c r="EV87" s="1568"/>
      <c r="EW87" s="1568"/>
      <c r="EX87" s="1568"/>
      <c r="EY87" s="1568"/>
      <c r="EZ87" s="1568"/>
      <c r="FA87" s="1568"/>
      <c r="FB87" s="1568"/>
      <c r="FC87" s="1568"/>
      <c r="FD87" s="1568"/>
      <c r="FE87" s="1568"/>
      <c r="FF87" s="1568"/>
      <c r="FG87" s="1568"/>
      <c r="FH87" s="1568"/>
      <c r="FI87" s="1568"/>
      <c r="FJ87" s="1568"/>
      <c r="FK87" s="1568">
        <v>6791</v>
      </c>
      <c r="FL87" s="1568"/>
      <c r="FM87" s="1568"/>
      <c r="FN87" s="1568"/>
      <c r="FO87" s="1568"/>
      <c r="FP87" s="1568"/>
      <c r="FQ87" s="1568"/>
      <c r="FR87" s="1568"/>
      <c r="FS87" s="1568"/>
      <c r="FT87" s="1568"/>
      <c r="FU87" s="1568"/>
      <c r="FV87" s="1568"/>
      <c r="FW87" s="1568"/>
      <c r="FX87" s="1568"/>
      <c r="FY87" s="1568"/>
      <c r="FZ87" s="1568"/>
      <c r="GA87" s="1568"/>
      <c r="GB87" s="1568"/>
      <c r="GC87" s="1568"/>
      <c r="GD87" s="1568"/>
      <c r="GE87" s="1568"/>
      <c r="GF87" s="1568"/>
      <c r="GG87" s="1568"/>
      <c r="GH87" s="1568"/>
      <c r="GI87" s="1568"/>
      <c r="GJ87" s="1568"/>
      <c r="GK87" s="1568"/>
      <c r="GL87" s="1568"/>
      <c r="GM87" s="1568"/>
      <c r="GN87" s="1568"/>
      <c r="GO87" s="1568"/>
      <c r="GP87" s="1568"/>
      <c r="GQ87" s="1568"/>
      <c r="GR87" s="1568"/>
      <c r="GS87" s="1568"/>
      <c r="GT87" s="1568"/>
      <c r="GU87" s="1568"/>
      <c r="GV87" s="1568"/>
      <c r="GW87" s="1568"/>
      <c r="GX87" s="1568"/>
      <c r="GY87" s="1568">
        <v>9862</v>
      </c>
      <c r="GZ87" s="1568"/>
      <c r="HA87" s="1568"/>
      <c r="HB87" s="1568"/>
      <c r="HC87" s="1568"/>
      <c r="HD87" s="1568"/>
      <c r="HE87" s="1568"/>
      <c r="HF87" s="1568"/>
      <c r="HG87" s="1568"/>
      <c r="HH87" s="1568"/>
      <c r="HI87" s="1568"/>
      <c r="HJ87" s="1568"/>
      <c r="HK87" s="1568"/>
      <c r="HL87" s="1568"/>
      <c r="HM87" s="1568"/>
      <c r="HN87" s="1568"/>
      <c r="HO87" s="1568"/>
      <c r="HP87" s="1568"/>
      <c r="HQ87" s="1568"/>
      <c r="HR87" s="1568"/>
      <c r="HS87" s="1568"/>
      <c r="HT87" s="1568"/>
      <c r="HU87" s="1568"/>
      <c r="HV87" s="1568"/>
      <c r="HW87" s="1568"/>
      <c r="HX87" s="1568"/>
      <c r="HY87" s="1568"/>
      <c r="HZ87" s="1568"/>
      <c r="IA87" s="1568"/>
      <c r="IB87" s="1568"/>
      <c r="IC87" s="1568"/>
      <c r="ID87" s="1568"/>
      <c r="IE87" s="1568"/>
      <c r="IF87" s="1568"/>
      <c r="IG87" s="1568"/>
      <c r="IH87" s="1568"/>
      <c r="II87" s="1568"/>
      <c r="IJ87" s="1568"/>
      <c r="IK87" s="1568"/>
      <c r="IL87" s="1568"/>
      <c r="IM87" s="1568"/>
      <c r="IN87" s="1568"/>
      <c r="IO87" s="1568"/>
      <c r="IP87" s="1568"/>
      <c r="IQ87" s="1584"/>
      <c r="IR87" s="1568"/>
      <c r="IS87" s="1568"/>
      <c r="IT87" s="1584"/>
      <c r="IU87" s="1568"/>
      <c r="IV87" s="1568"/>
      <c r="IW87" s="1568"/>
      <c r="IX87" s="1568"/>
      <c r="IY87" s="1568"/>
      <c r="IZ87" s="1568"/>
      <c r="JA87" s="1568"/>
      <c r="JB87" s="1568"/>
      <c r="JC87" s="1568"/>
      <c r="JD87" s="1568"/>
      <c r="JE87" s="1568"/>
      <c r="JF87" s="1568"/>
      <c r="JG87" s="1568"/>
      <c r="JH87" s="1568"/>
      <c r="JI87" s="1584"/>
      <c r="JJ87" s="1568"/>
      <c r="JK87" s="1584"/>
      <c r="JL87" s="1584"/>
      <c r="JM87" s="1584"/>
      <c r="JN87" s="1568"/>
      <c r="JO87" s="1584"/>
      <c r="JP87" s="1584"/>
      <c r="JQ87" s="1585"/>
      <c r="JR87" s="351"/>
      <c r="JS87" s="1400"/>
      <c r="JT87" s="450" t="s">
        <v>2242</v>
      </c>
    </row>
    <row r="88" spans="1:280" ht="12.5" x14ac:dyDescent="0.25">
      <c r="A88" s="1367">
        <v>58</v>
      </c>
      <c r="B88" s="1574" t="str">
        <f t="shared" si="33"/>
        <v/>
      </c>
      <c r="C88" s="1435" t="s">
        <v>3671</v>
      </c>
      <c r="D88" s="1436" t="s">
        <v>3672</v>
      </c>
      <c r="E88" s="1568"/>
      <c r="F88" s="1568"/>
      <c r="G88" s="1568"/>
      <c r="H88" s="1568"/>
      <c r="I88" s="1568"/>
      <c r="J88" s="1568"/>
      <c r="K88" s="1568"/>
      <c r="L88" s="1568"/>
      <c r="M88" s="1568"/>
      <c r="N88" s="1568"/>
      <c r="O88" s="1568"/>
      <c r="P88" s="1568"/>
      <c r="Q88" s="1568"/>
      <c r="R88" s="1568"/>
      <c r="S88" s="1568"/>
      <c r="T88" s="1568"/>
      <c r="U88" s="1568"/>
      <c r="V88" s="1568"/>
      <c r="W88" s="1568"/>
      <c r="X88" s="1568"/>
      <c r="Y88" s="1568"/>
      <c r="Z88" s="1568"/>
      <c r="AA88" s="1568"/>
      <c r="AB88" s="1568"/>
      <c r="AC88" s="1568"/>
      <c r="AD88" s="1568"/>
      <c r="AE88" s="1568"/>
      <c r="AF88" s="1568"/>
      <c r="AG88" s="1568"/>
      <c r="AH88" s="1568"/>
      <c r="AI88" s="1568"/>
      <c r="AJ88" s="1568"/>
      <c r="AK88" s="1568"/>
      <c r="AL88" s="1568"/>
      <c r="AM88" s="1568"/>
      <c r="AN88" s="1568"/>
      <c r="AO88" s="1568"/>
      <c r="AP88" s="1568"/>
      <c r="AQ88" s="1568"/>
      <c r="AR88" s="1568"/>
      <c r="AS88" s="1568"/>
      <c r="AT88" s="1568"/>
      <c r="AU88" s="1568"/>
      <c r="AV88" s="1568"/>
      <c r="AW88" s="1568"/>
      <c r="AX88" s="1568"/>
      <c r="AY88" s="1568"/>
      <c r="AZ88" s="1568"/>
      <c r="BA88" s="1568"/>
      <c r="BB88" s="1568"/>
      <c r="BC88" s="1568"/>
      <c r="BD88" s="1568"/>
      <c r="BE88" s="1568"/>
      <c r="BF88" s="1568"/>
      <c r="BG88" s="1568"/>
      <c r="BH88" s="1568"/>
      <c r="BI88" s="1568"/>
      <c r="BJ88" s="1568"/>
      <c r="BK88" s="1568"/>
      <c r="BL88" s="1568"/>
      <c r="BM88" s="1568"/>
      <c r="BN88" s="1568"/>
      <c r="BO88" s="1568"/>
      <c r="BP88" s="1568"/>
      <c r="BQ88" s="1568"/>
      <c r="BR88" s="1568"/>
      <c r="BS88" s="1568"/>
      <c r="BT88" s="1568"/>
      <c r="BU88" s="1568"/>
      <c r="BV88" s="1568"/>
      <c r="BW88" s="1568"/>
      <c r="BX88" s="1568"/>
      <c r="BY88" s="1568"/>
      <c r="BZ88" s="1568"/>
      <c r="CA88" s="1568"/>
      <c r="CB88" s="1568"/>
      <c r="CC88" s="1568"/>
      <c r="CD88" s="1568"/>
      <c r="CE88" s="1568"/>
      <c r="CF88" s="1568"/>
      <c r="CG88" s="1568"/>
      <c r="CH88" s="1568"/>
      <c r="CI88" s="1568"/>
      <c r="CJ88" s="1568"/>
      <c r="CK88" s="1568"/>
      <c r="CL88" s="1568"/>
      <c r="CM88" s="1568"/>
      <c r="CN88" s="1568"/>
      <c r="CO88" s="1568"/>
      <c r="CP88" s="1568"/>
      <c r="CQ88" s="1568"/>
      <c r="CR88" s="1568"/>
      <c r="CS88" s="1568"/>
      <c r="CT88" s="1568"/>
      <c r="CU88" s="1568"/>
      <c r="CV88" s="1568"/>
      <c r="CW88" s="1568"/>
      <c r="CX88" s="1568"/>
      <c r="CY88" s="1568"/>
      <c r="CZ88" s="1569">
        <v>-1359</v>
      </c>
      <c r="DA88" s="1569">
        <v>-1359</v>
      </c>
      <c r="DB88" s="1568"/>
      <c r="DC88" s="1568"/>
      <c r="DD88" s="1568"/>
      <c r="DE88" s="1568"/>
      <c r="DF88" s="1568"/>
      <c r="DG88" s="1568"/>
      <c r="DH88" s="1568"/>
      <c r="DI88" s="1568"/>
      <c r="DJ88" s="1568"/>
      <c r="DK88" s="1568"/>
      <c r="DL88" s="1568"/>
      <c r="DM88" s="1568"/>
      <c r="DN88" s="1568"/>
      <c r="DO88" s="1568"/>
      <c r="DP88" s="1568"/>
      <c r="DQ88" s="1568"/>
      <c r="DR88" s="1568"/>
      <c r="DS88" s="1568"/>
      <c r="DT88" s="1568"/>
      <c r="DU88" s="1568"/>
      <c r="DV88" s="1568"/>
      <c r="DW88" s="1568"/>
      <c r="DX88" s="1568"/>
      <c r="DY88" s="1568"/>
      <c r="DZ88" s="1568"/>
      <c r="EA88" s="1568"/>
      <c r="EB88" s="1568"/>
      <c r="EC88" s="1568"/>
      <c r="ED88" s="1568"/>
      <c r="EE88" s="1568"/>
      <c r="EF88" s="1568"/>
      <c r="EG88" s="1568"/>
      <c r="EH88" s="1568"/>
      <c r="EI88" s="1568"/>
      <c r="EJ88" s="1568"/>
      <c r="EK88" s="1568"/>
      <c r="EL88" s="1568"/>
      <c r="EM88" s="1568"/>
      <c r="EN88" s="1568"/>
      <c r="EO88" s="1568"/>
      <c r="EP88" s="1568"/>
      <c r="EQ88" s="1568"/>
      <c r="ER88" s="1568"/>
      <c r="ES88" s="1568"/>
      <c r="ET88" s="1568"/>
      <c r="EU88" s="1568"/>
      <c r="EV88" s="1568"/>
      <c r="EW88" s="1568"/>
      <c r="EX88" s="1568"/>
      <c r="EY88" s="1568"/>
      <c r="EZ88" s="1568"/>
      <c r="FA88" s="1568"/>
      <c r="FB88" s="1568"/>
      <c r="FC88" s="1568"/>
      <c r="FD88" s="1568"/>
      <c r="FE88" s="1568"/>
      <c r="FF88" s="1568"/>
      <c r="FG88" s="1568"/>
      <c r="FH88" s="1568"/>
      <c r="FI88" s="1568"/>
      <c r="FJ88" s="1568"/>
      <c r="FK88" s="1569">
        <v>-1359</v>
      </c>
      <c r="FL88" s="1568"/>
      <c r="FM88" s="1568"/>
      <c r="FN88" s="1568"/>
      <c r="FO88" s="1568"/>
      <c r="FP88" s="1568"/>
      <c r="FQ88" s="1568"/>
      <c r="FR88" s="1568"/>
      <c r="FS88" s="1568"/>
      <c r="FT88" s="1568"/>
      <c r="FU88" s="1568"/>
      <c r="FV88" s="1568"/>
      <c r="FW88" s="1568"/>
      <c r="FX88" s="1568"/>
      <c r="FY88" s="1568"/>
      <c r="FZ88" s="1568"/>
      <c r="GA88" s="1568"/>
      <c r="GB88" s="1568"/>
      <c r="GC88" s="1568"/>
      <c r="GD88" s="1568"/>
      <c r="GE88" s="1568"/>
      <c r="GF88" s="1568"/>
      <c r="GG88" s="1568"/>
      <c r="GH88" s="1568"/>
      <c r="GI88" s="1568"/>
      <c r="GJ88" s="1568"/>
      <c r="GK88" s="1568"/>
      <c r="GL88" s="1568"/>
      <c r="GM88" s="1568"/>
      <c r="GN88" s="1568"/>
      <c r="GO88" s="1568"/>
      <c r="GP88" s="1568"/>
      <c r="GQ88" s="1568"/>
      <c r="GR88" s="1568"/>
      <c r="GS88" s="1568"/>
      <c r="GT88" s="1568"/>
      <c r="GU88" s="1568"/>
      <c r="GV88" s="1568"/>
      <c r="GW88" s="1568"/>
      <c r="GX88" s="1568"/>
      <c r="GY88" s="1568"/>
      <c r="GZ88" s="1568"/>
      <c r="HA88" s="1568"/>
      <c r="HB88" s="1568"/>
      <c r="HC88" s="1568"/>
      <c r="HD88" s="1568"/>
      <c r="HE88" s="1568"/>
      <c r="HF88" s="1568"/>
      <c r="HG88" s="1568"/>
      <c r="HH88" s="1568"/>
      <c r="HI88" s="1568"/>
      <c r="HJ88" s="1568"/>
      <c r="HK88" s="1568"/>
      <c r="HL88" s="1568"/>
      <c r="HM88" s="1568"/>
      <c r="HN88" s="1568"/>
      <c r="HO88" s="1568"/>
      <c r="HP88" s="1568"/>
      <c r="HQ88" s="1568"/>
      <c r="HR88" s="1568"/>
      <c r="HS88" s="1568"/>
      <c r="HT88" s="1568"/>
      <c r="HU88" s="1568"/>
      <c r="HV88" s="1568"/>
      <c r="HW88" s="1568"/>
      <c r="HX88" s="1568"/>
      <c r="HY88" s="1568"/>
      <c r="HZ88" s="1568"/>
      <c r="IA88" s="1568"/>
      <c r="IB88" s="1568"/>
      <c r="IC88" s="1568"/>
      <c r="ID88" s="1568"/>
      <c r="IE88" s="1568"/>
      <c r="IF88" s="1568"/>
      <c r="IG88" s="1568"/>
      <c r="IH88" s="1568"/>
      <c r="II88" s="1568"/>
      <c r="IJ88" s="1568"/>
      <c r="IK88" s="1568"/>
      <c r="IL88" s="1568"/>
      <c r="IM88" s="1568"/>
      <c r="IN88" s="1568"/>
      <c r="IO88" s="1568"/>
      <c r="IP88" s="1568"/>
      <c r="IQ88" s="1584"/>
      <c r="IR88" s="1568"/>
      <c r="IS88" s="1568"/>
      <c r="IT88" s="1584"/>
      <c r="IU88" s="1568"/>
      <c r="IV88" s="1568"/>
      <c r="IW88" s="1568"/>
      <c r="IX88" s="1568"/>
      <c r="IY88" s="1568"/>
      <c r="IZ88" s="1568"/>
      <c r="JA88" s="1568"/>
      <c r="JB88" s="1568"/>
      <c r="JC88" s="1568"/>
      <c r="JD88" s="1568"/>
      <c r="JE88" s="1568"/>
      <c r="JF88" s="1568"/>
      <c r="JG88" s="1568"/>
      <c r="JH88" s="1568"/>
      <c r="JI88" s="1584"/>
      <c r="JJ88" s="1568"/>
      <c r="JK88" s="1584"/>
      <c r="JL88" s="1584"/>
      <c r="JM88" s="1584"/>
      <c r="JN88" s="1568"/>
      <c r="JO88" s="1584"/>
      <c r="JP88" s="1584"/>
      <c r="JQ88" s="1585"/>
      <c r="JR88" s="351"/>
      <c r="JS88" s="1400"/>
      <c r="JT88" s="450" t="s">
        <v>2253</v>
      </c>
    </row>
    <row r="89" spans="1:280" ht="12.5" x14ac:dyDescent="0.25">
      <c r="A89" s="1367">
        <v>59</v>
      </c>
      <c r="B89" s="1574" t="str">
        <f t="shared" si="33"/>
        <v/>
      </c>
      <c r="C89" s="1435" t="s">
        <v>3673</v>
      </c>
      <c r="D89" s="1436" t="s">
        <v>3674</v>
      </c>
      <c r="E89" s="1568"/>
      <c r="F89" s="1568"/>
      <c r="G89" s="1568"/>
      <c r="H89" s="1568"/>
      <c r="I89" s="1568"/>
      <c r="J89" s="1568"/>
      <c r="K89" s="1568"/>
      <c r="L89" s="1568"/>
      <c r="M89" s="1568"/>
      <c r="N89" s="1568"/>
      <c r="O89" s="1568"/>
      <c r="P89" s="1568"/>
      <c r="Q89" s="1568"/>
      <c r="R89" s="1568"/>
      <c r="S89" s="1568"/>
      <c r="T89" s="1568"/>
      <c r="U89" s="1568"/>
      <c r="V89" s="1568"/>
      <c r="W89" s="1568"/>
      <c r="X89" s="1568"/>
      <c r="Y89" s="1568"/>
      <c r="Z89" s="1568"/>
      <c r="AA89" s="1568"/>
      <c r="AB89" s="1568"/>
      <c r="AC89" s="1568"/>
      <c r="AD89" s="1568"/>
      <c r="AE89" s="1568"/>
      <c r="AF89" s="1568"/>
      <c r="AG89" s="1568"/>
      <c r="AH89" s="1568"/>
      <c r="AI89" s="1568"/>
      <c r="AJ89" s="1568"/>
      <c r="AK89" s="1568"/>
      <c r="AL89" s="1568"/>
      <c r="AM89" s="1568"/>
      <c r="AN89" s="1568"/>
      <c r="AO89" s="1568"/>
      <c r="AP89" s="1568"/>
      <c r="AQ89" s="1568"/>
      <c r="AR89" s="1568"/>
      <c r="AS89" s="1568"/>
      <c r="AT89" s="1568"/>
      <c r="AU89" s="1568"/>
      <c r="AV89" s="1568"/>
      <c r="AW89" s="1568"/>
      <c r="AX89" s="1568"/>
      <c r="AY89" s="1568"/>
      <c r="AZ89" s="1568"/>
      <c r="BA89" s="1568"/>
      <c r="BB89" s="1568"/>
      <c r="BC89" s="1568"/>
      <c r="BD89" s="1568"/>
      <c r="BE89" s="1568"/>
      <c r="BF89" s="1568"/>
      <c r="BG89" s="1568"/>
      <c r="BH89" s="1568"/>
      <c r="BI89" s="1568"/>
      <c r="BJ89" s="1568"/>
      <c r="BK89" s="1568"/>
      <c r="BL89" s="1568"/>
      <c r="BM89" s="1568"/>
      <c r="BN89" s="1568"/>
      <c r="BO89" s="1568"/>
      <c r="BP89" s="1568"/>
      <c r="BQ89" s="1568"/>
      <c r="BR89" s="1568"/>
      <c r="BS89" s="1568"/>
      <c r="BT89" s="1568"/>
      <c r="BU89" s="1568"/>
      <c r="BV89" s="1568"/>
      <c r="BW89" s="1568"/>
      <c r="BX89" s="1568"/>
      <c r="BY89" s="1568"/>
      <c r="BZ89" s="1568"/>
      <c r="CA89" s="1568"/>
      <c r="CB89" s="1568"/>
      <c r="CC89" s="1568"/>
      <c r="CD89" s="1568"/>
      <c r="CE89" s="1568"/>
      <c r="CF89" s="1568"/>
      <c r="CG89" s="1568"/>
      <c r="CH89" s="1568"/>
      <c r="CI89" s="1568"/>
      <c r="CJ89" s="1568"/>
      <c r="CK89" s="1568"/>
      <c r="CL89" s="1568"/>
      <c r="CM89" s="1568"/>
      <c r="CN89" s="1568"/>
      <c r="CO89" s="1568"/>
      <c r="CP89" s="1568"/>
      <c r="CQ89" s="1568"/>
      <c r="CR89" s="1568"/>
      <c r="CS89" s="1568"/>
      <c r="CT89" s="1568"/>
      <c r="CU89" s="1568"/>
      <c r="CV89" s="1568"/>
      <c r="CW89" s="1568"/>
      <c r="CX89" s="1568"/>
      <c r="CY89" s="1568"/>
      <c r="CZ89" s="1568">
        <v>671</v>
      </c>
      <c r="DA89" s="1568">
        <v>671</v>
      </c>
      <c r="DB89" s="1568"/>
      <c r="DC89" s="1568"/>
      <c r="DD89" s="1568"/>
      <c r="DE89" s="1568"/>
      <c r="DF89" s="1568"/>
      <c r="DG89" s="1568"/>
      <c r="DH89" s="1568"/>
      <c r="DI89" s="1568"/>
      <c r="DJ89" s="1568"/>
      <c r="DK89" s="1568"/>
      <c r="DL89" s="1568"/>
      <c r="DM89" s="1568"/>
      <c r="DN89" s="1568"/>
      <c r="DO89" s="1568"/>
      <c r="DP89" s="1568"/>
      <c r="DQ89" s="1568"/>
      <c r="DR89" s="1568"/>
      <c r="DS89" s="1568"/>
      <c r="DT89" s="1568"/>
      <c r="DU89" s="1568"/>
      <c r="DV89" s="1568"/>
      <c r="DW89" s="1568"/>
      <c r="DX89" s="1568"/>
      <c r="DY89" s="1568"/>
      <c r="DZ89" s="1568"/>
      <c r="EA89" s="1568"/>
      <c r="EB89" s="1568"/>
      <c r="EC89" s="1568"/>
      <c r="ED89" s="1568"/>
      <c r="EE89" s="1568"/>
      <c r="EF89" s="1568"/>
      <c r="EG89" s="1568"/>
      <c r="EH89" s="1568"/>
      <c r="EI89" s="1568"/>
      <c r="EJ89" s="1568"/>
      <c r="EK89" s="1568"/>
      <c r="EL89" s="1568"/>
      <c r="EM89" s="1568"/>
      <c r="EN89" s="1568"/>
      <c r="EO89" s="1568"/>
      <c r="EP89" s="1568"/>
      <c r="EQ89" s="1568"/>
      <c r="ER89" s="1568"/>
      <c r="ES89" s="1568"/>
      <c r="ET89" s="1568"/>
      <c r="EU89" s="1568"/>
      <c r="EV89" s="1568"/>
      <c r="EW89" s="1568"/>
      <c r="EX89" s="1568"/>
      <c r="EY89" s="1568"/>
      <c r="EZ89" s="1568"/>
      <c r="FA89" s="1568"/>
      <c r="FB89" s="1568"/>
      <c r="FC89" s="1568"/>
      <c r="FD89" s="1568"/>
      <c r="FE89" s="1568"/>
      <c r="FF89" s="1568"/>
      <c r="FG89" s="1568"/>
      <c r="FH89" s="1568"/>
      <c r="FI89" s="1568"/>
      <c r="FJ89" s="1568"/>
      <c r="FK89" s="1568">
        <v>671</v>
      </c>
      <c r="FL89" s="1568"/>
      <c r="FM89" s="1568"/>
      <c r="FN89" s="1568"/>
      <c r="FO89" s="1568"/>
      <c r="FP89" s="1568"/>
      <c r="FQ89" s="1568"/>
      <c r="FR89" s="1568"/>
      <c r="FS89" s="1568"/>
      <c r="FT89" s="1568"/>
      <c r="FU89" s="1568"/>
      <c r="FV89" s="1568"/>
      <c r="FW89" s="1568"/>
      <c r="FX89" s="1568"/>
      <c r="FY89" s="1568"/>
      <c r="FZ89" s="1568"/>
      <c r="GA89" s="1568"/>
      <c r="GB89" s="1568"/>
      <c r="GC89" s="1568"/>
      <c r="GD89" s="1568"/>
      <c r="GE89" s="1568"/>
      <c r="GF89" s="1568"/>
      <c r="GG89" s="1568"/>
      <c r="GH89" s="1568"/>
      <c r="GI89" s="1568"/>
      <c r="GJ89" s="1568"/>
      <c r="GK89" s="1568"/>
      <c r="GL89" s="1568"/>
      <c r="GM89" s="1568"/>
      <c r="GN89" s="1568"/>
      <c r="GO89" s="1568"/>
      <c r="GP89" s="1568"/>
      <c r="GQ89" s="1568"/>
      <c r="GR89" s="1568"/>
      <c r="GS89" s="1568"/>
      <c r="GT89" s="1568"/>
      <c r="GU89" s="1568"/>
      <c r="GV89" s="1568"/>
      <c r="GW89" s="1568"/>
      <c r="GX89" s="1568"/>
      <c r="GY89" s="1568"/>
      <c r="GZ89" s="1568"/>
      <c r="HA89" s="1568"/>
      <c r="HB89" s="1568"/>
      <c r="HC89" s="1568"/>
      <c r="HD89" s="1568"/>
      <c r="HE89" s="1568"/>
      <c r="HF89" s="1568"/>
      <c r="HG89" s="1568"/>
      <c r="HH89" s="1568"/>
      <c r="HI89" s="1568"/>
      <c r="HJ89" s="1568"/>
      <c r="HK89" s="1568"/>
      <c r="HL89" s="1568"/>
      <c r="HM89" s="1568"/>
      <c r="HN89" s="1568"/>
      <c r="HO89" s="1568"/>
      <c r="HP89" s="1568"/>
      <c r="HQ89" s="1568"/>
      <c r="HR89" s="1568"/>
      <c r="HS89" s="1568"/>
      <c r="HT89" s="1568"/>
      <c r="HU89" s="1568"/>
      <c r="HV89" s="1568"/>
      <c r="HW89" s="1568"/>
      <c r="HX89" s="1568"/>
      <c r="HY89" s="1568"/>
      <c r="HZ89" s="1568"/>
      <c r="IA89" s="1568"/>
      <c r="IB89" s="1568"/>
      <c r="IC89" s="1568"/>
      <c r="ID89" s="1568"/>
      <c r="IE89" s="1568"/>
      <c r="IF89" s="1568"/>
      <c r="IG89" s="1568"/>
      <c r="IH89" s="1568"/>
      <c r="II89" s="1568"/>
      <c r="IJ89" s="1568"/>
      <c r="IK89" s="1568"/>
      <c r="IL89" s="1568"/>
      <c r="IM89" s="1568"/>
      <c r="IN89" s="1568"/>
      <c r="IO89" s="1568"/>
      <c r="IP89" s="1568"/>
      <c r="IQ89" s="1584"/>
      <c r="IR89" s="1568"/>
      <c r="IS89" s="1568"/>
      <c r="IT89" s="1584"/>
      <c r="IU89" s="1568"/>
      <c r="IV89" s="1568"/>
      <c r="IW89" s="1568"/>
      <c r="IX89" s="1568"/>
      <c r="IY89" s="1568"/>
      <c r="IZ89" s="1568"/>
      <c r="JA89" s="1568"/>
      <c r="JB89" s="1568"/>
      <c r="JC89" s="1568"/>
      <c r="JD89" s="1568"/>
      <c r="JE89" s="1568"/>
      <c r="JF89" s="1568"/>
      <c r="JG89" s="1568"/>
      <c r="JH89" s="1568"/>
      <c r="JI89" s="1584"/>
      <c r="JJ89" s="1568"/>
      <c r="JK89" s="1584"/>
      <c r="JL89" s="1584"/>
      <c r="JM89" s="1584"/>
      <c r="JN89" s="1568"/>
      <c r="JO89" s="1584"/>
      <c r="JP89" s="1584"/>
      <c r="JQ89" s="1585"/>
      <c r="JR89" s="351"/>
      <c r="JS89" s="1400"/>
      <c r="JT89" s="450" t="s">
        <v>2224</v>
      </c>
    </row>
    <row r="90" spans="1:280" ht="12.5" x14ac:dyDescent="0.25">
      <c r="A90" s="1367">
        <v>60</v>
      </c>
      <c r="B90" s="1574" t="str">
        <f t="shared" si="33"/>
        <v/>
      </c>
      <c r="C90" s="1435" t="s">
        <v>3675</v>
      </c>
      <c r="D90" s="1436" t="s">
        <v>3676</v>
      </c>
      <c r="E90" s="1563"/>
      <c r="F90" s="1563"/>
      <c r="G90" s="1563"/>
      <c r="H90" s="1563"/>
      <c r="I90" s="1563"/>
      <c r="J90" s="1563"/>
      <c r="K90" s="1563"/>
      <c r="L90" s="1563"/>
      <c r="M90" s="1563"/>
      <c r="N90" s="1563"/>
      <c r="O90" s="1563"/>
      <c r="P90" s="1563"/>
      <c r="Q90" s="1563"/>
      <c r="R90" s="1563"/>
      <c r="S90" s="1563"/>
      <c r="T90" s="1563"/>
      <c r="U90" s="1563"/>
      <c r="V90" s="1563"/>
      <c r="W90" s="1563"/>
      <c r="X90" s="1563"/>
      <c r="Y90" s="1563"/>
      <c r="Z90" s="1563"/>
      <c r="AA90" s="1563"/>
      <c r="AB90" s="1563"/>
      <c r="AC90" s="1563"/>
      <c r="AD90" s="1563"/>
      <c r="AE90" s="1563"/>
      <c r="AF90" s="1563"/>
      <c r="AG90" s="1563"/>
      <c r="AH90" s="1563"/>
      <c r="AI90" s="1563"/>
      <c r="AJ90" s="1563"/>
      <c r="AK90" s="1563"/>
      <c r="AL90" s="1563"/>
      <c r="AM90" s="1563"/>
      <c r="AN90" s="1563"/>
      <c r="AO90" s="1563"/>
      <c r="AP90" s="1563"/>
      <c r="AQ90" s="1563"/>
      <c r="AR90" s="1563"/>
      <c r="AS90" s="1563"/>
      <c r="AT90" s="1563"/>
      <c r="AU90" s="1563"/>
      <c r="AV90" s="1563"/>
      <c r="AW90" s="1563"/>
      <c r="AX90" s="1563"/>
      <c r="AY90" s="1563"/>
      <c r="AZ90" s="1563"/>
      <c r="BA90" s="1563"/>
      <c r="BB90" s="1563">
        <f>MAX(0,BB87+BB88-BB89)</f>
        <v>0</v>
      </c>
      <c r="BC90" s="1563">
        <f>MAX(0,BC87+BC88-BC89)</f>
        <v>0</v>
      </c>
      <c r="BD90" s="1563"/>
      <c r="BE90" s="1563"/>
      <c r="BF90" s="1563"/>
      <c r="BG90" s="1563"/>
      <c r="BH90" s="1563"/>
      <c r="BI90" s="1563"/>
      <c r="BJ90" s="1563"/>
      <c r="BK90" s="1563"/>
      <c r="BL90" s="1563"/>
      <c r="BM90" s="1563"/>
      <c r="BN90" s="1563"/>
      <c r="BO90" s="1563"/>
      <c r="BP90" s="1563"/>
      <c r="BQ90" s="1563"/>
      <c r="BR90" s="1563"/>
      <c r="BS90" s="1563"/>
      <c r="BT90" s="1563"/>
      <c r="BU90" s="1563"/>
      <c r="BV90" s="1563"/>
      <c r="BW90" s="1563"/>
      <c r="BX90" s="1563"/>
      <c r="BY90" s="1563"/>
      <c r="BZ90" s="1563"/>
      <c r="CA90" s="1563"/>
      <c r="CB90" s="1563">
        <f>MAX(0,CB87+CB88-CB89)</f>
        <v>0</v>
      </c>
      <c r="CC90" s="1563">
        <f>MAX(0,CC87+CC88-CC89)</f>
        <v>0</v>
      </c>
      <c r="CD90" s="1563"/>
      <c r="CE90" s="1563"/>
      <c r="CF90" s="1563"/>
      <c r="CG90" s="1563"/>
      <c r="CH90" s="1563"/>
      <c r="CI90" s="1563"/>
      <c r="CJ90" s="1563"/>
      <c r="CK90" s="1563">
        <f>MAX(0,CK87+CK88-CK89)</f>
        <v>0</v>
      </c>
      <c r="CL90" s="1563"/>
      <c r="CM90" s="1563"/>
      <c r="CN90" s="1563"/>
      <c r="CO90" s="1563"/>
      <c r="CP90" s="1563">
        <f>MAX(0,CP87+CP88-CP89)</f>
        <v>0</v>
      </c>
      <c r="CQ90" s="1563"/>
      <c r="CR90" s="1563"/>
      <c r="CS90" s="1563"/>
      <c r="CT90" s="1563"/>
      <c r="CU90" s="1563"/>
      <c r="CV90" s="1563"/>
      <c r="CW90" s="1563"/>
      <c r="CX90" s="1563"/>
      <c r="CY90" s="1563">
        <f>MAX(0,CY87+CY88-CY89)</f>
        <v>0</v>
      </c>
      <c r="CZ90" s="1563">
        <f>MAX(0,CZ87+CZ88-CZ89)</f>
        <v>4761</v>
      </c>
      <c r="DA90" s="1563">
        <f>MAX(0,DA87+DA88-DA89)</f>
        <v>4761</v>
      </c>
      <c r="DB90" s="1563"/>
      <c r="DC90" s="1563"/>
      <c r="DD90" s="1563"/>
      <c r="DE90" s="1563"/>
      <c r="DF90" s="1563"/>
      <c r="DG90" s="1563"/>
      <c r="DH90" s="1563">
        <f>MAX(0,DH87+DH88-DH89)</f>
        <v>0</v>
      </c>
      <c r="DI90" s="1563"/>
      <c r="DJ90" s="1563"/>
      <c r="DK90" s="1563"/>
      <c r="DL90" s="1563"/>
      <c r="DM90" s="1563">
        <f>MAX(0,DM87+DM88-DM89)</f>
        <v>0</v>
      </c>
      <c r="DN90" s="1563"/>
      <c r="DO90" s="1563"/>
      <c r="DP90" s="1563"/>
      <c r="DQ90" s="1563"/>
      <c r="DR90" s="1563"/>
      <c r="DS90" s="1563"/>
      <c r="DT90" s="1563"/>
      <c r="DU90" s="1563"/>
      <c r="DV90" s="1563"/>
      <c r="DW90" s="1563"/>
      <c r="DX90" s="1563"/>
      <c r="DY90" s="1563"/>
      <c r="DZ90" s="1563"/>
      <c r="EA90" s="1563"/>
      <c r="EB90" s="1563"/>
      <c r="EC90" s="1563"/>
      <c r="ED90" s="1563"/>
      <c r="EE90" s="1563"/>
      <c r="EF90" s="1563"/>
      <c r="EG90" s="1563"/>
      <c r="EH90" s="1563">
        <f>MAX(0,EH87+EH88-EH89)</f>
        <v>0</v>
      </c>
      <c r="EI90" s="1563">
        <f>MAX(0,EI87+EI88-EI89)</f>
        <v>9861</v>
      </c>
      <c r="EJ90" s="1563"/>
      <c r="EK90" s="1563"/>
      <c r="EL90" s="1563"/>
      <c r="EM90" s="1563"/>
      <c r="EN90" s="1563"/>
      <c r="EO90" s="1563"/>
      <c r="EP90" s="1563"/>
      <c r="EQ90" s="1563"/>
      <c r="ER90" s="1563"/>
      <c r="ES90" s="1563"/>
      <c r="ET90" s="1563"/>
      <c r="EU90" s="1563"/>
      <c r="EV90" s="1563"/>
      <c r="EW90" s="1563"/>
      <c r="EX90" s="1563"/>
      <c r="EY90" s="1563"/>
      <c r="EZ90" s="1563"/>
      <c r="FA90" s="1563">
        <f>MAX(0,FA87+FA88-FA89)</f>
        <v>0</v>
      </c>
      <c r="FB90" s="1563"/>
      <c r="FC90" s="1563"/>
      <c r="FD90" s="1563"/>
      <c r="FE90" s="1563"/>
      <c r="FF90" s="1563"/>
      <c r="FG90" s="1563"/>
      <c r="FH90" s="1563"/>
      <c r="FI90" s="1563"/>
      <c r="FJ90" s="1563"/>
      <c r="FK90" s="1563">
        <f>MAX(0,FK87+FK88-FK89)</f>
        <v>4761</v>
      </c>
      <c r="FL90" s="1563"/>
      <c r="FM90" s="1563"/>
      <c r="FN90" s="1563"/>
      <c r="FO90" s="1563"/>
      <c r="FP90" s="1563"/>
      <c r="FQ90" s="1563"/>
      <c r="FR90" s="1563"/>
      <c r="FS90" s="1563"/>
      <c r="FT90" s="1563"/>
      <c r="FU90" s="1563"/>
      <c r="FV90" s="1563">
        <f>MAX(0,FV87+FV88-FV89)</f>
        <v>0</v>
      </c>
      <c r="FW90" s="1563"/>
      <c r="FX90" s="1563"/>
      <c r="FY90" s="1563"/>
      <c r="FZ90" s="1563"/>
      <c r="GA90" s="1563"/>
      <c r="GB90" s="1563"/>
      <c r="GC90" s="1563"/>
      <c r="GD90" s="1563"/>
      <c r="GE90" s="1563"/>
      <c r="GF90" s="1563"/>
      <c r="GG90" s="1563"/>
      <c r="GH90" s="1563"/>
      <c r="GI90" s="1563"/>
      <c r="GJ90" s="1563"/>
      <c r="GK90" s="1563"/>
      <c r="GL90" s="1563"/>
      <c r="GM90" s="1563"/>
      <c r="GN90" s="1563"/>
      <c r="GO90" s="1563"/>
      <c r="GP90" s="1563"/>
      <c r="GQ90" s="1563"/>
      <c r="GR90" s="1563"/>
      <c r="GS90" s="1563"/>
      <c r="GT90" s="1563"/>
      <c r="GU90" s="1563"/>
      <c r="GV90" s="1563"/>
      <c r="GW90" s="1563">
        <f>MAX(0,GW87+GW88-GW89)</f>
        <v>0</v>
      </c>
      <c r="GX90" s="1563"/>
      <c r="GY90" s="1563">
        <f>MAX(0,GY87+GY88-GY89)</f>
        <v>9862</v>
      </c>
      <c r="GZ90" s="1563"/>
      <c r="HA90" s="1563"/>
      <c r="HB90" s="1563"/>
      <c r="HC90" s="1563"/>
      <c r="HD90" s="1563"/>
      <c r="HE90" s="1563">
        <f>MAX(0,HE87+HE88-HE89)</f>
        <v>0</v>
      </c>
      <c r="HF90" s="1563"/>
      <c r="HG90" s="1563"/>
      <c r="HH90" s="1563"/>
      <c r="HI90" s="1563"/>
      <c r="HJ90" s="1563"/>
      <c r="HK90" s="1563"/>
      <c r="HL90" s="1563"/>
      <c r="HM90" s="1563"/>
      <c r="HN90" s="1563"/>
      <c r="HO90" s="1563"/>
      <c r="HP90" s="1563"/>
      <c r="HQ90" s="1563"/>
      <c r="HR90" s="1563"/>
      <c r="HS90" s="1563"/>
      <c r="HT90" s="1563"/>
      <c r="HU90" s="1563"/>
      <c r="HV90" s="1563"/>
      <c r="HW90" s="1563"/>
      <c r="HX90" s="1563"/>
      <c r="HY90" s="1563"/>
      <c r="HZ90" s="1563"/>
      <c r="IA90" s="1563"/>
      <c r="IB90" s="1563"/>
      <c r="IC90" s="1563"/>
      <c r="ID90" s="1563"/>
      <c r="IE90" s="1563"/>
      <c r="IF90" s="1563"/>
      <c r="IG90" s="1563"/>
      <c r="IH90" s="1563"/>
      <c r="II90" s="1563"/>
      <c r="IJ90" s="1563"/>
      <c r="IK90" s="1563"/>
      <c r="IL90" s="1563"/>
      <c r="IM90" s="1563"/>
      <c r="IN90" s="1563"/>
      <c r="IO90" s="1563">
        <f>MAX(0,IO87+IO88-IO89)</f>
        <v>0</v>
      </c>
      <c r="IP90" s="1563"/>
      <c r="IQ90" s="1591">
        <f>MAX(0,IQ87+IQ88-IQ89)</f>
        <v>0</v>
      </c>
      <c r="IR90" s="1563"/>
      <c r="IS90" s="1563"/>
      <c r="IT90" s="1591">
        <f>MAX(0,IT87+IT88-IT89)</f>
        <v>0</v>
      </c>
      <c r="IU90" s="1563"/>
      <c r="IV90" s="1563"/>
      <c r="IW90" s="1563"/>
      <c r="IX90" s="1563"/>
      <c r="IY90" s="1563"/>
      <c r="IZ90" s="1563"/>
      <c r="JA90" s="1563"/>
      <c r="JB90" s="1563">
        <f>MAX(0,JB87+JB88-JB89)</f>
        <v>0</v>
      </c>
      <c r="JC90" s="1563"/>
      <c r="JD90" s="1563"/>
      <c r="JE90" s="1563"/>
      <c r="JF90" s="1563"/>
      <c r="JG90" s="1563"/>
      <c r="JH90" s="1563"/>
      <c r="JI90" s="1591">
        <f>MAX(0,JI87+JI88-JI89)</f>
        <v>0</v>
      </c>
      <c r="JJ90" s="1563"/>
      <c r="JK90" s="1591"/>
      <c r="JL90" s="1591"/>
      <c r="JM90" s="1591">
        <f>MAX(0,JM87+JM88-JM89)</f>
        <v>0</v>
      </c>
      <c r="JN90" s="1563"/>
      <c r="JO90" s="1591"/>
      <c r="JP90" s="1591"/>
      <c r="JQ90" s="1593"/>
      <c r="JR90" s="351"/>
      <c r="JS90" s="1400" t="s">
        <v>3677</v>
      </c>
      <c r="JT90" s="450" t="s">
        <v>2224</v>
      </c>
    </row>
    <row r="91" spans="1:280" ht="12.5" x14ac:dyDescent="0.25">
      <c r="A91" s="1367">
        <v>61</v>
      </c>
      <c r="B91" s="1574" t="str">
        <f t="shared" si="33"/>
        <v/>
      </c>
      <c r="C91" s="1644" t="s">
        <v>3678</v>
      </c>
      <c r="D91" s="1539" t="s">
        <v>3252</v>
      </c>
      <c r="E91" s="1586"/>
      <c r="F91" s="1586"/>
      <c r="G91" s="1586"/>
      <c r="H91" s="1586"/>
      <c r="I91" s="1586"/>
      <c r="J91" s="1586"/>
      <c r="K91" s="1586"/>
      <c r="L91" s="1586"/>
      <c r="M91" s="1586"/>
      <c r="N91" s="1586"/>
      <c r="O91" s="1586"/>
      <c r="P91" s="1586"/>
      <c r="Q91" s="1586"/>
      <c r="R91" s="1586"/>
      <c r="S91" s="1586"/>
      <c r="T91" s="1586"/>
      <c r="U91" s="1586"/>
      <c r="V91" s="1586"/>
      <c r="W91" s="1586"/>
      <c r="X91" s="1586"/>
      <c r="Y91" s="1586"/>
      <c r="Z91" s="1586"/>
      <c r="AA91" s="1586"/>
      <c r="AB91" s="1586"/>
      <c r="AC91" s="1586"/>
      <c r="AD91" s="1586"/>
      <c r="AE91" s="1586"/>
      <c r="AF91" s="1586"/>
      <c r="AG91" s="1586"/>
      <c r="AH91" s="1586"/>
      <c r="AI91" s="1586"/>
      <c r="AJ91" s="1586"/>
      <c r="AK91" s="1586"/>
      <c r="AL91" s="1586"/>
      <c r="AM91" s="1586"/>
      <c r="AN91" s="1586"/>
      <c r="AO91" s="1586"/>
      <c r="AP91" s="1586"/>
      <c r="AQ91" s="1586"/>
      <c r="AR91" s="1586"/>
      <c r="AS91" s="1586"/>
      <c r="AT91" s="1586"/>
      <c r="AU91" s="1586"/>
      <c r="AV91" s="1586"/>
      <c r="AW91" s="1586"/>
      <c r="AX91" s="1586"/>
      <c r="AY91" s="1586"/>
      <c r="AZ91" s="1586"/>
      <c r="BA91" s="1586"/>
      <c r="BB91" s="1586"/>
      <c r="BC91" s="1586"/>
      <c r="BD91" s="1586"/>
      <c r="BE91" s="1586"/>
      <c r="BF91" s="1586"/>
      <c r="BG91" s="1586"/>
      <c r="BH91" s="1586"/>
      <c r="BI91" s="1586"/>
      <c r="BJ91" s="1586"/>
      <c r="BK91" s="1586"/>
      <c r="BL91" s="1586"/>
      <c r="BM91" s="1586"/>
      <c r="BN91" s="1586"/>
      <c r="BO91" s="1586"/>
      <c r="BP91" s="1586"/>
      <c r="BQ91" s="1586"/>
      <c r="BR91" s="1586"/>
      <c r="BS91" s="1586"/>
      <c r="BT91" s="1586"/>
      <c r="BU91" s="1586"/>
      <c r="BV91" s="1586"/>
      <c r="BW91" s="1586"/>
      <c r="BX91" s="1586"/>
      <c r="BY91" s="1586"/>
      <c r="BZ91" s="1586"/>
      <c r="CA91" s="1586"/>
      <c r="CB91" s="1586"/>
      <c r="CC91" s="1586"/>
      <c r="CD91" s="1586"/>
      <c r="CE91" s="1586"/>
      <c r="CF91" s="1586"/>
      <c r="CG91" s="1586"/>
      <c r="CH91" s="1586"/>
      <c r="CI91" s="1586"/>
      <c r="CJ91" s="1586"/>
      <c r="CK91" s="1586"/>
      <c r="CL91" s="1586"/>
      <c r="CM91" s="1586"/>
      <c r="CN91" s="1586"/>
      <c r="CO91" s="1586"/>
      <c r="CP91" s="1586"/>
      <c r="CQ91" s="1586"/>
      <c r="CR91" s="1586"/>
      <c r="CS91" s="1586"/>
      <c r="CT91" s="1586"/>
      <c r="CU91" s="1586"/>
      <c r="CV91" s="1586"/>
      <c r="CW91" s="1586"/>
      <c r="CX91" s="1586"/>
      <c r="CY91" s="1586"/>
      <c r="CZ91" s="1586"/>
      <c r="DA91" s="1586"/>
      <c r="DB91" s="1586"/>
      <c r="DC91" s="1586"/>
      <c r="DD91" s="1586"/>
      <c r="DE91" s="1586"/>
      <c r="DF91" s="1586"/>
      <c r="DG91" s="1586"/>
      <c r="DH91" s="1586"/>
      <c r="DI91" s="1586"/>
      <c r="DJ91" s="1586"/>
      <c r="DK91" s="1586"/>
      <c r="DL91" s="1586"/>
      <c r="DM91" s="1586"/>
      <c r="DN91" s="1586"/>
      <c r="DO91" s="1586"/>
      <c r="DP91" s="1586"/>
      <c r="DQ91" s="1586"/>
      <c r="DR91" s="1586"/>
      <c r="DS91" s="1586"/>
      <c r="DT91" s="1586"/>
      <c r="DU91" s="1586"/>
      <c r="DV91" s="1586"/>
      <c r="DW91" s="1586"/>
      <c r="DX91" s="1586"/>
      <c r="DY91" s="1586"/>
      <c r="DZ91" s="1586"/>
      <c r="EA91" s="1586"/>
      <c r="EB91" s="1586"/>
      <c r="EC91" s="1586"/>
      <c r="ED91" s="1586"/>
      <c r="EE91" s="1586"/>
      <c r="EF91" s="1586"/>
      <c r="EG91" s="1586"/>
      <c r="EH91" s="1586"/>
      <c r="EI91" s="1586"/>
      <c r="EJ91" s="1586"/>
      <c r="EK91" s="1586"/>
      <c r="EL91" s="1586"/>
      <c r="EM91" s="1586"/>
      <c r="EN91" s="1586"/>
      <c r="EO91" s="1586"/>
      <c r="EP91" s="1586"/>
      <c r="EQ91" s="1586"/>
      <c r="ER91" s="1586"/>
      <c r="ES91" s="1586"/>
      <c r="ET91" s="1586"/>
      <c r="EU91" s="1586"/>
      <c r="EV91" s="1586"/>
      <c r="EW91" s="1586"/>
      <c r="EX91" s="1586"/>
      <c r="EY91" s="1586"/>
      <c r="EZ91" s="1586"/>
      <c r="FA91" s="1586"/>
      <c r="FB91" s="1586"/>
      <c r="FC91" s="1586"/>
      <c r="FD91" s="1586"/>
      <c r="FE91" s="1586"/>
      <c r="FF91" s="1586"/>
      <c r="FG91" s="1586"/>
      <c r="FH91" s="1586"/>
      <c r="FI91" s="1586"/>
      <c r="FJ91" s="1586"/>
      <c r="FK91" s="1586"/>
      <c r="FL91" s="1586"/>
      <c r="FM91" s="1586"/>
      <c r="FN91" s="1586"/>
      <c r="FO91" s="1586"/>
      <c r="FP91" s="1586"/>
      <c r="FQ91" s="1586"/>
      <c r="FR91" s="1586"/>
      <c r="FS91" s="1586"/>
      <c r="FT91" s="1586"/>
      <c r="FU91" s="1586"/>
      <c r="FV91" s="1586"/>
      <c r="FW91" s="1586"/>
      <c r="FX91" s="1586"/>
      <c r="FY91" s="1586"/>
      <c r="FZ91" s="1586"/>
      <c r="GA91" s="1586"/>
      <c r="GB91" s="1586"/>
      <c r="GC91" s="1586"/>
      <c r="GD91" s="1586"/>
      <c r="GE91" s="1586"/>
      <c r="GF91" s="1586"/>
      <c r="GG91" s="1586"/>
      <c r="GH91" s="1586"/>
      <c r="GI91" s="1586"/>
      <c r="GJ91" s="1586"/>
      <c r="GK91" s="1586"/>
      <c r="GL91" s="1586"/>
      <c r="GM91" s="1586"/>
      <c r="GN91" s="1586"/>
      <c r="GO91" s="1586"/>
      <c r="GP91" s="1586"/>
      <c r="GQ91" s="1586"/>
      <c r="GR91" s="1586"/>
      <c r="GS91" s="1586"/>
      <c r="GT91" s="1586"/>
      <c r="GU91" s="1586"/>
      <c r="GV91" s="1586"/>
      <c r="GW91" s="1586"/>
      <c r="GX91" s="1586"/>
      <c r="GY91" s="1586"/>
      <c r="GZ91" s="1586"/>
      <c r="HA91" s="1586"/>
      <c r="HB91" s="1586"/>
      <c r="HC91" s="1586"/>
      <c r="HD91" s="1586"/>
      <c r="HE91" s="1586"/>
      <c r="HF91" s="1586"/>
      <c r="HG91" s="1586"/>
      <c r="HH91" s="1586"/>
      <c r="HI91" s="1586"/>
      <c r="HJ91" s="1586"/>
      <c r="HK91" s="1586"/>
      <c r="HL91" s="1586"/>
      <c r="HM91" s="1586"/>
      <c r="HN91" s="1586"/>
      <c r="HO91" s="1586"/>
      <c r="HP91" s="1586"/>
      <c r="HQ91" s="1586"/>
      <c r="HR91" s="1586"/>
      <c r="HS91" s="1586"/>
      <c r="HT91" s="1586"/>
      <c r="HU91" s="1586"/>
      <c r="HV91" s="1586"/>
      <c r="HW91" s="1586"/>
      <c r="HX91" s="1586"/>
      <c r="HY91" s="1586"/>
      <c r="HZ91" s="1586"/>
      <c r="IA91" s="1586"/>
      <c r="IB91" s="1586"/>
      <c r="IC91" s="1586"/>
      <c r="ID91" s="1586"/>
      <c r="IE91" s="1586"/>
      <c r="IF91" s="1586"/>
      <c r="IG91" s="1586"/>
      <c r="IH91" s="1586"/>
      <c r="II91" s="1586"/>
      <c r="IJ91" s="1586"/>
      <c r="IK91" s="1586"/>
      <c r="IL91" s="1586"/>
      <c r="IM91" s="1586"/>
      <c r="IN91" s="1586"/>
      <c r="IO91" s="1586"/>
      <c r="IP91" s="1586"/>
      <c r="IQ91" s="1587"/>
      <c r="IR91" s="1586"/>
      <c r="IS91" s="1586"/>
      <c r="IT91" s="1587"/>
      <c r="IU91" s="1586"/>
      <c r="IV91" s="1586"/>
      <c r="IW91" s="1586"/>
      <c r="IX91" s="1586"/>
      <c r="IY91" s="1586"/>
      <c r="IZ91" s="1586"/>
      <c r="JA91" s="1586"/>
      <c r="JB91" s="1586"/>
      <c r="JC91" s="1586"/>
      <c r="JD91" s="1586"/>
      <c r="JE91" s="1586"/>
      <c r="JF91" s="1586"/>
      <c r="JG91" s="1586"/>
      <c r="JH91" s="1586"/>
      <c r="JI91" s="1587"/>
      <c r="JJ91" s="1586"/>
      <c r="JK91" s="1587"/>
      <c r="JL91" s="1587"/>
      <c r="JM91" s="1587"/>
      <c r="JN91" s="1586"/>
      <c r="JO91" s="1587"/>
      <c r="JP91" s="1587"/>
      <c r="JQ91" s="1588"/>
      <c r="JR91" s="351"/>
      <c r="JS91" s="1400"/>
      <c r="JT91" s="450"/>
    </row>
    <row r="92" spans="1:280" ht="12.5" x14ac:dyDescent="0.25">
      <c r="A92" s="1367">
        <v>62</v>
      </c>
      <c r="B92" s="1574" t="str">
        <f t="shared" si="33"/>
        <v/>
      </c>
      <c r="C92" s="1435" t="s">
        <v>3679</v>
      </c>
      <c r="D92" s="1436" t="s">
        <v>3680</v>
      </c>
      <c r="E92" s="1568"/>
      <c r="F92" s="1568"/>
      <c r="G92" s="1568"/>
      <c r="H92" s="1568"/>
      <c r="I92" s="1568"/>
      <c r="J92" s="1568"/>
      <c r="K92" s="1568"/>
      <c r="L92" s="1568"/>
      <c r="M92" s="1568"/>
      <c r="N92" s="1568"/>
      <c r="O92" s="1568"/>
      <c r="P92" s="1568"/>
      <c r="Q92" s="1568"/>
      <c r="R92" s="1568"/>
      <c r="S92" s="1568"/>
      <c r="T92" s="1568"/>
      <c r="U92" s="1568"/>
      <c r="V92" s="1568"/>
      <c r="W92" s="1568"/>
      <c r="X92" s="1568"/>
      <c r="Y92" s="1568"/>
      <c r="Z92" s="1568"/>
      <c r="AA92" s="1568"/>
      <c r="AB92" s="1568"/>
      <c r="AC92" s="1568"/>
      <c r="AD92" s="1568"/>
      <c r="AE92" s="1568"/>
      <c r="AF92" s="1568"/>
      <c r="AG92" s="1568"/>
      <c r="AH92" s="1568"/>
      <c r="AI92" s="1568"/>
      <c r="AJ92" s="1568"/>
      <c r="AK92" s="1568"/>
      <c r="AL92" s="1568"/>
      <c r="AM92" s="1568"/>
      <c r="AN92" s="1568"/>
      <c r="AO92" s="1568"/>
      <c r="AP92" s="1568"/>
      <c r="AQ92" s="1568"/>
      <c r="AR92" s="1568"/>
      <c r="AS92" s="1568"/>
      <c r="AT92" s="1568"/>
      <c r="AU92" s="1568"/>
      <c r="AV92" s="1568"/>
      <c r="AW92" s="1568"/>
      <c r="AX92" s="1568"/>
      <c r="AY92" s="1568"/>
      <c r="AZ92" s="1568"/>
      <c r="BA92" s="1568"/>
      <c r="BB92" s="1568">
        <v>1421</v>
      </c>
      <c r="BC92" s="1568"/>
      <c r="BD92" s="1568"/>
      <c r="BE92" s="1568"/>
      <c r="BF92" s="1568"/>
      <c r="BG92" s="1568"/>
      <c r="BH92" s="1568"/>
      <c r="BI92" s="1568"/>
      <c r="BJ92" s="1568"/>
      <c r="BK92" s="1568"/>
      <c r="BL92" s="1568"/>
      <c r="BM92" s="1568"/>
      <c r="BN92" s="1568"/>
      <c r="BO92" s="1568"/>
      <c r="BP92" s="1568"/>
      <c r="BQ92" s="1568"/>
      <c r="BR92" s="1568"/>
      <c r="BS92" s="1568"/>
      <c r="BT92" s="1568"/>
      <c r="BU92" s="1568"/>
      <c r="BV92" s="1568"/>
      <c r="BW92" s="1568"/>
      <c r="BX92" s="1568"/>
      <c r="BY92" s="1568"/>
      <c r="BZ92" s="1568"/>
      <c r="CA92" s="1568"/>
      <c r="CB92" s="1568"/>
      <c r="CC92" s="1568"/>
      <c r="CD92" s="1568"/>
      <c r="CE92" s="1568"/>
      <c r="CF92" s="1568"/>
      <c r="CG92" s="1568"/>
      <c r="CH92" s="1568"/>
      <c r="CI92" s="1568"/>
      <c r="CJ92" s="1568"/>
      <c r="CK92" s="1568"/>
      <c r="CL92" s="1568"/>
      <c r="CM92" s="1568"/>
      <c r="CN92" s="1568"/>
      <c r="CO92" s="1568"/>
      <c r="CP92" s="1568"/>
      <c r="CQ92" s="1568"/>
      <c r="CR92" s="1568"/>
      <c r="CS92" s="1568"/>
      <c r="CT92" s="1568"/>
      <c r="CU92" s="1568"/>
      <c r="CV92" s="1568"/>
      <c r="CW92" s="1568"/>
      <c r="CX92" s="1568"/>
      <c r="CY92" s="1568"/>
      <c r="CZ92" s="1568">
        <v>10640</v>
      </c>
      <c r="DA92" s="1568">
        <v>10640</v>
      </c>
      <c r="DB92" s="1568"/>
      <c r="DC92" s="1568"/>
      <c r="DD92" s="1568"/>
      <c r="DE92" s="1568"/>
      <c r="DF92" s="1568"/>
      <c r="DG92" s="1568"/>
      <c r="DH92" s="1568"/>
      <c r="DI92" s="1568"/>
      <c r="DJ92" s="1568"/>
      <c r="DK92" s="1568"/>
      <c r="DL92" s="1568"/>
      <c r="DM92" s="1568"/>
      <c r="DN92" s="1568"/>
      <c r="DO92" s="1568"/>
      <c r="DP92" s="1568"/>
      <c r="DQ92" s="1568"/>
      <c r="DR92" s="1568"/>
      <c r="DS92" s="1568"/>
      <c r="DT92" s="1568"/>
      <c r="DU92" s="1568"/>
      <c r="DV92" s="1568"/>
      <c r="DW92" s="1568"/>
      <c r="DX92" s="1568"/>
      <c r="DY92" s="1568"/>
      <c r="DZ92" s="1568"/>
      <c r="EA92" s="1568"/>
      <c r="EB92" s="1568"/>
      <c r="EC92" s="1568"/>
      <c r="ED92" s="1568"/>
      <c r="EE92" s="1568"/>
      <c r="EF92" s="1568"/>
      <c r="EG92" s="1568"/>
      <c r="EH92" s="1568"/>
      <c r="EI92" s="1568"/>
      <c r="EJ92" s="1568"/>
      <c r="EK92" s="1568"/>
      <c r="EL92" s="1568"/>
      <c r="EM92" s="1568"/>
      <c r="EN92" s="1568"/>
      <c r="EO92" s="1568"/>
      <c r="EP92" s="1568"/>
      <c r="EQ92" s="1568"/>
      <c r="ER92" s="1570">
        <v>106</v>
      </c>
      <c r="ES92" s="1568"/>
      <c r="ET92" s="1568"/>
      <c r="EU92" s="1568"/>
      <c r="EV92" s="1568"/>
      <c r="EW92" s="1568"/>
      <c r="EX92" s="1568"/>
      <c r="EY92" s="1568"/>
      <c r="EZ92" s="1568"/>
      <c r="FA92" s="1568"/>
      <c r="FB92" s="1568"/>
      <c r="FC92" s="1568"/>
      <c r="FD92" s="1568"/>
      <c r="FE92" s="1568"/>
      <c r="FF92" s="1568"/>
      <c r="FG92" s="1568"/>
      <c r="FH92" s="1568"/>
      <c r="FI92" s="1568"/>
      <c r="FJ92" s="1568"/>
      <c r="FK92" s="1568">
        <v>10640</v>
      </c>
      <c r="FL92" s="1568"/>
      <c r="FM92" s="1568"/>
      <c r="FN92" s="1568"/>
      <c r="FO92" s="1568"/>
      <c r="FP92" s="1568"/>
      <c r="FQ92" s="1568"/>
      <c r="FR92" s="1568"/>
      <c r="FS92" s="1568"/>
      <c r="FT92" s="1568"/>
      <c r="FU92" s="1568"/>
      <c r="FV92" s="1568"/>
      <c r="FW92" s="1568"/>
      <c r="FX92" s="1568"/>
      <c r="FY92" s="1568"/>
      <c r="FZ92" s="1568"/>
      <c r="GA92" s="1568"/>
      <c r="GB92" s="1568"/>
      <c r="GC92" s="1568"/>
      <c r="GD92" s="1568"/>
      <c r="GE92" s="1568"/>
      <c r="GF92" s="1568"/>
      <c r="GG92" s="1568"/>
      <c r="GH92" s="1568"/>
      <c r="GI92" s="1568"/>
      <c r="GJ92" s="1568"/>
      <c r="GK92" s="1568"/>
      <c r="GL92" s="1568"/>
      <c r="GM92" s="1568"/>
      <c r="GN92" s="1568"/>
      <c r="GO92" s="1568"/>
      <c r="GP92" s="1568"/>
      <c r="GQ92" s="1568"/>
      <c r="GR92" s="1568"/>
      <c r="GS92" s="1568"/>
      <c r="GT92" s="1568"/>
      <c r="GU92" s="1568"/>
      <c r="GV92" s="1568"/>
      <c r="GW92" s="1568"/>
      <c r="GX92" s="1568"/>
      <c r="GY92" s="1568"/>
      <c r="GZ92" s="1568"/>
      <c r="HA92" s="1568"/>
      <c r="HB92" s="1568"/>
      <c r="HC92" s="1568"/>
      <c r="HD92" s="1568"/>
      <c r="HE92" s="1568"/>
      <c r="HF92" s="1568"/>
      <c r="HG92" s="1568"/>
      <c r="HH92" s="1568"/>
      <c r="HI92" s="1568"/>
      <c r="HJ92" s="1568"/>
      <c r="HK92" s="1568"/>
      <c r="HL92" s="1568"/>
      <c r="HM92" s="1568"/>
      <c r="HN92" s="1568"/>
      <c r="HO92" s="1568"/>
      <c r="HP92" s="1568"/>
      <c r="HQ92" s="1568"/>
      <c r="HR92" s="1568"/>
      <c r="HS92" s="1568"/>
      <c r="HT92" s="1568"/>
      <c r="HU92" s="1568"/>
      <c r="HV92" s="1568"/>
      <c r="HW92" s="1568"/>
      <c r="HX92" s="1568"/>
      <c r="HY92" s="1568"/>
      <c r="HZ92" s="1568"/>
      <c r="IA92" s="1568"/>
      <c r="IB92" s="1568"/>
      <c r="IC92" s="1568"/>
      <c r="ID92" s="1568"/>
      <c r="IE92" s="1568"/>
      <c r="IF92" s="1568"/>
      <c r="IG92" s="1568"/>
      <c r="IH92" s="1568"/>
      <c r="II92" s="1568"/>
      <c r="IJ92" s="1568"/>
      <c r="IK92" s="1568"/>
      <c r="IL92" s="1568"/>
      <c r="IM92" s="1568"/>
      <c r="IN92" s="1568"/>
      <c r="IO92" s="1568"/>
      <c r="IP92" s="1568"/>
      <c r="IQ92" s="1584"/>
      <c r="IR92" s="1568"/>
      <c r="IS92" s="1568"/>
      <c r="IT92" s="1584"/>
      <c r="IU92" s="1570">
        <v>276</v>
      </c>
      <c r="IV92" s="1568"/>
      <c r="IW92" s="1568"/>
      <c r="IX92" s="1568"/>
      <c r="IY92" s="1568"/>
      <c r="IZ92" s="1568"/>
      <c r="JA92" s="1568"/>
      <c r="JB92" s="1568"/>
      <c r="JC92" s="1568"/>
      <c r="JD92" s="1568"/>
      <c r="JE92" s="1568"/>
      <c r="JF92" s="1568"/>
      <c r="JG92" s="1568"/>
      <c r="JH92" s="1568"/>
      <c r="JI92" s="1584"/>
      <c r="JJ92" s="1568"/>
      <c r="JK92" s="1584"/>
      <c r="JL92" s="1584"/>
      <c r="JM92" s="1584"/>
      <c r="JN92" s="1568"/>
      <c r="JO92" s="1584"/>
      <c r="JP92" s="1584"/>
      <c r="JQ92" s="1585"/>
      <c r="JR92" s="351"/>
      <c r="JS92" s="1400"/>
      <c r="JT92" s="450" t="s">
        <v>2242</v>
      </c>
    </row>
    <row r="93" spans="1:280" ht="12.5" x14ac:dyDescent="0.25">
      <c r="A93" s="1367">
        <v>63</v>
      </c>
      <c r="B93" s="1574" t="str">
        <f t="shared" si="33"/>
        <v/>
      </c>
      <c r="C93" s="1435" t="s">
        <v>3681</v>
      </c>
      <c r="D93" s="1436" t="s">
        <v>3682</v>
      </c>
      <c r="E93" s="1568"/>
      <c r="F93" s="1568"/>
      <c r="G93" s="1568"/>
      <c r="H93" s="1568"/>
      <c r="I93" s="1568"/>
      <c r="J93" s="1568"/>
      <c r="K93" s="1568"/>
      <c r="L93" s="1568"/>
      <c r="M93" s="1568"/>
      <c r="N93" s="1568"/>
      <c r="O93" s="1568"/>
      <c r="P93" s="1568"/>
      <c r="Q93" s="1568"/>
      <c r="R93" s="1568"/>
      <c r="S93" s="1568"/>
      <c r="T93" s="1568"/>
      <c r="U93" s="1568"/>
      <c r="V93" s="1568"/>
      <c r="W93" s="1568"/>
      <c r="X93" s="1568"/>
      <c r="Y93" s="1568"/>
      <c r="Z93" s="1568"/>
      <c r="AA93" s="1568"/>
      <c r="AB93" s="1568"/>
      <c r="AC93" s="1568"/>
      <c r="AD93" s="1568"/>
      <c r="AE93" s="1568"/>
      <c r="AF93" s="1568"/>
      <c r="AG93" s="1568"/>
      <c r="AH93" s="1568"/>
      <c r="AI93" s="1568"/>
      <c r="AJ93" s="1568"/>
      <c r="AK93" s="1568"/>
      <c r="AL93" s="1568"/>
      <c r="AM93" s="1568"/>
      <c r="AN93" s="1568"/>
      <c r="AO93" s="1568"/>
      <c r="AP93" s="1568"/>
      <c r="AQ93" s="1568"/>
      <c r="AR93" s="1568"/>
      <c r="AS93" s="1568"/>
      <c r="AT93" s="1568"/>
      <c r="AU93" s="1568"/>
      <c r="AV93" s="1568"/>
      <c r="AW93" s="1568"/>
      <c r="AX93" s="1568"/>
      <c r="AY93" s="1568"/>
      <c r="AZ93" s="1568"/>
      <c r="BA93" s="1568"/>
      <c r="BB93" s="1568"/>
      <c r="BC93" s="1568"/>
      <c r="BD93" s="1568"/>
      <c r="BE93" s="1568"/>
      <c r="BF93" s="1568"/>
      <c r="BG93" s="1568"/>
      <c r="BH93" s="1568"/>
      <c r="BI93" s="1568"/>
      <c r="BJ93" s="1568"/>
      <c r="BK93" s="1568"/>
      <c r="BL93" s="1568"/>
      <c r="BM93" s="1568"/>
      <c r="BN93" s="1568"/>
      <c r="BO93" s="1568"/>
      <c r="BP93" s="1568"/>
      <c r="BQ93" s="1568"/>
      <c r="BR93" s="1568"/>
      <c r="BS93" s="1568"/>
      <c r="BT93" s="1568"/>
      <c r="BU93" s="1568"/>
      <c r="BV93" s="1568"/>
      <c r="BW93" s="1568"/>
      <c r="BX93" s="1568"/>
      <c r="BY93" s="1568"/>
      <c r="BZ93" s="1568"/>
      <c r="CA93" s="1568"/>
      <c r="CB93" s="1568"/>
      <c r="CC93" s="1568"/>
      <c r="CD93" s="1568"/>
      <c r="CE93" s="1568"/>
      <c r="CF93" s="1568"/>
      <c r="CG93" s="1568"/>
      <c r="CH93" s="1568"/>
      <c r="CI93" s="1568"/>
      <c r="CJ93" s="1568"/>
      <c r="CK93" s="1568"/>
      <c r="CL93" s="1568"/>
      <c r="CM93" s="1568"/>
      <c r="CN93" s="1568"/>
      <c r="CO93" s="1568"/>
      <c r="CP93" s="1568"/>
      <c r="CQ93" s="1568"/>
      <c r="CR93" s="1568"/>
      <c r="CS93" s="1568"/>
      <c r="CT93" s="1568"/>
      <c r="CU93" s="1568"/>
      <c r="CV93" s="1568"/>
      <c r="CW93" s="1568"/>
      <c r="CX93" s="1568"/>
      <c r="CY93" s="1568"/>
      <c r="CZ93" s="1569">
        <v>-2128</v>
      </c>
      <c r="DA93" s="1569">
        <v>-2128</v>
      </c>
      <c r="DB93" s="1568"/>
      <c r="DC93" s="1568"/>
      <c r="DD93" s="1568"/>
      <c r="DE93" s="1568"/>
      <c r="DF93" s="1568"/>
      <c r="DG93" s="1568"/>
      <c r="DH93" s="1568"/>
      <c r="DI93" s="1568"/>
      <c r="DJ93" s="1568"/>
      <c r="DK93" s="1568"/>
      <c r="DL93" s="1568"/>
      <c r="DM93" s="1568"/>
      <c r="DN93" s="1568"/>
      <c r="DO93" s="1568"/>
      <c r="DP93" s="1568"/>
      <c r="DQ93" s="1568"/>
      <c r="DR93" s="1568"/>
      <c r="DS93" s="1568"/>
      <c r="DT93" s="1568"/>
      <c r="DU93" s="1568"/>
      <c r="DV93" s="1568"/>
      <c r="DW93" s="1568"/>
      <c r="DX93" s="1568"/>
      <c r="DY93" s="1568"/>
      <c r="DZ93" s="1568"/>
      <c r="EA93" s="1568"/>
      <c r="EB93" s="1568"/>
      <c r="EC93" s="1568"/>
      <c r="ED93" s="1568"/>
      <c r="EE93" s="1568"/>
      <c r="EF93" s="1568"/>
      <c r="EG93" s="1568"/>
      <c r="EH93" s="1568"/>
      <c r="EI93" s="1568"/>
      <c r="EJ93" s="1568"/>
      <c r="EK93" s="1568"/>
      <c r="EL93" s="1568"/>
      <c r="EM93" s="1568"/>
      <c r="EN93" s="1568"/>
      <c r="EO93" s="1568"/>
      <c r="EP93" s="1568"/>
      <c r="EQ93" s="1568"/>
      <c r="ER93" s="1568"/>
      <c r="ES93" s="1568"/>
      <c r="ET93" s="1568"/>
      <c r="EU93" s="1568"/>
      <c r="EV93" s="1568"/>
      <c r="EW93" s="1568"/>
      <c r="EX93" s="1568"/>
      <c r="EY93" s="1568"/>
      <c r="EZ93" s="1568"/>
      <c r="FA93" s="1568"/>
      <c r="FB93" s="1568"/>
      <c r="FC93" s="1568"/>
      <c r="FD93" s="1568"/>
      <c r="FE93" s="1568"/>
      <c r="FF93" s="1568"/>
      <c r="FG93" s="1568"/>
      <c r="FH93" s="1568"/>
      <c r="FI93" s="1568"/>
      <c r="FJ93" s="1568"/>
      <c r="FK93" s="1569">
        <v>-2128</v>
      </c>
      <c r="FL93" s="1568"/>
      <c r="FM93" s="1568"/>
      <c r="FN93" s="1568"/>
      <c r="FO93" s="1568"/>
      <c r="FP93" s="1568"/>
      <c r="FQ93" s="1568"/>
      <c r="FR93" s="1568"/>
      <c r="FS93" s="1568"/>
      <c r="FT93" s="1568"/>
      <c r="FU93" s="1568"/>
      <c r="FV93" s="1568"/>
      <c r="FW93" s="1568"/>
      <c r="FX93" s="1568"/>
      <c r="FY93" s="1568"/>
      <c r="FZ93" s="1568"/>
      <c r="GA93" s="1568"/>
      <c r="GB93" s="1568"/>
      <c r="GC93" s="1568"/>
      <c r="GD93" s="1568"/>
      <c r="GE93" s="1568"/>
      <c r="GF93" s="1568"/>
      <c r="GG93" s="1568"/>
      <c r="GH93" s="1568"/>
      <c r="GI93" s="1568"/>
      <c r="GJ93" s="1568"/>
      <c r="GK93" s="1568"/>
      <c r="GL93" s="1568"/>
      <c r="GM93" s="1568"/>
      <c r="GN93" s="1568"/>
      <c r="GO93" s="1568"/>
      <c r="GP93" s="1568"/>
      <c r="GQ93" s="1568"/>
      <c r="GR93" s="1568"/>
      <c r="GS93" s="1568"/>
      <c r="GT93" s="1568"/>
      <c r="GU93" s="1568"/>
      <c r="GV93" s="1568"/>
      <c r="GW93" s="1568"/>
      <c r="GX93" s="1568"/>
      <c r="GY93" s="1568"/>
      <c r="GZ93" s="1568"/>
      <c r="HA93" s="1568"/>
      <c r="HB93" s="1568"/>
      <c r="HC93" s="1568"/>
      <c r="HD93" s="1568"/>
      <c r="HE93" s="1568"/>
      <c r="HF93" s="1568"/>
      <c r="HG93" s="1568"/>
      <c r="HH93" s="1568"/>
      <c r="HI93" s="1568"/>
      <c r="HJ93" s="1568"/>
      <c r="HK93" s="1568"/>
      <c r="HL93" s="1568"/>
      <c r="HM93" s="1568"/>
      <c r="HN93" s="1568"/>
      <c r="HO93" s="1568"/>
      <c r="HP93" s="1568"/>
      <c r="HQ93" s="1568"/>
      <c r="HR93" s="1568"/>
      <c r="HS93" s="1568"/>
      <c r="HT93" s="1568"/>
      <c r="HU93" s="1568"/>
      <c r="HV93" s="1568"/>
      <c r="HW93" s="1568"/>
      <c r="HX93" s="1568"/>
      <c r="HY93" s="1568"/>
      <c r="HZ93" s="1568"/>
      <c r="IA93" s="1568"/>
      <c r="IB93" s="1568"/>
      <c r="IC93" s="1568"/>
      <c r="ID93" s="1568"/>
      <c r="IE93" s="1568"/>
      <c r="IF93" s="1568"/>
      <c r="IG93" s="1568"/>
      <c r="IH93" s="1568"/>
      <c r="II93" s="1568"/>
      <c r="IJ93" s="1568"/>
      <c r="IK93" s="1568"/>
      <c r="IL93" s="1568"/>
      <c r="IM93" s="1568"/>
      <c r="IN93" s="1568"/>
      <c r="IO93" s="1568"/>
      <c r="IP93" s="1568"/>
      <c r="IQ93" s="1584"/>
      <c r="IR93" s="1568"/>
      <c r="IS93" s="1568"/>
      <c r="IT93" s="1584"/>
      <c r="IU93" s="1568"/>
      <c r="IV93" s="1568"/>
      <c r="IW93" s="1568"/>
      <c r="IX93" s="1568"/>
      <c r="IY93" s="1568"/>
      <c r="IZ93" s="1568"/>
      <c r="JA93" s="1568"/>
      <c r="JB93" s="1568"/>
      <c r="JC93" s="1568"/>
      <c r="JD93" s="1568"/>
      <c r="JE93" s="1568"/>
      <c r="JF93" s="1568"/>
      <c r="JG93" s="1568"/>
      <c r="JH93" s="1568"/>
      <c r="JI93" s="1584"/>
      <c r="JJ93" s="1568"/>
      <c r="JK93" s="1584"/>
      <c r="JL93" s="1584"/>
      <c r="JM93" s="1584"/>
      <c r="JN93" s="1568"/>
      <c r="JO93" s="1584"/>
      <c r="JP93" s="1584"/>
      <c r="JQ93" s="1585"/>
      <c r="JR93" s="351"/>
      <c r="JS93" s="1400"/>
      <c r="JT93" s="450" t="s">
        <v>2253</v>
      </c>
    </row>
    <row r="94" spans="1:280" ht="20" x14ac:dyDescent="0.25">
      <c r="A94" s="1367">
        <v>64</v>
      </c>
      <c r="B94" s="1574" t="str">
        <f t="shared" si="33"/>
        <v/>
      </c>
      <c r="C94" s="1435" t="s">
        <v>3683</v>
      </c>
      <c r="D94" s="1436" t="s">
        <v>3684</v>
      </c>
      <c r="E94" s="1568"/>
      <c r="F94" s="1568"/>
      <c r="G94" s="1568"/>
      <c r="H94" s="1568"/>
      <c r="I94" s="1568"/>
      <c r="J94" s="1568"/>
      <c r="K94" s="1568"/>
      <c r="L94" s="1568"/>
      <c r="M94" s="1568"/>
      <c r="N94" s="1568"/>
      <c r="O94" s="1568"/>
      <c r="P94" s="1568"/>
      <c r="Q94" s="1568"/>
      <c r="R94" s="1568"/>
      <c r="S94" s="1568"/>
      <c r="T94" s="1568"/>
      <c r="U94" s="1568"/>
      <c r="V94" s="1568"/>
      <c r="W94" s="1568"/>
      <c r="X94" s="1568"/>
      <c r="Y94" s="1568"/>
      <c r="Z94" s="1568"/>
      <c r="AA94" s="1568"/>
      <c r="AB94" s="1568"/>
      <c r="AC94" s="1568"/>
      <c r="AD94" s="1568"/>
      <c r="AE94" s="1568"/>
      <c r="AF94" s="1568"/>
      <c r="AG94" s="1568"/>
      <c r="AH94" s="1568"/>
      <c r="AI94" s="1568"/>
      <c r="AJ94" s="1568"/>
      <c r="AK94" s="1568"/>
      <c r="AL94" s="1568"/>
      <c r="AM94" s="1568"/>
      <c r="AN94" s="1568"/>
      <c r="AO94" s="1568"/>
      <c r="AP94" s="1568"/>
      <c r="AQ94" s="1568"/>
      <c r="AR94" s="1568"/>
      <c r="AS94" s="1568"/>
      <c r="AT94" s="1568"/>
      <c r="AU94" s="1568"/>
      <c r="AV94" s="1568"/>
      <c r="AW94" s="1568"/>
      <c r="AX94" s="1568"/>
      <c r="AY94" s="1568"/>
      <c r="AZ94" s="1568"/>
      <c r="BA94" s="1568"/>
      <c r="BB94" s="1568"/>
      <c r="BC94" s="1568"/>
      <c r="BD94" s="1568"/>
      <c r="BE94" s="1568"/>
      <c r="BF94" s="1568"/>
      <c r="BG94" s="1568"/>
      <c r="BH94" s="1568"/>
      <c r="BI94" s="1568"/>
      <c r="BJ94" s="1568"/>
      <c r="BK94" s="1568"/>
      <c r="BL94" s="1568"/>
      <c r="BM94" s="1568"/>
      <c r="BN94" s="1568"/>
      <c r="BO94" s="1568"/>
      <c r="BP94" s="1568"/>
      <c r="BQ94" s="1568"/>
      <c r="BR94" s="1568"/>
      <c r="BS94" s="1568"/>
      <c r="BT94" s="1568"/>
      <c r="BU94" s="1568"/>
      <c r="BV94" s="1568"/>
      <c r="BW94" s="1568"/>
      <c r="BX94" s="1568"/>
      <c r="BY94" s="1568"/>
      <c r="BZ94" s="1568"/>
      <c r="CA94" s="1568"/>
      <c r="CB94" s="1568"/>
      <c r="CC94" s="1568"/>
      <c r="CD94" s="1568"/>
      <c r="CE94" s="1568"/>
      <c r="CF94" s="1568"/>
      <c r="CG94" s="1568"/>
      <c r="CH94" s="1568"/>
      <c r="CI94" s="1568"/>
      <c r="CJ94" s="1568"/>
      <c r="CK94" s="1568"/>
      <c r="CL94" s="1568"/>
      <c r="CM94" s="1568"/>
      <c r="CN94" s="1568"/>
      <c r="CO94" s="1568"/>
      <c r="CP94" s="1568"/>
      <c r="CQ94" s="1568"/>
      <c r="CR94" s="1568"/>
      <c r="CS94" s="1568"/>
      <c r="CT94" s="1568"/>
      <c r="CU94" s="1568"/>
      <c r="CV94" s="1568"/>
      <c r="CW94" s="1568"/>
      <c r="CX94" s="1568"/>
      <c r="CY94" s="1568"/>
      <c r="CZ94" s="1568"/>
      <c r="DA94" s="1568"/>
      <c r="DB94" s="1568"/>
      <c r="DC94" s="1568"/>
      <c r="DD94" s="1568"/>
      <c r="DE94" s="1568"/>
      <c r="DF94" s="1568"/>
      <c r="DG94" s="1568"/>
      <c r="DH94" s="1568"/>
      <c r="DI94" s="1568"/>
      <c r="DJ94" s="1568"/>
      <c r="DK94" s="1568"/>
      <c r="DL94" s="1568"/>
      <c r="DM94" s="1568"/>
      <c r="DN94" s="1568"/>
      <c r="DO94" s="1568"/>
      <c r="DP94" s="1568"/>
      <c r="DQ94" s="1568"/>
      <c r="DR94" s="1568"/>
      <c r="DS94" s="1568"/>
      <c r="DT94" s="1568"/>
      <c r="DU94" s="1568"/>
      <c r="DV94" s="1568"/>
      <c r="DW94" s="1568"/>
      <c r="DX94" s="1568"/>
      <c r="DY94" s="1568"/>
      <c r="DZ94" s="1568"/>
      <c r="EA94" s="1568"/>
      <c r="EB94" s="1568"/>
      <c r="EC94" s="1568"/>
      <c r="ED94" s="1568"/>
      <c r="EE94" s="1568"/>
      <c r="EF94" s="1568"/>
      <c r="EG94" s="1568"/>
      <c r="EH94" s="1568"/>
      <c r="EI94" s="1568"/>
      <c r="EJ94" s="1568"/>
      <c r="EK94" s="1568"/>
      <c r="EL94" s="1568"/>
      <c r="EM94" s="1568"/>
      <c r="EN94" s="1568"/>
      <c r="EO94" s="1568"/>
      <c r="EP94" s="1568"/>
      <c r="EQ94" s="1568"/>
      <c r="ER94" s="1570">
        <v>106</v>
      </c>
      <c r="ES94" s="1568"/>
      <c r="ET94" s="1568"/>
      <c r="EU94" s="1568"/>
      <c r="EV94" s="1568"/>
      <c r="EW94" s="1568"/>
      <c r="EX94" s="1568"/>
      <c r="EY94" s="1568"/>
      <c r="EZ94" s="1568"/>
      <c r="FA94" s="1568"/>
      <c r="FB94" s="1568"/>
      <c r="FC94" s="1568"/>
      <c r="FD94" s="1568"/>
      <c r="FE94" s="1568"/>
      <c r="FF94" s="1568"/>
      <c r="FG94" s="1568"/>
      <c r="FH94" s="1568"/>
      <c r="FI94" s="1568"/>
      <c r="FJ94" s="1568"/>
      <c r="FK94" s="1568"/>
      <c r="FL94" s="1568"/>
      <c r="FM94" s="1568"/>
      <c r="FN94" s="1568"/>
      <c r="FO94" s="1568"/>
      <c r="FP94" s="1568"/>
      <c r="FQ94" s="1568"/>
      <c r="FR94" s="1568"/>
      <c r="FS94" s="1568"/>
      <c r="FT94" s="1568"/>
      <c r="FU94" s="1568"/>
      <c r="FV94" s="1568"/>
      <c r="FW94" s="1568"/>
      <c r="FX94" s="1568"/>
      <c r="FY94" s="1568"/>
      <c r="FZ94" s="1568"/>
      <c r="GA94" s="1568"/>
      <c r="GB94" s="1568"/>
      <c r="GC94" s="1568"/>
      <c r="GD94" s="1568"/>
      <c r="GE94" s="1568"/>
      <c r="GF94" s="1568"/>
      <c r="GG94" s="1568"/>
      <c r="GH94" s="1568"/>
      <c r="GI94" s="1568"/>
      <c r="GJ94" s="1568"/>
      <c r="GK94" s="1568"/>
      <c r="GL94" s="1568"/>
      <c r="GM94" s="1568"/>
      <c r="GN94" s="1568"/>
      <c r="GO94" s="1568"/>
      <c r="GP94" s="1568"/>
      <c r="GQ94" s="1568"/>
      <c r="GR94" s="1568"/>
      <c r="GS94" s="1568"/>
      <c r="GT94" s="1568"/>
      <c r="GU94" s="1568"/>
      <c r="GV94" s="1568"/>
      <c r="GW94" s="1568"/>
      <c r="GX94" s="1568"/>
      <c r="GY94" s="1568"/>
      <c r="GZ94" s="1568"/>
      <c r="HA94" s="1568"/>
      <c r="HB94" s="1568"/>
      <c r="HC94" s="1568"/>
      <c r="HD94" s="1568"/>
      <c r="HE94" s="1568"/>
      <c r="HF94" s="1568"/>
      <c r="HG94" s="1568"/>
      <c r="HH94" s="1568"/>
      <c r="HI94" s="1568"/>
      <c r="HJ94" s="1568"/>
      <c r="HK94" s="1568"/>
      <c r="HL94" s="1568"/>
      <c r="HM94" s="1568"/>
      <c r="HN94" s="1568"/>
      <c r="HO94" s="1568"/>
      <c r="HP94" s="1568"/>
      <c r="HQ94" s="1568"/>
      <c r="HR94" s="1568"/>
      <c r="HS94" s="1568"/>
      <c r="HT94" s="1568"/>
      <c r="HU94" s="1568"/>
      <c r="HV94" s="1568"/>
      <c r="HW94" s="1568"/>
      <c r="HX94" s="1568"/>
      <c r="HY94" s="1568"/>
      <c r="HZ94" s="1568"/>
      <c r="IA94" s="1568"/>
      <c r="IB94" s="1568"/>
      <c r="IC94" s="1568"/>
      <c r="ID94" s="1568"/>
      <c r="IE94" s="1568"/>
      <c r="IF94" s="1568"/>
      <c r="IG94" s="1568"/>
      <c r="IH94" s="1568"/>
      <c r="II94" s="1568"/>
      <c r="IJ94" s="1568"/>
      <c r="IK94" s="1568"/>
      <c r="IL94" s="1568"/>
      <c r="IM94" s="1568"/>
      <c r="IN94" s="1568"/>
      <c r="IO94" s="1568"/>
      <c r="IP94" s="1568"/>
      <c r="IQ94" s="1584"/>
      <c r="IR94" s="1568"/>
      <c r="IS94" s="1568"/>
      <c r="IT94" s="1584"/>
      <c r="IU94" s="1568"/>
      <c r="IV94" s="1568"/>
      <c r="IW94" s="1568"/>
      <c r="IX94" s="1568"/>
      <c r="IY94" s="1568"/>
      <c r="IZ94" s="1568"/>
      <c r="JA94" s="1568"/>
      <c r="JB94" s="1568"/>
      <c r="JC94" s="1568"/>
      <c r="JD94" s="1568"/>
      <c r="JE94" s="1568"/>
      <c r="JF94" s="1568"/>
      <c r="JG94" s="1568"/>
      <c r="JH94" s="1568"/>
      <c r="JI94" s="1584"/>
      <c r="JJ94" s="1568"/>
      <c r="JK94" s="1584"/>
      <c r="JL94" s="1584"/>
      <c r="JM94" s="1584"/>
      <c r="JN94" s="1568"/>
      <c r="JO94" s="1584"/>
      <c r="JP94" s="1584"/>
      <c r="JQ94" s="1585"/>
      <c r="JR94" s="351"/>
      <c r="JS94" s="1400" t="s">
        <v>3685</v>
      </c>
      <c r="JT94" s="450" t="s">
        <v>2242</v>
      </c>
    </row>
    <row r="95" spans="1:280" ht="12.5" x14ac:dyDescent="0.25">
      <c r="A95" s="1367">
        <v>65</v>
      </c>
      <c r="B95" s="1574" t="str">
        <f t="shared" si="33"/>
        <v/>
      </c>
      <c r="C95" s="1435" t="s">
        <v>3686</v>
      </c>
      <c r="D95" s="1436" t="s">
        <v>3674</v>
      </c>
      <c r="E95" s="1568"/>
      <c r="F95" s="1568"/>
      <c r="G95" s="1568"/>
      <c r="H95" s="1568"/>
      <c r="I95" s="1568"/>
      <c r="J95" s="1568"/>
      <c r="K95" s="1568"/>
      <c r="L95" s="1568"/>
      <c r="M95" s="1568"/>
      <c r="N95" s="1568"/>
      <c r="O95" s="1568"/>
      <c r="P95" s="1568"/>
      <c r="Q95" s="1568"/>
      <c r="R95" s="1568"/>
      <c r="S95" s="1568"/>
      <c r="T95" s="1568"/>
      <c r="U95" s="1568"/>
      <c r="V95" s="1568"/>
      <c r="W95" s="1568"/>
      <c r="X95" s="1568"/>
      <c r="Y95" s="1568"/>
      <c r="Z95" s="1568"/>
      <c r="AA95" s="1568"/>
      <c r="AB95" s="1568"/>
      <c r="AC95" s="1568"/>
      <c r="AD95" s="1568"/>
      <c r="AE95" s="1568"/>
      <c r="AF95" s="1568"/>
      <c r="AG95" s="1568"/>
      <c r="AH95" s="1568"/>
      <c r="AI95" s="1568"/>
      <c r="AJ95" s="1568"/>
      <c r="AK95" s="1568"/>
      <c r="AL95" s="1568"/>
      <c r="AM95" s="1568"/>
      <c r="AN95" s="1568"/>
      <c r="AO95" s="1568"/>
      <c r="AP95" s="1568"/>
      <c r="AQ95" s="1568"/>
      <c r="AR95" s="1568"/>
      <c r="AS95" s="1568"/>
      <c r="AT95" s="1568"/>
      <c r="AU95" s="1568"/>
      <c r="AV95" s="1568"/>
      <c r="AW95" s="1568"/>
      <c r="AX95" s="1568"/>
      <c r="AY95" s="1568"/>
      <c r="AZ95" s="1568"/>
      <c r="BA95" s="1568"/>
      <c r="BB95" s="1568">
        <v>142</v>
      </c>
      <c r="BC95" s="1568"/>
      <c r="BD95" s="1568"/>
      <c r="BE95" s="1568"/>
      <c r="BF95" s="1568"/>
      <c r="BG95" s="1568"/>
      <c r="BH95" s="1568"/>
      <c r="BI95" s="1568"/>
      <c r="BJ95" s="1568"/>
      <c r="BK95" s="1568"/>
      <c r="BL95" s="1568"/>
      <c r="BM95" s="1568"/>
      <c r="BN95" s="1568"/>
      <c r="BO95" s="1568"/>
      <c r="BP95" s="1568"/>
      <c r="BQ95" s="1568"/>
      <c r="BR95" s="1568"/>
      <c r="BS95" s="1568"/>
      <c r="BT95" s="1568"/>
      <c r="BU95" s="1568"/>
      <c r="BV95" s="1568"/>
      <c r="BW95" s="1568"/>
      <c r="BX95" s="1568"/>
      <c r="BY95" s="1568"/>
      <c r="BZ95" s="1568"/>
      <c r="CA95" s="1568"/>
      <c r="CB95" s="1568"/>
      <c r="CC95" s="1568"/>
      <c r="CD95" s="1568"/>
      <c r="CE95" s="1568"/>
      <c r="CF95" s="1568"/>
      <c r="CG95" s="1568"/>
      <c r="CH95" s="1568"/>
      <c r="CI95" s="1568"/>
      <c r="CJ95" s="1568"/>
      <c r="CK95" s="1568"/>
      <c r="CL95" s="1568"/>
      <c r="CM95" s="1568"/>
      <c r="CN95" s="1568"/>
      <c r="CO95" s="1568"/>
      <c r="CP95" s="1568"/>
      <c r="CQ95" s="1568"/>
      <c r="CR95" s="1568"/>
      <c r="CS95" s="1568"/>
      <c r="CT95" s="1568"/>
      <c r="CU95" s="1568"/>
      <c r="CV95" s="1568"/>
      <c r="CW95" s="1568"/>
      <c r="CX95" s="1568"/>
      <c r="CY95" s="1568"/>
      <c r="CZ95" s="1568">
        <v>1064</v>
      </c>
      <c r="DA95" s="1568">
        <v>1064</v>
      </c>
      <c r="DB95" s="1568"/>
      <c r="DC95" s="1568"/>
      <c r="DD95" s="1568"/>
      <c r="DE95" s="1568"/>
      <c r="DF95" s="1568"/>
      <c r="DG95" s="1568"/>
      <c r="DH95" s="1568"/>
      <c r="DI95" s="1568"/>
      <c r="DJ95" s="1568"/>
      <c r="DK95" s="1568"/>
      <c r="DL95" s="1568"/>
      <c r="DM95" s="1568"/>
      <c r="DN95" s="1568"/>
      <c r="DO95" s="1568"/>
      <c r="DP95" s="1568"/>
      <c r="DQ95" s="1568"/>
      <c r="DR95" s="1568"/>
      <c r="DS95" s="1568"/>
      <c r="DT95" s="1568"/>
      <c r="DU95" s="1568"/>
      <c r="DV95" s="1568"/>
      <c r="DW95" s="1568"/>
      <c r="DX95" s="1568"/>
      <c r="DY95" s="1568"/>
      <c r="DZ95" s="1568"/>
      <c r="EA95" s="1568"/>
      <c r="EB95" s="1568"/>
      <c r="EC95" s="1568"/>
      <c r="ED95" s="1568"/>
      <c r="EE95" s="1568"/>
      <c r="EF95" s="1568"/>
      <c r="EG95" s="1568"/>
      <c r="EH95" s="1568"/>
      <c r="EI95" s="1568"/>
      <c r="EJ95" s="1568"/>
      <c r="EK95" s="1568"/>
      <c r="EL95" s="1568"/>
      <c r="EM95" s="1568"/>
      <c r="EN95" s="1568"/>
      <c r="EO95" s="1568"/>
      <c r="EP95" s="1568"/>
      <c r="EQ95" s="1568"/>
      <c r="ER95" s="1568"/>
      <c r="ES95" s="1568"/>
      <c r="ET95" s="1568"/>
      <c r="EU95" s="1568"/>
      <c r="EV95" s="1568"/>
      <c r="EW95" s="1568"/>
      <c r="EX95" s="1568"/>
      <c r="EY95" s="1568"/>
      <c r="EZ95" s="1568"/>
      <c r="FA95" s="1568"/>
      <c r="FB95" s="1568"/>
      <c r="FC95" s="1568"/>
      <c r="FD95" s="1568"/>
      <c r="FE95" s="1568"/>
      <c r="FF95" s="1568"/>
      <c r="FG95" s="1568"/>
      <c r="FH95" s="1568"/>
      <c r="FI95" s="1568"/>
      <c r="FJ95" s="1568"/>
      <c r="FK95" s="1568">
        <v>1064</v>
      </c>
      <c r="FL95" s="1568"/>
      <c r="FM95" s="1568"/>
      <c r="FN95" s="1568"/>
      <c r="FO95" s="1568"/>
      <c r="FP95" s="1568"/>
      <c r="FQ95" s="1568"/>
      <c r="FR95" s="1568"/>
      <c r="FS95" s="1568"/>
      <c r="FT95" s="1568"/>
      <c r="FU95" s="1568"/>
      <c r="FV95" s="1568"/>
      <c r="FW95" s="1568"/>
      <c r="FX95" s="1568"/>
      <c r="FY95" s="1568"/>
      <c r="FZ95" s="1568"/>
      <c r="GA95" s="1568"/>
      <c r="GB95" s="1568"/>
      <c r="GC95" s="1568"/>
      <c r="GD95" s="1568"/>
      <c r="GE95" s="1568"/>
      <c r="GF95" s="1568"/>
      <c r="GG95" s="1568"/>
      <c r="GH95" s="1568"/>
      <c r="GI95" s="1568"/>
      <c r="GJ95" s="1568"/>
      <c r="GK95" s="1568"/>
      <c r="GL95" s="1568"/>
      <c r="GM95" s="1568"/>
      <c r="GN95" s="1568"/>
      <c r="GO95" s="1568"/>
      <c r="GP95" s="1568"/>
      <c r="GQ95" s="1568"/>
      <c r="GR95" s="1568"/>
      <c r="GS95" s="1568"/>
      <c r="GT95" s="1568"/>
      <c r="GU95" s="1568"/>
      <c r="GV95" s="1568"/>
      <c r="GW95" s="1568"/>
      <c r="GX95" s="1568"/>
      <c r="GY95" s="1568"/>
      <c r="GZ95" s="1568"/>
      <c r="HA95" s="1568"/>
      <c r="HB95" s="1568"/>
      <c r="HC95" s="1568"/>
      <c r="HD95" s="1568"/>
      <c r="HE95" s="1568"/>
      <c r="HF95" s="1568"/>
      <c r="HG95" s="1568"/>
      <c r="HH95" s="1568"/>
      <c r="HI95" s="1568"/>
      <c r="HJ95" s="1568"/>
      <c r="HK95" s="1568"/>
      <c r="HL95" s="1568"/>
      <c r="HM95" s="1568"/>
      <c r="HN95" s="1568"/>
      <c r="HO95" s="1568"/>
      <c r="HP95" s="1568"/>
      <c r="HQ95" s="1568"/>
      <c r="HR95" s="1568"/>
      <c r="HS95" s="1568"/>
      <c r="HT95" s="1568"/>
      <c r="HU95" s="1568"/>
      <c r="HV95" s="1568"/>
      <c r="HW95" s="1568"/>
      <c r="HX95" s="1568"/>
      <c r="HY95" s="1568"/>
      <c r="HZ95" s="1568"/>
      <c r="IA95" s="1568"/>
      <c r="IB95" s="1568"/>
      <c r="IC95" s="1568"/>
      <c r="ID95" s="1568"/>
      <c r="IE95" s="1568"/>
      <c r="IF95" s="1568"/>
      <c r="IG95" s="1568"/>
      <c r="IH95" s="1568"/>
      <c r="II95" s="1568"/>
      <c r="IJ95" s="1568"/>
      <c r="IK95" s="1568"/>
      <c r="IL95" s="1568"/>
      <c r="IM95" s="1568"/>
      <c r="IN95" s="1568"/>
      <c r="IO95" s="1568"/>
      <c r="IP95" s="1568"/>
      <c r="IQ95" s="1584"/>
      <c r="IR95" s="1568"/>
      <c r="IS95" s="1568"/>
      <c r="IT95" s="1584"/>
      <c r="IU95" s="1568"/>
      <c r="IV95" s="1568"/>
      <c r="IW95" s="1568"/>
      <c r="IX95" s="1568"/>
      <c r="IY95" s="1568"/>
      <c r="IZ95" s="1568"/>
      <c r="JA95" s="1568"/>
      <c r="JB95" s="1568"/>
      <c r="JC95" s="1568"/>
      <c r="JD95" s="1568"/>
      <c r="JE95" s="1568"/>
      <c r="JF95" s="1568"/>
      <c r="JG95" s="1568"/>
      <c r="JH95" s="1568"/>
      <c r="JI95" s="1584"/>
      <c r="JJ95" s="1568"/>
      <c r="JK95" s="1584"/>
      <c r="JL95" s="1584"/>
      <c r="JM95" s="1584"/>
      <c r="JN95" s="1568"/>
      <c r="JO95" s="1584"/>
      <c r="JP95" s="1584"/>
      <c r="JQ95" s="1585"/>
      <c r="JR95" s="351"/>
      <c r="JS95" s="1400"/>
      <c r="JT95" s="450" t="s">
        <v>2242</v>
      </c>
    </row>
    <row r="96" spans="1:280" ht="50" x14ac:dyDescent="0.25">
      <c r="A96" s="1367">
        <v>66</v>
      </c>
      <c r="B96" s="1574" t="str">
        <f t="shared" si="33"/>
        <v/>
      </c>
      <c r="C96" s="1435" t="s">
        <v>1890</v>
      </c>
      <c r="D96" s="1436" t="s">
        <v>3687</v>
      </c>
      <c r="E96" s="1563"/>
      <c r="F96" s="1563"/>
      <c r="G96" s="1563"/>
      <c r="H96" s="1563"/>
      <c r="I96" s="1563"/>
      <c r="J96" s="1563"/>
      <c r="K96" s="1563"/>
      <c r="L96" s="1563"/>
      <c r="M96" s="1563"/>
      <c r="N96" s="1563"/>
      <c r="O96" s="1563"/>
      <c r="P96" s="1563"/>
      <c r="Q96" s="1563"/>
      <c r="R96" s="1563"/>
      <c r="S96" s="1563"/>
      <c r="T96" s="1563"/>
      <c r="U96" s="1563"/>
      <c r="V96" s="1563"/>
      <c r="W96" s="1563"/>
      <c r="X96" s="1563"/>
      <c r="Y96" s="1563"/>
      <c r="Z96" s="1563"/>
      <c r="AA96" s="1563"/>
      <c r="AB96" s="1563"/>
      <c r="AC96" s="1563"/>
      <c r="AD96" s="1563"/>
      <c r="AE96" s="1563"/>
      <c r="AF96" s="1563"/>
      <c r="AG96" s="1563"/>
      <c r="AH96" s="1563"/>
      <c r="AI96" s="1563"/>
      <c r="AJ96" s="1563"/>
      <c r="AK96" s="1563"/>
      <c r="AL96" s="1563"/>
      <c r="AM96" s="1563"/>
      <c r="AN96" s="1563"/>
      <c r="AO96" s="1563"/>
      <c r="AP96" s="1563"/>
      <c r="AQ96" s="1563"/>
      <c r="AR96" s="1563"/>
      <c r="AS96" s="1563"/>
      <c r="AT96" s="1563"/>
      <c r="AU96" s="1563"/>
      <c r="AV96" s="1563"/>
      <c r="AW96" s="1563"/>
      <c r="AX96" s="1563"/>
      <c r="AY96" s="1563"/>
      <c r="AZ96" s="1563"/>
      <c r="BA96" s="1563"/>
      <c r="BB96" s="1563">
        <f>MAX(0,BB92+BB93-(BB94+BB95))</f>
        <v>1279</v>
      </c>
      <c r="BC96" s="1563"/>
      <c r="BD96" s="1563"/>
      <c r="BE96" s="1563"/>
      <c r="BF96" s="1563"/>
      <c r="BG96" s="1563"/>
      <c r="BH96" s="1563"/>
      <c r="BI96" s="1563"/>
      <c r="BJ96" s="1563"/>
      <c r="BK96" s="1563"/>
      <c r="BL96" s="1563"/>
      <c r="BM96" s="1563"/>
      <c r="BN96" s="1563"/>
      <c r="BO96" s="1563"/>
      <c r="BP96" s="1563"/>
      <c r="BQ96" s="1563"/>
      <c r="BR96" s="1563"/>
      <c r="BS96" s="1563"/>
      <c r="BT96" s="1563"/>
      <c r="BU96" s="1563"/>
      <c r="BV96" s="1563"/>
      <c r="BW96" s="1563"/>
      <c r="BX96" s="1563"/>
      <c r="BY96" s="1563"/>
      <c r="BZ96" s="1563"/>
      <c r="CA96" s="1563"/>
      <c r="CB96" s="1563"/>
      <c r="CC96" s="1563"/>
      <c r="CD96" s="1563"/>
      <c r="CE96" s="1563"/>
      <c r="CF96" s="1563"/>
      <c r="CG96" s="1563"/>
      <c r="CH96" s="1563"/>
      <c r="CI96" s="1563"/>
      <c r="CJ96" s="1563"/>
      <c r="CK96" s="1563"/>
      <c r="CL96" s="1563"/>
      <c r="CM96" s="1563"/>
      <c r="CN96" s="1563"/>
      <c r="CO96" s="1563"/>
      <c r="CP96" s="1563"/>
      <c r="CQ96" s="1563"/>
      <c r="CR96" s="1563"/>
      <c r="CS96" s="1563"/>
      <c r="CT96" s="1563"/>
      <c r="CU96" s="1563"/>
      <c r="CV96" s="1563"/>
      <c r="CW96" s="1563"/>
      <c r="CX96" s="1563"/>
      <c r="CY96" s="1563"/>
      <c r="CZ96" s="1563">
        <f>MAX(0,CZ92+CZ93-(CZ94+CZ95))</f>
        <v>7448</v>
      </c>
      <c r="DA96" s="1563">
        <f>MAX(0,DA92+DA93-(DA94+DA95))</f>
        <v>7448</v>
      </c>
      <c r="DB96" s="1563"/>
      <c r="DC96" s="1563"/>
      <c r="DD96" s="1563"/>
      <c r="DE96" s="1563"/>
      <c r="DF96" s="1563"/>
      <c r="DG96" s="1563"/>
      <c r="DH96" s="1563"/>
      <c r="DI96" s="1563"/>
      <c r="DJ96" s="1563"/>
      <c r="DK96" s="1563"/>
      <c r="DL96" s="1563"/>
      <c r="DM96" s="1563"/>
      <c r="DN96" s="1563"/>
      <c r="DO96" s="1563"/>
      <c r="DP96" s="1563"/>
      <c r="DQ96" s="1563"/>
      <c r="DR96" s="1563"/>
      <c r="DS96" s="1563"/>
      <c r="DT96" s="1563"/>
      <c r="DU96" s="1563"/>
      <c r="DV96" s="1563"/>
      <c r="DW96" s="1563"/>
      <c r="DX96" s="1563"/>
      <c r="DY96" s="1563"/>
      <c r="DZ96" s="1563"/>
      <c r="EA96" s="1563"/>
      <c r="EB96" s="1563"/>
      <c r="EC96" s="1563"/>
      <c r="ED96" s="1563"/>
      <c r="EE96" s="1563"/>
      <c r="EF96" s="1563"/>
      <c r="EG96" s="1563"/>
      <c r="EH96" s="1563"/>
      <c r="EI96" s="1563"/>
      <c r="EJ96" s="1563"/>
      <c r="EK96" s="1563"/>
      <c r="EL96" s="1563"/>
      <c r="EM96" s="1563"/>
      <c r="EN96" s="1563"/>
      <c r="EO96" s="1563"/>
      <c r="EP96" s="1563"/>
      <c r="EQ96" s="1563"/>
      <c r="ER96" s="1563"/>
      <c r="ES96" s="1563"/>
      <c r="ET96" s="1563"/>
      <c r="EU96" s="1563"/>
      <c r="EV96" s="1563"/>
      <c r="EW96" s="1563"/>
      <c r="EX96" s="1563"/>
      <c r="EY96" s="1563"/>
      <c r="EZ96" s="1563"/>
      <c r="FA96" s="1563"/>
      <c r="FB96" s="1563"/>
      <c r="FC96" s="1563"/>
      <c r="FD96" s="1563"/>
      <c r="FE96" s="1563"/>
      <c r="FF96" s="1563"/>
      <c r="FG96" s="1563"/>
      <c r="FH96" s="1563"/>
      <c r="FI96" s="1563"/>
      <c r="FJ96" s="1563"/>
      <c r="FK96" s="1563">
        <f>MAX(0,FK92+FK93-(FK94+FK95))</f>
        <v>7448</v>
      </c>
      <c r="FL96" s="1563"/>
      <c r="FM96" s="1563"/>
      <c r="FN96" s="1563"/>
      <c r="FO96" s="1563"/>
      <c r="FP96" s="1563"/>
      <c r="FQ96" s="1563"/>
      <c r="FR96" s="1563"/>
      <c r="FS96" s="1563"/>
      <c r="FT96" s="1563"/>
      <c r="FU96" s="1563"/>
      <c r="FV96" s="1563"/>
      <c r="FW96" s="1563"/>
      <c r="FX96" s="1563"/>
      <c r="FY96" s="1563"/>
      <c r="FZ96" s="1563"/>
      <c r="GA96" s="1563"/>
      <c r="GB96" s="1563"/>
      <c r="GC96" s="1563"/>
      <c r="GD96" s="1563"/>
      <c r="GE96" s="1563"/>
      <c r="GF96" s="1563"/>
      <c r="GG96" s="1563"/>
      <c r="GH96" s="1563"/>
      <c r="GI96" s="1563"/>
      <c r="GJ96" s="1563"/>
      <c r="GK96" s="1563"/>
      <c r="GL96" s="1563"/>
      <c r="GM96" s="1563"/>
      <c r="GN96" s="1563"/>
      <c r="GO96" s="1563"/>
      <c r="GP96" s="1563"/>
      <c r="GQ96" s="1563"/>
      <c r="GR96" s="1563"/>
      <c r="GS96" s="1563"/>
      <c r="GT96" s="1563"/>
      <c r="GU96" s="1563"/>
      <c r="GV96" s="1563"/>
      <c r="GW96" s="1563"/>
      <c r="GX96" s="1563"/>
      <c r="GY96" s="1563"/>
      <c r="GZ96" s="1563"/>
      <c r="HA96" s="1563"/>
      <c r="HB96" s="1563"/>
      <c r="HC96" s="1563"/>
      <c r="HD96" s="1563"/>
      <c r="HE96" s="1563"/>
      <c r="HF96" s="1563"/>
      <c r="HG96" s="1563"/>
      <c r="HH96" s="1563"/>
      <c r="HI96" s="1563"/>
      <c r="HJ96" s="1563"/>
      <c r="HK96" s="1563"/>
      <c r="HL96" s="1563"/>
      <c r="HM96" s="1563"/>
      <c r="HN96" s="1563"/>
      <c r="HO96" s="1563"/>
      <c r="HP96" s="1563"/>
      <c r="HQ96" s="1563"/>
      <c r="HR96" s="1563"/>
      <c r="HS96" s="1563"/>
      <c r="HT96" s="1563"/>
      <c r="HU96" s="1563"/>
      <c r="HV96" s="1563"/>
      <c r="HW96" s="1563"/>
      <c r="HX96" s="1563"/>
      <c r="HY96" s="1563"/>
      <c r="HZ96" s="1563"/>
      <c r="IA96" s="1563"/>
      <c r="IB96" s="1563"/>
      <c r="IC96" s="1563"/>
      <c r="ID96" s="1563"/>
      <c r="IE96" s="1563"/>
      <c r="IF96" s="1563"/>
      <c r="IG96" s="1563"/>
      <c r="IH96" s="1563"/>
      <c r="II96" s="1563"/>
      <c r="IJ96" s="1563"/>
      <c r="IK96" s="1563"/>
      <c r="IL96" s="1563"/>
      <c r="IM96" s="1563"/>
      <c r="IN96" s="1563"/>
      <c r="IO96" s="1563">
        <f>MAX(0,IO92+IO93-(IO94+IO95))</f>
        <v>0</v>
      </c>
      <c r="IP96" s="1563"/>
      <c r="IQ96" s="1563"/>
      <c r="IR96" s="1563"/>
      <c r="IS96" s="1563"/>
      <c r="IT96" s="1563"/>
      <c r="IU96" s="1572">
        <f>MAX(0,IU92+IU93-(IU94+IU95))</f>
        <v>276</v>
      </c>
      <c r="IV96" s="1563"/>
      <c r="IW96" s="1563"/>
      <c r="IX96" s="1563"/>
      <c r="IY96" s="1563"/>
      <c r="IZ96" s="1563"/>
      <c r="JA96" s="1563"/>
      <c r="JB96" s="1563"/>
      <c r="JC96" s="1563"/>
      <c r="JD96" s="1563"/>
      <c r="JE96" s="1563"/>
      <c r="JF96" s="1563"/>
      <c r="JG96" s="1563"/>
      <c r="JH96" s="1563"/>
      <c r="JI96" s="1563"/>
      <c r="JJ96" s="1563"/>
      <c r="JK96" s="1563"/>
      <c r="JL96" s="1563"/>
      <c r="JM96" s="1563"/>
      <c r="JN96" s="1563"/>
      <c r="JO96" s="1563"/>
      <c r="JP96" s="1563"/>
      <c r="JQ96" s="1563"/>
      <c r="JR96" s="351"/>
      <c r="JS96" s="1400" t="s">
        <v>3688</v>
      </c>
      <c r="JT96" s="450" t="s">
        <v>2224</v>
      </c>
    </row>
    <row r="97" spans="1:280" ht="12.5" x14ac:dyDescent="0.25">
      <c r="A97" s="1367">
        <v>67</v>
      </c>
      <c r="B97" s="1574" t="str">
        <f t="shared" si="33"/>
        <v/>
      </c>
      <c r="C97" s="1644" t="s">
        <v>3689</v>
      </c>
      <c r="D97" s="1539" t="s">
        <v>3252</v>
      </c>
      <c r="E97" s="1586"/>
      <c r="F97" s="1586"/>
      <c r="G97" s="1586"/>
      <c r="H97" s="1586"/>
      <c r="I97" s="1586"/>
      <c r="J97" s="1586"/>
      <c r="K97" s="1586"/>
      <c r="L97" s="1586"/>
      <c r="M97" s="1586"/>
      <c r="N97" s="1586"/>
      <c r="O97" s="1586"/>
      <c r="P97" s="1586"/>
      <c r="Q97" s="1586"/>
      <c r="R97" s="1586"/>
      <c r="S97" s="1586"/>
      <c r="T97" s="1586"/>
      <c r="U97" s="1586"/>
      <c r="V97" s="1586"/>
      <c r="W97" s="1586"/>
      <c r="X97" s="1586"/>
      <c r="Y97" s="1586"/>
      <c r="Z97" s="1586"/>
      <c r="AA97" s="1586"/>
      <c r="AB97" s="1586"/>
      <c r="AC97" s="1586"/>
      <c r="AD97" s="1586"/>
      <c r="AE97" s="1586"/>
      <c r="AF97" s="1586"/>
      <c r="AG97" s="1586"/>
      <c r="AH97" s="1586"/>
      <c r="AI97" s="1586"/>
      <c r="AJ97" s="1586"/>
      <c r="AK97" s="1586"/>
      <c r="AL97" s="1586"/>
      <c r="AM97" s="1586"/>
      <c r="AN97" s="1586"/>
      <c r="AO97" s="1586"/>
      <c r="AP97" s="1586"/>
      <c r="AQ97" s="1586"/>
      <c r="AR97" s="1586"/>
      <c r="AS97" s="1586"/>
      <c r="AT97" s="1586"/>
      <c r="AU97" s="1586"/>
      <c r="AV97" s="1586"/>
      <c r="AW97" s="1586"/>
      <c r="AX97" s="1586"/>
      <c r="AY97" s="1586"/>
      <c r="AZ97" s="1586"/>
      <c r="BA97" s="1586"/>
      <c r="BB97" s="1586"/>
      <c r="BC97" s="1586"/>
      <c r="BD97" s="1586"/>
      <c r="BE97" s="1586"/>
      <c r="BF97" s="1586"/>
      <c r="BG97" s="1586"/>
      <c r="BH97" s="1586"/>
      <c r="BI97" s="1586"/>
      <c r="BJ97" s="1586"/>
      <c r="BK97" s="1586"/>
      <c r="BL97" s="1586"/>
      <c r="BM97" s="1586"/>
      <c r="BN97" s="1586"/>
      <c r="BO97" s="1586"/>
      <c r="BP97" s="1586"/>
      <c r="BQ97" s="1586"/>
      <c r="BR97" s="1586"/>
      <c r="BS97" s="1586"/>
      <c r="BT97" s="1586"/>
      <c r="BU97" s="1586"/>
      <c r="BV97" s="1586"/>
      <c r="BW97" s="1586"/>
      <c r="BX97" s="1586"/>
      <c r="BY97" s="1586"/>
      <c r="BZ97" s="1586"/>
      <c r="CA97" s="1586"/>
      <c r="CB97" s="1586"/>
      <c r="CC97" s="1586"/>
      <c r="CD97" s="1586"/>
      <c r="CE97" s="1586"/>
      <c r="CF97" s="1586"/>
      <c r="CG97" s="1586"/>
      <c r="CH97" s="1586"/>
      <c r="CI97" s="1586"/>
      <c r="CJ97" s="1586"/>
      <c r="CK97" s="1586"/>
      <c r="CL97" s="1586"/>
      <c r="CM97" s="1586"/>
      <c r="CN97" s="1586"/>
      <c r="CO97" s="1586"/>
      <c r="CP97" s="1586"/>
      <c r="CQ97" s="1586"/>
      <c r="CR97" s="1586"/>
      <c r="CS97" s="1586"/>
      <c r="CT97" s="1586"/>
      <c r="CU97" s="1586"/>
      <c r="CV97" s="1586"/>
      <c r="CW97" s="1586"/>
      <c r="CX97" s="1586"/>
      <c r="CY97" s="1586"/>
      <c r="CZ97" s="1586"/>
      <c r="DA97" s="1586"/>
      <c r="DB97" s="1586"/>
      <c r="DC97" s="1586"/>
      <c r="DD97" s="1586"/>
      <c r="DE97" s="1586"/>
      <c r="DF97" s="1586"/>
      <c r="DG97" s="1586"/>
      <c r="DH97" s="1586"/>
      <c r="DI97" s="1586"/>
      <c r="DJ97" s="1586"/>
      <c r="DK97" s="1586"/>
      <c r="DL97" s="1586"/>
      <c r="DM97" s="1586"/>
      <c r="DN97" s="1586"/>
      <c r="DO97" s="1586"/>
      <c r="DP97" s="1586"/>
      <c r="DQ97" s="1586"/>
      <c r="DR97" s="1586"/>
      <c r="DS97" s="1586"/>
      <c r="DT97" s="1586"/>
      <c r="DU97" s="1586"/>
      <c r="DV97" s="1586"/>
      <c r="DW97" s="1586"/>
      <c r="DX97" s="1586"/>
      <c r="DY97" s="1586"/>
      <c r="DZ97" s="1586"/>
      <c r="EA97" s="1586"/>
      <c r="EB97" s="1586"/>
      <c r="EC97" s="1586"/>
      <c r="ED97" s="1586"/>
      <c r="EE97" s="1586"/>
      <c r="EF97" s="1586"/>
      <c r="EG97" s="1586"/>
      <c r="EH97" s="1586"/>
      <c r="EI97" s="1586"/>
      <c r="EJ97" s="1586"/>
      <c r="EK97" s="1586"/>
      <c r="EL97" s="1586"/>
      <c r="EM97" s="1586"/>
      <c r="EN97" s="1586"/>
      <c r="EO97" s="1586"/>
      <c r="EP97" s="1586"/>
      <c r="EQ97" s="1586"/>
      <c r="ER97" s="1586"/>
      <c r="ES97" s="1586"/>
      <c r="ET97" s="1586"/>
      <c r="EU97" s="1586"/>
      <c r="EV97" s="1586"/>
      <c r="EW97" s="1586"/>
      <c r="EX97" s="1586"/>
      <c r="EY97" s="1586"/>
      <c r="EZ97" s="1586"/>
      <c r="FA97" s="1586"/>
      <c r="FB97" s="1586"/>
      <c r="FC97" s="1586"/>
      <c r="FD97" s="1586"/>
      <c r="FE97" s="1586"/>
      <c r="FF97" s="1586"/>
      <c r="FG97" s="1586"/>
      <c r="FH97" s="1586"/>
      <c r="FI97" s="1586"/>
      <c r="FJ97" s="1586"/>
      <c r="FK97" s="1586"/>
      <c r="FL97" s="1586"/>
      <c r="FM97" s="1586"/>
      <c r="FN97" s="1586"/>
      <c r="FO97" s="1586"/>
      <c r="FP97" s="1586"/>
      <c r="FQ97" s="1586"/>
      <c r="FR97" s="1586"/>
      <c r="FS97" s="1586"/>
      <c r="FT97" s="1586"/>
      <c r="FU97" s="1586"/>
      <c r="FV97" s="1586"/>
      <c r="FW97" s="1586"/>
      <c r="FX97" s="1586"/>
      <c r="FY97" s="1586"/>
      <c r="FZ97" s="1586"/>
      <c r="GA97" s="1586"/>
      <c r="GB97" s="1586"/>
      <c r="GC97" s="1586"/>
      <c r="GD97" s="1586"/>
      <c r="GE97" s="1586"/>
      <c r="GF97" s="1586"/>
      <c r="GG97" s="1586"/>
      <c r="GH97" s="1586"/>
      <c r="GI97" s="1586"/>
      <c r="GJ97" s="1586"/>
      <c r="GK97" s="1586"/>
      <c r="GL97" s="1586"/>
      <c r="GM97" s="1586"/>
      <c r="GN97" s="1586"/>
      <c r="GO97" s="1586"/>
      <c r="GP97" s="1586"/>
      <c r="GQ97" s="1586"/>
      <c r="GR97" s="1586"/>
      <c r="GS97" s="1586"/>
      <c r="GT97" s="1586"/>
      <c r="GU97" s="1586"/>
      <c r="GV97" s="1586"/>
      <c r="GW97" s="1586"/>
      <c r="GX97" s="1586"/>
      <c r="GY97" s="1586"/>
      <c r="GZ97" s="1586"/>
      <c r="HA97" s="1586"/>
      <c r="HB97" s="1586"/>
      <c r="HC97" s="1586"/>
      <c r="HD97" s="1586"/>
      <c r="HE97" s="1586"/>
      <c r="HF97" s="1586"/>
      <c r="HG97" s="1586"/>
      <c r="HH97" s="1586"/>
      <c r="HI97" s="1586"/>
      <c r="HJ97" s="1586"/>
      <c r="HK97" s="1586"/>
      <c r="HL97" s="1586"/>
      <c r="HM97" s="1586"/>
      <c r="HN97" s="1586"/>
      <c r="HO97" s="1586"/>
      <c r="HP97" s="1586"/>
      <c r="HQ97" s="1586"/>
      <c r="HR97" s="1586"/>
      <c r="HS97" s="1586"/>
      <c r="HT97" s="1586"/>
      <c r="HU97" s="1586"/>
      <c r="HV97" s="1586"/>
      <c r="HW97" s="1586"/>
      <c r="HX97" s="1586"/>
      <c r="HY97" s="1586"/>
      <c r="HZ97" s="1586"/>
      <c r="IA97" s="1586"/>
      <c r="IB97" s="1586"/>
      <c r="IC97" s="1586"/>
      <c r="ID97" s="1586"/>
      <c r="IE97" s="1586"/>
      <c r="IF97" s="1586"/>
      <c r="IG97" s="1586"/>
      <c r="IH97" s="1586"/>
      <c r="II97" s="1586"/>
      <c r="IJ97" s="1586"/>
      <c r="IK97" s="1586"/>
      <c r="IL97" s="1586"/>
      <c r="IM97" s="1586"/>
      <c r="IN97" s="1586"/>
      <c r="IO97" s="1586"/>
      <c r="IP97" s="1586"/>
      <c r="IQ97" s="1587"/>
      <c r="IR97" s="1586"/>
      <c r="IS97" s="1586"/>
      <c r="IT97" s="1587"/>
      <c r="IU97" s="1586"/>
      <c r="IV97" s="1586"/>
      <c r="IW97" s="1586"/>
      <c r="IX97" s="1586"/>
      <c r="IY97" s="1586"/>
      <c r="IZ97" s="1586"/>
      <c r="JA97" s="1586"/>
      <c r="JB97" s="1586"/>
      <c r="JC97" s="1586"/>
      <c r="JD97" s="1586"/>
      <c r="JE97" s="1586"/>
      <c r="JF97" s="1586"/>
      <c r="JG97" s="1586"/>
      <c r="JH97" s="1586"/>
      <c r="JI97" s="1587"/>
      <c r="JJ97" s="1586"/>
      <c r="JK97" s="1587"/>
      <c r="JL97" s="1587"/>
      <c r="JM97" s="1587"/>
      <c r="JN97" s="1586"/>
      <c r="JO97" s="1587"/>
      <c r="JP97" s="1587"/>
      <c r="JQ97" s="1586"/>
      <c r="JR97" s="351"/>
      <c r="JS97" s="1400"/>
      <c r="JT97" s="450"/>
    </row>
    <row r="98" spans="1:280" ht="12.5" x14ac:dyDescent="0.25">
      <c r="A98" s="1367">
        <v>68</v>
      </c>
      <c r="B98" s="1574" t="str">
        <f t="shared" si="33"/>
        <v/>
      </c>
      <c r="C98" s="1435" t="s">
        <v>3690</v>
      </c>
      <c r="D98" s="1436" t="s">
        <v>3691</v>
      </c>
      <c r="E98" s="1568"/>
      <c r="F98" s="1568"/>
      <c r="G98" s="1568"/>
      <c r="H98" s="1568"/>
      <c r="I98" s="1568"/>
      <c r="J98" s="1568"/>
      <c r="K98" s="1568"/>
      <c r="L98" s="1568"/>
      <c r="M98" s="1568"/>
      <c r="N98" s="1568"/>
      <c r="O98" s="1568"/>
      <c r="P98" s="1568"/>
      <c r="Q98" s="1568"/>
      <c r="R98" s="1568"/>
      <c r="S98" s="1568"/>
      <c r="T98" s="1568"/>
      <c r="U98" s="1568"/>
      <c r="V98" s="1568"/>
      <c r="W98" s="1568"/>
      <c r="X98" s="1568"/>
      <c r="Y98" s="1568"/>
      <c r="Z98" s="1568"/>
      <c r="AA98" s="1568"/>
      <c r="AB98" s="1568"/>
      <c r="AC98" s="1568"/>
      <c r="AD98" s="1568"/>
      <c r="AE98" s="1568"/>
      <c r="AF98" s="1568"/>
      <c r="AG98" s="1568"/>
      <c r="AH98" s="1568"/>
      <c r="AI98" s="1568"/>
      <c r="AJ98" s="1568"/>
      <c r="AK98" s="1568"/>
      <c r="AL98" s="1568"/>
      <c r="AM98" s="1568"/>
      <c r="AN98" s="1568"/>
      <c r="AO98" s="1568"/>
      <c r="AP98" s="1568"/>
      <c r="AQ98" s="1568"/>
      <c r="AR98" s="1568"/>
      <c r="AS98" s="1568"/>
      <c r="AT98" s="1568"/>
      <c r="AU98" s="1568"/>
      <c r="AV98" s="1568"/>
      <c r="AW98" s="1568"/>
      <c r="AX98" s="1568"/>
      <c r="AY98" s="1568"/>
      <c r="AZ98" s="1568"/>
      <c r="BA98" s="1568"/>
      <c r="BB98" s="1568"/>
      <c r="BC98" s="1568"/>
      <c r="BD98" s="1568"/>
      <c r="BE98" s="1568"/>
      <c r="BF98" s="1568"/>
      <c r="BG98" s="1568"/>
      <c r="BH98" s="1568"/>
      <c r="BI98" s="1568"/>
      <c r="BJ98" s="1568"/>
      <c r="BK98" s="1568"/>
      <c r="BL98" s="1568"/>
      <c r="BM98" s="1568"/>
      <c r="BN98" s="1568"/>
      <c r="BO98" s="1568"/>
      <c r="BP98" s="1568"/>
      <c r="BQ98" s="1568"/>
      <c r="BR98" s="1568"/>
      <c r="BS98" s="1568"/>
      <c r="BT98" s="1568"/>
      <c r="BU98" s="1568"/>
      <c r="BV98" s="1568"/>
      <c r="BW98" s="1568"/>
      <c r="BX98" s="1568"/>
      <c r="BY98" s="1568"/>
      <c r="BZ98" s="1568"/>
      <c r="CA98" s="1568"/>
      <c r="CB98" s="1568"/>
      <c r="CC98" s="1568"/>
      <c r="CD98" s="1568"/>
      <c r="CE98" s="1568"/>
      <c r="CF98" s="1568"/>
      <c r="CG98" s="1568"/>
      <c r="CH98" s="1568"/>
      <c r="CI98" s="1568"/>
      <c r="CJ98" s="1568"/>
      <c r="CK98" s="1568"/>
      <c r="CL98" s="1568"/>
      <c r="CM98" s="1568"/>
      <c r="CN98" s="1568"/>
      <c r="CO98" s="1568"/>
      <c r="CP98" s="1568"/>
      <c r="CQ98" s="1568"/>
      <c r="CR98" s="1568"/>
      <c r="CS98" s="1568"/>
      <c r="CT98" s="1568"/>
      <c r="CU98" s="1568"/>
      <c r="CV98" s="1568"/>
      <c r="CW98" s="1568"/>
      <c r="CX98" s="1568"/>
      <c r="CY98" s="1568"/>
      <c r="CZ98" s="1568"/>
      <c r="DA98" s="1568"/>
      <c r="DB98" s="1568"/>
      <c r="DC98" s="1568"/>
      <c r="DD98" s="1568"/>
      <c r="DE98" s="1568"/>
      <c r="DF98" s="1568"/>
      <c r="DG98" s="1568"/>
      <c r="DH98" s="1568"/>
      <c r="DI98" s="1568"/>
      <c r="DJ98" s="1568"/>
      <c r="DK98" s="1568"/>
      <c r="DL98" s="1568"/>
      <c r="DM98" s="1568"/>
      <c r="DN98" s="1568"/>
      <c r="DO98" s="1568"/>
      <c r="DP98" s="1568"/>
      <c r="DQ98" s="1568"/>
      <c r="DR98" s="1568"/>
      <c r="DS98" s="1568"/>
      <c r="DT98" s="1568"/>
      <c r="DU98" s="1568"/>
      <c r="DV98" s="1568"/>
      <c r="DW98" s="1568"/>
      <c r="DX98" s="1568"/>
      <c r="DY98" s="1568"/>
      <c r="DZ98" s="1568"/>
      <c r="EA98" s="1568"/>
      <c r="EB98" s="1568"/>
      <c r="EC98" s="1568"/>
      <c r="ED98" s="1568"/>
      <c r="EE98" s="1568"/>
      <c r="EF98" s="1568"/>
      <c r="EG98" s="1568"/>
      <c r="EH98" s="1568"/>
      <c r="EI98" s="1568"/>
      <c r="EJ98" s="1568"/>
      <c r="EK98" s="1568"/>
      <c r="EL98" s="1568"/>
      <c r="EM98" s="1568"/>
      <c r="EN98" s="1568"/>
      <c r="EO98" s="1568"/>
      <c r="EP98" s="1568"/>
      <c r="EQ98" s="1568"/>
      <c r="ER98" s="1568"/>
      <c r="ES98" s="1568"/>
      <c r="ET98" s="1568"/>
      <c r="EU98" s="1568"/>
      <c r="EV98" s="1568"/>
      <c r="EW98" s="1568"/>
      <c r="EX98" s="1568"/>
      <c r="EY98" s="1568"/>
      <c r="EZ98" s="1568"/>
      <c r="FA98" s="1568"/>
      <c r="FB98" s="1568"/>
      <c r="FC98" s="1568"/>
      <c r="FD98" s="1568"/>
      <c r="FE98" s="1568"/>
      <c r="FF98" s="1568"/>
      <c r="FG98" s="1568"/>
      <c r="FH98" s="1568"/>
      <c r="FI98" s="1568"/>
      <c r="FJ98" s="1568"/>
      <c r="FK98" s="1568"/>
      <c r="FL98" s="1568"/>
      <c r="FM98" s="1568"/>
      <c r="FN98" s="1568"/>
      <c r="FO98" s="1568"/>
      <c r="FP98" s="1568"/>
      <c r="FQ98" s="1568"/>
      <c r="FR98" s="1568"/>
      <c r="FS98" s="1568"/>
      <c r="FT98" s="1568"/>
      <c r="FU98" s="1568"/>
      <c r="FV98" s="1568"/>
      <c r="FW98" s="1568"/>
      <c r="FX98" s="1568"/>
      <c r="FY98" s="1568"/>
      <c r="FZ98" s="1568"/>
      <c r="GA98" s="1568"/>
      <c r="GB98" s="1568"/>
      <c r="GC98" s="1568"/>
      <c r="GD98" s="1568"/>
      <c r="GE98" s="1568"/>
      <c r="GF98" s="1568"/>
      <c r="GG98" s="1568"/>
      <c r="GH98" s="1568"/>
      <c r="GI98" s="1568"/>
      <c r="GJ98" s="1568"/>
      <c r="GK98" s="1568"/>
      <c r="GL98" s="1568"/>
      <c r="GM98" s="1568"/>
      <c r="GN98" s="1568"/>
      <c r="GO98" s="1568"/>
      <c r="GP98" s="1568"/>
      <c r="GQ98" s="1568"/>
      <c r="GR98" s="1568"/>
      <c r="GS98" s="1568"/>
      <c r="GT98" s="1568"/>
      <c r="GU98" s="1568"/>
      <c r="GV98" s="1568"/>
      <c r="GW98" s="1568"/>
      <c r="GX98" s="1568"/>
      <c r="GY98" s="1568"/>
      <c r="GZ98" s="1568"/>
      <c r="HA98" s="1568"/>
      <c r="HB98" s="1568"/>
      <c r="HC98" s="1568"/>
      <c r="HD98" s="1568"/>
      <c r="HE98" s="1568"/>
      <c r="HF98" s="1568"/>
      <c r="HG98" s="1568"/>
      <c r="HH98" s="1568"/>
      <c r="HI98" s="1568"/>
      <c r="HJ98" s="1568"/>
      <c r="HK98" s="1568"/>
      <c r="HL98" s="1568"/>
      <c r="HM98" s="1568"/>
      <c r="HN98" s="1568"/>
      <c r="HO98" s="1568"/>
      <c r="HP98" s="1568"/>
      <c r="HQ98" s="1568"/>
      <c r="HR98" s="1568"/>
      <c r="HS98" s="1568"/>
      <c r="HT98" s="1568"/>
      <c r="HU98" s="1568"/>
      <c r="HV98" s="1568"/>
      <c r="HW98" s="1568"/>
      <c r="HX98" s="1568"/>
      <c r="HY98" s="1568"/>
      <c r="HZ98" s="1568"/>
      <c r="IA98" s="1568"/>
      <c r="IB98" s="1568"/>
      <c r="IC98" s="1568"/>
      <c r="ID98" s="1568"/>
      <c r="IE98" s="1568"/>
      <c r="IF98" s="1568"/>
      <c r="IG98" s="1568"/>
      <c r="IH98" s="1568"/>
      <c r="II98" s="1568"/>
      <c r="IJ98" s="1568"/>
      <c r="IK98" s="1568"/>
      <c r="IL98" s="1568"/>
      <c r="IM98" s="1568"/>
      <c r="IN98" s="1568"/>
      <c r="IO98" s="1568"/>
      <c r="IP98" s="1568"/>
      <c r="IQ98" s="1584"/>
      <c r="IR98" s="1568"/>
      <c r="IS98" s="1568"/>
      <c r="IT98" s="1584"/>
      <c r="IU98" s="1568"/>
      <c r="IV98" s="1568"/>
      <c r="IW98" s="1568"/>
      <c r="IX98" s="1568"/>
      <c r="IY98" s="1568"/>
      <c r="IZ98" s="1568"/>
      <c r="JA98" s="1568"/>
      <c r="JB98" s="1568"/>
      <c r="JC98" s="1568"/>
      <c r="JD98" s="1568"/>
      <c r="JE98" s="1568"/>
      <c r="JF98" s="1568"/>
      <c r="JG98" s="1568"/>
      <c r="JH98" s="1568"/>
      <c r="JI98" s="1584"/>
      <c r="JJ98" s="1568"/>
      <c r="JK98" s="1584"/>
      <c r="JL98" s="1584"/>
      <c r="JM98" s="1584"/>
      <c r="JN98" s="1568"/>
      <c r="JO98" s="1584"/>
      <c r="JP98" s="1584"/>
      <c r="JQ98" s="1585"/>
      <c r="JR98" s="351"/>
      <c r="JS98" s="1400"/>
      <c r="JT98" s="450" t="s">
        <v>2242</v>
      </c>
    </row>
    <row r="99" spans="1:280" ht="12.5" x14ac:dyDescent="0.25">
      <c r="A99" s="1367">
        <v>69</v>
      </c>
      <c r="B99" s="1574" t="str">
        <f t="shared" si="33"/>
        <v/>
      </c>
      <c r="C99" s="1435" t="s">
        <v>3692</v>
      </c>
      <c r="D99" s="1436" t="s">
        <v>3693</v>
      </c>
      <c r="E99" s="1568"/>
      <c r="F99" s="1568"/>
      <c r="G99" s="1568"/>
      <c r="H99" s="1568"/>
      <c r="I99" s="1568"/>
      <c r="J99" s="1568"/>
      <c r="K99" s="1568"/>
      <c r="L99" s="1568"/>
      <c r="M99" s="1568"/>
      <c r="N99" s="1568"/>
      <c r="O99" s="1568"/>
      <c r="P99" s="1568"/>
      <c r="Q99" s="1568"/>
      <c r="R99" s="1568"/>
      <c r="S99" s="1568"/>
      <c r="T99" s="1568"/>
      <c r="U99" s="1568"/>
      <c r="V99" s="1568"/>
      <c r="W99" s="1568"/>
      <c r="X99" s="1568"/>
      <c r="Y99" s="1568"/>
      <c r="Z99" s="1568"/>
      <c r="AA99" s="1568"/>
      <c r="AB99" s="1568"/>
      <c r="AC99" s="1568"/>
      <c r="AD99" s="1568"/>
      <c r="AE99" s="1568"/>
      <c r="AF99" s="1568"/>
      <c r="AG99" s="1568"/>
      <c r="AH99" s="1568"/>
      <c r="AI99" s="1568"/>
      <c r="AJ99" s="1568"/>
      <c r="AK99" s="1568"/>
      <c r="AL99" s="1568"/>
      <c r="AM99" s="1568"/>
      <c r="AN99" s="1568"/>
      <c r="AO99" s="1568"/>
      <c r="AP99" s="1568"/>
      <c r="AQ99" s="1568"/>
      <c r="AR99" s="1568"/>
      <c r="AS99" s="1568"/>
      <c r="AT99" s="1568"/>
      <c r="AU99" s="1568"/>
      <c r="AV99" s="1568"/>
      <c r="AW99" s="1568"/>
      <c r="AX99" s="1568"/>
      <c r="AY99" s="1568"/>
      <c r="AZ99" s="1568"/>
      <c r="BA99" s="1568"/>
      <c r="BB99" s="1568"/>
      <c r="BC99" s="1568"/>
      <c r="BD99" s="1568"/>
      <c r="BE99" s="1568"/>
      <c r="BF99" s="1568"/>
      <c r="BG99" s="1568"/>
      <c r="BH99" s="1568"/>
      <c r="BI99" s="1568"/>
      <c r="BJ99" s="1568"/>
      <c r="BK99" s="1568"/>
      <c r="BL99" s="1568"/>
      <c r="BM99" s="1568"/>
      <c r="BN99" s="1568"/>
      <c r="BO99" s="1568"/>
      <c r="BP99" s="1568"/>
      <c r="BQ99" s="1568"/>
      <c r="BR99" s="1568"/>
      <c r="BS99" s="1568"/>
      <c r="BT99" s="1568"/>
      <c r="BU99" s="1568"/>
      <c r="BV99" s="1568"/>
      <c r="BW99" s="1568"/>
      <c r="BX99" s="1568"/>
      <c r="BY99" s="1568"/>
      <c r="BZ99" s="1568"/>
      <c r="CA99" s="1568"/>
      <c r="CB99" s="1568"/>
      <c r="CC99" s="1568"/>
      <c r="CD99" s="1568"/>
      <c r="CE99" s="1568"/>
      <c r="CF99" s="1568"/>
      <c r="CG99" s="1568"/>
      <c r="CH99" s="1568"/>
      <c r="CI99" s="1568"/>
      <c r="CJ99" s="1568"/>
      <c r="CK99" s="1568"/>
      <c r="CL99" s="1568"/>
      <c r="CM99" s="1568"/>
      <c r="CN99" s="1568"/>
      <c r="CO99" s="1568"/>
      <c r="CP99" s="1568"/>
      <c r="CQ99" s="1568"/>
      <c r="CR99" s="1568"/>
      <c r="CS99" s="1568"/>
      <c r="CT99" s="1568"/>
      <c r="CU99" s="1568"/>
      <c r="CV99" s="1568"/>
      <c r="CW99" s="1568"/>
      <c r="CX99" s="1568"/>
      <c r="CY99" s="1568"/>
      <c r="CZ99" s="1568"/>
      <c r="DA99" s="1568"/>
      <c r="DB99" s="1568"/>
      <c r="DC99" s="1568"/>
      <c r="DD99" s="1568"/>
      <c r="DE99" s="1568"/>
      <c r="DF99" s="1568"/>
      <c r="DG99" s="1568"/>
      <c r="DH99" s="1568"/>
      <c r="DI99" s="1568"/>
      <c r="DJ99" s="1568"/>
      <c r="DK99" s="1568"/>
      <c r="DL99" s="1568"/>
      <c r="DM99" s="1568"/>
      <c r="DN99" s="1568"/>
      <c r="DO99" s="1568"/>
      <c r="DP99" s="1568"/>
      <c r="DQ99" s="1568"/>
      <c r="DR99" s="1568"/>
      <c r="DS99" s="1568"/>
      <c r="DT99" s="1568"/>
      <c r="DU99" s="1568"/>
      <c r="DV99" s="1568"/>
      <c r="DW99" s="1568"/>
      <c r="DX99" s="1568"/>
      <c r="DY99" s="1568"/>
      <c r="DZ99" s="1568"/>
      <c r="EA99" s="1568"/>
      <c r="EB99" s="1568"/>
      <c r="EC99" s="1568"/>
      <c r="ED99" s="1568"/>
      <c r="EE99" s="1568"/>
      <c r="EF99" s="1568"/>
      <c r="EG99" s="1568"/>
      <c r="EH99" s="1568"/>
      <c r="EI99" s="1568"/>
      <c r="EJ99" s="1568"/>
      <c r="EK99" s="1568"/>
      <c r="EL99" s="1568"/>
      <c r="EM99" s="1568"/>
      <c r="EN99" s="1568"/>
      <c r="EO99" s="1568"/>
      <c r="EP99" s="1568"/>
      <c r="EQ99" s="1568"/>
      <c r="ER99" s="1568"/>
      <c r="ES99" s="1568"/>
      <c r="ET99" s="1568"/>
      <c r="EU99" s="1568"/>
      <c r="EV99" s="1568"/>
      <c r="EW99" s="1568"/>
      <c r="EX99" s="1568"/>
      <c r="EY99" s="1568"/>
      <c r="EZ99" s="1568"/>
      <c r="FA99" s="1568"/>
      <c r="FB99" s="1568"/>
      <c r="FC99" s="1568"/>
      <c r="FD99" s="1568"/>
      <c r="FE99" s="1568"/>
      <c r="FF99" s="1568"/>
      <c r="FG99" s="1568"/>
      <c r="FH99" s="1568"/>
      <c r="FI99" s="1568"/>
      <c r="FJ99" s="1568"/>
      <c r="FK99" s="1568"/>
      <c r="FL99" s="1568"/>
      <c r="FM99" s="1568"/>
      <c r="FN99" s="1568"/>
      <c r="FO99" s="1568"/>
      <c r="FP99" s="1568"/>
      <c r="FQ99" s="1568"/>
      <c r="FR99" s="1568"/>
      <c r="FS99" s="1568"/>
      <c r="FT99" s="1568"/>
      <c r="FU99" s="1568"/>
      <c r="FV99" s="1568"/>
      <c r="FW99" s="1568"/>
      <c r="FX99" s="1568"/>
      <c r="FY99" s="1568"/>
      <c r="FZ99" s="1568"/>
      <c r="GA99" s="1568"/>
      <c r="GB99" s="1568"/>
      <c r="GC99" s="1568"/>
      <c r="GD99" s="1568"/>
      <c r="GE99" s="1568"/>
      <c r="GF99" s="1568"/>
      <c r="GG99" s="1568"/>
      <c r="GH99" s="1568"/>
      <c r="GI99" s="1568"/>
      <c r="GJ99" s="1568"/>
      <c r="GK99" s="1568"/>
      <c r="GL99" s="1568"/>
      <c r="GM99" s="1568"/>
      <c r="GN99" s="1568"/>
      <c r="GO99" s="1568"/>
      <c r="GP99" s="1568"/>
      <c r="GQ99" s="1568"/>
      <c r="GR99" s="1568"/>
      <c r="GS99" s="1568"/>
      <c r="GT99" s="1568"/>
      <c r="GU99" s="1568"/>
      <c r="GV99" s="1568"/>
      <c r="GW99" s="1568"/>
      <c r="GX99" s="1568"/>
      <c r="GY99" s="1568"/>
      <c r="GZ99" s="1568"/>
      <c r="HA99" s="1568"/>
      <c r="HB99" s="1568"/>
      <c r="HC99" s="1568"/>
      <c r="HD99" s="1568"/>
      <c r="HE99" s="1568"/>
      <c r="HF99" s="1568"/>
      <c r="HG99" s="1568"/>
      <c r="HH99" s="1568"/>
      <c r="HI99" s="1568"/>
      <c r="HJ99" s="1568"/>
      <c r="HK99" s="1568"/>
      <c r="HL99" s="1568"/>
      <c r="HM99" s="1568"/>
      <c r="HN99" s="1568"/>
      <c r="HO99" s="1568"/>
      <c r="HP99" s="1568"/>
      <c r="HQ99" s="1568"/>
      <c r="HR99" s="1568"/>
      <c r="HS99" s="1568"/>
      <c r="HT99" s="1568"/>
      <c r="HU99" s="1568"/>
      <c r="HV99" s="1568"/>
      <c r="HW99" s="1568"/>
      <c r="HX99" s="1568"/>
      <c r="HY99" s="1568"/>
      <c r="HZ99" s="1568"/>
      <c r="IA99" s="1568"/>
      <c r="IB99" s="1568"/>
      <c r="IC99" s="1568"/>
      <c r="ID99" s="1568"/>
      <c r="IE99" s="1568"/>
      <c r="IF99" s="1568"/>
      <c r="IG99" s="1568"/>
      <c r="IH99" s="1568"/>
      <c r="II99" s="1568"/>
      <c r="IJ99" s="1568"/>
      <c r="IK99" s="1568"/>
      <c r="IL99" s="1568"/>
      <c r="IM99" s="1568"/>
      <c r="IN99" s="1568"/>
      <c r="IO99" s="1568"/>
      <c r="IP99" s="1568"/>
      <c r="IQ99" s="1584"/>
      <c r="IR99" s="1568"/>
      <c r="IS99" s="1568"/>
      <c r="IT99" s="1584"/>
      <c r="IU99" s="1568"/>
      <c r="IV99" s="1568"/>
      <c r="IW99" s="1568"/>
      <c r="IX99" s="1568"/>
      <c r="IY99" s="1568"/>
      <c r="IZ99" s="1568"/>
      <c r="JA99" s="1568"/>
      <c r="JB99" s="1568"/>
      <c r="JC99" s="1568"/>
      <c r="JD99" s="1568"/>
      <c r="JE99" s="1568"/>
      <c r="JF99" s="1568"/>
      <c r="JG99" s="1568"/>
      <c r="JH99" s="1568"/>
      <c r="JI99" s="1584"/>
      <c r="JJ99" s="1568"/>
      <c r="JK99" s="1584"/>
      <c r="JL99" s="1584"/>
      <c r="JM99" s="1584"/>
      <c r="JN99" s="1568"/>
      <c r="JO99" s="1584"/>
      <c r="JP99" s="1584"/>
      <c r="JQ99" s="1585"/>
      <c r="JR99" s="351"/>
      <c r="JS99" s="1400"/>
      <c r="JT99" s="450" t="s">
        <v>2253</v>
      </c>
    </row>
    <row r="100" spans="1:280" ht="12.5" x14ac:dyDescent="0.25">
      <c r="A100" s="1367">
        <v>70</v>
      </c>
      <c r="B100" s="1574" t="str">
        <f t="shared" si="33"/>
        <v/>
      </c>
      <c r="C100" s="1435" t="s">
        <v>3694</v>
      </c>
      <c r="D100" s="1436" t="s">
        <v>3695</v>
      </c>
      <c r="E100" s="1568"/>
      <c r="F100" s="1568"/>
      <c r="G100" s="1568"/>
      <c r="H100" s="1568"/>
      <c r="I100" s="1568"/>
      <c r="J100" s="1568"/>
      <c r="K100" s="1568"/>
      <c r="L100" s="1568"/>
      <c r="M100" s="1568"/>
      <c r="N100" s="1568"/>
      <c r="O100" s="1568"/>
      <c r="P100" s="1568"/>
      <c r="Q100" s="1568"/>
      <c r="R100" s="1568"/>
      <c r="S100" s="1568"/>
      <c r="T100" s="1568"/>
      <c r="U100" s="1568"/>
      <c r="V100" s="1568"/>
      <c r="W100" s="1568"/>
      <c r="X100" s="1568"/>
      <c r="Y100" s="1568"/>
      <c r="Z100" s="1568"/>
      <c r="AA100" s="1568"/>
      <c r="AB100" s="1568"/>
      <c r="AC100" s="1568"/>
      <c r="AD100" s="1568"/>
      <c r="AE100" s="1568"/>
      <c r="AF100" s="1568"/>
      <c r="AG100" s="1568"/>
      <c r="AH100" s="1568"/>
      <c r="AI100" s="1568"/>
      <c r="AJ100" s="1568"/>
      <c r="AK100" s="1568"/>
      <c r="AL100" s="1568"/>
      <c r="AM100" s="1568"/>
      <c r="AN100" s="1568"/>
      <c r="AO100" s="1568"/>
      <c r="AP100" s="1568"/>
      <c r="AQ100" s="1568"/>
      <c r="AR100" s="1568"/>
      <c r="AS100" s="1568"/>
      <c r="AT100" s="1568"/>
      <c r="AU100" s="1568"/>
      <c r="AV100" s="1568"/>
      <c r="AW100" s="1568"/>
      <c r="AX100" s="1568"/>
      <c r="AY100" s="1568"/>
      <c r="AZ100" s="1568"/>
      <c r="BA100" s="1568"/>
      <c r="BB100" s="1568"/>
      <c r="BC100" s="1568"/>
      <c r="BD100" s="1568"/>
      <c r="BE100" s="1568"/>
      <c r="BF100" s="1568"/>
      <c r="BG100" s="1568"/>
      <c r="BH100" s="1568"/>
      <c r="BI100" s="1568"/>
      <c r="BJ100" s="1568"/>
      <c r="BK100" s="1568"/>
      <c r="BL100" s="1568"/>
      <c r="BM100" s="1568"/>
      <c r="BN100" s="1568"/>
      <c r="BO100" s="1568"/>
      <c r="BP100" s="1568"/>
      <c r="BQ100" s="1568"/>
      <c r="BR100" s="1568"/>
      <c r="BS100" s="1568"/>
      <c r="BT100" s="1568"/>
      <c r="BU100" s="1568"/>
      <c r="BV100" s="1568"/>
      <c r="BW100" s="1568"/>
      <c r="BX100" s="1568"/>
      <c r="BY100" s="1568"/>
      <c r="BZ100" s="1568"/>
      <c r="CA100" s="1568"/>
      <c r="CB100" s="1568"/>
      <c r="CC100" s="1568"/>
      <c r="CD100" s="1568"/>
      <c r="CE100" s="1568"/>
      <c r="CF100" s="1568"/>
      <c r="CG100" s="1568"/>
      <c r="CH100" s="1568"/>
      <c r="CI100" s="1568"/>
      <c r="CJ100" s="1568"/>
      <c r="CK100" s="1568"/>
      <c r="CL100" s="1568"/>
      <c r="CM100" s="1568"/>
      <c r="CN100" s="1568"/>
      <c r="CO100" s="1568"/>
      <c r="CP100" s="1568"/>
      <c r="CQ100" s="1568"/>
      <c r="CR100" s="1568"/>
      <c r="CS100" s="1568"/>
      <c r="CT100" s="1568"/>
      <c r="CU100" s="1568"/>
      <c r="CV100" s="1568"/>
      <c r="CW100" s="1568"/>
      <c r="CX100" s="1568"/>
      <c r="CY100" s="1568"/>
      <c r="CZ100" s="1568"/>
      <c r="DA100" s="1568"/>
      <c r="DB100" s="1568"/>
      <c r="DC100" s="1568"/>
      <c r="DD100" s="1568"/>
      <c r="DE100" s="1568"/>
      <c r="DF100" s="1568"/>
      <c r="DG100" s="1568"/>
      <c r="DH100" s="1568"/>
      <c r="DI100" s="1568"/>
      <c r="DJ100" s="1568"/>
      <c r="DK100" s="1568"/>
      <c r="DL100" s="1568"/>
      <c r="DM100" s="1568"/>
      <c r="DN100" s="1568"/>
      <c r="DO100" s="1568"/>
      <c r="DP100" s="1568"/>
      <c r="DQ100" s="1568"/>
      <c r="DR100" s="1568"/>
      <c r="DS100" s="1568"/>
      <c r="DT100" s="1568"/>
      <c r="DU100" s="1568"/>
      <c r="DV100" s="1568"/>
      <c r="DW100" s="1568"/>
      <c r="DX100" s="1568"/>
      <c r="DY100" s="1568"/>
      <c r="DZ100" s="1568"/>
      <c r="EA100" s="1568"/>
      <c r="EB100" s="1568"/>
      <c r="EC100" s="1568"/>
      <c r="ED100" s="1568"/>
      <c r="EE100" s="1568"/>
      <c r="EF100" s="1568"/>
      <c r="EG100" s="1568"/>
      <c r="EH100" s="1568"/>
      <c r="EI100" s="1568"/>
      <c r="EJ100" s="1568"/>
      <c r="EK100" s="1568"/>
      <c r="EL100" s="1568"/>
      <c r="EM100" s="1568"/>
      <c r="EN100" s="1568"/>
      <c r="EO100" s="1568"/>
      <c r="EP100" s="1568"/>
      <c r="EQ100" s="1568"/>
      <c r="ER100" s="1570">
        <v>127</v>
      </c>
      <c r="ES100" s="1568"/>
      <c r="ET100" s="1568"/>
      <c r="EU100" s="1568"/>
      <c r="EV100" s="1568"/>
      <c r="EW100" s="1568"/>
      <c r="EX100" s="1568"/>
      <c r="EY100" s="1568"/>
      <c r="EZ100" s="1568"/>
      <c r="FA100" s="1568"/>
      <c r="FB100" s="1568"/>
      <c r="FC100" s="1568"/>
      <c r="FD100" s="1568"/>
      <c r="FE100" s="1568"/>
      <c r="FF100" s="1568"/>
      <c r="FG100" s="1568"/>
      <c r="FH100" s="1568"/>
      <c r="FI100" s="1568"/>
      <c r="FJ100" s="1568"/>
      <c r="FK100" s="1568"/>
      <c r="FL100" s="1568"/>
      <c r="FM100" s="1568"/>
      <c r="FN100" s="1568"/>
      <c r="FO100" s="1568"/>
      <c r="FP100" s="1568"/>
      <c r="FQ100" s="1568"/>
      <c r="FR100" s="1568"/>
      <c r="FS100" s="1568"/>
      <c r="FT100" s="1568"/>
      <c r="FU100" s="1568"/>
      <c r="FV100" s="1568"/>
      <c r="FW100" s="1568"/>
      <c r="FX100" s="1568"/>
      <c r="FY100" s="1568"/>
      <c r="FZ100" s="1568"/>
      <c r="GA100" s="1568"/>
      <c r="GB100" s="1568"/>
      <c r="GC100" s="1568"/>
      <c r="GD100" s="1568"/>
      <c r="GE100" s="1568"/>
      <c r="GF100" s="1568"/>
      <c r="GG100" s="1568"/>
      <c r="GH100" s="1568"/>
      <c r="GI100" s="1568"/>
      <c r="GJ100" s="1568"/>
      <c r="GK100" s="1568"/>
      <c r="GL100" s="1568"/>
      <c r="GM100" s="1568"/>
      <c r="GN100" s="1568"/>
      <c r="GO100" s="1568"/>
      <c r="GP100" s="1568"/>
      <c r="GQ100" s="1568"/>
      <c r="GR100" s="1568"/>
      <c r="GS100" s="1568"/>
      <c r="GT100" s="1568"/>
      <c r="GU100" s="1568"/>
      <c r="GV100" s="1568"/>
      <c r="GW100" s="1568"/>
      <c r="GX100" s="1568"/>
      <c r="GY100" s="1568"/>
      <c r="GZ100" s="1568"/>
      <c r="HA100" s="1568"/>
      <c r="HB100" s="1568"/>
      <c r="HC100" s="1568"/>
      <c r="HD100" s="1568"/>
      <c r="HE100" s="1568"/>
      <c r="HF100" s="1568"/>
      <c r="HG100" s="1568"/>
      <c r="HH100" s="1568"/>
      <c r="HI100" s="1568"/>
      <c r="HJ100" s="1568"/>
      <c r="HK100" s="1568"/>
      <c r="HL100" s="1568"/>
      <c r="HM100" s="1568"/>
      <c r="HN100" s="1568"/>
      <c r="HO100" s="1568"/>
      <c r="HP100" s="1568"/>
      <c r="HQ100" s="1568"/>
      <c r="HR100" s="1568"/>
      <c r="HS100" s="1568"/>
      <c r="HT100" s="1568"/>
      <c r="HU100" s="1568"/>
      <c r="HV100" s="1568"/>
      <c r="HW100" s="1568"/>
      <c r="HX100" s="1568"/>
      <c r="HY100" s="1568"/>
      <c r="HZ100" s="1568"/>
      <c r="IA100" s="1568"/>
      <c r="IB100" s="1568"/>
      <c r="IC100" s="1568"/>
      <c r="ID100" s="1568"/>
      <c r="IE100" s="1568"/>
      <c r="IF100" s="1568"/>
      <c r="IG100" s="1568"/>
      <c r="IH100" s="1568"/>
      <c r="II100" s="1568"/>
      <c r="IJ100" s="1568"/>
      <c r="IK100" s="1568"/>
      <c r="IL100" s="1568"/>
      <c r="IM100" s="1568"/>
      <c r="IN100" s="1568"/>
      <c r="IO100" s="1568"/>
      <c r="IP100" s="1568"/>
      <c r="IQ100" s="1584"/>
      <c r="IR100" s="1568"/>
      <c r="IS100" s="1568"/>
      <c r="IT100" s="1584"/>
      <c r="IU100" s="1568"/>
      <c r="IV100" s="1568"/>
      <c r="IW100" s="1568"/>
      <c r="IX100" s="1568"/>
      <c r="IY100" s="1568"/>
      <c r="IZ100" s="1568"/>
      <c r="JA100" s="1568"/>
      <c r="JB100" s="1568"/>
      <c r="JC100" s="1568"/>
      <c r="JD100" s="1568"/>
      <c r="JE100" s="1568"/>
      <c r="JF100" s="1568"/>
      <c r="JG100" s="1568"/>
      <c r="JH100" s="1568"/>
      <c r="JI100" s="1584"/>
      <c r="JJ100" s="1568"/>
      <c r="JK100" s="1584"/>
      <c r="JL100" s="1584"/>
      <c r="JM100" s="1584"/>
      <c r="JN100" s="1568"/>
      <c r="JO100" s="1584"/>
      <c r="JP100" s="1584"/>
      <c r="JQ100" s="1585"/>
      <c r="JR100" s="351"/>
      <c r="JS100" s="1400"/>
      <c r="JT100" s="450" t="s">
        <v>2224</v>
      </c>
    </row>
    <row r="101" spans="1:280" ht="12.5" x14ac:dyDescent="0.25">
      <c r="A101" s="1367">
        <v>71</v>
      </c>
      <c r="B101" s="1574" t="str">
        <f t="shared" si="33"/>
        <v/>
      </c>
      <c r="C101" s="1435" t="s">
        <v>1891</v>
      </c>
      <c r="D101" s="1436" t="s">
        <v>3641</v>
      </c>
      <c r="E101" s="1568"/>
      <c r="F101" s="1568"/>
      <c r="G101" s="1568"/>
      <c r="H101" s="1568"/>
      <c r="I101" s="1568"/>
      <c r="J101" s="1568"/>
      <c r="K101" s="1568"/>
      <c r="L101" s="1568"/>
      <c r="M101" s="1568"/>
      <c r="N101" s="1568"/>
      <c r="O101" s="1568"/>
      <c r="P101" s="1568"/>
      <c r="Q101" s="1568"/>
      <c r="R101" s="1568"/>
      <c r="S101" s="1568"/>
      <c r="T101" s="1568"/>
      <c r="U101" s="1568"/>
      <c r="V101" s="1568"/>
      <c r="W101" s="1568"/>
      <c r="X101" s="1568"/>
      <c r="Y101" s="1568"/>
      <c r="Z101" s="1568"/>
      <c r="AA101" s="1568"/>
      <c r="AB101" s="1568"/>
      <c r="AC101" s="1568"/>
      <c r="AD101" s="1568"/>
      <c r="AE101" s="1568"/>
      <c r="AF101" s="1568"/>
      <c r="AG101" s="1568"/>
      <c r="AH101" s="1568"/>
      <c r="AI101" s="1568"/>
      <c r="AJ101" s="1568"/>
      <c r="AK101" s="1568"/>
      <c r="AL101" s="1568"/>
      <c r="AM101" s="1568"/>
      <c r="AN101" s="1568"/>
      <c r="AO101" s="1568"/>
      <c r="AP101" s="1568"/>
      <c r="AQ101" s="1568"/>
      <c r="AR101" s="1568"/>
      <c r="AS101" s="1568"/>
      <c r="AT101" s="1568"/>
      <c r="AU101" s="1568"/>
      <c r="AV101" s="1568"/>
      <c r="AW101" s="1568"/>
      <c r="AX101" s="1568"/>
      <c r="AY101" s="1568"/>
      <c r="AZ101" s="1568"/>
      <c r="BA101" s="1568"/>
      <c r="BB101" s="1568"/>
      <c r="BC101" s="1568"/>
      <c r="BD101" s="1568"/>
      <c r="BE101" s="1568"/>
      <c r="BF101" s="1568"/>
      <c r="BG101" s="1568"/>
      <c r="BH101" s="1568"/>
      <c r="BI101" s="1568"/>
      <c r="BJ101" s="1568"/>
      <c r="BK101" s="1568"/>
      <c r="BL101" s="1568"/>
      <c r="BM101" s="1568"/>
      <c r="BN101" s="1568"/>
      <c r="BO101" s="1568"/>
      <c r="BP101" s="1568"/>
      <c r="BQ101" s="1568"/>
      <c r="BR101" s="1568"/>
      <c r="BS101" s="1568"/>
      <c r="BT101" s="1568"/>
      <c r="BU101" s="1568"/>
      <c r="BV101" s="1568"/>
      <c r="BW101" s="1568"/>
      <c r="BX101" s="1568"/>
      <c r="BY101" s="1568"/>
      <c r="BZ101" s="1568"/>
      <c r="CA101" s="1568"/>
      <c r="CB101" s="1568"/>
      <c r="CC101" s="1568"/>
      <c r="CD101" s="1568"/>
      <c r="CE101" s="1568"/>
      <c r="CF101" s="1568"/>
      <c r="CG101" s="1568"/>
      <c r="CH101" s="1568"/>
      <c r="CI101" s="1568"/>
      <c r="CJ101" s="1568"/>
      <c r="CK101" s="1568"/>
      <c r="CL101" s="1568"/>
      <c r="CM101" s="1568"/>
      <c r="CN101" s="1568"/>
      <c r="CO101" s="1568"/>
      <c r="CP101" s="1568"/>
      <c r="CQ101" s="1568"/>
      <c r="CR101" s="1568"/>
      <c r="CS101" s="1568"/>
      <c r="CT101" s="1568"/>
      <c r="CU101" s="1568"/>
      <c r="CV101" s="1568"/>
      <c r="CW101" s="1568"/>
      <c r="CX101" s="1568"/>
      <c r="CY101" s="1568"/>
      <c r="CZ101" s="1568">
        <v>400</v>
      </c>
      <c r="DA101" s="1568">
        <v>450</v>
      </c>
      <c r="DB101" s="1568"/>
      <c r="DC101" s="1568"/>
      <c r="DD101" s="1568"/>
      <c r="DE101" s="1568"/>
      <c r="DF101" s="1568"/>
      <c r="DG101" s="1568"/>
      <c r="DH101" s="1568"/>
      <c r="DI101" s="1568"/>
      <c r="DJ101" s="1568"/>
      <c r="DK101" s="1568"/>
      <c r="DL101" s="1568"/>
      <c r="DM101" s="1568"/>
      <c r="DN101" s="1568"/>
      <c r="DO101" s="1568"/>
      <c r="DP101" s="1568"/>
      <c r="DQ101" s="1568"/>
      <c r="DR101" s="1568"/>
      <c r="DS101" s="1568"/>
      <c r="DT101" s="1568"/>
      <c r="DU101" s="1568"/>
      <c r="DV101" s="1568"/>
      <c r="DW101" s="1568"/>
      <c r="DX101" s="1568"/>
      <c r="DY101" s="1568"/>
      <c r="DZ101" s="1568"/>
      <c r="EA101" s="1568"/>
      <c r="EB101" s="1568"/>
      <c r="EC101" s="1568"/>
      <c r="ED101" s="1568"/>
      <c r="EE101" s="1568"/>
      <c r="EF101" s="1568"/>
      <c r="EG101" s="1568"/>
      <c r="EH101" s="1568"/>
      <c r="EI101" s="1568"/>
      <c r="EJ101" s="1568"/>
      <c r="EK101" s="1568"/>
      <c r="EL101" s="1568"/>
      <c r="EM101" s="1568"/>
      <c r="EN101" s="1568"/>
      <c r="EO101" s="1568"/>
      <c r="EP101" s="1568"/>
      <c r="EQ101" s="1568"/>
      <c r="ER101" s="1568"/>
      <c r="ES101" s="1568"/>
      <c r="ET101" s="1568"/>
      <c r="EU101" s="1568"/>
      <c r="EV101" s="1568"/>
      <c r="EW101" s="1568"/>
      <c r="EX101" s="1568"/>
      <c r="EY101" s="1568"/>
      <c r="EZ101" s="1568"/>
      <c r="FA101" s="1568"/>
      <c r="FB101" s="1568"/>
      <c r="FC101" s="1568"/>
      <c r="FD101" s="1568"/>
      <c r="FE101" s="1568"/>
      <c r="FF101" s="1568"/>
      <c r="FG101" s="1568"/>
      <c r="FH101" s="1568"/>
      <c r="FI101" s="1568"/>
      <c r="FJ101" s="1568"/>
      <c r="FK101" s="1568">
        <v>450</v>
      </c>
      <c r="FL101" s="1568"/>
      <c r="FM101" s="1568"/>
      <c r="FN101" s="1568"/>
      <c r="FO101" s="1568"/>
      <c r="FP101" s="1568"/>
      <c r="FQ101" s="1568"/>
      <c r="FR101" s="1568"/>
      <c r="FS101" s="1568"/>
      <c r="FT101" s="1568"/>
      <c r="FU101" s="1568"/>
      <c r="FV101" s="1568"/>
      <c r="FW101" s="1568"/>
      <c r="FX101" s="1568"/>
      <c r="FY101" s="1568"/>
      <c r="FZ101" s="1568"/>
      <c r="GA101" s="1568"/>
      <c r="GB101" s="1568"/>
      <c r="GC101" s="1568"/>
      <c r="GD101" s="1568"/>
      <c r="GE101" s="1568"/>
      <c r="GF101" s="1568"/>
      <c r="GG101" s="1568"/>
      <c r="GH101" s="1568"/>
      <c r="GI101" s="1568"/>
      <c r="GJ101" s="1568"/>
      <c r="GK101" s="1568"/>
      <c r="GL101" s="1568"/>
      <c r="GM101" s="1568"/>
      <c r="GN101" s="1568"/>
      <c r="GO101" s="1568"/>
      <c r="GP101" s="1568"/>
      <c r="GQ101" s="1568"/>
      <c r="GR101" s="1568"/>
      <c r="GS101" s="1568"/>
      <c r="GT101" s="1568"/>
      <c r="GU101" s="1568"/>
      <c r="GV101" s="1568"/>
      <c r="GW101" s="1568"/>
      <c r="GX101" s="1568"/>
      <c r="GY101" s="1568"/>
      <c r="GZ101" s="1568"/>
      <c r="HA101" s="1568"/>
      <c r="HB101" s="1568"/>
      <c r="HC101" s="1568"/>
      <c r="HD101" s="1568"/>
      <c r="HE101" s="1568"/>
      <c r="HF101" s="1568"/>
      <c r="HG101" s="1568"/>
      <c r="HH101" s="1568"/>
      <c r="HI101" s="1568"/>
      <c r="HJ101" s="1568"/>
      <c r="HK101" s="1568"/>
      <c r="HL101" s="1568"/>
      <c r="HM101" s="1568"/>
      <c r="HN101" s="1568"/>
      <c r="HO101" s="1568"/>
      <c r="HP101" s="1568"/>
      <c r="HQ101" s="1568"/>
      <c r="HR101" s="1568"/>
      <c r="HS101" s="1568"/>
      <c r="HT101" s="1568"/>
      <c r="HU101" s="1568"/>
      <c r="HV101" s="1568"/>
      <c r="HW101" s="1568"/>
      <c r="HX101" s="1568"/>
      <c r="HY101" s="1568"/>
      <c r="HZ101" s="1568"/>
      <c r="IA101" s="1568"/>
      <c r="IB101" s="1568"/>
      <c r="IC101" s="1568"/>
      <c r="ID101" s="1568"/>
      <c r="IE101" s="1568"/>
      <c r="IF101" s="1568"/>
      <c r="IG101" s="1568"/>
      <c r="IH101" s="1568"/>
      <c r="II101" s="1568"/>
      <c r="IJ101" s="1568"/>
      <c r="IK101" s="1568"/>
      <c r="IL101" s="1568"/>
      <c r="IM101" s="1568"/>
      <c r="IN101" s="1568"/>
      <c r="IO101" s="1568"/>
      <c r="IP101" s="1568"/>
      <c r="IQ101" s="1584"/>
      <c r="IR101" s="1568"/>
      <c r="IS101" s="1568"/>
      <c r="IT101" s="1584"/>
      <c r="IU101" s="1568"/>
      <c r="IV101" s="1568"/>
      <c r="IW101" s="1568"/>
      <c r="IX101" s="1568"/>
      <c r="IY101" s="1568"/>
      <c r="IZ101" s="1568"/>
      <c r="JA101" s="1568"/>
      <c r="JB101" s="1568"/>
      <c r="JC101" s="1568"/>
      <c r="JD101" s="1568"/>
      <c r="JE101" s="1568"/>
      <c r="JF101" s="1568"/>
      <c r="JG101" s="1568"/>
      <c r="JH101" s="1568"/>
      <c r="JI101" s="1584"/>
      <c r="JJ101" s="1568"/>
      <c r="JK101" s="1584"/>
      <c r="JL101" s="1584"/>
      <c r="JM101" s="1584"/>
      <c r="JN101" s="1568"/>
      <c r="JO101" s="1584"/>
      <c r="JP101" s="1584"/>
      <c r="JQ101" s="1585"/>
      <c r="JR101" s="351"/>
      <c r="JS101" s="1400"/>
      <c r="JT101" s="450"/>
    </row>
    <row r="102" spans="1:280" ht="12.5" x14ac:dyDescent="0.25">
      <c r="A102" s="1367">
        <v>72</v>
      </c>
      <c r="B102" s="1574" t="str">
        <f t="shared" si="33"/>
        <v/>
      </c>
      <c r="C102" s="1435" t="s">
        <v>1892</v>
      </c>
      <c r="D102" s="1436" t="s">
        <v>3642</v>
      </c>
      <c r="E102" s="1568"/>
      <c r="F102" s="1568"/>
      <c r="G102" s="1568"/>
      <c r="H102" s="1568"/>
      <c r="I102" s="1568"/>
      <c r="J102" s="1568"/>
      <c r="K102" s="1568"/>
      <c r="L102" s="1568"/>
      <c r="M102" s="1568"/>
      <c r="N102" s="1568"/>
      <c r="O102" s="1568"/>
      <c r="P102" s="1568"/>
      <c r="Q102" s="1568"/>
      <c r="R102" s="1568"/>
      <c r="S102" s="1568"/>
      <c r="T102" s="1568"/>
      <c r="U102" s="1568"/>
      <c r="V102" s="1568"/>
      <c r="W102" s="1568"/>
      <c r="X102" s="1568"/>
      <c r="Y102" s="1568"/>
      <c r="Z102" s="1568"/>
      <c r="AA102" s="1568"/>
      <c r="AB102" s="1568"/>
      <c r="AC102" s="1568"/>
      <c r="AD102" s="1568"/>
      <c r="AE102" s="1568"/>
      <c r="AF102" s="1568"/>
      <c r="AG102" s="1568"/>
      <c r="AH102" s="1568"/>
      <c r="AI102" s="1568"/>
      <c r="AJ102" s="1568"/>
      <c r="AK102" s="1568"/>
      <c r="AL102" s="1568"/>
      <c r="AM102" s="1568"/>
      <c r="AN102" s="1568"/>
      <c r="AO102" s="1568"/>
      <c r="AP102" s="1568"/>
      <c r="AQ102" s="1568"/>
      <c r="AR102" s="1568"/>
      <c r="AS102" s="1568"/>
      <c r="AT102" s="1568"/>
      <c r="AU102" s="1568"/>
      <c r="AV102" s="1568"/>
      <c r="AW102" s="1568"/>
      <c r="AX102" s="1568"/>
      <c r="AY102" s="1568"/>
      <c r="AZ102" s="1568"/>
      <c r="BA102" s="1568"/>
      <c r="BB102" s="1568"/>
      <c r="BC102" s="1568"/>
      <c r="BD102" s="1568"/>
      <c r="BE102" s="1568"/>
      <c r="BF102" s="1568"/>
      <c r="BG102" s="1568"/>
      <c r="BH102" s="1568"/>
      <c r="BI102" s="1568"/>
      <c r="BJ102" s="1568"/>
      <c r="BK102" s="1568"/>
      <c r="BL102" s="1568"/>
      <c r="BM102" s="1568"/>
      <c r="BN102" s="1568"/>
      <c r="BO102" s="1568"/>
      <c r="BP102" s="1568"/>
      <c r="BQ102" s="1568"/>
      <c r="BR102" s="1568"/>
      <c r="BS102" s="1568"/>
      <c r="BT102" s="1568"/>
      <c r="BU102" s="1568"/>
      <c r="BV102" s="1568"/>
      <c r="BW102" s="1568"/>
      <c r="BX102" s="1568"/>
      <c r="BY102" s="1568"/>
      <c r="BZ102" s="1568"/>
      <c r="CA102" s="1568"/>
      <c r="CB102" s="1568"/>
      <c r="CC102" s="1568"/>
      <c r="CD102" s="1568"/>
      <c r="CE102" s="1568"/>
      <c r="CF102" s="1568"/>
      <c r="CG102" s="1568"/>
      <c r="CH102" s="1568"/>
      <c r="CI102" s="1568"/>
      <c r="CJ102" s="1568"/>
      <c r="CK102" s="1568"/>
      <c r="CL102" s="1568"/>
      <c r="CM102" s="1568"/>
      <c r="CN102" s="1568"/>
      <c r="CO102" s="1568"/>
      <c r="CP102" s="1568"/>
      <c r="CQ102" s="1568"/>
      <c r="CR102" s="1568"/>
      <c r="CS102" s="1568"/>
      <c r="CT102" s="1568"/>
      <c r="CU102" s="1568"/>
      <c r="CV102" s="1568"/>
      <c r="CW102" s="1568"/>
      <c r="CX102" s="1568"/>
      <c r="CY102" s="1568"/>
      <c r="CZ102" s="1568">
        <v>50</v>
      </c>
      <c r="DA102" s="1568"/>
      <c r="DB102" s="1568"/>
      <c r="DC102" s="1568"/>
      <c r="DD102" s="1568"/>
      <c r="DE102" s="1568"/>
      <c r="DF102" s="1568"/>
      <c r="DG102" s="1568"/>
      <c r="DH102" s="1568"/>
      <c r="DI102" s="1568"/>
      <c r="DJ102" s="1568"/>
      <c r="DK102" s="1568"/>
      <c r="DL102" s="1568"/>
      <c r="DM102" s="1568"/>
      <c r="DN102" s="1568"/>
      <c r="DO102" s="1568"/>
      <c r="DP102" s="1568"/>
      <c r="DQ102" s="1568"/>
      <c r="DR102" s="1568"/>
      <c r="DS102" s="1568"/>
      <c r="DT102" s="1568"/>
      <c r="DU102" s="1568"/>
      <c r="DV102" s="1568"/>
      <c r="DW102" s="1568"/>
      <c r="DX102" s="1568"/>
      <c r="DY102" s="1568"/>
      <c r="DZ102" s="1568"/>
      <c r="EA102" s="1568"/>
      <c r="EB102" s="1568"/>
      <c r="EC102" s="1568"/>
      <c r="ED102" s="1568"/>
      <c r="EE102" s="1568"/>
      <c r="EF102" s="1568"/>
      <c r="EG102" s="1568"/>
      <c r="EH102" s="1568"/>
      <c r="EI102" s="1568"/>
      <c r="EJ102" s="1568"/>
      <c r="EK102" s="1568"/>
      <c r="EL102" s="1568"/>
      <c r="EM102" s="1568"/>
      <c r="EN102" s="1568"/>
      <c r="EO102" s="1568"/>
      <c r="EP102" s="1568"/>
      <c r="EQ102" s="1568"/>
      <c r="ER102" s="1568"/>
      <c r="ES102" s="1568"/>
      <c r="ET102" s="1568"/>
      <c r="EU102" s="1568"/>
      <c r="EV102" s="1568"/>
      <c r="EW102" s="1568"/>
      <c r="EX102" s="1568"/>
      <c r="EY102" s="1568"/>
      <c r="EZ102" s="1568"/>
      <c r="FA102" s="1568"/>
      <c r="FB102" s="1568"/>
      <c r="FC102" s="1568"/>
      <c r="FD102" s="1568"/>
      <c r="FE102" s="1568"/>
      <c r="FF102" s="1568"/>
      <c r="FG102" s="1568"/>
      <c r="FH102" s="1568"/>
      <c r="FI102" s="1568"/>
      <c r="FJ102" s="1568"/>
      <c r="FK102" s="1568"/>
      <c r="FL102" s="1568"/>
      <c r="FM102" s="1568"/>
      <c r="FN102" s="1568"/>
      <c r="FO102" s="1568"/>
      <c r="FP102" s="1568"/>
      <c r="FQ102" s="1568"/>
      <c r="FR102" s="1568"/>
      <c r="FS102" s="1568"/>
      <c r="FT102" s="1568"/>
      <c r="FU102" s="1568"/>
      <c r="FV102" s="1568"/>
      <c r="FW102" s="1568"/>
      <c r="FX102" s="1568"/>
      <c r="FY102" s="1568"/>
      <c r="FZ102" s="1568"/>
      <c r="GA102" s="1568"/>
      <c r="GB102" s="1568"/>
      <c r="GC102" s="1568"/>
      <c r="GD102" s="1568"/>
      <c r="GE102" s="1568"/>
      <c r="GF102" s="1568"/>
      <c r="GG102" s="1568"/>
      <c r="GH102" s="1568"/>
      <c r="GI102" s="1568"/>
      <c r="GJ102" s="1568"/>
      <c r="GK102" s="1568"/>
      <c r="GL102" s="1568"/>
      <c r="GM102" s="1568"/>
      <c r="GN102" s="1568"/>
      <c r="GO102" s="1568"/>
      <c r="GP102" s="1568"/>
      <c r="GQ102" s="1568"/>
      <c r="GR102" s="1568"/>
      <c r="GS102" s="1568"/>
      <c r="GT102" s="1568"/>
      <c r="GU102" s="1568"/>
      <c r="GV102" s="1568"/>
      <c r="GW102" s="1568"/>
      <c r="GX102" s="1568"/>
      <c r="GY102" s="1568"/>
      <c r="GZ102" s="1568"/>
      <c r="HA102" s="1568"/>
      <c r="HB102" s="1568"/>
      <c r="HC102" s="1568"/>
      <c r="HD102" s="1568"/>
      <c r="HE102" s="1568"/>
      <c r="HF102" s="1568"/>
      <c r="HG102" s="1568"/>
      <c r="HH102" s="1568"/>
      <c r="HI102" s="1568"/>
      <c r="HJ102" s="1568"/>
      <c r="HK102" s="1568"/>
      <c r="HL102" s="1568"/>
      <c r="HM102" s="1568"/>
      <c r="HN102" s="1568"/>
      <c r="HO102" s="1568"/>
      <c r="HP102" s="1568"/>
      <c r="HQ102" s="1568"/>
      <c r="HR102" s="1568"/>
      <c r="HS102" s="1568"/>
      <c r="HT102" s="1568"/>
      <c r="HU102" s="1568"/>
      <c r="HV102" s="1568"/>
      <c r="HW102" s="1568"/>
      <c r="HX102" s="1568"/>
      <c r="HY102" s="1568"/>
      <c r="HZ102" s="1568"/>
      <c r="IA102" s="1568"/>
      <c r="IB102" s="1568"/>
      <c r="IC102" s="1568"/>
      <c r="ID102" s="1568"/>
      <c r="IE102" s="1568"/>
      <c r="IF102" s="1568"/>
      <c r="IG102" s="1568"/>
      <c r="IH102" s="1568"/>
      <c r="II102" s="1568"/>
      <c r="IJ102" s="1568"/>
      <c r="IK102" s="1568"/>
      <c r="IL102" s="1568"/>
      <c r="IM102" s="1568"/>
      <c r="IN102" s="1568"/>
      <c r="IO102" s="1568"/>
      <c r="IP102" s="1568"/>
      <c r="IQ102" s="1584"/>
      <c r="IR102" s="1568"/>
      <c r="IS102" s="1568"/>
      <c r="IT102" s="1584"/>
      <c r="IU102" s="1568"/>
      <c r="IV102" s="1568"/>
      <c r="IW102" s="1568"/>
      <c r="IX102" s="1568"/>
      <c r="IY102" s="1568"/>
      <c r="IZ102" s="1568"/>
      <c r="JA102" s="1568"/>
      <c r="JB102" s="1568"/>
      <c r="JC102" s="1568"/>
      <c r="JD102" s="1568"/>
      <c r="JE102" s="1568"/>
      <c r="JF102" s="1568"/>
      <c r="JG102" s="1568"/>
      <c r="JH102" s="1568"/>
      <c r="JI102" s="1584"/>
      <c r="JJ102" s="1568"/>
      <c r="JK102" s="1584"/>
      <c r="JL102" s="1584"/>
      <c r="JM102" s="1584"/>
      <c r="JN102" s="1568"/>
      <c r="JO102" s="1584"/>
      <c r="JP102" s="1584"/>
      <c r="JQ102" s="1585"/>
      <c r="JR102" s="351"/>
      <c r="JS102" s="1400"/>
      <c r="JT102" s="450"/>
    </row>
    <row r="103" spans="1:280" ht="12.5" x14ac:dyDescent="0.25">
      <c r="A103" s="1367">
        <v>73</v>
      </c>
      <c r="B103" s="1574" t="str">
        <f t="shared" si="33"/>
        <v/>
      </c>
      <c r="C103" s="1435" t="s">
        <v>3696</v>
      </c>
      <c r="D103" s="1436" t="s">
        <v>3644</v>
      </c>
      <c r="E103" s="1568"/>
      <c r="F103" s="1568"/>
      <c r="G103" s="1568"/>
      <c r="H103" s="1568"/>
      <c r="I103" s="1568"/>
      <c r="J103" s="1568"/>
      <c r="K103" s="1568"/>
      <c r="L103" s="1568"/>
      <c r="M103" s="1568"/>
      <c r="N103" s="1568"/>
      <c r="O103" s="1568"/>
      <c r="P103" s="1568"/>
      <c r="Q103" s="1568"/>
      <c r="R103" s="1568"/>
      <c r="S103" s="1568"/>
      <c r="T103" s="1568"/>
      <c r="U103" s="1568"/>
      <c r="V103" s="1568"/>
      <c r="W103" s="1568"/>
      <c r="X103" s="1568"/>
      <c r="Y103" s="1568"/>
      <c r="Z103" s="1568"/>
      <c r="AA103" s="1568"/>
      <c r="AB103" s="1568"/>
      <c r="AC103" s="1568"/>
      <c r="AD103" s="1568"/>
      <c r="AE103" s="1568"/>
      <c r="AF103" s="1568"/>
      <c r="AG103" s="1568"/>
      <c r="AH103" s="1568"/>
      <c r="AI103" s="1568"/>
      <c r="AJ103" s="1568"/>
      <c r="AK103" s="1568"/>
      <c r="AL103" s="1568"/>
      <c r="AM103" s="1568"/>
      <c r="AN103" s="1568"/>
      <c r="AO103" s="1568"/>
      <c r="AP103" s="1568"/>
      <c r="AQ103" s="1568"/>
      <c r="AR103" s="1568"/>
      <c r="AS103" s="1568"/>
      <c r="AT103" s="1568"/>
      <c r="AU103" s="1568"/>
      <c r="AV103" s="1568"/>
      <c r="AW103" s="1568"/>
      <c r="AX103" s="1568"/>
      <c r="AY103" s="1568"/>
      <c r="AZ103" s="1568"/>
      <c r="BA103" s="1568"/>
      <c r="BB103" s="1568"/>
      <c r="BC103" s="1568"/>
      <c r="BD103" s="1568"/>
      <c r="BE103" s="1568"/>
      <c r="BF103" s="1568"/>
      <c r="BG103" s="1568"/>
      <c r="BH103" s="1568"/>
      <c r="BI103" s="1568"/>
      <c r="BJ103" s="1568"/>
      <c r="BK103" s="1568"/>
      <c r="BL103" s="1568"/>
      <c r="BM103" s="1568"/>
      <c r="BN103" s="1568"/>
      <c r="BO103" s="1568"/>
      <c r="BP103" s="1568"/>
      <c r="BQ103" s="1568"/>
      <c r="BR103" s="1568"/>
      <c r="BS103" s="1568"/>
      <c r="BT103" s="1568"/>
      <c r="BU103" s="1568"/>
      <c r="BV103" s="1568"/>
      <c r="BW103" s="1568"/>
      <c r="BX103" s="1568"/>
      <c r="BY103" s="1568"/>
      <c r="BZ103" s="1568"/>
      <c r="CA103" s="1568"/>
      <c r="CB103" s="1568"/>
      <c r="CC103" s="1568"/>
      <c r="CD103" s="1568"/>
      <c r="CE103" s="1568"/>
      <c r="CF103" s="1568"/>
      <c r="CG103" s="1568"/>
      <c r="CH103" s="1568"/>
      <c r="CI103" s="1568"/>
      <c r="CJ103" s="1568"/>
      <c r="CK103" s="1568"/>
      <c r="CL103" s="1568"/>
      <c r="CM103" s="1568"/>
      <c r="CN103" s="1568"/>
      <c r="CO103" s="1568"/>
      <c r="CP103" s="1568"/>
      <c r="CQ103" s="1568"/>
      <c r="CR103" s="1568"/>
      <c r="CS103" s="1568"/>
      <c r="CT103" s="1568"/>
      <c r="CU103" s="1568"/>
      <c r="CV103" s="1568"/>
      <c r="CW103" s="1568"/>
      <c r="CX103" s="1568"/>
      <c r="CY103" s="1568"/>
      <c r="CZ103" s="1568"/>
      <c r="DA103" s="1568"/>
      <c r="DB103" s="1568"/>
      <c r="DC103" s="1568"/>
      <c r="DD103" s="1568"/>
      <c r="DE103" s="1568"/>
      <c r="DF103" s="1568"/>
      <c r="DG103" s="1568"/>
      <c r="DH103" s="1568"/>
      <c r="DI103" s="1568"/>
      <c r="DJ103" s="1568"/>
      <c r="DK103" s="1568"/>
      <c r="DL103" s="1568"/>
      <c r="DM103" s="1568"/>
      <c r="DN103" s="1568"/>
      <c r="DO103" s="1568"/>
      <c r="DP103" s="1568"/>
      <c r="DQ103" s="1568"/>
      <c r="DR103" s="1568"/>
      <c r="DS103" s="1568"/>
      <c r="DT103" s="1568"/>
      <c r="DU103" s="1568"/>
      <c r="DV103" s="1568"/>
      <c r="DW103" s="1568"/>
      <c r="DX103" s="1568"/>
      <c r="DY103" s="1568"/>
      <c r="DZ103" s="1568"/>
      <c r="EA103" s="1568"/>
      <c r="EB103" s="1568"/>
      <c r="EC103" s="1568"/>
      <c r="ED103" s="1568"/>
      <c r="EE103" s="1568"/>
      <c r="EF103" s="1568"/>
      <c r="EG103" s="1568"/>
      <c r="EH103" s="1568"/>
      <c r="EI103" s="1568"/>
      <c r="EJ103" s="1568"/>
      <c r="EK103" s="1568"/>
      <c r="EL103" s="1568"/>
      <c r="EM103" s="1568"/>
      <c r="EN103" s="1568"/>
      <c r="EO103" s="1568"/>
      <c r="EP103" s="1568"/>
      <c r="EQ103" s="1568"/>
      <c r="ER103" s="1568"/>
      <c r="ES103" s="1568"/>
      <c r="ET103" s="1568"/>
      <c r="EU103" s="1568"/>
      <c r="EV103" s="1568"/>
      <c r="EW103" s="1568"/>
      <c r="EX103" s="1568"/>
      <c r="EY103" s="1568"/>
      <c r="EZ103" s="1568"/>
      <c r="FA103" s="1568"/>
      <c r="FB103" s="1568"/>
      <c r="FC103" s="1568"/>
      <c r="FD103" s="1568"/>
      <c r="FE103" s="1568"/>
      <c r="FF103" s="1568"/>
      <c r="FG103" s="1568"/>
      <c r="FH103" s="1568"/>
      <c r="FI103" s="1568"/>
      <c r="FJ103" s="1568"/>
      <c r="FK103" s="1568"/>
      <c r="FL103" s="1568"/>
      <c r="FM103" s="1568"/>
      <c r="FN103" s="1568"/>
      <c r="FO103" s="1568"/>
      <c r="FP103" s="1568"/>
      <c r="FQ103" s="1568"/>
      <c r="FR103" s="1568"/>
      <c r="FS103" s="1568"/>
      <c r="FT103" s="1568"/>
      <c r="FU103" s="1568"/>
      <c r="FV103" s="1568"/>
      <c r="FW103" s="1568"/>
      <c r="FX103" s="1568"/>
      <c r="FY103" s="1568"/>
      <c r="FZ103" s="1568"/>
      <c r="GA103" s="1568"/>
      <c r="GB103" s="1568"/>
      <c r="GC103" s="1568"/>
      <c r="GD103" s="1568"/>
      <c r="GE103" s="1568"/>
      <c r="GF103" s="1568"/>
      <c r="GG103" s="1568"/>
      <c r="GH103" s="1568"/>
      <c r="GI103" s="1568"/>
      <c r="GJ103" s="1568"/>
      <c r="GK103" s="1568"/>
      <c r="GL103" s="1568"/>
      <c r="GM103" s="1568"/>
      <c r="GN103" s="1568"/>
      <c r="GO103" s="1568"/>
      <c r="GP103" s="1568"/>
      <c r="GQ103" s="1568"/>
      <c r="GR103" s="1568"/>
      <c r="GS103" s="1568"/>
      <c r="GT103" s="1568"/>
      <c r="GU103" s="1568"/>
      <c r="GV103" s="1568"/>
      <c r="GW103" s="1568"/>
      <c r="GX103" s="1568"/>
      <c r="GY103" s="1568"/>
      <c r="GZ103" s="1568"/>
      <c r="HA103" s="1568"/>
      <c r="HB103" s="1568"/>
      <c r="HC103" s="1568"/>
      <c r="HD103" s="1568"/>
      <c r="HE103" s="1568"/>
      <c r="HF103" s="1568"/>
      <c r="HG103" s="1568"/>
      <c r="HH103" s="1568"/>
      <c r="HI103" s="1568"/>
      <c r="HJ103" s="1568"/>
      <c r="HK103" s="1568"/>
      <c r="HL103" s="1568"/>
      <c r="HM103" s="1568"/>
      <c r="HN103" s="1568"/>
      <c r="HO103" s="1568"/>
      <c r="HP103" s="1568"/>
      <c r="HQ103" s="1568"/>
      <c r="HR103" s="1568"/>
      <c r="HS103" s="1568"/>
      <c r="HT103" s="1568"/>
      <c r="HU103" s="1568"/>
      <c r="HV103" s="1568"/>
      <c r="HW103" s="1568"/>
      <c r="HX103" s="1568"/>
      <c r="HY103" s="1568"/>
      <c r="HZ103" s="1568"/>
      <c r="IA103" s="1568"/>
      <c r="IB103" s="1568"/>
      <c r="IC103" s="1568"/>
      <c r="ID103" s="1568"/>
      <c r="IE103" s="1568"/>
      <c r="IF103" s="1568"/>
      <c r="IG103" s="1568"/>
      <c r="IH103" s="1568"/>
      <c r="II103" s="1568"/>
      <c r="IJ103" s="1568"/>
      <c r="IK103" s="1568"/>
      <c r="IL103" s="1568"/>
      <c r="IM103" s="1568"/>
      <c r="IN103" s="1568"/>
      <c r="IO103" s="1568">
        <f>MAX(0,IO99-IO100)</f>
        <v>0</v>
      </c>
      <c r="IP103" s="1568"/>
      <c r="IQ103" s="1584"/>
      <c r="IR103" s="1568"/>
      <c r="IS103" s="1568"/>
      <c r="IT103" s="1584"/>
      <c r="IU103" s="1568"/>
      <c r="IV103" s="1568"/>
      <c r="IW103" s="1568"/>
      <c r="IX103" s="1568"/>
      <c r="IY103" s="1568"/>
      <c r="IZ103" s="1568"/>
      <c r="JA103" s="1568"/>
      <c r="JB103" s="1568"/>
      <c r="JC103" s="1568"/>
      <c r="JD103" s="1568"/>
      <c r="JE103" s="1568"/>
      <c r="JF103" s="1568"/>
      <c r="JG103" s="1568"/>
      <c r="JH103" s="1568"/>
      <c r="JI103" s="1584"/>
      <c r="JJ103" s="1568"/>
      <c r="JK103" s="1584"/>
      <c r="JL103" s="1584"/>
      <c r="JM103" s="1584"/>
      <c r="JN103" s="1568"/>
      <c r="JO103" s="1584"/>
      <c r="JP103" s="1584"/>
      <c r="JQ103" s="1585"/>
      <c r="JR103" s="351"/>
      <c r="JS103" s="1400"/>
      <c r="JT103" s="450"/>
    </row>
    <row r="104" spans="1:280" ht="20" x14ac:dyDescent="0.25">
      <c r="A104" s="1367">
        <v>74</v>
      </c>
      <c r="B104" s="1574" t="str">
        <f t="shared" si="33"/>
        <v/>
      </c>
      <c r="C104" s="1435" t="s">
        <v>3697</v>
      </c>
      <c r="D104" s="1436" t="s">
        <v>3698</v>
      </c>
      <c r="E104" s="1598"/>
      <c r="F104" s="1598"/>
      <c r="G104" s="1598"/>
      <c r="H104" s="1598"/>
      <c r="I104" s="1598"/>
      <c r="J104" s="1598"/>
      <c r="K104" s="1598"/>
      <c r="L104" s="1598"/>
      <c r="M104" s="1598"/>
      <c r="N104" s="1598"/>
      <c r="O104" s="1598"/>
      <c r="P104" s="1598"/>
      <c r="Q104" s="1598"/>
      <c r="R104" s="1598"/>
      <c r="S104" s="1598"/>
      <c r="T104" s="1598"/>
      <c r="U104" s="1598"/>
      <c r="V104" s="1598"/>
      <c r="W104" s="1598"/>
      <c r="X104" s="1598"/>
      <c r="Y104" s="1598"/>
      <c r="Z104" s="1598"/>
      <c r="AA104" s="1598"/>
      <c r="AB104" s="1598"/>
      <c r="AC104" s="1598"/>
      <c r="AD104" s="1598"/>
      <c r="AE104" s="1598"/>
      <c r="AF104" s="1598"/>
      <c r="AG104" s="1598"/>
      <c r="AH104" s="1598"/>
      <c r="AI104" s="1598"/>
      <c r="AJ104" s="1598"/>
      <c r="AK104" s="1598"/>
      <c r="AL104" s="1598"/>
      <c r="AM104" s="1598"/>
      <c r="AN104" s="1598"/>
      <c r="AO104" s="1598"/>
      <c r="AP104" s="1598"/>
      <c r="AQ104" s="1598"/>
      <c r="AR104" s="1598"/>
      <c r="AS104" s="1598"/>
      <c r="AT104" s="1598"/>
      <c r="AU104" s="1598"/>
      <c r="AV104" s="1598"/>
      <c r="AW104" s="1598"/>
      <c r="AX104" s="1598"/>
      <c r="AY104" s="1598"/>
      <c r="AZ104" s="1598"/>
      <c r="BA104" s="1598"/>
      <c r="BB104" s="1598">
        <f>BB73+BB79+BB83+BB90+BB96</f>
        <v>7335</v>
      </c>
      <c r="BC104" s="1598"/>
      <c r="BD104" s="1598"/>
      <c r="BE104" s="1598"/>
      <c r="BF104" s="1598"/>
      <c r="BG104" s="1598"/>
      <c r="BH104" s="1598"/>
      <c r="BI104" s="1598"/>
      <c r="BJ104" s="1598"/>
      <c r="BK104" s="1598"/>
      <c r="BL104" s="1598"/>
      <c r="BM104" s="1598"/>
      <c r="BN104" s="1598"/>
      <c r="BO104" s="1598"/>
      <c r="BP104" s="1598"/>
      <c r="BQ104" s="1598"/>
      <c r="BR104" s="1598"/>
      <c r="BS104" s="1598"/>
      <c r="BT104" s="1598"/>
      <c r="BU104" s="1598"/>
      <c r="BV104" s="1598"/>
      <c r="BW104" s="1598"/>
      <c r="BX104" s="1598"/>
      <c r="BY104" s="1598"/>
      <c r="BZ104" s="1598"/>
      <c r="CA104" s="1598"/>
      <c r="CB104" s="1598"/>
      <c r="CC104" s="1598">
        <f t="shared" ref="CC104:DM104" si="35">CC73+CC79+CC83+CC90+CC96</f>
        <v>989</v>
      </c>
      <c r="CD104" s="1598">
        <f t="shared" si="35"/>
        <v>6151</v>
      </c>
      <c r="CE104" s="1598">
        <f t="shared" si="35"/>
        <v>2035</v>
      </c>
      <c r="CF104" s="1598"/>
      <c r="CG104" s="1598">
        <f t="shared" si="35"/>
        <v>50080</v>
      </c>
      <c r="CH104" s="1598">
        <f t="shared" si="35"/>
        <v>77136</v>
      </c>
      <c r="CI104" s="1598">
        <f t="shared" si="35"/>
        <v>2221</v>
      </c>
      <c r="CJ104" s="1599">
        <f t="shared" si="35"/>
        <v>11187</v>
      </c>
      <c r="CK104" s="1598"/>
      <c r="CL104" s="1598"/>
      <c r="CM104" s="1598"/>
      <c r="CN104" s="1598"/>
      <c r="CO104" s="1598"/>
      <c r="CP104" s="1598"/>
      <c r="CQ104" s="1598"/>
      <c r="CR104" s="1598"/>
      <c r="CS104" s="1598"/>
      <c r="CT104" s="1598"/>
      <c r="CU104" s="1598"/>
      <c r="CV104" s="1598"/>
      <c r="CW104" s="1598"/>
      <c r="CX104" s="1598"/>
      <c r="CY104" s="1598">
        <f t="shared" si="35"/>
        <v>7345</v>
      </c>
      <c r="CZ104" s="1598">
        <f t="shared" si="35"/>
        <v>21987</v>
      </c>
      <c r="DA104" s="1598">
        <f t="shared" si="35"/>
        <v>21987</v>
      </c>
      <c r="DB104" s="1598"/>
      <c r="DC104" s="1598"/>
      <c r="DD104" s="1598"/>
      <c r="DE104" s="1598"/>
      <c r="DF104" s="1598"/>
      <c r="DG104" s="1598"/>
      <c r="DH104" s="1598"/>
      <c r="DI104" s="1598"/>
      <c r="DJ104" s="1599">
        <f t="shared" si="35"/>
        <v>132</v>
      </c>
      <c r="DK104" s="1598"/>
      <c r="DL104" s="1598"/>
      <c r="DM104" s="1598">
        <f t="shared" si="35"/>
        <v>7345</v>
      </c>
      <c r="DN104" s="1598"/>
      <c r="DO104" s="1598"/>
      <c r="DP104" s="1598"/>
      <c r="DQ104" s="1598"/>
      <c r="DR104" s="1598"/>
      <c r="DS104" s="1598"/>
      <c r="DT104" s="1598"/>
      <c r="DU104" s="1598"/>
      <c r="DV104" s="1598"/>
      <c r="DW104" s="1598"/>
      <c r="DX104" s="1598"/>
      <c r="DY104" s="1598"/>
      <c r="DZ104" s="1598"/>
      <c r="EA104" s="1598"/>
      <c r="EB104" s="1598"/>
      <c r="EC104" s="1598"/>
      <c r="ED104" s="1598"/>
      <c r="EE104" s="1598"/>
      <c r="EF104" s="1598"/>
      <c r="EG104" s="1598"/>
      <c r="EH104" s="1598"/>
      <c r="EI104" s="1598">
        <f t="shared" ref="EI104" si="36">EI73+EI79+EI83+EI90+EI96</f>
        <v>11430</v>
      </c>
      <c r="EJ104" s="1598"/>
      <c r="EK104" s="1598"/>
      <c r="EL104" s="1598"/>
      <c r="EM104" s="1598"/>
      <c r="EN104" s="1598"/>
      <c r="EO104" s="1598"/>
      <c r="EP104" s="1598"/>
      <c r="EQ104" s="1598"/>
      <c r="ER104" s="1598"/>
      <c r="ES104" s="1598"/>
      <c r="ET104" s="1598"/>
      <c r="EU104" s="1598"/>
      <c r="EV104" s="1598"/>
      <c r="EW104" s="1598"/>
      <c r="EX104" s="1598"/>
      <c r="EY104" s="1598"/>
      <c r="EZ104" s="1598"/>
      <c r="FA104" s="1598">
        <f>FA73+FA83+FA90+FA96</f>
        <v>7345</v>
      </c>
      <c r="FB104" s="1598"/>
      <c r="FC104" s="1598"/>
      <c r="FD104" s="1599">
        <f>FD73+FD79+FD83+FD90+FD96</f>
        <v>1190</v>
      </c>
      <c r="FE104" s="1598"/>
      <c r="FF104" s="1598"/>
      <c r="FG104" s="1598"/>
      <c r="FH104" s="1599">
        <f>FH73+FH79+FH83+FH90+FH96</f>
        <v>1190</v>
      </c>
      <c r="FI104" s="1598"/>
      <c r="FJ104" s="1598"/>
      <c r="FK104" s="1598">
        <f>FK73+FK79+FK83+FK90+FK96</f>
        <v>21987</v>
      </c>
      <c r="FL104" s="1598"/>
      <c r="FM104" s="1598"/>
      <c r="FN104" s="1598"/>
      <c r="FO104" s="1598"/>
      <c r="FP104" s="1598"/>
      <c r="FQ104" s="1598"/>
      <c r="FR104" s="1598"/>
      <c r="FS104" s="1598"/>
      <c r="FT104" s="1598"/>
      <c r="FU104" s="1598"/>
      <c r="FV104" s="1598"/>
      <c r="FW104" s="1598"/>
      <c r="FX104" s="1598"/>
      <c r="FY104" s="1598"/>
      <c r="FZ104" s="1598"/>
      <c r="GA104" s="1598"/>
      <c r="GB104" s="1598"/>
      <c r="GC104" s="1598"/>
      <c r="GD104" s="1598"/>
      <c r="GE104" s="1598"/>
      <c r="GF104" s="1598"/>
      <c r="GG104" s="1598"/>
      <c r="GH104" s="1598"/>
      <c r="GI104" s="1598"/>
      <c r="GJ104" s="1598"/>
      <c r="GK104" s="1598"/>
      <c r="GL104" s="1598"/>
      <c r="GM104" s="1598"/>
      <c r="GN104" s="1598"/>
      <c r="GO104" s="1598"/>
      <c r="GP104" s="1598"/>
      <c r="GQ104" s="1598"/>
      <c r="GR104" s="1598"/>
      <c r="GS104" s="1598"/>
      <c r="GT104" s="1598"/>
      <c r="GU104" s="1598"/>
      <c r="GV104" s="1598"/>
      <c r="GW104" s="1598"/>
      <c r="GX104" s="1598"/>
      <c r="GY104" s="1598">
        <f t="shared" ref="GY104" si="37">GY73+GY79+GY83+GY90+GY96</f>
        <v>11431</v>
      </c>
      <c r="GZ104" s="1598"/>
      <c r="HA104" s="1598"/>
      <c r="HB104" s="1598"/>
      <c r="HC104" s="1598"/>
      <c r="HD104" s="1598"/>
      <c r="HE104" s="1598"/>
      <c r="HF104" s="1598"/>
      <c r="HG104" s="1598"/>
      <c r="HH104" s="1598"/>
      <c r="HI104" s="1598"/>
      <c r="HJ104" s="1598"/>
      <c r="HK104" s="1598"/>
      <c r="HL104" s="1598"/>
      <c r="HM104" s="1598"/>
      <c r="HN104" s="1598"/>
      <c r="HO104" s="1598"/>
      <c r="HP104" s="1598"/>
      <c r="HQ104" s="1598"/>
      <c r="HR104" s="1598"/>
      <c r="HS104" s="1598"/>
      <c r="HT104" s="1598"/>
      <c r="HU104" s="1598"/>
      <c r="HV104" s="1598"/>
      <c r="HW104" s="1598"/>
      <c r="HX104" s="1598"/>
      <c r="HY104" s="1598"/>
      <c r="HZ104" s="1598"/>
      <c r="IA104" s="1598"/>
      <c r="IB104" s="1598"/>
      <c r="IC104" s="1598"/>
      <c r="ID104" s="1598"/>
      <c r="IE104" s="1598"/>
      <c r="IF104" s="1598"/>
      <c r="IG104" s="1598"/>
      <c r="IH104" s="1598"/>
      <c r="II104" s="1598"/>
      <c r="IJ104" s="1598"/>
      <c r="IK104" s="1598"/>
      <c r="IL104" s="1598"/>
      <c r="IM104" s="1598"/>
      <c r="IN104" s="1598"/>
      <c r="IO104" s="1598"/>
      <c r="IP104" s="1598"/>
      <c r="IQ104" s="1598">
        <f t="shared" ref="IQ104:JL104" si="38">IQ73+IQ79+IQ83+IQ90+IQ96</f>
        <v>106</v>
      </c>
      <c r="IR104" s="1598"/>
      <c r="IS104" s="1598"/>
      <c r="IT104" s="1598"/>
      <c r="IU104" s="1599">
        <f t="shared" si="38"/>
        <v>276</v>
      </c>
      <c r="IV104" s="1598"/>
      <c r="IW104" s="1598"/>
      <c r="IX104" s="1598"/>
      <c r="IY104" s="1598"/>
      <c r="IZ104" s="1598"/>
      <c r="JA104" s="1598"/>
      <c r="JB104" s="1598"/>
      <c r="JC104" s="1598"/>
      <c r="JD104" s="1598"/>
      <c r="JE104" s="1598"/>
      <c r="JF104" s="1598"/>
      <c r="JG104" s="1598"/>
      <c r="JH104" s="1598"/>
      <c r="JI104" s="1598"/>
      <c r="JJ104" s="1598"/>
      <c r="JK104" s="1598"/>
      <c r="JL104" s="1598">
        <f t="shared" si="38"/>
        <v>269</v>
      </c>
      <c r="JM104" s="1598"/>
      <c r="JN104" s="1598"/>
      <c r="JO104" s="1598"/>
      <c r="JP104" s="1598"/>
      <c r="JQ104" s="1598"/>
      <c r="JR104" s="351"/>
      <c r="JS104" s="1400" t="s">
        <v>3699</v>
      </c>
      <c r="JT104" s="450" t="s">
        <v>2224</v>
      </c>
    </row>
    <row r="105" spans="1:280" ht="12.5" x14ac:dyDescent="0.25">
      <c r="A105" s="1367">
        <v>75</v>
      </c>
      <c r="B105" s="1574" t="str">
        <f t="shared" si="33"/>
        <v/>
      </c>
      <c r="C105" s="1435" t="s">
        <v>3700</v>
      </c>
      <c r="D105" s="1436" t="s">
        <v>3701</v>
      </c>
      <c r="E105" s="1600"/>
      <c r="F105" s="1600"/>
      <c r="G105" s="1600"/>
      <c r="H105" s="1600"/>
      <c r="I105" s="1600"/>
      <c r="J105" s="1600"/>
      <c r="K105" s="1600"/>
      <c r="L105" s="1600"/>
      <c r="M105" s="1600"/>
      <c r="N105" s="1600"/>
      <c r="O105" s="1600"/>
      <c r="P105" s="1600"/>
      <c r="Q105" s="1600"/>
      <c r="R105" s="1600"/>
      <c r="S105" s="1600"/>
      <c r="T105" s="1600"/>
      <c r="U105" s="1600"/>
      <c r="V105" s="1600"/>
      <c r="W105" s="1600"/>
      <c r="X105" s="1600"/>
      <c r="Y105" s="1600"/>
      <c r="Z105" s="1600"/>
      <c r="AA105" s="1600"/>
      <c r="AB105" s="1600"/>
      <c r="AC105" s="1600"/>
      <c r="AD105" s="1600"/>
      <c r="AE105" s="1600"/>
      <c r="AF105" s="1600"/>
      <c r="AG105" s="1600"/>
      <c r="AH105" s="1600"/>
      <c r="AI105" s="1600"/>
      <c r="AJ105" s="1600"/>
      <c r="AK105" s="1600"/>
      <c r="AL105" s="1600"/>
      <c r="AM105" s="1600"/>
      <c r="AN105" s="1600"/>
      <c r="AO105" s="1600"/>
      <c r="AP105" s="1600"/>
      <c r="AQ105" s="1600"/>
      <c r="AR105" s="1600"/>
      <c r="AS105" s="1600"/>
      <c r="AT105" s="1600"/>
      <c r="AU105" s="1600"/>
      <c r="AV105" s="1600"/>
      <c r="AW105" s="1600"/>
      <c r="AX105" s="1600"/>
      <c r="AY105" s="1600"/>
      <c r="AZ105" s="1600"/>
      <c r="BA105" s="1600"/>
      <c r="BB105" s="1600">
        <v>748</v>
      </c>
      <c r="BC105" s="1600">
        <v>390</v>
      </c>
      <c r="BD105" s="1600"/>
      <c r="BE105" s="1600"/>
      <c r="BF105" s="1600"/>
      <c r="BG105" s="1600"/>
      <c r="BH105" s="1600"/>
      <c r="BI105" s="1600"/>
      <c r="BJ105" s="1600"/>
      <c r="BK105" s="1600"/>
      <c r="BL105" s="1600"/>
      <c r="BM105" s="1600"/>
      <c r="BN105" s="1600"/>
      <c r="BO105" s="1600"/>
      <c r="BP105" s="1600"/>
      <c r="BQ105" s="1600"/>
      <c r="BR105" s="1600"/>
      <c r="BS105" s="1600"/>
      <c r="BT105" s="1600"/>
      <c r="BU105" s="1600"/>
      <c r="BV105" s="1600"/>
      <c r="BW105" s="1600"/>
      <c r="BX105" s="1600"/>
      <c r="BY105" s="1600"/>
      <c r="BZ105" s="1600"/>
      <c r="CA105" s="1600"/>
      <c r="CB105" s="1600">
        <v>562</v>
      </c>
      <c r="CC105" s="1600">
        <v>165489</v>
      </c>
      <c r="CD105" s="1600"/>
      <c r="CE105" s="1601">
        <v>3010</v>
      </c>
      <c r="CF105" s="1600"/>
      <c r="CG105" s="1600">
        <v>1069</v>
      </c>
      <c r="CH105" s="1600"/>
      <c r="CI105" s="1600"/>
      <c r="CJ105" s="1600"/>
      <c r="CK105" s="1600"/>
      <c r="CL105" s="1600"/>
      <c r="CM105" s="1600"/>
      <c r="CN105" s="1600"/>
      <c r="CO105" s="1600"/>
      <c r="CP105" s="1600"/>
      <c r="CQ105" s="1600"/>
      <c r="CR105" s="1600"/>
      <c r="CS105" s="1600"/>
      <c r="CT105" s="1600"/>
      <c r="CU105" s="1600"/>
      <c r="CV105" s="1600"/>
      <c r="CW105" s="1600"/>
      <c r="CX105" s="1600"/>
      <c r="CY105" s="1600"/>
      <c r="CZ105" s="1600">
        <v>1365</v>
      </c>
      <c r="DA105" s="1600">
        <v>1365</v>
      </c>
      <c r="DB105" s="1600"/>
      <c r="DC105" s="1600"/>
      <c r="DD105" s="1600"/>
      <c r="DE105" s="1600"/>
      <c r="DF105" s="1600"/>
      <c r="DG105" s="1600"/>
      <c r="DH105" s="1600"/>
      <c r="DI105" s="1600"/>
      <c r="DJ105" s="1600"/>
      <c r="DK105" s="1600"/>
      <c r="DL105" s="1600"/>
      <c r="DM105" s="1600"/>
      <c r="DN105" s="1600"/>
      <c r="DO105" s="1600"/>
      <c r="DP105" s="1600"/>
      <c r="DQ105" s="1600"/>
      <c r="DR105" s="1600"/>
      <c r="DS105" s="1600"/>
      <c r="DT105" s="1600"/>
      <c r="DU105" s="1600"/>
      <c r="DV105" s="1600"/>
      <c r="DW105" s="1600"/>
      <c r="DX105" s="1600"/>
      <c r="DY105" s="1600"/>
      <c r="DZ105" s="1600"/>
      <c r="EA105" s="1600"/>
      <c r="EB105" s="1600"/>
      <c r="EC105" s="1600"/>
      <c r="ED105" s="1600"/>
      <c r="EE105" s="1600"/>
      <c r="EF105" s="1600"/>
      <c r="EG105" s="1600"/>
      <c r="EH105" s="1600"/>
      <c r="EI105" s="1600"/>
      <c r="EJ105" s="1600"/>
      <c r="EK105" s="1600"/>
      <c r="EL105" s="1600"/>
      <c r="EM105" s="1600"/>
      <c r="EN105" s="1600"/>
      <c r="EO105" s="1600"/>
      <c r="EP105" s="1600"/>
      <c r="EQ105" s="1600"/>
      <c r="ER105" s="1600"/>
      <c r="ES105" s="1600"/>
      <c r="ET105" s="1600"/>
      <c r="EU105" s="1600"/>
      <c r="EV105" s="1600"/>
      <c r="EW105" s="1600"/>
      <c r="EX105" s="1600"/>
      <c r="EY105" s="1600"/>
      <c r="EZ105" s="1600"/>
      <c r="FA105" s="1600"/>
      <c r="FB105" s="1600"/>
      <c r="FC105" s="1600"/>
      <c r="FD105" s="1601">
        <v>7138</v>
      </c>
      <c r="FE105" s="1600"/>
      <c r="FF105" s="1600"/>
      <c r="FG105" s="1600"/>
      <c r="FH105" s="1601">
        <v>7138</v>
      </c>
      <c r="FI105" s="1600"/>
      <c r="FJ105" s="1600"/>
      <c r="FK105" s="1600">
        <v>1365</v>
      </c>
      <c r="FL105" s="1600"/>
      <c r="FM105" s="1600"/>
      <c r="FN105" s="1600"/>
      <c r="FO105" s="1600"/>
      <c r="FP105" s="1600"/>
      <c r="FQ105" s="1600"/>
      <c r="FR105" s="1600"/>
      <c r="FS105" s="1600"/>
      <c r="FT105" s="1600"/>
      <c r="FU105" s="1600"/>
      <c r="FV105" s="1600">
        <v>390</v>
      </c>
      <c r="FW105" s="1600"/>
      <c r="FX105" s="1600"/>
      <c r="FY105" s="1600"/>
      <c r="FZ105" s="1600"/>
      <c r="GA105" s="1600"/>
      <c r="GB105" s="1600"/>
      <c r="GC105" s="1600"/>
      <c r="GD105" s="1600"/>
      <c r="GE105" s="1600"/>
      <c r="GF105" s="1600"/>
      <c r="GG105" s="1600"/>
      <c r="GH105" s="1600"/>
      <c r="GI105" s="1600"/>
      <c r="GJ105" s="1600"/>
      <c r="GK105" s="1600"/>
      <c r="GL105" s="1600"/>
      <c r="GM105" s="1600"/>
      <c r="GN105" s="1600"/>
      <c r="GO105" s="1600"/>
      <c r="GP105" s="1600"/>
      <c r="GQ105" s="1600"/>
      <c r="GR105" s="1600"/>
      <c r="GS105" s="1600"/>
      <c r="GT105" s="1600"/>
      <c r="GU105" s="1600"/>
      <c r="GV105" s="1600"/>
      <c r="GW105" s="1600">
        <v>390</v>
      </c>
      <c r="GX105" s="1600"/>
      <c r="GY105" s="1600"/>
      <c r="GZ105" s="1600"/>
      <c r="HA105" s="1600"/>
      <c r="HB105" s="1600"/>
      <c r="HC105" s="1600"/>
      <c r="HD105" s="1600"/>
      <c r="HE105" s="1600"/>
      <c r="HF105" s="1600"/>
      <c r="HG105" s="1600"/>
      <c r="HH105" s="1600"/>
      <c r="HI105" s="1600"/>
      <c r="HJ105" s="1600"/>
      <c r="HK105" s="1600"/>
      <c r="HL105" s="1600"/>
      <c r="HM105" s="1600"/>
      <c r="HN105" s="1600"/>
      <c r="HO105" s="1600"/>
      <c r="HP105" s="1600"/>
      <c r="HQ105" s="1600"/>
      <c r="HR105" s="1600"/>
      <c r="HS105" s="1600"/>
      <c r="HT105" s="1600"/>
      <c r="HU105" s="1600"/>
      <c r="HV105" s="1600"/>
      <c r="HW105" s="1600"/>
      <c r="HX105" s="1600"/>
      <c r="HY105" s="1600"/>
      <c r="HZ105" s="1600"/>
      <c r="IA105" s="1600"/>
      <c r="IB105" s="1600"/>
      <c r="IC105" s="1600"/>
      <c r="ID105" s="1600"/>
      <c r="IE105" s="1600"/>
      <c r="IF105" s="1600"/>
      <c r="IG105" s="1600"/>
      <c r="IH105" s="1600"/>
      <c r="II105" s="1600"/>
      <c r="IJ105" s="1600"/>
      <c r="IK105" s="1600"/>
      <c r="IL105" s="1600"/>
      <c r="IM105" s="1600"/>
      <c r="IN105" s="1600"/>
      <c r="IO105" s="1600"/>
      <c r="IP105" s="1600"/>
      <c r="IQ105" s="1602">
        <v>11608</v>
      </c>
      <c r="IR105" s="1600"/>
      <c r="IS105" s="1601">
        <v>47</v>
      </c>
      <c r="IT105" s="1602"/>
      <c r="IU105" s="1601">
        <v>4</v>
      </c>
      <c r="IV105" s="1600"/>
      <c r="IW105" s="1600"/>
      <c r="IX105" s="1600"/>
      <c r="IY105" s="1600"/>
      <c r="IZ105" s="1600"/>
      <c r="JA105" s="1600"/>
      <c r="JB105" s="1600">
        <v>390</v>
      </c>
      <c r="JC105" s="1600"/>
      <c r="JD105" s="1600"/>
      <c r="JE105" s="1600"/>
      <c r="JF105" s="1600"/>
      <c r="JG105" s="1600"/>
      <c r="JH105" s="1600"/>
      <c r="JI105" s="1602"/>
      <c r="JJ105" s="1600"/>
      <c r="JK105" s="1602"/>
      <c r="JL105" s="1602"/>
      <c r="JM105" s="1602"/>
      <c r="JN105" s="1600"/>
      <c r="JO105" s="1602"/>
      <c r="JP105" s="1602"/>
      <c r="JQ105" s="1603"/>
      <c r="JR105" s="351"/>
      <c r="JS105" s="1400"/>
      <c r="JT105" s="450" t="s">
        <v>2242</v>
      </c>
    </row>
    <row r="106" spans="1:280" ht="12.5" x14ac:dyDescent="0.25">
      <c r="A106" s="1367">
        <v>76</v>
      </c>
      <c r="B106" s="1574" t="str">
        <f t="shared" si="33"/>
        <v/>
      </c>
      <c r="C106" s="1435" t="s">
        <v>3702</v>
      </c>
      <c r="D106" s="1436" t="s">
        <v>3703</v>
      </c>
      <c r="E106" s="1600"/>
      <c r="F106" s="1600"/>
      <c r="G106" s="1600"/>
      <c r="H106" s="1600"/>
      <c r="I106" s="1600"/>
      <c r="J106" s="1600"/>
      <c r="K106" s="1600"/>
      <c r="L106" s="1600"/>
      <c r="M106" s="1600"/>
      <c r="N106" s="1600"/>
      <c r="O106" s="1600"/>
      <c r="P106" s="1600"/>
      <c r="Q106" s="1600"/>
      <c r="R106" s="1600"/>
      <c r="S106" s="1600"/>
      <c r="T106" s="1600"/>
      <c r="U106" s="1600"/>
      <c r="V106" s="1600"/>
      <c r="W106" s="1600"/>
      <c r="X106" s="1600"/>
      <c r="Y106" s="1600"/>
      <c r="Z106" s="1600"/>
      <c r="AA106" s="1600"/>
      <c r="AB106" s="1600"/>
      <c r="AC106" s="1600"/>
      <c r="AD106" s="1600"/>
      <c r="AE106" s="1600"/>
      <c r="AF106" s="1600"/>
      <c r="AG106" s="1600"/>
      <c r="AH106" s="1600"/>
      <c r="AI106" s="1600"/>
      <c r="AJ106" s="1600"/>
      <c r="AK106" s="1600"/>
      <c r="AL106" s="1600"/>
      <c r="AM106" s="1600"/>
      <c r="AN106" s="1600"/>
      <c r="AO106" s="1600"/>
      <c r="AP106" s="1600"/>
      <c r="AQ106" s="1600"/>
      <c r="AR106" s="1600"/>
      <c r="AS106" s="1600"/>
      <c r="AT106" s="1600"/>
      <c r="AU106" s="1600"/>
      <c r="AV106" s="1600"/>
      <c r="AW106" s="1600"/>
      <c r="AX106" s="1600"/>
      <c r="AY106" s="1600"/>
      <c r="AZ106" s="1600"/>
      <c r="BA106" s="1600"/>
      <c r="BB106" s="1600"/>
      <c r="BC106" s="1600"/>
      <c r="BD106" s="1600"/>
      <c r="BE106" s="1600"/>
      <c r="BF106" s="1600"/>
      <c r="BG106" s="1600"/>
      <c r="BH106" s="1600"/>
      <c r="BI106" s="1600"/>
      <c r="BJ106" s="1600"/>
      <c r="BK106" s="1600"/>
      <c r="BL106" s="1600"/>
      <c r="BM106" s="1600"/>
      <c r="BN106" s="1600"/>
      <c r="BO106" s="1600"/>
      <c r="BP106" s="1600"/>
      <c r="BQ106" s="1600"/>
      <c r="BR106" s="1600"/>
      <c r="BS106" s="1600"/>
      <c r="BT106" s="1600"/>
      <c r="BU106" s="1600"/>
      <c r="BV106" s="1600"/>
      <c r="BW106" s="1600"/>
      <c r="BX106" s="1600"/>
      <c r="BY106" s="1600"/>
      <c r="BZ106" s="1600"/>
      <c r="CA106" s="1600"/>
      <c r="CB106" s="1600"/>
      <c r="CC106" s="1600"/>
      <c r="CD106" s="1600"/>
      <c r="CE106" s="1601">
        <v>10</v>
      </c>
      <c r="CF106" s="1600"/>
      <c r="CG106" s="1600"/>
      <c r="CH106" s="1600"/>
      <c r="CI106" s="1600"/>
      <c r="CJ106" s="1600"/>
      <c r="CK106" s="1600"/>
      <c r="CL106" s="1600"/>
      <c r="CM106" s="1600"/>
      <c r="CN106" s="1600"/>
      <c r="CO106" s="1600"/>
      <c r="CP106" s="1600"/>
      <c r="CQ106" s="1600"/>
      <c r="CR106" s="1600"/>
      <c r="CS106" s="1600"/>
      <c r="CT106" s="1600"/>
      <c r="CU106" s="1600"/>
      <c r="CV106" s="1600"/>
      <c r="CW106" s="1600"/>
      <c r="CX106" s="1600"/>
      <c r="CY106" s="1600"/>
      <c r="CZ106" s="1600"/>
      <c r="DA106" s="1600"/>
      <c r="DB106" s="1600"/>
      <c r="DC106" s="1600"/>
      <c r="DD106" s="1600"/>
      <c r="DE106" s="1600"/>
      <c r="DF106" s="1600"/>
      <c r="DG106" s="1600"/>
      <c r="DH106" s="1600"/>
      <c r="DI106" s="1600"/>
      <c r="DJ106" s="1600"/>
      <c r="DK106" s="1600"/>
      <c r="DL106" s="1600"/>
      <c r="DM106" s="1600"/>
      <c r="DN106" s="1600"/>
      <c r="DO106" s="1600"/>
      <c r="DP106" s="1600"/>
      <c r="DQ106" s="1600"/>
      <c r="DR106" s="1600"/>
      <c r="DS106" s="1600"/>
      <c r="DT106" s="1600"/>
      <c r="DU106" s="1600"/>
      <c r="DV106" s="1600"/>
      <c r="DW106" s="1600"/>
      <c r="DX106" s="1600"/>
      <c r="DY106" s="1600"/>
      <c r="DZ106" s="1600"/>
      <c r="EA106" s="1600"/>
      <c r="EB106" s="1600"/>
      <c r="EC106" s="1600"/>
      <c r="ED106" s="1600"/>
      <c r="EE106" s="1600"/>
      <c r="EF106" s="1600"/>
      <c r="EG106" s="1600"/>
      <c r="EH106" s="1600"/>
      <c r="EI106" s="1600"/>
      <c r="EJ106" s="1600"/>
      <c r="EK106" s="1600"/>
      <c r="EL106" s="1600"/>
      <c r="EM106" s="1600"/>
      <c r="EN106" s="1600"/>
      <c r="EO106" s="1600"/>
      <c r="EP106" s="1600"/>
      <c r="EQ106" s="1600"/>
      <c r="ER106" s="1600"/>
      <c r="ES106" s="1600"/>
      <c r="ET106" s="1600"/>
      <c r="EU106" s="1600"/>
      <c r="EV106" s="1600"/>
      <c r="EW106" s="1600"/>
      <c r="EX106" s="1600"/>
      <c r="EY106" s="1600"/>
      <c r="EZ106" s="1600"/>
      <c r="FA106" s="1600"/>
      <c r="FB106" s="1600"/>
      <c r="FC106" s="1600"/>
      <c r="FD106" s="1600"/>
      <c r="FE106" s="1600"/>
      <c r="FF106" s="1600"/>
      <c r="FG106" s="1600"/>
      <c r="FH106" s="1600"/>
      <c r="FI106" s="1600"/>
      <c r="FJ106" s="1600"/>
      <c r="FK106" s="1600"/>
      <c r="FL106" s="1600"/>
      <c r="FM106" s="1600"/>
      <c r="FN106" s="1600"/>
      <c r="FO106" s="1600"/>
      <c r="FP106" s="1600"/>
      <c r="FQ106" s="1600"/>
      <c r="FR106" s="1600"/>
      <c r="FS106" s="1600"/>
      <c r="FT106" s="1600"/>
      <c r="FU106" s="1600"/>
      <c r="FV106" s="1600"/>
      <c r="FW106" s="1600"/>
      <c r="FX106" s="1600"/>
      <c r="FY106" s="1600"/>
      <c r="FZ106" s="1600"/>
      <c r="GA106" s="1600"/>
      <c r="GB106" s="1600"/>
      <c r="GC106" s="1600"/>
      <c r="GD106" s="1600"/>
      <c r="GE106" s="1600"/>
      <c r="GF106" s="1600"/>
      <c r="GG106" s="1600"/>
      <c r="GH106" s="1600"/>
      <c r="GI106" s="1600"/>
      <c r="GJ106" s="1600"/>
      <c r="GK106" s="1600"/>
      <c r="GL106" s="1600"/>
      <c r="GM106" s="1600"/>
      <c r="GN106" s="1600"/>
      <c r="GO106" s="1600"/>
      <c r="GP106" s="1600"/>
      <c r="GQ106" s="1600"/>
      <c r="GR106" s="1600"/>
      <c r="GS106" s="1600"/>
      <c r="GT106" s="1600"/>
      <c r="GU106" s="1600"/>
      <c r="GV106" s="1600"/>
      <c r="GW106" s="1600"/>
      <c r="GX106" s="1600"/>
      <c r="GY106" s="1600"/>
      <c r="GZ106" s="1600"/>
      <c r="HA106" s="1600"/>
      <c r="HB106" s="1600"/>
      <c r="HC106" s="1600"/>
      <c r="HD106" s="1600"/>
      <c r="HE106" s="1600"/>
      <c r="HF106" s="1600"/>
      <c r="HG106" s="1600"/>
      <c r="HH106" s="1600"/>
      <c r="HI106" s="1600"/>
      <c r="HJ106" s="1600"/>
      <c r="HK106" s="1600"/>
      <c r="HL106" s="1600"/>
      <c r="HM106" s="1600"/>
      <c r="HN106" s="1600"/>
      <c r="HO106" s="1600"/>
      <c r="HP106" s="1600"/>
      <c r="HQ106" s="1600"/>
      <c r="HR106" s="1600"/>
      <c r="HS106" s="1600"/>
      <c r="HT106" s="1600"/>
      <c r="HU106" s="1600"/>
      <c r="HV106" s="1600"/>
      <c r="HW106" s="1600"/>
      <c r="HX106" s="1600"/>
      <c r="HY106" s="1600"/>
      <c r="HZ106" s="1600"/>
      <c r="IA106" s="1600"/>
      <c r="IB106" s="1600"/>
      <c r="IC106" s="1600"/>
      <c r="ID106" s="1600"/>
      <c r="IE106" s="1600"/>
      <c r="IF106" s="1600"/>
      <c r="IG106" s="1600"/>
      <c r="IH106" s="1600"/>
      <c r="II106" s="1600"/>
      <c r="IJ106" s="1600"/>
      <c r="IK106" s="1600"/>
      <c r="IL106" s="1600"/>
      <c r="IM106" s="1600"/>
      <c r="IN106" s="1600"/>
      <c r="IO106" s="1600"/>
      <c r="IP106" s="1600"/>
      <c r="IQ106" s="1602"/>
      <c r="IR106" s="1600"/>
      <c r="IS106" s="1600"/>
      <c r="IT106" s="1602"/>
      <c r="IU106" s="1600"/>
      <c r="IV106" s="1600"/>
      <c r="IW106" s="1600"/>
      <c r="IX106" s="1600"/>
      <c r="IY106" s="1600"/>
      <c r="IZ106" s="1600"/>
      <c r="JA106" s="1600"/>
      <c r="JB106" s="1600"/>
      <c r="JC106" s="1600"/>
      <c r="JD106" s="1600"/>
      <c r="JE106" s="1600"/>
      <c r="JF106" s="1600"/>
      <c r="JG106" s="1600"/>
      <c r="JH106" s="1600"/>
      <c r="JI106" s="1602"/>
      <c r="JJ106" s="1600"/>
      <c r="JK106" s="1602"/>
      <c r="JL106" s="1602"/>
      <c r="JM106" s="1602"/>
      <c r="JN106" s="1600"/>
      <c r="JO106" s="1602"/>
      <c r="JP106" s="1602"/>
      <c r="JQ106" s="1603"/>
      <c r="JR106" s="351"/>
      <c r="JS106" s="1400"/>
      <c r="JT106" s="450" t="s">
        <v>2242</v>
      </c>
    </row>
    <row r="107" spans="1:280" ht="12.5" x14ac:dyDescent="0.25">
      <c r="A107" s="1367">
        <v>77</v>
      </c>
      <c r="B107" s="1574" t="str">
        <f t="shared" si="33"/>
        <v/>
      </c>
      <c r="C107" s="1435" t="s">
        <v>3704</v>
      </c>
      <c r="D107" s="1436" t="s">
        <v>3705</v>
      </c>
      <c r="E107" s="1604"/>
      <c r="F107" s="1604"/>
      <c r="G107" s="1604"/>
      <c r="H107" s="1604"/>
      <c r="I107" s="1604"/>
      <c r="J107" s="1604"/>
      <c r="K107" s="1604"/>
      <c r="L107" s="1604"/>
      <c r="M107" s="1604"/>
      <c r="N107" s="1604"/>
      <c r="O107" s="1604"/>
      <c r="P107" s="1604"/>
      <c r="Q107" s="1604"/>
      <c r="R107" s="1604"/>
      <c r="S107" s="1604"/>
      <c r="T107" s="1604"/>
      <c r="U107" s="1604"/>
      <c r="V107" s="1604"/>
      <c r="W107" s="1604"/>
      <c r="X107" s="1604"/>
      <c r="Y107" s="1604"/>
      <c r="Z107" s="1604"/>
      <c r="AA107" s="1604"/>
      <c r="AB107" s="1604"/>
      <c r="AC107" s="1604"/>
      <c r="AD107" s="1604"/>
      <c r="AE107" s="1604"/>
      <c r="AF107" s="1604"/>
      <c r="AG107" s="1604"/>
      <c r="AH107" s="1604"/>
      <c r="AI107" s="1604"/>
      <c r="AJ107" s="1604"/>
      <c r="AK107" s="1604"/>
      <c r="AL107" s="1604"/>
      <c r="AM107" s="1604"/>
      <c r="AN107" s="1604"/>
      <c r="AO107" s="1604"/>
      <c r="AP107" s="1604"/>
      <c r="AQ107" s="1604"/>
      <c r="AR107" s="1604"/>
      <c r="AS107" s="1604"/>
      <c r="AT107" s="1604"/>
      <c r="AU107" s="1604"/>
      <c r="AV107" s="1604"/>
      <c r="AW107" s="1604"/>
      <c r="AX107" s="1604"/>
      <c r="AY107" s="1604"/>
      <c r="AZ107" s="1604"/>
      <c r="BA107" s="1604"/>
      <c r="BB107" s="1604">
        <f>MAX(0,BB105-BB106)</f>
        <v>748</v>
      </c>
      <c r="BC107" s="1604">
        <f>MAX(0,BC105-BC106)</f>
        <v>390</v>
      </c>
      <c r="BD107" s="1604"/>
      <c r="BE107" s="1604"/>
      <c r="BF107" s="1604"/>
      <c r="BG107" s="1604"/>
      <c r="BH107" s="1604"/>
      <c r="BI107" s="1604"/>
      <c r="BJ107" s="1604"/>
      <c r="BK107" s="1604"/>
      <c r="BL107" s="1604"/>
      <c r="BM107" s="1604"/>
      <c r="BN107" s="1604"/>
      <c r="BO107" s="1604"/>
      <c r="BP107" s="1604"/>
      <c r="BQ107" s="1604"/>
      <c r="BR107" s="1604"/>
      <c r="BS107" s="1604"/>
      <c r="BT107" s="1604"/>
      <c r="BU107" s="1604"/>
      <c r="BV107" s="1604"/>
      <c r="BW107" s="1604"/>
      <c r="BX107" s="1604"/>
      <c r="BY107" s="1604"/>
      <c r="BZ107" s="1604"/>
      <c r="CA107" s="1604"/>
      <c r="CB107" s="1604">
        <f>MAX(0,CB105-CB106)</f>
        <v>562</v>
      </c>
      <c r="CC107" s="1604">
        <f>MAX(0,CC105-CC106)</f>
        <v>165489</v>
      </c>
      <c r="CD107" s="1604"/>
      <c r="CE107" s="1605">
        <f t="shared" ref="CE107" si="39">MAX(0,CE105-CE106)</f>
        <v>3000</v>
      </c>
      <c r="CF107" s="1604"/>
      <c r="CG107" s="1604">
        <f>MAX(0,CG105-CG106)</f>
        <v>1069</v>
      </c>
      <c r="CH107" s="1604"/>
      <c r="CI107" s="1604"/>
      <c r="CJ107" s="1604"/>
      <c r="CK107" s="1604">
        <f>MAX(0,CK105-CK106)</f>
        <v>0</v>
      </c>
      <c r="CL107" s="1604"/>
      <c r="CM107" s="1604"/>
      <c r="CN107" s="1604"/>
      <c r="CO107" s="1604"/>
      <c r="CP107" s="1604">
        <f>MAX(0,CP105-CP106)</f>
        <v>0</v>
      </c>
      <c r="CQ107" s="1604"/>
      <c r="CR107" s="1604"/>
      <c r="CS107" s="1604"/>
      <c r="CT107" s="1604"/>
      <c r="CU107" s="1604"/>
      <c r="CV107" s="1604"/>
      <c r="CW107" s="1604"/>
      <c r="CX107" s="1604"/>
      <c r="CY107" s="1604"/>
      <c r="CZ107" s="1604">
        <f>MAX(0,CZ105-CZ106)</f>
        <v>1365</v>
      </c>
      <c r="DA107" s="1604">
        <f>MAX(0,DA105-DA106)</f>
        <v>1365</v>
      </c>
      <c r="DB107" s="1604"/>
      <c r="DC107" s="1604"/>
      <c r="DD107" s="1604"/>
      <c r="DE107" s="1604"/>
      <c r="DF107" s="1604"/>
      <c r="DG107" s="1604"/>
      <c r="DH107" s="1604"/>
      <c r="DI107" s="1604"/>
      <c r="DJ107" s="1604"/>
      <c r="DK107" s="1604"/>
      <c r="DL107" s="1604"/>
      <c r="DM107" s="1604"/>
      <c r="DN107" s="1604"/>
      <c r="DO107" s="1604"/>
      <c r="DP107" s="1604"/>
      <c r="DQ107" s="1604"/>
      <c r="DR107" s="1604"/>
      <c r="DS107" s="1604"/>
      <c r="DT107" s="1604"/>
      <c r="DU107" s="1604"/>
      <c r="DV107" s="1604"/>
      <c r="DW107" s="1604"/>
      <c r="DX107" s="1604"/>
      <c r="DY107" s="1604"/>
      <c r="DZ107" s="1604"/>
      <c r="EA107" s="1604"/>
      <c r="EB107" s="1604"/>
      <c r="EC107" s="1604"/>
      <c r="ED107" s="1604"/>
      <c r="EE107" s="1604"/>
      <c r="EF107" s="1604"/>
      <c r="EG107" s="1604"/>
      <c r="EH107" s="1604"/>
      <c r="EI107" s="1604"/>
      <c r="EJ107" s="1604"/>
      <c r="EK107" s="1604"/>
      <c r="EL107" s="1604"/>
      <c r="EM107" s="1604"/>
      <c r="EN107" s="1604"/>
      <c r="EO107" s="1604"/>
      <c r="EP107" s="1604"/>
      <c r="EQ107" s="1604"/>
      <c r="ER107" s="1604"/>
      <c r="ES107" s="1604"/>
      <c r="ET107" s="1604"/>
      <c r="EU107" s="1604"/>
      <c r="EV107" s="1604"/>
      <c r="EW107" s="1604"/>
      <c r="EX107" s="1604"/>
      <c r="EY107" s="1604"/>
      <c r="EZ107" s="1604"/>
      <c r="FA107" s="1604"/>
      <c r="FB107" s="1604"/>
      <c r="FC107" s="1604"/>
      <c r="FD107" s="1605">
        <f t="shared" ref="FD107:FH107" si="40">MAX(0,FD105-FD106)</f>
        <v>7138</v>
      </c>
      <c r="FE107" s="1604"/>
      <c r="FF107" s="1604"/>
      <c r="FG107" s="1604"/>
      <c r="FH107" s="1605">
        <f t="shared" si="40"/>
        <v>7138</v>
      </c>
      <c r="FI107" s="1604"/>
      <c r="FJ107" s="1604"/>
      <c r="FK107" s="1604">
        <f>MAX(0,FK105-FK106)</f>
        <v>1365</v>
      </c>
      <c r="FL107" s="1604"/>
      <c r="FM107" s="1604"/>
      <c r="FN107" s="1604"/>
      <c r="FO107" s="1604"/>
      <c r="FP107" s="1604"/>
      <c r="FQ107" s="1604"/>
      <c r="FR107" s="1604"/>
      <c r="FS107" s="1604"/>
      <c r="FT107" s="1604"/>
      <c r="FU107" s="1604"/>
      <c r="FV107" s="1604">
        <f>MAX(0,FV105-FV106)</f>
        <v>390</v>
      </c>
      <c r="FW107" s="1604"/>
      <c r="FX107" s="1604"/>
      <c r="FY107" s="1604"/>
      <c r="FZ107" s="1604"/>
      <c r="GA107" s="1604"/>
      <c r="GB107" s="1604"/>
      <c r="GC107" s="1604"/>
      <c r="GD107" s="1604"/>
      <c r="GE107" s="1604"/>
      <c r="GF107" s="1604"/>
      <c r="GG107" s="1604"/>
      <c r="GH107" s="1604"/>
      <c r="GI107" s="1604"/>
      <c r="GJ107" s="1604"/>
      <c r="GK107" s="1604"/>
      <c r="GL107" s="1604"/>
      <c r="GM107" s="1604"/>
      <c r="GN107" s="1604"/>
      <c r="GO107" s="1604"/>
      <c r="GP107" s="1604"/>
      <c r="GQ107" s="1604"/>
      <c r="GR107" s="1604"/>
      <c r="GS107" s="1604"/>
      <c r="GT107" s="1604"/>
      <c r="GU107" s="1604"/>
      <c r="GV107" s="1604"/>
      <c r="GW107" s="1604">
        <f>MAX(0,GW105-GW106)</f>
        <v>390</v>
      </c>
      <c r="GX107" s="1604"/>
      <c r="GY107" s="1604"/>
      <c r="GZ107" s="1604"/>
      <c r="HA107" s="1604"/>
      <c r="HB107" s="1604"/>
      <c r="HC107" s="1604"/>
      <c r="HD107" s="1604"/>
      <c r="HE107" s="1604"/>
      <c r="HF107" s="1604"/>
      <c r="HG107" s="1604"/>
      <c r="HH107" s="1604"/>
      <c r="HI107" s="1604"/>
      <c r="HJ107" s="1604"/>
      <c r="HK107" s="1604"/>
      <c r="HL107" s="1604"/>
      <c r="HM107" s="1604"/>
      <c r="HN107" s="1604"/>
      <c r="HO107" s="1604"/>
      <c r="HP107" s="1604"/>
      <c r="HQ107" s="1604"/>
      <c r="HR107" s="1604"/>
      <c r="HS107" s="1604"/>
      <c r="HT107" s="1604"/>
      <c r="HU107" s="1604"/>
      <c r="HV107" s="1604"/>
      <c r="HW107" s="1604"/>
      <c r="HX107" s="1604"/>
      <c r="HY107" s="1604"/>
      <c r="HZ107" s="1604"/>
      <c r="IA107" s="1604"/>
      <c r="IB107" s="1604"/>
      <c r="IC107" s="1604"/>
      <c r="ID107" s="1604"/>
      <c r="IE107" s="1604"/>
      <c r="IF107" s="1604"/>
      <c r="IG107" s="1604"/>
      <c r="IH107" s="1604"/>
      <c r="II107" s="1604"/>
      <c r="IJ107" s="1604"/>
      <c r="IK107" s="1604"/>
      <c r="IL107" s="1604"/>
      <c r="IM107" s="1604"/>
      <c r="IN107" s="1604"/>
      <c r="IO107" s="1604"/>
      <c r="IP107" s="1604"/>
      <c r="IQ107" s="1604">
        <f>MAX(0,IQ105-IQ106)</f>
        <v>11608</v>
      </c>
      <c r="IR107" s="1604"/>
      <c r="IS107" s="1605">
        <f>MAX(0,IS105-IS106)</f>
        <v>47</v>
      </c>
      <c r="IT107" s="1604"/>
      <c r="IU107" s="1605">
        <f>MAX(0,IU105-IU106)</f>
        <v>4</v>
      </c>
      <c r="IV107" s="1604"/>
      <c r="IW107" s="1604"/>
      <c r="IX107" s="1604"/>
      <c r="IY107" s="1604"/>
      <c r="IZ107" s="1604"/>
      <c r="JA107" s="1604"/>
      <c r="JB107" s="1604">
        <f>MAX(0,JB105-JB106)</f>
        <v>390</v>
      </c>
      <c r="JC107" s="1604"/>
      <c r="JD107" s="1604"/>
      <c r="JE107" s="1604"/>
      <c r="JF107" s="1604"/>
      <c r="JG107" s="1604"/>
      <c r="JH107" s="1604"/>
      <c r="JI107" s="1604"/>
      <c r="JJ107" s="1604"/>
      <c r="JK107" s="1604"/>
      <c r="JL107" s="1604"/>
      <c r="JM107" s="1604"/>
      <c r="JN107" s="1604"/>
      <c r="JO107" s="1604"/>
      <c r="JP107" s="1604"/>
      <c r="JQ107" s="1604"/>
      <c r="JR107" s="351"/>
      <c r="JS107" s="1400" t="s">
        <v>3706</v>
      </c>
      <c r="JT107" s="450" t="s">
        <v>2224</v>
      </c>
    </row>
    <row r="108" spans="1:280" ht="12.5" x14ac:dyDescent="0.25">
      <c r="A108" s="1367">
        <v>78</v>
      </c>
      <c r="B108" s="1574" t="str">
        <f t="shared" si="33"/>
        <v/>
      </c>
      <c r="C108" s="1644" t="s">
        <v>3707</v>
      </c>
      <c r="D108" s="1539" t="s">
        <v>3252</v>
      </c>
      <c r="E108" s="1606"/>
      <c r="F108" s="1606"/>
      <c r="G108" s="1606"/>
      <c r="H108" s="1606"/>
      <c r="I108" s="1606"/>
      <c r="J108" s="1606"/>
      <c r="K108" s="1606"/>
      <c r="L108" s="1606"/>
      <c r="M108" s="1606"/>
      <c r="N108" s="1606"/>
      <c r="O108" s="1606"/>
      <c r="P108" s="1606"/>
      <c r="Q108" s="1606"/>
      <c r="R108" s="1606"/>
      <c r="S108" s="1606"/>
      <c r="T108" s="1606"/>
      <c r="U108" s="1606"/>
      <c r="V108" s="1606"/>
      <c r="W108" s="1606"/>
      <c r="X108" s="1606"/>
      <c r="Y108" s="1606"/>
      <c r="Z108" s="1606"/>
      <c r="AA108" s="1606"/>
      <c r="AB108" s="1606"/>
      <c r="AC108" s="1606"/>
      <c r="AD108" s="1606"/>
      <c r="AE108" s="1606"/>
      <c r="AF108" s="1606"/>
      <c r="AG108" s="1606"/>
      <c r="AH108" s="1606"/>
      <c r="AI108" s="1606"/>
      <c r="AJ108" s="1606"/>
      <c r="AK108" s="1606"/>
      <c r="AL108" s="1606"/>
      <c r="AM108" s="1606"/>
      <c r="AN108" s="1606"/>
      <c r="AO108" s="1606"/>
      <c r="AP108" s="1606"/>
      <c r="AQ108" s="1606"/>
      <c r="AR108" s="1606"/>
      <c r="AS108" s="1606"/>
      <c r="AT108" s="1606"/>
      <c r="AU108" s="1606"/>
      <c r="AV108" s="1606"/>
      <c r="AW108" s="1606"/>
      <c r="AX108" s="1606"/>
      <c r="AY108" s="1606"/>
      <c r="AZ108" s="1606"/>
      <c r="BA108" s="1606"/>
      <c r="BB108" s="1606"/>
      <c r="BC108" s="1606"/>
      <c r="BD108" s="1606"/>
      <c r="BE108" s="1606"/>
      <c r="BF108" s="1606"/>
      <c r="BG108" s="1606"/>
      <c r="BH108" s="1606"/>
      <c r="BI108" s="1606"/>
      <c r="BJ108" s="1606"/>
      <c r="BK108" s="1606"/>
      <c r="BL108" s="1606"/>
      <c r="BM108" s="1606"/>
      <c r="BN108" s="1606"/>
      <c r="BO108" s="1606"/>
      <c r="BP108" s="1606"/>
      <c r="BQ108" s="1606"/>
      <c r="BR108" s="1606"/>
      <c r="BS108" s="1606"/>
      <c r="BT108" s="1606"/>
      <c r="BU108" s="1606"/>
      <c r="BV108" s="1606"/>
      <c r="BW108" s="1606"/>
      <c r="BX108" s="1606"/>
      <c r="BY108" s="1606"/>
      <c r="BZ108" s="1606"/>
      <c r="CA108" s="1606"/>
      <c r="CB108" s="1606"/>
      <c r="CC108" s="1606"/>
      <c r="CD108" s="1606"/>
      <c r="CE108" s="1606"/>
      <c r="CF108" s="1606"/>
      <c r="CG108" s="1606"/>
      <c r="CH108" s="1606"/>
      <c r="CI108" s="1606"/>
      <c r="CJ108" s="1606"/>
      <c r="CK108" s="1606"/>
      <c r="CL108" s="1606"/>
      <c r="CM108" s="1606"/>
      <c r="CN108" s="1606"/>
      <c r="CO108" s="1606"/>
      <c r="CP108" s="1606"/>
      <c r="CQ108" s="1606"/>
      <c r="CR108" s="1606"/>
      <c r="CS108" s="1606"/>
      <c r="CT108" s="1606"/>
      <c r="CU108" s="1606"/>
      <c r="CV108" s="1606"/>
      <c r="CW108" s="1606"/>
      <c r="CX108" s="1606"/>
      <c r="CY108" s="1606"/>
      <c r="CZ108" s="1606"/>
      <c r="DA108" s="1606"/>
      <c r="DB108" s="1606"/>
      <c r="DC108" s="1606"/>
      <c r="DD108" s="1606"/>
      <c r="DE108" s="1606"/>
      <c r="DF108" s="1606"/>
      <c r="DG108" s="1606"/>
      <c r="DH108" s="1606"/>
      <c r="DI108" s="1606"/>
      <c r="DJ108" s="1606"/>
      <c r="DK108" s="1606"/>
      <c r="DL108" s="1606"/>
      <c r="DM108" s="1606"/>
      <c r="DN108" s="1606"/>
      <c r="DO108" s="1606"/>
      <c r="DP108" s="1606"/>
      <c r="DQ108" s="1606"/>
      <c r="DR108" s="1606"/>
      <c r="DS108" s="1606"/>
      <c r="DT108" s="1606"/>
      <c r="DU108" s="1606"/>
      <c r="DV108" s="1606"/>
      <c r="DW108" s="1606"/>
      <c r="DX108" s="1606"/>
      <c r="DY108" s="1606"/>
      <c r="DZ108" s="1606"/>
      <c r="EA108" s="1606"/>
      <c r="EB108" s="1606"/>
      <c r="EC108" s="1606"/>
      <c r="ED108" s="1606"/>
      <c r="EE108" s="1606"/>
      <c r="EF108" s="1606"/>
      <c r="EG108" s="1606"/>
      <c r="EH108" s="1606"/>
      <c r="EI108" s="1606"/>
      <c r="EJ108" s="1606"/>
      <c r="EK108" s="1606"/>
      <c r="EL108" s="1606"/>
      <c r="EM108" s="1606"/>
      <c r="EN108" s="1606"/>
      <c r="EO108" s="1606"/>
      <c r="EP108" s="1606"/>
      <c r="EQ108" s="1606"/>
      <c r="ER108" s="1606"/>
      <c r="ES108" s="1606"/>
      <c r="ET108" s="1606"/>
      <c r="EU108" s="1606"/>
      <c r="EV108" s="1606"/>
      <c r="EW108" s="1606"/>
      <c r="EX108" s="1606"/>
      <c r="EY108" s="1606"/>
      <c r="EZ108" s="1606"/>
      <c r="FA108" s="1606"/>
      <c r="FB108" s="1606"/>
      <c r="FC108" s="1606"/>
      <c r="FD108" s="1606"/>
      <c r="FE108" s="1606"/>
      <c r="FF108" s="1606"/>
      <c r="FG108" s="1606"/>
      <c r="FH108" s="1606"/>
      <c r="FI108" s="1606"/>
      <c r="FJ108" s="1606"/>
      <c r="FK108" s="1606"/>
      <c r="FL108" s="1606"/>
      <c r="FM108" s="1606"/>
      <c r="FN108" s="1606"/>
      <c r="FO108" s="1606"/>
      <c r="FP108" s="1606"/>
      <c r="FQ108" s="1606"/>
      <c r="FR108" s="1606"/>
      <c r="FS108" s="1606"/>
      <c r="FT108" s="1606"/>
      <c r="FU108" s="1606"/>
      <c r="FV108" s="1606"/>
      <c r="FW108" s="1606"/>
      <c r="FX108" s="1606"/>
      <c r="FY108" s="1606"/>
      <c r="FZ108" s="1606"/>
      <c r="GA108" s="1606"/>
      <c r="GB108" s="1606"/>
      <c r="GC108" s="1606"/>
      <c r="GD108" s="1606"/>
      <c r="GE108" s="1606"/>
      <c r="GF108" s="1606"/>
      <c r="GG108" s="1606"/>
      <c r="GH108" s="1606"/>
      <c r="GI108" s="1606"/>
      <c r="GJ108" s="1606"/>
      <c r="GK108" s="1606"/>
      <c r="GL108" s="1606"/>
      <c r="GM108" s="1606"/>
      <c r="GN108" s="1606"/>
      <c r="GO108" s="1606"/>
      <c r="GP108" s="1606"/>
      <c r="GQ108" s="1606"/>
      <c r="GR108" s="1606"/>
      <c r="GS108" s="1606"/>
      <c r="GT108" s="1606"/>
      <c r="GU108" s="1606"/>
      <c r="GV108" s="1606"/>
      <c r="GW108" s="1606"/>
      <c r="GX108" s="1606"/>
      <c r="GY108" s="1606"/>
      <c r="GZ108" s="1606"/>
      <c r="HA108" s="1606"/>
      <c r="HB108" s="1606"/>
      <c r="HC108" s="1606"/>
      <c r="HD108" s="1606"/>
      <c r="HE108" s="1606"/>
      <c r="HF108" s="1606"/>
      <c r="HG108" s="1606"/>
      <c r="HH108" s="1606"/>
      <c r="HI108" s="1606"/>
      <c r="HJ108" s="1606"/>
      <c r="HK108" s="1606"/>
      <c r="HL108" s="1606"/>
      <c r="HM108" s="1606"/>
      <c r="HN108" s="1606"/>
      <c r="HO108" s="1606"/>
      <c r="HP108" s="1606"/>
      <c r="HQ108" s="1606"/>
      <c r="HR108" s="1606"/>
      <c r="HS108" s="1606"/>
      <c r="HT108" s="1606"/>
      <c r="HU108" s="1606"/>
      <c r="HV108" s="1606"/>
      <c r="HW108" s="1606"/>
      <c r="HX108" s="1606"/>
      <c r="HY108" s="1606"/>
      <c r="HZ108" s="1606"/>
      <c r="IA108" s="1606"/>
      <c r="IB108" s="1606"/>
      <c r="IC108" s="1606"/>
      <c r="ID108" s="1606"/>
      <c r="IE108" s="1606"/>
      <c r="IF108" s="1606"/>
      <c r="IG108" s="1606"/>
      <c r="IH108" s="1606"/>
      <c r="II108" s="1606"/>
      <c r="IJ108" s="1606"/>
      <c r="IK108" s="1606"/>
      <c r="IL108" s="1606"/>
      <c r="IM108" s="1606"/>
      <c r="IN108" s="1606"/>
      <c r="IO108" s="1606"/>
      <c r="IP108" s="1606"/>
      <c r="IQ108" s="1607"/>
      <c r="IR108" s="1606"/>
      <c r="IS108" s="1606"/>
      <c r="IT108" s="1607"/>
      <c r="IU108" s="1606"/>
      <c r="IV108" s="1606"/>
      <c r="IW108" s="1606"/>
      <c r="IX108" s="1606"/>
      <c r="IY108" s="1606"/>
      <c r="IZ108" s="1606"/>
      <c r="JA108" s="1606"/>
      <c r="JB108" s="1606"/>
      <c r="JC108" s="1606"/>
      <c r="JD108" s="1606"/>
      <c r="JE108" s="1606"/>
      <c r="JF108" s="1606"/>
      <c r="JG108" s="1606"/>
      <c r="JH108" s="1606"/>
      <c r="JI108" s="1607"/>
      <c r="JJ108" s="1606"/>
      <c r="JK108" s="1607"/>
      <c r="JL108" s="1607"/>
      <c r="JM108" s="1607"/>
      <c r="JN108" s="1606"/>
      <c r="JO108" s="1607"/>
      <c r="JP108" s="1607"/>
      <c r="JQ108" s="1603"/>
      <c r="JR108" s="351"/>
      <c r="JS108" s="1400"/>
      <c r="JT108" s="450"/>
    </row>
    <row r="109" spans="1:280" ht="12.5" x14ac:dyDescent="0.25">
      <c r="A109" s="1367">
        <v>79</v>
      </c>
      <c r="B109" s="1574" t="str">
        <f t="shared" si="33"/>
        <v/>
      </c>
      <c r="C109" s="1435" t="s">
        <v>3708</v>
      </c>
      <c r="D109" s="1436" t="s">
        <v>3709</v>
      </c>
      <c r="E109" s="1600"/>
      <c r="F109" s="1600"/>
      <c r="G109" s="1600"/>
      <c r="H109" s="1600"/>
      <c r="I109" s="1600"/>
      <c r="J109" s="1600"/>
      <c r="K109" s="1600"/>
      <c r="L109" s="1600"/>
      <c r="M109" s="1600"/>
      <c r="N109" s="1600"/>
      <c r="O109" s="1600"/>
      <c r="P109" s="1600"/>
      <c r="Q109" s="1600"/>
      <c r="R109" s="1600"/>
      <c r="S109" s="1600"/>
      <c r="T109" s="1600"/>
      <c r="U109" s="1600"/>
      <c r="V109" s="1600"/>
      <c r="W109" s="1600"/>
      <c r="X109" s="1600"/>
      <c r="Y109" s="1600"/>
      <c r="Z109" s="1600"/>
      <c r="AA109" s="1600"/>
      <c r="AB109" s="1600"/>
      <c r="AC109" s="1600"/>
      <c r="AD109" s="1600"/>
      <c r="AE109" s="1600"/>
      <c r="AF109" s="1600"/>
      <c r="AG109" s="1600"/>
      <c r="AH109" s="1600"/>
      <c r="AI109" s="1600"/>
      <c r="AJ109" s="1600"/>
      <c r="AK109" s="1600"/>
      <c r="AL109" s="1600"/>
      <c r="AM109" s="1600"/>
      <c r="AN109" s="1600"/>
      <c r="AO109" s="1600"/>
      <c r="AP109" s="1600"/>
      <c r="AQ109" s="1600"/>
      <c r="AR109" s="1600"/>
      <c r="AS109" s="1600"/>
      <c r="AT109" s="1600"/>
      <c r="AU109" s="1600"/>
      <c r="AV109" s="1600"/>
      <c r="AW109" s="1600"/>
      <c r="AX109" s="1600"/>
      <c r="AY109" s="1600"/>
      <c r="AZ109" s="1600"/>
      <c r="BA109" s="1600"/>
      <c r="BB109" s="1600">
        <v>1256</v>
      </c>
      <c r="BC109" s="1600"/>
      <c r="BD109" s="1600"/>
      <c r="BE109" s="1600"/>
      <c r="BF109" s="1600"/>
      <c r="BG109" s="1600"/>
      <c r="BH109" s="1600"/>
      <c r="BI109" s="1600"/>
      <c r="BJ109" s="1600"/>
      <c r="BK109" s="1600"/>
      <c r="BL109" s="1600"/>
      <c r="BM109" s="1600"/>
      <c r="BN109" s="1600"/>
      <c r="BO109" s="1600"/>
      <c r="BP109" s="1600"/>
      <c r="BQ109" s="1600"/>
      <c r="BR109" s="1600"/>
      <c r="BS109" s="1600"/>
      <c r="BT109" s="1600"/>
      <c r="BU109" s="1600"/>
      <c r="BV109" s="1600"/>
      <c r="BW109" s="1600"/>
      <c r="BX109" s="1600"/>
      <c r="BY109" s="1600"/>
      <c r="BZ109" s="1600"/>
      <c r="CA109" s="1600"/>
      <c r="CB109" s="1600"/>
      <c r="CC109" s="1600"/>
      <c r="CD109" s="1600">
        <v>5</v>
      </c>
      <c r="CE109" s="1600"/>
      <c r="CF109" s="1600"/>
      <c r="CG109" s="1600"/>
      <c r="CH109" s="1600">
        <v>13957</v>
      </c>
      <c r="CI109" s="1600">
        <v>141</v>
      </c>
      <c r="CJ109" s="1600"/>
      <c r="CK109" s="1600"/>
      <c r="CL109" s="1600"/>
      <c r="CM109" s="1600"/>
      <c r="CN109" s="1600"/>
      <c r="CO109" s="1600"/>
      <c r="CP109" s="1600"/>
      <c r="CQ109" s="1600"/>
      <c r="CR109" s="1600"/>
      <c r="CS109" s="1600"/>
      <c r="CT109" s="1600"/>
      <c r="CU109" s="1600"/>
      <c r="CV109" s="1600"/>
      <c r="CW109" s="1600"/>
      <c r="CX109" s="1600"/>
      <c r="CY109" s="1600"/>
      <c r="CZ109" s="1600">
        <v>5462</v>
      </c>
      <c r="DA109" s="1600">
        <v>5462</v>
      </c>
      <c r="DB109" s="1600"/>
      <c r="DC109" s="1600"/>
      <c r="DD109" s="1600"/>
      <c r="DE109" s="1600"/>
      <c r="DF109" s="1600"/>
      <c r="DG109" s="1600"/>
      <c r="DH109" s="1600"/>
      <c r="DI109" s="1600"/>
      <c r="DJ109" s="1600"/>
      <c r="DK109" s="1600"/>
      <c r="DL109" s="1600"/>
      <c r="DM109" s="1600"/>
      <c r="DN109" s="1600"/>
      <c r="DO109" s="1600"/>
      <c r="DP109" s="1600"/>
      <c r="DQ109" s="1600"/>
      <c r="DR109" s="1600"/>
      <c r="DS109" s="1600"/>
      <c r="DT109" s="1600"/>
      <c r="DU109" s="1600"/>
      <c r="DV109" s="1600"/>
      <c r="DW109" s="1600"/>
      <c r="DX109" s="1600"/>
      <c r="DY109" s="1600"/>
      <c r="DZ109" s="1600"/>
      <c r="EA109" s="1600"/>
      <c r="EB109" s="1600"/>
      <c r="EC109" s="1600"/>
      <c r="ED109" s="1600"/>
      <c r="EE109" s="1600"/>
      <c r="EF109" s="1600"/>
      <c r="EG109" s="1600"/>
      <c r="EH109" s="1600"/>
      <c r="EI109" s="1600"/>
      <c r="EJ109" s="1600"/>
      <c r="EK109" s="1600"/>
      <c r="EL109" s="1600"/>
      <c r="EM109" s="1600"/>
      <c r="EN109" s="1600"/>
      <c r="EO109" s="1600"/>
      <c r="EP109" s="1600"/>
      <c r="EQ109" s="1600"/>
      <c r="ER109" s="1600"/>
      <c r="ES109" s="1600"/>
      <c r="ET109" s="1600"/>
      <c r="EU109" s="1600"/>
      <c r="EV109" s="1600"/>
      <c r="EW109" s="1600"/>
      <c r="EX109" s="1600"/>
      <c r="EY109" s="1600"/>
      <c r="EZ109" s="1600"/>
      <c r="FA109" s="1600"/>
      <c r="FB109" s="1600"/>
      <c r="FC109" s="1600"/>
      <c r="FD109" s="1601">
        <v>4554</v>
      </c>
      <c r="FE109" s="1600"/>
      <c r="FF109" s="1600"/>
      <c r="FG109" s="1600"/>
      <c r="FH109" s="1601">
        <v>4554</v>
      </c>
      <c r="FI109" s="1600"/>
      <c r="FJ109" s="1600"/>
      <c r="FK109" s="1600">
        <v>5462</v>
      </c>
      <c r="FL109" s="1600"/>
      <c r="FM109" s="1600"/>
      <c r="FN109" s="1600"/>
      <c r="FO109" s="1600"/>
      <c r="FP109" s="1600"/>
      <c r="FQ109" s="1600"/>
      <c r="FR109" s="1600"/>
      <c r="FS109" s="1600"/>
      <c r="FT109" s="1600"/>
      <c r="FU109" s="1600"/>
      <c r="FV109" s="1600"/>
      <c r="FW109" s="1600"/>
      <c r="FX109" s="1600"/>
      <c r="FY109" s="1600"/>
      <c r="FZ109" s="1600"/>
      <c r="GA109" s="1600"/>
      <c r="GB109" s="1600"/>
      <c r="GC109" s="1600"/>
      <c r="GD109" s="1600"/>
      <c r="GE109" s="1600"/>
      <c r="GF109" s="1600"/>
      <c r="GG109" s="1600"/>
      <c r="GH109" s="1600"/>
      <c r="GI109" s="1600"/>
      <c r="GJ109" s="1600"/>
      <c r="GK109" s="1600"/>
      <c r="GL109" s="1600"/>
      <c r="GM109" s="1600"/>
      <c r="GN109" s="1600"/>
      <c r="GO109" s="1600"/>
      <c r="GP109" s="1600"/>
      <c r="GQ109" s="1600"/>
      <c r="GR109" s="1600"/>
      <c r="GS109" s="1600"/>
      <c r="GT109" s="1600"/>
      <c r="GU109" s="1600"/>
      <c r="GV109" s="1600"/>
      <c r="GW109" s="1600"/>
      <c r="GX109" s="1600"/>
      <c r="GY109" s="1600"/>
      <c r="GZ109" s="1600"/>
      <c r="HA109" s="1600"/>
      <c r="HB109" s="1600"/>
      <c r="HC109" s="1600"/>
      <c r="HD109" s="1600"/>
      <c r="HE109" s="1600"/>
      <c r="HF109" s="1600"/>
      <c r="HG109" s="1600"/>
      <c r="HH109" s="1600"/>
      <c r="HI109" s="1600"/>
      <c r="HJ109" s="1600"/>
      <c r="HK109" s="1600"/>
      <c r="HL109" s="1600"/>
      <c r="HM109" s="1600"/>
      <c r="HN109" s="1600"/>
      <c r="HO109" s="1600"/>
      <c r="HP109" s="1600"/>
      <c r="HQ109" s="1600"/>
      <c r="HR109" s="1600"/>
      <c r="HS109" s="1600"/>
      <c r="HT109" s="1600"/>
      <c r="HU109" s="1600"/>
      <c r="HV109" s="1600"/>
      <c r="HW109" s="1600"/>
      <c r="HX109" s="1600"/>
      <c r="HY109" s="1600"/>
      <c r="HZ109" s="1600"/>
      <c r="IA109" s="1600"/>
      <c r="IB109" s="1600"/>
      <c r="IC109" s="1600"/>
      <c r="ID109" s="1600"/>
      <c r="IE109" s="1600"/>
      <c r="IF109" s="1600"/>
      <c r="IG109" s="1600"/>
      <c r="IH109" s="1600"/>
      <c r="II109" s="1600"/>
      <c r="IJ109" s="1600"/>
      <c r="IK109" s="1600"/>
      <c r="IL109" s="1600"/>
      <c r="IM109" s="1600"/>
      <c r="IN109" s="1600"/>
      <c r="IO109" s="1600"/>
      <c r="IP109" s="1600"/>
      <c r="IQ109" s="1602"/>
      <c r="IR109" s="1600"/>
      <c r="IS109" s="1600"/>
      <c r="IT109" s="1602"/>
      <c r="IU109" s="1600"/>
      <c r="IV109" s="1600"/>
      <c r="IW109" s="1600"/>
      <c r="IX109" s="1600"/>
      <c r="IY109" s="1600"/>
      <c r="IZ109" s="1600"/>
      <c r="JA109" s="1600"/>
      <c r="JB109" s="1600"/>
      <c r="JC109" s="1600"/>
      <c r="JD109" s="1600"/>
      <c r="JE109" s="1600"/>
      <c r="JF109" s="1600"/>
      <c r="JG109" s="1600"/>
      <c r="JH109" s="1600"/>
      <c r="JI109" s="1602"/>
      <c r="JJ109" s="1600"/>
      <c r="JK109" s="1602"/>
      <c r="JL109" s="1602"/>
      <c r="JM109" s="1602"/>
      <c r="JN109" s="1600"/>
      <c r="JO109" s="1602"/>
      <c r="JP109" s="1602"/>
      <c r="JQ109" s="1603"/>
      <c r="JR109" s="351"/>
      <c r="JS109" s="1400"/>
      <c r="JT109" s="450" t="s">
        <v>2242</v>
      </c>
    </row>
    <row r="110" spans="1:280" ht="12.5" x14ac:dyDescent="0.25">
      <c r="A110" s="1367">
        <v>80</v>
      </c>
      <c r="B110" s="1574" t="str">
        <f t="shared" ref="B110:B119" si="41">IF(PS_B_IND&gt;1,IF(HLOOKUP(PS_B_IND-1,FPS_RANGE,A110)="","",HLOOKUP(PS_B_IND-1,FPS_RANGE,A110)),"")</f>
        <v/>
      </c>
      <c r="C110" s="1435" t="s">
        <v>3710</v>
      </c>
      <c r="D110" s="1436" t="s">
        <v>3711</v>
      </c>
      <c r="E110" s="1600"/>
      <c r="F110" s="1600"/>
      <c r="G110" s="1600"/>
      <c r="H110" s="1600"/>
      <c r="I110" s="1600"/>
      <c r="J110" s="1600"/>
      <c r="K110" s="1600"/>
      <c r="L110" s="1600"/>
      <c r="M110" s="1600"/>
      <c r="N110" s="1600"/>
      <c r="O110" s="1600"/>
      <c r="P110" s="1600"/>
      <c r="Q110" s="1600"/>
      <c r="R110" s="1600"/>
      <c r="S110" s="1600"/>
      <c r="T110" s="1600"/>
      <c r="U110" s="1600"/>
      <c r="V110" s="1600"/>
      <c r="W110" s="1600"/>
      <c r="X110" s="1600"/>
      <c r="Y110" s="1600"/>
      <c r="Z110" s="1600"/>
      <c r="AA110" s="1600"/>
      <c r="AB110" s="1600"/>
      <c r="AC110" s="1600"/>
      <c r="AD110" s="1600"/>
      <c r="AE110" s="1600"/>
      <c r="AF110" s="1600"/>
      <c r="AG110" s="1600"/>
      <c r="AH110" s="1600"/>
      <c r="AI110" s="1600"/>
      <c r="AJ110" s="1600"/>
      <c r="AK110" s="1600"/>
      <c r="AL110" s="1600"/>
      <c r="AM110" s="1600"/>
      <c r="AN110" s="1600"/>
      <c r="AO110" s="1600"/>
      <c r="AP110" s="1600"/>
      <c r="AQ110" s="1600"/>
      <c r="AR110" s="1600"/>
      <c r="AS110" s="1600"/>
      <c r="AT110" s="1600"/>
      <c r="AU110" s="1600"/>
      <c r="AV110" s="1600"/>
      <c r="AW110" s="1600"/>
      <c r="AX110" s="1600"/>
      <c r="AY110" s="1600"/>
      <c r="AZ110" s="1600"/>
      <c r="BA110" s="1600"/>
      <c r="BB110" s="1600"/>
      <c r="BC110" s="1600"/>
      <c r="BD110" s="1600"/>
      <c r="BE110" s="1600"/>
      <c r="BF110" s="1600"/>
      <c r="BG110" s="1600"/>
      <c r="BH110" s="1600"/>
      <c r="BI110" s="1600"/>
      <c r="BJ110" s="1600"/>
      <c r="BK110" s="1600"/>
      <c r="BL110" s="1600"/>
      <c r="BM110" s="1600"/>
      <c r="BN110" s="1600"/>
      <c r="BO110" s="1600"/>
      <c r="BP110" s="1600"/>
      <c r="BQ110" s="1600"/>
      <c r="BR110" s="1600"/>
      <c r="BS110" s="1600"/>
      <c r="BT110" s="1600"/>
      <c r="BU110" s="1600"/>
      <c r="BV110" s="1600"/>
      <c r="BW110" s="1600"/>
      <c r="BX110" s="1600"/>
      <c r="BY110" s="1600"/>
      <c r="BZ110" s="1600"/>
      <c r="CA110" s="1600"/>
      <c r="CB110" s="1600"/>
      <c r="CC110" s="1600"/>
      <c r="CD110" s="1600"/>
      <c r="CE110" s="1600"/>
      <c r="CF110" s="1600"/>
      <c r="CG110" s="1600"/>
      <c r="CH110" s="1600"/>
      <c r="CI110" s="1600"/>
      <c r="CJ110" s="1600"/>
      <c r="CK110" s="1600"/>
      <c r="CL110" s="1600"/>
      <c r="CM110" s="1600"/>
      <c r="CN110" s="1600"/>
      <c r="CO110" s="1600"/>
      <c r="CP110" s="1600"/>
      <c r="CQ110" s="1600"/>
      <c r="CR110" s="1600"/>
      <c r="CS110" s="1600"/>
      <c r="CT110" s="1600"/>
      <c r="CU110" s="1600"/>
      <c r="CV110" s="1600"/>
      <c r="CW110" s="1600"/>
      <c r="CX110" s="1600"/>
      <c r="CY110" s="1600"/>
      <c r="CZ110" s="1600">
        <v>547</v>
      </c>
      <c r="DA110" s="1600">
        <v>547</v>
      </c>
      <c r="DB110" s="1600"/>
      <c r="DC110" s="1600"/>
      <c r="DD110" s="1600"/>
      <c r="DE110" s="1600"/>
      <c r="DF110" s="1600"/>
      <c r="DG110" s="1600"/>
      <c r="DH110" s="1600"/>
      <c r="DI110" s="1600"/>
      <c r="DJ110" s="1600"/>
      <c r="DK110" s="1600"/>
      <c r="DL110" s="1600"/>
      <c r="DM110" s="1600"/>
      <c r="DN110" s="1600"/>
      <c r="DO110" s="1600"/>
      <c r="DP110" s="1600"/>
      <c r="DQ110" s="1600"/>
      <c r="DR110" s="1600"/>
      <c r="DS110" s="1600"/>
      <c r="DT110" s="1600"/>
      <c r="DU110" s="1600"/>
      <c r="DV110" s="1600"/>
      <c r="DW110" s="1600"/>
      <c r="DX110" s="1600"/>
      <c r="DY110" s="1600"/>
      <c r="DZ110" s="1600"/>
      <c r="EA110" s="1600"/>
      <c r="EB110" s="1600"/>
      <c r="EC110" s="1600"/>
      <c r="ED110" s="1600"/>
      <c r="EE110" s="1600"/>
      <c r="EF110" s="1600"/>
      <c r="EG110" s="1600"/>
      <c r="EH110" s="1600"/>
      <c r="EI110" s="1600"/>
      <c r="EJ110" s="1600"/>
      <c r="EK110" s="1600"/>
      <c r="EL110" s="1600"/>
      <c r="EM110" s="1600"/>
      <c r="EN110" s="1600"/>
      <c r="EO110" s="1600"/>
      <c r="EP110" s="1600"/>
      <c r="EQ110" s="1600"/>
      <c r="ER110" s="1600"/>
      <c r="ES110" s="1600"/>
      <c r="ET110" s="1600"/>
      <c r="EU110" s="1600"/>
      <c r="EV110" s="1600"/>
      <c r="EW110" s="1600"/>
      <c r="EX110" s="1600"/>
      <c r="EY110" s="1600"/>
      <c r="EZ110" s="1600"/>
      <c r="FA110" s="1600"/>
      <c r="FB110" s="1600"/>
      <c r="FC110" s="1600"/>
      <c r="FD110" s="1600"/>
      <c r="FE110" s="1600"/>
      <c r="FF110" s="1600"/>
      <c r="FG110" s="1600"/>
      <c r="FH110" s="1600"/>
      <c r="FI110" s="1600"/>
      <c r="FJ110" s="1600"/>
      <c r="FK110" s="1600">
        <v>547</v>
      </c>
      <c r="FL110" s="1600"/>
      <c r="FM110" s="1600"/>
      <c r="FN110" s="1600"/>
      <c r="FO110" s="1600"/>
      <c r="FP110" s="1600"/>
      <c r="FQ110" s="1600"/>
      <c r="FR110" s="1600"/>
      <c r="FS110" s="1600"/>
      <c r="FT110" s="1600"/>
      <c r="FU110" s="1600"/>
      <c r="FV110" s="1600"/>
      <c r="FW110" s="1600"/>
      <c r="FX110" s="1600"/>
      <c r="FY110" s="1600"/>
      <c r="FZ110" s="1600"/>
      <c r="GA110" s="1600"/>
      <c r="GB110" s="1600"/>
      <c r="GC110" s="1600"/>
      <c r="GD110" s="1600"/>
      <c r="GE110" s="1600"/>
      <c r="GF110" s="1600"/>
      <c r="GG110" s="1600"/>
      <c r="GH110" s="1600"/>
      <c r="GI110" s="1600"/>
      <c r="GJ110" s="1600"/>
      <c r="GK110" s="1600"/>
      <c r="GL110" s="1600"/>
      <c r="GM110" s="1600"/>
      <c r="GN110" s="1600"/>
      <c r="GO110" s="1600"/>
      <c r="GP110" s="1600"/>
      <c r="GQ110" s="1600"/>
      <c r="GR110" s="1600"/>
      <c r="GS110" s="1600"/>
      <c r="GT110" s="1600"/>
      <c r="GU110" s="1600"/>
      <c r="GV110" s="1600"/>
      <c r="GW110" s="1600"/>
      <c r="GX110" s="1600"/>
      <c r="GY110" s="1600"/>
      <c r="GZ110" s="1600"/>
      <c r="HA110" s="1600"/>
      <c r="HB110" s="1600"/>
      <c r="HC110" s="1600"/>
      <c r="HD110" s="1600"/>
      <c r="HE110" s="1600"/>
      <c r="HF110" s="1600"/>
      <c r="HG110" s="1600"/>
      <c r="HH110" s="1600"/>
      <c r="HI110" s="1600"/>
      <c r="HJ110" s="1600"/>
      <c r="HK110" s="1600"/>
      <c r="HL110" s="1600"/>
      <c r="HM110" s="1600"/>
      <c r="HN110" s="1600"/>
      <c r="HO110" s="1600"/>
      <c r="HP110" s="1600"/>
      <c r="HQ110" s="1600"/>
      <c r="HR110" s="1600"/>
      <c r="HS110" s="1600"/>
      <c r="HT110" s="1600"/>
      <c r="HU110" s="1600"/>
      <c r="HV110" s="1600"/>
      <c r="HW110" s="1600"/>
      <c r="HX110" s="1600"/>
      <c r="HY110" s="1600"/>
      <c r="HZ110" s="1600"/>
      <c r="IA110" s="1600"/>
      <c r="IB110" s="1600"/>
      <c r="IC110" s="1600"/>
      <c r="ID110" s="1600"/>
      <c r="IE110" s="1600"/>
      <c r="IF110" s="1600"/>
      <c r="IG110" s="1600"/>
      <c r="IH110" s="1600"/>
      <c r="II110" s="1600"/>
      <c r="IJ110" s="1600"/>
      <c r="IK110" s="1600"/>
      <c r="IL110" s="1600"/>
      <c r="IM110" s="1600"/>
      <c r="IN110" s="1600"/>
      <c r="IO110" s="1600"/>
      <c r="IP110" s="1600"/>
      <c r="IQ110" s="1602"/>
      <c r="IR110" s="1600"/>
      <c r="IS110" s="1600"/>
      <c r="IT110" s="1602"/>
      <c r="IU110" s="1600"/>
      <c r="IV110" s="1600"/>
      <c r="IW110" s="1600"/>
      <c r="IX110" s="1600"/>
      <c r="IY110" s="1600"/>
      <c r="IZ110" s="1600"/>
      <c r="JA110" s="1600"/>
      <c r="JB110" s="1600"/>
      <c r="JC110" s="1600"/>
      <c r="JD110" s="1600"/>
      <c r="JE110" s="1600"/>
      <c r="JF110" s="1600"/>
      <c r="JG110" s="1600"/>
      <c r="JH110" s="1600"/>
      <c r="JI110" s="1602"/>
      <c r="JJ110" s="1600"/>
      <c r="JK110" s="1602"/>
      <c r="JL110" s="1602"/>
      <c r="JM110" s="1602"/>
      <c r="JN110" s="1600"/>
      <c r="JO110" s="1602"/>
      <c r="JP110" s="1602"/>
      <c r="JQ110" s="1603"/>
      <c r="JR110" s="351"/>
      <c r="JS110" s="1400"/>
      <c r="JT110" s="450" t="s">
        <v>2242</v>
      </c>
    </row>
    <row r="111" spans="1:280" ht="12.5" x14ac:dyDescent="0.25">
      <c r="A111" s="1367">
        <v>81</v>
      </c>
      <c r="B111" s="1574" t="str">
        <f t="shared" si="41"/>
        <v/>
      </c>
      <c r="C111" s="1435" t="s">
        <v>3712</v>
      </c>
      <c r="D111" s="1436" t="s">
        <v>3713</v>
      </c>
      <c r="E111" s="1604"/>
      <c r="F111" s="1604"/>
      <c r="G111" s="1604"/>
      <c r="H111" s="1604"/>
      <c r="I111" s="1604"/>
      <c r="J111" s="1604"/>
      <c r="K111" s="1604"/>
      <c r="L111" s="1604"/>
      <c r="M111" s="1604"/>
      <c r="N111" s="1604"/>
      <c r="O111" s="1604"/>
      <c r="P111" s="1604"/>
      <c r="Q111" s="1604"/>
      <c r="R111" s="1604"/>
      <c r="S111" s="1604"/>
      <c r="T111" s="1604"/>
      <c r="U111" s="1604"/>
      <c r="V111" s="1604"/>
      <c r="W111" s="1604"/>
      <c r="X111" s="1604"/>
      <c r="Y111" s="1604"/>
      <c r="Z111" s="1604"/>
      <c r="AA111" s="1604"/>
      <c r="AB111" s="1604"/>
      <c r="AC111" s="1604"/>
      <c r="AD111" s="1604"/>
      <c r="AE111" s="1604"/>
      <c r="AF111" s="1604"/>
      <c r="AG111" s="1604"/>
      <c r="AH111" s="1604"/>
      <c r="AI111" s="1604"/>
      <c r="AJ111" s="1604"/>
      <c r="AK111" s="1604"/>
      <c r="AL111" s="1604"/>
      <c r="AM111" s="1604"/>
      <c r="AN111" s="1604"/>
      <c r="AO111" s="1604"/>
      <c r="AP111" s="1604"/>
      <c r="AQ111" s="1604"/>
      <c r="AR111" s="1604"/>
      <c r="AS111" s="1604"/>
      <c r="AT111" s="1604"/>
      <c r="AU111" s="1604"/>
      <c r="AV111" s="1604"/>
      <c r="AW111" s="1604"/>
      <c r="AX111" s="1604"/>
      <c r="AY111" s="1604"/>
      <c r="AZ111" s="1604"/>
      <c r="BA111" s="1604"/>
      <c r="BB111" s="1604">
        <f>MAX(0,BB109-BB110)</f>
        <v>1256</v>
      </c>
      <c r="BC111" s="1604"/>
      <c r="BD111" s="1604"/>
      <c r="BE111" s="1604"/>
      <c r="BF111" s="1604"/>
      <c r="BG111" s="1604"/>
      <c r="BH111" s="1604"/>
      <c r="BI111" s="1604"/>
      <c r="BJ111" s="1604"/>
      <c r="BK111" s="1604"/>
      <c r="BL111" s="1604"/>
      <c r="BM111" s="1604"/>
      <c r="BN111" s="1604"/>
      <c r="BO111" s="1604"/>
      <c r="BP111" s="1604"/>
      <c r="BQ111" s="1604"/>
      <c r="BR111" s="1604"/>
      <c r="BS111" s="1604"/>
      <c r="BT111" s="1604"/>
      <c r="BU111" s="1604"/>
      <c r="BV111" s="1604"/>
      <c r="BW111" s="1604"/>
      <c r="BX111" s="1604"/>
      <c r="BY111" s="1604"/>
      <c r="BZ111" s="1604"/>
      <c r="CA111" s="1604"/>
      <c r="CB111" s="1604"/>
      <c r="CC111" s="1604"/>
      <c r="CD111" s="1604">
        <f>MAX(0,CD109-CD110)</f>
        <v>5</v>
      </c>
      <c r="CE111" s="1604"/>
      <c r="CF111" s="1604"/>
      <c r="CG111" s="1604"/>
      <c r="CH111" s="1604">
        <f>MAX(0,CH109-CH110)</f>
        <v>13957</v>
      </c>
      <c r="CI111" s="1604">
        <f>MAX(0,CI109-CI110)</f>
        <v>141</v>
      </c>
      <c r="CJ111" s="1604"/>
      <c r="CK111" s="1604"/>
      <c r="CL111" s="1604"/>
      <c r="CM111" s="1604"/>
      <c r="CN111" s="1604"/>
      <c r="CO111" s="1604"/>
      <c r="CP111" s="1604"/>
      <c r="CQ111" s="1604"/>
      <c r="CR111" s="1604"/>
      <c r="CS111" s="1604"/>
      <c r="CT111" s="1604"/>
      <c r="CU111" s="1604"/>
      <c r="CV111" s="1604"/>
      <c r="CW111" s="1604"/>
      <c r="CX111" s="1604"/>
      <c r="CY111" s="1604"/>
      <c r="CZ111" s="1604">
        <f>MAX(0,CZ109-CZ110)</f>
        <v>4915</v>
      </c>
      <c r="DA111" s="1604">
        <f>MAX(0,DA109-DA110)</f>
        <v>4915</v>
      </c>
      <c r="DB111" s="1604"/>
      <c r="DC111" s="1604"/>
      <c r="DD111" s="1604"/>
      <c r="DE111" s="1604"/>
      <c r="DF111" s="1604"/>
      <c r="DG111" s="1604"/>
      <c r="DH111" s="1604"/>
      <c r="DI111" s="1604"/>
      <c r="DJ111" s="1604"/>
      <c r="DK111" s="1604"/>
      <c r="DL111" s="1604"/>
      <c r="DM111" s="1604"/>
      <c r="DN111" s="1604"/>
      <c r="DO111" s="1604"/>
      <c r="DP111" s="1604"/>
      <c r="DQ111" s="1604"/>
      <c r="DR111" s="1604"/>
      <c r="DS111" s="1604"/>
      <c r="DT111" s="1604"/>
      <c r="DU111" s="1604"/>
      <c r="DV111" s="1604"/>
      <c r="DW111" s="1604"/>
      <c r="DX111" s="1604"/>
      <c r="DY111" s="1604"/>
      <c r="DZ111" s="1604"/>
      <c r="EA111" s="1604"/>
      <c r="EB111" s="1604"/>
      <c r="EC111" s="1604"/>
      <c r="ED111" s="1604"/>
      <c r="EE111" s="1604"/>
      <c r="EF111" s="1604"/>
      <c r="EG111" s="1604"/>
      <c r="EH111" s="1604"/>
      <c r="EI111" s="1604"/>
      <c r="EJ111" s="1604"/>
      <c r="EK111" s="1604"/>
      <c r="EL111" s="1604"/>
      <c r="EM111" s="1604"/>
      <c r="EN111" s="1604"/>
      <c r="EO111" s="1604"/>
      <c r="EP111" s="1604"/>
      <c r="EQ111" s="1604"/>
      <c r="ER111" s="1604"/>
      <c r="ES111" s="1604"/>
      <c r="ET111" s="1604"/>
      <c r="EU111" s="1604"/>
      <c r="EV111" s="1604"/>
      <c r="EW111" s="1604"/>
      <c r="EX111" s="1604"/>
      <c r="EY111" s="1604"/>
      <c r="EZ111" s="1604"/>
      <c r="FA111" s="1604"/>
      <c r="FB111" s="1604"/>
      <c r="FC111" s="1604"/>
      <c r="FD111" s="1605">
        <f t="shared" ref="FD111:FH111" si="42">MAX(0,FD109-FD110)</f>
        <v>4554</v>
      </c>
      <c r="FE111" s="1604"/>
      <c r="FF111" s="1604"/>
      <c r="FG111" s="1604"/>
      <c r="FH111" s="1605">
        <f t="shared" si="42"/>
        <v>4554</v>
      </c>
      <c r="FI111" s="1604"/>
      <c r="FJ111" s="1604"/>
      <c r="FK111" s="1604">
        <f>MAX(0,FK109-FK110)</f>
        <v>4915</v>
      </c>
      <c r="FL111" s="1604"/>
      <c r="FM111" s="1604"/>
      <c r="FN111" s="1604"/>
      <c r="FO111" s="1604"/>
      <c r="FP111" s="1604"/>
      <c r="FQ111" s="1604"/>
      <c r="FR111" s="1604"/>
      <c r="FS111" s="1604"/>
      <c r="FT111" s="1604"/>
      <c r="FU111" s="1604"/>
      <c r="FV111" s="1604"/>
      <c r="FW111" s="1604"/>
      <c r="FX111" s="1604"/>
      <c r="FY111" s="1604"/>
      <c r="FZ111" s="1604"/>
      <c r="GA111" s="1604"/>
      <c r="GB111" s="1604"/>
      <c r="GC111" s="1604"/>
      <c r="GD111" s="1604"/>
      <c r="GE111" s="1604"/>
      <c r="GF111" s="1604"/>
      <c r="GG111" s="1604"/>
      <c r="GH111" s="1604"/>
      <c r="GI111" s="1604"/>
      <c r="GJ111" s="1604"/>
      <c r="GK111" s="1604"/>
      <c r="GL111" s="1604"/>
      <c r="GM111" s="1604"/>
      <c r="GN111" s="1604"/>
      <c r="GO111" s="1604"/>
      <c r="GP111" s="1604"/>
      <c r="GQ111" s="1604"/>
      <c r="GR111" s="1604"/>
      <c r="GS111" s="1604"/>
      <c r="GT111" s="1604"/>
      <c r="GU111" s="1604"/>
      <c r="GV111" s="1604"/>
      <c r="GW111" s="1604"/>
      <c r="GX111" s="1604"/>
      <c r="GY111" s="1604"/>
      <c r="GZ111" s="1604"/>
      <c r="HA111" s="1604"/>
      <c r="HB111" s="1604"/>
      <c r="HC111" s="1604"/>
      <c r="HD111" s="1604"/>
      <c r="HE111" s="1604"/>
      <c r="HF111" s="1604"/>
      <c r="HG111" s="1604"/>
      <c r="HH111" s="1604"/>
      <c r="HI111" s="1604"/>
      <c r="HJ111" s="1604"/>
      <c r="HK111" s="1604"/>
      <c r="HL111" s="1604"/>
      <c r="HM111" s="1604"/>
      <c r="HN111" s="1604"/>
      <c r="HO111" s="1604"/>
      <c r="HP111" s="1604"/>
      <c r="HQ111" s="1604"/>
      <c r="HR111" s="1604"/>
      <c r="HS111" s="1604"/>
      <c r="HT111" s="1604"/>
      <c r="HU111" s="1604"/>
      <c r="HV111" s="1604"/>
      <c r="HW111" s="1604"/>
      <c r="HX111" s="1604"/>
      <c r="HY111" s="1604"/>
      <c r="HZ111" s="1604"/>
      <c r="IA111" s="1604"/>
      <c r="IB111" s="1604"/>
      <c r="IC111" s="1604"/>
      <c r="ID111" s="1604"/>
      <c r="IE111" s="1604"/>
      <c r="IF111" s="1604"/>
      <c r="IG111" s="1604"/>
      <c r="IH111" s="1604"/>
      <c r="II111" s="1604"/>
      <c r="IJ111" s="1604"/>
      <c r="IK111" s="1604"/>
      <c r="IL111" s="1604"/>
      <c r="IM111" s="1604"/>
      <c r="IN111" s="1604"/>
      <c r="IO111" s="1604"/>
      <c r="IP111" s="1604"/>
      <c r="IQ111" s="1604"/>
      <c r="IR111" s="1604"/>
      <c r="IS111" s="1604"/>
      <c r="IT111" s="1604"/>
      <c r="IU111" s="1604"/>
      <c r="IV111" s="1604"/>
      <c r="IW111" s="1604"/>
      <c r="IX111" s="1604"/>
      <c r="IY111" s="1604"/>
      <c r="IZ111" s="1604"/>
      <c r="JA111" s="1604"/>
      <c r="JB111" s="1604"/>
      <c r="JC111" s="1604"/>
      <c r="JD111" s="1604"/>
      <c r="JE111" s="1604"/>
      <c r="JF111" s="1604"/>
      <c r="JG111" s="1604"/>
      <c r="JH111" s="1604"/>
      <c r="JI111" s="1604"/>
      <c r="JJ111" s="1604"/>
      <c r="JK111" s="1604"/>
      <c r="JL111" s="1604"/>
      <c r="JM111" s="1604"/>
      <c r="JN111" s="1604"/>
      <c r="JO111" s="1604"/>
      <c r="JP111" s="1604"/>
      <c r="JQ111" s="1604"/>
      <c r="JR111" s="351"/>
      <c r="JS111" s="1400" t="s">
        <v>3714</v>
      </c>
      <c r="JT111" s="450" t="s">
        <v>2224</v>
      </c>
    </row>
    <row r="112" spans="1:280" ht="12.5" x14ac:dyDescent="0.25">
      <c r="A112" s="1367">
        <v>82</v>
      </c>
      <c r="B112" s="1574" t="str">
        <f t="shared" si="41"/>
        <v/>
      </c>
      <c r="C112" s="1435" t="s">
        <v>3715</v>
      </c>
      <c r="D112" s="1436" t="s">
        <v>3716</v>
      </c>
      <c r="E112" s="1600"/>
      <c r="F112" s="1600"/>
      <c r="G112" s="1600"/>
      <c r="H112" s="1600"/>
      <c r="I112" s="1600"/>
      <c r="J112" s="1600"/>
      <c r="K112" s="1600"/>
      <c r="L112" s="1600"/>
      <c r="M112" s="1600"/>
      <c r="N112" s="1600"/>
      <c r="O112" s="1600"/>
      <c r="P112" s="1600"/>
      <c r="Q112" s="1600"/>
      <c r="R112" s="1600"/>
      <c r="S112" s="1600"/>
      <c r="T112" s="1600"/>
      <c r="U112" s="1600"/>
      <c r="V112" s="1600"/>
      <c r="W112" s="1600"/>
      <c r="X112" s="1600"/>
      <c r="Y112" s="1600"/>
      <c r="Z112" s="1600"/>
      <c r="AA112" s="1600"/>
      <c r="AB112" s="1600"/>
      <c r="AC112" s="1600"/>
      <c r="AD112" s="1600"/>
      <c r="AE112" s="1600"/>
      <c r="AF112" s="1600"/>
      <c r="AG112" s="1600"/>
      <c r="AH112" s="1600"/>
      <c r="AI112" s="1600"/>
      <c r="AJ112" s="1600"/>
      <c r="AK112" s="1600"/>
      <c r="AL112" s="1600"/>
      <c r="AM112" s="1600"/>
      <c r="AN112" s="1600"/>
      <c r="AO112" s="1600"/>
      <c r="AP112" s="1600"/>
      <c r="AQ112" s="1600"/>
      <c r="AR112" s="1600"/>
      <c r="AS112" s="1600"/>
      <c r="AT112" s="1600"/>
      <c r="AU112" s="1600"/>
      <c r="AV112" s="1600"/>
      <c r="AW112" s="1600"/>
      <c r="AX112" s="1600"/>
      <c r="AY112" s="1600"/>
      <c r="AZ112" s="1600"/>
      <c r="BA112" s="1600"/>
      <c r="BB112" s="1600">
        <v>250</v>
      </c>
      <c r="BC112" s="1600"/>
      <c r="BD112" s="1600"/>
      <c r="BE112" s="1600"/>
      <c r="BF112" s="1600"/>
      <c r="BG112" s="1600"/>
      <c r="BH112" s="1600"/>
      <c r="BI112" s="1600"/>
      <c r="BJ112" s="1600"/>
      <c r="BK112" s="1600"/>
      <c r="BL112" s="1600"/>
      <c r="BM112" s="1600"/>
      <c r="BN112" s="1600"/>
      <c r="BO112" s="1600"/>
      <c r="BP112" s="1600"/>
      <c r="BQ112" s="1600"/>
      <c r="BR112" s="1600"/>
      <c r="BS112" s="1600"/>
      <c r="BT112" s="1600"/>
      <c r="BU112" s="1600"/>
      <c r="BV112" s="1600"/>
      <c r="BW112" s="1600"/>
      <c r="BX112" s="1600"/>
      <c r="BY112" s="1600"/>
      <c r="BZ112" s="1600"/>
      <c r="CA112" s="1600"/>
      <c r="CB112" s="1600"/>
      <c r="CC112" s="1600"/>
      <c r="CD112" s="1600"/>
      <c r="CE112" s="1600"/>
      <c r="CF112" s="1600"/>
      <c r="CG112" s="1600"/>
      <c r="CH112" s="1600"/>
      <c r="CI112" s="1600"/>
      <c r="CJ112" s="1600"/>
      <c r="CK112" s="1600"/>
      <c r="CL112" s="1600"/>
      <c r="CM112" s="1600"/>
      <c r="CN112" s="1600"/>
      <c r="CO112" s="1600"/>
      <c r="CP112" s="1600"/>
      <c r="CQ112" s="1600"/>
      <c r="CR112" s="1600"/>
      <c r="CS112" s="1600"/>
      <c r="CT112" s="1600"/>
      <c r="CU112" s="1600"/>
      <c r="CV112" s="1600"/>
      <c r="CW112" s="1600"/>
      <c r="CX112" s="1600"/>
      <c r="CY112" s="1600"/>
      <c r="CZ112" s="1600">
        <v>216</v>
      </c>
      <c r="DA112" s="1600">
        <v>216</v>
      </c>
      <c r="DB112" s="1600"/>
      <c r="DC112" s="1600"/>
      <c r="DD112" s="1600"/>
      <c r="DE112" s="1600"/>
      <c r="DF112" s="1600"/>
      <c r="DG112" s="1600"/>
      <c r="DH112" s="1600"/>
      <c r="DI112" s="1600"/>
      <c r="DJ112" s="1600"/>
      <c r="DK112" s="1600"/>
      <c r="DL112" s="1600"/>
      <c r="DM112" s="1600"/>
      <c r="DN112" s="1600"/>
      <c r="DO112" s="1600"/>
      <c r="DP112" s="1600"/>
      <c r="DQ112" s="1600"/>
      <c r="DR112" s="1600"/>
      <c r="DS112" s="1600"/>
      <c r="DT112" s="1600"/>
      <c r="DU112" s="1600"/>
      <c r="DV112" s="1600"/>
      <c r="DW112" s="1600"/>
      <c r="DX112" s="1600"/>
      <c r="DY112" s="1600"/>
      <c r="DZ112" s="1600"/>
      <c r="EA112" s="1600"/>
      <c r="EB112" s="1600"/>
      <c r="EC112" s="1600"/>
      <c r="ED112" s="1600"/>
      <c r="EE112" s="1600"/>
      <c r="EF112" s="1600"/>
      <c r="EG112" s="1600"/>
      <c r="EH112" s="1600"/>
      <c r="EI112" s="1600"/>
      <c r="EJ112" s="1600"/>
      <c r="EK112" s="1600"/>
      <c r="EL112" s="1600"/>
      <c r="EM112" s="1600"/>
      <c r="EN112" s="1600"/>
      <c r="EO112" s="1600"/>
      <c r="EP112" s="1600"/>
      <c r="EQ112" s="1600"/>
      <c r="ER112" s="1600"/>
      <c r="ES112" s="1600"/>
      <c r="ET112" s="1600"/>
      <c r="EU112" s="1600"/>
      <c r="EV112" s="1600"/>
      <c r="EW112" s="1600"/>
      <c r="EX112" s="1600"/>
      <c r="EY112" s="1600"/>
      <c r="EZ112" s="1600"/>
      <c r="FA112" s="1600"/>
      <c r="FB112" s="1600"/>
      <c r="FC112" s="1600"/>
      <c r="FD112" s="1600"/>
      <c r="FE112" s="1600"/>
      <c r="FF112" s="1600"/>
      <c r="FG112" s="1600"/>
      <c r="FH112" s="1600"/>
      <c r="FI112" s="1600"/>
      <c r="FJ112" s="1600"/>
      <c r="FK112" s="1600">
        <v>216</v>
      </c>
      <c r="FL112" s="1600"/>
      <c r="FM112" s="1600"/>
      <c r="FN112" s="1600"/>
      <c r="FO112" s="1600"/>
      <c r="FP112" s="1600"/>
      <c r="FQ112" s="1600"/>
      <c r="FR112" s="1600"/>
      <c r="FS112" s="1600"/>
      <c r="FT112" s="1600"/>
      <c r="FU112" s="1600"/>
      <c r="FV112" s="1600"/>
      <c r="FW112" s="1600"/>
      <c r="FX112" s="1600"/>
      <c r="FY112" s="1600"/>
      <c r="FZ112" s="1600"/>
      <c r="GA112" s="1600"/>
      <c r="GB112" s="1600"/>
      <c r="GC112" s="1600"/>
      <c r="GD112" s="1600"/>
      <c r="GE112" s="1600"/>
      <c r="GF112" s="1600"/>
      <c r="GG112" s="1600"/>
      <c r="GH112" s="1600"/>
      <c r="GI112" s="1600"/>
      <c r="GJ112" s="1600"/>
      <c r="GK112" s="1600"/>
      <c r="GL112" s="1600"/>
      <c r="GM112" s="1600"/>
      <c r="GN112" s="1600"/>
      <c r="GO112" s="1600"/>
      <c r="GP112" s="1600"/>
      <c r="GQ112" s="1600"/>
      <c r="GR112" s="1600"/>
      <c r="GS112" s="1600"/>
      <c r="GT112" s="1600"/>
      <c r="GU112" s="1600"/>
      <c r="GV112" s="1600"/>
      <c r="GW112" s="1600"/>
      <c r="GX112" s="1600"/>
      <c r="GY112" s="1600"/>
      <c r="GZ112" s="1600"/>
      <c r="HA112" s="1600"/>
      <c r="HB112" s="1600"/>
      <c r="HC112" s="1600"/>
      <c r="HD112" s="1600"/>
      <c r="HE112" s="1600"/>
      <c r="HF112" s="1600"/>
      <c r="HG112" s="1600"/>
      <c r="HH112" s="1600"/>
      <c r="HI112" s="1600"/>
      <c r="HJ112" s="1600"/>
      <c r="HK112" s="1600"/>
      <c r="HL112" s="1600"/>
      <c r="HM112" s="1600"/>
      <c r="HN112" s="1600"/>
      <c r="HO112" s="1600"/>
      <c r="HP112" s="1600"/>
      <c r="HQ112" s="1600"/>
      <c r="HR112" s="1600"/>
      <c r="HS112" s="1600"/>
      <c r="HT112" s="1600"/>
      <c r="HU112" s="1600"/>
      <c r="HV112" s="1600"/>
      <c r="HW112" s="1600"/>
      <c r="HX112" s="1600"/>
      <c r="HY112" s="1600"/>
      <c r="HZ112" s="1600"/>
      <c r="IA112" s="1600"/>
      <c r="IB112" s="1600"/>
      <c r="IC112" s="1600"/>
      <c r="ID112" s="1600"/>
      <c r="IE112" s="1600"/>
      <c r="IF112" s="1600"/>
      <c r="IG112" s="1600"/>
      <c r="IH112" s="1600"/>
      <c r="II112" s="1600"/>
      <c r="IJ112" s="1600"/>
      <c r="IK112" s="1600"/>
      <c r="IL112" s="1600"/>
      <c r="IM112" s="1600"/>
      <c r="IN112" s="1600"/>
      <c r="IO112" s="1600"/>
      <c r="IP112" s="1600"/>
      <c r="IQ112" s="1602"/>
      <c r="IR112" s="1600"/>
      <c r="IS112" s="1600"/>
      <c r="IT112" s="1602"/>
      <c r="IU112" s="1600"/>
      <c r="IV112" s="1600"/>
      <c r="IW112" s="1600"/>
      <c r="IX112" s="1600"/>
      <c r="IY112" s="1600"/>
      <c r="IZ112" s="1600"/>
      <c r="JA112" s="1600"/>
      <c r="JB112" s="1600"/>
      <c r="JC112" s="1600"/>
      <c r="JD112" s="1600"/>
      <c r="JE112" s="1600"/>
      <c r="JF112" s="1600"/>
      <c r="JG112" s="1600"/>
      <c r="JH112" s="1600"/>
      <c r="JI112" s="1602"/>
      <c r="JJ112" s="1600"/>
      <c r="JK112" s="1602"/>
      <c r="JL112" s="1602"/>
      <c r="JM112" s="1602"/>
      <c r="JN112" s="1600"/>
      <c r="JO112" s="1602"/>
      <c r="JP112" s="1602"/>
      <c r="JQ112" s="1603"/>
      <c r="JR112" s="351"/>
      <c r="JS112" s="1400"/>
      <c r="JT112" s="450" t="s">
        <v>2242</v>
      </c>
    </row>
    <row r="113" spans="1:280" ht="12.5" x14ac:dyDescent="0.25">
      <c r="A113" s="1367">
        <v>83</v>
      </c>
      <c r="B113" s="1574" t="str">
        <f t="shared" si="41"/>
        <v/>
      </c>
      <c r="C113" s="1435" t="s">
        <v>3717</v>
      </c>
      <c r="D113" s="1436" t="s">
        <v>3718</v>
      </c>
      <c r="E113" s="1600"/>
      <c r="F113" s="1600"/>
      <c r="G113" s="1600"/>
      <c r="H113" s="1600"/>
      <c r="I113" s="1600"/>
      <c r="J113" s="1600"/>
      <c r="K113" s="1600"/>
      <c r="L113" s="1600"/>
      <c r="M113" s="1600"/>
      <c r="N113" s="1600"/>
      <c r="O113" s="1600"/>
      <c r="P113" s="1600"/>
      <c r="Q113" s="1600"/>
      <c r="R113" s="1600"/>
      <c r="S113" s="1600"/>
      <c r="T113" s="1600"/>
      <c r="U113" s="1600"/>
      <c r="V113" s="1600"/>
      <c r="W113" s="1600"/>
      <c r="X113" s="1600"/>
      <c r="Y113" s="1600"/>
      <c r="Z113" s="1600"/>
      <c r="AA113" s="1600"/>
      <c r="AB113" s="1600"/>
      <c r="AC113" s="1600"/>
      <c r="AD113" s="1600"/>
      <c r="AE113" s="1600"/>
      <c r="AF113" s="1600"/>
      <c r="AG113" s="1600"/>
      <c r="AH113" s="1600"/>
      <c r="AI113" s="1600"/>
      <c r="AJ113" s="1600"/>
      <c r="AK113" s="1600"/>
      <c r="AL113" s="1600"/>
      <c r="AM113" s="1600"/>
      <c r="AN113" s="1600"/>
      <c r="AO113" s="1600"/>
      <c r="AP113" s="1600"/>
      <c r="AQ113" s="1600"/>
      <c r="AR113" s="1600"/>
      <c r="AS113" s="1600"/>
      <c r="AT113" s="1600"/>
      <c r="AU113" s="1600"/>
      <c r="AV113" s="1600"/>
      <c r="AW113" s="1600"/>
      <c r="AX113" s="1600"/>
      <c r="AY113" s="1600"/>
      <c r="AZ113" s="1600"/>
      <c r="BA113" s="1600"/>
      <c r="BB113" s="1600">
        <v>38</v>
      </c>
      <c r="BC113" s="1600"/>
      <c r="BD113" s="1600"/>
      <c r="BE113" s="1600"/>
      <c r="BF113" s="1600"/>
      <c r="BG113" s="1600"/>
      <c r="BH113" s="1600"/>
      <c r="BI113" s="1600"/>
      <c r="BJ113" s="1600"/>
      <c r="BK113" s="1600"/>
      <c r="BL113" s="1600"/>
      <c r="BM113" s="1600"/>
      <c r="BN113" s="1600"/>
      <c r="BO113" s="1600"/>
      <c r="BP113" s="1600"/>
      <c r="BQ113" s="1600"/>
      <c r="BR113" s="1600"/>
      <c r="BS113" s="1600"/>
      <c r="BT113" s="1600"/>
      <c r="BU113" s="1600"/>
      <c r="BV113" s="1600"/>
      <c r="BW113" s="1600"/>
      <c r="BX113" s="1600"/>
      <c r="BY113" s="1600"/>
      <c r="BZ113" s="1600"/>
      <c r="CA113" s="1600"/>
      <c r="CB113" s="1600"/>
      <c r="CC113" s="1600"/>
      <c r="CD113" s="1600"/>
      <c r="CE113" s="1600"/>
      <c r="CF113" s="1600"/>
      <c r="CG113" s="1600"/>
      <c r="CH113" s="1600"/>
      <c r="CI113" s="1600"/>
      <c r="CJ113" s="1600"/>
      <c r="CK113" s="1600"/>
      <c r="CL113" s="1600"/>
      <c r="CM113" s="1600"/>
      <c r="CN113" s="1600"/>
      <c r="CO113" s="1600"/>
      <c r="CP113" s="1600"/>
      <c r="CQ113" s="1600"/>
      <c r="CR113" s="1600"/>
      <c r="CS113" s="1600"/>
      <c r="CT113" s="1600"/>
      <c r="CU113" s="1600"/>
      <c r="CV113" s="1600"/>
      <c r="CW113" s="1600"/>
      <c r="CX113" s="1600"/>
      <c r="CY113" s="1600"/>
      <c r="CZ113" s="1600">
        <v>182</v>
      </c>
      <c r="DA113" s="1600">
        <v>182</v>
      </c>
      <c r="DB113" s="1600"/>
      <c r="DC113" s="1600"/>
      <c r="DD113" s="1600"/>
      <c r="DE113" s="1600"/>
      <c r="DF113" s="1600"/>
      <c r="DG113" s="1600"/>
      <c r="DH113" s="1600"/>
      <c r="DI113" s="1600"/>
      <c r="DJ113" s="1600"/>
      <c r="DK113" s="1600"/>
      <c r="DL113" s="1600"/>
      <c r="DM113" s="1600"/>
      <c r="DN113" s="1600"/>
      <c r="DO113" s="1600"/>
      <c r="DP113" s="1600"/>
      <c r="DQ113" s="1600"/>
      <c r="DR113" s="1600"/>
      <c r="DS113" s="1600"/>
      <c r="DT113" s="1600"/>
      <c r="DU113" s="1600"/>
      <c r="DV113" s="1600"/>
      <c r="DW113" s="1600"/>
      <c r="DX113" s="1600"/>
      <c r="DY113" s="1600"/>
      <c r="DZ113" s="1600"/>
      <c r="EA113" s="1600"/>
      <c r="EB113" s="1600"/>
      <c r="EC113" s="1600"/>
      <c r="ED113" s="1600"/>
      <c r="EE113" s="1600"/>
      <c r="EF113" s="1600"/>
      <c r="EG113" s="1600"/>
      <c r="EH113" s="1600"/>
      <c r="EI113" s="1600"/>
      <c r="EJ113" s="1600"/>
      <c r="EK113" s="1600"/>
      <c r="EL113" s="1600"/>
      <c r="EM113" s="1600"/>
      <c r="EN113" s="1600"/>
      <c r="EO113" s="1600"/>
      <c r="EP113" s="1600"/>
      <c r="EQ113" s="1600"/>
      <c r="ER113" s="1600"/>
      <c r="ES113" s="1600"/>
      <c r="ET113" s="1600"/>
      <c r="EU113" s="1600"/>
      <c r="EV113" s="1600"/>
      <c r="EW113" s="1600"/>
      <c r="EX113" s="1600"/>
      <c r="EY113" s="1600"/>
      <c r="EZ113" s="1600"/>
      <c r="FA113" s="1600"/>
      <c r="FB113" s="1600"/>
      <c r="FC113" s="1600"/>
      <c r="FD113" s="1600"/>
      <c r="FE113" s="1600"/>
      <c r="FF113" s="1600"/>
      <c r="FG113" s="1600"/>
      <c r="FH113" s="1600"/>
      <c r="FI113" s="1600"/>
      <c r="FJ113" s="1600"/>
      <c r="FK113" s="1600">
        <v>182</v>
      </c>
      <c r="FL113" s="1600"/>
      <c r="FM113" s="1600"/>
      <c r="FN113" s="1600"/>
      <c r="FO113" s="1600"/>
      <c r="FP113" s="1600"/>
      <c r="FQ113" s="1600"/>
      <c r="FR113" s="1600"/>
      <c r="FS113" s="1600"/>
      <c r="FT113" s="1600"/>
      <c r="FU113" s="1600"/>
      <c r="FV113" s="1600"/>
      <c r="FW113" s="1600"/>
      <c r="FX113" s="1600"/>
      <c r="FY113" s="1600"/>
      <c r="FZ113" s="1600"/>
      <c r="GA113" s="1600"/>
      <c r="GB113" s="1600"/>
      <c r="GC113" s="1600"/>
      <c r="GD113" s="1600"/>
      <c r="GE113" s="1600"/>
      <c r="GF113" s="1600"/>
      <c r="GG113" s="1600"/>
      <c r="GH113" s="1600"/>
      <c r="GI113" s="1600"/>
      <c r="GJ113" s="1600"/>
      <c r="GK113" s="1600"/>
      <c r="GL113" s="1600"/>
      <c r="GM113" s="1600"/>
      <c r="GN113" s="1600"/>
      <c r="GO113" s="1600"/>
      <c r="GP113" s="1600"/>
      <c r="GQ113" s="1600"/>
      <c r="GR113" s="1600"/>
      <c r="GS113" s="1600"/>
      <c r="GT113" s="1600"/>
      <c r="GU113" s="1600"/>
      <c r="GV113" s="1600"/>
      <c r="GW113" s="1600"/>
      <c r="GX113" s="1600"/>
      <c r="GY113" s="1600"/>
      <c r="GZ113" s="1600"/>
      <c r="HA113" s="1600"/>
      <c r="HB113" s="1600"/>
      <c r="HC113" s="1600"/>
      <c r="HD113" s="1600"/>
      <c r="HE113" s="1600"/>
      <c r="HF113" s="1600"/>
      <c r="HG113" s="1600"/>
      <c r="HH113" s="1600"/>
      <c r="HI113" s="1600"/>
      <c r="HJ113" s="1600"/>
      <c r="HK113" s="1600"/>
      <c r="HL113" s="1600"/>
      <c r="HM113" s="1600"/>
      <c r="HN113" s="1600"/>
      <c r="HO113" s="1600"/>
      <c r="HP113" s="1600"/>
      <c r="HQ113" s="1600"/>
      <c r="HR113" s="1600"/>
      <c r="HS113" s="1600"/>
      <c r="HT113" s="1600"/>
      <c r="HU113" s="1600"/>
      <c r="HV113" s="1600"/>
      <c r="HW113" s="1600"/>
      <c r="HX113" s="1600"/>
      <c r="HY113" s="1600"/>
      <c r="HZ113" s="1600"/>
      <c r="IA113" s="1600"/>
      <c r="IB113" s="1600"/>
      <c r="IC113" s="1600"/>
      <c r="ID113" s="1600"/>
      <c r="IE113" s="1600"/>
      <c r="IF113" s="1600"/>
      <c r="IG113" s="1600"/>
      <c r="IH113" s="1600"/>
      <c r="II113" s="1600"/>
      <c r="IJ113" s="1600"/>
      <c r="IK113" s="1600"/>
      <c r="IL113" s="1600"/>
      <c r="IM113" s="1600"/>
      <c r="IN113" s="1600"/>
      <c r="IO113" s="1600"/>
      <c r="IP113" s="1600"/>
      <c r="IQ113" s="1602"/>
      <c r="IR113" s="1600"/>
      <c r="IS113" s="1600"/>
      <c r="IT113" s="1602"/>
      <c r="IU113" s="1600"/>
      <c r="IV113" s="1600"/>
      <c r="IW113" s="1600"/>
      <c r="IX113" s="1600"/>
      <c r="IY113" s="1600"/>
      <c r="IZ113" s="1600"/>
      <c r="JA113" s="1600"/>
      <c r="JB113" s="1600"/>
      <c r="JC113" s="1600"/>
      <c r="JD113" s="1600"/>
      <c r="JE113" s="1600"/>
      <c r="JF113" s="1600"/>
      <c r="JG113" s="1600"/>
      <c r="JH113" s="1600"/>
      <c r="JI113" s="1602"/>
      <c r="JJ113" s="1600"/>
      <c r="JK113" s="1602"/>
      <c r="JL113" s="1602"/>
      <c r="JM113" s="1602"/>
      <c r="JN113" s="1600"/>
      <c r="JO113" s="1602"/>
      <c r="JP113" s="1602"/>
      <c r="JQ113" s="1603"/>
      <c r="JR113" s="351"/>
      <c r="JS113" s="1400"/>
      <c r="JT113" s="450" t="s">
        <v>2242</v>
      </c>
    </row>
    <row r="114" spans="1:280" ht="12.5" x14ac:dyDescent="0.25">
      <c r="A114" s="1367">
        <v>84</v>
      </c>
      <c r="B114" s="1574" t="str">
        <f t="shared" si="41"/>
        <v/>
      </c>
      <c r="C114" s="1644" t="s">
        <v>3719</v>
      </c>
      <c r="D114" s="1539" t="s">
        <v>3252</v>
      </c>
      <c r="E114" s="1600"/>
      <c r="F114" s="1600"/>
      <c r="G114" s="1600"/>
      <c r="H114" s="1600"/>
      <c r="I114" s="1600"/>
      <c r="J114" s="1600"/>
      <c r="K114" s="1600"/>
      <c r="L114" s="1600"/>
      <c r="M114" s="1600"/>
      <c r="N114" s="1600"/>
      <c r="O114" s="1600"/>
      <c r="P114" s="1600"/>
      <c r="Q114" s="1600"/>
      <c r="R114" s="1600"/>
      <c r="S114" s="1600"/>
      <c r="T114" s="1600"/>
      <c r="U114" s="1600"/>
      <c r="V114" s="1600"/>
      <c r="W114" s="1600"/>
      <c r="X114" s="1600"/>
      <c r="Y114" s="1600"/>
      <c r="Z114" s="1600"/>
      <c r="AA114" s="1600"/>
      <c r="AB114" s="1600"/>
      <c r="AC114" s="1600"/>
      <c r="AD114" s="1600"/>
      <c r="AE114" s="1600"/>
      <c r="AF114" s="1600"/>
      <c r="AG114" s="1600"/>
      <c r="AH114" s="1600"/>
      <c r="AI114" s="1600"/>
      <c r="AJ114" s="1600"/>
      <c r="AK114" s="1600"/>
      <c r="AL114" s="1600"/>
      <c r="AM114" s="1600"/>
      <c r="AN114" s="1600"/>
      <c r="AO114" s="1600"/>
      <c r="AP114" s="1600"/>
      <c r="AQ114" s="1600"/>
      <c r="AR114" s="1600"/>
      <c r="AS114" s="1600"/>
      <c r="AT114" s="1600"/>
      <c r="AU114" s="1600"/>
      <c r="AV114" s="1600"/>
      <c r="AW114" s="1600"/>
      <c r="AX114" s="1600"/>
      <c r="AY114" s="1600"/>
      <c r="AZ114" s="1600"/>
      <c r="BA114" s="1600"/>
      <c r="BB114" s="1600"/>
      <c r="BC114" s="1600"/>
      <c r="BD114" s="1600"/>
      <c r="BE114" s="1600"/>
      <c r="BF114" s="1600"/>
      <c r="BG114" s="1600"/>
      <c r="BH114" s="1600"/>
      <c r="BI114" s="1600"/>
      <c r="BJ114" s="1600"/>
      <c r="BK114" s="1600"/>
      <c r="BL114" s="1600"/>
      <c r="BM114" s="1600"/>
      <c r="BN114" s="1600"/>
      <c r="BO114" s="1600"/>
      <c r="BP114" s="1600"/>
      <c r="BQ114" s="1600"/>
      <c r="BR114" s="1600"/>
      <c r="BS114" s="1600"/>
      <c r="BT114" s="1600"/>
      <c r="BU114" s="1600"/>
      <c r="BV114" s="1600"/>
      <c r="BW114" s="1600"/>
      <c r="BX114" s="1600"/>
      <c r="BY114" s="1600"/>
      <c r="BZ114" s="1600"/>
      <c r="CA114" s="1600"/>
      <c r="CB114" s="1600"/>
      <c r="CC114" s="1600"/>
      <c r="CD114" s="1600"/>
      <c r="CE114" s="1600"/>
      <c r="CF114" s="1600"/>
      <c r="CG114" s="1600"/>
      <c r="CH114" s="1600"/>
      <c r="CI114" s="1600"/>
      <c r="CJ114" s="1600"/>
      <c r="CK114" s="1600"/>
      <c r="CL114" s="1600"/>
      <c r="CM114" s="1600"/>
      <c r="CN114" s="1600"/>
      <c r="CO114" s="1600"/>
      <c r="CP114" s="1600"/>
      <c r="CQ114" s="1600"/>
      <c r="CR114" s="1600"/>
      <c r="CS114" s="1600"/>
      <c r="CT114" s="1600"/>
      <c r="CU114" s="1600"/>
      <c r="CV114" s="1600"/>
      <c r="CW114" s="1600"/>
      <c r="CX114" s="1600"/>
      <c r="CY114" s="1600"/>
      <c r="CZ114" s="1600"/>
      <c r="DA114" s="1600"/>
      <c r="DB114" s="1600"/>
      <c r="DC114" s="1600"/>
      <c r="DD114" s="1600"/>
      <c r="DE114" s="1600"/>
      <c r="DF114" s="1600"/>
      <c r="DG114" s="1600"/>
      <c r="DH114" s="1600"/>
      <c r="DI114" s="1600"/>
      <c r="DJ114" s="1600"/>
      <c r="DK114" s="1600"/>
      <c r="DL114" s="1600"/>
      <c r="DM114" s="1600"/>
      <c r="DN114" s="1600"/>
      <c r="DO114" s="1600"/>
      <c r="DP114" s="1600"/>
      <c r="DQ114" s="1600"/>
      <c r="DR114" s="1600"/>
      <c r="DS114" s="1600"/>
      <c r="DT114" s="1600"/>
      <c r="DU114" s="1600"/>
      <c r="DV114" s="1600"/>
      <c r="DW114" s="1600"/>
      <c r="DX114" s="1600"/>
      <c r="DY114" s="1600"/>
      <c r="DZ114" s="1600"/>
      <c r="EA114" s="1600"/>
      <c r="EB114" s="1600"/>
      <c r="EC114" s="1600"/>
      <c r="ED114" s="1600"/>
      <c r="EE114" s="1600"/>
      <c r="EF114" s="1600"/>
      <c r="EG114" s="1600"/>
      <c r="EH114" s="1600"/>
      <c r="EI114" s="1600"/>
      <c r="EJ114" s="1600"/>
      <c r="EK114" s="1600"/>
      <c r="EL114" s="1600"/>
      <c r="EM114" s="1600"/>
      <c r="EN114" s="1600"/>
      <c r="EO114" s="1600"/>
      <c r="EP114" s="1600"/>
      <c r="EQ114" s="1600"/>
      <c r="ER114" s="1600"/>
      <c r="ES114" s="1600"/>
      <c r="ET114" s="1600"/>
      <c r="EU114" s="1600"/>
      <c r="EV114" s="1600"/>
      <c r="EW114" s="1600"/>
      <c r="EX114" s="1600"/>
      <c r="EY114" s="1600"/>
      <c r="EZ114" s="1600"/>
      <c r="FA114" s="1600"/>
      <c r="FB114" s="1600"/>
      <c r="FC114" s="1600"/>
      <c r="FD114" s="1600"/>
      <c r="FE114" s="1600"/>
      <c r="FF114" s="1600"/>
      <c r="FG114" s="1600"/>
      <c r="FH114" s="1600"/>
      <c r="FI114" s="1600"/>
      <c r="FJ114" s="1600"/>
      <c r="FK114" s="1600"/>
      <c r="FL114" s="1600"/>
      <c r="FM114" s="1600"/>
      <c r="FN114" s="1600"/>
      <c r="FO114" s="1600"/>
      <c r="FP114" s="1600"/>
      <c r="FQ114" s="1600"/>
      <c r="FR114" s="1600"/>
      <c r="FS114" s="1600"/>
      <c r="FT114" s="1600"/>
      <c r="FU114" s="1600"/>
      <c r="FV114" s="1600"/>
      <c r="FW114" s="1600"/>
      <c r="FX114" s="1600"/>
      <c r="FY114" s="1600"/>
      <c r="FZ114" s="1600"/>
      <c r="GA114" s="1600"/>
      <c r="GB114" s="1600"/>
      <c r="GC114" s="1600"/>
      <c r="GD114" s="1600"/>
      <c r="GE114" s="1600"/>
      <c r="GF114" s="1600"/>
      <c r="GG114" s="1600"/>
      <c r="GH114" s="1600"/>
      <c r="GI114" s="1600"/>
      <c r="GJ114" s="1600"/>
      <c r="GK114" s="1600"/>
      <c r="GL114" s="1600"/>
      <c r="GM114" s="1600"/>
      <c r="GN114" s="1600"/>
      <c r="GO114" s="1600"/>
      <c r="GP114" s="1600"/>
      <c r="GQ114" s="1600"/>
      <c r="GR114" s="1600"/>
      <c r="GS114" s="1600"/>
      <c r="GT114" s="1600"/>
      <c r="GU114" s="1600"/>
      <c r="GV114" s="1600"/>
      <c r="GW114" s="1600"/>
      <c r="GX114" s="1600"/>
      <c r="GY114" s="1600"/>
      <c r="GZ114" s="1600"/>
      <c r="HA114" s="1600"/>
      <c r="HB114" s="1600"/>
      <c r="HC114" s="1600"/>
      <c r="HD114" s="1600"/>
      <c r="HE114" s="1600"/>
      <c r="HF114" s="1600"/>
      <c r="HG114" s="1600"/>
      <c r="HH114" s="1600"/>
      <c r="HI114" s="1600"/>
      <c r="HJ114" s="1600"/>
      <c r="HK114" s="1600"/>
      <c r="HL114" s="1600"/>
      <c r="HM114" s="1600"/>
      <c r="HN114" s="1600"/>
      <c r="HO114" s="1600"/>
      <c r="HP114" s="1600"/>
      <c r="HQ114" s="1600"/>
      <c r="HR114" s="1600"/>
      <c r="HS114" s="1600"/>
      <c r="HT114" s="1600"/>
      <c r="HU114" s="1600"/>
      <c r="HV114" s="1600"/>
      <c r="HW114" s="1600"/>
      <c r="HX114" s="1600"/>
      <c r="HY114" s="1600"/>
      <c r="HZ114" s="1600"/>
      <c r="IA114" s="1600"/>
      <c r="IB114" s="1600"/>
      <c r="IC114" s="1600"/>
      <c r="ID114" s="1600"/>
      <c r="IE114" s="1600"/>
      <c r="IF114" s="1600"/>
      <c r="IG114" s="1600"/>
      <c r="IH114" s="1600"/>
      <c r="II114" s="1600"/>
      <c r="IJ114" s="1600"/>
      <c r="IK114" s="1600"/>
      <c r="IL114" s="1600"/>
      <c r="IM114" s="1600"/>
      <c r="IN114" s="1600"/>
      <c r="IO114" s="1600"/>
      <c r="IP114" s="1600"/>
      <c r="IQ114" s="1602"/>
      <c r="IR114" s="1600"/>
      <c r="IS114" s="1600"/>
      <c r="IT114" s="1602"/>
      <c r="IU114" s="1600"/>
      <c r="IV114" s="1600"/>
      <c r="IW114" s="1600"/>
      <c r="IX114" s="1600"/>
      <c r="IY114" s="1600"/>
      <c r="IZ114" s="1600"/>
      <c r="JA114" s="1600"/>
      <c r="JB114" s="1600"/>
      <c r="JC114" s="1600"/>
      <c r="JD114" s="1600"/>
      <c r="JE114" s="1600"/>
      <c r="JF114" s="1600"/>
      <c r="JG114" s="1600"/>
      <c r="JH114" s="1600"/>
      <c r="JI114" s="1602"/>
      <c r="JJ114" s="1600"/>
      <c r="JK114" s="1602"/>
      <c r="JL114" s="1602"/>
      <c r="JM114" s="1602"/>
      <c r="JN114" s="1600"/>
      <c r="JO114" s="1602"/>
      <c r="JP114" s="1602"/>
      <c r="JQ114" s="1603"/>
      <c r="JR114" s="351"/>
      <c r="JS114" s="1400"/>
      <c r="JT114" s="450"/>
    </row>
    <row r="115" spans="1:280" ht="12.5" x14ac:dyDescent="0.25">
      <c r="A115" s="1367">
        <v>85</v>
      </c>
      <c r="B115" s="1574" t="str">
        <f>IF(PS_B_IND&gt;1,IF(HLOOKUP(PS_B_IND-1,FPS_RANGE,A115)="","",HLOOKUP(PS_B_IND-1,FPS_RANGE,A115)),"")</f>
        <v/>
      </c>
      <c r="C115" s="1435" t="s">
        <v>3720</v>
      </c>
      <c r="D115" s="1436" t="s">
        <v>3721</v>
      </c>
      <c r="E115" s="1604"/>
      <c r="F115" s="1604"/>
      <c r="G115" s="1604"/>
      <c r="H115" s="1604"/>
      <c r="I115" s="1604"/>
      <c r="J115" s="1604"/>
      <c r="K115" s="1604"/>
      <c r="L115" s="1604"/>
      <c r="M115" s="1604"/>
      <c r="N115" s="1604"/>
      <c r="O115" s="1604"/>
      <c r="P115" s="1604"/>
      <c r="Q115" s="1604"/>
      <c r="R115" s="1604"/>
      <c r="S115" s="1604"/>
      <c r="T115" s="1604"/>
      <c r="U115" s="1604"/>
      <c r="V115" s="1604"/>
      <c r="W115" s="1604"/>
      <c r="X115" s="1604"/>
      <c r="Y115" s="1604"/>
      <c r="Z115" s="1604"/>
      <c r="AA115" s="1604"/>
      <c r="AB115" s="1604"/>
      <c r="AC115" s="1604"/>
      <c r="AD115" s="1604"/>
      <c r="AE115" s="1604"/>
      <c r="AF115" s="1604"/>
      <c r="AG115" s="1604"/>
      <c r="AH115" s="1604"/>
      <c r="AI115" s="1604"/>
      <c r="AJ115" s="1604"/>
      <c r="AK115" s="1604"/>
      <c r="AL115" s="1604"/>
      <c r="AM115" s="1604"/>
      <c r="AN115" s="1604"/>
      <c r="AO115" s="1604"/>
      <c r="AP115" s="1604"/>
      <c r="AQ115" s="1604"/>
      <c r="AR115" s="1604"/>
      <c r="AS115" s="1604"/>
      <c r="AT115" s="1604"/>
      <c r="AU115" s="1604"/>
      <c r="AV115" s="1604"/>
      <c r="AW115" s="1604"/>
      <c r="AX115" s="1604"/>
      <c r="AY115" s="1604"/>
      <c r="AZ115" s="1604"/>
      <c r="BA115" s="1604"/>
      <c r="BB115" s="1604">
        <f>MAX(0,BB49+BB104+BB112-BB113)</f>
        <v>7547</v>
      </c>
      <c r="BC115" s="1604">
        <f>MAX(0,BC49+BC104+BC112-BC113)</f>
        <v>62952</v>
      </c>
      <c r="BD115" s="1604"/>
      <c r="BE115" s="1604"/>
      <c r="BF115" s="1604"/>
      <c r="BG115" s="1604"/>
      <c r="BH115" s="1604"/>
      <c r="BI115" s="1604"/>
      <c r="BJ115" s="1604"/>
      <c r="BK115" s="1604"/>
      <c r="BL115" s="1604"/>
      <c r="BM115" s="1604"/>
      <c r="BN115" s="1604"/>
      <c r="BO115" s="1604"/>
      <c r="BP115" s="1604"/>
      <c r="BQ115" s="1604"/>
      <c r="BR115" s="1604"/>
      <c r="BS115" s="1604"/>
      <c r="BT115" s="1604"/>
      <c r="BU115" s="1604"/>
      <c r="BV115" s="1604"/>
      <c r="BW115" s="1604"/>
      <c r="BX115" s="1604"/>
      <c r="BY115" s="1604"/>
      <c r="BZ115" s="1604"/>
      <c r="CA115" s="1604"/>
      <c r="CB115" s="1604">
        <f>MAX(0,CB49+CB104+CB112-CB113)</f>
        <v>58425</v>
      </c>
      <c r="CC115" s="1604">
        <f>MAX(0,CC49+CC104+CC112-CC113)</f>
        <v>270977</v>
      </c>
      <c r="CD115" s="1604">
        <f>MAX(0,CD49+CD104+CD112-CD113)</f>
        <v>11597</v>
      </c>
      <c r="CE115" s="1604">
        <f>MAX(0,CE49+CE104+CE112-CE113)</f>
        <v>2035</v>
      </c>
      <c r="CF115" s="1604"/>
      <c r="CG115" s="1604">
        <f>MAX(0,CG49+CG104+CG112-CG113)</f>
        <v>50080</v>
      </c>
      <c r="CH115" s="1604">
        <f>MAX(0,CH49+CH104+CH112-CH113)</f>
        <v>77136</v>
      </c>
      <c r="CI115" s="1604">
        <f>MAX(0,CI49+CI104+CI112-CI113)</f>
        <v>123038</v>
      </c>
      <c r="CJ115" s="1605">
        <f>MAX(0,CJ49+CJ104+CJ112-CJ113)</f>
        <v>252671</v>
      </c>
      <c r="CK115" s="1604">
        <f>MAX(0,CK49+CK104+CK112-CK113)</f>
        <v>30200</v>
      </c>
      <c r="CL115" s="1604"/>
      <c r="CM115" s="1604"/>
      <c r="CN115" s="1604"/>
      <c r="CO115" s="1604"/>
      <c r="CP115" s="1604">
        <f>MAX(0,CP49+CP104+CP112-CP113)</f>
        <v>62583</v>
      </c>
      <c r="CQ115" s="1604"/>
      <c r="CR115" s="1604"/>
      <c r="CS115" s="1604"/>
      <c r="CT115" s="1604"/>
      <c r="CU115" s="1604"/>
      <c r="CV115" s="1604"/>
      <c r="CW115" s="1604"/>
      <c r="CX115" s="1604"/>
      <c r="CY115" s="1604">
        <f>MAX(0,CY49+CY104+CY112-CY113)</f>
        <v>103921</v>
      </c>
      <c r="CZ115" s="1604">
        <f>MAX(0,CZ49+CZ104+CZ112-CZ113)</f>
        <v>210686</v>
      </c>
      <c r="DA115" s="1604">
        <f>MAX(0,DA49+DA104+DA112-DA113)</f>
        <v>210686</v>
      </c>
      <c r="DB115" s="1604"/>
      <c r="DC115" s="1604"/>
      <c r="DD115" s="1604"/>
      <c r="DE115" s="1604"/>
      <c r="DF115" s="1604"/>
      <c r="DG115" s="1604"/>
      <c r="DH115" s="1604">
        <f>MAX(0,DH49+DH104+DH112-DH113)</f>
        <v>0</v>
      </c>
      <c r="DI115" s="1604"/>
      <c r="DJ115" s="1605">
        <f>MAX(0,DJ49+DJ104+DJ112-DJ113)</f>
        <v>10374</v>
      </c>
      <c r="DK115" s="1604"/>
      <c r="DL115" s="1604"/>
      <c r="DM115" s="1605">
        <f>MAX(0,DM49+DM104+DM112-DM113)</f>
        <v>113099</v>
      </c>
      <c r="DN115" s="1604"/>
      <c r="DO115" s="1604"/>
      <c r="DP115" s="1604"/>
      <c r="DQ115" s="1604"/>
      <c r="DR115" s="1604"/>
      <c r="DS115" s="1604"/>
      <c r="DT115" s="1604"/>
      <c r="DU115" s="1604"/>
      <c r="DV115" s="1604"/>
      <c r="DW115" s="1604"/>
      <c r="DX115" s="1605">
        <f>MAX(0,DX49+DX104+DX112-DX113)</f>
        <v>8123.53</v>
      </c>
      <c r="DY115" s="1605">
        <f t="shared" ref="DY115:EI115" si="43">MAX(0,DY49+DY104+DY112-DY113)</f>
        <v>3841</v>
      </c>
      <c r="DZ115" s="1604"/>
      <c r="EA115" s="1604"/>
      <c r="EB115" s="1604"/>
      <c r="EC115" s="1604"/>
      <c r="ED115" s="1604"/>
      <c r="EE115" s="1604"/>
      <c r="EF115" s="1604"/>
      <c r="EG115" s="1604"/>
      <c r="EH115" s="1604">
        <f t="shared" si="43"/>
        <v>12710</v>
      </c>
      <c r="EI115" s="1604">
        <f t="shared" si="43"/>
        <v>22453</v>
      </c>
      <c r="EJ115" s="1604"/>
      <c r="EK115" s="1604"/>
      <c r="EL115" s="1604"/>
      <c r="EM115" s="1604"/>
      <c r="EN115" s="1604"/>
      <c r="EO115" s="1604"/>
      <c r="EP115" s="1604"/>
      <c r="EQ115" s="1604"/>
      <c r="ER115" s="1604"/>
      <c r="ES115" s="1604"/>
      <c r="ET115" s="1604"/>
      <c r="EU115" s="1604"/>
      <c r="EV115" s="1604"/>
      <c r="EW115" s="1604"/>
      <c r="EX115" s="1604"/>
      <c r="EY115" s="1604"/>
      <c r="EZ115" s="1604"/>
      <c r="FA115" s="1604">
        <f>MAX(0,FA49+FA104+FA112-FA113)</f>
        <v>103921</v>
      </c>
      <c r="FB115" s="1604"/>
      <c r="FC115" s="1604"/>
      <c r="FD115" s="1605">
        <f t="shared" ref="FD115:FK115" si="44">MAX(0,FD49+FD104+FD112-FD113)</f>
        <v>1190</v>
      </c>
      <c r="FE115" s="1604"/>
      <c r="FF115" s="1604"/>
      <c r="FG115" s="1604"/>
      <c r="FH115" s="1605">
        <f t="shared" si="44"/>
        <v>1190</v>
      </c>
      <c r="FI115" s="1604"/>
      <c r="FJ115" s="1604"/>
      <c r="FK115" s="1604">
        <f t="shared" si="44"/>
        <v>210686</v>
      </c>
      <c r="FL115" s="1604"/>
      <c r="FM115" s="1604"/>
      <c r="FN115" s="1604"/>
      <c r="FO115" s="1605">
        <f>MAX(0,FO49+FO104+FO112-FO113)</f>
        <v>109826</v>
      </c>
      <c r="FP115" s="1604"/>
      <c r="FQ115" s="1604"/>
      <c r="FR115" s="1604"/>
      <c r="FS115" s="1604"/>
      <c r="FT115" s="1604"/>
      <c r="FU115" s="1604"/>
      <c r="FV115" s="1604">
        <f>MAX(0,FV49+FV104+FV112-FV113)</f>
        <v>73975</v>
      </c>
      <c r="FW115" s="1604"/>
      <c r="FX115" s="1604"/>
      <c r="FY115" s="1604"/>
      <c r="FZ115" s="1604"/>
      <c r="GA115" s="1604"/>
      <c r="GB115" s="1604"/>
      <c r="GC115" s="1604"/>
      <c r="GD115" s="1604"/>
      <c r="GE115" s="1604"/>
      <c r="GF115" s="1604"/>
      <c r="GG115" s="1604"/>
      <c r="GH115" s="1604"/>
      <c r="GI115" s="1604"/>
      <c r="GJ115" s="1604"/>
      <c r="GK115" s="1604"/>
      <c r="GL115" s="1604"/>
      <c r="GM115" s="1604"/>
      <c r="GN115" s="1604"/>
      <c r="GO115" s="1604"/>
      <c r="GP115" s="1604"/>
      <c r="GQ115" s="1604"/>
      <c r="GR115" s="1604"/>
      <c r="GS115" s="1604"/>
      <c r="GT115" s="1604"/>
      <c r="GU115" s="1604"/>
      <c r="GV115" s="1604"/>
      <c r="GW115" s="1604">
        <f>MAX(0,GW49+GW104+GW112-GW113)</f>
        <v>60019</v>
      </c>
      <c r="GX115" s="1604"/>
      <c r="GY115" s="1604">
        <f>MAX(0,GY49+GY104+GY112-GY113)</f>
        <v>11431</v>
      </c>
      <c r="GZ115" s="1604"/>
      <c r="HA115" s="1604"/>
      <c r="HB115" s="1604"/>
      <c r="HC115" s="1604"/>
      <c r="HD115" s="1604"/>
      <c r="HE115" s="1604">
        <f>MAX(0,HE49+HE104+HE112-HE113)</f>
        <v>490000</v>
      </c>
      <c r="HF115" s="1604"/>
      <c r="HG115" s="1604"/>
      <c r="HH115" s="1604"/>
      <c r="HI115" s="1604"/>
      <c r="HJ115" s="1604"/>
      <c r="HK115" s="1604"/>
      <c r="HL115" s="1605">
        <f>MAX(0,HL49+HL104+HL112-HL113)</f>
        <v>348723</v>
      </c>
      <c r="HM115" s="1604"/>
      <c r="HN115" s="1604"/>
      <c r="HO115" s="1604"/>
      <c r="HP115" s="1604"/>
      <c r="HQ115" s="1604"/>
      <c r="HR115" s="1604"/>
      <c r="HS115" s="1604"/>
      <c r="HT115" s="1604"/>
      <c r="HU115" s="1604"/>
      <c r="HV115" s="1604"/>
      <c r="HW115" s="1604"/>
      <c r="HX115" s="1604"/>
      <c r="HY115" s="1604"/>
      <c r="HZ115" s="1604"/>
      <c r="IA115" s="1604"/>
      <c r="IB115" s="1604"/>
      <c r="IC115" s="1604"/>
      <c r="ID115" s="1604"/>
      <c r="IE115" s="1604"/>
      <c r="IF115" s="1604"/>
      <c r="IG115" s="1604"/>
      <c r="IH115" s="1604"/>
      <c r="II115" s="1604"/>
      <c r="IJ115" s="1604"/>
      <c r="IK115" s="1604"/>
      <c r="IL115" s="1604"/>
      <c r="IM115" s="1604"/>
      <c r="IN115" s="1604"/>
      <c r="IO115" s="1604"/>
      <c r="IP115" s="1604"/>
      <c r="IQ115" s="1604">
        <f>MAX(0,IQ49+IQ104+IQ112-IQ113)</f>
        <v>104859</v>
      </c>
      <c r="IR115" s="1604"/>
      <c r="IS115" s="1604"/>
      <c r="IT115" s="1604">
        <f>MAX(0,IT49+IT104+IT112-IT113)</f>
        <v>228329</v>
      </c>
      <c r="IU115" s="1605">
        <f>MAX(0,IU49+IU104+IU112-IU113)</f>
        <v>276</v>
      </c>
      <c r="IV115" s="1604"/>
      <c r="IW115" s="1604"/>
      <c r="IX115" s="1604"/>
      <c r="IY115" s="1604"/>
      <c r="IZ115" s="1604"/>
      <c r="JA115" s="1604"/>
      <c r="JB115" s="1604">
        <f>MAX(0,JB49+JB104+JB112-JB113)</f>
        <v>62952</v>
      </c>
      <c r="JC115" s="1604"/>
      <c r="JD115" s="1604"/>
      <c r="JE115" s="1604"/>
      <c r="JF115" s="1604"/>
      <c r="JG115" s="1604"/>
      <c r="JH115" s="1604"/>
      <c r="JI115" s="2474">
        <f>MAX(0,JI49+JI104+JI112-JI113)</f>
        <v>87710</v>
      </c>
      <c r="JJ115" s="2474"/>
      <c r="JK115" s="2474"/>
      <c r="JL115" s="2474">
        <f>MAX(0,JL49+JL104+JL112-JL113)</f>
        <v>269</v>
      </c>
      <c r="JM115" s="2474">
        <f>MAX(0,JM49+JM104+JM112-JM113)</f>
        <v>5622</v>
      </c>
      <c r="JN115" s="1604"/>
      <c r="JO115" s="1598"/>
      <c r="JP115" s="1598"/>
      <c r="JQ115" s="2475"/>
      <c r="JR115" s="351"/>
      <c r="JS115" s="1400" t="s">
        <v>3722</v>
      </c>
      <c r="JT115" s="450" t="s">
        <v>2224</v>
      </c>
    </row>
    <row r="116" spans="1:280" ht="12.5" x14ac:dyDescent="0.25">
      <c r="A116" s="1367">
        <v>86</v>
      </c>
      <c r="B116" s="1574" t="str">
        <f>IF(PS_B_IND&gt;1,IF(HLOOKUP(PS_B_IND-1,FPS_RANGE,A116)="","",HLOOKUP(PS_B_IND-1,FPS_RANGE,A116)),"")</f>
        <v/>
      </c>
      <c r="C116" s="1644" t="s">
        <v>3723</v>
      </c>
      <c r="D116" s="1539" t="s">
        <v>3252</v>
      </c>
      <c r="E116" s="1604"/>
      <c r="F116" s="1604"/>
      <c r="G116" s="1604"/>
      <c r="H116" s="1604"/>
      <c r="I116" s="1604"/>
      <c r="J116" s="1604"/>
      <c r="K116" s="1604"/>
      <c r="L116" s="1604"/>
      <c r="M116" s="1604"/>
      <c r="N116" s="1604"/>
      <c r="O116" s="1604"/>
      <c r="P116" s="1604"/>
      <c r="Q116" s="1604"/>
      <c r="R116" s="1604"/>
      <c r="S116" s="1604"/>
      <c r="T116" s="1604"/>
      <c r="U116" s="1604"/>
      <c r="V116" s="1604"/>
      <c r="W116" s="1604"/>
      <c r="X116" s="1604"/>
      <c r="Y116" s="1604"/>
      <c r="Z116" s="1604"/>
      <c r="AA116" s="1604"/>
      <c r="AB116" s="1604"/>
      <c r="AC116" s="1604"/>
      <c r="AD116" s="1604"/>
      <c r="AE116" s="1604"/>
      <c r="AF116" s="1604"/>
      <c r="AG116" s="1604"/>
      <c r="AH116" s="1604"/>
      <c r="AI116" s="1604"/>
      <c r="AJ116" s="1604"/>
      <c r="AK116" s="1604"/>
      <c r="AL116" s="1604"/>
      <c r="AM116" s="1604"/>
      <c r="AN116" s="1604"/>
      <c r="AO116" s="1604"/>
      <c r="AP116" s="1604"/>
      <c r="AQ116" s="1604"/>
      <c r="AR116" s="1604"/>
      <c r="AS116" s="1604"/>
      <c r="AT116" s="1604"/>
      <c r="AU116" s="1604"/>
      <c r="AV116" s="1604"/>
      <c r="AW116" s="1604"/>
      <c r="AX116" s="1604"/>
      <c r="AY116" s="1604"/>
      <c r="AZ116" s="1604"/>
      <c r="BA116" s="1604"/>
      <c r="BB116" s="1604"/>
      <c r="BC116" s="1604"/>
      <c r="BD116" s="1604"/>
      <c r="BE116" s="1604"/>
      <c r="BF116" s="1604"/>
      <c r="BG116" s="1604"/>
      <c r="BH116" s="1604"/>
      <c r="BI116" s="1604"/>
      <c r="BJ116" s="1604"/>
      <c r="BK116" s="1604"/>
      <c r="BL116" s="1604"/>
      <c r="BM116" s="1604"/>
      <c r="BN116" s="1604"/>
      <c r="BO116" s="1604"/>
      <c r="BP116" s="1604"/>
      <c r="BQ116" s="1604"/>
      <c r="BR116" s="1604"/>
      <c r="BS116" s="1604"/>
      <c r="BT116" s="1604"/>
      <c r="BU116" s="1604"/>
      <c r="BV116" s="1604"/>
      <c r="BW116" s="1604"/>
      <c r="BX116" s="1604"/>
      <c r="BY116" s="1604"/>
      <c r="BZ116" s="1604"/>
      <c r="CA116" s="1604"/>
      <c r="CB116" s="1604"/>
      <c r="CC116" s="1604"/>
      <c r="CD116" s="1604"/>
      <c r="CE116" s="1604"/>
      <c r="CF116" s="1604"/>
      <c r="CG116" s="1604"/>
      <c r="CH116" s="1604"/>
      <c r="CI116" s="1604"/>
      <c r="CJ116" s="1604"/>
      <c r="CK116" s="1604"/>
      <c r="CL116" s="1604"/>
      <c r="CM116" s="1604"/>
      <c r="CN116" s="1604"/>
      <c r="CO116" s="1604"/>
      <c r="CP116" s="1604"/>
      <c r="CQ116" s="1604"/>
      <c r="CR116" s="1604"/>
      <c r="CS116" s="1604"/>
      <c r="CT116" s="1604"/>
      <c r="CU116" s="1604"/>
      <c r="CV116" s="1604"/>
      <c r="CW116" s="1604"/>
      <c r="CX116" s="1604"/>
      <c r="CY116" s="1604"/>
      <c r="CZ116" s="1604"/>
      <c r="DA116" s="1604"/>
      <c r="DB116" s="1604"/>
      <c r="DC116" s="1604"/>
      <c r="DD116" s="1604"/>
      <c r="DE116" s="1604"/>
      <c r="DF116" s="1604"/>
      <c r="DG116" s="1604"/>
      <c r="DH116" s="1604"/>
      <c r="DI116" s="1604"/>
      <c r="DJ116" s="1604"/>
      <c r="DK116" s="1604"/>
      <c r="DL116" s="1604"/>
      <c r="DM116" s="1604"/>
      <c r="DN116" s="1604"/>
      <c r="DO116" s="1604"/>
      <c r="DP116" s="1604"/>
      <c r="DQ116" s="1604"/>
      <c r="DR116" s="1604"/>
      <c r="DS116" s="1604"/>
      <c r="DT116" s="1604"/>
      <c r="DU116" s="1604"/>
      <c r="DV116" s="1604"/>
      <c r="DW116" s="1604"/>
      <c r="DX116" s="1604"/>
      <c r="DY116" s="1604"/>
      <c r="DZ116" s="1604"/>
      <c r="EA116" s="1604"/>
      <c r="EB116" s="1604"/>
      <c r="EC116" s="1604"/>
      <c r="ED116" s="1604"/>
      <c r="EE116" s="1604"/>
      <c r="EF116" s="1604"/>
      <c r="EG116" s="1604"/>
      <c r="EH116" s="1604"/>
      <c r="EI116" s="1604"/>
      <c r="EJ116" s="1604"/>
      <c r="EK116" s="1604"/>
      <c r="EL116" s="1604"/>
      <c r="EM116" s="1604"/>
      <c r="EN116" s="1604"/>
      <c r="EO116" s="1604"/>
      <c r="EP116" s="1604"/>
      <c r="EQ116" s="1604"/>
      <c r="ER116" s="1604"/>
      <c r="ES116" s="1604"/>
      <c r="ET116" s="1604"/>
      <c r="EU116" s="1604"/>
      <c r="EV116" s="1604"/>
      <c r="EW116" s="1604"/>
      <c r="EX116" s="1604"/>
      <c r="EY116" s="1604"/>
      <c r="EZ116" s="1604"/>
      <c r="FA116" s="1604"/>
      <c r="FB116" s="1604"/>
      <c r="FC116" s="1604"/>
      <c r="FD116" s="1604"/>
      <c r="FE116" s="1604"/>
      <c r="FF116" s="1604"/>
      <c r="FG116" s="1604"/>
      <c r="FH116" s="1604"/>
      <c r="FI116" s="1604"/>
      <c r="FJ116" s="1604"/>
      <c r="FK116" s="1604"/>
      <c r="FL116" s="1604"/>
      <c r="FM116" s="1604"/>
      <c r="FN116" s="1604"/>
      <c r="FO116" s="1604"/>
      <c r="FP116" s="1604"/>
      <c r="FQ116" s="1604"/>
      <c r="FR116" s="1604"/>
      <c r="FS116" s="1604"/>
      <c r="FT116" s="1604"/>
      <c r="FU116" s="1604"/>
      <c r="FV116" s="1604"/>
      <c r="FW116" s="1604"/>
      <c r="FX116" s="1604"/>
      <c r="FY116" s="1604"/>
      <c r="FZ116" s="1604"/>
      <c r="GA116" s="1604"/>
      <c r="GB116" s="1604"/>
      <c r="GC116" s="1604"/>
      <c r="GD116" s="1604"/>
      <c r="GE116" s="1604"/>
      <c r="GF116" s="1604"/>
      <c r="GG116" s="1604"/>
      <c r="GH116" s="1604"/>
      <c r="GI116" s="1604"/>
      <c r="GJ116" s="1604"/>
      <c r="GK116" s="1604"/>
      <c r="GL116" s="1604"/>
      <c r="GM116" s="1604"/>
      <c r="GN116" s="1604"/>
      <c r="GO116" s="1604"/>
      <c r="GP116" s="1604"/>
      <c r="GQ116" s="1604"/>
      <c r="GR116" s="1604"/>
      <c r="GS116" s="1604"/>
      <c r="GT116" s="1604"/>
      <c r="GU116" s="1604"/>
      <c r="GV116" s="1604"/>
      <c r="GW116" s="1604"/>
      <c r="GX116" s="1604"/>
      <c r="GY116" s="1604"/>
      <c r="GZ116" s="1604"/>
      <c r="HA116" s="1604"/>
      <c r="HB116" s="1604"/>
      <c r="HC116" s="1604"/>
      <c r="HD116" s="1604"/>
      <c r="HE116" s="1604"/>
      <c r="HF116" s="1604"/>
      <c r="HG116" s="1604"/>
      <c r="HH116" s="1604"/>
      <c r="HI116" s="1604"/>
      <c r="HJ116" s="1604"/>
      <c r="HK116" s="1604"/>
      <c r="HL116" s="1604"/>
      <c r="HM116" s="1604"/>
      <c r="HN116" s="1604"/>
      <c r="HO116" s="1604"/>
      <c r="HP116" s="1604"/>
      <c r="HQ116" s="1604"/>
      <c r="HR116" s="1604"/>
      <c r="HS116" s="1604"/>
      <c r="HT116" s="1604"/>
      <c r="HU116" s="1604"/>
      <c r="HV116" s="1604"/>
      <c r="HW116" s="1604"/>
      <c r="HX116" s="1604"/>
      <c r="HY116" s="1604"/>
      <c r="HZ116" s="1604"/>
      <c r="IA116" s="1604"/>
      <c r="IB116" s="1604"/>
      <c r="IC116" s="1604"/>
      <c r="ID116" s="1604"/>
      <c r="IE116" s="1604"/>
      <c r="IF116" s="1604"/>
      <c r="IG116" s="1604"/>
      <c r="IH116" s="1604"/>
      <c r="II116" s="1604"/>
      <c r="IJ116" s="1604"/>
      <c r="IK116" s="1604"/>
      <c r="IL116" s="1604"/>
      <c r="IM116" s="1604"/>
      <c r="IN116" s="1604"/>
      <c r="IO116" s="1604"/>
      <c r="IP116" s="1604"/>
      <c r="IQ116" s="1604"/>
      <c r="IR116" s="1604"/>
      <c r="IS116" s="1604"/>
      <c r="IT116" s="1604"/>
      <c r="IU116" s="1604"/>
      <c r="IV116" s="1604"/>
      <c r="IW116" s="1604"/>
      <c r="IX116" s="1604"/>
      <c r="IY116" s="1604"/>
      <c r="IZ116" s="1604"/>
      <c r="JA116" s="1604"/>
      <c r="JB116" s="1604"/>
      <c r="JC116" s="1604"/>
      <c r="JD116" s="1604"/>
      <c r="JE116" s="1604"/>
      <c r="JF116" s="1604"/>
      <c r="JG116" s="1604"/>
      <c r="JH116" s="1604"/>
      <c r="JI116" s="1604"/>
      <c r="JJ116" s="1604"/>
      <c r="JK116" s="1604"/>
      <c r="JL116" s="1604"/>
      <c r="JM116" s="1604"/>
      <c r="JN116" s="1604"/>
      <c r="JO116" s="1604"/>
      <c r="JP116" s="1604"/>
      <c r="JQ116" s="1604"/>
      <c r="JR116" s="351"/>
      <c r="JS116" s="1400"/>
      <c r="JT116" s="450"/>
    </row>
    <row r="117" spans="1:280" ht="12.5" x14ac:dyDescent="0.25">
      <c r="A117" s="1367">
        <v>87</v>
      </c>
      <c r="B117" s="1574" t="str">
        <f t="shared" si="41"/>
        <v/>
      </c>
      <c r="C117" s="1435" t="s">
        <v>3724</v>
      </c>
      <c r="D117" s="1436" t="s">
        <v>3718</v>
      </c>
      <c r="E117" s="1600"/>
      <c r="F117" s="1600"/>
      <c r="G117" s="1600"/>
      <c r="H117" s="1600"/>
      <c r="I117" s="1600"/>
      <c r="J117" s="1600"/>
      <c r="K117" s="1600"/>
      <c r="L117" s="1600"/>
      <c r="M117" s="1600"/>
      <c r="N117" s="1600"/>
      <c r="O117" s="1600"/>
      <c r="P117" s="1600"/>
      <c r="Q117" s="1600"/>
      <c r="R117" s="1600"/>
      <c r="S117" s="1600"/>
      <c r="T117" s="1600"/>
      <c r="U117" s="1600"/>
      <c r="V117" s="1600"/>
      <c r="W117" s="1600"/>
      <c r="X117" s="1600"/>
      <c r="Y117" s="1600"/>
      <c r="Z117" s="1600"/>
      <c r="AA117" s="1600"/>
      <c r="AB117" s="1600"/>
      <c r="AC117" s="1600"/>
      <c r="AD117" s="1600"/>
      <c r="AE117" s="1600"/>
      <c r="AF117" s="1600"/>
      <c r="AG117" s="1600"/>
      <c r="AH117" s="1600"/>
      <c r="AI117" s="1600"/>
      <c r="AJ117" s="1600"/>
      <c r="AK117" s="1600"/>
      <c r="AL117" s="1600"/>
      <c r="AM117" s="1600"/>
      <c r="AN117" s="1600"/>
      <c r="AO117" s="1600"/>
      <c r="AP117" s="1600"/>
      <c r="AQ117" s="1600"/>
      <c r="AR117" s="1600"/>
      <c r="AS117" s="1600"/>
      <c r="AT117" s="1600"/>
      <c r="AU117" s="1600"/>
      <c r="AV117" s="1600"/>
      <c r="AW117" s="1600"/>
      <c r="AX117" s="1600"/>
      <c r="AY117" s="1600"/>
      <c r="AZ117" s="1600"/>
      <c r="BA117" s="1600"/>
      <c r="BB117" s="1600">
        <v>252</v>
      </c>
      <c r="BC117" s="1600">
        <v>219</v>
      </c>
      <c r="BD117" s="1600"/>
      <c r="BE117" s="1600"/>
      <c r="BF117" s="1600"/>
      <c r="BG117" s="1600"/>
      <c r="BH117" s="1600"/>
      <c r="BI117" s="1600"/>
      <c r="BJ117" s="1600"/>
      <c r="BK117" s="1600"/>
      <c r="BL117" s="1600"/>
      <c r="BM117" s="1600"/>
      <c r="BN117" s="1600"/>
      <c r="BO117" s="1600"/>
      <c r="BP117" s="1600"/>
      <c r="BQ117" s="1600"/>
      <c r="BR117" s="1600"/>
      <c r="BS117" s="1600"/>
      <c r="BT117" s="1600"/>
      <c r="BU117" s="1600"/>
      <c r="BV117" s="1600"/>
      <c r="BW117" s="1600"/>
      <c r="BX117" s="1600"/>
      <c r="BY117" s="1600"/>
      <c r="BZ117" s="1600"/>
      <c r="CA117" s="1600"/>
      <c r="CB117" s="1600"/>
      <c r="CC117" s="1600"/>
      <c r="CD117" s="1600"/>
      <c r="CE117" s="1600"/>
      <c r="CF117" s="1600"/>
      <c r="CG117" s="1600"/>
      <c r="CH117" s="1600">
        <v>2792</v>
      </c>
      <c r="CI117" s="1600">
        <v>29</v>
      </c>
      <c r="CJ117" s="1600"/>
      <c r="CK117" s="1600"/>
      <c r="CL117" s="1600"/>
      <c r="CM117" s="1600"/>
      <c r="CN117" s="1600"/>
      <c r="CO117" s="1600"/>
      <c r="CP117" s="1600"/>
      <c r="CQ117" s="1600"/>
      <c r="CR117" s="1600"/>
      <c r="CS117" s="1600"/>
      <c r="CT117" s="1600"/>
      <c r="CU117" s="1600"/>
      <c r="CV117" s="1600"/>
      <c r="CW117" s="1600"/>
      <c r="CX117" s="1600"/>
      <c r="CY117" s="1600"/>
      <c r="CZ117" s="1600">
        <v>11245</v>
      </c>
      <c r="DA117" s="1600">
        <v>11245</v>
      </c>
      <c r="DB117" s="1600"/>
      <c r="DC117" s="1600"/>
      <c r="DD117" s="1600"/>
      <c r="DE117" s="1600"/>
      <c r="DF117" s="1600"/>
      <c r="DG117" s="1600"/>
      <c r="DH117" s="1600"/>
      <c r="DI117" s="1600"/>
      <c r="DJ117" s="1600"/>
      <c r="DK117" s="1600"/>
      <c r="DL117" s="1600"/>
      <c r="DM117" s="1600"/>
      <c r="DN117" s="1600"/>
      <c r="DO117" s="1600"/>
      <c r="DP117" s="1600"/>
      <c r="DQ117" s="1600"/>
      <c r="DR117" s="1600"/>
      <c r="DS117" s="1600"/>
      <c r="DT117" s="1600"/>
      <c r="DU117" s="1600"/>
      <c r="DV117" s="1600"/>
      <c r="DW117" s="1600"/>
      <c r="DX117" s="1600"/>
      <c r="DY117" s="1600"/>
      <c r="DZ117" s="1600"/>
      <c r="EA117" s="1600"/>
      <c r="EB117" s="1600"/>
      <c r="EC117" s="1600"/>
      <c r="ED117" s="1600"/>
      <c r="EE117" s="1600"/>
      <c r="EF117" s="1600"/>
      <c r="EG117" s="1600"/>
      <c r="EH117" s="1600"/>
      <c r="EI117" s="1600"/>
      <c r="EJ117" s="1600"/>
      <c r="EK117" s="1600"/>
      <c r="EL117" s="1600"/>
      <c r="EM117" s="1600"/>
      <c r="EN117" s="1600"/>
      <c r="EO117" s="1600"/>
      <c r="EP117" s="1600"/>
      <c r="EQ117" s="1600"/>
      <c r="ER117" s="1600"/>
      <c r="ES117" s="1600"/>
      <c r="ET117" s="1600"/>
      <c r="EU117" s="1600"/>
      <c r="EV117" s="1600"/>
      <c r="EW117" s="1600"/>
      <c r="EX117" s="1600"/>
      <c r="EY117" s="1600"/>
      <c r="EZ117" s="1600"/>
      <c r="FA117" s="1600"/>
      <c r="FB117" s="1600"/>
      <c r="FC117" s="1600"/>
      <c r="FD117" s="1601">
        <v>911</v>
      </c>
      <c r="FE117" s="1600"/>
      <c r="FF117" s="1600"/>
      <c r="FG117" s="1600"/>
      <c r="FH117" s="1601">
        <v>911</v>
      </c>
      <c r="FI117" s="1600"/>
      <c r="FJ117" s="1600"/>
      <c r="FK117" s="1600">
        <v>11245</v>
      </c>
      <c r="FL117" s="1600"/>
      <c r="FM117" s="1600"/>
      <c r="FN117" s="1600"/>
      <c r="FO117" s="1600"/>
      <c r="FP117" s="1600"/>
      <c r="FQ117" s="1600"/>
      <c r="FR117" s="1600"/>
      <c r="FS117" s="1600"/>
      <c r="FT117" s="1600"/>
      <c r="FU117" s="1600"/>
      <c r="FV117" s="1600">
        <v>219</v>
      </c>
      <c r="FW117" s="1600"/>
      <c r="FX117" s="1600"/>
      <c r="FY117" s="1600"/>
      <c r="FZ117" s="1600"/>
      <c r="GA117" s="1600"/>
      <c r="GB117" s="1600"/>
      <c r="GC117" s="1600"/>
      <c r="GD117" s="1600"/>
      <c r="GE117" s="1600"/>
      <c r="GF117" s="1600"/>
      <c r="GG117" s="1600"/>
      <c r="GH117" s="1600"/>
      <c r="GI117" s="1600"/>
      <c r="GJ117" s="1600"/>
      <c r="GK117" s="1600"/>
      <c r="GL117" s="1600"/>
      <c r="GM117" s="1600"/>
      <c r="GN117" s="1600"/>
      <c r="GO117" s="1600"/>
      <c r="GP117" s="1600"/>
      <c r="GQ117" s="1600"/>
      <c r="GR117" s="1600"/>
      <c r="GS117" s="1600"/>
      <c r="GT117" s="1600"/>
      <c r="GU117" s="1600"/>
      <c r="GV117" s="1600"/>
      <c r="GW117" s="1600">
        <v>219</v>
      </c>
      <c r="GX117" s="1600"/>
      <c r="GY117" s="1600"/>
      <c r="GZ117" s="1600"/>
      <c r="HA117" s="1600"/>
      <c r="HB117" s="1600"/>
      <c r="HC117" s="1600"/>
      <c r="HD117" s="1600"/>
      <c r="HE117" s="1600"/>
      <c r="HF117" s="1600"/>
      <c r="HG117" s="1600"/>
      <c r="HH117" s="1600"/>
      <c r="HI117" s="1600"/>
      <c r="HJ117" s="1600"/>
      <c r="HK117" s="1600"/>
      <c r="HL117" s="1600"/>
      <c r="HM117" s="1600"/>
      <c r="HN117" s="1600"/>
      <c r="HO117" s="1600"/>
      <c r="HP117" s="1600"/>
      <c r="HQ117" s="1600"/>
      <c r="HR117" s="1600"/>
      <c r="HS117" s="1600"/>
      <c r="HT117" s="1600"/>
      <c r="HU117" s="1600"/>
      <c r="HV117" s="1600"/>
      <c r="HW117" s="1600"/>
      <c r="HX117" s="1600"/>
      <c r="HY117" s="1600"/>
      <c r="HZ117" s="1600"/>
      <c r="IA117" s="1600"/>
      <c r="IB117" s="1600"/>
      <c r="IC117" s="1600"/>
      <c r="ID117" s="1600"/>
      <c r="IE117" s="1600"/>
      <c r="IF117" s="1600"/>
      <c r="IG117" s="1600"/>
      <c r="IH117" s="1600"/>
      <c r="II117" s="1600"/>
      <c r="IJ117" s="1600"/>
      <c r="IK117" s="1600"/>
      <c r="IL117" s="1600"/>
      <c r="IM117" s="1600"/>
      <c r="IN117" s="1600"/>
      <c r="IO117" s="1600"/>
      <c r="IP117" s="1600"/>
      <c r="IQ117" s="1602"/>
      <c r="IR117" s="1600"/>
      <c r="IS117" s="1600"/>
      <c r="IT117" s="1602"/>
      <c r="IU117" s="1600"/>
      <c r="IV117" s="1600"/>
      <c r="IW117" s="1600"/>
      <c r="IX117" s="1600"/>
      <c r="IY117" s="1600"/>
      <c r="IZ117" s="1600"/>
      <c r="JA117" s="1600"/>
      <c r="JB117" s="1600">
        <v>219</v>
      </c>
      <c r="JC117" s="1600"/>
      <c r="JD117" s="1600"/>
      <c r="JE117" s="1600"/>
      <c r="JF117" s="1600"/>
      <c r="JG117" s="1600"/>
      <c r="JH117" s="1600"/>
      <c r="JI117" s="1602"/>
      <c r="JJ117" s="1600"/>
      <c r="JK117" s="1602"/>
      <c r="JL117" s="1602"/>
      <c r="JM117" s="1602"/>
      <c r="JN117" s="1602"/>
      <c r="JO117" s="1602"/>
      <c r="JP117" s="1602"/>
      <c r="JQ117" s="1603"/>
      <c r="JR117" s="351"/>
      <c r="JS117" s="1400"/>
      <c r="JT117" s="450" t="s">
        <v>2242</v>
      </c>
    </row>
    <row r="118" spans="1:280" ht="12.5" x14ac:dyDescent="0.25">
      <c r="A118" s="1367">
        <v>88</v>
      </c>
      <c r="B118" s="1574" t="str">
        <f t="shared" si="41"/>
        <v/>
      </c>
      <c r="C118" s="1435" t="s">
        <v>3725</v>
      </c>
      <c r="D118" s="1436" t="s">
        <v>3726</v>
      </c>
      <c r="E118" s="1600"/>
      <c r="F118" s="1600"/>
      <c r="G118" s="1600"/>
      <c r="H118" s="1600"/>
      <c r="I118" s="1600"/>
      <c r="J118" s="1600"/>
      <c r="K118" s="1600"/>
      <c r="L118" s="1600"/>
      <c r="M118" s="1600"/>
      <c r="N118" s="1600"/>
      <c r="O118" s="1600"/>
      <c r="P118" s="1600"/>
      <c r="Q118" s="1600"/>
      <c r="R118" s="1600"/>
      <c r="S118" s="1600"/>
      <c r="T118" s="1600"/>
      <c r="U118" s="1600"/>
      <c r="V118" s="1600"/>
      <c r="W118" s="1600"/>
      <c r="X118" s="1600"/>
      <c r="Y118" s="1600"/>
      <c r="Z118" s="1600"/>
      <c r="AA118" s="1600"/>
      <c r="AB118" s="1600"/>
      <c r="AC118" s="1600"/>
      <c r="AD118" s="1600"/>
      <c r="AE118" s="1600"/>
      <c r="AF118" s="1600"/>
      <c r="AG118" s="1600"/>
      <c r="AH118" s="1600"/>
      <c r="AI118" s="1600"/>
      <c r="AJ118" s="1600"/>
      <c r="AK118" s="1600"/>
      <c r="AL118" s="1600"/>
      <c r="AM118" s="1600"/>
      <c r="AN118" s="1600"/>
      <c r="AO118" s="1600"/>
      <c r="AP118" s="1600"/>
      <c r="AQ118" s="1600"/>
      <c r="AR118" s="1600"/>
      <c r="AS118" s="1600"/>
      <c r="AT118" s="1600"/>
      <c r="AU118" s="1600"/>
      <c r="AV118" s="1600"/>
      <c r="AW118" s="1600"/>
      <c r="AX118" s="1600"/>
      <c r="AY118" s="1600"/>
      <c r="AZ118" s="1600"/>
      <c r="BA118" s="1600"/>
      <c r="BB118" s="1600"/>
      <c r="BC118" s="1600"/>
      <c r="BD118" s="1600"/>
      <c r="BE118" s="1600"/>
      <c r="BF118" s="1600"/>
      <c r="BG118" s="1600"/>
      <c r="BH118" s="1600"/>
      <c r="BI118" s="1600"/>
      <c r="BJ118" s="1600"/>
      <c r="BK118" s="1600"/>
      <c r="BL118" s="1600"/>
      <c r="BM118" s="1600"/>
      <c r="BN118" s="1600"/>
      <c r="BO118" s="1600"/>
      <c r="BP118" s="1600"/>
      <c r="BQ118" s="1600"/>
      <c r="BR118" s="1600"/>
      <c r="BS118" s="1600"/>
      <c r="BT118" s="1600"/>
      <c r="BU118" s="1600"/>
      <c r="BV118" s="1600"/>
      <c r="BW118" s="1600"/>
      <c r="BX118" s="1600"/>
      <c r="BY118" s="1600"/>
      <c r="BZ118" s="1600"/>
      <c r="CA118" s="1600"/>
      <c r="CB118" s="1600"/>
      <c r="CC118" s="1600"/>
      <c r="CD118" s="1600"/>
      <c r="CE118" s="1600"/>
      <c r="CF118" s="1600"/>
      <c r="CG118" s="1600"/>
      <c r="CH118" s="1600"/>
      <c r="CI118" s="1600"/>
      <c r="CJ118" s="1600"/>
      <c r="CK118" s="1600"/>
      <c r="CL118" s="1600"/>
      <c r="CM118" s="1600"/>
      <c r="CN118" s="1600"/>
      <c r="CO118" s="1600"/>
      <c r="CP118" s="1600"/>
      <c r="CQ118" s="1600"/>
      <c r="CR118" s="1600"/>
      <c r="CS118" s="1600"/>
      <c r="CT118" s="1600"/>
      <c r="CU118" s="1600"/>
      <c r="CV118" s="1600"/>
      <c r="CW118" s="1600"/>
      <c r="CX118" s="1600"/>
      <c r="CY118" s="1600"/>
      <c r="CZ118" s="1600">
        <v>8670</v>
      </c>
      <c r="DA118" s="1600">
        <v>8670</v>
      </c>
      <c r="DB118" s="1600"/>
      <c r="DC118" s="1600"/>
      <c r="DD118" s="1600"/>
      <c r="DE118" s="1600"/>
      <c r="DF118" s="1600"/>
      <c r="DG118" s="1600"/>
      <c r="DH118" s="1600"/>
      <c r="DI118" s="1600"/>
      <c r="DJ118" s="1600"/>
      <c r="DK118" s="1600"/>
      <c r="DL118" s="1600"/>
      <c r="DM118" s="1600"/>
      <c r="DN118" s="1600"/>
      <c r="DO118" s="1600"/>
      <c r="DP118" s="1600"/>
      <c r="DQ118" s="1600"/>
      <c r="DR118" s="1600"/>
      <c r="DS118" s="1600"/>
      <c r="DT118" s="1600"/>
      <c r="DU118" s="1600"/>
      <c r="DV118" s="1600"/>
      <c r="DW118" s="1600"/>
      <c r="DX118" s="1600"/>
      <c r="DY118" s="1600"/>
      <c r="DZ118" s="1600"/>
      <c r="EA118" s="1600"/>
      <c r="EB118" s="1600"/>
      <c r="EC118" s="1600"/>
      <c r="ED118" s="1600"/>
      <c r="EE118" s="1600"/>
      <c r="EF118" s="1600"/>
      <c r="EG118" s="1600"/>
      <c r="EH118" s="1600"/>
      <c r="EI118" s="1600"/>
      <c r="EJ118" s="1600"/>
      <c r="EK118" s="1600"/>
      <c r="EL118" s="1600"/>
      <c r="EM118" s="1600"/>
      <c r="EN118" s="1600"/>
      <c r="EO118" s="1600"/>
      <c r="EP118" s="1600"/>
      <c r="EQ118" s="1600"/>
      <c r="ER118" s="1600"/>
      <c r="ES118" s="1600"/>
      <c r="ET118" s="1600"/>
      <c r="EU118" s="1600"/>
      <c r="EV118" s="1600"/>
      <c r="EW118" s="1600"/>
      <c r="EX118" s="1600"/>
      <c r="EY118" s="1600"/>
      <c r="EZ118" s="1600"/>
      <c r="FA118" s="1600"/>
      <c r="FB118" s="1600"/>
      <c r="FC118" s="1600"/>
      <c r="FD118" s="1600"/>
      <c r="FE118" s="1600"/>
      <c r="FF118" s="1600"/>
      <c r="FG118" s="1600"/>
      <c r="FH118" s="1600"/>
      <c r="FI118" s="1600"/>
      <c r="FJ118" s="1600"/>
      <c r="FK118" s="1600">
        <v>8670</v>
      </c>
      <c r="FL118" s="1600"/>
      <c r="FM118" s="1600"/>
      <c r="FN118" s="1600"/>
      <c r="FO118" s="1600"/>
      <c r="FP118" s="1600"/>
      <c r="FQ118" s="1600"/>
      <c r="FR118" s="1600"/>
      <c r="FS118" s="1600"/>
      <c r="FT118" s="1600"/>
      <c r="FU118" s="1600"/>
      <c r="FV118" s="1600"/>
      <c r="FW118" s="1600"/>
      <c r="FX118" s="1600"/>
      <c r="FY118" s="1600"/>
      <c r="FZ118" s="1600"/>
      <c r="GA118" s="1600"/>
      <c r="GB118" s="1600"/>
      <c r="GC118" s="1600"/>
      <c r="GD118" s="1600"/>
      <c r="GE118" s="1600"/>
      <c r="GF118" s="1600"/>
      <c r="GG118" s="1600"/>
      <c r="GH118" s="1600"/>
      <c r="GI118" s="1600"/>
      <c r="GJ118" s="1600"/>
      <c r="GK118" s="1600"/>
      <c r="GL118" s="1600"/>
      <c r="GM118" s="1600"/>
      <c r="GN118" s="1600"/>
      <c r="GO118" s="1600"/>
      <c r="GP118" s="1600"/>
      <c r="GQ118" s="1600"/>
      <c r="GR118" s="1600"/>
      <c r="GS118" s="1600"/>
      <c r="GT118" s="1600"/>
      <c r="GU118" s="1600"/>
      <c r="GV118" s="1600"/>
      <c r="GW118" s="1600"/>
      <c r="GX118" s="1600"/>
      <c r="GY118" s="1600"/>
      <c r="GZ118" s="1600"/>
      <c r="HA118" s="1600"/>
      <c r="HB118" s="1600"/>
      <c r="HC118" s="1600"/>
      <c r="HD118" s="1600"/>
      <c r="HE118" s="1600"/>
      <c r="HF118" s="1600"/>
      <c r="HG118" s="1600"/>
      <c r="HH118" s="1600"/>
      <c r="HI118" s="1600"/>
      <c r="HJ118" s="1600"/>
      <c r="HK118" s="1600"/>
      <c r="HL118" s="1600"/>
      <c r="HM118" s="1600"/>
      <c r="HN118" s="1600"/>
      <c r="HO118" s="1600"/>
      <c r="HP118" s="1600"/>
      <c r="HQ118" s="1600"/>
      <c r="HR118" s="1600"/>
      <c r="HS118" s="1600"/>
      <c r="HT118" s="1600"/>
      <c r="HU118" s="1600"/>
      <c r="HV118" s="1600"/>
      <c r="HW118" s="1600"/>
      <c r="HX118" s="1600"/>
      <c r="HY118" s="1600"/>
      <c r="HZ118" s="1600"/>
      <c r="IA118" s="1600"/>
      <c r="IB118" s="1600"/>
      <c r="IC118" s="1600"/>
      <c r="ID118" s="1600"/>
      <c r="IE118" s="1600"/>
      <c r="IF118" s="1600"/>
      <c r="IG118" s="1600"/>
      <c r="IH118" s="1600"/>
      <c r="II118" s="1600"/>
      <c r="IJ118" s="1600"/>
      <c r="IK118" s="1600"/>
      <c r="IL118" s="1600"/>
      <c r="IM118" s="1600"/>
      <c r="IN118" s="1600"/>
      <c r="IO118" s="1600"/>
      <c r="IP118" s="1600"/>
      <c r="IQ118" s="1602"/>
      <c r="IR118" s="1600"/>
      <c r="IS118" s="1600"/>
      <c r="IT118" s="1602"/>
      <c r="IU118" s="1600"/>
      <c r="IV118" s="1600"/>
      <c r="IW118" s="1600"/>
      <c r="IX118" s="1600"/>
      <c r="IY118" s="1600"/>
      <c r="IZ118" s="1600"/>
      <c r="JA118" s="1600"/>
      <c r="JB118" s="1600"/>
      <c r="JC118" s="1600"/>
      <c r="JD118" s="1600"/>
      <c r="JE118" s="1600"/>
      <c r="JF118" s="1600"/>
      <c r="JG118" s="1600"/>
      <c r="JH118" s="1600"/>
      <c r="JI118" s="1602"/>
      <c r="JJ118" s="1600"/>
      <c r="JK118" s="1602"/>
      <c r="JL118" s="1602"/>
      <c r="JM118" s="1602"/>
      <c r="JN118" s="1602"/>
      <c r="JO118" s="1602"/>
      <c r="JP118" s="1602"/>
      <c r="JQ118" s="1603"/>
      <c r="JR118" s="351"/>
      <c r="JS118" s="1400"/>
      <c r="JT118" s="450" t="s">
        <v>2242</v>
      </c>
    </row>
    <row r="119" spans="1:280" ht="12.5" x14ac:dyDescent="0.25">
      <c r="A119" s="1367">
        <v>89</v>
      </c>
      <c r="B119" s="1574" t="str">
        <f t="shared" si="41"/>
        <v/>
      </c>
      <c r="C119" s="1435" t="s">
        <v>3727</v>
      </c>
      <c r="D119" s="1436" t="s">
        <v>3728</v>
      </c>
      <c r="E119" s="1600"/>
      <c r="F119" s="1600"/>
      <c r="G119" s="1600"/>
      <c r="H119" s="1600"/>
      <c r="I119" s="1600"/>
      <c r="J119" s="1600"/>
      <c r="K119" s="1600"/>
      <c r="L119" s="1600"/>
      <c r="M119" s="1600"/>
      <c r="N119" s="1600"/>
      <c r="O119" s="1600"/>
      <c r="P119" s="1600"/>
      <c r="Q119" s="1600"/>
      <c r="R119" s="1600"/>
      <c r="S119" s="1600"/>
      <c r="T119" s="1600"/>
      <c r="U119" s="1600"/>
      <c r="V119" s="1600"/>
      <c r="W119" s="1600"/>
      <c r="X119" s="1600"/>
      <c r="Y119" s="1600"/>
      <c r="Z119" s="1600"/>
      <c r="AA119" s="1600"/>
      <c r="AB119" s="1600"/>
      <c r="AC119" s="1600"/>
      <c r="AD119" s="1600"/>
      <c r="AE119" s="1600"/>
      <c r="AF119" s="1600"/>
      <c r="AG119" s="1600"/>
      <c r="AH119" s="1600"/>
      <c r="AI119" s="1600"/>
      <c r="AJ119" s="1600"/>
      <c r="AK119" s="1600"/>
      <c r="AL119" s="1600"/>
      <c r="AM119" s="1600"/>
      <c r="AN119" s="1600"/>
      <c r="AO119" s="1600"/>
      <c r="AP119" s="1600"/>
      <c r="AQ119" s="1600"/>
      <c r="AR119" s="1600"/>
      <c r="AS119" s="1600"/>
      <c r="AT119" s="1600"/>
      <c r="AU119" s="1600"/>
      <c r="AV119" s="1600"/>
      <c r="AW119" s="1600"/>
      <c r="AX119" s="1600"/>
      <c r="AY119" s="1600"/>
      <c r="AZ119" s="1600"/>
      <c r="BA119" s="1600"/>
      <c r="BB119" s="1600"/>
      <c r="BC119" s="1600"/>
      <c r="BD119" s="1600"/>
      <c r="BE119" s="1600"/>
      <c r="BF119" s="1600"/>
      <c r="BG119" s="1600"/>
      <c r="BH119" s="1600"/>
      <c r="BI119" s="1600"/>
      <c r="BJ119" s="1600"/>
      <c r="BK119" s="1600"/>
      <c r="BL119" s="1600"/>
      <c r="BM119" s="1600"/>
      <c r="BN119" s="1600"/>
      <c r="BO119" s="1600"/>
      <c r="BP119" s="1600"/>
      <c r="BQ119" s="1600"/>
      <c r="BR119" s="1600"/>
      <c r="BS119" s="1600"/>
      <c r="BT119" s="1600"/>
      <c r="BU119" s="1600"/>
      <c r="BV119" s="1600"/>
      <c r="BW119" s="1600"/>
      <c r="BX119" s="1600"/>
      <c r="BY119" s="1600"/>
      <c r="BZ119" s="1600"/>
      <c r="CA119" s="1600"/>
      <c r="CB119" s="1600"/>
      <c r="CC119" s="1600"/>
      <c r="CD119" s="1600"/>
      <c r="CE119" s="1600"/>
      <c r="CF119" s="1600"/>
      <c r="CG119" s="1600"/>
      <c r="CH119" s="1600"/>
      <c r="CI119" s="1600"/>
      <c r="CJ119" s="1600"/>
      <c r="CK119" s="1600"/>
      <c r="CL119" s="1600"/>
      <c r="CM119" s="1600"/>
      <c r="CN119" s="1600"/>
      <c r="CO119" s="1600"/>
      <c r="CP119" s="1600"/>
      <c r="CQ119" s="1600"/>
      <c r="CR119" s="1600"/>
      <c r="CS119" s="1600"/>
      <c r="CT119" s="1600"/>
      <c r="CU119" s="1600"/>
      <c r="CV119" s="1600"/>
      <c r="CW119" s="1600"/>
      <c r="CX119" s="1600"/>
      <c r="CY119" s="1600">
        <v>1267</v>
      </c>
      <c r="CZ119" s="1600"/>
      <c r="DA119" s="1600"/>
      <c r="DB119" s="1600"/>
      <c r="DC119" s="1600"/>
      <c r="DD119" s="1600"/>
      <c r="DE119" s="1600"/>
      <c r="DF119" s="1600"/>
      <c r="DG119" s="1600"/>
      <c r="DH119" s="1600"/>
      <c r="DI119" s="1600"/>
      <c r="DJ119" s="1600"/>
      <c r="DK119" s="1600"/>
      <c r="DL119" s="1600"/>
      <c r="DM119" s="1600">
        <v>1267</v>
      </c>
      <c r="DN119" s="1600"/>
      <c r="DO119" s="1600"/>
      <c r="DP119" s="1600"/>
      <c r="DQ119" s="1600"/>
      <c r="DR119" s="1600"/>
      <c r="DS119" s="1600"/>
      <c r="DT119" s="1600"/>
      <c r="DU119" s="1600"/>
      <c r="DV119" s="1600"/>
      <c r="DW119" s="1600"/>
      <c r="DX119" s="1600"/>
      <c r="DY119" s="1600"/>
      <c r="DZ119" s="1600"/>
      <c r="EA119" s="1600"/>
      <c r="EB119" s="1600"/>
      <c r="EC119" s="1600"/>
      <c r="ED119" s="1600"/>
      <c r="EE119" s="1600"/>
      <c r="EF119" s="1600"/>
      <c r="EG119" s="1600"/>
      <c r="EH119" s="1600"/>
      <c r="EI119" s="1600"/>
      <c r="EJ119" s="1600"/>
      <c r="EK119" s="1600"/>
      <c r="EL119" s="1600"/>
      <c r="EM119" s="1600"/>
      <c r="EN119" s="1600"/>
      <c r="EO119" s="1600"/>
      <c r="EP119" s="1600"/>
      <c r="EQ119" s="1600"/>
      <c r="ER119" s="1600"/>
      <c r="ES119" s="1600"/>
      <c r="ET119" s="1600"/>
      <c r="EU119" s="1600"/>
      <c r="EV119" s="1600"/>
      <c r="EW119" s="1600"/>
      <c r="EX119" s="1600"/>
      <c r="EY119" s="1600"/>
      <c r="EZ119" s="1600"/>
      <c r="FA119" s="1600">
        <v>1267</v>
      </c>
      <c r="FB119" s="1600"/>
      <c r="FC119" s="1600"/>
      <c r="FD119" s="1600"/>
      <c r="FE119" s="1600"/>
      <c r="FF119" s="1600"/>
      <c r="FG119" s="1600"/>
      <c r="FH119" s="1600"/>
      <c r="FI119" s="1600"/>
      <c r="FJ119" s="1600"/>
      <c r="FK119" s="1600"/>
      <c r="FL119" s="1600"/>
      <c r="FM119" s="1600"/>
      <c r="FN119" s="1600"/>
      <c r="FO119" s="1600"/>
      <c r="FP119" s="1600"/>
      <c r="FQ119" s="1600"/>
      <c r="FR119" s="1600"/>
      <c r="FS119" s="1600"/>
      <c r="FT119" s="1600"/>
      <c r="FU119" s="1600"/>
      <c r="FV119" s="1600"/>
      <c r="FW119" s="1600"/>
      <c r="FX119" s="1600"/>
      <c r="FY119" s="1600"/>
      <c r="FZ119" s="1600"/>
      <c r="GA119" s="1600"/>
      <c r="GB119" s="1600"/>
      <c r="GC119" s="1600"/>
      <c r="GD119" s="1600"/>
      <c r="GE119" s="1600"/>
      <c r="GF119" s="1600"/>
      <c r="GG119" s="1600"/>
      <c r="GH119" s="1600"/>
      <c r="GI119" s="1600"/>
      <c r="GJ119" s="1600"/>
      <c r="GK119" s="1600"/>
      <c r="GL119" s="1600"/>
      <c r="GM119" s="1600"/>
      <c r="GN119" s="1600"/>
      <c r="GO119" s="1600"/>
      <c r="GP119" s="1600"/>
      <c r="GQ119" s="1600"/>
      <c r="GR119" s="1600"/>
      <c r="GS119" s="1600"/>
      <c r="GT119" s="1600"/>
      <c r="GU119" s="1600"/>
      <c r="GV119" s="1600"/>
      <c r="GW119" s="1600"/>
      <c r="GX119" s="1600"/>
      <c r="GY119" s="1600"/>
      <c r="GZ119" s="1600"/>
      <c r="HA119" s="1600"/>
      <c r="HB119" s="1600"/>
      <c r="HC119" s="1600"/>
      <c r="HD119" s="1600"/>
      <c r="HE119" s="1600"/>
      <c r="HF119" s="1600"/>
      <c r="HG119" s="1600"/>
      <c r="HH119" s="1600"/>
      <c r="HI119" s="1600"/>
      <c r="HJ119" s="1600"/>
      <c r="HK119" s="1600"/>
      <c r="HL119" s="1600"/>
      <c r="HM119" s="1600"/>
      <c r="HN119" s="1600"/>
      <c r="HO119" s="1600"/>
      <c r="HP119" s="1600"/>
      <c r="HQ119" s="1600"/>
      <c r="HR119" s="1600"/>
      <c r="HS119" s="1600"/>
      <c r="HT119" s="1600"/>
      <c r="HU119" s="1600"/>
      <c r="HV119" s="1600"/>
      <c r="HW119" s="1600"/>
      <c r="HX119" s="1600"/>
      <c r="HY119" s="1600"/>
      <c r="HZ119" s="1600"/>
      <c r="IA119" s="1600"/>
      <c r="IB119" s="1600"/>
      <c r="IC119" s="1600"/>
      <c r="ID119" s="1600"/>
      <c r="IE119" s="1600"/>
      <c r="IF119" s="1600"/>
      <c r="IG119" s="1600"/>
      <c r="IH119" s="1600"/>
      <c r="II119" s="1600"/>
      <c r="IJ119" s="1600"/>
      <c r="IK119" s="1600"/>
      <c r="IL119" s="1600"/>
      <c r="IM119" s="1600"/>
      <c r="IN119" s="1600"/>
      <c r="IO119" s="1600"/>
      <c r="IP119" s="1600"/>
      <c r="IQ119" s="1602"/>
      <c r="IR119" s="1600"/>
      <c r="IS119" s="1600"/>
      <c r="IT119" s="1602"/>
      <c r="IU119" s="1600"/>
      <c r="IV119" s="1600"/>
      <c r="IW119" s="1600"/>
      <c r="IX119" s="1600"/>
      <c r="IY119" s="1600"/>
      <c r="IZ119" s="1600"/>
      <c r="JA119" s="1600"/>
      <c r="JB119" s="1600"/>
      <c r="JC119" s="1600"/>
      <c r="JD119" s="1600"/>
      <c r="JE119" s="1600"/>
      <c r="JF119" s="1600"/>
      <c r="JG119" s="1600"/>
      <c r="JH119" s="1600"/>
      <c r="JI119" s="1602"/>
      <c r="JJ119" s="1600"/>
      <c r="JK119" s="1602"/>
      <c r="JL119" s="1602"/>
      <c r="JM119" s="1602"/>
      <c r="JN119" s="1602"/>
      <c r="JO119" s="1602"/>
      <c r="JP119" s="1602"/>
      <c r="JQ119" s="1603"/>
      <c r="JR119" s="351"/>
      <c r="JS119" s="1400"/>
      <c r="JT119" s="450" t="s">
        <v>2242</v>
      </c>
    </row>
    <row r="120" spans="1:280" ht="13" thickBot="1" x14ac:dyDescent="0.3">
      <c r="A120" s="1367">
        <v>90</v>
      </c>
      <c r="B120" s="1574" t="str">
        <f>IF(PS_B_IND&gt;1,IF(HLOOKUP(PS_B_IND-1,FPS_RANGE,A120)="","",HLOOKUP(PS_B_IND-1,FPS_RANGE,A120)),"")</f>
        <v/>
      </c>
      <c r="C120" s="721" t="s">
        <v>3729</v>
      </c>
      <c r="D120" s="722" t="s">
        <v>3730</v>
      </c>
      <c r="E120" s="738"/>
      <c r="F120" s="738"/>
      <c r="G120" s="738"/>
      <c r="H120" s="738"/>
      <c r="I120" s="738"/>
      <c r="J120" s="738"/>
      <c r="K120" s="738"/>
      <c r="L120" s="738"/>
      <c r="M120" s="738"/>
      <c r="N120" s="738"/>
      <c r="O120" s="738"/>
      <c r="P120" s="738"/>
      <c r="Q120" s="738"/>
      <c r="R120" s="738"/>
      <c r="S120" s="738"/>
      <c r="T120" s="738"/>
      <c r="U120" s="738"/>
      <c r="V120" s="738"/>
      <c r="W120" s="738"/>
      <c r="X120" s="738"/>
      <c r="Y120" s="738"/>
      <c r="Z120" s="738"/>
      <c r="AA120" s="738"/>
      <c r="AB120" s="738"/>
      <c r="AC120" s="738"/>
      <c r="AD120" s="738"/>
      <c r="AE120" s="738"/>
      <c r="AF120" s="738"/>
      <c r="AG120" s="738"/>
      <c r="AH120" s="738"/>
      <c r="AI120" s="738"/>
      <c r="AJ120" s="738"/>
      <c r="AK120" s="738"/>
      <c r="AL120" s="738"/>
      <c r="AM120" s="738"/>
      <c r="AN120" s="738"/>
      <c r="AO120" s="738"/>
      <c r="AP120" s="738"/>
      <c r="AQ120" s="738"/>
      <c r="AR120" s="738"/>
      <c r="AS120" s="738"/>
      <c r="AT120" s="738"/>
      <c r="AU120" s="738"/>
      <c r="AV120" s="738"/>
      <c r="AW120" s="738"/>
      <c r="AX120" s="738"/>
      <c r="AY120" s="738"/>
      <c r="AZ120" s="738"/>
      <c r="BA120" s="738"/>
      <c r="BB120" s="738">
        <f>BB117+BB118+BB119</f>
        <v>252</v>
      </c>
      <c r="BC120" s="738">
        <f>BC117+BC118+BC119</f>
        <v>219</v>
      </c>
      <c r="BD120" s="738"/>
      <c r="BE120" s="738"/>
      <c r="BF120" s="738"/>
      <c r="BG120" s="738"/>
      <c r="BH120" s="738"/>
      <c r="BI120" s="738"/>
      <c r="BJ120" s="738"/>
      <c r="BK120" s="738"/>
      <c r="BL120" s="738"/>
      <c r="BM120" s="738"/>
      <c r="BN120" s="738"/>
      <c r="BO120" s="738"/>
      <c r="BP120" s="738"/>
      <c r="BQ120" s="738"/>
      <c r="BR120" s="738"/>
      <c r="BS120" s="738"/>
      <c r="BT120" s="738"/>
      <c r="BU120" s="738"/>
      <c r="BV120" s="738"/>
      <c r="BW120" s="738"/>
      <c r="BX120" s="738"/>
      <c r="BY120" s="738"/>
      <c r="BZ120" s="738"/>
      <c r="CA120" s="738"/>
      <c r="CB120" s="738"/>
      <c r="CC120" s="738"/>
      <c r="CD120" s="738"/>
      <c r="CE120" s="738"/>
      <c r="CF120" s="738"/>
      <c r="CG120" s="738"/>
      <c r="CH120" s="738">
        <v>2792</v>
      </c>
      <c r="CI120" s="738">
        <v>29</v>
      </c>
      <c r="CJ120" s="738"/>
      <c r="CK120" s="738"/>
      <c r="CL120" s="738"/>
      <c r="CM120" s="738"/>
      <c r="CN120" s="738"/>
      <c r="CO120" s="738"/>
      <c r="CP120" s="738">
        <f>CP117+CP118+CP119</f>
        <v>0</v>
      </c>
      <c r="CQ120" s="738"/>
      <c r="CR120" s="738"/>
      <c r="CS120" s="738"/>
      <c r="CT120" s="738"/>
      <c r="CU120" s="738"/>
      <c r="CV120" s="738"/>
      <c r="CW120" s="738"/>
      <c r="CX120" s="738"/>
      <c r="CY120" s="738">
        <f>CY117+CY118+CY119</f>
        <v>1267</v>
      </c>
      <c r="CZ120" s="738">
        <f>CZ117+CZ118+CZ119</f>
        <v>19915</v>
      </c>
      <c r="DA120" s="738">
        <f>DA117+DA118+DA119</f>
        <v>19915</v>
      </c>
      <c r="DB120" s="738"/>
      <c r="DC120" s="738"/>
      <c r="DD120" s="738"/>
      <c r="DE120" s="738"/>
      <c r="DF120" s="738"/>
      <c r="DG120" s="738"/>
      <c r="DH120" s="738"/>
      <c r="DI120" s="738"/>
      <c r="DJ120" s="738">
        <f>DJ117+DJ118+DJ119</f>
        <v>0</v>
      </c>
      <c r="DK120" s="738"/>
      <c r="DL120" s="738"/>
      <c r="DM120" s="738">
        <f>DM117+DM118+DM119</f>
        <v>1267</v>
      </c>
      <c r="DN120" s="738"/>
      <c r="DO120" s="738"/>
      <c r="DP120" s="738"/>
      <c r="DQ120" s="738"/>
      <c r="DR120" s="738"/>
      <c r="DS120" s="738"/>
      <c r="DT120" s="738"/>
      <c r="DU120" s="738"/>
      <c r="DV120" s="738"/>
      <c r="DW120" s="738"/>
      <c r="DX120" s="738"/>
      <c r="DY120" s="738"/>
      <c r="DZ120" s="738"/>
      <c r="EA120" s="738"/>
      <c r="EB120" s="738"/>
      <c r="EC120" s="738"/>
      <c r="ED120" s="738"/>
      <c r="EE120" s="738"/>
      <c r="EF120" s="738"/>
      <c r="EG120" s="738"/>
      <c r="EH120" s="738"/>
      <c r="EI120" s="738"/>
      <c r="EJ120" s="738"/>
      <c r="EK120" s="738"/>
      <c r="EL120" s="738"/>
      <c r="EM120" s="738"/>
      <c r="EN120" s="738"/>
      <c r="EO120" s="738"/>
      <c r="EP120" s="738"/>
      <c r="EQ120" s="738"/>
      <c r="ER120" s="738"/>
      <c r="ES120" s="738"/>
      <c r="ET120" s="738"/>
      <c r="EU120" s="738"/>
      <c r="EV120" s="738"/>
      <c r="EW120" s="738"/>
      <c r="EX120" s="738"/>
      <c r="EY120" s="738"/>
      <c r="EZ120" s="738"/>
      <c r="FA120" s="738">
        <f>FA117+FA118+FA119</f>
        <v>1267</v>
      </c>
      <c r="FB120" s="738"/>
      <c r="FC120" s="738"/>
      <c r="FD120" s="1010">
        <f t="shared" ref="FD120:FH120" si="45">FD117+FD118+FD119</f>
        <v>911</v>
      </c>
      <c r="FE120" s="738"/>
      <c r="FF120" s="738"/>
      <c r="FG120" s="738"/>
      <c r="FH120" s="1010">
        <f t="shared" si="45"/>
        <v>911</v>
      </c>
      <c r="FI120" s="738"/>
      <c r="FJ120" s="738"/>
      <c r="FK120" s="738">
        <f>FK117+FK118+FK119</f>
        <v>19915</v>
      </c>
      <c r="FL120" s="738"/>
      <c r="FM120" s="738"/>
      <c r="FN120" s="738"/>
      <c r="FO120" s="738"/>
      <c r="FP120" s="738"/>
      <c r="FQ120" s="738"/>
      <c r="FR120" s="738"/>
      <c r="FS120" s="738"/>
      <c r="FT120" s="738"/>
      <c r="FU120" s="738"/>
      <c r="FV120" s="738">
        <f>FV117+FV118+FV119</f>
        <v>219</v>
      </c>
      <c r="FW120" s="738"/>
      <c r="FX120" s="738"/>
      <c r="FY120" s="738"/>
      <c r="FZ120" s="738"/>
      <c r="GA120" s="738"/>
      <c r="GB120" s="738"/>
      <c r="GC120" s="738"/>
      <c r="GD120" s="738"/>
      <c r="GE120" s="738"/>
      <c r="GF120" s="738"/>
      <c r="GG120" s="738"/>
      <c r="GH120" s="738"/>
      <c r="GI120" s="738"/>
      <c r="GJ120" s="738"/>
      <c r="GK120" s="738"/>
      <c r="GL120" s="738"/>
      <c r="GM120" s="738"/>
      <c r="GN120" s="738"/>
      <c r="GO120" s="738"/>
      <c r="GP120" s="738"/>
      <c r="GQ120" s="738"/>
      <c r="GR120" s="738"/>
      <c r="GS120" s="738"/>
      <c r="GT120" s="738"/>
      <c r="GU120" s="738"/>
      <c r="GV120" s="738"/>
      <c r="GW120" s="738">
        <f>GW117+GW118+GW119</f>
        <v>219</v>
      </c>
      <c r="GX120" s="738"/>
      <c r="GY120" s="738"/>
      <c r="GZ120" s="738"/>
      <c r="HA120" s="738"/>
      <c r="HB120" s="738"/>
      <c r="HC120" s="738"/>
      <c r="HD120" s="738"/>
      <c r="HE120" s="738"/>
      <c r="HF120" s="738"/>
      <c r="HG120" s="738"/>
      <c r="HH120" s="738"/>
      <c r="HI120" s="738"/>
      <c r="HJ120" s="738"/>
      <c r="HK120" s="738"/>
      <c r="HL120" s="738"/>
      <c r="HM120" s="738"/>
      <c r="HN120" s="738"/>
      <c r="HO120" s="738"/>
      <c r="HP120" s="738"/>
      <c r="HQ120" s="738"/>
      <c r="HR120" s="738"/>
      <c r="HS120" s="738"/>
      <c r="HT120" s="738"/>
      <c r="HU120" s="738"/>
      <c r="HV120" s="738"/>
      <c r="HW120" s="738"/>
      <c r="HX120" s="738"/>
      <c r="HY120" s="738"/>
      <c r="HZ120" s="738"/>
      <c r="IA120" s="738"/>
      <c r="IB120" s="738"/>
      <c r="IC120" s="738"/>
      <c r="ID120" s="738"/>
      <c r="IE120" s="738"/>
      <c r="IF120" s="738"/>
      <c r="IG120" s="738"/>
      <c r="IH120" s="738"/>
      <c r="II120" s="738"/>
      <c r="IJ120" s="738"/>
      <c r="IK120" s="738"/>
      <c r="IL120" s="738"/>
      <c r="IM120" s="738"/>
      <c r="IN120" s="738"/>
      <c r="IO120" s="738"/>
      <c r="IP120" s="738"/>
      <c r="IQ120" s="738"/>
      <c r="IR120" s="738"/>
      <c r="IS120" s="738"/>
      <c r="IT120" s="738"/>
      <c r="IU120" s="738"/>
      <c r="IV120" s="738"/>
      <c r="IW120" s="738"/>
      <c r="IX120" s="738"/>
      <c r="IY120" s="738"/>
      <c r="IZ120" s="738"/>
      <c r="JA120" s="738"/>
      <c r="JB120" s="738">
        <f>JB117+JB118+JB119</f>
        <v>219</v>
      </c>
      <c r="JC120" s="738"/>
      <c r="JD120" s="738"/>
      <c r="JE120" s="738"/>
      <c r="JF120" s="738"/>
      <c r="JG120" s="738"/>
      <c r="JH120" s="738"/>
      <c r="JI120" s="738"/>
      <c r="JJ120" s="738"/>
      <c r="JK120" s="738"/>
      <c r="JL120" s="738"/>
      <c r="JM120" s="738"/>
      <c r="JN120" s="738"/>
      <c r="JO120" s="738"/>
      <c r="JP120" s="738"/>
      <c r="JQ120" s="738"/>
      <c r="JR120" s="351"/>
      <c r="JS120" s="1400" t="s">
        <v>3731</v>
      </c>
      <c r="JT120" s="450" t="s">
        <v>2242</v>
      </c>
    </row>
    <row r="121" spans="1:280" x14ac:dyDescent="0.25">
      <c r="A121" s="1367"/>
    </row>
    <row r="122" spans="1:280" x14ac:dyDescent="0.25">
      <c r="A122" s="1367"/>
    </row>
    <row r="123" spans="1:280" x14ac:dyDescent="0.25">
      <c r="A123" s="1367"/>
    </row>
    <row r="124" spans="1:280" x14ac:dyDescent="0.25">
      <c r="A124" s="1367"/>
      <c r="DM124" s="2455"/>
    </row>
  </sheetData>
  <phoneticPr fontId="58" type="noConversion"/>
  <dataValidations count="1">
    <dataValidation type="list" allowBlank="1" showInputMessage="1" showErrorMessage="1" sqref="JT102 JT77:JT100 JT104:JT120 JT32:JT73 JT3:JT29" xr:uid="{00000000-0002-0000-0D00-000001000000}">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oddFooter>&amp;C&amp;1#&amp;"Calibri"&amp;10&amp;K000000OFFICIAL-SENSITIVE</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T75"/>
  <sheetViews>
    <sheetView showGridLines="0" zoomScaleNormal="100" workbookViewId="0">
      <pane xSplit="4" ySplit="1" topLeftCell="DX62" activePane="bottomRight" state="frozen"/>
      <selection pane="topRight" activeCell="I74" sqref="I74"/>
      <selection pane="bottomLeft" activeCell="I74" sqref="I74"/>
      <selection pane="bottomRight" activeCell="EI45" sqref="EI45"/>
    </sheetView>
  </sheetViews>
  <sheetFormatPr defaultColWidth="8.7265625" defaultRowHeight="13" x14ac:dyDescent="0.3"/>
  <cols>
    <col min="1" max="1" width="3.81640625" style="260" bestFit="1" customWidth="1"/>
    <col min="2" max="2" width="9.1796875" style="178" bestFit="1" customWidth="1"/>
    <col min="3" max="3" width="9.26953125" style="2" customWidth="1"/>
    <col min="4" max="4" width="52.453125" style="178" bestFit="1" customWidth="1"/>
    <col min="5" max="6" width="9" style="178" customWidth="1"/>
    <col min="7" max="7" width="8.81640625" style="178" bestFit="1" customWidth="1"/>
    <col min="8" max="8" width="8" style="178" bestFit="1" customWidth="1"/>
    <col min="9" max="10" width="9" style="178" bestFit="1" customWidth="1"/>
    <col min="11" max="11" width="8.81640625" style="178" bestFit="1" customWidth="1"/>
    <col min="12" max="12" width="8" style="178" bestFit="1" customWidth="1"/>
    <col min="13" max="13" width="8.81640625" style="178" bestFit="1" customWidth="1"/>
    <col min="14" max="14" width="9.81640625" style="178" bestFit="1" customWidth="1"/>
    <col min="15" max="15" width="9.81640625" style="178" customWidth="1"/>
    <col min="16" max="18" width="8.1796875" style="178" customWidth="1"/>
    <col min="19" max="19" width="8.81640625" style="178" bestFit="1" customWidth="1"/>
    <col min="20" max="20" width="9.81640625" style="178" bestFit="1" customWidth="1"/>
    <col min="21" max="21" width="8.81640625" style="178" bestFit="1" customWidth="1"/>
    <col min="22" max="28" width="8.1796875" style="178" customWidth="1"/>
    <col min="29" max="34" width="8.81640625" style="178" bestFit="1" customWidth="1"/>
    <col min="35" max="35" width="8.1796875" style="178" customWidth="1"/>
    <col min="36" max="36" width="8.1796875" style="605" customWidth="1"/>
    <col min="37" max="44" width="8.1796875" style="178" customWidth="1"/>
    <col min="45" max="45" width="9.1796875" style="178" customWidth="1"/>
    <col min="46" max="49" width="8.1796875" style="178" customWidth="1"/>
    <col min="50" max="50" width="9.453125" style="178" customWidth="1"/>
    <col min="51" max="53" width="8.1796875" style="178" customWidth="1"/>
    <col min="54" max="54" width="8.54296875" style="178" bestFit="1" customWidth="1"/>
    <col min="55" max="73" width="8.1796875" style="178" customWidth="1"/>
    <col min="74" max="74" width="11.453125" style="178" customWidth="1"/>
    <col min="75" max="75" width="8.1796875" style="178" customWidth="1"/>
    <col min="76" max="76" width="14.1796875" style="178" customWidth="1"/>
    <col min="77" max="79" width="8.1796875" style="178" customWidth="1"/>
    <col min="80" max="80" width="14.1796875" style="178" customWidth="1"/>
    <col min="81" max="81" width="12.54296875" style="178" customWidth="1"/>
    <col min="82" max="82" width="10" style="178" customWidth="1"/>
    <col min="83" max="86" width="8.1796875" style="178" customWidth="1"/>
    <col min="87" max="87" width="10" style="178" customWidth="1"/>
    <col min="88" max="88" width="11.453125" style="178" customWidth="1"/>
    <col min="89" max="91" width="8.1796875" style="178" customWidth="1"/>
    <col min="92" max="92" width="9.81640625" style="178" bestFit="1" customWidth="1"/>
    <col min="93" max="94" width="8.1796875" style="178" customWidth="1"/>
    <col min="95" max="95" width="12" style="178" customWidth="1"/>
    <col min="96" max="96" width="10" style="178" customWidth="1"/>
    <col min="97" max="97" width="9.81640625" style="178" customWidth="1"/>
    <col min="98" max="98" width="11.1796875" style="178" customWidth="1"/>
    <col min="99" max="99" width="8.1796875" style="178" customWidth="1"/>
    <col min="100" max="100" width="10.7265625" style="178" customWidth="1"/>
    <col min="101" max="106" width="8.1796875" style="178" customWidth="1"/>
    <col min="107" max="107" width="10.1796875" style="178" customWidth="1"/>
    <col min="108" max="113" width="8.1796875" style="178" customWidth="1"/>
    <col min="114" max="114" width="10.1796875" style="178" customWidth="1"/>
    <col min="115" max="116" width="8.1796875" style="178" customWidth="1"/>
    <col min="117" max="117" width="10.81640625" style="178" customWidth="1"/>
    <col min="118" max="121" width="8.1796875" style="178" customWidth="1"/>
    <col min="122" max="122" width="11.1796875" style="178" customWidth="1"/>
    <col min="123" max="131" width="8.1796875" style="178" customWidth="1"/>
    <col min="132" max="132" width="13.453125" style="178" customWidth="1"/>
    <col min="133" max="134" width="8.1796875" style="178" customWidth="1"/>
    <col min="135" max="135" width="9.453125" style="178" customWidth="1"/>
    <col min="136" max="143" width="8.1796875" style="178" customWidth="1"/>
    <col min="144" max="144" width="10.26953125" style="178" customWidth="1"/>
    <col min="145" max="145" width="12.81640625" style="178" customWidth="1"/>
    <col min="146" max="146" width="8.1796875" style="178" customWidth="1"/>
    <col min="147" max="147" width="12" style="178" customWidth="1"/>
    <col min="148" max="149" width="8.1796875" style="178" customWidth="1"/>
    <col min="150" max="150" width="14.453125" style="178" customWidth="1"/>
    <col min="151" max="155" width="8.1796875" style="178" customWidth="1"/>
    <col min="156" max="156" width="10.1796875" style="178" customWidth="1"/>
    <col min="157" max="177" width="8.1796875" style="178" customWidth="1"/>
    <col min="178" max="178" width="13" style="178" customWidth="1"/>
    <col min="179" max="191" width="8.1796875" style="178" customWidth="1"/>
    <col min="192" max="192" width="14.1796875" style="178" customWidth="1"/>
    <col min="193" max="209" width="8.1796875" style="178" customWidth="1"/>
    <col min="210" max="210" width="9.81640625" style="178" bestFit="1" customWidth="1"/>
    <col min="211" max="211" width="8.1796875" style="178" customWidth="1"/>
    <col min="212" max="212" width="8.81640625" style="178" bestFit="1" customWidth="1"/>
    <col min="213" max="226" width="8.1796875" style="178" customWidth="1"/>
    <col min="227" max="227" width="8.81640625" style="178" bestFit="1" customWidth="1"/>
    <col min="228" max="233" width="8.1796875" style="178" customWidth="1"/>
    <col min="234" max="234" width="15.1796875" style="178" customWidth="1"/>
    <col min="235" max="271" width="8.1796875" style="178" customWidth="1"/>
    <col min="272" max="272" width="11.81640625" style="178" customWidth="1"/>
    <col min="273" max="277" width="8.1796875" style="178" customWidth="1"/>
    <col min="278" max="278" width="2.1796875" style="178" customWidth="1"/>
    <col min="279" max="279" width="64.81640625" style="178" bestFit="1" customWidth="1"/>
    <col min="280" max="280" width="28.81640625" style="178" bestFit="1" customWidth="1"/>
    <col min="281" max="16384" width="8.7265625" style="178"/>
  </cols>
  <sheetData>
    <row r="1" spans="1:280" ht="12.5" x14ac:dyDescent="0.25">
      <c r="A1" s="1367" t="s">
        <v>2201</v>
      </c>
      <c r="B1" s="406" t="str">
        <f>"selected "&amp;PRO_IND-1</f>
        <v>selected 0</v>
      </c>
      <c r="C1" s="352" t="s">
        <v>33</v>
      </c>
      <c r="D1" s="2553"/>
      <c r="E1" s="418">
        <v>1</v>
      </c>
      <c r="F1" s="418">
        <v>2</v>
      </c>
      <c r="G1" s="418">
        <v>3</v>
      </c>
      <c r="H1" s="418">
        <v>4</v>
      </c>
      <c r="I1" s="418">
        <v>5</v>
      </c>
      <c r="J1" s="418">
        <v>6</v>
      </c>
      <c r="K1" s="418">
        <v>7</v>
      </c>
      <c r="L1" s="418">
        <v>8</v>
      </c>
      <c r="M1" s="418">
        <v>9</v>
      </c>
      <c r="N1" s="418">
        <v>10</v>
      </c>
      <c r="O1" s="418">
        <v>11</v>
      </c>
      <c r="P1" s="418">
        <v>12</v>
      </c>
      <c r="Q1" s="418">
        <v>13</v>
      </c>
      <c r="R1" s="418">
        <v>14</v>
      </c>
      <c r="S1" s="418">
        <v>15</v>
      </c>
      <c r="T1" s="418">
        <v>16</v>
      </c>
      <c r="U1" s="418">
        <v>17</v>
      </c>
      <c r="V1" s="418">
        <v>18</v>
      </c>
      <c r="W1" s="418">
        <v>19</v>
      </c>
      <c r="X1" s="418">
        <v>20</v>
      </c>
      <c r="Y1" s="418">
        <v>21</v>
      </c>
      <c r="Z1" s="1002">
        <v>22</v>
      </c>
      <c r="AA1" s="418">
        <v>23</v>
      </c>
      <c r="AB1" s="418">
        <v>24</v>
      </c>
      <c r="AC1" s="418">
        <v>25</v>
      </c>
      <c r="AD1" s="418">
        <v>26</v>
      </c>
      <c r="AE1" s="418">
        <v>27</v>
      </c>
      <c r="AF1" s="418">
        <v>28</v>
      </c>
      <c r="AG1" s="418">
        <v>29</v>
      </c>
      <c r="AH1" s="418">
        <v>30</v>
      </c>
      <c r="AI1" s="418">
        <v>31</v>
      </c>
      <c r="AJ1" s="418">
        <v>32</v>
      </c>
      <c r="AK1" s="418">
        <v>33</v>
      </c>
      <c r="AL1" s="418">
        <v>34</v>
      </c>
      <c r="AM1" s="418">
        <v>35</v>
      </c>
      <c r="AN1" s="418">
        <v>36</v>
      </c>
      <c r="AO1" s="418">
        <v>37</v>
      </c>
      <c r="AP1" s="418">
        <v>38</v>
      </c>
      <c r="AQ1" s="418">
        <v>39</v>
      </c>
      <c r="AR1" s="418">
        <v>40</v>
      </c>
      <c r="AS1" s="418">
        <v>41</v>
      </c>
      <c r="AT1" s="418">
        <v>42</v>
      </c>
      <c r="AU1" s="418">
        <v>43</v>
      </c>
      <c r="AV1" s="418">
        <v>44</v>
      </c>
      <c r="AW1" s="418">
        <v>45</v>
      </c>
      <c r="AX1" s="418">
        <v>46</v>
      </c>
      <c r="AY1" s="418">
        <v>47</v>
      </c>
      <c r="AZ1" s="418">
        <v>48</v>
      </c>
      <c r="BA1" s="418">
        <v>49</v>
      </c>
      <c r="BB1" s="418">
        <v>50</v>
      </c>
      <c r="BC1" s="418">
        <v>51</v>
      </c>
      <c r="BD1" s="418">
        <v>52</v>
      </c>
      <c r="BE1" s="418">
        <v>53</v>
      </c>
      <c r="BF1" s="418">
        <v>54</v>
      </c>
      <c r="BG1" s="418">
        <v>55</v>
      </c>
      <c r="BH1" s="418">
        <v>56</v>
      </c>
      <c r="BI1" s="418">
        <v>57</v>
      </c>
      <c r="BJ1" s="418">
        <v>58</v>
      </c>
      <c r="BK1" s="418">
        <v>59</v>
      </c>
      <c r="BL1" s="418">
        <v>60</v>
      </c>
      <c r="BM1" s="418">
        <v>61</v>
      </c>
      <c r="BN1" s="418">
        <v>62</v>
      </c>
      <c r="BO1" s="418">
        <v>63</v>
      </c>
      <c r="BP1" s="418">
        <v>64</v>
      </c>
      <c r="BQ1" s="418">
        <v>65</v>
      </c>
      <c r="BR1" s="418">
        <v>66</v>
      </c>
      <c r="BS1" s="418">
        <v>67</v>
      </c>
      <c r="BT1" s="418">
        <v>68</v>
      </c>
      <c r="BU1" s="418">
        <v>69</v>
      </c>
      <c r="BV1" s="418">
        <v>70</v>
      </c>
      <c r="BW1" s="418">
        <v>71</v>
      </c>
      <c r="BX1" s="418">
        <v>72</v>
      </c>
      <c r="BY1" s="418">
        <v>73</v>
      </c>
      <c r="BZ1" s="418">
        <v>74</v>
      </c>
      <c r="CA1" s="418">
        <v>75</v>
      </c>
      <c r="CB1" s="418">
        <v>76</v>
      </c>
      <c r="CC1" s="418">
        <v>77</v>
      </c>
      <c r="CD1" s="418">
        <v>78</v>
      </c>
      <c r="CE1" s="418">
        <v>79</v>
      </c>
      <c r="CF1" s="418">
        <v>80</v>
      </c>
      <c r="CG1" s="418">
        <v>81</v>
      </c>
      <c r="CH1" s="418">
        <v>82</v>
      </c>
      <c r="CI1" s="418">
        <v>83</v>
      </c>
      <c r="CJ1" s="418">
        <v>84</v>
      </c>
      <c r="CK1" s="418">
        <v>85</v>
      </c>
      <c r="CL1" s="418">
        <v>86</v>
      </c>
      <c r="CM1" s="418">
        <v>87</v>
      </c>
      <c r="CN1" s="418">
        <v>88</v>
      </c>
      <c r="CO1" s="418">
        <v>89</v>
      </c>
      <c r="CP1" s="418">
        <v>90</v>
      </c>
      <c r="CQ1" s="418">
        <v>91</v>
      </c>
      <c r="CR1" s="418">
        <v>92</v>
      </c>
      <c r="CS1" s="418">
        <v>93</v>
      </c>
      <c r="CT1" s="418">
        <v>94</v>
      </c>
      <c r="CU1" s="418">
        <v>95</v>
      </c>
      <c r="CV1" s="418">
        <v>96</v>
      </c>
      <c r="CW1" s="418">
        <v>97</v>
      </c>
      <c r="CX1" s="418">
        <v>98</v>
      </c>
      <c r="CY1" s="418">
        <v>99</v>
      </c>
      <c r="CZ1" s="418">
        <v>100</v>
      </c>
      <c r="DA1" s="418">
        <v>101</v>
      </c>
      <c r="DB1" s="418">
        <v>102</v>
      </c>
      <c r="DC1" s="418">
        <v>103</v>
      </c>
      <c r="DD1" s="418">
        <v>104</v>
      </c>
      <c r="DE1" s="418">
        <v>105</v>
      </c>
      <c r="DF1" s="418">
        <v>106</v>
      </c>
      <c r="DG1" s="418">
        <v>107</v>
      </c>
      <c r="DH1" s="418">
        <v>108</v>
      </c>
      <c r="DI1" s="418">
        <v>109</v>
      </c>
      <c r="DJ1" s="418">
        <v>110</v>
      </c>
      <c r="DK1" s="418">
        <v>111</v>
      </c>
      <c r="DL1" s="418">
        <v>112</v>
      </c>
      <c r="DM1" s="418">
        <v>113</v>
      </c>
      <c r="DN1" s="418">
        <v>114</v>
      </c>
      <c r="DO1" s="418">
        <v>115</v>
      </c>
      <c r="DP1" s="418">
        <v>116</v>
      </c>
      <c r="DQ1" s="418">
        <v>117</v>
      </c>
      <c r="DR1" s="418">
        <v>118</v>
      </c>
      <c r="DS1" s="418">
        <v>119</v>
      </c>
      <c r="DT1" s="418">
        <v>120</v>
      </c>
      <c r="DU1" s="418">
        <v>121</v>
      </c>
      <c r="DV1" s="418">
        <v>122</v>
      </c>
      <c r="DW1" s="418">
        <v>123</v>
      </c>
      <c r="DX1" s="418">
        <v>124</v>
      </c>
      <c r="DY1" s="418">
        <v>125</v>
      </c>
      <c r="DZ1" s="418">
        <v>126</v>
      </c>
      <c r="EA1" s="418">
        <v>127</v>
      </c>
      <c r="EB1" s="418">
        <v>128</v>
      </c>
      <c r="EC1" s="418">
        <v>129</v>
      </c>
      <c r="ED1" s="418">
        <v>130</v>
      </c>
      <c r="EE1" s="418">
        <v>131</v>
      </c>
      <c r="EF1" s="418">
        <v>132</v>
      </c>
      <c r="EG1" s="418">
        <v>133</v>
      </c>
      <c r="EH1" s="418">
        <v>134</v>
      </c>
      <c r="EI1" s="418">
        <v>135</v>
      </c>
      <c r="EJ1" s="418">
        <v>136</v>
      </c>
      <c r="EK1" s="418">
        <v>137</v>
      </c>
      <c r="EL1" s="418">
        <v>138</v>
      </c>
      <c r="EM1" s="418">
        <v>139</v>
      </c>
      <c r="EN1" s="418">
        <v>140</v>
      </c>
      <c r="EO1" s="418">
        <v>141</v>
      </c>
      <c r="EP1" s="418">
        <v>142</v>
      </c>
      <c r="EQ1" s="418">
        <v>143</v>
      </c>
      <c r="ER1" s="418">
        <v>144</v>
      </c>
      <c r="ES1" s="418">
        <v>145</v>
      </c>
      <c r="ET1" s="418">
        <v>146</v>
      </c>
      <c r="EU1" s="418">
        <v>147</v>
      </c>
      <c r="EV1" s="418">
        <v>148</v>
      </c>
      <c r="EW1" s="418">
        <v>149</v>
      </c>
      <c r="EX1" s="418">
        <v>150</v>
      </c>
      <c r="EY1" s="418">
        <v>151</v>
      </c>
      <c r="EZ1" s="418">
        <v>152</v>
      </c>
      <c r="FA1" s="418">
        <v>153</v>
      </c>
      <c r="FB1" s="418">
        <v>154</v>
      </c>
      <c r="FC1" s="418">
        <v>155</v>
      </c>
      <c r="FD1" s="418">
        <v>156</v>
      </c>
      <c r="FE1" s="418">
        <v>157</v>
      </c>
      <c r="FF1" s="418">
        <v>158</v>
      </c>
      <c r="FG1" s="418">
        <v>159</v>
      </c>
      <c r="FH1" s="418">
        <v>160</v>
      </c>
      <c r="FI1" s="418">
        <v>161</v>
      </c>
      <c r="FJ1" s="418">
        <v>162</v>
      </c>
      <c r="FK1" s="418">
        <v>163</v>
      </c>
      <c r="FL1" s="418">
        <v>164</v>
      </c>
      <c r="FM1" s="418">
        <v>165</v>
      </c>
      <c r="FN1" s="418">
        <v>166</v>
      </c>
      <c r="FO1" s="418">
        <v>167</v>
      </c>
      <c r="FP1" s="418">
        <v>168</v>
      </c>
      <c r="FQ1" s="418">
        <v>169</v>
      </c>
      <c r="FR1" s="418">
        <v>170</v>
      </c>
      <c r="FS1" s="418">
        <v>171</v>
      </c>
      <c r="FT1" s="418">
        <v>172</v>
      </c>
      <c r="FU1" s="418">
        <v>173</v>
      </c>
      <c r="FV1" s="418">
        <v>174</v>
      </c>
      <c r="FW1" s="418">
        <v>175</v>
      </c>
      <c r="FX1" s="418">
        <v>176</v>
      </c>
      <c r="FY1" s="418">
        <v>177</v>
      </c>
      <c r="FZ1" s="418">
        <v>178</v>
      </c>
      <c r="GA1" s="418">
        <v>179</v>
      </c>
      <c r="GB1" s="418">
        <v>180</v>
      </c>
      <c r="GC1" s="418">
        <v>181</v>
      </c>
      <c r="GD1" s="418">
        <v>182</v>
      </c>
      <c r="GE1" s="418">
        <v>183</v>
      </c>
      <c r="GF1" s="418">
        <v>184</v>
      </c>
      <c r="GG1" s="418">
        <v>185</v>
      </c>
      <c r="GH1" s="418">
        <v>186</v>
      </c>
      <c r="GI1" s="418">
        <v>187</v>
      </c>
      <c r="GJ1" s="418">
        <v>188</v>
      </c>
      <c r="GK1" s="418">
        <v>189</v>
      </c>
      <c r="GL1" s="418">
        <v>190</v>
      </c>
      <c r="GM1" s="418">
        <v>191</v>
      </c>
      <c r="GN1" s="418">
        <v>192</v>
      </c>
      <c r="GO1" s="418">
        <v>193</v>
      </c>
      <c r="GP1" s="418">
        <v>194</v>
      </c>
      <c r="GQ1" s="418">
        <v>195</v>
      </c>
      <c r="GR1" s="418">
        <v>196</v>
      </c>
      <c r="GS1" s="418">
        <v>197</v>
      </c>
      <c r="GT1" s="418">
        <v>198</v>
      </c>
      <c r="GU1" s="418">
        <v>199</v>
      </c>
      <c r="GV1" s="418">
        <v>200</v>
      </c>
      <c r="GW1" s="418">
        <v>201</v>
      </c>
      <c r="GX1" s="418">
        <v>202</v>
      </c>
      <c r="GY1" s="418">
        <v>203</v>
      </c>
      <c r="GZ1" s="418">
        <v>204</v>
      </c>
      <c r="HA1" s="418">
        <v>205</v>
      </c>
      <c r="HB1" s="418">
        <v>206</v>
      </c>
      <c r="HC1" s="418">
        <v>207</v>
      </c>
      <c r="HD1" s="418">
        <v>208</v>
      </c>
      <c r="HE1" s="418">
        <v>209</v>
      </c>
      <c r="HF1" s="418">
        <v>210</v>
      </c>
      <c r="HG1" s="418">
        <v>211</v>
      </c>
      <c r="HH1" s="418">
        <v>212</v>
      </c>
      <c r="HI1" s="418">
        <v>213</v>
      </c>
      <c r="HJ1" s="418">
        <v>214</v>
      </c>
      <c r="HK1" s="418">
        <v>215</v>
      </c>
      <c r="HL1" s="418">
        <v>216</v>
      </c>
      <c r="HM1" s="418">
        <v>217</v>
      </c>
      <c r="HN1" s="418">
        <v>218</v>
      </c>
      <c r="HO1" s="418">
        <v>219</v>
      </c>
      <c r="HP1" s="418">
        <v>220</v>
      </c>
      <c r="HQ1" s="418">
        <v>221</v>
      </c>
      <c r="HR1" s="418">
        <v>222</v>
      </c>
      <c r="HS1" s="418">
        <v>223</v>
      </c>
      <c r="HT1" s="418">
        <v>224</v>
      </c>
      <c r="HU1" s="418">
        <v>225</v>
      </c>
      <c r="HV1" s="418">
        <v>226</v>
      </c>
      <c r="HW1" s="418">
        <v>227</v>
      </c>
      <c r="HX1" s="418">
        <v>228</v>
      </c>
      <c r="HY1" s="418">
        <v>229</v>
      </c>
      <c r="HZ1" s="418">
        <v>230</v>
      </c>
      <c r="IA1" s="418">
        <v>231</v>
      </c>
      <c r="IB1" s="418">
        <v>232</v>
      </c>
      <c r="IC1" s="418">
        <v>233</v>
      </c>
      <c r="ID1" s="418">
        <v>234</v>
      </c>
      <c r="IE1" s="418">
        <v>235</v>
      </c>
      <c r="IF1" s="418">
        <v>236</v>
      </c>
      <c r="IG1" s="418">
        <v>237</v>
      </c>
      <c r="IH1" s="418">
        <v>238</v>
      </c>
      <c r="II1" s="418">
        <v>239</v>
      </c>
      <c r="IJ1" s="418">
        <v>240</v>
      </c>
      <c r="IK1" s="418">
        <v>241</v>
      </c>
      <c r="IL1" s="418">
        <v>242</v>
      </c>
      <c r="IM1" s="418">
        <v>243</v>
      </c>
      <c r="IN1" s="418">
        <v>244</v>
      </c>
      <c r="IO1" s="418">
        <v>245</v>
      </c>
      <c r="IP1" s="418">
        <v>246</v>
      </c>
      <c r="IQ1" s="418">
        <v>247</v>
      </c>
      <c r="IR1" s="418">
        <v>248</v>
      </c>
      <c r="IS1" s="418">
        <v>249</v>
      </c>
      <c r="IT1" s="418">
        <v>250</v>
      </c>
      <c r="IU1" s="418">
        <v>251</v>
      </c>
      <c r="IV1" s="418">
        <v>252</v>
      </c>
      <c r="IW1" s="418">
        <v>253</v>
      </c>
      <c r="IX1" s="418">
        <v>254</v>
      </c>
      <c r="IY1" s="418">
        <v>255</v>
      </c>
      <c r="IZ1" s="418">
        <v>256</v>
      </c>
      <c r="JA1" s="418">
        <v>257</v>
      </c>
      <c r="JB1" s="418">
        <v>258</v>
      </c>
      <c r="JC1" s="418">
        <v>259</v>
      </c>
      <c r="JD1" s="418">
        <v>260</v>
      </c>
      <c r="JE1" s="418">
        <v>261</v>
      </c>
      <c r="JF1" s="418">
        <v>262</v>
      </c>
      <c r="JG1" s="418">
        <v>263</v>
      </c>
      <c r="JH1" s="418">
        <v>264</v>
      </c>
      <c r="JI1" s="418">
        <v>265</v>
      </c>
      <c r="JJ1" s="418">
        <v>266</v>
      </c>
      <c r="JK1" s="418">
        <v>267</v>
      </c>
      <c r="JL1" s="418">
        <v>268</v>
      </c>
      <c r="JM1" s="418">
        <v>269</v>
      </c>
      <c r="JN1" s="418">
        <v>270</v>
      </c>
      <c r="JO1" s="418">
        <v>271</v>
      </c>
      <c r="JP1" s="418">
        <v>272</v>
      </c>
      <c r="JQ1" s="418">
        <v>273</v>
      </c>
      <c r="JR1" s="351"/>
      <c r="JS1" s="1470" t="s">
        <v>2198</v>
      </c>
      <c r="JT1" s="450" t="s">
        <v>2199</v>
      </c>
    </row>
    <row r="2" spans="1:280" ht="12.5" x14ac:dyDescent="0.25">
      <c r="A2" s="1367">
        <v>2</v>
      </c>
      <c r="B2" s="1677" t="str">
        <f>IF(PRO_IND&gt;1,IF(HLOOKUP(PRO_IND-1,PRO_RANGE,A2)="","",HLOOKUP(PRO_IND-1,PRO_RANGE,A2)),"")</f>
        <v/>
      </c>
      <c r="C2" s="1628" t="s">
        <v>3732</v>
      </c>
      <c r="D2" s="1531" t="s">
        <v>3733</v>
      </c>
      <c r="E2" s="1561">
        <v>5</v>
      </c>
      <c r="F2" s="1561">
        <v>1</v>
      </c>
      <c r="G2" s="1561"/>
      <c r="H2" s="1561"/>
      <c r="I2" s="1784"/>
      <c r="J2" s="1784"/>
      <c r="K2" s="1784"/>
      <c r="L2" s="1784"/>
      <c r="M2" s="1561">
        <v>1</v>
      </c>
      <c r="N2" s="1784"/>
      <c r="O2" s="1561">
        <v>1</v>
      </c>
      <c r="P2" s="1784"/>
      <c r="Q2" s="1561">
        <v>1</v>
      </c>
      <c r="R2" s="1784"/>
      <c r="S2" s="1784"/>
      <c r="T2" s="1784"/>
      <c r="U2" s="1561">
        <v>1</v>
      </c>
      <c r="V2" s="1784"/>
      <c r="W2" s="1784"/>
      <c r="X2" s="1784"/>
      <c r="Y2" s="1784"/>
      <c r="Z2" s="1784">
        <v>1</v>
      </c>
      <c r="AA2" s="1561">
        <v>1</v>
      </c>
      <c r="AB2" s="1784"/>
      <c r="AC2" s="1561">
        <v>1</v>
      </c>
      <c r="AD2" s="1561"/>
      <c r="AE2" s="1561"/>
      <c r="AF2" s="1561"/>
      <c r="AG2" s="1561"/>
      <c r="AH2" s="1561"/>
      <c r="AI2" s="1784"/>
      <c r="AJ2" s="1561"/>
      <c r="AK2" s="1784"/>
      <c r="AL2" s="1784"/>
      <c r="AM2" s="1784"/>
      <c r="AN2" s="1784"/>
      <c r="AO2" s="1784">
        <v>1</v>
      </c>
      <c r="AP2" s="1784"/>
      <c r="AQ2" s="1784">
        <v>1</v>
      </c>
      <c r="AR2" s="1561"/>
      <c r="AS2" s="1784">
        <v>8</v>
      </c>
      <c r="AT2" s="1784"/>
      <c r="AU2" s="1784"/>
      <c r="AV2" s="1784"/>
      <c r="AW2" s="1561">
        <v>4</v>
      </c>
      <c r="AX2" s="1784"/>
      <c r="AY2" s="1562">
        <v>2</v>
      </c>
      <c r="AZ2" s="1561">
        <v>4</v>
      </c>
      <c r="BA2" s="1784"/>
      <c r="BB2" s="2425">
        <v>2</v>
      </c>
      <c r="BC2" s="1784"/>
      <c r="BD2" s="1561">
        <v>1</v>
      </c>
      <c r="BE2" s="1784"/>
      <c r="BF2" s="1784"/>
      <c r="BG2" s="1562"/>
      <c r="BH2" s="1784"/>
      <c r="BI2" s="1784"/>
      <c r="BJ2" s="1784"/>
      <c r="BK2" s="1784">
        <v>1</v>
      </c>
      <c r="BL2" s="1784"/>
      <c r="BM2" s="1784"/>
      <c r="BN2" s="1784"/>
      <c r="BO2" s="1784"/>
      <c r="BP2" s="2425">
        <v>4</v>
      </c>
      <c r="BQ2" s="1784"/>
      <c r="BR2" s="1784"/>
      <c r="BS2" s="1784"/>
      <c r="BT2" s="1561">
        <v>1</v>
      </c>
      <c r="BU2" s="1784"/>
      <c r="BV2" s="1561">
        <v>1</v>
      </c>
      <c r="BW2" s="1784"/>
      <c r="BX2" s="2425">
        <v>4</v>
      </c>
      <c r="BY2" s="1784"/>
      <c r="BZ2" s="1784"/>
      <c r="CA2" s="1784"/>
      <c r="CB2" s="1561">
        <v>4</v>
      </c>
      <c r="CC2" s="1561">
        <v>4</v>
      </c>
      <c r="CD2" s="1562">
        <v>2</v>
      </c>
      <c r="CE2" s="2426"/>
      <c r="CF2" s="2426"/>
      <c r="CG2" s="2426"/>
      <c r="CH2" s="1561">
        <v>1</v>
      </c>
      <c r="CI2" s="1562">
        <v>5</v>
      </c>
      <c r="CJ2" s="2427">
        <v>5</v>
      </c>
      <c r="CK2" s="2426"/>
      <c r="CL2" s="2426"/>
      <c r="CM2" s="2426"/>
      <c r="CN2" s="2426">
        <v>10</v>
      </c>
      <c r="CO2" s="2426"/>
      <c r="CP2" s="2426"/>
      <c r="CQ2" s="2425">
        <v>8</v>
      </c>
      <c r="CR2" s="1784">
        <v>6</v>
      </c>
      <c r="CS2" s="1784">
        <v>6</v>
      </c>
      <c r="CT2" s="1561">
        <v>1</v>
      </c>
      <c r="CU2" s="2426"/>
      <c r="CV2" s="1784">
        <v>5</v>
      </c>
      <c r="CW2" s="2426"/>
      <c r="CX2" s="2426"/>
      <c r="CY2" s="2426"/>
      <c r="CZ2" s="1561">
        <v>4</v>
      </c>
      <c r="DA2" s="1561">
        <v>4</v>
      </c>
      <c r="DB2" s="1561">
        <v>1</v>
      </c>
      <c r="DC2" s="1784">
        <v>4</v>
      </c>
      <c r="DD2" s="2426"/>
      <c r="DE2" s="2426"/>
      <c r="DF2" s="2426"/>
      <c r="DG2" s="2426"/>
      <c r="DH2" s="2426"/>
      <c r="DI2" s="2425">
        <v>5</v>
      </c>
      <c r="DJ2" s="2426"/>
      <c r="DK2" s="2426"/>
      <c r="DL2" s="2425">
        <v>5</v>
      </c>
      <c r="DM2" s="1784">
        <v>4</v>
      </c>
      <c r="DN2" s="2426"/>
      <c r="DO2" s="2426"/>
      <c r="DP2" s="2426"/>
      <c r="DQ2" s="2426"/>
      <c r="DR2" s="1562">
        <v>2</v>
      </c>
      <c r="DS2" s="2426"/>
      <c r="DT2" s="2426"/>
      <c r="DU2" s="2426"/>
      <c r="DV2" s="2426"/>
      <c r="DW2" s="2426">
        <v>1</v>
      </c>
      <c r="DX2" s="2427">
        <v>1</v>
      </c>
      <c r="DY2" s="2427">
        <v>1</v>
      </c>
      <c r="DZ2" s="2426"/>
      <c r="EA2" s="2426"/>
      <c r="EB2" s="2427">
        <v>1</v>
      </c>
      <c r="EC2" s="2426"/>
      <c r="ED2" s="2426"/>
      <c r="EE2" s="2427">
        <v>1</v>
      </c>
      <c r="EF2" s="2426"/>
      <c r="EG2" s="2426"/>
      <c r="EH2" s="2426"/>
      <c r="EI2" s="2426"/>
      <c r="EJ2" s="2425">
        <v>3</v>
      </c>
      <c r="EK2" s="2426"/>
      <c r="EL2" s="2426"/>
      <c r="EM2" s="2426"/>
      <c r="EN2" s="1562">
        <v>2</v>
      </c>
      <c r="EO2" s="2427">
        <v>2</v>
      </c>
      <c r="EP2" s="2427">
        <v>1</v>
      </c>
      <c r="EQ2" s="2427">
        <v>2</v>
      </c>
      <c r="ER2" s="2426"/>
      <c r="ES2" s="2426"/>
      <c r="ET2" s="2427">
        <v>5</v>
      </c>
      <c r="EU2" s="2425">
        <v>6</v>
      </c>
      <c r="EV2" s="2426"/>
      <c r="EW2" s="2426"/>
      <c r="EX2" s="2426"/>
      <c r="EY2" s="2426"/>
      <c r="EZ2" s="2427">
        <v>1</v>
      </c>
      <c r="FA2" s="2426"/>
      <c r="FB2" s="2426"/>
      <c r="FC2" s="2426"/>
      <c r="FD2" s="2426"/>
      <c r="FE2" s="2426"/>
      <c r="FF2" s="1561">
        <v>1</v>
      </c>
      <c r="FG2" s="2426"/>
      <c r="FH2" s="2426"/>
      <c r="FI2" s="2426"/>
      <c r="FJ2" s="2426"/>
      <c r="FK2" s="2426"/>
      <c r="FL2" s="2426"/>
      <c r="FM2" s="2426"/>
      <c r="FN2" s="2426"/>
      <c r="FO2" s="2427">
        <v>1</v>
      </c>
      <c r="FP2" s="2426"/>
      <c r="FQ2" s="2426"/>
      <c r="FR2" s="2426"/>
      <c r="FS2" s="2426"/>
      <c r="FT2" s="1561">
        <v>4</v>
      </c>
      <c r="FU2" s="1561">
        <v>4</v>
      </c>
      <c r="FV2" s="1561">
        <v>1</v>
      </c>
      <c r="FW2" s="2426"/>
      <c r="FX2" s="2425">
        <v>6</v>
      </c>
      <c r="FY2" s="2426"/>
      <c r="FZ2" s="2426"/>
      <c r="GA2" s="2426"/>
      <c r="GB2" s="2426"/>
      <c r="GC2" s="2426"/>
      <c r="GD2" s="2426"/>
      <c r="GE2" s="2425">
        <v>3</v>
      </c>
      <c r="GF2" s="2425">
        <v>3</v>
      </c>
      <c r="GG2" s="2425">
        <v>6</v>
      </c>
      <c r="GH2" s="2426"/>
      <c r="GI2" s="2426"/>
      <c r="GJ2" s="1784">
        <v>6</v>
      </c>
      <c r="GK2" s="2426"/>
      <c r="GL2" s="2426"/>
      <c r="GM2" s="2426"/>
      <c r="GN2" s="2426"/>
      <c r="GO2" s="2426"/>
      <c r="GP2" s="2426"/>
      <c r="GQ2" s="2426"/>
      <c r="GR2" s="2426"/>
      <c r="GS2" s="2426"/>
      <c r="GT2" s="2426"/>
      <c r="GU2" s="2426"/>
      <c r="GV2" s="2426"/>
      <c r="GW2" s="2425">
        <v>6</v>
      </c>
      <c r="GX2" s="2425">
        <v>4</v>
      </c>
      <c r="GY2" s="2426"/>
      <c r="GZ2" s="2426"/>
      <c r="HA2" s="2426"/>
      <c r="HB2" s="1784">
        <v>5</v>
      </c>
      <c r="HC2" s="2426"/>
      <c r="HD2" s="1784">
        <v>2</v>
      </c>
      <c r="HE2" s="2426"/>
      <c r="HF2" s="1561">
        <v>1</v>
      </c>
      <c r="HG2" s="1561">
        <v>1</v>
      </c>
      <c r="HH2" s="2426"/>
      <c r="HI2" s="2426"/>
      <c r="HJ2" s="2426"/>
      <c r="HK2" s="2426"/>
      <c r="HL2" s="2426"/>
      <c r="HM2" s="2426"/>
      <c r="HN2" s="2426"/>
      <c r="HO2" s="2426"/>
      <c r="HP2" s="2426"/>
      <c r="HQ2" s="2426"/>
      <c r="HR2" s="2426"/>
      <c r="HS2" s="2426">
        <v>3</v>
      </c>
      <c r="HT2" s="2427">
        <v>1</v>
      </c>
      <c r="HU2" s="2426"/>
      <c r="HV2" s="2426"/>
      <c r="HW2" s="2426"/>
      <c r="HX2" s="2426"/>
      <c r="HY2" s="2426"/>
      <c r="HZ2" s="1561">
        <v>7</v>
      </c>
      <c r="IA2" s="2426"/>
      <c r="IB2" s="2426"/>
      <c r="IC2" s="2426"/>
      <c r="ID2" s="2426"/>
      <c r="IE2" s="2426"/>
      <c r="IF2" s="2427">
        <v>1</v>
      </c>
      <c r="IG2" s="2426"/>
      <c r="IH2" s="2426"/>
      <c r="II2" s="2427">
        <v>1</v>
      </c>
      <c r="IJ2" s="2427">
        <v>1</v>
      </c>
      <c r="IK2" s="2426"/>
      <c r="IL2" s="2426"/>
      <c r="IM2" s="2426"/>
      <c r="IN2" s="2426"/>
      <c r="IO2" s="1784">
        <v>1</v>
      </c>
      <c r="IP2" s="2426">
        <v>1</v>
      </c>
      <c r="IQ2" s="2426"/>
      <c r="IR2" s="2426"/>
      <c r="IS2" s="2426">
        <v>2</v>
      </c>
      <c r="IT2" s="2426">
        <v>87</v>
      </c>
      <c r="IU2" s="2426">
        <v>26</v>
      </c>
      <c r="IV2" s="2426">
        <v>2</v>
      </c>
      <c r="IW2" s="2426">
        <v>1</v>
      </c>
      <c r="IX2" s="1784"/>
      <c r="IY2" s="1561">
        <v>3</v>
      </c>
      <c r="IZ2" s="1784"/>
      <c r="JA2" s="1784"/>
      <c r="JB2" s="1784"/>
      <c r="JC2" s="1784"/>
      <c r="JD2" s="1784"/>
      <c r="JE2" s="1562">
        <v>1</v>
      </c>
      <c r="JF2" s="1784"/>
      <c r="JG2" s="1562">
        <v>2</v>
      </c>
      <c r="JH2" s="2426">
        <v>2</v>
      </c>
      <c r="JI2" s="2426">
        <v>2</v>
      </c>
      <c r="JJ2" s="2426"/>
      <c r="JK2" s="2426">
        <v>5</v>
      </c>
      <c r="JL2" s="2426">
        <v>1</v>
      </c>
      <c r="JM2" s="2426"/>
      <c r="JN2" s="2426"/>
      <c r="JO2" s="2426"/>
      <c r="JP2" s="2426"/>
      <c r="JQ2" s="2428">
        <v>2</v>
      </c>
      <c r="JR2" s="351"/>
      <c r="JS2" s="1470"/>
      <c r="JT2" s="1385" t="s">
        <v>3734</v>
      </c>
    </row>
    <row r="3" spans="1:280" ht="12.5" x14ac:dyDescent="0.25">
      <c r="A3" s="1367">
        <v>3</v>
      </c>
      <c r="B3" s="1411" t="str">
        <f>IF(PRO_IND&gt;1,IF(HLOOKUP(PRO_IND-1,PRO_RANGE,A3)="","",HLOOKUP(PRO_IND-1,PRO_RANGE,A3)),"")</f>
        <v/>
      </c>
      <c r="C3" s="1628" t="s">
        <v>3735</v>
      </c>
      <c r="D3" s="1531" t="s">
        <v>3736</v>
      </c>
      <c r="E3" s="1381"/>
      <c r="F3" s="1381"/>
      <c r="G3" s="1381"/>
      <c r="H3" s="1272"/>
      <c r="I3" s="1272"/>
      <c r="J3" s="1272"/>
      <c r="K3" s="1272"/>
      <c r="L3" s="1272"/>
      <c r="M3" s="1381"/>
      <c r="N3" s="1272"/>
      <c r="O3" s="1381"/>
      <c r="P3" s="1272"/>
      <c r="Q3" s="1381"/>
      <c r="R3" s="1272"/>
      <c r="S3" s="1272"/>
      <c r="T3" s="1272"/>
      <c r="U3" s="1381"/>
      <c r="V3" s="1272"/>
      <c r="W3" s="1272"/>
      <c r="X3" s="1272"/>
      <c r="Y3" s="1272"/>
      <c r="Z3" s="1272"/>
      <c r="AA3" s="1381"/>
      <c r="AB3" s="1272"/>
      <c r="AC3" s="1381"/>
      <c r="AD3" s="1381"/>
      <c r="AE3" s="1381"/>
      <c r="AF3" s="1381"/>
      <c r="AG3" s="1381"/>
      <c r="AH3" s="1381"/>
      <c r="AI3" s="1272"/>
      <c r="AJ3" s="1381"/>
      <c r="AK3" s="1272"/>
      <c r="AL3" s="1272"/>
      <c r="AM3" s="1272"/>
      <c r="AN3" s="1272"/>
      <c r="AO3" s="1272"/>
      <c r="AP3" s="1272"/>
      <c r="AQ3" s="1272"/>
      <c r="AR3" s="1272"/>
      <c r="AS3" s="1272"/>
      <c r="AT3" s="1272"/>
      <c r="AU3" s="1272"/>
      <c r="AV3" s="1272"/>
      <c r="AW3" s="1381"/>
      <c r="AX3" s="1272"/>
      <c r="AY3" s="1381"/>
      <c r="AZ3" s="1381"/>
      <c r="BA3" s="1272"/>
      <c r="BB3" s="1272"/>
      <c r="BC3" s="1272"/>
      <c r="BD3" s="1381"/>
      <c r="BE3" s="1272"/>
      <c r="BF3" s="1272"/>
      <c r="BG3" s="1381"/>
      <c r="BH3" s="1272"/>
      <c r="BI3" s="1272"/>
      <c r="BJ3" s="1272"/>
      <c r="BK3" s="1272"/>
      <c r="BL3" s="1272"/>
      <c r="BM3" s="1272"/>
      <c r="BN3" s="1272"/>
      <c r="BO3" s="1272"/>
      <c r="BP3" s="1272"/>
      <c r="BQ3" s="1272"/>
      <c r="BR3" s="1272"/>
      <c r="BS3" s="1272"/>
      <c r="BT3" s="1381"/>
      <c r="BU3" s="1272"/>
      <c r="BV3" s="1381"/>
      <c r="BW3" s="1272"/>
      <c r="BX3" s="1272"/>
      <c r="BY3" s="1272"/>
      <c r="BZ3" s="1272"/>
      <c r="CA3" s="1272"/>
      <c r="CB3" s="1272"/>
      <c r="CC3" s="1381"/>
      <c r="CD3" s="1381"/>
      <c r="CE3" s="1410"/>
      <c r="CF3" s="1410"/>
      <c r="CG3" s="1410"/>
      <c r="CH3" s="1381"/>
      <c r="CI3" s="1272"/>
      <c r="CJ3" s="1410"/>
      <c r="CK3" s="1410"/>
      <c r="CL3" s="1410"/>
      <c r="CM3" s="1410"/>
      <c r="CN3" s="1410"/>
      <c r="CO3" s="1410"/>
      <c r="CP3" s="1410"/>
      <c r="CQ3" s="1272"/>
      <c r="CR3" s="1272"/>
      <c r="CS3" s="1272"/>
      <c r="CT3" s="1381"/>
      <c r="CU3" s="1410"/>
      <c r="CV3" s="1272"/>
      <c r="CW3" s="1410"/>
      <c r="CX3" s="1410"/>
      <c r="CY3" s="1410"/>
      <c r="CZ3" s="1381"/>
      <c r="DA3" s="1381"/>
      <c r="DB3" s="1381"/>
      <c r="DC3" s="1272"/>
      <c r="DD3" s="1410"/>
      <c r="DE3" s="1410"/>
      <c r="DF3" s="1410"/>
      <c r="DG3" s="1410"/>
      <c r="DH3" s="1410"/>
      <c r="DI3" s="1272"/>
      <c r="DJ3" s="1410"/>
      <c r="DK3" s="1410"/>
      <c r="DL3" s="1272"/>
      <c r="DM3" s="1272"/>
      <c r="DN3" s="1410"/>
      <c r="DO3" s="1410"/>
      <c r="DP3" s="1410"/>
      <c r="DQ3" s="1410"/>
      <c r="DR3" s="1381"/>
      <c r="DS3" s="1410"/>
      <c r="DT3" s="1410"/>
      <c r="DU3" s="1410"/>
      <c r="DV3" s="1410"/>
      <c r="DW3" s="1410"/>
      <c r="DX3" s="1409" t="s">
        <v>1707</v>
      </c>
      <c r="DY3" s="1410"/>
      <c r="DZ3" s="1410"/>
      <c r="EA3" s="1410"/>
      <c r="EB3" s="1410"/>
      <c r="EC3" s="1410"/>
      <c r="ED3" s="1410"/>
      <c r="EE3" s="1410"/>
      <c r="EF3" s="1410"/>
      <c r="EG3" s="1410"/>
      <c r="EH3" s="1410"/>
      <c r="EI3" s="1410"/>
      <c r="EJ3" s="1272"/>
      <c r="EK3" s="1410"/>
      <c r="EL3" s="1410"/>
      <c r="EM3" s="1410"/>
      <c r="EN3" s="1381"/>
      <c r="EO3" s="1410"/>
      <c r="EP3" s="1410"/>
      <c r="EQ3" s="1410"/>
      <c r="ER3" s="1410"/>
      <c r="ES3" s="1410"/>
      <c r="ET3" s="1410"/>
      <c r="EU3" s="1272"/>
      <c r="EV3" s="1410"/>
      <c r="EW3" s="1410"/>
      <c r="EX3" s="1410"/>
      <c r="EY3" s="1410"/>
      <c r="EZ3" s="1410"/>
      <c r="FA3" s="1410"/>
      <c r="FB3" s="1410"/>
      <c r="FC3" s="1410"/>
      <c r="FD3" s="1410"/>
      <c r="FE3" s="1410"/>
      <c r="FF3" s="1381"/>
      <c r="FG3" s="1410"/>
      <c r="FH3" s="1410"/>
      <c r="FI3" s="1410"/>
      <c r="FJ3" s="1410"/>
      <c r="FK3" s="1410"/>
      <c r="FL3" s="1410"/>
      <c r="FM3" s="1410"/>
      <c r="FN3" s="1410"/>
      <c r="FO3" s="1410"/>
      <c r="FP3" s="1410"/>
      <c r="FQ3" s="1410"/>
      <c r="FR3" s="1410"/>
      <c r="FS3" s="1410"/>
      <c r="FT3" s="1381"/>
      <c r="FU3" s="1381"/>
      <c r="FV3" s="1381"/>
      <c r="FW3" s="1410"/>
      <c r="FX3" s="1272"/>
      <c r="FY3" s="1410"/>
      <c r="FZ3" s="1410"/>
      <c r="GA3" s="1410"/>
      <c r="GB3" s="1410"/>
      <c r="GC3" s="1410"/>
      <c r="GD3" s="1410"/>
      <c r="GE3" s="1272"/>
      <c r="GF3" s="1272"/>
      <c r="GG3" s="1272"/>
      <c r="GH3" s="1410"/>
      <c r="GI3" s="1410"/>
      <c r="GJ3" s="1272"/>
      <c r="GK3" s="1410"/>
      <c r="GL3" s="1410"/>
      <c r="GM3" s="1410"/>
      <c r="GN3" s="1410"/>
      <c r="GO3" s="1410"/>
      <c r="GP3" s="1410"/>
      <c r="GQ3" s="1410"/>
      <c r="GR3" s="1410"/>
      <c r="GS3" s="1410"/>
      <c r="GT3" s="1410"/>
      <c r="GU3" s="1410"/>
      <c r="GV3" s="1410"/>
      <c r="GW3" s="1272"/>
      <c r="GX3" s="1272"/>
      <c r="GY3" s="1410"/>
      <c r="GZ3" s="1410"/>
      <c r="HA3" s="1410"/>
      <c r="HB3" s="1272"/>
      <c r="HC3" s="1410"/>
      <c r="HD3" s="1272"/>
      <c r="HE3" s="1410"/>
      <c r="HF3" s="1381"/>
      <c r="HG3" s="1381"/>
      <c r="HH3" s="1410"/>
      <c r="HI3" s="1410"/>
      <c r="HJ3" s="1410"/>
      <c r="HK3" s="1410"/>
      <c r="HL3" s="1410"/>
      <c r="HM3" s="1410"/>
      <c r="HN3" s="1410"/>
      <c r="HO3" s="1410"/>
      <c r="HP3" s="1410"/>
      <c r="HQ3" s="1410"/>
      <c r="HR3" s="1410"/>
      <c r="HS3" s="1381"/>
      <c r="HT3" s="1409" t="s">
        <v>1707</v>
      </c>
      <c r="HU3" s="1410"/>
      <c r="HV3" s="1410"/>
      <c r="HW3" s="1410"/>
      <c r="HX3" s="1410"/>
      <c r="HY3" s="1410"/>
      <c r="HZ3" s="1381"/>
      <c r="IA3" s="1410"/>
      <c r="IB3" s="1410"/>
      <c r="IC3" s="1410"/>
      <c r="ID3" s="1410"/>
      <c r="IE3" s="1410"/>
      <c r="IF3" s="1410"/>
      <c r="IG3" s="1410"/>
      <c r="IH3" s="1410"/>
      <c r="II3" s="1410"/>
      <c r="IJ3" s="1410"/>
      <c r="IK3" s="1410"/>
      <c r="IL3" s="1410"/>
      <c r="IM3" s="1410"/>
      <c r="IN3" s="1410"/>
      <c r="IO3" s="1272"/>
      <c r="IP3" s="1410"/>
      <c r="IQ3" s="1410"/>
      <c r="IR3" s="1410"/>
      <c r="IS3" s="1410"/>
      <c r="IT3" s="1410"/>
      <c r="IU3" s="1410"/>
      <c r="IV3" s="1410"/>
      <c r="IW3" s="1410"/>
      <c r="IX3" s="1272"/>
      <c r="IY3" s="1381"/>
      <c r="IZ3" s="1272"/>
      <c r="JA3" s="1272"/>
      <c r="JB3" s="1272"/>
      <c r="JC3" s="1272"/>
      <c r="JD3" s="1272"/>
      <c r="JE3" s="1272"/>
      <c r="JF3" s="1272"/>
      <c r="JG3" s="1272"/>
      <c r="JH3" s="1410"/>
      <c r="JI3" s="1410"/>
      <c r="JJ3" s="1410"/>
      <c r="JK3" s="1410"/>
      <c r="JL3" s="1410"/>
      <c r="JM3" s="1410"/>
      <c r="JN3" s="1410"/>
      <c r="JO3" s="1410"/>
      <c r="JP3" s="1410"/>
      <c r="JQ3" s="1608"/>
      <c r="JR3" s="351"/>
      <c r="JS3" s="1400"/>
      <c r="JT3" s="1385" t="s">
        <v>2319</v>
      </c>
    </row>
    <row r="4" spans="1:280" ht="12.5" x14ac:dyDescent="0.25">
      <c r="A4" s="1367">
        <v>4</v>
      </c>
      <c r="B4" s="1411" t="str">
        <f>IF(PRO_IND&gt;1,IF(HLOOKUP(PRO_IND-1,PRO_RANGE,A4)="","",HLOOKUP(PRO_IND-1,PRO_RANGE,A4)),"")</f>
        <v/>
      </c>
      <c r="C4" s="1628" t="s">
        <v>3737</v>
      </c>
      <c r="D4" s="1531" t="s">
        <v>3738</v>
      </c>
      <c r="E4" s="1381"/>
      <c r="F4" s="1381"/>
      <c r="G4" s="1381"/>
      <c r="H4" s="1272"/>
      <c r="I4" s="1272"/>
      <c r="J4" s="1272"/>
      <c r="K4" s="1272"/>
      <c r="L4" s="1272"/>
      <c r="M4" s="1381"/>
      <c r="N4" s="1272"/>
      <c r="O4" s="1381"/>
      <c r="P4" s="1272"/>
      <c r="Q4" s="1381"/>
      <c r="R4" s="1272"/>
      <c r="S4" s="1272"/>
      <c r="T4" s="1272"/>
      <c r="U4" s="1381"/>
      <c r="V4" s="1272"/>
      <c r="W4" s="1272"/>
      <c r="X4" s="1272"/>
      <c r="Y4" s="1272"/>
      <c r="Z4" s="1272"/>
      <c r="AA4" s="1381"/>
      <c r="AB4" s="1272"/>
      <c r="AC4" s="1381"/>
      <c r="AD4" s="1381"/>
      <c r="AE4" s="1381"/>
      <c r="AF4" s="1381"/>
      <c r="AG4" s="1381"/>
      <c r="AH4" s="1381"/>
      <c r="AI4" s="1272"/>
      <c r="AJ4" s="1381"/>
      <c r="AK4" s="1272"/>
      <c r="AL4" s="1272"/>
      <c r="AM4" s="1272"/>
      <c r="AN4" s="1272"/>
      <c r="AO4" s="1272"/>
      <c r="AP4" s="1272"/>
      <c r="AQ4" s="1272"/>
      <c r="AR4" s="1272"/>
      <c r="AS4" s="1272"/>
      <c r="AT4" s="1272"/>
      <c r="AU4" s="1272"/>
      <c r="AV4" s="1272"/>
      <c r="AW4" s="1381"/>
      <c r="AX4" s="1272"/>
      <c r="AY4" s="1381"/>
      <c r="AZ4" s="1381"/>
      <c r="BA4" s="1272"/>
      <c r="BB4" s="1272"/>
      <c r="BC4" s="1272"/>
      <c r="BD4" s="1381"/>
      <c r="BE4" s="1272"/>
      <c r="BF4" s="1272"/>
      <c r="BG4" s="1381"/>
      <c r="BH4" s="1272"/>
      <c r="BI4" s="1272"/>
      <c r="BJ4" s="1272"/>
      <c r="BK4" s="1272"/>
      <c r="BL4" s="1272"/>
      <c r="BM4" s="1272"/>
      <c r="BN4" s="1272"/>
      <c r="BO4" s="1272"/>
      <c r="BP4" s="1382" t="s">
        <v>1707</v>
      </c>
      <c r="BQ4" s="1272"/>
      <c r="BR4" s="1272"/>
      <c r="BS4" s="1272"/>
      <c r="BT4" s="1381"/>
      <c r="BU4" s="1272"/>
      <c r="BV4" s="1381"/>
      <c r="BW4" s="1272"/>
      <c r="BX4" s="1272"/>
      <c r="BY4" s="1272"/>
      <c r="BZ4" s="1272"/>
      <c r="CA4" s="1272"/>
      <c r="CB4" s="1272"/>
      <c r="CC4" s="1381"/>
      <c r="CD4" s="1381"/>
      <c r="CE4" s="1410"/>
      <c r="CF4" s="1410"/>
      <c r="CG4" s="1410"/>
      <c r="CH4" s="1381"/>
      <c r="CI4" s="1272"/>
      <c r="CJ4" s="1409" t="s">
        <v>1707</v>
      </c>
      <c r="CK4" s="1410"/>
      <c r="CL4" s="1410"/>
      <c r="CM4" s="1410"/>
      <c r="CN4" s="1410"/>
      <c r="CO4" s="1410"/>
      <c r="CP4" s="1410"/>
      <c r="CQ4" s="1366" t="s">
        <v>1707</v>
      </c>
      <c r="CR4" s="1272"/>
      <c r="CS4" s="1272"/>
      <c r="CT4" s="1381" t="s">
        <v>1707</v>
      </c>
      <c r="CU4" s="1410"/>
      <c r="CV4" s="1272"/>
      <c r="CW4" s="1410"/>
      <c r="CX4" s="1410"/>
      <c r="CY4" s="1410"/>
      <c r="CZ4" s="1381"/>
      <c r="DA4" s="1381"/>
      <c r="DB4" s="1381"/>
      <c r="DC4" s="1272"/>
      <c r="DD4" s="1410"/>
      <c r="DE4" s="1410"/>
      <c r="DF4" s="1410"/>
      <c r="DG4" s="1410"/>
      <c r="DH4" s="1410"/>
      <c r="DI4" s="1272"/>
      <c r="DJ4" s="1410"/>
      <c r="DK4" s="1410"/>
      <c r="DL4" s="1272"/>
      <c r="DM4" s="1272"/>
      <c r="DN4" s="1410"/>
      <c r="DO4" s="1410"/>
      <c r="DP4" s="1410"/>
      <c r="DQ4" s="1410"/>
      <c r="DR4" s="1381"/>
      <c r="DS4" s="1410"/>
      <c r="DT4" s="1410"/>
      <c r="DU4" s="1410"/>
      <c r="DV4" s="1410"/>
      <c r="DW4" s="1410"/>
      <c r="DX4" s="1409" t="s">
        <v>1707</v>
      </c>
      <c r="DY4" s="1410"/>
      <c r="DZ4" s="1410"/>
      <c r="EA4" s="1410"/>
      <c r="EB4" s="1409" t="s">
        <v>1707</v>
      </c>
      <c r="EC4" s="1410"/>
      <c r="ED4" s="1410"/>
      <c r="EE4" s="1410"/>
      <c r="EF4" s="1410"/>
      <c r="EG4" s="1410"/>
      <c r="EH4" s="1410"/>
      <c r="EI4" s="1410"/>
      <c r="EJ4" s="1272"/>
      <c r="EK4" s="1410"/>
      <c r="EL4" s="1410"/>
      <c r="EM4" s="1410"/>
      <c r="EN4" s="1382" t="s">
        <v>1707</v>
      </c>
      <c r="EO4" s="1410"/>
      <c r="EP4" s="1409" t="s">
        <v>1707</v>
      </c>
      <c r="EQ4" s="1410"/>
      <c r="ER4" s="1410"/>
      <c r="ES4" s="1410"/>
      <c r="ET4" s="1409" t="s">
        <v>1707</v>
      </c>
      <c r="EU4" s="1272"/>
      <c r="EV4" s="1410"/>
      <c r="EW4" s="1410"/>
      <c r="EX4" s="1410"/>
      <c r="EY4" s="1410"/>
      <c r="EZ4" s="1410"/>
      <c r="FA4" s="1410"/>
      <c r="FB4" s="1410"/>
      <c r="FC4" s="1410"/>
      <c r="FD4" s="1410"/>
      <c r="FE4" s="1410"/>
      <c r="FF4" s="1381"/>
      <c r="FG4" s="1410"/>
      <c r="FH4" s="1410"/>
      <c r="FI4" s="1410"/>
      <c r="FJ4" s="1410"/>
      <c r="FK4" s="1410"/>
      <c r="FL4" s="1410"/>
      <c r="FM4" s="1410"/>
      <c r="FN4" s="1410"/>
      <c r="FO4" s="1409" t="s">
        <v>1707</v>
      </c>
      <c r="FP4" s="1410"/>
      <c r="FQ4" s="1410"/>
      <c r="FR4" s="1410"/>
      <c r="FS4" s="1410"/>
      <c r="FT4" s="1381"/>
      <c r="FU4" s="1381"/>
      <c r="FV4" s="1381" t="s">
        <v>1707</v>
      </c>
      <c r="FW4" s="1410"/>
      <c r="FX4" s="1272"/>
      <c r="FY4" s="1410"/>
      <c r="FZ4" s="1410"/>
      <c r="GA4" s="1410"/>
      <c r="GB4" s="1410"/>
      <c r="GC4" s="1410"/>
      <c r="GD4" s="1410"/>
      <c r="GE4" s="1272"/>
      <c r="GF4" s="1272"/>
      <c r="GG4" s="1272"/>
      <c r="GH4" s="1410"/>
      <c r="GI4" s="1410"/>
      <c r="GJ4" s="1272"/>
      <c r="GK4" s="1410"/>
      <c r="GL4" s="1410"/>
      <c r="GM4" s="1410"/>
      <c r="GN4" s="1410"/>
      <c r="GO4" s="1410"/>
      <c r="GP4" s="1410"/>
      <c r="GQ4" s="1410"/>
      <c r="GR4" s="1410"/>
      <c r="GS4" s="1410"/>
      <c r="GT4" s="1410"/>
      <c r="GU4" s="1410"/>
      <c r="GV4" s="1410"/>
      <c r="GW4" s="1272"/>
      <c r="GX4" s="1272"/>
      <c r="GY4" s="1410"/>
      <c r="GZ4" s="1410"/>
      <c r="HA4" s="1410"/>
      <c r="HB4" s="1272"/>
      <c r="HC4" s="1410"/>
      <c r="HD4" s="1272"/>
      <c r="HE4" s="1410"/>
      <c r="HF4" s="1381"/>
      <c r="HG4" s="1381"/>
      <c r="HH4" s="1410"/>
      <c r="HI4" s="1410"/>
      <c r="HJ4" s="1410"/>
      <c r="HK4" s="1410"/>
      <c r="HL4" s="1410"/>
      <c r="HM4" s="1410"/>
      <c r="HN4" s="1410"/>
      <c r="HO4" s="1410"/>
      <c r="HP4" s="1410"/>
      <c r="HQ4" s="1410"/>
      <c r="HR4" s="1410"/>
      <c r="HS4" s="1381" t="s">
        <v>1707</v>
      </c>
      <c r="HT4" s="1409" t="s">
        <v>1707</v>
      </c>
      <c r="HU4" s="1410"/>
      <c r="HV4" s="1410"/>
      <c r="HW4" s="1410"/>
      <c r="HX4" s="1410"/>
      <c r="HY4" s="1410"/>
      <c r="HZ4" s="1381" t="s">
        <v>1707</v>
      </c>
      <c r="IA4" s="1410"/>
      <c r="IB4" s="1410"/>
      <c r="IC4" s="1410"/>
      <c r="ID4" s="1410"/>
      <c r="IE4" s="1410"/>
      <c r="IF4" s="1409" t="s">
        <v>1707</v>
      </c>
      <c r="IG4" s="1410"/>
      <c r="IH4" s="1410"/>
      <c r="II4" s="1409" t="s">
        <v>1707</v>
      </c>
      <c r="IJ4" s="1410"/>
      <c r="IK4" s="1410"/>
      <c r="IL4" s="1410"/>
      <c r="IM4" s="1410"/>
      <c r="IN4" s="1410"/>
      <c r="IO4" s="1272"/>
      <c r="IP4" s="1410" t="s">
        <v>1707</v>
      </c>
      <c r="IQ4" s="1410"/>
      <c r="IR4" s="1410"/>
      <c r="IS4" s="1410"/>
      <c r="IT4" s="1410" t="s">
        <v>1707</v>
      </c>
      <c r="IU4" s="1410"/>
      <c r="IV4" s="1410"/>
      <c r="IW4" s="1410" t="s">
        <v>1707</v>
      </c>
      <c r="IX4" s="1272"/>
      <c r="IY4" s="1381" t="s">
        <v>1707</v>
      </c>
      <c r="IZ4" s="1272"/>
      <c r="JA4" s="1272"/>
      <c r="JB4" s="1272"/>
      <c r="JC4" s="1272"/>
      <c r="JD4" s="1272"/>
      <c r="JE4" s="1272"/>
      <c r="JF4" s="1272"/>
      <c r="JG4" s="1272"/>
      <c r="JH4" s="1410" t="s">
        <v>1707</v>
      </c>
      <c r="JI4" s="1410" t="s">
        <v>1707</v>
      </c>
      <c r="JJ4" s="1410"/>
      <c r="JK4" s="1410" t="s">
        <v>1707</v>
      </c>
      <c r="JL4" s="1410" t="s">
        <v>1707</v>
      </c>
      <c r="JM4" s="1410"/>
      <c r="JN4" s="1410"/>
      <c r="JO4" s="1410"/>
      <c r="JP4" s="1410"/>
      <c r="JQ4" s="1608"/>
      <c r="JR4" s="351"/>
      <c r="JS4" s="1400"/>
      <c r="JT4" s="1385" t="s">
        <v>2319</v>
      </c>
    </row>
    <row r="5" spans="1:280" ht="12.5" x14ac:dyDescent="0.25">
      <c r="A5" s="1367">
        <v>5</v>
      </c>
      <c r="B5" s="1411" t="str">
        <f>IF(PRO_IND&gt;1,IF(HLOOKUP(PRO_IND-1,PRO_RANGE,A5)="","",HLOOKUP(PRO_IND-1,PRO_RANGE,A5)),"")</f>
        <v/>
      </c>
      <c r="C5" s="1628" t="s">
        <v>3739</v>
      </c>
      <c r="D5" s="1531" t="s">
        <v>3740</v>
      </c>
      <c r="E5" s="1457"/>
      <c r="F5" s="1457"/>
      <c r="G5" s="1457"/>
      <c r="H5" s="1457"/>
      <c r="I5" s="1457"/>
      <c r="J5" s="1457"/>
      <c r="K5" s="1457"/>
      <c r="L5" s="1457"/>
      <c r="M5" s="1457"/>
      <c r="N5" s="1457"/>
      <c r="O5" s="1457"/>
      <c r="P5" s="1457"/>
      <c r="Q5" s="1457"/>
      <c r="R5" s="1457"/>
      <c r="S5" s="1457"/>
      <c r="T5" s="1457"/>
      <c r="U5" s="1457"/>
      <c r="V5" s="1457"/>
      <c r="W5" s="1457"/>
      <c r="X5" s="1457"/>
      <c r="Y5" s="1457"/>
      <c r="Z5" s="1457"/>
      <c r="AA5" s="1457"/>
      <c r="AB5" s="1457"/>
      <c r="AC5" s="1457"/>
      <c r="AD5" s="1457"/>
      <c r="AE5" s="1457"/>
      <c r="AF5" s="1457"/>
      <c r="AG5" s="1457"/>
      <c r="AH5" s="1457"/>
      <c r="AI5" s="1457"/>
      <c r="AJ5" s="1381"/>
      <c r="AK5" s="1457"/>
      <c r="AL5" s="1457"/>
      <c r="AM5" s="1457"/>
      <c r="AN5" s="1457"/>
      <c r="AO5" s="1457"/>
      <c r="AP5" s="1457"/>
      <c r="AQ5" s="1457"/>
      <c r="AR5" s="1457"/>
      <c r="AS5" s="1457"/>
      <c r="AT5" s="1457"/>
      <c r="AU5" s="1457"/>
      <c r="AV5" s="1457"/>
      <c r="AW5" s="1457"/>
      <c r="AX5" s="1457"/>
      <c r="AY5" s="1457"/>
      <c r="AZ5" s="1457"/>
      <c r="BA5" s="1457"/>
      <c r="BB5" s="1457"/>
      <c r="BC5" s="1457"/>
      <c r="BD5" s="1457"/>
      <c r="BE5" s="1457"/>
      <c r="BF5" s="1457"/>
      <c r="BG5" s="1457"/>
      <c r="BH5" s="1457"/>
      <c r="BI5" s="1457"/>
      <c r="BJ5" s="1457"/>
      <c r="BK5" s="1457"/>
      <c r="BL5" s="1457"/>
      <c r="BM5" s="1457"/>
      <c r="BN5" s="1457"/>
      <c r="BO5" s="1457"/>
      <c r="BP5" s="1457"/>
      <c r="BQ5" s="1457"/>
      <c r="BR5" s="1457"/>
      <c r="BS5" s="1457"/>
      <c r="BT5" s="1382" t="s">
        <v>1707</v>
      </c>
      <c r="BU5" s="1457"/>
      <c r="BV5" s="1457"/>
      <c r="BW5" s="1457"/>
      <c r="BX5" s="1457"/>
      <c r="BY5" s="1457"/>
      <c r="BZ5" s="1457"/>
      <c r="CA5" s="1457"/>
      <c r="CB5" s="1457"/>
      <c r="CC5" s="1457"/>
      <c r="CD5" s="1457"/>
      <c r="CE5" s="1459"/>
      <c r="CF5" s="1459"/>
      <c r="CG5" s="1459"/>
      <c r="CH5" s="1457"/>
      <c r="CI5" s="1457"/>
      <c r="CJ5" s="1459"/>
      <c r="CK5" s="1459"/>
      <c r="CL5" s="1459"/>
      <c r="CM5" s="1459"/>
      <c r="CN5" s="1459"/>
      <c r="CO5" s="1459"/>
      <c r="CP5" s="1459"/>
      <c r="CQ5" s="1457"/>
      <c r="CR5" s="1457"/>
      <c r="CS5" s="1457"/>
      <c r="CT5" s="1457"/>
      <c r="CU5" s="1459"/>
      <c r="CV5" s="1457"/>
      <c r="CW5" s="1459"/>
      <c r="CX5" s="1459"/>
      <c r="CY5" s="1459"/>
      <c r="CZ5" s="1457"/>
      <c r="DA5" s="1457"/>
      <c r="DB5" s="1457"/>
      <c r="DC5" s="1457"/>
      <c r="DD5" s="1459"/>
      <c r="DE5" s="1459"/>
      <c r="DF5" s="1459"/>
      <c r="DG5" s="1459"/>
      <c r="DH5" s="1459"/>
      <c r="DI5" s="1457"/>
      <c r="DJ5" s="1459"/>
      <c r="DK5" s="1459"/>
      <c r="DL5" s="1457"/>
      <c r="DM5" s="1457"/>
      <c r="DN5" s="1459"/>
      <c r="DO5" s="1459"/>
      <c r="DP5" s="1459"/>
      <c r="DQ5" s="1459"/>
      <c r="DR5" s="1457"/>
      <c r="DS5" s="1459"/>
      <c r="DT5" s="1459"/>
      <c r="DU5" s="1459"/>
      <c r="DV5" s="1459"/>
      <c r="DW5" s="1459"/>
      <c r="DX5" s="1459"/>
      <c r="DY5" s="1459"/>
      <c r="DZ5" s="1459"/>
      <c r="EA5" s="1459"/>
      <c r="EB5" s="1459"/>
      <c r="EC5" s="1459"/>
      <c r="ED5" s="1459"/>
      <c r="EE5" s="1459"/>
      <c r="EF5" s="1459"/>
      <c r="EG5" s="1459"/>
      <c r="EH5" s="1459"/>
      <c r="EI5" s="1459"/>
      <c r="EJ5" s="1457"/>
      <c r="EK5" s="1459"/>
      <c r="EL5" s="1459"/>
      <c r="EM5" s="1459"/>
      <c r="EN5" s="1457"/>
      <c r="EO5" s="1459"/>
      <c r="EP5" s="1459"/>
      <c r="EQ5" s="1459"/>
      <c r="ER5" s="1459"/>
      <c r="ES5" s="1459"/>
      <c r="ET5" s="1459"/>
      <c r="EU5" s="1457"/>
      <c r="EV5" s="1459"/>
      <c r="EW5" s="1459"/>
      <c r="EX5" s="1459"/>
      <c r="EY5" s="1459"/>
      <c r="EZ5" s="1459"/>
      <c r="FA5" s="1459"/>
      <c r="FB5" s="1459"/>
      <c r="FC5" s="1459"/>
      <c r="FD5" s="1459"/>
      <c r="FE5" s="1459"/>
      <c r="FF5" s="1457"/>
      <c r="FG5" s="1459"/>
      <c r="FH5" s="1459"/>
      <c r="FI5" s="1459"/>
      <c r="FJ5" s="1459"/>
      <c r="FK5" s="1459"/>
      <c r="FL5" s="1459"/>
      <c r="FM5" s="1459"/>
      <c r="FN5" s="1459"/>
      <c r="FO5" s="1459"/>
      <c r="FP5" s="1459"/>
      <c r="FQ5" s="1459"/>
      <c r="FR5" s="1459"/>
      <c r="FS5" s="1459"/>
      <c r="FT5" s="1457"/>
      <c r="FU5" s="1457"/>
      <c r="FV5" s="1457"/>
      <c r="FW5" s="1459"/>
      <c r="FX5" s="1457"/>
      <c r="FY5" s="1459"/>
      <c r="FZ5" s="1459"/>
      <c r="GA5" s="1459"/>
      <c r="GB5" s="1459"/>
      <c r="GC5" s="1459"/>
      <c r="GD5" s="1459"/>
      <c r="GE5" s="1457"/>
      <c r="GF5" s="1457"/>
      <c r="GG5" s="1457"/>
      <c r="GH5" s="1459"/>
      <c r="GI5" s="1459"/>
      <c r="GJ5" s="1457"/>
      <c r="GK5" s="1459"/>
      <c r="GL5" s="1459"/>
      <c r="GM5" s="1459"/>
      <c r="GN5" s="1459"/>
      <c r="GO5" s="1459"/>
      <c r="GP5" s="1459"/>
      <c r="GQ5" s="1459"/>
      <c r="GR5" s="1459"/>
      <c r="GS5" s="1459"/>
      <c r="GT5" s="1459"/>
      <c r="GU5" s="1459"/>
      <c r="GV5" s="1459"/>
      <c r="GW5" s="1457"/>
      <c r="GX5" s="1457"/>
      <c r="GY5" s="1459"/>
      <c r="GZ5" s="1459"/>
      <c r="HA5" s="1459"/>
      <c r="HB5" s="1457"/>
      <c r="HC5" s="1459"/>
      <c r="HD5" s="1457"/>
      <c r="HE5" s="1459"/>
      <c r="HF5" s="1457"/>
      <c r="HG5" s="1457"/>
      <c r="HH5" s="1459"/>
      <c r="HI5" s="1459"/>
      <c r="HJ5" s="1459"/>
      <c r="HK5" s="1459"/>
      <c r="HL5" s="1459"/>
      <c r="HM5" s="1459"/>
      <c r="HN5" s="1459"/>
      <c r="HO5" s="1459"/>
      <c r="HP5" s="1459"/>
      <c r="HQ5" s="1459"/>
      <c r="HR5" s="1609"/>
      <c r="HS5" s="1610"/>
      <c r="HT5" s="1609"/>
      <c r="HU5" s="1609"/>
      <c r="HV5" s="1609"/>
      <c r="HW5" s="1609"/>
      <c r="HX5" s="1609"/>
      <c r="HY5" s="1609"/>
      <c r="HZ5" s="1610"/>
      <c r="IA5" s="1459"/>
      <c r="IB5" s="1459"/>
      <c r="IC5" s="1459"/>
      <c r="ID5" s="1459"/>
      <c r="IE5" s="1459"/>
      <c r="IF5" s="1459"/>
      <c r="IG5" s="1459"/>
      <c r="IH5" s="1459"/>
      <c r="II5" s="1459"/>
      <c r="IJ5" s="1459"/>
      <c r="IK5" s="1459"/>
      <c r="IL5" s="1459"/>
      <c r="IM5" s="1459"/>
      <c r="IN5" s="1459"/>
      <c r="IO5" s="1457"/>
      <c r="IP5" s="1459"/>
      <c r="IQ5" s="1459"/>
      <c r="IR5" s="1459"/>
      <c r="IS5" s="1459"/>
      <c r="IT5" s="1459"/>
      <c r="IU5" s="1459"/>
      <c r="IV5" s="1459"/>
      <c r="IW5" s="1459"/>
      <c r="IX5" s="1457"/>
      <c r="IY5" s="1381"/>
      <c r="IZ5" s="1457"/>
      <c r="JA5" s="1457"/>
      <c r="JB5" s="1457"/>
      <c r="JC5" s="1457"/>
      <c r="JD5" s="1457"/>
      <c r="JE5" s="1457"/>
      <c r="JF5" s="1457"/>
      <c r="JG5" s="1457"/>
      <c r="JH5" s="1459"/>
      <c r="JI5" s="1459"/>
      <c r="JJ5" s="1459"/>
      <c r="JK5" s="1459"/>
      <c r="JL5" s="1459"/>
      <c r="JM5" s="1459"/>
      <c r="JN5" s="1459"/>
      <c r="JO5" s="1459"/>
      <c r="JP5" s="1459"/>
      <c r="JQ5" s="1611"/>
      <c r="JR5" s="351"/>
      <c r="JS5" s="1400"/>
      <c r="JT5" s="1385" t="s">
        <v>2319</v>
      </c>
    </row>
    <row r="6" spans="1:280" ht="12.5" x14ac:dyDescent="0.25">
      <c r="A6" s="1367">
        <v>6</v>
      </c>
      <c r="B6" s="1411" t="str">
        <f>IF(PRO_IND&gt;1,IF(HLOOKUP(PRO_IND-1,PRO_RANGE,A6)="","",HLOOKUP(PRO_IND-1,PRO_RANGE,A6)),"")</f>
        <v/>
      </c>
      <c r="C6" s="1617" t="s">
        <v>3741</v>
      </c>
      <c r="D6" s="1612" t="s">
        <v>3742</v>
      </c>
      <c r="E6" s="1452"/>
      <c r="F6" s="1452"/>
      <c r="G6" s="1452"/>
      <c r="H6" s="1452"/>
      <c r="I6" s="1452"/>
      <c r="J6" s="1452"/>
      <c r="K6" s="1452"/>
      <c r="L6" s="1452"/>
      <c r="M6" s="1452"/>
      <c r="N6" s="1452"/>
      <c r="O6" s="1452"/>
      <c r="P6" s="1452"/>
      <c r="Q6" s="1452"/>
      <c r="R6" s="1452"/>
      <c r="S6" s="1452"/>
      <c r="T6" s="1452"/>
      <c r="U6" s="1452"/>
      <c r="V6" s="1452"/>
      <c r="W6" s="1452"/>
      <c r="X6" s="1452"/>
      <c r="Y6" s="1452"/>
      <c r="Z6" s="1452"/>
      <c r="AA6" s="1452"/>
      <c r="AB6" s="1452"/>
      <c r="AC6" s="1452"/>
      <c r="AD6" s="1452"/>
      <c r="AE6" s="1452"/>
      <c r="AF6" s="1452"/>
      <c r="AG6" s="1452"/>
      <c r="AH6" s="1452"/>
      <c r="AI6" s="1452"/>
      <c r="AJ6" s="1453"/>
      <c r="AK6" s="1452"/>
      <c r="AL6" s="1452"/>
      <c r="AM6" s="1452"/>
      <c r="AN6" s="1452"/>
      <c r="AO6" s="1452"/>
      <c r="AP6" s="1452"/>
      <c r="AQ6" s="1452"/>
      <c r="AR6" s="1452"/>
      <c r="AS6" s="1452"/>
      <c r="AT6" s="1452"/>
      <c r="AU6" s="1452"/>
      <c r="AV6" s="1452"/>
      <c r="AW6" s="1452"/>
      <c r="AX6" s="1452"/>
      <c r="AY6" s="1452"/>
      <c r="AZ6" s="1452"/>
      <c r="BA6" s="1452"/>
      <c r="BB6" s="1452"/>
      <c r="BC6" s="1452"/>
      <c r="BD6" s="1452"/>
      <c r="BE6" s="1452"/>
      <c r="BF6" s="1452"/>
      <c r="BG6" s="1452"/>
      <c r="BH6" s="1452"/>
      <c r="BI6" s="1452"/>
      <c r="BJ6" s="1452"/>
      <c r="BK6" s="1452"/>
      <c r="BL6" s="1452"/>
      <c r="BM6" s="1452"/>
      <c r="BN6" s="1452"/>
      <c r="BO6" s="1452"/>
      <c r="BP6" s="1452"/>
      <c r="BQ6" s="1452"/>
      <c r="BR6" s="1452"/>
      <c r="BS6" s="1452"/>
      <c r="BT6" s="1452"/>
      <c r="BU6" s="1452"/>
      <c r="BV6" s="1452"/>
      <c r="BW6" s="1452"/>
      <c r="BX6" s="1454"/>
      <c r="BY6" s="1452"/>
      <c r="BZ6" s="1452"/>
      <c r="CA6" s="1452"/>
      <c r="CB6" s="1454"/>
      <c r="CC6" s="1452"/>
      <c r="CD6" s="1452"/>
      <c r="CE6" s="1455"/>
      <c r="CF6" s="1455"/>
      <c r="CG6" s="1455"/>
      <c r="CH6" s="1452"/>
      <c r="CI6" s="1454"/>
      <c r="CJ6" s="1455"/>
      <c r="CK6" s="1455"/>
      <c r="CL6" s="1455"/>
      <c r="CM6" s="1455"/>
      <c r="CN6" s="1455"/>
      <c r="CO6" s="1455"/>
      <c r="CP6" s="1455"/>
      <c r="CQ6" s="1454"/>
      <c r="CR6" s="1452"/>
      <c r="CS6" s="1452"/>
      <c r="CT6" s="1454"/>
      <c r="CU6" s="1455"/>
      <c r="CV6" s="1454"/>
      <c r="CW6" s="1455"/>
      <c r="CX6" s="1455"/>
      <c r="CY6" s="1455"/>
      <c r="CZ6" s="1452"/>
      <c r="DA6" s="1452"/>
      <c r="DB6" s="1454"/>
      <c r="DC6" s="1454"/>
      <c r="DD6" s="1455"/>
      <c r="DE6" s="1455"/>
      <c r="DF6" s="1455"/>
      <c r="DG6" s="1455"/>
      <c r="DH6" s="1455"/>
      <c r="DI6" s="1454"/>
      <c r="DJ6" s="1455"/>
      <c r="DK6" s="1455"/>
      <c r="DL6" s="1454"/>
      <c r="DM6" s="1454"/>
      <c r="DN6" s="1455"/>
      <c r="DO6" s="1455"/>
      <c r="DP6" s="1455"/>
      <c r="DQ6" s="1455"/>
      <c r="DR6" s="1452"/>
      <c r="DS6" s="1455"/>
      <c r="DT6" s="1455"/>
      <c r="DU6" s="1455"/>
      <c r="DV6" s="1455"/>
      <c r="DW6" s="1455"/>
      <c r="DX6" s="1455"/>
      <c r="DY6" s="1455"/>
      <c r="DZ6" s="1455"/>
      <c r="EA6" s="1455"/>
      <c r="EB6" s="1455"/>
      <c r="EC6" s="1455"/>
      <c r="ED6" s="1455"/>
      <c r="EE6" s="1455"/>
      <c r="EF6" s="1455"/>
      <c r="EG6" s="1455"/>
      <c r="EH6" s="1455"/>
      <c r="EI6" s="1455"/>
      <c r="EJ6" s="1454"/>
      <c r="EK6" s="1455"/>
      <c r="EL6" s="1455"/>
      <c r="EM6" s="1455"/>
      <c r="EN6" s="1452"/>
      <c r="EO6" s="1455"/>
      <c r="EP6" s="1455"/>
      <c r="EQ6" s="1455"/>
      <c r="ER6" s="1455"/>
      <c r="ES6" s="1455"/>
      <c r="ET6" s="1455"/>
      <c r="EU6" s="1452"/>
      <c r="EV6" s="1455"/>
      <c r="EW6" s="1455"/>
      <c r="EX6" s="1455"/>
      <c r="EY6" s="1455"/>
      <c r="EZ6" s="1455"/>
      <c r="FA6" s="1455"/>
      <c r="FB6" s="1455"/>
      <c r="FC6" s="1455"/>
      <c r="FD6" s="1455"/>
      <c r="FE6" s="1455"/>
      <c r="FF6" s="1452"/>
      <c r="FG6" s="1455"/>
      <c r="FH6" s="1455"/>
      <c r="FI6" s="1455"/>
      <c r="FJ6" s="1455"/>
      <c r="FK6" s="1455"/>
      <c r="FL6" s="1455"/>
      <c r="FM6" s="1455"/>
      <c r="FN6" s="1455"/>
      <c r="FO6" s="1455"/>
      <c r="FP6" s="1455"/>
      <c r="FQ6" s="1455"/>
      <c r="FR6" s="1455"/>
      <c r="FS6" s="1455"/>
      <c r="FT6" s="1452"/>
      <c r="FU6" s="1452"/>
      <c r="FV6" s="1454"/>
      <c r="FW6" s="1455"/>
      <c r="FX6" s="1452"/>
      <c r="FY6" s="1455"/>
      <c r="FZ6" s="1455"/>
      <c r="GA6" s="1455"/>
      <c r="GB6" s="1455"/>
      <c r="GC6" s="1455"/>
      <c r="GD6" s="1455"/>
      <c r="GE6" s="1454"/>
      <c r="GF6" s="1454"/>
      <c r="GG6" s="1452"/>
      <c r="GH6" s="1455"/>
      <c r="GI6" s="1455"/>
      <c r="GJ6" s="1452"/>
      <c r="GK6" s="1455"/>
      <c r="GL6" s="1455"/>
      <c r="GM6" s="1455"/>
      <c r="GN6" s="1455"/>
      <c r="GO6" s="1455"/>
      <c r="GP6" s="1455"/>
      <c r="GQ6" s="1455"/>
      <c r="GR6" s="1455"/>
      <c r="GS6" s="1455"/>
      <c r="GT6" s="1455"/>
      <c r="GU6" s="1455"/>
      <c r="GV6" s="1455"/>
      <c r="GW6" s="1452"/>
      <c r="GX6" s="1454"/>
      <c r="GY6" s="1455"/>
      <c r="GZ6" s="1455"/>
      <c r="HA6" s="1455"/>
      <c r="HB6" s="1454"/>
      <c r="HC6" s="1455"/>
      <c r="HD6" s="1452"/>
      <c r="HE6" s="1455"/>
      <c r="HF6" s="1452"/>
      <c r="HG6" s="1452"/>
      <c r="HH6" s="1455"/>
      <c r="HI6" s="1455"/>
      <c r="HJ6" s="1455"/>
      <c r="HK6" s="1455"/>
      <c r="HL6" s="1455"/>
      <c r="HM6" s="1455"/>
      <c r="HN6" s="1455"/>
      <c r="HO6" s="1455"/>
      <c r="HP6" s="1455"/>
      <c r="HQ6" s="1455"/>
      <c r="HR6" s="1455"/>
      <c r="HS6" s="1454"/>
      <c r="HT6" s="1455"/>
      <c r="HU6" s="1455"/>
      <c r="HV6" s="1455"/>
      <c r="HW6" s="1455"/>
      <c r="HX6" s="1455"/>
      <c r="HY6" s="1455"/>
      <c r="HZ6" s="1454"/>
      <c r="IA6" s="1455"/>
      <c r="IB6" s="1455"/>
      <c r="IC6" s="1455"/>
      <c r="ID6" s="1455"/>
      <c r="IE6" s="1455"/>
      <c r="IF6" s="1455"/>
      <c r="IG6" s="1455"/>
      <c r="IH6" s="1455"/>
      <c r="II6" s="1455"/>
      <c r="IJ6" s="1455"/>
      <c r="IK6" s="1455"/>
      <c r="IL6" s="1455"/>
      <c r="IM6" s="1455"/>
      <c r="IN6" s="1455"/>
      <c r="IO6" s="1452"/>
      <c r="IP6" s="1455"/>
      <c r="IQ6" s="1455"/>
      <c r="IR6" s="1455"/>
      <c r="IS6" s="1455"/>
      <c r="IT6" s="1455"/>
      <c r="IU6" s="1455"/>
      <c r="IV6" s="1455"/>
      <c r="IW6" s="1455"/>
      <c r="IX6" s="1452"/>
      <c r="IY6" s="1453"/>
      <c r="IZ6" s="1452"/>
      <c r="JA6" s="1452"/>
      <c r="JB6" s="1452"/>
      <c r="JC6" s="1452"/>
      <c r="JD6" s="1452"/>
      <c r="JE6" s="1452"/>
      <c r="JF6" s="1452"/>
      <c r="JG6" s="1454"/>
      <c r="JH6" s="1455"/>
      <c r="JI6" s="1455"/>
      <c r="JJ6" s="1455"/>
      <c r="JK6" s="1455"/>
      <c r="JL6" s="1455"/>
      <c r="JM6" s="1455"/>
      <c r="JN6" s="1455"/>
      <c r="JO6" s="1455"/>
      <c r="JP6" s="1455"/>
      <c r="JQ6" s="1613"/>
      <c r="JR6" s="351"/>
      <c r="JS6" s="1614"/>
      <c r="JT6" s="1615" t="s">
        <v>2224</v>
      </c>
    </row>
    <row r="7" spans="1:280" ht="20" x14ac:dyDescent="0.25">
      <c r="A7" s="1367">
        <v>7</v>
      </c>
      <c r="B7" s="1411" t="str">
        <f t="shared" ref="B7:B14" si="0">IF(PRO_IND&gt;1,IF(HLOOKUP(PRO_IND-1,PRO_RANGE,A7)="","",HLOOKUP(PRO_IND-1,PRO_RANGE,A7)),"")</f>
        <v/>
      </c>
      <c r="C7" s="1617" t="s">
        <v>3743</v>
      </c>
      <c r="D7" s="1612" t="s">
        <v>3744</v>
      </c>
      <c r="E7" s="1452"/>
      <c r="F7" s="1452"/>
      <c r="G7" s="1452"/>
      <c r="H7" s="1452"/>
      <c r="I7" s="1452"/>
      <c r="J7" s="1452"/>
      <c r="K7" s="1452"/>
      <c r="L7" s="1452"/>
      <c r="M7" s="1452"/>
      <c r="N7" s="1452"/>
      <c r="O7" s="1452"/>
      <c r="P7" s="1452"/>
      <c r="Q7" s="1452"/>
      <c r="R7" s="1452"/>
      <c r="S7" s="1452"/>
      <c r="T7" s="1452"/>
      <c r="U7" s="1452"/>
      <c r="V7" s="1452"/>
      <c r="W7" s="1452"/>
      <c r="X7" s="1452"/>
      <c r="Y7" s="1452"/>
      <c r="Z7" s="1452"/>
      <c r="AA7" s="1452"/>
      <c r="AB7" s="1452"/>
      <c r="AC7" s="1452"/>
      <c r="AD7" s="1452"/>
      <c r="AE7" s="1452"/>
      <c r="AF7" s="1452"/>
      <c r="AG7" s="1452"/>
      <c r="AH7" s="1452"/>
      <c r="AI7" s="1452"/>
      <c r="AJ7" s="1453"/>
      <c r="AK7" s="1452"/>
      <c r="AL7" s="1452"/>
      <c r="AM7" s="1452"/>
      <c r="AN7" s="1452"/>
      <c r="AO7" s="1452"/>
      <c r="AP7" s="1452"/>
      <c r="AQ7" s="1452"/>
      <c r="AR7" s="1452"/>
      <c r="AS7" s="1452"/>
      <c r="AT7" s="1452"/>
      <c r="AU7" s="1452"/>
      <c r="AV7" s="1452"/>
      <c r="AW7" s="1452"/>
      <c r="AX7" s="1452"/>
      <c r="AY7" s="1452"/>
      <c r="AZ7" s="1452"/>
      <c r="BA7" s="1452"/>
      <c r="BB7" s="1452"/>
      <c r="BC7" s="1452"/>
      <c r="BD7" s="1452"/>
      <c r="BE7" s="1452"/>
      <c r="BF7" s="1452"/>
      <c r="BG7" s="1452"/>
      <c r="BH7" s="1452"/>
      <c r="BI7" s="1452"/>
      <c r="BJ7" s="1452"/>
      <c r="BK7" s="1452"/>
      <c r="BL7" s="1452"/>
      <c r="BM7" s="1452"/>
      <c r="BN7" s="1452"/>
      <c r="BO7" s="1452"/>
      <c r="BP7" s="1452"/>
      <c r="BQ7" s="1452"/>
      <c r="BR7" s="1452"/>
      <c r="BS7" s="1452"/>
      <c r="BT7" s="1452"/>
      <c r="BU7" s="1452"/>
      <c r="BV7" s="1452"/>
      <c r="BW7" s="1452"/>
      <c r="BX7" s="1452"/>
      <c r="BY7" s="1452"/>
      <c r="BZ7" s="1452"/>
      <c r="CA7" s="1452"/>
      <c r="CB7" s="1452"/>
      <c r="CC7" s="1452"/>
      <c r="CD7" s="1452"/>
      <c r="CE7" s="1455"/>
      <c r="CF7" s="1455"/>
      <c r="CG7" s="1455"/>
      <c r="CH7" s="1452"/>
      <c r="CI7" s="1452"/>
      <c r="CJ7" s="1455"/>
      <c r="CK7" s="1455"/>
      <c r="CL7" s="1455"/>
      <c r="CM7" s="1455"/>
      <c r="CN7" s="1455"/>
      <c r="CO7" s="1455"/>
      <c r="CP7" s="1455"/>
      <c r="CQ7" s="1452"/>
      <c r="CR7" s="1452"/>
      <c r="CS7" s="1452"/>
      <c r="CT7" s="1452"/>
      <c r="CU7" s="1455"/>
      <c r="CV7" s="1452"/>
      <c r="CW7" s="1455"/>
      <c r="CX7" s="1455"/>
      <c r="CY7" s="1455"/>
      <c r="CZ7" s="1452"/>
      <c r="DA7" s="1452"/>
      <c r="DB7" s="1452"/>
      <c r="DC7" s="1452"/>
      <c r="DD7" s="1455"/>
      <c r="DE7" s="1455"/>
      <c r="DF7" s="1455"/>
      <c r="DG7" s="1455"/>
      <c r="DH7" s="1455"/>
      <c r="DI7" s="1452"/>
      <c r="DJ7" s="1455"/>
      <c r="DK7" s="1455"/>
      <c r="DL7" s="1452"/>
      <c r="DM7" s="1452"/>
      <c r="DN7" s="1455"/>
      <c r="DO7" s="1455"/>
      <c r="DP7" s="1455"/>
      <c r="DQ7" s="1455"/>
      <c r="DR7" s="1452"/>
      <c r="DS7" s="1455"/>
      <c r="DT7" s="1455"/>
      <c r="DU7" s="1455"/>
      <c r="DV7" s="1455"/>
      <c r="DW7" s="1455"/>
      <c r="DX7" s="1455"/>
      <c r="DY7" s="1455"/>
      <c r="DZ7" s="1455"/>
      <c r="EA7" s="1455"/>
      <c r="EB7" s="1455"/>
      <c r="EC7" s="1455"/>
      <c r="ED7" s="1455"/>
      <c r="EE7" s="1455"/>
      <c r="EF7" s="1455"/>
      <c r="EG7" s="1455"/>
      <c r="EH7" s="1455"/>
      <c r="EI7" s="1455"/>
      <c r="EJ7" s="1452"/>
      <c r="EK7" s="1455"/>
      <c r="EL7" s="1455"/>
      <c r="EM7" s="1455"/>
      <c r="EN7" s="1452"/>
      <c r="EO7" s="1455"/>
      <c r="EP7" s="1455"/>
      <c r="EQ7" s="1455"/>
      <c r="ER7" s="1455"/>
      <c r="ES7" s="1455"/>
      <c r="ET7" s="1455"/>
      <c r="EU7" s="1452"/>
      <c r="EV7" s="1455"/>
      <c r="EW7" s="1455"/>
      <c r="EX7" s="1455"/>
      <c r="EY7" s="1455"/>
      <c r="EZ7" s="1455"/>
      <c r="FA7" s="1455"/>
      <c r="FB7" s="1455"/>
      <c r="FC7" s="1455"/>
      <c r="FD7" s="1455"/>
      <c r="FE7" s="1455"/>
      <c r="FF7" s="1452"/>
      <c r="FG7" s="1455"/>
      <c r="FH7" s="1455"/>
      <c r="FI7" s="1455"/>
      <c r="FJ7" s="1455"/>
      <c r="FK7" s="1455"/>
      <c r="FL7" s="1455"/>
      <c r="FM7" s="1455"/>
      <c r="FN7" s="1455"/>
      <c r="FO7" s="1455"/>
      <c r="FP7" s="1455"/>
      <c r="FQ7" s="1455"/>
      <c r="FR7" s="1455"/>
      <c r="FS7" s="1455"/>
      <c r="FT7" s="1452"/>
      <c r="FU7" s="1452"/>
      <c r="FV7" s="1452"/>
      <c r="FW7" s="1455"/>
      <c r="FX7" s="1452"/>
      <c r="FY7" s="1455"/>
      <c r="FZ7" s="1455"/>
      <c r="GA7" s="1455"/>
      <c r="GB7" s="1455"/>
      <c r="GC7" s="1455"/>
      <c r="GD7" s="1455"/>
      <c r="GE7" s="1452"/>
      <c r="GF7" s="1452"/>
      <c r="GG7" s="1452"/>
      <c r="GH7" s="1455"/>
      <c r="GI7" s="1455"/>
      <c r="GJ7" s="1452"/>
      <c r="GK7" s="1455"/>
      <c r="GL7" s="1455"/>
      <c r="GM7" s="1455"/>
      <c r="GN7" s="1455"/>
      <c r="GO7" s="1455"/>
      <c r="GP7" s="1455"/>
      <c r="GQ7" s="1455"/>
      <c r="GR7" s="1455"/>
      <c r="GS7" s="1455"/>
      <c r="GT7" s="1455"/>
      <c r="GU7" s="1455"/>
      <c r="GV7" s="1455"/>
      <c r="GW7" s="1452"/>
      <c r="GX7" s="1452"/>
      <c r="GY7" s="1455"/>
      <c r="GZ7" s="1455"/>
      <c r="HA7" s="1455"/>
      <c r="HB7" s="1452"/>
      <c r="HC7" s="1455"/>
      <c r="HD7" s="1452"/>
      <c r="HE7" s="1455"/>
      <c r="HF7" s="1452"/>
      <c r="HG7" s="1452"/>
      <c r="HH7" s="1455"/>
      <c r="HI7" s="1455"/>
      <c r="HJ7" s="1455"/>
      <c r="HK7" s="1455"/>
      <c r="HL7" s="1455"/>
      <c r="HM7" s="1455"/>
      <c r="HN7" s="1455"/>
      <c r="HO7" s="1455"/>
      <c r="HP7" s="1455"/>
      <c r="HQ7" s="1455"/>
      <c r="HR7" s="1455"/>
      <c r="HS7" s="1452"/>
      <c r="HT7" s="1455"/>
      <c r="HU7" s="1455"/>
      <c r="HV7" s="1455"/>
      <c r="HW7" s="1455"/>
      <c r="HX7" s="1455"/>
      <c r="HY7" s="1455"/>
      <c r="HZ7" s="1452"/>
      <c r="IA7" s="1455"/>
      <c r="IB7" s="1455"/>
      <c r="IC7" s="1455"/>
      <c r="ID7" s="1455"/>
      <c r="IE7" s="1455"/>
      <c r="IF7" s="1455"/>
      <c r="IG7" s="1455"/>
      <c r="IH7" s="1455"/>
      <c r="II7" s="1455"/>
      <c r="IJ7" s="1455"/>
      <c r="IK7" s="1455"/>
      <c r="IL7" s="1455"/>
      <c r="IM7" s="1455"/>
      <c r="IN7" s="1455"/>
      <c r="IO7" s="1452"/>
      <c r="IP7" s="1455"/>
      <c r="IQ7" s="1455"/>
      <c r="IR7" s="1455"/>
      <c r="IS7" s="1455"/>
      <c r="IT7" s="1455"/>
      <c r="IU7" s="1455"/>
      <c r="IV7" s="1455"/>
      <c r="IW7" s="1455"/>
      <c r="IX7" s="1452"/>
      <c r="IY7" s="1453"/>
      <c r="IZ7" s="1452"/>
      <c r="JA7" s="1452"/>
      <c r="JB7" s="1452"/>
      <c r="JC7" s="1452"/>
      <c r="JD7" s="1452"/>
      <c r="JE7" s="1452"/>
      <c r="JF7" s="1452"/>
      <c r="JG7" s="1452"/>
      <c r="JH7" s="1455"/>
      <c r="JI7" s="1455"/>
      <c r="JJ7" s="1455"/>
      <c r="JK7" s="1455"/>
      <c r="JL7" s="1455"/>
      <c r="JM7" s="1455"/>
      <c r="JN7" s="1455"/>
      <c r="JO7" s="1455"/>
      <c r="JP7" s="1455"/>
      <c r="JQ7" s="1613"/>
      <c r="JR7" s="351"/>
      <c r="JS7" s="1614" t="s">
        <v>3745</v>
      </c>
      <c r="JT7" s="1616" t="s">
        <v>2242</v>
      </c>
    </row>
    <row r="8" spans="1:280" ht="12.5" x14ac:dyDescent="0.25">
      <c r="A8" s="1367">
        <v>8</v>
      </c>
      <c r="B8" s="1411" t="str">
        <f t="shared" si="0"/>
        <v/>
      </c>
      <c r="C8" s="1617" t="s">
        <v>3746</v>
      </c>
      <c r="D8" s="1612" t="s">
        <v>3747</v>
      </c>
      <c r="E8" s="1452"/>
      <c r="F8" s="1452"/>
      <c r="G8" s="1452"/>
      <c r="H8" s="1452"/>
      <c r="I8" s="1452"/>
      <c r="J8" s="1452"/>
      <c r="K8" s="1452"/>
      <c r="L8" s="1452"/>
      <c r="M8" s="1452"/>
      <c r="N8" s="1452"/>
      <c r="O8" s="1452"/>
      <c r="P8" s="1452"/>
      <c r="Q8" s="1452"/>
      <c r="R8" s="1452"/>
      <c r="S8" s="1452"/>
      <c r="T8" s="1452"/>
      <c r="U8" s="1452"/>
      <c r="V8" s="1452"/>
      <c r="W8" s="1452"/>
      <c r="X8" s="1452"/>
      <c r="Y8" s="1452"/>
      <c r="Z8" s="1452"/>
      <c r="AA8" s="1452"/>
      <c r="AB8" s="1452"/>
      <c r="AC8" s="1452"/>
      <c r="AD8" s="1452"/>
      <c r="AE8" s="1452"/>
      <c r="AF8" s="1452"/>
      <c r="AG8" s="1452"/>
      <c r="AH8" s="1452"/>
      <c r="AI8" s="1452"/>
      <c r="AJ8" s="1453"/>
      <c r="AK8" s="1452"/>
      <c r="AL8" s="1452"/>
      <c r="AM8" s="1452"/>
      <c r="AN8" s="1452"/>
      <c r="AO8" s="1452"/>
      <c r="AP8" s="1452"/>
      <c r="AQ8" s="1452"/>
      <c r="AR8" s="1452"/>
      <c r="AS8" s="1452"/>
      <c r="AT8" s="1452"/>
      <c r="AU8" s="1452"/>
      <c r="AV8" s="1452"/>
      <c r="AW8" s="1452"/>
      <c r="AX8" s="1452"/>
      <c r="AY8" s="1452"/>
      <c r="AZ8" s="1452"/>
      <c r="BA8" s="1452"/>
      <c r="BB8" s="1452"/>
      <c r="BC8" s="1452"/>
      <c r="BD8" s="1452"/>
      <c r="BE8" s="1452"/>
      <c r="BF8" s="1452"/>
      <c r="BG8" s="1452"/>
      <c r="BH8" s="1452"/>
      <c r="BI8" s="1452"/>
      <c r="BJ8" s="1452"/>
      <c r="BK8" s="1452"/>
      <c r="BL8" s="1452"/>
      <c r="BM8" s="1452"/>
      <c r="BN8" s="1452"/>
      <c r="BO8" s="1452"/>
      <c r="BP8" s="1452"/>
      <c r="BQ8" s="1452"/>
      <c r="BR8" s="1452"/>
      <c r="BS8" s="1452"/>
      <c r="BT8" s="1452"/>
      <c r="BU8" s="1452"/>
      <c r="BV8" s="1452"/>
      <c r="BW8" s="1452"/>
      <c r="BX8" s="1454"/>
      <c r="BY8" s="1452"/>
      <c r="BZ8" s="1452"/>
      <c r="CA8" s="1452"/>
      <c r="CB8" s="1454"/>
      <c r="CC8" s="1452"/>
      <c r="CD8" s="1452"/>
      <c r="CE8" s="1455"/>
      <c r="CF8" s="1455"/>
      <c r="CG8" s="1455"/>
      <c r="CH8" s="1452"/>
      <c r="CI8" s="1454"/>
      <c r="CJ8" s="1455"/>
      <c r="CK8" s="1455"/>
      <c r="CL8" s="1455"/>
      <c r="CM8" s="1455"/>
      <c r="CN8" s="1455"/>
      <c r="CO8" s="1455"/>
      <c r="CP8" s="1455"/>
      <c r="CQ8" s="1454"/>
      <c r="CR8" s="1452"/>
      <c r="CS8" s="1452"/>
      <c r="CT8" s="1452"/>
      <c r="CU8" s="1455"/>
      <c r="CV8" s="1454"/>
      <c r="CW8" s="1455"/>
      <c r="CX8" s="1455"/>
      <c r="CY8" s="1455"/>
      <c r="CZ8" s="1452"/>
      <c r="DA8" s="1452"/>
      <c r="DB8" s="1452"/>
      <c r="DC8" s="1454"/>
      <c r="DD8" s="1455"/>
      <c r="DE8" s="1455"/>
      <c r="DF8" s="1455"/>
      <c r="DG8" s="1455"/>
      <c r="DH8" s="1455"/>
      <c r="DI8" s="1454"/>
      <c r="DJ8" s="1455"/>
      <c r="DK8" s="1455"/>
      <c r="DL8" s="1454"/>
      <c r="DM8" s="1454"/>
      <c r="DN8" s="1455"/>
      <c r="DO8" s="1455"/>
      <c r="DP8" s="1455"/>
      <c r="DQ8" s="1455"/>
      <c r="DR8" s="1452"/>
      <c r="DS8" s="1455"/>
      <c r="DT8" s="1455"/>
      <c r="DU8" s="1455"/>
      <c r="DV8" s="1455"/>
      <c r="DW8" s="1455"/>
      <c r="DX8" s="1455"/>
      <c r="DY8" s="1455"/>
      <c r="DZ8" s="1455"/>
      <c r="EA8" s="1455"/>
      <c r="EB8" s="1455"/>
      <c r="EC8" s="1455"/>
      <c r="ED8" s="1455"/>
      <c r="EE8" s="1455"/>
      <c r="EF8" s="1455"/>
      <c r="EG8" s="1455"/>
      <c r="EH8" s="1455"/>
      <c r="EI8" s="1455"/>
      <c r="EJ8" s="1452"/>
      <c r="EK8" s="1455"/>
      <c r="EL8" s="1455"/>
      <c r="EM8" s="1455"/>
      <c r="EN8" s="1452"/>
      <c r="EO8" s="1455"/>
      <c r="EP8" s="1455"/>
      <c r="EQ8" s="1455"/>
      <c r="ER8" s="1455"/>
      <c r="ES8" s="1455"/>
      <c r="ET8" s="1455"/>
      <c r="EU8" s="1452"/>
      <c r="EV8" s="1455"/>
      <c r="EW8" s="1455"/>
      <c r="EX8" s="1455"/>
      <c r="EY8" s="1455"/>
      <c r="EZ8" s="1455"/>
      <c r="FA8" s="1455"/>
      <c r="FB8" s="1455"/>
      <c r="FC8" s="1455"/>
      <c r="FD8" s="1455"/>
      <c r="FE8" s="1455"/>
      <c r="FF8" s="1452"/>
      <c r="FG8" s="1455"/>
      <c r="FH8" s="1455"/>
      <c r="FI8" s="1455"/>
      <c r="FJ8" s="1455"/>
      <c r="FK8" s="1455"/>
      <c r="FL8" s="1455"/>
      <c r="FM8" s="1455"/>
      <c r="FN8" s="1455"/>
      <c r="FO8" s="1455"/>
      <c r="FP8" s="1455"/>
      <c r="FQ8" s="1455"/>
      <c r="FR8" s="1455"/>
      <c r="FS8" s="1455"/>
      <c r="FT8" s="1452"/>
      <c r="FU8" s="1452"/>
      <c r="FV8" s="1452"/>
      <c r="FW8" s="1455"/>
      <c r="FX8" s="1452"/>
      <c r="FY8" s="1455"/>
      <c r="FZ8" s="1455"/>
      <c r="GA8" s="1455"/>
      <c r="GB8" s="1455"/>
      <c r="GC8" s="1455"/>
      <c r="GD8" s="1455"/>
      <c r="GE8" s="1452"/>
      <c r="GF8" s="1452"/>
      <c r="GG8" s="1452"/>
      <c r="GH8" s="1455"/>
      <c r="GI8" s="1455"/>
      <c r="GJ8" s="1452"/>
      <c r="GK8" s="1455"/>
      <c r="GL8" s="1455"/>
      <c r="GM8" s="1455"/>
      <c r="GN8" s="1455"/>
      <c r="GO8" s="1455"/>
      <c r="GP8" s="1455"/>
      <c r="GQ8" s="1455"/>
      <c r="GR8" s="1455"/>
      <c r="GS8" s="1455"/>
      <c r="GT8" s="1455"/>
      <c r="GU8" s="1455"/>
      <c r="GV8" s="1455"/>
      <c r="GW8" s="1452"/>
      <c r="GX8" s="1454"/>
      <c r="GY8" s="1455"/>
      <c r="GZ8" s="1455"/>
      <c r="HA8" s="1455"/>
      <c r="HB8" s="1454"/>
      <c r="HC8" s="1455"/>
      <c r="HD8" s="1452"/>
      <c r="HE8" s="1455"/>
      <c r="HF8" s="1452"/>
      <c r="HG8" s="1452"/>
      <c r="HH8" s="1455"/>
      <c r="HI8" s="1455"/>
      <c r="HJ8" s="1455"/>
      <c r="HK8" s="1455"/>
      <c r="HL8" s="1455"/>
      <c r="HM8" s="1455"/>
      <c r="HN8" s="1455"/>
      <c r="HO8" s="1455"/>
      <c r="HP8" s="1455"/>
      <c r="HQ8" s="1455"/>
      <c r="HR8" s="1455"/>
      <c r="HS8" s="1452"/>
      <c r="HT8" s="1455"/>
      <c r="HU8" s="1455"/>
      <c r="HV8" s="1455"/>
      <c r="HW8" s="1455"/>
      <c r="HX8" s="1455"/>
      <c r="HY8" s="1455"/>
      <c r="HZ8" s="1452"/>
      <c r="IA8" s="1455"/>
      <c r="IB8" s="1455"/>
      <c r="IC8" s="1455"/>
      <c r="ID8" s="1455"/>
      <c r="IE8" s="1455"/>
      <c r="IF8" s="1455"/>
      <c r="IG8" s="1455"/>
      <c r="IH8" s="1455"/>
      <c r="II8" s="1455"/>
      <c r="IJ8" s="1455"/>
      <c r="IK8" s="1455"/>
      <c r="IL8" s="1455"/>
      <c r="IM8" s="1455"/>
      <c r="IN8" s="1455"/>
      <c r="IO8" s="1452"/>
      <c r="IP8" s="1455"/>
      <c r="IQ8" s="1455"/>
      <c r="IR8" s="1455"/>
      <c r="IS8" s="1455"/>
      <c r="IT8" s="1455"/>
      <c r="IU8" s="1455"/>
      <c r="IV8" s="1455"/>
      <c r="IW8" s="1455"/>
      <c r="IX8" s="1452"/>
      <c r="IY8" s="1453"/>
      <c r="IZ8" s="1452"/>
      <c r="JA8" s="1452"/>
      <c r="JB8" s="1452"/>
      <c r="JC8" s="1452"/>
      <c r="JD8" s="1452"/>
      <c r="JE8" s="1452"/>
      <c r="JF8" s="1452"/>
      <c r="JG8" s="1454"/>
      <c r="JH8" s="1455"/>
      <c r="JI8" s="1455"/>
      <c r="JJ8" s="1455"/>
      <c r="JK8" s="1455"/>
      <c r="JL8" s="1455"/>
      <c r="JM8" s="1455"/>
      <c r="JN8" s="1455"/>
      <c r="JO8" s="1455"/>
      <c r="JP8" s="1455"/>
      <c r="JQ8" s="1613"/>
      <c r="JR8" s="351"/>
      <c r="JS8" s="1614"/>
      <c r="JT8" s="1616" t="s">
        <v>2319</v>
      </c>
    </row>
    <row r="9" spans="1:280" ht="12.5" x14ac:dyDescent="0.25">
      <c r="A9" s="1367">
        <v>9</v>
      </c>
      <c r="B9" s="1411" t="str">
        <f t="shared" si="0"/>
        <v/>
      </c>
      <c r="C9" s="1617" t="s">
        <v>3748</v>
      </c>
      <c r="D9" s="1612" t="s">
        <v>3749</v>
      </c>
      <c r="E9" s="1452"/>
      <c r="F9" s="1452"/>
      <c r="G9" s="1452"/>
      <c r="H9" s="1452"/>
      <c r="I9" s="1452"/>
      <c r="J9" s="1452"/>
      <c r="K9" s="1452"/>
      <c r="L9" s="1452"/>
      <c r="M9" s="1452"/>
      <c r="N9" s="1452"/>
      <c r="O9" s="1452"/>
      <c r="P9" s="1452"/>
      <c r="Q9" s="1452"/>
      <c r="R9" s="1452"/>
      <c r="S9" s="1452"/>
      <c r="T9" s="1452"/>
      <c r="U9" s="1452"/>
      <c r="V9" s="1452"/>
      <c r="W9" s="1452"/>
      <c r="X9" s="1452"/>
      <c r="Y9" s="1452"/>
      <c r="Z9" s="1452"/>
      <c r="AA9" s="1452"/>
      <c r="AB9" s="1452"/>
      <c r="AC9" s="1452"/>
      <c r="AD9" s="1452"/>
      <c r="AE9" s="1452"/>
      <c r="AF9" s="1452"/>
      <c r="AG9" s="1452"/>
      <c r="AH9" s="1452"/>
      <c r="AI9" s="1452"/>
      <c r="AJ9" s="1453"/>
      <c r="AK9" s="1452"/>
      <c r="AL9" s="1452"/>
      <c r="AM9" s="1452"/>
      <c r="AN9" s="1452"/>
      <c r="AO9" s="1452"/>
      <c r="AP9" s="1452"/>
      <c r="AQ9" s="1452"/>
      <c r="AR9" s="1452"/>
      <c r="AS9" s="1452"/>
      <c r="AT9" s="1452"/>
      <c r="AU9" s="1452"/>
      <c r="AV9" s="1452"/>
      <c r="AW9" s="1452"/>
      <c r="AX9" s="1452"/>
      <c r="AY9" s="1452"/>
      <c r="AZ9" s="1452"/>
      <c r="BA9" s="1452"/>
      <c r="BB9" s="1452"/>
      <c r="BC9" s="1452"/>
      <c r="BD9" s="1452"/>
      <c r="BE9" s="1452"/>
      <c r="BF9" s="1452"/>
      <c r="BG9" s="1452"/>
      <c r="BH9" s="1452"/>
      <c r="BI9" s="1452"/>
      <c r="BJ9" s="1452"/>
      <c r="BK9" s="1452"/>
      <c r="BL9" s="1452"/>
      <c r="BM9" s="1452"/>
      <c r="BN9" s="1452"/>
      <c r="BO9" s="1452"/>
      <c r="BP9" s="1452"/>
      <c r="BQ9" s="1452"/>
      <c r="BR9" s="1452"/>
      <c r="BS9" s="1452"/>
      <c r="BT9" s="1452"/>
      <c r="BU9" s="1452"/>
      <c r="BV9" s="1452"/>
      <c r="BW9" s="1452"/>
      <c r="BX9" s="1454"/>
      <c r="BY9" s="1452"/>
      <c r="BZ9" s="1452"/>
      <c r="CA9" s="1452"/>
      <c r="CB9" s="1454"/>
      <c r="CC9" s="1452"/>
      <c r="CD9" s="1452"/>
      <c r="CE9" s="1455"/>
      <c r="CF9" s="1455"/>
      <c r="CG9" s="1455"/>
      <c r="CH9" s="1452"/>
      <c r="CI9" s="1454"/>
      <c r="CJ9" s="1455"/>
      <c r="CK9" s="1455"/>
      <c r="CL9" s="1455"/>
      <c r="CM9" s="1455"/>
      <c r="CN9" s="1455"/>
      <c r="CO9" s="1455"/>
      <c r="CP9" s="1455"/>
      <c r="CQ9" s="1454"/>
      <c r="CR9" s="1452"/>
      <c r="CS9" s="1452"/>
      <c r="CT9" s="1454"/>
      <c r="CU9" s="1455"/>
      <c r="CV9" s="1454"/>
      <c r="CW9" s="1455"/>
      <c r="CX9" s="1455"/>
      <c r="CY9" s="1455"/>
      <c r="CZ9" s="1452"/>
      <c r="DA9" s="1452"/>
      <c r="DB9" s="1452"/>
      <c r="DC9" s="1454"/>
      <c r="DD9" s="1455"/>
      <c r="DE9" s="1455"/>
      <c r="DF9" s="1455"/>
      <c r="DG9" s="1455"/>
      <c r="DH9" s="1455"/>
      <c r="DI9" s="1454"/>
      <c r="DJ9" s="1455"/>
      <c r="DK9" s="1455"/>
      <c r="DL9" s="1454"/>
      <c r="DM9" s="1454"/>
      <c r="DN9" s="1455"/>
      <c r="DO9" s="1455"/>
      <c r="DP9" s="1455"/>
      <c r="DQ9" s="1455"/>
      <c r="DR9" s="1452"/>
      <c r="DS9" s="1455"/>
      <c r="DT9" s="1455"/>
      <c r="DU9" s="1455"/>
      <c r="DV9" s="1455"/>
      <c r="DW9" s="1455"/>
      <c r="DX9" s="1455"/>
      <c r="DY9" s="1455"/>
      <c r="DZ9" s="1455"/>
      <c r="EA9" s="1455"/>
      <c r="EB9" s="1455"/>
      <c r="EC9" s="1455"/>
      <c r="ED9" s="1455"/>
      <c r="EE9" s="1455"/>
      <c r="EF9" s="1455"/>
      <c r="EG9" s="1455"/>
      <c r="EH9" s="1455"/>
      <c r="EI9" s="1455"/>
      <c r="EJ9" s="1454"/>
      <c r="EK9" s="1455"/>
      <c r="EL9" s="1455"/>
      <c r="EM9" s="1455"/>
      <c r="EN9" s="1452"/>
      <c r="EO9" s="1455"/>
      <c r="EP9" s="1455"/>
      <c r="EQ9" s="1455"/>
      <c r="ER9" s="1455"/>
      <c r="ES9" s="1455"/>
      <c r="ET9" s="1455"/>
      <c r="EU9" s="1452"/>
      <c r="EV9" s="1455"/>
      <c r="EW9" s="1455"/>
      <c r="EX9" s="1455"/>
      <c r="EY9" s="1455"/>
      <c r="EZ9" s="1455"/>
      <c r="FA9" s="1455"/>
      <c r="FB9" s="1455"/>
      <c r="FC9" s="1455"/>
      <c r="FD9" s="1455"/>
      <c r="FE9" s="1455"/>
      <c r="FF9" s="1452"/>
      <c r="FG9" s="1455"/>
      <c r="FH9" s="1455"/>
      <c r="FI9" s="1455"/>
      <c r="FJ9" s="1455"/>
      <c r="FK9" s="1455"/>
      <c r="FL9" s="1455"/>
      <c r="FM9" s="1455"/>
      <c r="FN9" s="1455"/>
      <c r="FO9" s="1455"/>
      <c r="FP9" s="1455"/>
      <c r="FQ9" s="1455"/>
      <c r="FR9" s="1455"/>
      <c r="FS9" s="1455"/>
      <c r="FT9" s="1452"/>
      <c r="FU9" s="1452"/>
      <c r="FV9" s="1454"/>
      <c r="FW9" s="1455"/>
      <c r="FX9" s="1452"/>
      <c r="FY9" s="1455"/>
      <c r="FZ9" s="1455"/>
      <c r="GA9" s="1455"/>
      <c r="GB9" s="1455"/>
      <c r="GC9" s="1455"/>
      <c r="GD9" s="1455"/>
      <c r="GE9" s="1454"/>
      <c r="GF9" s="1454"/>
      <c r="GG9" s="1452"/>
      <c r="GH9" s="1455"/>
      <c r="GI9" s="1455"/>
      <c r="GJ9" s="1452"/>
      <c r="GK9" s="1455"/>
      <c r="GL9" s="1455"/>
      <c r="GM9" s="1455"/>
      <c r="GN9" s="1455"/>
      <c r="GO9" s="1455"/>
      <c r="GP9" s="1455"/>
      <c r="GQ9" s="1455"/>
      <c r="GR9" s="1455"/>
      <c r="GS9" s="1455"/>
      <c r="GT9" s="1455"/>
      <c r="GU9" s="1455"/>
      <c r="GV9" s="1455"/>
      <c r="GW9" s="1452"/>
      <c r="GX9" s="1454"/>
      <c r="GY9" s="1455"/>
      <c r="GZ9" s="1455"/>
      <c r="HA9" s="1455"/>
      <c r="HB9" s="1454"/>
      <c r="HC9" s="1455"/>
      <c r="HD9" s="1452"/>
      <c r="HE9" s="1455"/>
      <c r="HF9" s="1452"/>
      <c r="HG9" s="1452"/>
      <c r="HH9" s="1455"/>
      <c r="HI9" s="1455"/>
      <c r="HJ9" s="1455"/>
      <c r="HK9" s="1455"/>
      <c r="HL9" s="1455"/>
      <c r="HM9" s="1455"/>
      <c r="HN9" s="1455"/>
      <c r="HO9" s="1455"/>
      <c r="HP9" s="1455"/>
      <c r="HQ9" s="1455"/>
      <c r="HR9" s="1455"/>
      <c r="HS9" s="1454"/>
      <c r="HT9" s="1455"/>
      <c r="HU9" s="1455"/>
      <c r="HV9" s="1455"/>
      <c r="HW9" s="1455"/>
      <c r="HX9" s="1455"/>
      <c r="HY9" s="1455"/>
      <c r="HZ9" s="1454"/>
      <c r="IA9" s="1455"/>
      <c r="IB9" s="1455"/>
      <c r="IC9" s="1455"/>
      <c r="ID9" s="1455"/>
      <c r="IE9" s="1455"/>
      <c r="IF9" s="1455"/>
      <c r="IG9" s="1455"/>
      <c r="IH9" s="1455"/>
      <c r="II9" s="1455"/>
      <c r="IJ9" s="1455"/>
      <c r="IK9" s="1455"/>
      <c r="IL9" s="1455"/>
      <c r="IM9" s="1455"/>
      <c r="IN9" s="1455"/>
      <c r="IO9" s="1452"/>
      <c r="IP9" s="1455"/>
      <c r="IQ9" s="1455"/>
      <c r="IR9" s="1455"/>
      <c r="IS9" s="1455"/>
      <c r="IT9" s="1455"/>
      <c r="IU9" s="1455"/>
      <c r="IV9" s="1455"/>
      <c r="IW9" s="1455"/>
      <c r="IX9" s="1452"/>
      <c r="IY9" s="1453"/>
      <c r="IZ9" s="1452"/>
      <c r="JA9" s="1452"/>
      <c r="JB9" s="1452"/>
      <c r="JC9" s="1452"/>
      <c r="JD9" s="1452"/>
      <c r="JE9" s="1452"/>
      <c r="JF9" s="1452"/>
      <c r="JG9" s="1454"/>
      <c r="JH9" s="1455"/>
      <c r="JI9" s="1455"/>
      <c r="JJ9" s="1455"/>
      <c r="JK9" s="1455"/>
      <c r="JL9" s="1455"/>
      <c r="JM9" s="1455"/>
      <c r="JN9" s="1455"/>
      <c r="JO9" s="1455"/>
      <c r="JP9" s="1455"/>
      <c r="JQ9" s="1613"/>
      <c r="JR9" s="351"/>
      <c r="JS9" s="1614"/>
      <c r="JT9" s="1615" t="s">
        <v>2242</v>
      </c>
    </row>
    <row r="10" spans="1:280" ht="12.5" x14ac:dyDescent="0.25">
      <c r="A10" s="1367">
        <v>10</v>
      </c>
      <c r="B10" s="1411" t="str">
        <f t="shared" si="0"/>
        <v/>
      </c>
      <c r="C10" s="1617" t="s">
        <v>3750</v>
      </c>
      <c r="D10" s="1612" t="s">
        <v>3751</v>
      </c>
      <c r="E10" s="1452"/>
      <c r="F10" s="1452"/>
      <c r="G10" s="1452"/>
      <c r="H10" s="1452"/>
      <c r="I10" s="1452"/>
      <c r="J10" s="1452"/>
      <c r="K10" s="1452"/>
      <c r="L10" s="1452"/>
      <c r="M10" s="1452"/>
      <c r="N10" s="1452"/>
      <c r="O10" s="1452"/>
      <c r="P10" s="1452"/>
      <c r="Q10" s="1452"/>
      <c r="R10" s="1452"/>
      <c r="S10" s="1452"/>
      <c r="T10" s="1452"/>
      <c r="U10" s="1452"/>
      <c r="V10" s="1452"/>
      <c r="W10" s="1452"/>
      <c r="X10" s="1452"/>
      <c r="Y10" s="1452"/>
      <c r="Z10" s="1452"/>
      <c r="AA10" s="1452"/>
      <c r="AB10" s="1452"/>
      <c r="AC10" s="1452"/>
      <c r="AD10" s="1452"/>
      <c r="AE10" s="1452"/>
      <c r="AF10" s="1452"/>
      <c r="AG10" s="1452"/>
      <c r="AH10" s="1452"/>
      <c r="AI10" s="1452"/>
      <c r="AJ10" s="1453"/>
      <c r="AK10" s="1452"/>
      <c r="AL10" s="1452"/>
      <c r="AM10" s="1452"/>
      <c r="AN10" s="1452"/>
      <c r="AO10" s="1452"/>
      <c r="AP10" s="1452"/>
      <c r="AQ10" s="1452"/>
      <c r="AR10" s="1452"/>
      <c r="AS10" s="1452"/>
      <c r="AT10" s="1452"/>
      <c r="AU10" s="1452"/>
      <c r="AV10" s="1452"/>
      <c r="AW10" s="1452"/>
      <c r="AX10" s="1452"/>
      <c r="AY10" s="1452"/>
      <c r="AZ10" s="1452"/>
      <c r="BA10" s="1452"/>
      <c r="BB10" s="1452"/>
      <c r="BC10" s="1452"/>
      <c r="BD10" s="1452"/>
      <c r="BE10" s="1452"/>
      <c r="BF10" s="1452"/>
      <c r="BG10" s="1452"/>
      <c r="BH10" s="1452"/>
      <c r="BI10" s="1452"/>
      <c r="BJ10" s="1452"/>
      <c r="BK10" s="1452"/>
      <c r="BL10" s="1452"/>
      <c r="BM10" s="1452"/>
      <c r="BN10" s="1452"/>
      <c r="BO10" s="1452"/>
      <c r="BP10" s="1452"/>
      <c r="BQ10" s="1452"/>
      <c r="BR10" s="1452"/>
      <c r="BS10" s="1452"/>
      <c r="BT10" s="1452"/>
      <c r="BU10" s="1452"/>
      <c r="BV10" s="1452"/>
      <c r="BW10" s="1452"/>
      <c r="BX10" s="1454"/>
      <c r="BY10" s="1452"/>
      <c r="BZ10" s="1452"/>
      <c r="CA10" s="1452"/>
      <c r="CB10" s="1454"/>
      <c r="CC10" s="1452"/>
      <c r="CD10" s="1452"/>
      <c r="CE10" s="1455"/>
      <c r="CF10" s="1455"/>
      <c r="CG10" s="1455"/>
      <c r="CH10" s="1452"/>
      <c r="CI10" s="1454"/>
      <c r="CJ10" s="1455"/>
      <c r="CK10" s="1455"/>
      <c r="CL10" s="1455"/>
      <c r="CM10" s="1455"/>
      <c r="CN10" s="1455"/>
      <c r="CO10" s="1455"/>
      <c r="CP10" s="1455"/>
      <c r="CQ10" s="1454"/>
      <c r="CR10" s="1454"/>
      <c r="CS10" s="1454"/>
      <c r="CT10" s="1454"/>
      <c r="CU10" s="1455"/>
      <c r="CV10" s="1452"/>
      <c r="CW10" s="1455"/>
      <c r="CX10" s="1455"/>
      <c r="CY10" s="1455"/>
      <c r="CZ10" s="1452"/>
      <c r="DA10" s="1452"/>
      <c r="DB10" s="1454"/>
      <c r="DC10" s="1454"/>
      <c r="DD10" s="1455"/>
      <c r="DE10" s="1455"/>
      <c r="DF10" s="1455"/>
      <c r="DG10" s="1455"/>
      <c r="DH10" s="1455"/>
      <c r="DI10" s="1452"/>
      <c r="DJ10" s="1455"/>
      <c r="DK10" s="1455"/>
      <c r="DL10" s="1452"/>
      <c r="DM10" s="1454"/>
      <c r="DN10" s="1455"/>
      <c r="DO10" s="1455"/>
      <c r="DP10" s="1455"/>
      <c r="DQ10" s="1455"/>
      <c r="DR10" s="1452"/>
      <c r="DS10" s="1455"/>
      <c r="DT10" s="1455"/>
      <c r="DU10" s="1455"/>
      <c r="DV10" s="1455"/>
      <c r="DW10" s="1455"/>
      <c r="DX10" s="1455"/>
      <c r="DY10" s="1455"/>
      <c r="DZ10" s="1455"/>
      <c r="EA10" s="1455"/>
      <c r="EB10" s="1455"/>
      <c r="EC10" s="1455"/>
      <c r="ED10" s="1455"/>
      <c r="EE10" s="1455"/>
      <c r="EF10" s="1455"/>
      <c r="EG10" s="1455"/>
      <c r="EH10" s="1455"/>
      <c r="EI10" s="1455"/>
      <c r="EJ10" s="1454"/>
      <c r="EK10" s="1455"/>
      <c r="EL10" s="1455"/>
      <c r="EM10" s="1455"/>
      <c r="EN10" s="1452"/>
      <c r="EO10" s="1455"/>
      <c r="EP10" s="1455"/>
      <c r="EQ10" s="1455"/>
      <c r="ER10" s="1455"/>
      <c r="ES10" s="1455"/>
      <c r="ET10" s="1455"/>
      <c r="EU10" s="1454"/>
      <c r="EV10" s="1455"/>
      <c r="EW10" s="1455"/>
      <c r="EX10" s="1455"/>
      <c r="EY10" s="1455"/>
      <c r="EZ10" s="1455"/>
      <c r="FA10" s="1455"/>
      <c r="FB10" s="1455"/>
      <c r="FC10" s="1455"/>
      <c r="FD10" s="1455"/>
      <c r="FE10" s="1455"/>
      <c r="FF10" s="1452"/>
      <c r="FG10" s="1455"/>
      <c r="FH10" s="1455"/>
      <c r="FI10" s="1455"/>
      <c r="FJ10" s="1455"/>
      <c r="FK10" s="1455"/>
      <c r="FL10" s="1455"/>
      <c r="FM10" s="1455"/>
      <c r="FN10" s="1455"/>
      <c r="FO10" s="1455"/>
      <c r="FP10" s="1455"/>
      <c r="FQ10" s="1455"/>
      <c r="FR10" s="1455"/>
      <c r="FS10" s="1455"/>
      <c r="FT10" s="1452"/>
      <c r="FU10" s="1452"/>
      <c r="FV10" s="1454"/>
      <c r="FW10" s="1455"/>
      <c r="FX10" s="1454"/>
      <c r="FY10" s="1455"/>
      <c r="FZ10" s="1455"/>
      <c r="GA10" s="1455"/>
      <c r="GB10" s="1455"/>
      <c r="GC10" s="1455"/>
      <c r="GD10" s="1455"/>
      <c r="GE10" s="1454"/>
      <c r="GF10" s="1454"/>
      <c r="GG10" s="1454"/>
      <c r="GH10" s="1455"/>
      <c r="GI10" s="1455"/>
      <c r="GJ10" s="1454"/>
      <c r="GK10" s="1455"/>
      <c r="GL10" s="1455"/>
      <c r="GM10" s="1455"/>
      <c r="GN10" s="1455"/>
      <c r="GO10" s="1455"/>
      <c r="GP10" s="1455"/>
      <c r="GQ10" s="1455"/>
      <c r="GR10" s="1455"/>
      <c r="GS10" s="1455"/>
      <c r="GT10" s="1455"/>
      <c r="GU10" s="1455"/>
      <c r="GV10" s="1455"/>
      <c r="GW10" s="1454"/>
      <c r="GX10" s="1454"/>
      <c r="GY10" s="1455"/>
      <c r="GZ10" s="1455"/>
      <c r="HA10" s="1455"/>
      <c r="HB10" s="1452"/>
      <c r="HC10" s="1455"/>
      <c r="HD10" s="1452"/>
      <c r="HE10" s="1455"/>
      <c r="HF10" s="1452"/>
      <c r="HG10" s="1452"/>
      <c r="HH10" s="1455"/>
      <c r="HI10" s="1455"/>
      <c r="HJ10" s="1455"/>
      <c r="HK10" s="1455"/>
      <c r="HL10" s="1455"/>
      <c r="HM10" s="1455"/>
      <c r="HN10" s="1455"/>
      <c r="HO10" s="1455"/>
      <c r="HP10" s="1455"/>
      <c r="HQ10" s="1455"/>
      <c r="HR10" s="1455"/>
      <c r="HS10" s="1454"/>
      <c r="HT10" s="1455"/>
      <c r="HU10" s="1455"/>
      <c r="HV10" s="1455"/>
      <c r="HW10" s="1455"/>
      <c r="HX10" s="1455"/>
      <c r="HY10" s="1455"/>
      <c r="HZ10" s="1454"/>
      <c r="IA10" s="1455"/>
      <c r="IB10" s="1455"/>
      <c r="IC10" s="1455"/>
      <c r="ID10" s="1455"/>
      <c r="IE10" s="1455"/>
      <c r="IF10" s="1455"/>
      <c r="IG10" s="1455"/>
      <c r="IH10" s="1455"/>
      <c r="II10" s="1455"/>
      <c r="IJ10" s="1455"/>
      <c r="IK10" s="1455"/>
      <c r="IL10" s="1455"/>
      <c r="IM10" s="1455"/>
      <c r="IN10" s="1455"/>
      <c r="IO10" s="1452"/>
      <c r="IP10" s="1455"/>
      <c r="IQ10" s="1455"/>
      <c r="IR10" s="1455"/>
      <c r="IS10" s="1455"/>
      <c r="IT10" s="1455"/>
      <c r="IU10" s="1455"/>
      <c r="IV10" s="1455"/>
      <c r="IW10" s="1455"/>
      <c r="IX10" s="1452"/>
      <c r="IY10" s="1453"/>
      <c r="IZ10" s="1452"/>
      <c r="JA10" s="1452"/>
      <c r="JB10" s="1452"/>
      <c r="JC10" s="1452"/>
      <c r="JD10" s="1452"/>
      <c r="JE10" s="1452"/>
      <c r="JF10" s="1452"/>
      <c r="JG10" s="1454"/>
      <c r="JH10" s="1455"/>
      <c r="JI10" s="1455"/>
      <c r="JJ10" s="1455"/>
      <c r="JK10" s="1455"/>
      <c r="JL10" s="1455"/>
      <c r="JM10" s="1455"/>
      <c r="JN10" s="1455"/>
      <c r="JO10" s="1455"/>
      <c r="JP10" s="1455"/>
      <c r="JQ10" s="1613"/>
      <c r="JR10" s="351"/>
      <c r="JS10" s="1614"/>
      <c r="JT10" s="1615" t="s">
        <v>2242</v>
      </c>
    </row>
    <row r="11" spans="1:280" ht="12.5" x14ac:dyDescent="0.25">
      <c r="A11" s="1367">
        <v>11</v>
      </c>
      <c r="B11" s="1411" t="str">
        <f t="shared" si="0"/>
        <v/>
      </c>
      <c r="C11" s="1617" t="s">
        <v>3752</v>
      </c>
      <c r="D11" s="1612" t="s">
        <v>2953</v>
      </c>
      <c r="E11" s="1452"/>
      <c r="F11" s="1452"/>
      <c r="G11" s="1452"/>
      <c r="H11" s="1452"/>
      <c r="I11" s="1452"/>
      <c r="J11" s="1452"/>
      <c r="K11" s="1452"/>
      <c r="L11" s="1452"/>
      <c r="M11" s="1452"/>
      <c r="N11" s="1452"/>
      <c r="O11" s="1452"/>
      <c r="P11" s="1452"/>
      <c r="Q11" s="1452"/>
      <c r="R11" s="1452"/>
      <c r="S11" s="1452"/>
      <c r="T11" s="1452"/>
      <c r="U11" s="1452"/>
      <c r="V11" s="1452"/>
      <c r="W11" s="1452"/>
      <c r="X11" s="1452"/>
      <c r="Y11" s="1452"/>
      <c r="Z11" s="1452"/>
      <c r="AA11" s="1452"/>
      <c r="AB11" s="1452"/>
      <c r="AC11" s="1452"/>
      <c r="AD11" s="1452"/>
      <c r="AE11" s="1452"/>
      <c r="AF11" s="1452"/>
      <c r="AG11" s="1452"/>
      <c r="AH11" s="1452"/>
      <c r="AI11" s="1452"/>
      <c r="AJ11" s="1453"/>
      <c r="AK11" s="1452"/>
      <c r="AL11" s="1452"/>
      <c r="AM11" s="1452"/>
      <c r="AN11" s="1452"/>
      <c r="AO11" s="1452"/>
      <c r="AP11" s="1452"/>
      <c r="AQ11" s="1452"/>
      <c r="AR11" s="1452"/>
      <c r="AS11" s="1452"/>
      <c r="AT11" s="1452"/>
      <c r="AU11" s="1452"/>
      <c r="AV11" s="1452"/>
      <c r="AW11" s="1452"/>
      <c r="AX11" s="1452"/>
      <c r="AY11" s="1452"/>
      <c r="AZ11" s="1452"/>
      <c r="BA11" s="1452"/>
      <c r="BB11" s="1452"/>
      <c r="BC11" s="1452"/>
      <c r="BD11" s="1452"/>
      <c r="BE11" s="1452"/>
      <c r="BF11" s="1452"/>
      <c r="BG11" s="1452"/>
      <c r="BH11" s="1452"/>
      <c r="BI11" s="1452"/>
      <c r="BJ11" s="1452"/>
      <c r="BK11" s="1452"/>
      <c r="BL11" s="1452"/>
      <c r="BM11" s="1452"/>
      <c r="BN11" s="1452"/>
      <c r="BO11" s="1452"/>
      <c r="BP11" s="1452"/>
      <c r="BQ11" s="1452"/>
      <c r="BR11" s="1452"/>
      <c r="BS11" s="1452"/>
      <c r="BT11" s="1452"/>
      <c r="BU11" s="1452"/>
      <c r="BV11" s="1452"/>
      <c r="BW11" s="1452"/>
      <c r="BX11" s="1454"/>
      <c r="BY11" s="1452"/>
      <c r="BZ11" s="1452"/>
      <c r="CA11" s="1452"/>
      <c r="CB11" s="1454"/>
      <c r="CC11" s="1452"/>
      <c r="CD11" s="1452"/>
      <c r="CE11" s="1455"/>
      <c r="CF11" s="1455"/>
      <c r="CG11" s="1455"/>
      <c r="CH11" s="1452"/>
      <c r="CI11" s="1454"/>
      <c r="CJ11" s="1455"/>
      <c r="CK11" s="1455"/>
      <c r="CL11" s="1455"/>
      <c r="CM11" s="1455"/>
      <c r="CN11" s="1455"/>
      <c r="CO11" s="1455"/>
      <c r="CP11" s="1455"/>
      <c r="CQ11" s="1454"/>
      <c r="CR11" s="1454"/>
      <c r="CS11" s="1454"/>
      <c r="CT11" s="1454"/>
      <c r="CU11" s="1455"/>
      <c r="CV11" s="1454"/>
      <c r="CW11" s="1455"/>
      <c r="CX11" s="1455"/>
      <c r="CY11" s="1455"/>
      <c r="CZ11" s="1452"/>
      <c r="DA11" s="1452"/>
      <c r="DB11" s="1454"/>
      <c r="DC11" s="1454"/>
      <c r="DD11" s="1455"/>
      <c r="DE11" s="1455"/>
      <c r="DF11" s="1455"/>
      <c r="DG11" s="1455"/>
      <c r="DH11" s="1455"/>
      <c r="DI11" s="1454"/>
      <c r="DJ11" s="1455"/>
      <c r="DK11" s="1455"/>
      <c r="DL11" s="1454"/>
      <c r="DM11" s="1454"/>
      <c r="DN11" s="1455"/>
      <c r="DO11" s="1455"/>
      <c r="DP11" s="1455"/>
      <c r="DQ11" s="1455"/>
      <c r="DR11" s="1452"/>
      <c r="DS11" s="1455"/>
      <c r="DT11" s="1455"/>
      <c r="DU11" s="1455"/>
      <c r="DV11" s="1455"/>
      <c r="DW11" s="1455"/>
      <c r="DX11" s="1455"/>
      <c r="DY11" s="1455"/>
      <c r="DZ11" s="1455"/>
      <c r="EA11" s="1455"/>
      <c r="EB11" s="1455"/>
      <c r="EC11" s="1455"/>
      <c r="ED11" s="1455"/>
      <c r="EE11" s="1455"/>
      <c r="EF11" s="1455"/>
      <c r="EG11" s="1455"/>
      <c r="EH11" s="1455"/>
      <c r="EI11" s="1455"/>
      <c r="EJ11" s="1452"/>
      <c r="EK11" s="1455"/>
      <c r="EL11" s="1455"/>
      <c r="EM11" s="1455"/>
      <c r="EN11" s="1452"/>
      <c r="EO11" s="1455"/>
      <c r="EP11" s="1455"/>
      <c r="EQ11" s="1455"/>
      <c r="ER11" s="1455"/>
      <c r="ES11" s="1455"/>
      <c r="ET11" s="1455"/>
      <c r="EU11" s="1454"/>
      <c r="EV11" s="1455"/>
      <c r="EW11" s="1455"/>
      <c r="EX11" s="1455"/>
      <c r="EY11" s="1455"/>
      <c r="EZ11" s="1455"/>
      <c r="FA11" s="1455"/>
      <c r="FB11" s="1455"/>
      <c r="FC11" s="1455"/>
      <c r="FD11" s="1455"/>
      <c r="FE11" s="1455"/>
      <c r="FF11" s="1452"/>
      <c r="FG11" s="1455"/>
      <c r="FH11" s="1455"/>
      <c r="FI11" s="1455"/>
      <c r="FJ11" s="1455"/>
      <c r="FK11" s="1455"/>
      <c r="FL11" s="1455"/>
      <c r="FM11" s="1455"/>
      <c r="FN11" s="1455"/>
      <c r="FO11" s="1455"/>
      <c r="FP11" s="1455"/>
      <c r="FQ11" s="1455"/>
      <c r="FR11" s="1455"/>
      <c r="FS11" s="1455"/>
      <c r="FT11" s="1452"/>
      <c r="FU11" s="1452"/>
      <c r="FV11" s="1454"/>
      <c r="FW11" s="1455"/>
      <c r="FX11" s="1454"/>
      <c r="FY11" s="1455"/>
      <c r="FZ11" s="1455"/>
      <c r="GA11" s="1455"/>
      <c r="GB11" s="1455"/>
      <c r="GC11" s="1455"/>
      <c r="GD11" s="1455"/>
      <c r="GE11" s="1452"/>
      <c r="GF11" s="1452"/>
      <c r="GG11" s="1454"/>
      <c r="GH11" s="1455"/>
      <c r="GI11" s="1455"/>
      <c r="GJ11" s="1454"/>
      <c r="GK11" s="1455"/>
      <c r="GL11" s="1455"/>
      <c r="GM11" s="1455"/>
      <c r="GN11" s="1455"/>
      <c r="GO11" s="1455"/>
      <c r="GP11" s="1455"/>
      <c r="GQ11" s="1455"/>
      <c r="GR11" s="1455"/>
      <c r="GS11" s="1455"/>
      <c r="GT11" s="1455"/>
      <c r="GU11" s="1455"/>
      <c r="GV11" s="1455"/>
      <c r="GW11" s="1454"/>
      <c r="GX11" s="1454"/>
      <c r="GY11" s="1455"/>
      <c r="GZ11" s="1455"/>
      <c r="HA11" s="1455"/>
      <c r="HB11" s="1454"/>
      <c r="HC11" s="1455"/>
      <c r="HD11" s="1452"/>
      <c r="HE11" s="1455"/>
      <c r="HF11" s="1452"/>
      <c r="HG11" s="1452"/>
      <c r="HH11" s="1455"/>
      <c r="HI11" s="1455"/>
      <c r="HJ11" s="1455"/>
      <c r="HK11" s="1455"/>
      <c r="HL11" s="1455"/>
      <c r="HM11" s="1455"/>
      <c r="HN11" s="1455"/>
      <c r="HO11" s="1455"/>
      <c r="HP11" s="1455"/>
      <c r="HQ11" s="1455"/>
      <c r="HR11" s="1455"/>
      <c r="HS11" s="1454"/>
      <c r="HT11" s="1455"/>
      <c r="HU11" s="1455"/>
      <c r="HV11" s="1455"/>
      <c r="HW11" s="1455"/>
      <c r="HX11" s="1455"/>
      <c r="HY11" s="1455"/>
      <c r="HZ11" s="1454"/>
      <c r="IA11" s="1455"/>
      <c r="IB11" s="1455"/>
      <c r="IC11" s="1455"/>
      <c r="ID11" s="1455"/>
      <c r="IE11" s="1455"/>
      <c r="IF11" s="1455"/>
      <c r="IG11" s="1455"/>
      <c r="IH11" s="1455"/>
      <c r="II11" s="1455"/>
      <c r="IJ11" s="1455"/>
      <c r="IK11" s="1455"/>
      <c r="IL11" s="1455"/>
      <c r="IM11" s="1455"/>
      <c r="IN11" s="1455"/>
      <c r="IO11" s="1452"/>
      <c r="IP11" s="1455"/>
      <c r="IQ11" s="1455"/>
      <c r="IR11" s="1455"/>
      <c r="IS11" s="1455"/>
      <c r="IT11" s="1455"/>
      <c r="IU11" s="1455"/>
      <c r="IV11" s="1455"/>
      <c r="IW11" s="1455"/>
      <c r="IX11" s="1452"/>
      <c r="IY11" s="1453"/>
      <c r="IZ11" s="1452"/>
      <c r="JA11" s="1452"/>
      <c r="JB11" s="1452"/>
      <c r="JC11" s="1452"/>
      <c r="JD11" s="1452"/>
      <c r="JE11" s="1452"/>
      <c r="JF11" s="1452"/>
      <c r="JG11" s="1454"/>
      <c r="JH11" s="1455"/>
      <c r="JI11" s="1455"/>
      <c r="JJ11" s="1455"/>
      <c r="JK11" s="1455"/>
      <c r="JL11" s="1455"/>
      <c r="JM11" s="1455"/>
      <c r="JN11" s="1455"/>
      <c r="JO11" s="1455"/>
      <c r="JP11" s="1455"/>
      <c r="JQ11" s="1613"/>
      <c r="JR11" s="351"/>
      <c r="JS11" s="1614"/>
      <c r="JT11" s="1615" t="s">
        <v>2242</v>
      </c>
    </row>
    <row r="12" spans="1:280" ht="12.5" x14ac:dyDescent="0.25">
      <c r="A12" s="1367">
        <v>12</v>
      </c>
      <c r="B12" s="1411" t="str">
        <f t="shared" si="0"/>
        <v/>
      </c>
      <c r="C12" s="1617" t="s">
        <v>3753</v>
      </c>
      <c r="D12" s="1612" t="s">
        <v>2847</v>
      </c>
      <c r="E12" s="1452"/>
      <c r="F12" s="1452"/>
      <c r="G12" s="1452"/>
      <c r="H12" s="1452"/>
      <c r="I12" s="1452"/>
      <c r="J12" s="1452"/>
      <c r="K12" s="1452"/>
      <c r="L12" s="1452"/>
      <c r="M12" s="1452"/>
      <c r="N12" s="1452"/>
      <c r="O12" s="1452"/>
      <c r="P12" s="1452"/>
      <c r="Q12" s="1452"/>
      <c r="R12" s="1452"/>
      <c r="S12" s="1452"/>
      <c r="T12" s="1452"/>
      <c r="U12" s="1452"/>
      <c r="V12" s="1452"/>
      <c r="W12" s="1452"/>
      <c r="X12" s="1452"/>
      <c r="Y12" s="1452"/>
      <c r="Z12" s="1452"/>
      <c r="AA12" s="1452"/>
      <c r="AB12" s="1452"/>
      <c r="AC12" s="1452"/>
      <c r="AD12" s="1452"/>
      <c r="AE12" s="1452"/>
      <c r="AF12" s="1452"/>
      <c r="AG12" s="1452"/>
      <c r="AH12" s="1452"/>
      <c r="AI12" s="1452"/>
      <c r="AJ12" s="1453"/>
      <c r="AK12" s="1452"/>
      <c r="AL12" s="1452"/>
      <c r="AM12" s="1452"/>
      <c r="AN12" s="1452"/>
      <c r="AO12" s="1452"/>
      <c r="AP12" s="1452"/>
      <c r="AQ12" s="1452"/>
      <c r="AR12" s="1452"/>
      <c r="AS12" s="1452"/>
      <c r="AT12" s="1452"/>
      <c r="AU12" s="1452"/>
      <c r="AV12" s="1452"/>
      <c r="AW12" s="1452"/>
      <c r="AX12" s="1452"/>
      <c r="AY12" s="1452"/>
      <c r="AZ12" s="1452"/>
      <c r="BA12" s="1452"/>
      <c r="BB12" s="1452"/>
      <c r="BC12" s="1452"/>
      <c r="BD12" s="1452"/>
      <c r="BE12" s="1452"/>
      <c r="BF12" s="1452"/>
      <c r="BG12" s="1452"/>
      <c r="BH12" s="1452"/>
      <c r="BI12" s="1452"/>
      <c r="BJ12" s="1452"/>
      <c r="BK12" s="1452"/>
      <c r="BL12" s="1452"/>
      <c r="BM12" s="1452"/>
      <c r="BN12" s="1452"/>
      <c r="BO12" s="1452"/>
      <c r="BP12" s="1452"/>
      <c r="BQ12" s="1452"/>
      <c r="BR12" s="1452"/>
      <c r="BS12" s="1452"/>
      <c r="BT12" s="1452"/>
      <c r="BU12" s="1452"/>
      <c r="BV12" s="1452"/>
      <c r="BW12" s="1452"/>
      <c r="BX12" s="1454"/>
      <c r="BY12" s="1452"/>
      <c r="BZ12" s="1452"/>
      <c r="CA12" s="1452"/>
      <c r="CB12" s="1454"/>
      <c r="CC12" s="1452"/>
      <c r="CD12" s="1452"/>
      <c r="CE12" s="1455"/>
      <c r="CF12" s="1455"/>
      <c r="CG12" s="1455"/>
      <c r="CH12" s="1452"/>
      <c r="CI12" s="1454"/>
      <c r="CJ12" s="1455"/>
      <c r="CK12" s="1455"/>
      <c r="CL12" s="1455"/>
      <c r="CM12" s="1455"/>
      <c r="CN12" s="1455"/>
      <c r="CO12" s="1455"/>
      <c r="CP12" s="1455"/>
      <c r="CQ12" s="1454"/>
      <c r="CR12" s="1452"/>
      <c r="CS12" s="1452"/>
      <c r="CT12" s="1454"/>
      <c r="CU12" s="1455"/>
      <c r="CV12" s="1452"/>
      <c r="CW12" s="1455"/>
      <c r="CX12" s="1455"/>
      <c r="CY12" s="1455"/>
      <c r="CZ12" s="1452"/>
      <c r="DA12" s="1452"/>
      <c r="DB12" s="1454"/>
      <c r="DC12" s="1454"/>
      <c r="DD12" s="1455"/>
      <c r="DE12" s="1455"/>
      <c r="DF12" s="1455"/>
      <c r="DG12" s="1455"/>
      <c r="DH12" s="1455"/>
      <c r="DI12" s="1452"/>
      <c r="DJ12" s="1455"/>
      <c r="DK12" s="1455"/>
      <c r="DL12" s="1452"/>
      <c r="DM12" s="1454"/>
      <c r="DN12" s="1455"/>
      <c r="DO12" s="1455"/>
      <c r="DP12" s="1455"/>
      <c r="DQ12" s="1455"/>
      <c r="DR12" s="1452"/>
      <c r="DS12" s="1455"/>
      <c r="DT12" s="1455"/>
      <c r="DU12" s="1455"/>
      <c r="DV12" s="1455"/>
      <c r="DW12" s="1455"/>
      <c r="DX12" s="1455"/>
      <c r="DY12" s="1455"/>
      <c r="DZ12" s="1455"/>
      <c r="EA12" s="1455"/>
      <c r="EB12" s="1455"/>
      <c r="EC12" s="1455"/>
      <c r="ED12" s="1455"/>
      <c r="EE12" s="1455"/>
      <c r="EF12" s="1455"/>
      <c r="EG12" s="1455"/>
      <c r="EH12" s="1455"/>
      <c r="EI12" s="1455"/>
      <c r="EJ12" s="1452"/>
      <c r="EK12" s="1455"/>
      <c r="EL12" s="1455"/>
      <c r="EM12" s="1455"/>
      <c r="EN12" s="1452"/>
      <c r="EO12" s="1455"/>
      <c r="EP12" s="1455"/>
      <c r="EQ12" s="1455"/>
      <c r="ER12" s="1455"/>
      <c r="ES12" s="1455"/>
      <c r="ET12" s="1455"/>
      <c r="EU12" s="1452"/>
      <c r="EV12" s="1455"/>
      <c r="EW12" s="1455"/>
      <c r="EX12" s="1455"/>
      <c r="EY12" s="1455"/>
      <c r="EZ12" s="1455"/>
      <c r="FA12" s="1455"/>
      <c r="FB12" s="1455"/>
      <c r="FC12" s="1455"/>
      <c r="FD12" s="1455"/>
      <c r="FE12" s="1455"/>
      <c r="FF12" s="1452"/>
      <c r="FG12" s="1455"/>
      <c r="FH12" s="1455"/>
      <c r="FI12" s="1455"/>
      <c r="FJ12" s="1455"/>
      <c r="FK12" s="1455"/>
      <c r="FL12" s="1455"/>
      <c r="FM12" s="1455"/>
      <c r="FN12" s="1455"/>
      <c r="FO12" s="1455"/>
      <c r="FP12" s="1455"/>
      <c r="FQ12" s="1455"/>
      <c r="FR12" s="1455"/>
      <c r="FS12" s="1455"/>
      <c r="FT12" s="1452"/>
      <c r="FU12" s="1452"/>
      <c r="FV12" s="1454"/>
      <c r="FW12" s="1455"/>
      <c r="FX12" s="1452"/>
      <c r="FY12" s="1455"/>
      <c r="FZ12" s="1455"/>
      <c r="GA12" s="1455"/>
      <c r="GB12" s="1455"/>
      <c r="GC12" s="1455"/>
      <c r="GD12" s="1455"/>
      <c r="GE12" s="1452"/>
      <c r="GF12" s="1452"/>
      <c r="GG12" s="1452"/>
      <c r="GH12" s="1455"/>
      <c r="GI12" s="1455"/>
      <c r="GJ12" s="1452"/>
      <c r="GK12" s="1455"/>
      <c r="GL12" s="1455"/>
      <c r="GM12" s="1455"/>
      <c r="GN12" s="1455"/>
      <c r="GO12" s="1455"/>
      <c r="GP12" s="1455"/>
      <c r="GQ12" s="1455"/>
      <c r="GR12" s="1455"/>
      <c r="GS12" s="1455"/>
      <c r="GT12" s="1455"/>
      <c r="GU12" s="1455"/>
      <c r="GV12" s="1455"/>
      <c r="GW12" s="1452"/>
      <c r="GX12" s="1454"/>
      <c r="GY12" s="1455"/>
      <c r="GZ12" s="1455"/>
      <c r="HA12" s="1455"/>
      <c r="HB12" s="1452"/>
      <c r="HC12" s="1455"/>
      <c r="HD12" s="1452"/>
      <c r="HE12" s="1455"/>
      <c r="HF12" s="1452"/>
      <c r="HG12" s="1452"/>
      <c r="HH12" s="1455"/>
      <c r="HI12" s="1455"/>
      <c r="HJ12" s="1455"/>
      <c r="HK12" s="1455"/>
      <c r="HL12" s="1455"/>
      <c r="HM12" s="1455"/>
      <c r="HN12" s="1455"/>
      <c r="HO12" s="1455"/>
      <c r="HP12" s="1455"/>
      <c r="HQ12" s="1455"/>
      <c r="HR12" s="1455"/>
      <c r="HS12" s="1454"/>
      <c r="HT12" s="1455"/>
      <c r="HU12" s="1455"/>
      <c r="HV12" s="1455"/>
      <c r="HW12" s="1455"/>
      <c r="HX12" s="1455"/>
      <c r="HY12" s="1455"/>
      <c r="HZ12" s="1454"/>
      <c r="IA12" s="1455"/>
      <c r="IB12" s="1455"/>
      <c r="IC12" s="1455"/>
      <c r="ID12" s="1455"/>
      <c r="IE12" s="1455"/>
      <c r="IF12" s="1455"/>
      <c r="IG12" s="1455"/>
      <c r="IH12" s="1455"/>
      <c r="II12" s="1455"/>
      <c r="IJ12" s="1455"/>
      <c r="IK12" s="1455"/>
      <c r="IL12" s="1455"/>
      <c r="IM12" s="1455"/>
      <c r="IN12" s="1455"/>
      <c r="IO12" s="1452"/>
      <c r="IP12" s="1455"/>
      <c r="IQ12" s="1455"/>
      <c r="IR12" s="1455"/>
      <c r="IS12" s="1455"/>
      <c r="IT12" s="1455"/>
      <c r="IU12" s="1455"/>
      <c r="IV12" s="1455"/>
      <c r="IW12" s="1455"/>
      <c r="IX12" s="1452"/>
      <c r="IY12" s="1453"/>
      <c r="IZ12" s="1452"/>
      <c r="JA12" s="1452"/>
      <c r="JB12" s="1452"/>
      <c r="JC12" s="1452"/>
      <c r="JD12" s="1452"/>
      <c r="JE12" s="1452"/>
      <c r="JF12" s="1452"/>
      <c r="JG12" s="1454"/>
      <c r="JH12" s="1455"/>
      <c r="JI12" s="1455"/>
      <c r="JJ12" s="1455"/>
      <c r="JK12" s="1455"/>
      <c r="JL12" s="1455"/>
      <c r="JM12" s="1455"/>
      <c r="JN12" s="1455"/>
      <c r="JO12" s="1455"/>
      <c r="JP12" s="1455"/>
      <c r="JQ12" s="1613"/>
      <c r="JR12" s="351"/>
      <c r="JS12" s="1614"/>
      <c r="JT12" s="1615" t="s">
        <v>2242</v>
      </c>
    </row>
    <row r="13" spans="1:280" ht="12.5" x14ac:dyDescent="0.25">
      <c r="A13" s="1367">
        <v>13</v>
      </c>
      <c r="B13" s="1411" t="str">
        <f t="shared" si="0"/>
        <v/>
      </c>
      <c r="C13" s="1617" t="s">
        <v>3754</v>
      </c>
      <c r="D13" s="1612" t="s">
        <v>3755</v>
      </c>
      <c r="E13" s="1452"/>
      <c r="F13" s="1452"/>
      <c r="G13" s="1452"/>
      <c r="H13" s="1452"/>
      <c r="I13" s="1452"/>
      <c r="J13" s="1452"/>
      <c r="K13" s="1452"/>
      <c r="L13" s="1452"/>
      <c r="M13" s="1452"/>
      <c r="N13" s="1452"/>
      <c r="O13" s="1452"/>
      <c r="P13" s="1452"/>
      <c r="Q13" s="1452"/>
      <c r="R13" s="1452"/>
      <c r="S13" s="1452"/>
      <c r="T13" s="1452"/>
      <c r="U13" s="1452"/>
      <c r="V13" s="1452"/>
      <c r="W13" s="1452"/>
      <c r="X13" s="1452"/>
      <c r="Y13" s="1452"/>
      <c r="Z13" s="1452"/>
      <c r="AA13" s="1452"/>
      <c r="AB13" s="1452"/>
      <c r="AC13" s="1452"/>
      <c r="AD13" s="1452"/>
      <c r="AE13" s="1452"/>
      <c r="AF13" s="1452"/>
      <c r="AG13" s="1452"/>
      <c r="AH13" s="1452"/>
      <c r="AI13" s="1452"/>
      <c r="AJ13" s="1453"/>
      <c r="AK13" s="1452"/>
      <c r="AL13" s="1452"/>
      <c r="AM13" s="1452"/>
      <c r="AN13" s="1452"/>
      <c r="AO13" s="1452"/>
      <c r="AP13" s="1452"/>
      <c r="AQ13" s="1452"/>
      <c r="AR13" s="1452"/>
      <c r="AS13" s="1452"/>
      <c r="AT13" s="1452"/>
      <c r="AU13" s="1452"/>
      <c r="AV13" s="1452"/>
      <c r="AW13" s="1452"/>
      <c r="AX13" s="1452"/>
      <c r="AY13" s="1452"/>
      <c r="AZ13" s="1452"/>
      <c r="BA13" s="1452"/>
      <c r="BB13" s="1452"/>
      <c r="BC13" s="1452"/>
      <c r="BD13" s="1452"/>
      <c r="BE13" s="1452"/>
      <c r="BF13" s="1452"/>
      <c r="BG13" s="1452"/>
      <c r="BH13" s="1452"/>
      <c r="BI13" s="1452"/>
      <c r="BJ13" s="1452"/>
      <c r="BK13" s="1452"/>
      <c r="BL13" s="1452"/>
      <c r="BM13" s="1452"/>
      <c r="BN13" s="1452"/>
      <c r="BO13" s="1452"/>
      <c r="BP13" s="1452"/>
      <c r="BQ13" s="1452"/>
      <c r="BR13" s="1452"/>
      <c r="BS13" s="1452"/>
      <c r="BT13" s="1452"/>
      <c r="BU13" s="1452"/>
      <c r="BV13" s="1452"/>
      <c r="BW13" s="1452"/>
      <c r="BX13" s="1454"/>
      <c r="BY13" s="1452"/>
      <c r="BZ13" s="1452"/>
      <c r="CA13" s="1452"/>
      <c r="CB13" s="1454"/>
      <c r="CC13" s="1452"/>
      <c r="CD13" s="1452"/>
      <c r="CE13" s="1455"/>
      <c r="CF13" s="1455"/>
      <c r="CG13" s="1455"/>
      <c r="CH13" s="1452"/>
      <c r="CI13" s="1454"/>
      <c r="CJ13" s="1455"/>
      <c r="CK13" s="1455"/>
      <c r="CL13" s="1455"/>
      <c r="CM13" s="1455"/>
      <c r="CN13" s="1455"/>
      <c r="CO13" s="1455"/>
      <c r="CP13" s="1455"/>
      <c r="CQ13" s="1454"/>
      <c r="CR13" s="1454"/>
      <c r="CS13" s="1454"/>
      <c r="CT13" s="1452"/>
      <c r="CU13" s="1455"/>
      <c r="CV13" s="1452"/>
      <c r="CW13" s="1455"/>
      <c r="CX13" s="1455"/>
      <c r="CY13" s="1455"/>
      <c r="CZ13" s="1452"/>
      <c r="DA13" s="1452"/>
      <c r="DB13" s="1454"/>
      <c r="DC13" s="1454"/>
      <c r="DD13" s="1455"/>
      <c r="DE13" s="1455"/>
      <c r="DF13" s="1455"/>
      <c r="DG13" s="1455"/>
      <c r="DH13" s="1455"/>
      <c r="DI13" s="1452"/>
      <c r="DJ13" s="1455"/>
      <c r="DK13" s="1455"/>
      <c r="DL13" s="1452"/>
      <c r="DM13" s="1454"/>
      <c r="DN13" s="1455"/>
      <c r="DO13" s="1455"/>
      <c r="DP13" s="1455"/>
      <c r="DQ13" s="1455"/>
      <c r="DR13" s="1452"/>
      <c r="DS13" s="1455"/>
      <c r="DT13" s="1455"/>
      <c r="DU13" s="1455"/>
      <c r="DV13" s="1455"/>
      <c r="DW13" s="1455"/>
      <c r="DX13" s="1455"/>
      <c r="DY13" s="1455"/>
      <c r="DZ13" s="1455"/>
      <c r="EA13" s="1455"/>
      <c r="EB13" s="1455"/>
      <c r="EC13" s="1455"/>
      <c r="ED13" s="1455"/>
      <c r="EE13" s="1455"/>
      <c r="EF13" s="1455"/>
      <c r="EG13" s="1455"/>
      <c r="EH13" s="1455"/>
      <c r="EI13" s="1455"/>
      <c r="EJ13" s="1454"/>
      <c r="EK13" s="1455"/>
      <c r="EL13" s="1455"/>
      <c r="EM13" s="1455"/>
      <c r="EN13" s="1452"/>
      <c r="EO13" s="1455"/>
      <c r="EP13" s="1455"/>
      <c r="EQ13" s="1455"/>
      <c r="ER13" s="1455"/>
      <c r="ES13" s="1455"/>
      <c r="ET13" s="1455"/>
      <c r="EU13" s="1454"/>
      <c r="EV13" s="1455"/>
      <c r="EW13" s="1455"/>
      <c r="EX13" s="1455"/>
      <c r="EY13" s="1455"/>
      <c r="EZ13" s="1455"/>
      <c r="FA13" s="1455"/>
      <c r="FB13" s="1455"/>
      <c r="FC13" s="1455"/>
      <c r="FD13" s="1455"/>
      <c r="FE13" s="1455"/>
      <c r="FF13" s="1452"/>
      <c r="FG13" s="1455"/>
      <c r="FH13" s="1455"/>
      <c r="FI13" s="1455"/>
      <c r="FJ13" s="1455"/>
      <c r="FK13" s="1455"/>
      <c r="FL13" s="1455"/>
      <c r="FM13" s="1455"/>
      <c r="FN13" s="1455"/>
      <c r="FO13" s="1455"/>
      <c r="FP13" s="1455"/>
      <c r="FQ13" s="1455"/>
      <c r="FR13" s="1455"/>
      <c r="FS13" s="1455"/>
      <c r="FT13" s="1452"/>
      <c r="FU13" s="1452"/>
      <c r="FV13" s="1452"/>
      <c r="FW13" s="1455"/>
      <c r="FX13" s="1454"/>
      <c r="FY13" s="1455"/>
      <c r="FZ13" s="1455"/>
      <c r="GA13" s="1455"/>
      <c r="GB13" s="1455"/>
      <c r="GC13" s="1455"/>
      <c r="GD13" s="1455"/>
      <c r="GE13" s="1454"/>
      <c r="GF13" s="1454"/>
      <c r="GG13" s="1454"/>
      <c r="GH13" s="1455"/>
      <c r="GI13" s="1455"/>
      <c r="GJ13" s="1454"/>
      <c r="GK13" s="1455"/>
      <c r="GL13" s="1455"/>
      <c r="GM13" s="1455"/>
      <c r="GN13" s="1455"/>
      <c r="GO13" s="1455"/>
      <c r="GP13" s="1455"/>
      <c r="GQ13" s="1455"/>
      <c r="GR13" s="1455"/>
      <c r="GS13" s="1455"/>
      <c r="GT13" s="1455"/>
      <c r="GU13" s="1455"/>
      <c r="GV13" s="1455"/>
      <c r="GW13" s="1454"/>
      <c r="GX13" s="1454"/>
      <c r="GY13" s="1455"/>
      <c r="GZ13" s="1455"/>
      <c r="HA13" s="1455"/>
      <c r="HB13" s="1452"/>
      <c r="HC13" s="1455"/>
      <c r="HD13" s="1452"/>
      <c r="HE13" s="1455"/>
      <c r="HF13" s="1452"/>
      <c r="HG13" s="1452"/>
      <c r="HH13" s="1455"/>
      <c r="HI13" s="1455"/>
      <c r="HJ13" s="1455"/>
      <c r="HK13" s="1455"/>
      <c r="HL13" s="1455"/>
      <c r="HM13" s="1455"/>
      <c r="HN13" s="1455"/>
      <c r="HO13" s="1455"/>
      <c r="HP13" s="1455"/>
      <c r="HQ13" s="1455"/>
      <c r="HR13" s="1455"/>
      <c r="HS13" s="1452"/>
      <c r="HT13" s="1455"/>
      <c r="HU13" s="1455"/>
      <c r="HV13" s="1455"/>
      <c r="HW13" s="1455"/>
      <c r="HX13" s="1455"/>
      <c r="HY13" s="1455"/>
      <c r="HZ13" s="1452"/>
      <c r="IA13" s="1455"/>
      <c r="IB13" s="1455"/>
      <c r="IC13" s="1455"/>
      <c r="ID13" s="1455"/>
      <c r="IE13" s="1455"/>
      <c r="IF13" s="1455"/>
      <c r="IG13" s="1455"/>
      <c r="IH13" s="1455"/>
      <c r="II13" s="1455"/>
      <c r="IJ13" s="1455"/>
      <c r="IK13" s="1455"/>
      <c r="IL13" s="1455"/>
      <c r="IM13" s="1455"/>
      <c r="IN13" s="1455"/>
      <c r="IO13" s="1452"/>
      <c r="IP13" s="1455"/>
      <c r="IQ13" s="1455"/>
      <c r="IR13" s="1455"/>
      <c r="IS13" s="1455"/>
      <c r="IT13" s="1455"/>
      <c r="IU13" s="1455"/>
      <c r="IV13" s="1455"/>
      <c r="IW13" s="1455"/>
      <c r="IX13" s="1452"/>
      <c r="IY13" s="1453"/>
      <c r="IZ13" s="1452"/>
      <c r="JA13" s="1452"/>
      <c r="JB13" s="1452"/>
      <c r="JC13" s="1452"/>
      <c r="JD13" s="1452"/>
      <c r="JE13" s="1452"/>
      <c r="JF13" s="1452"/>
      <c r="JG13" s="1452"/>
      <c r="JH13" s="1455"/>
      <c r="JI13" s="1455"/>
      <c r="JJ13" s="1455"/>
      <c r="JK13" s="1455"/>
      <c r="JL13" s="1455"/>
      <c r="JM13" s="1455"/>
      <c r="JN13" s="1455"/>
      <c r="JO13" s="1455"/>
      <c r="JP13" s="1455"/>
      <c r="JQ13" s="1613"/>
      <c r="JR13" s="351"/>
      <c r="JS13" s="1614" t="s">
        <v>3756</v>
      </c>
      <c r="JT13" s="1615" t="s">
        <v>2242</v>
      </c>
    </row>
    <row r="14" spans="1:280" ht="12.5" x14ac:dyDescent="0.25">
      <c r="A14" s="1367">
        <v>14</v>
      </c>
      <c r="B14" s="1411" t="str">
        <f t="shared" si="0"/>
        <v/>
      </c>
      <c r="C14" s="1617" t="s">
        <v>3757</v>
      </c>
      <c r="D14" s="1612" t="s">
        <v>3758</v>
      </c>
      <c r="E14" s="1452"/>
      <c r="F14" s="1452"/>
      <c r="G14" s="1452"/>
      <c r="H14" s="1452"/>
      <c r="I14" s="1452"/>
      <c r="J14" s="1452"/>
      <c r="K14" s="1452"/>
      <c r="L14" s="1452"/>
      <c r="M14" s="1452"/>
      <c r="N14" s="1452"/>
      <c r="O14" s="1452"/>
      <c r="P14" s="1452"/>
      <c r="Q14" s="1452"/>
      <c r="R14" s="1452"/>
      <c r="S14" s="1452"/>
      <c r="T14" s="1452"/>
      <c r="U14" s="1452"/>
      <c r="V14" s="1452"/>
      <c r="W14" s="1452"/>
      <c r="X14" s="1452"/>
      <c r="Y14" s="1452"/>
      <c r="Z14" s="1452"/>
      <c r="AA14" s="1452"/>
      <c r="AB14" s="1452"/>
      <c r="AC14" s="1452"/>
      <c r="AD14" s="1452"/>
      <c r="AE14" s="1452"/>
      <c r="AF14" s="1452"/>
      <c r="AG14" s="1452"/>
      <c r="AH14" s="1452"/>
      <c r="AI14" s="1452"/>
      <c r="AJ14" s="1453"/>
      <c r="AK14" s="1452"/>
      <c r="AL14" s="1452"/>
      <c r="AM14" s="1452"/>
      <c r="AN14" s="1452"/>
      <c r="AO14" s="1452"/>
      <c r="AP14" s="1452"/>
      <c r="AQ14" s="1452"/>
      <c r="AR14" s="1452"/>
      <c r="AS14" s="1452"/>
      <c r="AT14" s="1452"/>
      <c r="AU14" s="1452"/>
      <c r="AV14" s="1452"/>
      <c r="AW14" s="1452"/>
      <c r="AX14" s="1452"/>
      <c r="AY14" s="1452"/>
      <c r="AZ14" s="1452"/>
      <c r="BA14" s="1452"/>
      <c r="BB14" s="1452"/>
      <c r="BC14" s="1452"/>
      <c r="BD14" s="1452"/>
      <c r="BE14" s="1452"/>
      <c r="BF14" s="1452"/>
      <c r="BG14" s="1452"/>
      <c r="BH14" s="1452"/>
      <c r="BI14" s="1452"/>
      <c r="BJ14" s="1452"/>
      <c r="BK14" s="1452"/>
      <c r="BL14" s="1452"/>
      <c r="BM14" s="1452"/>
      <c r="BN14" s="1452"/>
      <c r="BO14" s="1452"/>
      <c r="BP14" s="1452"/>
      <c r="BQ14" s="1452"/>
      <c r="BR14" s="1452"/>
      <c r="BS14" s="1452"/>
      <c r="BT14" s="1452"/>
      <c r="BU14" s="1452"/>
      <c r="BV14" s="1452"/>
      <c r="BW14" s="1452"/>
      <c r="BX14" s="1454"/>
      <c r="BY14" s="1452"/>
      <c r="BZ14" s="1452"/>
      <c r="CA14" s="1452"/>
      <c r="CB14" s="1454"/>
      <c r="CC14" s="1452"/>
      <c r="CD14" s="1452"/>
      <c r="CE14" s="1455"/>
      <c r="CF14" s="1455"/>
      <c r="CG14" s="1455"/>
      <c r="CH14" s="1452"/>
      <c r="CI14" s="1454"/>
      <c r="CJ14" s="1455"/>
      <c r="CK14" s="1455"/>
      <c r="CL14" s="1455"/>
      <c r="CM14" s="1455"/>
      <c r="CN14" s="1455"/>
      <c r="CO14" s="1455"/>
      <c r="CP14" s="1455"/>
      <c r="CQ14" s="1454"/>
      <c r="CR14" s="1452"/>
      <c r="CS14" s="1452"/>
      <c r="CT14" s="1452"/>
      <c r="CU14" s="1455"/>
      <c r="CV14" s="1452"/>
      <c r="CW14" s="1455"/>
      <c r="CX14" s="1455"/>
      <c r="CY14" s="1455"/>
      <c r="CZ14" s="1452"/>
      <c r="DA14" s="1452"/>
      <c r="DB14" s="1452"/>
      <c r="DC14" s="1454"/>
      <c r="DD14" s="1455"/>
      <c r="DE14" s="1455"/>
      <c r="DF14" s="1455"/>
      <c r="DG14" s="1455"/>
      <c r="DH14" s="1455"/>
      <c r="DI14" s="1452"/>
      <c r="DJ14" s="1455"/>
      <c r="DK14" s="1455"/>
      <c r="DL14" s="1452"/>
      <c r="DM14" s="1454"/>
      <c r="DN14" s="1455"/>
      <c r="DO14" s="1455"/>
      <c r="DP14" s="1455"/>
      <c r="DQ14" s="1455"/>
      <c r="DR14" s="1452"/>
      <c r="DS14" s="1455"/>
      <c r="DT14" s="1455"/>
      <c r="DU14" s="1455"/>
      <c r="DV14" s="1455"/>
      <c r="DW14" s="1455"/>
      <c r="DX14" s="1455"/>
      <c r="DY14" s="1455"/>
      <c r="DZ14" s="1455"/>
      <c r="EA14" s="1455"/>
      <c r="EB14" s="1455"/>
      <c r="EC14" s="1455"/>
      <c r="ED14" s="1455"/>
      <c r="EE14" s="1455"/>
      <c r="EF14" s="1455"/>
      <c r="EG14" s="1455"/>
      <c r="EH14" s="1455"/>
      <c r="EI14" s="1455"/>
      <c r="EJ14" s="1452"/>
      <c r="EK14" s="1455"/>
      <c r="EL14" s="1455"/>
      <c r="EM14" s="1455"/>
      <c r="EN14" s="1452"/>
      <c r="EO14" s="1455"/>
      <c r="EP14" s="1455"/>
      <c r="EQ14" s="1455"/>
      <c r="ER14" s="1455"/>
      <c r="ES14" s="1455"/>
      <c r="ET14" s="1455"/>
      <c r="EU14" s="1452"/>
      <c r="EV14" s="1455"/>
      <c r="EW14" s="1455"/>
      <c r="EX14" s="1455"/>
      <c r="EY14" s="1455"/>
      <c r="EZ14" s="1455"/>
      <c r="FA14" s="1455"/>
      <c r="FB14" s="1455"/>
      <c r="FC14" s="1455"/>
      <c r="FD14" s="1455"/>
      <c r="FE14" s="1455"/>
      <c r="FF14" s="1452"/>
      <c r="FG14" s="1455"/>
      <c r="FH14" s="1455"/>
      <c r="FI14" s="1455"/>
      <c r="FJ14" s="1455"/>
      <c r="FK14" s="1455"/>
      <c r="FL14" s="1455"/>
      <c r="FM14" s="1455"/>
      <c r="FN14" s="1455"/>
      <c r="FO14" s="1455"/>
      <c r="FP14" s="1455"/>
      <c r="FQ14" s="1455"/>
      <c r="FR14" s="1455"/>
      <c r="FS14" s="1455"/>
      <c r="FT14" s="1452"/>
      <c r="FU14" s="1452"/>
      <c r="FV14" s="1452"/>
      <c r="FW14" s="1455"/>
      <c r="FX14" s="1452"/>
      <c r="FY14" s="1455"/>
      <c r="FZ14" s="1455"/>
      <c r="GA14" s="1455"/>
      <c r="GB14" s="1455"/>
      <c r="GC14" s="1455"/>
      <c r="GD14" s="1455"/>
      <c r="GE14" s="1452"/>
      <c r="GF14" s="1452"/>
      <c r="GG14" s="1452"/>
      <c r="GH14" s="1455"/>
      <c r="GI14" s="1455"/>
      <c r="GJ14" s="1452"/>
      <c r="GK14" s="1455"/>
      <c r="GL14" s="1455"/>
      <c r="GM14" s="1455"/>
      <c r="GN14" s="1455"/>
      <c r="GO14" s="1455"/>
      <c r="GP14" s="1455"/>
      <c r="GQ14" s="1455"/>
      <c r="GR14" s="1455"/>
      <c r="GS14" s="1455"/>
      <c r="GT14" s="1455"/>
      <c r="GU14" s="1455"/>
      <c r="GV14" s="1455"/>
      <c r="GW14" s="1452"/>
      <c r="GX14" s="1454"/>
      <c r="GY14" s="1455"/>
      <c r="GZ14" s="1455"/>
      <c r="HA14" s="1455"/>
      <c r="HB14" s="1452"/>
      <c r="HC14" s="1455"/>
      <c r="HD14" s="1452"/>
      <c r="HE14" s="1455"/>
      <c r="HF14" s="1452"/>
      <c r="HG14" s="1452"/>
      <c r="HH14" s="1455"/>
      <c r="HI14" s="1455"/>
      <c r="HJ14" s="1455"/>
      <c r="HK14" s="1455"/>
      <c r="HL14" s="1455"/>
      <c r="HM14" s="1455"/>
      <c r="HN14" s="1455"/>
      <c r="HO14" s="1455"/>
      <c r="HP14" s="1455"/>
      <c r="HQ14" s="1455"/>
      <c r="HR14" s="1455"/>
      <c r="HS14" s="1452"/>
      <c r="HT14" s="1455"/>
      <c r="HU14" s="1455"/>
      <c r="HV14" s="1455"/>
      <c r="HW14" s="1455"/>
      <c r="HX14" s="1455"/>
      <c r="HY14" s="1455"/>
      <c r="HZ14" s="1452"/>
      <c r="IA14" s="1455"/>
      <c r="IB14" s="1455"/>
      <c r="IC14" s="1455"/>
      <c r="ID14" s="1455"/>
      <c r="IE14" s="1455"/>
      <c r="IF14" s="1455"/>
      <c r="IG14" s="1455"/>
      <c r="IH14" s="1455"/>
      <c r="II14" s="1455"/>
      <c r="IJ14" s="1455"/>
      <c r="IK14" s="1455"/>
      <c r="IL14" s="1455"/>
      <c r="IM14" s="1455"/>
      <c r="IN14" s="1455"/>
      <c r="IO14" s="1452"/>
      <c r="IP14" s="1455"/>
      <c r="IQ14" s="1455"/>
      <c r="IR14" s="1455"/>
      <c r="IS14" s="1455"/>
      <c r="IT14" s="1455"/>
      <c r="IU14" s="1455"/>
      <c r="IV14" s="1455"/>
      <c r="IW14" s="1455"/>
      <c r="IX14" s="1452"/>
      <c r="IY14" s="1453"/>
      <c r="IZ14" s="1452"/>
      <c r="JA14" s="1452"/>
      <c r="JB14" s="1452"/>
      <c r="JC14" s="1452"/>
      <c r="JD14" s="1452"/>
      <c r="JE14" s="1452"/>
      <c r="JF14" s="1452"/>
      <c r="JG14" s="1452"/>
      <c r="JH14" s="1455"/>
      <c r="JI14" s="1455"/>
      <c r="JJ14" s="1455"/>
      <c r="JK14" s="1455"/>
      <c r="JL14" s="1455"/>
      <c r="JM14" s="1455"/>
      <c r="JN14" s="1455"/>
      <c r="JO14" s="1455"/>
      <c r="JP14" s="1455"/>
      <c r="JQ14" s="1613"/>
      <c r="JR14" s="351"/>
      <c r="JS14" s="1614" t="s">
        <v>3759</v>
      </c>
      <c r="JT14" s="1615" t="s">
        <v>2242</v>
      </c>
    </row>
    <row r="15" spans="1:280" ht="12.5" x14ac:dyDescent="0.25">
      <c r="A15" s="1367">
        <v>15</v>
      </c>
      <c r="B15" s="1411" t="str">
        <f t="shared" ref="B15:B59" si="1">IF(PRO_IND&gt;1,IF(HLOOKUP(PRO_IND-1,PRO_RANGE,A15)="","",HLOOKUP(PRO_IND-1,PRO_RANGE,A15)),"")</f>
        <v/>
      </c>
      <c r="C15" s="1617" t="s">
        <v>3760</v>
      </c>
      <c r="D15" s="1612" t="s">
        <v>3207</v>
      </c>
      <c r="E15" s="1452"/>
      <c r="F15" s="1452"/>
      <c r="G15" s="1452"/>
      <c r="H15" s="1452"/>
      <c r="I15" s="1452"/>
      <c r="J15" s="1452"/>
      <c r="K15" s="1452"/>
      <c r="L15" s="1452"/>
      <c r="M15" s="1452"/>
      <c r="N15" s="1452"/>
      <c r="O15" s="1452"/>
      <c r="P15" s="1452"/>
      <c r="Q15" s="1452"/>
      <c r="R15" s="1452"/>
      <c r="S15" s="1452"/>
      <c r="T15" s="1452"/>
      <c r="U15" s="1452"/>
      <c r="V15" s="1452"/>
      <c r="W15" s="1452"/>
      <c r="X15" s="1452"/>
      <c r="Y15" s="1452"/>
      <c r="Z15" s="1452"/>
      <c r="AA15" s="1452"/>
      <c r="AB15" s="1452"/>
      <c r="AC15" s="1452"/>
      <c r="AD15" s="1452"/>
      <c r="AE15" s="1452"/>
      <c r="AF15" s="1452"/>
      <c r="AG15" s="1452"/>
      <c r="AH15" s="1452"/>
      <c r="AI15" s="1452"/>
      <c r="AJ15" s="1453"/>
      <c r="AK15" s="1452"/>
      <c r="AL15" s="1452"/>
      <c r="AM15" s="1452"/>
      <c r="AN15" s="1452"/>
      <c r="AO15" s="1452"/>
      <c r="AP15" s="1452"/>
      <c r="AQ15" s="1452"/>
      <c r="AR15" s="1452"/>
      <c r="AS15" s="1452"/>
      <c r="AT15" s="1452"/>
      <c r="AU15" s="1452"/>
      <c r="AV15" s="1452"/>
      <c r="AW15" s="1452"/>
      <c r="AX15" s="1452"/>
      <c r="AY15" s="1452"/>
      <c r="AZ15" s="1452"/>
      <c r="BA15" s="1452"/>
      <c r="BB15" s="1452"/>
      <c r="BC15" s="1452"/>
      <c r="BD15" s="1452"/>
      <c r="BE15" s="1452"/>
      <c r="BF15" s="1452"/>
      <c r="BG15" s="1452"/>
      <c r="BH15" s="1452"/>
      <c r="BI15" s="1452"/>
      <c r="BJ15" s="1452"/>
      <c r="BK15" s="1452"/>
      <c r="BL15" s="1452"/>
      <c r="BM15" s="1452"/>
      <c r="BN15" s="1452"/>
      <c r="BO15" s="1452"/>
      <c r="BP15" s="1452"/>
      <c r="BQ15" s="1452"/>
      <c r="BR15" s="1452"/>
      <c r="BS15" s="1452"/>
      <c r="BT15" s="1452"/>
      <c r="BU15" s="1452"/>
      <c r="BV15" s="1452"/>
      <c r="BW15" s="1452"/>
      <c r="BX15" s="1452"/>
      <c r="BY15" s="1452"/>
      <c r="BZ15" s="1452"/>
      <c r="CA15" s="1452"/>
      <c r="CB15" s="1454"/>
      <c r="CC15" s="1452"/>
      <c r="CD15" s="1452"/>
      <c r="CE15" s="1455"/>
      <c r="CF15" s="1455"/>
      <c r="CG15" s="1455"/>
      <c r="CH15" s="1452"/>
      <c r="CI15" s="1452"/>
      <c r="CJ15" s="1455"/>
      <c r="CK15" s="1455"/>
      <c r="CL15" s="1455"/>
      <c r="CM15" s="1455"/>
      <c r="CN15" s="1455"/>
      <c r="CO15" s="1455"/>
      <c r="CP15" s="1455"/>
      <c r="CQ15" s="1454"/>
      <c r="CR15" s="1452"/>
      <c r="CS15" s="1452"/>
      <c r="CT15" s="1452"/>
      <c r="CU15" s="1455"/>
      <c r="CV15" s="1452"/>
      <c r="CW15" s="1455"/>
      <c r="CX15" s="1455"/>
      <c r="CY15" s="1455"/>
      <c r="CZ15" s="1452"/>
      <c r="DA15" s="1452"/>
      <c r="DB15" s="1452"/>
      <c r="DC15" s="1452"/>
      <c r="DD15" s="1455"/>
      <c r="DE15" s="1455"/>
      <c r="DF15" s="1455"/>
      <c r="DG15" s="1455"/>
      <c r="DH15" s="1455"/>
      <c r="DI15" s="1452"/>
      <c r="DJ15" s="1455"/>
      <c r="DK15" s="1455"/>
      <c r="DL15" s="1452"/>
      <c r="DM15" s="1452"/>
      <c r="DN15" s="1455"/>
      <c r="DO15" s="1455"/>
      <c r="DP15" s="1455"/>
      <c r="DQ15" s="1455"/>
      <c r="DR15" s="1452"/>
      <c r="DS15" s="1455"/>
      <c r="DT15" s="1455"/>
      <c r="DU15" s="1455"/>
      <c r="DV15" s="1455"/>
      <c r="DW15" s="1455"/>
      <c r="DX15" s="1455"/>
      <c r="DY15" s="1455"/>
      <c r="DZ15" s="1455"/>
      <c r="EA15" s="1455"/>
      <c r="EB15" s="1455"/>
      <c r="EC15" s="1455"/>
      <c r="ED15" s="1455"/>
      <c r="EE15" s="1455"/>
      <c r="EF15" s="1455"/>
      <c r="EG15" s="1455"/>
      <c r="EH15" s="1455"/>
      <c r="EI15" s="1455"/>
      <c r="EJ15" s="1452"/>
      <c r="EK15" s="1455"/>
      <c r="EL15" s="1455"/>
      <c r="EM15" s="1455"/>
      <c r="EN15" s="1452"/>
      <c r="EO15" s="1455"/>
      <c r="EP15" s="1455"/>
      <c r="EQ15" s="1455"/>
      <c r="ER15" s="1455"/>
      <c r="ES15" s="1455"/>
      <c r="ET15" s="1455"/>
      <c r="EU15" s="1452"/>
      <c r="EV15" s="1455"/>
      <c r="EW15" s="1455"/>
      <c r="EX15" s="1455"/>
      <c r="EY15" s="1455"/>
      <c r="EZ15" s="1455"/>
      <c r="FA15" s="1455"/>
      <c r="FB15" s="1455"/>
      <c r="FC15" s="1455"/>
      <c r="FD15" s="1455"/>
      <c r="FE15" s="1455"/>
      <c r="FF15" s="1452"/>
      <c r="FG15" s="1455"/>
      <c r="FH15" s="1455"/>
      <c r="FI15" s="1455"/>
      <c r="FJ15" s="1455"/>
      <c r="FK15" s="1455"/>
      <c r="FL15" s="1455"/>
      <c r="FM15" s="1455"/>
      <c r="FN15" s="1455"/>
      <c r="FO15" s="1455"/>
      <c r="FP15" s="1455"/>
      <c r="FQ15" s="1455"/>
      <c r="FR15" s="1455"/>
      <c r="FS15" s="1455"/>
      <c r="FT15" s="1452"/>
      <c r="FU15" s="1452"/>
      <c r="FV15" s="1452"/>
      <c r="FW15" s="1455"/>
      <c r="FX15" s="1452"/>
      <c r="FY15" s="1455"/>
      <c r="FZ15" s="1455"/>
      <c r="GA15" s="1455"/>
      <c r="GB15" s="1455"/>
      <c r="GC15" s="1455"/>
      <c r="GD15" s="1455"/>
      <c r="GE15" s="1452"/>
      <c r="GF15" s="1452"/>
      <c r="GG15" s="1452"/>
      <c r="GH15" s="1455"/>
      <c r="GI15" s="1455"/>
      <c r="GJ15" s="1452"/>
      <c r="GK15" s="1455"/>
      <c r="GL15" s="1455"/>
      <c r="GM15" s="1455"/>
      <c r="GN15" s="1455"/>
      <c r="GO15" s="1455"/>
      <c r="GP15" s="1455"/>
      <c r="GQ15" s="1455"/>
      <c r="GR15" s="1455"/>
      <c r="GS15" s="1455"/>
      <c r="GT15" s="1455"/>
      <c r="GU15" s="1455"/>
      <c r="GV15" s="1455"/>
      <c r="GW15" s="1452"/>
      <c r="GX15" s="1452"/>
      <c r="GY15" s="1455"/>
      <c r="GZ15" s="1455"/>
      <c r="HA15" s="1455"/>
      <c r="HB15" s="1452"/>
      <c r="HC15" s="1455"/>
      <c r="HD15" s="1452"/>
      <c r="HE15" s="1455"/>
      <c r="HF15" s="1452"/>
      <c r="HG15" s="1452"/>
      <c r="HH15" s="1455"/>
      <c r="HI15" s="1455"/>
      <c r="HJ15" s="1455"/>
      <c r="HK15" s="1455"/>
      <c r="HL15" s="1455"/>
      <c r="HM15" s="1455"/>
      <c r="HN15" s="1455"/>
      <c r="HO15" s="1455"/>
      <c r="HP15" s="1455"/>
      <c r="HQ15" s="1455"/>
      <c r="HR15" s="1455"/>
      <c r="HS15" s="1452"/>
      <c r="HT15" s="1455"/>
      <c r="HU15" s="1455"/>
      <c r="HV15" s="1455"/>
      <c r="HW15" s="1455"/>
      <c r="HX15" s="1455"/>
      <c r="HY15" s="1455"/>
      <c r="HZ15" s="1452"/>
      <c r="IA15" s="1455"/>
      <c r="IB15" s="1455"/>
      <c r="IC15" s="1455"/>
      <c r="ID15" s="1455"/>
      <c r="IE15" s="1455"/>
      <c r="IF15" s="1455"/>
      <c r="IG15" s="1455"/>
      <c r="IH15" s="1455"/>
      <c r="II15" s="1455"/>
      <c r="IJ15" s="1455"/>
      <c r="IK15" s="1455"/>
      <c r="IL15" s="1455"/>
      <c r="IM15" s="1455"/>
      <c r="IN15" s="1455"/>
      <c r="IO15" s="1452"/>
      <c r="IP15" s="1455"/>
      <c r="IQ15" s="1455"/>
      <c r="IR15" s="1455"/>
      <c r="IS15" s="1455"/>
      <c r="IT15" s="1455"/>
      <c r="IU15" s="1455"/>
      <c r="IV15" s="1455"/>
      <c r="IW15" s="1455"/>
      <c r="IX15" s="1452"/>
      <c r="IY15" s="1453"/>
      <c r="IZ15" s="1452"/>
      <c r="JA15" s="1452"/>
      <c r="JB15" s="1452"/>
      <c r="JC15" s="1452"/>
      <c r="JD15" s="1452"/>
      <c r="JE15" s="1452"/>
      <c r="JF15" s="1452"/>
      <c r="JG15" s="1452"/>
      <c r="JH15" s="1455"/>
      <c r="JI15" s="1455"/>
      <c r="JJ15" s="1455"/>
      <c r="JK15" s="1455"/>
      <c r="JL15" s="1455"/>
      <c r="JM15" s="1455"/>
      <c r="JN15" s="1455"/>
      <c r="JO15" s="1455"/>
      <c r="JP15" s="1455"/>
      <c r="JQ15" s="1613"/>
      <c r="JR15" s="351"/>
      <c r="JS15" s="1614"/>
      <c r="JT15" s="1615"/>
    </row>
    <row r="16" spans="1:280" ht="12.5" x14ac:dyDescent="0.25">
      <c r="A16" s="1367">
        <v>16</v>
      </c>
      <c r="B16" s="1411" t="str">
        <f t="shared" si="1"/>
        <v/>
      </c>
      <c r="C16" s="1617" t="s">
        <v>3761</v>
      </c>
      <c r="D16" s="1612" t="s">
        <v>2975</v>
      </c>
      <c r="E16" s="1452"/>
      <c r="F16" s="1452"/>
      <c r="G16" s="1452"/>
      <c r="H16" s="1452"/>
      <c r="I16" s="1452"/>
      <c r="J16" s="1452"/>
      <c r="K16" s="1452"/>
      <c r="L16" s="1452"/>
      <c r="M16" s="1452"/>
      <c r="N16" s="1452"/>
      <c r="O16" s="1452"/>
      <c r="P16" s="1452"/>
      <c r="Q16" s="1452"/>
      <c r="R16" s="1452"/>
      <c r="S16" s="1452"/>
      <c r="T16" s="1452"/>
      <c r="U16" s="1452"/>
      <c r="V16" s="1452"/>
      <c r="W16" s="1452"/>
      <c r="X16" s="1452"/>
      <c r="Y16" s="1452"/>
      <c r="Z16" s="1452"/>
      <c r="AA16" s="1452"/>
      <c r="AB16" s="1452"/>
      <c r="AC16" s="1452"/>
      <c r="AD16" s="1452"/>
      <c r="AE16" s="1452"/>
      <c r="AF16" s="1452"/>
      <c r="AG16" s="1452"/>
      <c r="AH16" s="1452"/>
      <c r="AI16" s="1452"/>
      <c r="AJ16" s="1453"/>
      <c r="AK16" s="1452"/>
      <c r="AL16" s="1452"/>
      <c r="AM16" s="1452"/>
      <c r="AN16" s="1452"/>
      <c r="AO16" s="1452"/>
      <c r="AP16" s="1452"/>
      <c r="AQ16" s="1452"/>
      <c r="AR16" s="1452"/>
      <c r="AS16" s="1452"/>
      <c r="AT16" s="1452"/>
      <c r="AU16" s="1452"/>
      <c r="AV16" s="1452"/>
      <c r="AW16" s="1452"/>
      <c r="AX16" s="1452"/>
      <c r="AY16" s="1452"/>
      <c r="AZ16" s="1452"/>
      <c r="BA16" s="1452"/>
      <c r="BB16" s="1452"/>
      <c r="BC16" s="1452"/>
      <c r="BD16" s="1452"/>
      <c r="BE16" s="1452"/>
      <c r="BF16" s="1452"/>
      <c r="BG16" s="1452"/>
      <c r="BH16" s="1452"/>
      <c r="BI16" s="1452"/>
      <c r="BJ16" s="1452"/>
      <c r="BK16" s="1452"/>
      <c r="BL16" s="1452"/>
      <c r="BM16" s="1452"/>
      <c r="BN16" s="1452"/>
      <c r="BO16" s="1452"/>
      <c r="BP16" s="1452"/>
      <c r="BQ16" s="1452"/>
      <c r="BR16" s="1452"/>
      <c r="BS16" s="1452"/>
      <c r="BT16" s="1452"/>
      <c r="BU16" s="1452"/>
      <c r="BV16" s="1452"/>
      <c r="BW16" s="1452"/>
      <c r="BX16" s="1452"/>
      <c r="BY16" s="1452"/>
      <c r="BZ16" s="1452"/>
      <c r="CA16" s="1452"/>
      <c r="CB16" s="1452"/>
      <c r="CC16" s="1452"/>
      <c r="CD16" s="1452"/>
      <c r="CE16" s="1455"/>
      <c r="CF16" s="1455"/>
      <c r="CG16" s="1455"/>
      <c r="CH16" s="1452"/>
      <c r="CI16" s="1452"/>
      <c r="CJ16" s="1455"/>
      <c r="CK16" s="1455"/>
      <c r="CL16" s="1455"/>
      <c r="CM16" s="1455"/>
      <c r="CN16" s="1455"/>
      <c r="CO16" s="1455"/>
      <c r="CP16" s="1455"/>
      <c r="CQ16" s="1454"/>
      <c r="CR16" s="1452"/>
      <c r="CS16" s="1452"/>
      <c r="CT16" s="1452"/>
      <c r="CU16" s="1455"/>
      <c r="CV16" s="1452"/>
      <c r="CW16" s="1455"/>
      <c r="CX16" s="1455"/>
      <c r="CY16" s="1455"/>
      <c r="CZ16" s="1452"/>
      <c r="DA16" s="1452"/>
      <c r="DB16" s="1452"/>
      <c r="DC16" s="1452"/>
      <c r="DD16" s="1455"/>
      <c r="DE16" s="1455"/>
      <c r="DF16" s="1455"/>
      <c r="DG16" s="1455"/>
      <c r="DH16" s="1455"/>
      <c r="DI16" s="1452"/>
      <c r="DJ16" s="1455"/>
      <c r="DK16" s="1455"/>
      <c r="DL16" s="1452"/>
      <c r="DM16" s="1452"/>
      <c r="DN16" s="1455"/>
      <c r="DO16" s="1455"/>
      <c r="DP16" s="1455"/>
      <c r="DQ16" s="1455"/>
      <c r="DR16" s="1452"/>
      <c r="DS16" s="1455"/>
      <c r="DT16" s="1455"/>
      <c r="DU16" s="1455"/>
      <c r="DV16" s="1455"/>
      <c r="DW16" s="1455"/>
      <c r="DX16" s="1455"/>
      <c r="DY16" s="1455"/>
      <c r="DZ16" s="1455"/>
      <c r="EA16" s="1455"/>
      <c r="EB16" s="1455"/>
      <c r="EC16" s="1455"/>
      <c r="ED16" s="1455"/>
      <c r="EE16" s="1455"/>
      <c r="EF16" s="1455"/>
      <c r="EG16" s="1455"/>
      <c r="EH16" s="1455"/>
      <c r="EI16" s="1455"/>
      <c r="EJ16" s="1452"/>
      <c r="EK16" s="1455"/>
      <c r="EL16" s="1455"/>
      <c r="EM16" s="1455"/>
      <c r="EN16" s="1452"/>
      <c r="EO16" s="1455"/>
      <c r="EP16" s="1455"/>
      <c r="EQ16" s="1455"/>
      <c r="ER16" s="1455"/>
      <c r="ES16" s="1455"/>
      <c r="ET16" s="1455"/>
      <c r="EU16" s="1452"/>
      <c r="EV16" s="1455"/>
      <c r="EW16" s="1455"/>
      <c r="EX16" s="1455"/>
      <c r="EY16" s="1455"/>
      <c r="EZ16" s="1455"/>
      <c r="FA16" s="1455"/>
      <c r="FB16" s="1455"/>
      <c r="FC16" s="1455"/>
      <c r="FD16" s="1455"/>
      <c r="FE16" s="1455"/>
      <c r="FF16" s="1452"/>
      <c r="FG16" s="1455"/>
      <c r="FH16" s="1455"/>
      <c r="FI16" s="1455"/>
      <c r="FJ16" s="1455"/>
      <c r="FK16" s="1455"/>
      <c r="FL16" s="1455"/>
      <c r="FM16" s="1455"/>
      <c r="FN16" s="1455"/>
      <c r="FO16" s="1455"/>
      <c r="FP16" s="1455"/>
      <c r="FQ16" s="1455"/>
      <c r="FR16" s="1455"/>
      <c r="FS16" s="1455"/>
      <c r="FT16" s="1452"/>
      <c r="FU16" s="1452"/>
      <c r="FV16" s="1452"/>
      <c r="FW16" s="1455"/>
      <c r="FX16" s="1452"/>
      <c r="FY16" s="1455"/>
      <c r="FZ16" s="1455"/>
      <c r="GA16" s="1455"/>
      <c r="GB16" s="1455"/>
      <c r="GC16" s="1455"/>
      <c r="GD16" s="1455"/>
      <c r="GE16" s="1452"/>
      <c r="GF16" s="1452"/>
      <c r="GG16" s="1454"/>
      <c r="GH16" s="1455"/>
      <c r="GI16" s="1455"/>
      <c r="GJ16" s="1452"/>
      <c r="GK16" s="1455"/>
      <c r="GL16" s="1455"/>
      <c r="GM16" s="1455"/>
      <c r="GN16" s="1455"/>
      <c r="GO16" s="1455"/>
      <c r="GP16" s="1455"/>
      <c r="GQ16" s="1455"/>
      <c r="GR16" s="1455"/>
      <c r="GS16" s="1455"/>
      <c r="GT16" s="1455"/>
      <c r="GU16" s="1455"/>
      <c r="GV16" s="1455"/>
      <c r="GW16" s="1452"/>
      <c r="GX16" s="1452"/>
      <c r="GY16" s="1455"/>
      <c r="GZ16" s="1455"/>
      <c r="HA16" s="1455"/>
      <c r="HB16" s="1452"/>
      <c r="HC16" s="1455"/>
      <c r="HD16" s="1452"/>
      <c r="HE16" s="1455"/>
      <c r="HF16" s="1452"/>
      <c r="HG16" s="1452"/>
      <c r="HH16" s="1455"/>
      <c r="HI16" s="1455"/>
      <c r="HJ16" s="1455"/>
      <c r="HK16" s="1455"/>
      <c r="HL16" s="1455"/>
      <c r="HM16" s="1455"/>
      <c r="HN16" s="1455"/>
      <c r="HO16" s="1455"/>
      <c r="HP16" s="1455"/>
      <c r="HQ16" s="1455"/>
      <c r="HR16" s="1455"/>
      <c r="HS16" s="1452"/>
      <c r="HT16" s="1455"/>
      <c r="HU16" s="1455"/>
      <c r="HV16" s="1455"/>
      <c r="HW16" s="1455"/>
      <c r="HX16" s="1455"/>
      <c r="HY16" s="1455"/>
      <c r="HZ16" s="1452"/>
      <c r="IA16" s="1455"/>
      <c r="IB16" s="1455"/>
      <c r="IC16" s="1455"/>
      <c r="ID16" s="1455"/>
      <c r="IE16" s="1455"/>
      <c r="IF16" s="1455"/>
      <c r="IG16" s="1455"/>
      <c r="IH16" s="1455"/>
      <c r="II16" s="1455"/>
      <c r="IJ16" s="1455"/>
      <c r="IK16" s="1455"/>
      <c r="IL16" s="1455"/>
      <c r="IM16" s="1455"/>
      <c r="IN16" s="1455"/>
      <c r="IO16" s="1452"/>
      <c r="IP16" s="1455"/>
      <c r="IQ16" s="1455"/>
      <c r="IR16" s="1455"/>
      <c r="IS16" s="1455"/>
      <c r="IT16" s="1455"/>
      <c r="IU16" s="1455"/>
      <c r="IV16" s="1455"/>
      <c r="IW16" s="1455"/>
      <c r="IX16" s="1452"/>
      <c r="IY16" s="1453"/>
      <c r="IZ16" s="1452"/>
      <c r="JA16" s="1452"/>
      <c r="JB16" s="1452"/>
      <c r="JC16" s="1452"/>
      <c r="JD16" s="1452"/>
      <c r="JE16" s="1452"/>
      <c r="JF16" s="1452"/>
      <c r="JG16" s="1452"/>
      <c r="JH16" s="1455"/>
      <c r="JI16" s="1455"/>
      <c r="JJ16" s="1455"/>
      <c r="JK16" s="1455"/>
      <c r="JL16" s="1455"/>
      <c r="JM16" s="1455"/>
      <c r="JN16" s="1455"/>
      <c r="JO16" s="1455"/>
      <c r="JP16" s="1455"/>
      <c r="JQ16" s="1613"/>
      <c r="JR16" s="351"/>
      <c r="JS16" s="1614"/>
      <c r="JT16" s="1615"/>
    </row>
    <row r="17" spans="1:280" ht="12.5" x14ac:dyDescent="0.25">
      <c r="A17" s="1367">
        <v>17</v>
      </c>
      <c r="B17" s="1411" t="str">
        <f t="shared" si="1"/>
        <v/>
      </c>
      <c r="C17" s="1617" t="s">
        <v>3762</v>
      </c>
      <c r="D17" s="1612" t="s">
        <v>3763</v>
      </c>
      <c r="E17" s="1452"/>
      <c r="F17" s="1452"/>
      <c r="G17" s="1452"/>
      <c r="H17" s="1452"/>
      <c r="I17" s="1452"/>
      <c r="J17" s="1452"/>
      <c r="K17" s="1452"/>
      <c r="L17" s="1452"/>
      <c r="M17" s="1452"/>
      <c r="N17" s="1452"/>
      <c r="O17" s="1452"/>
      <c r="P17" s="1452"/>
      <c r="Q17" s="1452"/>
      <c r="R17" s="1452"/>
      <c r="S17" s="1452"/>
      <c r="T17" s="1452"/>
      <c r="U17" s="1452"/>
      <c r="V17" s="1452"/>
      <c r="W17" s="1452"/>
      <c r="X17" s="1452"/>
      <c r="Y17" s="1452"/>
      <c r="Z17" s="1452"/>
      <c r="AA17" s="1452"/>
      <c r="AB17" s="1452"/>
      <c r="AC17" s="1452"/>
      <c r="AD17" s="1452"/>
      <c r="AE17" s="1452"/>
      <c r="AF17" s="1452"/>
      <c r="AG17" s="1452"/>
      <c r="AH17" s="1452"/>
      <c r="AI17" s="1452"/>
      <c r="AJ17" s="1453"/>
      <c r="AK17" s="1452"/>
      <c r="AL17" s="1452"/>
      <c r="AM17" s="1452"/>
      <c r="AN17" s="1452"/>
      <c r="AO17" s="1452"/>
      <c r="AP17" s="1452"/>
      <c r="AQ17" s="1452"/>
      <c r="AR17" s="1452"/>
      <c r="AS17" s="1452"/>
      <c r="AT17" s="1452"/>
      <c r="AU17" s="1452"/>
      <c r="AV17" s="1452"/>
      <c r="AW17" s="1452"/>
      <c r="AX17" s="1452"/>
      <c r="AY17" s="1452"/>
      <c r="AZ17" s="1452"/>
      <c r="BA17" s="1452"/>
      <c r="BB17" s="1452"/>
      <c r="BC17" s="1452"/>
      <c r="BD17" s="1452"/>
      <c r="BE17" s="1452"/>
      <c r="BF17" s="1452"/>
      <c r="BG17" s="1452"/>
      <c r="BH17" s="1452"/>
      <c r="BI17" s="1452"/>
      <c r="BJ17" s="1452"/>
      <c r="BK17" s="1452"/>
      <c r="BL17" s="1452"/>
      <c r="BM17" s="1452"/>
      <c r="BN17" s="1452"/>
      <c r="BO17" s="1452"/>
      <c r="BP17" s="1452"/>
      <c r="BQ17" s="1452"/>
      <c r="BR17" s="1452"/>
      <c r="BS17" s="1452"/>
      <c r="BT17" s="1452"/>
      <c r="BU17" s="1452"/>
      <c r="BV17" s="1452"/>
      <c r="BW17" s="1452"/>
      <c r="BX17" s="1454"/>
      <c r="BY17" s="1452"/>
      <c r="BZ17" s="1452"/>
      <c r="CA17" s="1452"/>
      <c r="CB17" s="1454"/>
      <c r="CC17" s="1452"/>
      <c r="CD17" s="1452"/>
      <c r="CE17" s="1455"/>
      <c r="CF17" s="1455"/>
      <c r="CG17" s="1455"/>
      <c r="CH17" s="1452"/>
      <c r="CI17" s="1454"/>
      <c r="CJ17" s="1455"/>
      <c r="CK17" s="1455"/>
      <c r="CL17" s="1455"/>
      <c r="CM17" s="1455"/>
      <c r="CN17" s="1455"/>
      <c r="CO17" s="1455"/>
      <c r="CP17" s="1455"/>
      <c r="CQ17" s="1454"/>
      <c r="CR17" s="1452"/>
      <c r="CS17" s="1452"/>
      <c r="CT17" s="1454"/>
      <c r="CU17" s="1455"/>
      <c r="CV17" s="1454"/>
      <c r="CW17" s="1455"/>
      <c r="CX17" s="1455"/>
      <c r="CY17" s="1455"/>
      <c r="CZ17" s="1452"/>
      <c r="DA17" s="1452"/>
      <c r="DB17" s="1452"/>
      <c r="DC17" s="1454"/>
      <c r="DD17" s="1455"/>
      <c r="DE17" s="1455"/>
      <c r="DF17" s="1455"/>
      <c r="DG17" s="1455"/>
      <c r="DH17" s="1455"/>
      <c r="DI17" s="1454"/>
      <c r="DJ17" s="1455"/>
      <c r="DK17" s="1455"/>
      <c r="DL17" s="1454"/>
      <c r="DM17" s="1454"/>
      <c r="DN17" s="1455"/>
      <c r="DO17" s="1455"/>
      <c r="DP17" s="1455"/>
      <c r="DQ17" s="1455"/>
      <c r="DR17" s="1452"/>
      <c r="DS17" s="1455"/>
      <c r="DT17" s="1455"/>
      <c r="DU17" s="1455"/>
      <c r="DV17" s="1455"/>
      <c r="DW17" s="1455"/>
      <c r="DX17" s="1455"/>
      <c r="DY17" s="1455"/>
      <c r="DZ17" s="1455"/>
      <c r="EA17" s="1455"/>
      <c r="EB17" s="1455"/>
      <c r="EC17" s="1455"/>
      <c r="ED17" s="1455"/>
      <c r="EE17" s="1455"/>
      <c r="EF17" s="1455"/>
      <c r="EG17" s="1455"/>
      <c r="EH17" s="1455"/>
      <c r="EI17" s="1455"/>
      <c r="EJ17" s="1452"/>
      <c r="EK17" s="1455"/>
      <c r="EL17" s="1455"/>
      <c r="EM17" s="1455"/>
      <c r="EN17" s="1452"/>
      <c r="EO17" s="1455"/>
      <c r="EP17" s="1455"/>
      <c r="EQ17" s="1455"/>
      <c r="ER17" s="1455"/>
      <c r="ES17" s="1455"/>
      <c r="ET17" s="1455"/>
      <c r="EU17" s="1452"/>
      <c r="EV17" s="1455"/>
      <c r="EW17" s="1455"/>
      <c r="EX17" s="1455"/>
      <c r="EY17" s="1455"/>
      <c r="EZ17" s="1455"/>
      <c r="FA17" s="1455"/>
      <c r="FB17" s="1455"/>
      <c r="FC17" s="1455"/>
      <c r="FD17" s="1455"/>
      <c r="FE17" s="1455"/>
      <c r="FF17" s="1452"/>
      <c r="FG17" s="1455"/>
      <c r="FH17" s="1455"/>
      <c r="FI17" s="1455"/>
      <c r="FJ17" s="1455"/>
      <c r="FK17" s="1455"/>
      <c r="FL17" s="1455"/>
      <c r="FM17" s="1455"/>
      <c r="FN17" s="1455"/>
      <c r="FO17" s="1455"/>
      <c r="FP17" s="1455"/>
      <c r="FQ17" s="1455"/>
      <c r="FR17" s="1455"/>
      <c r="FS17" s="1455"/>
      <c r="FT17" s="1452"/>
      <c r="FU17" s="1452"/>
      <c r="FV17" s="1454"/>
      <c r="FW17" s="1455"/>
      <c r="FX17" s="1452"/>
      <c r="FY17" s="1455"/>
      <c r="FZ17" s="1455"/>
      <c r="GA17" s="1455"/>
      <c r="GB17" s="1455"/>
      <c r="GC17" s="1455"/>
      <c r="GD17" s="1455"/>
      <c r="GE17" s="1452"/>
      <c r="GF17" s="1452"/>
      <c r="GG17" s="1452"/>
      <c r="GH17" s="1455"/>
      <c r="GI17" s="1455"/>
      <c r="GJ17" s="1452"/>
      <c r="GK17" s="1455"/>
      <c r="GL17" s="1455"/>
      <c r="GM17" s="1455"/>
      <c r="GN17" s="1455"/>
      <c r="GO17" s="1455"/>
      <c r="GP17" s="1455"/>
      <c r="GQ17" s="1455"/>
      <c r="GR17" s="1455"/>
      <c r="GS17" s="1455"/>
      <c r="GT17" s="1455"/>
      <c r="GU17" s="1455"/>
      <c r="GV17" s="1455"/>
      <c r="GW17" s="1452"/>
      <c r="GX17" s="1454"/>
      <c r="GY17" s="1455"/>
      <c r="GZ17" s="1455"/>
      <c r="HA17" s="1455"/>
      <c r="HB17" s="1454"/>
      <c r="HC17" s="1455"/>
      <c r="HD17" s="1452"/>
      <c r="HE17" s="1455"/>
      <c r="HF17" s="1452"/>
      <c r="HG17" s="1452"/>
      <c r="HH17" s="1455"/>
      <c r="HI17" s="1455"/>
      <c r="HJ17" s="1455"/>
      <c r="HK17" s="1455"/>
      <c r="HL17" s="1455"/>
      <c r="HM17" s="1455"/>
      <c r="HN17" s="1455"/>
      <c r="HO17" s="1455"/>
      <c r="HP17" s="1455"/>
      <c r="HQ17" s="1455"/>
      <c r="HR17" s="1455"/>
      <c r="HS17" s="1454"/>
      <c r="HT17" s="1455"/>
      <c r="HU17" s="1455"/>
      <c r="HV17" s="1455"/>
      <c r="HW17" s="1455"/>
      <c r="HX17" s="1455"/>
      <c r="HY17" s="1455"/>
      <c r="HZ17" s="1455"/>
      <c r="IA17" s="1455"/>
      <c r="IB17" s="1455"/>
      <c r="IC17" s="1455"/>
      <c r="ID17" s="1455"/>
      <c r="IE17" s="1455"/>
      <c r="IF17" s="1455"/>
      <c r="IG17" s="1455"/>
      <c r="IH17" s="1455"/>
      <c r="II17" s="1455"/>
      <c r="IJ17" s="1455"/>
      <c r="IK17" s="1455"/>
      <c r="IL17" s="1455"/>
      <c r="IM17" s="1455"/>
      <c r="IN17" s="1455"/>
      <c r="IO17" s="1452"/>
      <c r="IP17" s="1455"/>
      <c r="IQ17" s="1455"/>
      <c r="IR17" s="1455"/>
      <c r="IS17" s="1455"/>
      <c r="IT17" s="1455"/>
      <c r="IU17" s="1455"/>
      <c r="IV17" s="1455"/>
      <c r="IW17" s="1455"/>
      <c r="IX17" s="1452"/>
      <c r="IY17" s="1453"/>
      <c r="IZ17" s="1452"/>
      <c r="JA17" s="1452"/>
      <c r="JB17" s="1452"/>
      <c r="JC17" s="1452"/>
      <c r="JD17" s="1452"/>
      <c r="JE17" s="1452"/>
      <c r="JF17" s="1452"/>
      <c r="JG17" s="1452"/>
      <c r="JH17" s="1455"/>
      <c r="JI17" s="1455"/>
      <c r="JJ17" s="1455"/>
      <c r="JK17" s="1455"/>
      <c r="JL17" s="1455"/>
      <c r="JM17" s="1455"/>
      <c r="JN17" s="1455"/>
      <c r="JO17" s="1455"/>
      <c r="JP17" s="1455"/>
      <c r="JQ17" s="1613"/>
      <c r="JR17" s="351"/>
      <c r="JS17" s="1614"/>
      <c r="JT17" s="1615" t="s">
        <v>2242</v>
      </c>
    </row>
    <row r="18" spans="1:280" ht="30" x14ac:dyDescent="0.25">
      <c r="A18" s="1367">
        <v>18</v>
      </c>
      <c r="B18" s="1411" t="str">
        <f t="shared" si="1"/>
        <v/>
      </c>
      <c r="C18" s="1617" t="s">
        <v>3764</v>
      </c>
      <c r="D18" s="1612" t="s">
        <v>3765</v>
      </c>
      <c r="E18" s="1559"/>
      <c r="F18" s="1503"/>
      <c r="G18" s="1559"/>
      <c r="H18" s="1559"/>
      <c r="I18" s="1559"/>
      <c r="J18" s="1559"/>
      <c r="K18" s="1559"/>
      <c r="L18" s="1559"/>
      <c r="M18" s="1503"/>
      <c r="N18" s="1559"/>
      <c r="O18" s="1503"/>
      <c r="P18" s="1559"/>
      <c r="Q18" s="1503"/>
      <c r="R18" s="1559"/>
      <c r="S18" s="1559"/>
      <c r="T18" s="1503"/>
      <c r="U18" s="1503"/>
      <c r="V18" s="1559"/>
      <c r="W18" s="1559"/>
      <c r="X18" s="1559"/>
      <c r="Y18" s="1559"/>
      <c r="Z18" s="1559"/>
      <c r="AA18" s="1503"/>
      <c r="AB18" s="1559"/>
      <c r="AC18" s="1503"/>
      <c r="AD18" s="1559"/>
      <c r="AE18" s="1559"/>
      <c r="AF18" s="1559"/>
      <c r="AG18" s="1559"/>
      <c r="AH18" s="1559"/>
      <c r="AI18" s="1559"/>
      <c r="AJ18" s="1618"/>
      <c r="AK18" s="1559"/>
      <c r="AL18" s="1559"/>
      <c r="AM18" s="1559"/>
      <c r="AN18" s="1559"/>
      <c r="AO18" s="1559"/>
      <c r="AP18" s="1559"/>
      <c r="AQ18" s="1559"/>
      <c r="AR18" s="1559"/>
      <c r="AS18" s="1503"/>
      <c r="AT18" s="1559"/>
      <c r="AU18" s="1559"/>
      <c r="AV18" s="1559"/>
      <c r="AW18" s="1503"/>
      <c r="AX18" s="1559"/>
      <c r="AY18" s="1503"/>
      <c r="AZ18" s="1503"/>
      <c r="BA18" s="1559"/>
      <c r="BB18" s="1559"/>
      <c r="BC18" s="1559"/>
      <c r="BD18" s="1503"/>
      <c r="BE18" s="1619"/>
      <c r="BF18" s="1619"/>
      <c r="BG18" s="1503"/>
      <c r="BH18" s="1619"/>
      <c r="BI18" s="1619"/>
      <c r="BJ18" s="1619"/>
      <c r="BK18" s="1619"/>
      <c r="BL18" s="1619"/>
      <c r="BM18" s="1619"/>
      <c r="BN18" s="1619"/>
      <c r="BO18" s="1619"/>
      <c r="BP18" s="1619"/>
      <c r="BQ18" s="1619"/>
      <c r="BR18" s="1619"/>
      <c r="BS18" s="1619"/>
      <c r="BT18" s="1503"/>
      <c r="BU18" s="1619"/>
      <c r="BV18" s="1503"/>
      <c r="BW18" s="1619"/>
      <c r="BX18" s="1503"/>
      <c r="BY18" s="1619"/>
      <c r="BZ18" s="1619"/>
      <c r="CA18" s="1619"/>
      <c r="CB18" s="1503"/>
      <c r="CC18" s="1503"/>
      <c r="CD18" s="1503"/>
      <c r="CE18" s="1620"/>
      <c r="CF18" s="1620"/>
      <c r="CG18" s="1620"/>
      <c r="CH18" s="1503"/>
      <c r="CI18" s="1503"/>
      <c r="CJ18" s="1620"/>
      <c r="CK18" s="1620"/>
      <c r="CL18" s="1620"/>
      <c r="CM18" s="1620"/>
      <c r="CN18" s="1620"/>
      <c r="CO18" s="1620"/>
      <c r="CP18" s="1620"/>
      <c r="CQ18" s="1503"/>
      <c r="CR18" s="1503"/>
      <c r="CS18" s="1503"/>
      <c r="CT18" s="1503"/>
      <c r="CU18" s="1620"/>
      <c r="CV18" s="1503"/>
      <c r="CW18" s="1620"/>
      <c r="CX18" s="1620"/>
      <c r="CY18" s="1620"/>
      <c r="CZ18" s="1503"/>
      <c r="DA18" s="1503"/>
      <c r="DB18" s="1503"/>
      <c r="DC18" s="1503"/>
      <c r="DD18" s="1620"/>
      <c r="DE18" s="1620"/>
      <c r="DF18" s="1620"/>
      <c r="DG18" s="1620"/>
      <c r="DH18" s="1620"/>
      <c r="DI18" s="1503"/>
      <c r="DJ18" s="1620"/>
      <c r="DK18" s="1620"/>
      <c r="DL18" s="1503"/>
      <c r="DM18" s="1503"/>
      <c r="DN18" s="1620"/>
      <c r="DO18" s="1620"/>
      <c r="DP18" s="1620"/>
      <c r="DQ18" s="1620"/>
      <c r="DR18" s="1503"/>
      <c r="DS18" s="1620"/>
      <c r="DT18" s="1620"/>
      <c r="DU18" s="1620"/>
      <c r="DV18" s="1620"/>
      <c r="DW18" s="1620"/>
      <c r="DX18" s="1620"/>
      <c r="DY18" s="1620"/>
      <c r="DZ18" s="1620"/>
      <c r="EA18" s="1620"/>
      <c r="EB18" s="1620"/>
      <c r="EC18" s="1620"/>
      <c r="ED18" s="1620"/>
      <c r="EE18" s="1620"/>
      <c r="EF18" s="1620"/>
      <c r="EG18" s="1620"/>
      <c r="EH18" s="1620"/>
      <c r="EI18" s="1620"/>
      <c r="EJ18" s="1503"/>
      <c r="EK18" s="1620"/>
      <c r="EL18" s="1620"/>
      <c r="EM18" s="1620"/>
      <c r="EN18" s="1503"/>
      <c r="EO18" s="1620"/>
      <c r="EP18" s="1620"/>
      <c r="EQ18" s="1620"/>
      <c r="ER18" s="1620"/>
      <c r="ES18" s="1620"/>
      <c r="ET18" s="1620"/>
      <c r="EU18" s="1503"/>
      <c r="EV18" s="1620"/>
      <c r="EW18" s="1620"/>
      <c r="EX18" s="1620"/>
      <c r="EY18" s="1620"/>
      <c r="EZ18" s="1620"/>
      <c r="FA18" s="1620"/>
      <c r="FB18" s="1620"/>
      <c r="FC18" s="1620"/>
      <c r="FD18" s="1620"/>
      <c r="FE18" s="1620"/>
      <c r="FF18" s="1503"/>
      <c r="FG18" s="1620"/>
      <c r="FH18" s="1620"/>
      <c r="FI18" s="1620"/>
      <c r="FJ18" s="1620"/>
      <c r="FK18" s="1620"/>
      <c r="FL18" s="1620"/>
      <c r="FM18" s="1620"/>
      <c r="FN18" s="1620"/>
      <c r="FO18" s="1620"/>
      <c r="FP18" s="1620"/>
      <c r="FQ18" s="1620"/>
      <c r="FR18" s="1620"/>
      <c r="FS18" s="1620"/>
      <c r="FT18" s="1503"/>
      <c r="FU18" s="1503"/>
      <c r="FV18" s="1503"/>
      <c r="FW18" s="1620"/>
      <c r="FX18" s="1503"/>
      <c r="FY18" s="1620"/>
      <c r="FZ18" s="1620"/>
      <c r="GA18" s="1620"/>
      <c r="GB18" s="1620"/>
      <c r="GC18" s="1620"/>
      <c r="GD18" s="1620"/>
      <c r="GE18" s="1503"/>
      <c r="GF18" s="1503"/>
      <c r="GG18" s="1503"/>
      <c r="GH18" s="1620"/>
      <c r="GI18" s="1620"/>
      <c r="GJ18" s="1620"/>
      <c r="GK18" s="1620"/>
      <c r="GL18" s="1620"/>
      <c r="GM18" s="1620"/>
      <c r="GN18" s="1620"/>
      <c r="GO18" s="1620"/>
      <c r="GP18" s="1620"/>
      <c r="GQ18" s="1620"/>
      <c r="GR18" s="1620"/>
      <c r="GS18" s="1620"/>
      <c r="GT18" s="1620"/>
      <c r="GU18" s="1620"/>
      <c r="GV18" s="1620"/>
      <c r="GW18" s="1503"/>
      <c r="GX18" s="1503"/>
      <c r="GY18" s="1620"/>
      <c r="GZ18" s="1620"/>
      <c r="HA18" s="1620"/>
      <c r="HB18" s="1620"/>
      <c r="HC18" s="1620"/>
      <c r="HD18" s="1503"/>
      <c r="HE18" s="1620"/>
      <c r="HF18" s="1503"/>
      <c r="HG18" s="1503"/>
      <c r="HH18" s="1620"/>
      <c r="HI18" s="1620"/>
      <c r="HJ18" s="1620"/>
      <c r="HK18" s="1620"/>
      <c r="HL18" s="1620"/>
      <c r="HM18" s="1620"/>
      <c r="HN18" s="1620"/>
      <c r="HO18" s="1620"/>
      <c r="HP18" s="1620"/>
      <c r="HQ18" s="1620"/>
      <c r="HR18" s="1620"/>
      <c r="HS18" s="1503"/>
      <c r="HT18" s="1620"/>
      <c r="HU18" s="1620"/>
      <c r="HV18" s="1620"/>
      <c r="HW18" s="1620"/>
      <c r="HX18" s="1620"/>
      <c r="HY18" s="1620"/>
      <c r="HZ18" s="1504"/>
      <c r="IA18" s="1620"/>
      <c r="IB18" s="1620"/>
      <c r="IC18" s="1620"/>
      <c r="ID18" s="1620"/>
      <c r="IE18" s="1620"/>
      <c r="IF18" s="1620"/>
      <c r="IG18" s="1620"/>
      <c r="IH18" s="1620"/>
      <c r="II18" s="1620"/>
      <c r="IJ18" s="1620"/>
      <c r="IK18" s="1620"/>
      <c r="IL18" s="1620"/>
      <c r="IM18" s="1620"/>
      <c r="IN18" s="1620"/>
      <c r="IO18" s="1503"/>
      <c r="IP18" s="1620"/>
      <c r="IQ18" s="1620"/>
      <c r="IR18" s="1620"/>
      <c r="IS18" s="1620"/>
      <c r="IT18" s="1620"/>
      <c r="IU18" s="1620"/>
      <c r="IV18" s="1620"/>
      <c r="IW18" s="1620"/>
      <c r="IX18" s="1503"/>
      <c r="IY18" s="1618"/>
      <c r="IZ18" s="1559"/>
      <c r="JA18" s="1559"/>
      <c r="JB18" s="1559"/>
      <c r="JC18" s="1559"/>
      <c r="JD18" s="1559"/>
      <c r="JE18" s="1559"/>
      <c r="JF18" s="1559"/>
      <c r="JG18" s="1503"/>
      <c r="JH18" s="1620"/>
      <c r="JI18" s="1620"/>
      <c r="JJ18" s="1620"/>
      <c r="JK18" s="1620"/>
      <c r="JL18" s="1620"/>
      <c r="JM18" s="1620"/>
      <c r="JN18" s="1620"/>
      <c r="JO18" s="1620"/>
      <c r="JP18" s="1620"/>
      <c r="JQ18" s="1621"/>
      <c r="JR18" s="351"/>
      <c r="JS18" s="1614" t="s">
        <v>3766</v>
      </c>
      <c r="JT18" s="1615" t="s">
        <v>2224</v>
      </c>
    </row>
    <row r="19" spans="1:280" ht="12.5" x14ac:dyDescent="0.25">
      <c r="A19" s="1367">
        <v>19</v>
      </c>
      <c r="B19" s="1411" t="str">
        <f t="shared" si="1"/>
        <v/>
      </c>
      <c r="C19" s="1617" t="s">
        <v>3767</v>
      </c>
      <c r="D19" s="1612" t="s">
        <v>3768</v>
      </c>
      <c r="E19" s="1452"/>
      <c r="F19" s="1452"/>
      <c r="G19" s="1452"/>
      <c r="H19" s="1452"/>
      <c r="I19" s="1452"/>
      <c r="J19" s="1452"/>
      <c r="K19" s="1452"/>
      <c r="L19" s="1452"/>
      <c r="M19" s="1452"/>
      <c r="N19" s="1452"/>
      <c r="O19" s="1452"/>
      <c r="P19" s="1452"/>
      <c r="Q19" s="1452"/>
      <c r="R19" s="1452"/>
      <c r="S19" s="1452"/>
      <c r="T19" s="1452"/>
      <c r="U19" s="1452"/>
      <c r="V19" s="1452"/>
      <c r="W19" s="1452"/>
      <c r="X19" s="1452"/>
      <c r="Y19" s="1452"/>
      <c r="Z19" s="1452"/>
      <c r="AA19" s="1452"/>
      <c r="AB19" s="1452"/>
      <c r="AC19" s="1452"/>
      <c r="AD19" s="1452"/>
      <c r="AE19" s="1452"/>
      <c r="AF19" s="1452"/>
      <c r="AG19" s="1452"/>
      <c r="AH19" s="1452"/>
      <c r="AI19" s="1452"/>
      <c r="AJ19" s="1453"/>
      <c r="AK19" s="1452"/>
      <c r="AL19" s="1452"/>
      <c r="AM19" s="1452"/>
      <c r="AN19" s="1452"/>
      <c r="AO19" s="1452"/>
      <c r="AP19" s="1452"/>
      <c r="AQ19" s="1452"/>
      <c r="AR19" s="1452"/>
      <c r="AS19" s="1452"/>
      <c r="AT19" s="1452"/>
      <c r="AU19" s="1452"/>
      <c r="AV19" s="1452"/>
      <c r="AW19" s="1452"/>
      <c r="AX19" s="1452"/>
      <c r="AY19" s="1452"/>
      <c r="AZ19" s="1452"/>
      <c r="BA19" s="1452"/>
      <c r="BB19" s="1452"/>
      <c r="BC19" s="1452"/>
      <c r="BD19" s="1452"/>
      <c r="BE19" s="1624"/>
      <c r="BF19" s="1624"/>
      <c r="BG19" s="1452"/>
      <c r="BH19" s="1624"/>
      <c r="BI19" s="1624"/>
      <c r="BJ19" s="1624"/>
      <c r="BK19" s="1624"/>
      <c r="BL19" s="1624"/>
      <c r="BM19" s="1624"/>
      <c r="BN19" s="1624"/>
      <c r="BO19" s="1624"/>
      <c r="BP19" s="1624"/>
      <c r="BQ19" s="1624"/>
      <c r="BR19" s="1624"/>
      <c r="BS19" s="1624"/>
      <c r="BT19" s="1452"/>
      <c r="BU19" s="1624"/>
      <c r="BV19" s="1452"/>
      <c r="BW19" s="1624"/>
      <c r="BX19" s="1452"/>
      <c r="BY19" s="1624"/>
      <c r="BZ19" s="1624"/>
      <c r="CA19" s="1624"/>
      <c r="CB19" s="1452"/>
      <c r="CC19" s="1452"/>
      <c r="CD19" s="1452"/>
      <c r="CE19" s="1625"/>
      <c r="CF19" s="1625"/>
      <c r="CG19" s="1625"/>
      <c r="CH19" s="1452"/>
      <c r="CI19" s="1452"/>
      <c r="CJ19" s="1625"/>
      <c r="CK19" s="1625"/>
      <c r="CL19" s="1625"/>
      <c r="CM19" s="1625"/>
      <c r="CN19" s="1625"/>
      <c r="CO19" s="1625"/>
      <c r="CP19" s="1625"/>
      <c r="CQ19" s="1452"/>
      <c r="CR19" s="1452"/>
      <c r="CS19" s="1452"/>
      <c r="CT19" s="1452"/>
      <c r="CU19" s="1625"/>
      <c r="CV19" s="1452"/>
      <c r="CW19" s="1625"/>
      <c r="CX19" s="1625"/>
      <c r="CY19" s="1625"/>
      <c r="CZ19" s="1452"/>
      <c r="DA19" s="1452"/>
      <c r="DB19" s="1452"/>
      <c r="DC19" s="1452"/>
      <c r="DD19" s="1625"/>
      <c r="DE19" s="1625"/>
      <c r="DF19" s="1625"/>
      <c r="DG19" s="1625"/>
      <c r="DH19" s="1625"/>
      <c r="DI19" s="1452"/>
      <c r="DJ19" s="1625"/>
      <c r="DK19" s="1625"/>
      <c r="DL19" s="1452"/>
      <c r="DM19" s="1452"/>
      <c r="DN19" s="1625"/>
      <c r="DO19" s="1625"/>
      <c r="DP19" s="1625"/>
      <c r="DQ19" s="1625"/>
      <c r="DR19" s="1452"/>
      <c r="DS19" s="1625"/>
      <c r="DT19" s="1625"/>
      <c r="DU19" s="1625"/>
      <c r="DV19" s="1625"/>
      <c r="DW19" s="1625"/>
      <c r="DX19" s="1625"/>
      <c r="DY19" s="1625"/>
      <c r="DZ19" s="1625"/>
      <c r="EA19" s="1625"/>
      <c r="EB19" s="1625"/>
      <c r="EC19" s="1625"/>
      <c r="ED19" s="1625"/>
      <c r="EE19" s="1625"/>
      <c r="EF19" s="1625"/>
      <c r="EG19" s="1625"/>
      <c r="EH19" s="1625"/>
      <c r="EI19" s="1625"/>
      <c r="EJ19" s="1452"/>
      <c r="EK19" s="1625"/>
      <c r="EL19" s="1625"/>
      <c r="EM19" s="1625"/>
      <c r="EN19" s="1452"/>
      <c r="EO19" s="1625"/>
      <c r="EP19" s="1625"/>
      <c r="EQ19" s="1625"/>
      <c r="ER19" s="1625"/>
      <c r="ES19" s="1625"/>
      <c r="ET19" s="1625"/>
      <c r="EU19" s="1452"/>
      <c r="EV19" s="1625"/>
      <c r="EW19" s="1625"/>
      <c r="EX19" s="1625"/>
      <c r="EY19" s="1625"/>
      <c r="EZ19" s="1625"/>
      <c r="FA19" s="1625"/>
      <c r="FB19" s="1625"/>
      <c r="FC19" s="1625"/>
      <c r="FD19" s="1625"/>
      <c r="FE19" s="1625"/>
      <c r="FF19" s="1452"/>
      <c r="FG19" s="1625"/>
      <c r="FH19" s="1625"/>
      <c r="FI19" s="1625"/>
      <c r="FJ19" s="1625"/>
      <c r="FK19" s="1625"/>
      <c r="FL19" s="1625"/>
      <c r="FM19" s="1625"/>
      <c r="FN19" s="1625"/>
      <c r="FO19" s="1625"/>
      <c r="FP19" s="1625"/>
      <c r="FQ19" s="1625"/>
      <c r="FR19" s="1625"/>
      <c r="FS19" s="1625"/>
      <c r="FT19" s="1452"/>
      <c r="FU19" s="1452"/>
      <c r="FV19" s="1452"/>
      <c r="FW19" s="1625"/>
      <c r="FX19" s="1452"/>
      <c r="FY19" s="1625"/>
      <c r="FZ19" s="1625"/>
      <c r="GA19" s="1625"/>
      <c r="GB19" s="1625"/>
      <c r="GC19" s="1625"/>
      <c r="GD19" s="1625"/>
      <c r="GE19" s="1452"/>
      <c r="GF19" s="1452"/>
      <c r="GG19" s="1452"/>
      <c r="GH19" s="1625"/>
      <c r="GI19" s="1625"/>
      <c r="GJ19" s="1625"/>
      <c r="GK19" s="1625"/>
      <c r="GL19" s="1625"/>
      <c r="GM19" s="1625"/>
      <c r="GN19" s="1625"/>
      <c r="GO19" s="1625"/>
      <c r="GP19" s="1625"/>
      <c r="GQ19" s="1625"/>
      <c r="GR19" s="1625"/>
      <c r="GS19" s="1625"/>
      <c r="GT19" s="1625"/>
      <c r="GU19" s="1625"/>
      <c r="GV19" s="1625"/>
      <c r="GW19" s="1452"/>
      <c r="GX19" s="1452"/>
      <c r="GY19" s="1625"/>
      <c r="GZ19" s="1625"/>
      <c r="HA19" s="1625"/>
      <c r="HB19" s="1625"/>
      <c r="HC19" s="1625"/>
      <c r="HD19" s="1452"/>
      <c r="HE19" s="1625"/>
      <c r="HF19" s="1452"/>
      <c r="HG19" s="1452"/>
      <c r="HH19" s="1625"/>
      <c r="HI19" s="1625"/>
      <c r="HJ19" s="1625"/>
      <c r="HK19" s="1625"/>
      <c r="HL19" s="1625"/>
      <c r="HM19" s="1625"/>
      <c r="HN19" s="1625"/>
      <c r="HO19" s="1625"/>
      <c r="HP19" s="1625"/>
      <c r="HQ19" s="1625"/>
      <c r="HR19" s="1625"/>
      <c r="HS19" s="1452"/>
      <c r="HT19" s="1625"/>
      <c r="HU19" s="1625"/>
      <c r="HV19" s="1625"/>
      <c r="HW19" s="1625"/>
      <c r="HX19" s="1625"/>
      <c r="HY19" s="1625"/>
      <c r="HZ19" s="1454"/>
      <c r="IA19" s="1625"/>
      <c r="IB19" s="1625"/>
      <c r="IC19" s="1625"/>
      <c r="ID19" s="1625"/>
      <c r="IE19" s="1625"/>
      <c r="IF19" s="1625"/>
      <c r="IG19" s="1625"/>
      <c r="IH19" s="1625"/>
      <c r="II19" s="1625"/>
      <c r="IJ19" s="1625"/>
      <c r="IK19" s="1625"/>
      <c r="IL19" s="1625"/>
      <c r="IM19" s="1625"/>
      <c r="IN19" s="1625"/>
      <c r="IO19" s="1452"/>
      <c r="IP19" s="1625"/>
      <c r="IQ19" s="1625"/>
      <c r="IR19" s="1625"/>
      <c r="IS19" s="1625"/>
      <c r="IT19" s="1625"/>
      <c r="IU19" s="1625"/>
      <c r="IV19" s="1625"/>
      <c r="IW19" s="1625"/>
      <c r="IX19" s="1452"/>
      <c r="IY19" s="1453"/>
      <c r="IZ19" s="1452"/>
      <c r="JA19" s="1452"/>
      <c r="JB19" s="1452"/>
      <c r="JC19" s="1452"/>
      <c r="JD19" s="1452"/>
      <c r="JE19" s="1452"/>
      <c r="JF19" s="1452"/>
      <c r="JG19" s="1452"/>
      <c r="JH19" s="1625"/>
      <c r="JI19" s="1625"/>
      <c r="JJ19" s="1625"/>
      <c r="JK19" s="1625"/>
      <c r="JL19" s="1625"/>
      <c r="JM19" s="1625"/>
      <c r="JN19" s="1625"/>
      <c r="JO19" s="1625"/>
      <c r="JP19" s="1625"/>
      <c r="JQ19" s="1613"/>
      <c r="JR19" s="351"/>
      <c r="JS19" s="1614"/>
      <c r="JT19" s="1615" t="s">
        <v>2224</v>
      </c>
    </row>
    <row r="20" spans="1:280" ht="20" x14ac:dyDescent="0.25">
      <c r="A20" s="1367">
        <v>20</v>
      </c>
      <c r="B20" s="1411" t="str">
        <f t="shared" si="1"/>
        <v/>
      </c>
      <c r="C20" s="1617" t="s">
        <v>3769</v>
      </c>
      <c r="D20" s="1612" t="s">
        <v>3770</v>
      </c>
      <c r="E20" s="1559"/>
      <c r="F20" s="1503"/>
      <c r="G20" s="1559"/>
      <c r="H20" s="1559"/>
      <c r="I20" s="1559"/>
      <c r="J20" s="1559"/>
      <c r="K20" s="1559"/>
      <c r="L20" s="1559"/>
      <c r="M20" s="1503"/>
      <c r="N20" s="1559"/>
      <c r="O20" s="1503"/>
      <c r="P20" s="1559"/>
      <c r="Q20" s="1503"/>
      <c r="R20" s="1559"/>
      <c r="S20" s="1559"/>
      <c r="T20" s="1503"/>
      <c r="U20" s="1503"/>
      <c r="V20" s="1559"/>
      <c r="W20" s="1559"/>
      <c r="X20" s="1559"/>
      <c r="Y20" s="1559"/>
      <c r="Z20" s="1559"/>
      <c r="AA20" s="1503"/>
      <c r="AB20" s="1559"/>
      <c r="AC20" s="1503"/>
      <c r="AD20" s="1559"/>
      <c r="AE20" s="1559"/>
      <c r="AF20" s="1559"/>
      <c r="AG20" s="1559"/>
      <c r="AH20" s="1559"/>
      <c r="AI20" s="1559"/>
      <c r="AJ20" s="1618"/>
      <c r="AK20" s="1559"/>
      <c r="AL20" s="1559"/>
      <c r="AM20" s="1559"/>
      <c r="AN20" s="1559"/>
      <c r="AO20" s="1559"/>
      <c r="AP20" s="1559"/>
      <c r="AQ20" s="1559"/>
      <c r="AR20" s="1559"/>
      <c r="AS20" s="1503"/>
      <c r="AT20" s="1559"/>
      <c r="AU20" s="1559"/>
      <c r="AV20" s="1559"/>
      <c r="AW20" s="1503"/>
      <c r="AX20" s="1559"/>
      <c r="AY20" s="1503"/>
      <c r="AZ20" s="1503"/>
      <c r="BA20" s="1559"/>
      <c r="BB20" s="1559"/>
      <c r="BC20" s="1559"/>
      <c r="BD20" s="1503"/>
      <c r="BE20" s="1619"/>
      <c r="BF20" s="1619"/>
      <c r="BG20" s="1503"/>
      <c r="BH20" s="1619"/>
      <c r="BI20" s="1619"/>
      <c r="BJ20" s="1619"/>
      <c r="BK20" s="1619"/>
      <c r="BL20" s="1619"/>
      <c r="BM20" s="1619"/>
      <c r="BN20" s="1619"/>
      <c r="BO20" s="1619"/>
      <c r="BP20" s="1619"/>
      <c r="BQ20" s="1619"/>
      <c r="BR20" s="1619"/>
      <c r="BS20" s="1619"/>
      <c r="BT20" s="1503"/>
      <c r="BU20" s="1619"/>
      <c r="BV20" s="1503"/>
      <c r="BW20" s="1619"/>
      <c r="BX20" s="1503"/>
      <c r="BY20" s="1619"/>
      <c r="BZ20" s="1619"/>
      <c r="CA20" s="1619"/>
      <c r="CB20" s="1503"/>
      <c r="CC20" s="1503"/>
      <c r="CD20" s="1503"/>
      <c r="CE20" s="1620"/>
      <c r="CF20" s="1620"/>
      <c r="CG20" s="1620"/>
      <c r="CH20" s="1503"/>
      <c r="CI20" s="1503"/>
      <c r="CJ20" s="1620"/>
      <c r="CK20" s="1620"/>
      <c r="CL20" s="1620"/>
      <c r="CM20" s="1620"/>
      <c r="CN20" s="1620"/>
      <c r="CO20" s="1620"/>
      <c r="CP20" s="1620"/>
      <c r="CQ20" s="1503"/>
      <c r="CR20" s="1503"/>
      <c r="CS20" s="1503"/>
      <c r="CT20" s="1503"/>
      <c r="CU20" s="1620"/>
      <c r="CV20" s="1503"/>
      <c r="CW20" s="1620"/>
      <c r="CX20" s="1620"/>
      <c r="CY20" s="1620"/>
      <c r="CZ20" s="1503"/>
      <c r="DA20" s="1503"/>
      <c r="DB20" s="1503"/>
      <c r="DC20" s="1503"/>
      <c r="DD20" s="1620"/>
      <c r="DE20" s="1620"/>
      <c r="DF20" s="1620"/>
      <c r="DG20" s="1620"/>
      <c r="DH20" s="1620"/>
      <c r="DI20" s="1503"/>
      <c r="DJ20" s="1620"/>
      <c r="DK20" s="1620"/>
      <c r="DL20" s="1503"/>
      <c r="DM20" s="1503"/>
      <c r="DN20" s="1620"/>
      <c r="DO20" s="1620"/>
      <c r="DP20" s="1620"/>
      <c r="DQ20" s="1620"/>
      <c r="DR20" s="1503"/>
      <c r="DS20" s="1620"/>
      <c r="DT20" s="1620"/>
      <c r="DU20" s="1620"/>
      <c r="DV20" s="1620"/>
      <c r="DW20" s="1620"/>
      <c r="DX20" s="1620"/>
      <c r="DY20" s="1620"/>
      <c r="DZ20" s="1620"/>
      <c r="EA20" s="1620"/>
      <c r="EB20" s="1620"/>
      <c r="EC20" s="1620"/>
      <c r="ED20" s="1620"/>
      <c r="EE20" s="1620"/>
      <c r="EF20" s="1620"/>
      <c r="EG20" s="1620"/>
      <c r="EH20" s="1620"/>
      <c r="EI20" s="1620"/>
      <c r="EJ20" s="1503"/>
      <c r="EK20" s="1620"/>
      <c r="EL20" s="1620"/>
      <c r="EM20" s="1620"/>
      <c r="EN20" s="1503"/>
      <c r="EO20" s="1620"/>
      <c r="EP20" s="1620"/>
      <c r="EQ20" s="1620"/>
      <c r="ER20" s="1620"/>
      <c r="ES20" s="1620"/>
      <c r="ET20" s="1620"/>
      <c r="EU20" s="1503"/>
      <c r="EV20" s="1620"/>
      <c r="EW20" s="1620"/>
      <c r="EX20" s="1620"/>
      <c r="EY20" s="1620"/>
      <c r="EZ20" s="1620"/>
      <c r="FA20" s="1620"/>
      <c r="FB20" s="1620"/>
      <c r="FC20" s="1620"/>
      <c r="FD20" s="1620"/>
      <c r="FE20" s="1620"/>
      <c r="FF20" s="1503"/>
      <c r="FG20" s="1620"/>
      <c r="FH20" s="1620"/>
      <c r="FI20" s="1620"/>
      <c r="FJ20" s="1620"/>
      <c r="FK20" s="1620"/>
      <c r="FL20" s="1620"/>
      <c r="FM20" s="1620"/>
      <c r="FN20" s="1620"/>
      <c r="FO20" s="1620"/>
      <c r="FP20" s="1620"/>
      <c r="FQ20" s="1620"/>
      <c r="FR20" s="1620"/>
      <c r="FS20" s="1620"/>
      <c r="FT20" s="1503"/>
      <c r="FU20" s="1503"/>
      <c r="FV20" s="1503"/>
      <c r="FW20" s="1620"/>
      <c r="FX20" s="1503"/>
      <c r="FY20" s="1620"/>
      <c r="FZ20" s="1620"/>
      <c r="GA20" s="1620"/>
      <c r="GB20" s="1620"/>
      <c r="GC20" s="1620"/>
      <c r="GD20" s="1620"/>
      <c r="GE20" s="1503"/>
      <c r="GF20" s="1503"/>
      <c r="GG20" s="1503"/>
      <c r="GH20" s="1620"/>
      <c r="GI20" s="1620"/>
      <c r="GJ20" s="1620"/>
      <c r="GK20" s="1620"/>
      <c r="GL20" s="1620"/>
      <c r="GM20" s="1620"/>
      <c r="GN20" s="1620"/>
      <c r="GO20" s="1620"/>
      <c r="GP20" s="1620"/>
      <c r="GQ20" s="1620"/>
      <c r="GR20" s="1620"/>
      <c r="GS20" s="1620"/>
      <c r="GT20" s="1620"/>
      <c r="GU20" s="1620"/>
      <c r="GV20" s="1620"/>
      <c r="GW20" s="1503"/>
      <c r="GX20" s="1503"/>
      <c r="GY20" s="1620"/>
      <c r="GZ20" s="1620"/>
      <c r="HA20" s="1620"/>
      <c r="HB20" s="1620"/>
      <c r="HC20" s="1620"/>
      <c r="HD20" s="1503"/>
      <c r="HE20" s="1620"/>
      <c r="HF20" s="1503"/>
      <c r="HG20" s="1503"/>
      <c r="HH20" s="1620"/>
      <c r="HI20" s="1620"/>
      <c r="HJ20" s="1620"/>
      <c r="HK20" s="1620"/>
      <c r="HL20" s="1620"/>
      <c r="HM20" s="1620"/>
      <c r="HN20" s="1620"/>
      <c r="HO20" s="1620"/>
      <c r="HP20" s="1620"/>
      <c r="HQ20" s="1620"/>
      <c r="HR20" s="1620"/>
      <c r="HS20" s="1503"/>
      <c r="HT20" s="1620"/>
      <c r="HU20" s="1620"/>
      <c r="HV20" s="1620"/>
      <c r="HW20" s="1620"/>
      <c r="HX20" s="1620"/>
      <c r="HY20" s="1620"/>
      <c r="HZ20" s="1504"/>
      <c r="IA20" s="1620"/>
      <c r="IB20" s="1620"/>
      <c r="IC20" s="1620"/>
      <c r="ID20" s="1620"/>
      <c r="IE20" s="1620"/>
      <c r="IF20" s="1620"/>
      <c r="IG20" s="1620"/>
      <c r="IH20" s="1620"/>
      <c r="II20" s="1620"/>
      <c r="IJ20" s="1620"/>
      <c r="IK20" s="1620"/>
      <c r="IL20" s="1620"/>
      <c r="IM20" s="1620"/>
      <c r="IN20" s="1620"/>
      <c r="IO20" s="1503"/>
      <c r="IP20" s="1620"/>
      <c r="IQ20" s="1620"/>
      <c r="IR20" s="1620"/>
      <c r="IS20" s="1620"/>
      <c r="IT20" s="1620"/>
      <c r="IU20" s="1620"/>
      <c r="IV20" s="1620"/>
      <c r="IW20" s="1620"/>
      <c r="IX20" s="1503"/>
      <c r="IY20" s="1618"/>
      <c r="IZ20" s="1559"/>
      <c r="JA20" s="1559"/>
      <c r="JB20" s="1559"/>
      <c r="JC20" s="1559"/>
      <c r="JD20" s="1559"/>
      <c r="JE20" s="1559"/>
      <c r="JF20" s="1559"/>
      <c r="JG20" s="1503"/>
      <c r="JH20" s="1620"/>
      <c r="JI20" s="1620"/>
      <c r="JJ20" s="1620"/>
      <c r="JK20" s="1620"/>
      <c r="JL20" s="1620"/>
      <c r="JM20" s="1620"/>
      <c r="JN20" s="1620"/>
      <c r="JO20" s="1620"/>
      <c r="JP20" s="1620"/>
      <c r="JQ20" s="1621"/>
      <c r="JR20" s="351"/>
      <c r="JS20" s="1614" t="s">
        <v>3771</v>
      </c>
      <c r="JT20" s="1615" t="s">
        <v>2224</v>
      </c>
    </row>
    <row r="21" spans="1:280" ht="50" x14ac:dyDescent="0.25">
      <c r="A21" s="1367">
        <v>21</v>
      </c>
      <c r="B21" s="1411" t="str">
        <f t="shared" si="1"/>
        <v/>
      </c>
      <c r="C21" s="1617" t="s">
        <v>3772</v>
      </c>
      <c r="D21" s="1612" t="s">
        <v>3773</v>
      </c>
      <c r="E21" s="1559"/>
      <c r="F21" s="1503"/>
      <c r="G21" s="1559"/>
      <c r="H21" s="1559"/>
      <c r="I21" s="1559"/>
      <c r="J21" s="1559"/>
      <c r="K21" s="1559"/>
      <c r="L21" s="1559"/>
      <c r="M21" s="1503"/>
      <c r="N21" s="1559"/>
      <c r="O21" s="1503"/>
      <c r="P21" s="1559"/>
      <c r="Q21" s="1503"/>
      <c r="R21" s="1559"/>
      <c r="S21" s="1559"/>
      <c r="T21" s="1503"/>
      <c r="U21" s="1503"/>
      <c r="V21" s="1559"/>
      <c r="W21" s="1559"/>
      <c r="X21" s="1559"/>
      <c r="Y21" s="1559"/>
      <c r="Z21" s="1559"/>
      <c r="AA21" s="1503"/>
      <c r="AB21" s="1559"/>
      <c r="AC21" s="1503"/>
      <c r="AD21" s="1559"/>
      <c r="AE21" s="1559"/>
      <c r="AF21" s="1559"/>
      <c r="AG21" s="1559"/>
      <c r="AH21" s="1559"/>
      <c r="AI21" s="1559"/>
      <c r="AJ21" s="1618"/>
      <c r="AK21" s="1559"/>
      <c r="AL21" s="1559"/>
      <c r="AM21" s="1559"/>
      <c r="AN21" s="1559"/>
      <c r="AO21" s="1559"/>
      <c r="AP21" s="1559"/>
      <c r="AQ21" s="1559"/>
      <c r="AR21" s="1559"/>
      <c r="AS21" s="1503"/>
      <c r="AT21" s="1559"/>
      <c r="AU21" s="1559"/>
      <c r="AV21" s="1559"/>
      <c r="AW21" s="1503"/>
      <c r="AX21" s="1559"/>
      <c r="AY21" s="1503"/>
      <c r="AZ21" s="1503"/>
      <c r="BA21" s="1559"/>
      <c r="BB21" s="1559"/>
      <c r="BC21" s="1559"/>
      <c r="BD21" s="1503"/>
      <c r="BE21" s="1619"/>
      <c r="BF21" s="1619"/>
      <c r="BG21" s="1503"/>
      <c r="BH21" s="1619"/>
      <c r="BI21" s="1619"/>
      <c r="BJ21" s="1619"/>
      <c r="BK21" s="1619"/>
      <c r="BL21" s="1619"/>
      <c r="BM21" s="1619"/>
      <c r="BN21" s="1619"/>
      <c r="BO21" s="1619"/>
      <c r="BP21" s="1619"/>
      <c r="BQ21" s="1619"/>
      <c r="BR21" s="1619"/>
      <c r="BS21" s="1619"/>
      <c r="BT21" s="1503"/>
      <c r="BU21" s="1619"/>
      <c r="BV21" s="1503"/>
      <c r="BW21" s="1619"/>
      <c r="BX21" s="1503"/>
      <c r="BY21" s="1503"/>
      <c r="BZ21" s="1503"/>
      <c r="CA21" s="1503"/>
      <c r="CB21" s="1503"/>
      <c r="CC21" s="1503"/>
      <c r="CD21" s="1503"/>
      <c r="CE21" s="1620"/>
      <c r="CF21" s="1620"/>
      <c r="CG21" s="1620"/>
      <c r="CH21" s="1503"/>
      <c r="CI21" s="1503"/>
      <c r="CJ21" s="1620"/>
      <c r="CK21" s="1620"/>
      <c r="CL21" s="1620"/>
      <c r="CM21" s="1620"/>
      <c r="CN21" s="1620"/>
      <c r="CO21" s="1620"/>
      <c r="CP21" s="1620"/>
      <c r="CQ21" s="1503"/>
      <c r="CR21" s="1503"/>
      <c r="CS21" s="1503"/>
      <c r="CT21" s="1503"/>
      <c r="CU21" s="1620"/>
      <c r="CV21" s="1503"/>
      <c r="CW21" s="1620"/>
      <c r="CX21" s="1620"/>
      <c r="CY21" s="1620"/>
      <c r="CZ21" s="1503"/>
      <c r="DA21" s="1503"/>
      <c r="DB21" s="1503"/>
      <c r="DC21" s="1503"/>
      <c r="DD21" s="1620"/>
      <c r="DE21" s="1620"/>
      <c r="DF21" s="1620"/>
      <c r="DG21" s="1620"/>
      <c r="DH21" s="1620"/>
      <c r="DI21" s="1503"/>
      <c r="DJ21" s="1620"/>
      <c r="DK21" s="1620"/>
      <c r="DL21" s="1503"/>
      <c r="DM21" s="1620"/>
      <c r="DN21" s="1620"/>
      <c r="DO21" s="1620"/>
      <c r="DP21" s="1620"/>
      <c r="DQ21" s="1620"/>
      <c r="DR21" s="1503"/>
      <c r="DS21" s="1620"/>
      <c r="DT21" s="1620"/>
      <c r="DU21" s="1620"/>
      <c r="DV21" s="1620"/>
      <c r="DW21" s="1620"/>
      <c r="DX21" s="1620"/>
      <c r="DY21" s="1620"/>
      <c r="DZ21" s="1620"/>
      <c r="EA21" s="1620"/>
      <c r="EB21" s="1620"/>
      <c r="EC21" s="1620"/>
      <c r="ED21" s="1620"/>
      <c r="EE21" s="1620"/>
      <c r="EF21" s="1620"/>
      <c r="EG21" s="1620"/>
      <c r="EH21" s="1620"/>
      <c r="EI21" s="1620"/>
      <c r="EJ21" s="1503"/>
      <c r="EK21" s="1620"/>
      <c r="EL21" s="1620"/>
      <c r="EM21" s="1620"/>
      <c r="EN21" s="1503"/>
      <c r="EO21" s="1620"/>
      <c r="EP21" s="1620"/>
      <c r="EQ21" s="1620"/>
      <c r="ER21" s="1620"/>
      <c r="ES21" s="1620"/>
      <c r="ET21" s="1620"/>
      <c r="EU21" s="1503"/>
      <c r="EV21" s="1620"/>
      <c r="EW21" s="1620"/>
      <c r="EX21" s="1620"/>
      <c r="EY21" s="1620"/>
      <c r="EZ21" s="1620"/>
      <c r="FA21" s="1620"/>
      <c r="FB21" s="1620"/>
      <c r="FC21" s="1620"/>
      <c r="FD21" s="1620"/>
      <c r="FE21" s="1620"/>
      <c r="FF21" s="1503"/>
      <c r="FG21" s="1620"/>
      <c r="FH21" s="1620"/>
      <c r="FI21" s="1620"/>
      <c r="FJ21" s="1620"/>
      <c r="FK21" s="1620"/>
      <c r="FL21" s="1620"/>
      <c r="FM21" s="1620"/>
      <c r="FN21" s="1620"/>
      <c r="FO21" s="1620"/>
      <c r="FP21" s="1620"/>
      <c r="FQ21" s="1620"/>
      <c r="FR21" s="1620"/>
      <c r="FS21" s="1620"/>
      <c r="FT21" s="1503"/>
      <c r="FU21" s="1503"/>
      <c r="FV21" s="1620"/>
      <c r="FW21" s="1620"/>
      <c r="FX21" s="1503"/>
      <c r="FY21" s="1620"/>
      <c r="FZ21" s="1620"/>
      <c r="GA21" s="1620"/>
      <c r="GB21" s="1620"/>
      <c r="GC21" s="1620"/>
      <c r="GD21" s="1620"/>
      <c r="GE21" s="1503"/>
      <c r="GF21" s="1503"/>
      <c r="GG21" s="1503"/>
      <c r="GH21" s="1620"/>
      <c r="GI21" s="1620"/>
      <c r="GJ21" s="1503"/>
      <c r="GK21" s="1620"/>
      <c r="GL21" s="1620"/>
      <c r="GM21" s="1620"/>
      <c r="GN21" s="1620"/>
      <c r="GO21" s="1620"/>
      <c r="GP21" s="1620"/>
      <c r="GQ21" s="1620"/>
      <c r="GR21" s="1620"/>
      <c r="GS21" s="1620"/>
      <c r="GT21" s="1620"/>
      <c r="GU21" s="1620"/>
      <c r="GV21" s="1620"/>
      <c r="GW21" s="1503"/>
      <c r="GX21" s="1503"/>
      <c r="GY21" s="1620"/>
      <c r="GZ21" s="1620"/>
      <c r="HA21" s="1620"/>
      <c r="HB21" s="1503"/>
      <c r="HC21" s="1620"/>
      <c r="HD21" s="1503"/>
      <c r="HE21" s="1620"/>
      <c r="HF21" s="1503"/>
      <c r="HG21" s="1503"/>
      <c r="HH21" s="1620"/>
      <c r="HI21" s="1620"/>
      <c r="HJ21" s="1620"/>
      <c r="HK21" s="1620"/>
      <c r="HL21" s="1620"/>
      <c r="HM21" s="1620"/>
      <c r="HN21" s="1620"/>
      <c r="HO21" s="1620"/>
      <c r="HP21" s="1620"/>
      <c r="HQ21" s="1620"/>
      <c r="HR21" s="1620"/>
      <c r="HS21" s="1503"/>
      <c r="HT21" s="1620"/>
      <c r="HU21" s="1620"/>
      <c r="HV21" s="1620"/>
      <c r="HW21" s="1620"/>
      <c r="HX21" s="1620"/>
      <c r="HY21" s="1620"/>
      <c r="HZ21" s="1504"/>
      <c r="IA21" s="1620"/>
      <c r="IB21" s="1620"/>
      <c r="IC21" s="1620"/>
      <c r="ID21" s="1620"/>
      <c r="IE21" s="1620"/>
      <c r="IF21" s="1620"/>
      <c r="IG21" s="1620"/>
      <c r="IH21" s="1620"/>
      <c r="II21" s="1620"/>
      <c r="IJ21" s="1620"/>
      <c r="IK21" s="1620"/>
      <c r="IL21" s="1620"/>
      <c r="IM21" s="1620"/>
      <c r="IN21" s="1620"/>
      <c r="IO21" s="1503"/>
      <c r="IP21" s="1620"/>
      <c r="IQ21" s="1620"/>
      <c r="IR21" s="1620"/>
      <c r="IS21" s="1620"/>
      <c r="IT21" s="1620"/>
      <c r="IU21" s="1620"/>
      <c r="IV21" s="1620"/>
      <c r="IW21" s="1620"/>
      <c r="IX21" s="1503"/>
      <c r="IY21" s="1618"/>
      <c r="IZ21" s="1559"/>
      <c r="JA21" s="1559"/>
      <c r="JB21" s="1559"/>
      <c r="JC21" s="1559"/>
      <c r="JD21" s="1559"/>
      <c r="JE21" s="1559"/>
      <c r="JF21" s="1559"/>
      <c r="JG21" s="1503"/>
      <c r="JH21" s="1620"/>
      <c r="JI21" s="1620"/>
      <c r="JJ21" s="1620"/>
      <c r="JK21" s="1620"/>
      <c r="JL21" s="1620"/>
      <c r="JM21" s="1620"/>
      <c r="JN21" s="1620"/>
      <c r="JO21" s="1620"/>
      <c r="JP21" s="1620"/>
      <c r="JQ21" s="1621"/>
      <c r="JR21" s="351"/>
      <c r="JS21" s="1614" t="s">
        <v>3774</v>
      </c>
      <c r="JT21" s="1615" t="s">
        <v>2224</v>
      </c>
    </row>
    <row r="22" spans="1:280" ht="12.5" x14ac:dyDescent="0.25">
      <c r="A22" s="1367">
        <v>22</v>
      </c>
      <c r="B22" s="1411" t="str">
        <f t="shared" si="1"/>
        <v/>
      </c>
      <c r="C22" s="1617" t="s">
        <v>3775</v>
      </c>
      <c r="D22" s="1612" t="s">
        <v>3776</v>
      </c>
      <c r="E22" s="1559"/>
      <c r="F22" s="1559"/>
      <c r="G22" s="1559"/>
      <c r="H22" s="1559"/>
      <c r="I22" s="1559"/>
      <c r="J22" s="1559"/>
      <c r="K22" s="1559"/>
      <c r="L22" s="1559"/>
      <c r="M22" s="1559"/>
      <c r="N22" s="1559"/>
      <c r="O22" s="1559"/>
      <c r="P22" s="1559"/>
      <c r="Q22" s="1559"/>
      <c r="R22" s="1559"/>
      <c r="S22" s="1559"/>
      <c r="T22" s="1559"/>
      <c r="U22" s="1559"/>
      <c r="V22" s="1559"/>
      <c r="W22" s="1559"/>
      <c r="X22" s="1559"/>
      <c r="Y22" s="1559"/>
      <c r="Z22" s="1559"/>
      <c r="AA22" s="1559"/>
      <c r="AB22" s="1559"/>
      <c r="AC22" s="1559"/>
      <c r="AD22" s="1559"/>
      <c r="AE22" s="1559"/>
      <c r="AF22" s="1559"/>
      <c r="AG22" s="1559"/>
      <c r="AH22" s="1559"/>
      <c r="AI22" s="1559"/>
      <c r="AJ22" s="1618"/>
      <c r="AK22" s="1559"/>
      <c r="AL22" s="1559"/>
      <c r="AM22" s="1559"/>
      <c r="AN22" s="1559"/>
      <c r="AO22" s="1559"/>
      <c r="AP22" s="1559"/>
      <c r="AQ22" s="1559"/>
      <c r="AR22" s="1559"/>
      <c r="AS22" s="1559"/>
      <c r="AT22" s="1559"/>
      <c r="AU22" s="1559"/>
      <c r="AV22" s="1559"/>
      <c r="AW22" s="1559"/>
      <c r="AX22" s="1559"/>
      <c r="AY22" s="1559"/>
      <c r="AZ22" s="1559"/>
      <c r="BA22" s="1559"/>
      <c r="BB22" s="1559"/>
      <c r="BC22" s="1559"/>
      <c r="BD22" s="1559"/>
      <c r="BE22" s="1619"/>
      <c r="BF22" s="1619"/>
      <c r="BG22" s="1559"/>
      <c r="BH22" s="1619"/>
      <c r="BI22" s="1619"/>
      <c r="BJ22" s="1619"/>
      <c r="BK22" s="1619"/>
      <c r="BL22" s="1619"/>
      <c r="BM22" s="1619"/>
      <c r="BN22" s="1619"/>
      <c r="BO22" s="1619"/>
      <c r="BP22" s="1619"/>
      <c r="BQ22" s="1619"/>
      <c r="BR22" s="1619"/>
      <c r="BS22" s="1619"/>
      <c r="BT22" s="1559"/>
      <c r="BU22" s="1619"/>
      <c r="BV22" s="1559"/>
      <c r="BW22" s="1619"/>
      <c r="BX22" s="1559"/>
      <c r="BY22" s="1619"/>
      <c r="BZ22" s="1619"/>
      <c r="CA22" s="1619"/>
      <c r="CB22" s="1559"/>
      <c r="CC22" s="1559"/>
      <c r="CD22" s="1559"/>
      <c r="CE22" s="1620"/>
      <c r="CF22" s="1620"/>
      <c r="CG22" s="1620"/>
      <c r="CH22" s="1559"/>
      <c r="CI22" s="1559"/>
      <c r="CJ22" s="1620"/>
      <c r="CK22" s="1620"/>
      <c r="CL22" s="1620"/>
      <c r="CM22" s="1620"/>
      <c r="CN22" s="1620"/>
      <c r="CO22" s="1620"/>
      <c r="CP22" s="1620"/>
      <c r="CQ22" s="1559"/>
      <c r="CR22" s="1503"/>
      <c r="CS22" s="1503"/>
      <c r="CT22" s="1559"/>
      <c r="CU22" s="1620"/>
      <c r="CV22" s="1503"/>
      <c r="CW22" s="1620"/>
      <c r="CX22" s="1620"/>
      <c r="CY22" s="1620"/>
      <c r="CZ22" s="1559"/>
      <c r="DA22" s="1559"/>
      <c r="DB22" s="1503"/>
      <c r="DC22" s="1559"/>
      <c r="DD22" s="1620"/>
      <c r="DE22" s="1620"/>
      <c r="DF22" s="1620"/>
      <c r="DG22" s="1620"/>
      <c r="DH22" s="1620"/>
      <c r="DI22" s="1503"/>
      <c r="DJ22" s="1620"/>
      <c r="DK22" s="1620"/>
      <c r="DL22" s="1503"/>
      <c r="DM22" s="1559"/>
      <c r="DN22" s="1620"/>
      <c r="DO22" s="1620"/>
      <c r="DP22" s="1620"/>
      <c r="DQ22" s="1620"/>
      <c r="DR22" s="1559"/>
      <c r="DS22" s="1620"/>
      <c r="DT22" s="1620"/>
      <c r="DU22" s="1620"/>
      <c r="DV22" s="1620"/>
      <c r="DW22" s="1620"/>
      <c r="DX22" s="1620"/>
      <c r="DY22" s="1620"/>
      <c r="DZ22" s="1620"/>
      <c r="EA22" s="1620"/>
      <c r="EB22" s="1620"/>
      <c r="EC22" s="1620"/>
      <c r="ED22" s="1620"/>
      <c r="EE22" s="1620"/>
      <c r="EF22" s="1620"/>
      <c r="EG22" s="1620"/>
      <c r="EH22" s="1620"/>
      <c r="EI22" s="1620"/>
      <c r="EJ22" s="1559"/>
      <c r="EK22" s="1620"/>
      <c r="EL22" s="1620"/>
      <c r="EM22" s="1620"/>
      <c r="EN22" s="1559"/>
      <c r="EO22" s="1620"/>
      <c r="EP22" s="1620"/>
      <c r="EQ22" s="1620"/>
      <c r="ER22" s="1620"/>
      <c r="ES22" s="1620"/>
      <c r="ET22" s="1620"/>
      <c r="EU22" s="1503"/>
      <c r="EV22" s="1620"/>
      <c r="EW22" s="1620"/>
      <c r="EX22" s="1620"/>
      <c r="EY22" s="1620"/>
      <c r="EZ22" s="1620"/>
      <c r="FA22" s="1620"/>
      <c r="FB22" s="1620"/>
      <c r="FC22" s="1620"/>
      <c r="FD22" s="1620"/>
      <c r="FE22" s="1620"/>
      <c r="FF22" s="1559"/>
      <c r="FG22" s="1620"/>
      <c r="FH22" s="1620"/>
      <c r="FI22" s="1620"/>
      <c r="FJ22" s="1620"/>
      <c r="FK22" s="1620"/>
      <c r="FL22" s="1620"/>
      <c r="FM22" s="1620"/>
      <c r="FN22" s="1620"/>
      <c r="FO22" s="1620"/>
      <c r="FP22" s="1620"/>
      <c r="FQ22" s="1620"/>
      <c r="FR22" s="1620"/>
      <c r="FS22" s="1620"/>
      <c r="FT22" s="1559"/>
      <c r="FU22" s="1559"/>
      <c r="FV22" s="1559"/>
      <c r="FW22" s="1620"/>
      <c r="FX22" s="1503"/>
      <c r="FY22" s="1620"/>
      <c r="FZ22" s="1620"/>
      <c r="GA22" s="1620"/>
      <c r="GB22" s="1620"/>
      <c r="GC22" s="1620"/>
      <c r="GD22" s="1620"/>
      <c r="GE22" s="1559"/>
      <c r="GF22" s="1559"/>
      <c r="GG22" s="1503"/>
      <c r="GH22" s="1620"/>
      <c r="GI22" s="1620"/>
      <c r="GJ22" s="1503"/>
      <c r="GK22" s="1620"/>
      <c r="GL22" s="1620"/>
      <c r="GM22" s="1620"/>
      <c r="GN22" s="1620"/>
      <c r="GO22" s="1620"/>
      <c r="GP22" s="1620"/>
      <c r="GQ22" s="1620"/>
      <c r="GR22" s="1620"/>
      <c r="GS22" s="1620"/>
      <c r="GT22" s="1620"/>
      <c r="GU22" s="1620"/>
      <c r="GV22" s="1620"/>
      <c r="GW22" s="1503"/>
      <c r="GX22" s="1559"/>
      <c r="GY22" s="1620"/>
      <c r="GZ22" s="1620"/>
      <c r="HA22" s="1620"/>
      <c r="HB22" s="1503"/>
      <c r="HC22" s="1620"/>
      <c r="HD22" s="1559"/>
      <c r="HE22" s="1620"/>
      <c r="HF22" s="1559"/>
      <c r="HG22" s="1559"/>
      <c r="HH22" s="1620"/>
      <c r="HI22" s="1620"/>
      <c r="HJ22" s="1620"/>
      <c r="HK22" s="1620"/>
      <c r="HL22" s="1620"/>
      <c r="HM22" s="1620"/>
      <c r="HN22" s="1620"/>
      <c r="HO22" s="1620"/>
      <c r="HP22" s="1620"/>
      <c r="HQ22" s="1620"/>
      <c r="HR22" s="1620"/>
      <c r="HS22" s="1559"/>
      <c r="HT22" s="1620"/>
      <c r="HU22" s="1620"/>
      <c r="HV22" s="1620"/>
      <c r="HW22" s="1620"/>
      <c r="HX22" s="1620"/>
      <c r="HY22" s="1620"/>
      <c r="HZ22" s="1559"/>
      <c r="IA22" s="1620"/>
      <c r="IB22" s="1620"/>
      <c r="IC22" s="1620"/>
      <c r="ID22" s="1620"/>
      <c r="IE22" s="1620"/>
      <c r="IF22" s="1620"/>
      <c r="IG22" s="1620"/>
      <c r="IH22" s="1620"/>
      <c r="II22" s="1620"/>
      <c r="IJ22" s="1620"/>
      <c r="IK22" s="1620"/>
      <c r="IL22" s="1620"/>
      <c r="IM22" s="1620"/>
      <c r="IN22" s="1620"/>
      <c r="IO22" s="1559"/>
      <c r="IP22" s="1620"/>
      <c r="IQ22" s="1620"/>
      <c r="IR22" s="1620"/>
      <c r="IS22" s="1620"/>
      <c r="IT22" s="1620"/>
      <c r="IU22" s="1620"/>
      <c r="IV22" s="1620"/>
      <c r="IW22" s="1620"/>
      <c r="IX22" s="1559"/>
      <c r="IY22" s="1618"/>
      <c r="IZ22" s="1559"/>
      <c r="JA22" s="1559"/>
      <c r="JB22" s="1559"/>
      <c r="JC22" s="1559"/>
      <c r="JD22" s="1559"/>
      <c r="JE22" s="1559"/>
      <c r="JF22" s="1559"/>
      <c r="JG22" s="1559"/>
      <c r="JH22" s="1620"/>
      <c r="JI22" s="1620"/>
      <c r="JJ22" s="1620"/>
      <c r="JK22" s="1620"/>
      <c r="JL22" s="1620"/>
      <c r="JM22" s="1620"/>
      <c r="JN22" s="1620"/>
      <c r="JO22" s="1620"/>
      <c r="JP22" s="1620"/>
      <c r="JQ22" s="1621"/>
      <c r="JR22" s="351"/>
      <c r="JS22" s="1614"/>
      <c r="JT22" s="1615" t="s">
        <v>2224</v>
      </c>
    </row>
    <row r="23" spans="1:280" ht="30" x14ac:dyDescent="0.25">
      <c r="A23" s="1367">
        <v>23</v>
      </c>
      <c r="B23" s="1411" t="str">
        <f t="shared" si="1"/>
        <v/>
      </c>
      <c r="C23" s="1617" t="s">
        <v>3777</v>
      </c>
      <c r="D23" s="1612" t="s">
        <v>3778</v>
      </c>
      <c r="E23" s="1457"/>
      <c r="F23" s="1457"/>
      <c r="G23" s="1457"/>
      <c r="H23" s="1457"/>
      <c r="I23" s="1457"/>
      <c r="J23" s="1381"/>
      <c r="K23" s="1457"/>
      <c r="L23" s="1457"/>
      <c r="M23" s="1457"/>
      <c r="N23" s="1457"/>
      <c r="O23" s="1457"/>
      <c r="P23" s="1457"/>
      <c r="Q23" s="1457"/>
      <c r="R23" s="1457"/>
      <c r="S23" s="1457"/>
      <c r="T23" s="1457"/>
      <c r="U23" s="1457"/>
      <c r="V23" s="1457"/>
      <c r="W23" s="1457"/>
      <c r="X23" s="1457"/>
      <c r="Y23" s="1457"/>
      <c r="Z23" s="1457"/>
      <c r="AA23" s="1457"/>
      <c r="AB23" s="1457"/>
      <c r="AC23" s="1457"/>
      <c r="AD23" s="1457"/>
      <c r="AE23" s="1457"/>
      <c r="AF23" s="1457"/>
      <c r="AG23" s="1457"/>
      <c r="AH23" s="1457"/>
      <c r="AI23" s="1457"/>
      <c r="AJ23" s="1381"/>
      <c r="AK23" s="1457"/>
      <c r="AL23" s="1457"/>
      <c r="AM23" s="1457"/>
      <c r="AN23" s="1457"/>
      <c r="AO23" s="1457"/>
      <c r="AP23" s="1457"/>
      <c r="AQ23" s="1457"/>
      <c r="AR23" s="1457"/>
      <c r="AS23" s="1457"/>
      <c r="AT23" s="1457"/>
      <c r="AU23" s="1457"/>
      <c r="AV23" s="1457"/>
      <c r="AW23" s="1457"/>
      <c r="AX23" s="1457"/>
      <c r="AY23" s="1457"/>
      <c r="AZ23" s="1457"/>
      <c r="BA23" s="1457"/>
      <c r="BB23" s="1457"/>
      <c r="BC23" s="1457"/>
      <c r="BD23" s="1457"/>
      <c r="BE23" s="1622"/>
      <c r="BF23" s="1622"/>
      <c r="BG23" s="1457"/>
      <c r="BH23" s="1622"/>
      <c r="BI23" s="1622"/>
      <c r="BJ23" s="1622"/>
      <c r="BK23" s="1622"/>
      <c r="BL23" s="1622"/>
      <c r="BM23" s="1622"/>
      <c r="BN23" s="1622"/>
      <c r="BO23" s="1622"/>
      <c r="BP23" s="1622"/>
      <c r="BQ23" s="1622"/>
      <c r="BR23" s="1622"/>
      <c r="BS23" s="1622"/>
      <c r="BT23" s="1457"/>
      <c r="BU23" s="1622"/>
      <c r="BV23" s="1457"/>
      <c r="BW23" s="1622"/>
      <c r="BX23" s="1457"/>
      <c r="BY23" s="1622"/>
      <c r="BZ23" s="1622"/>
      <c r="CA23" s="1622"/>
      <c r="CB23" s="1457"/>
      <c r="CC23" s="1457"/>
      <c r="CD23" s="1457"/>
      <c r="CE23" s="1623"/>
      <c r="CF23" s="1623"/>
      <c r="CG23" s="1623"/>
      <c r="CH23" s="1457"/>
      <c r="CI23" s="1457"/>
      <c r="CJ23" s="1623"/>
      <c r="CK23" s="1623"/>
      <c r="CL23" s="1623"/>
      <c r="CM23" s="1623"/>
      <c r="CN23" s="1623"/>
      <c r="CO23" s="1623"/>
      <c r="CP23" s="1623"/>
      <c r="CQ23" s="1457"/>
      <c r="CR23" s="1457"/>
      <c r="CS23" s="1457"/>
      <c r="CT23" s="1457"/>
      <c r="CU23" s="1623"/>
      <c r="CV23" s="1382"/>
      <c r="CW23" s="1623"/>
      <c r="CX23" s="1623"/>
      <c r="CY23" s="1623"/>
      <c r="CZ23" s="1457"/>
      <c r="DA23" s="1457"/>
      <c r="DB23" s="1457"/>
      <c r="DC23" s="1457"/>
      <c r="DD23" s="1623"/>
      <c r="DE23" s="1623"/>
      <c r="DF23" s="1623"/>
      <c r="DG23" s="1623"/>
      <c r="DH23" s="1623"/>
      <c r="DI23" s="1381"/>
      <c r="DJ23" s="1623"/>
      <c r="DK23" s="1623"/>
      <c r="DL23" s="1381"/>
      <c r="DM23" s="1457"/>
      <c r="DN23" s="1623"/>
      <c r="DO23" s="1623"/>
      <c r="DP23" s="1623"/>
      <c r="DQ23" s="1623"/>
      <c r="DR23" s="1457"/>
      <c r="DS23" s="1623"/>
      <c r="DT23" s="1623"/>
      <c r="DU23" s="1623"/>
      <c r="DV23" s="1623"/>
      <c r="DW23" s="1623"/>
      <c r="DX23" s="1623"/>
      <c r="DY23" s="1623"/>
      <c r="DZ23" s="1623"/>
      <c r="EA23" s="1623"/>
      <c r="EB23" s="1623"/>
      <c r="EC23" s="1623"/>
      <c r="ED23" s="1623"/>
      <c r="EE23" s="1623"/>
      <c r="EF23" s="1623"/>
      <c r="EG23" s="1623"/>
      <c r="EH23" s="1623"/>
      <c r="EI23" s="1623"/>
      <c r="EJ23" s="1457"/>
      <c r="EK23" s="1623"/>
      <c r="EL23" s="1623"/>
      <c r="EM23" s="1623"/>
      <c r="EN23" s="1457"/>
      <c r="EO23" s="1623"/>
      <c r="EP23" s="1623"/>
      <c r="EQ23" s="1623"/>
      <c r="ER23" s="1623"/>
      <c r="ES23" s="1623"/>
      <c r="ET23" s="1623"/>
      <c r="EU23" s="1457"/>
      <c r="EV23" s="1623"/>
      <c r="EW23" s="1623"/>
      <c r="EX23" s="1623"/>
      <c r="EY23" s="1623"/>
      <c r="EZ23" s="1623"/>
      <c r="FA23" s="1623"/>
      <c r="FB23" s="1623"/>
      <c r="FC23" s="1623"/>
      <c r="FD23" s="1623"/>
      <c r="FE23" s="1623"/>
      <c r="FF23" s="1457"/>
      <c r="FG23" s="1623"/>
      <c r="FH23" s="1623"/>
      <c r="FI23" s="1623"/>
      <c r="FJ23" s="1623"/>
      <c r="FK23" s="1623"/>
      <c r="FL23" s="1623"/>
      <c r="FM23" s="1623"/>
      <c r="FN23" s="1623"/>
      <c r="FO23" s="1623"/>
      <c r="FP23" s="1623"/>
      <c r="FQ23" s="1623"/>
      <c r="FR23" s="1623"/>
      <c r="FS23" s="1623"/>
      <c r="FT23" s="1457"/>
      <c r="FU23" s="1457"/>
      <c r="FV23" s="1457"/>
      <c r="FW23" s="1623"/>
      <c r="FX23" s="1457"/>
      <c r="FY23" s="1623"/>
      <c r="FZ23" s="1623"/>
      <c r="GA23" s="1623"/>
      <c r="GB23" s="1623"/>
      <c r="GC23" s="1623"/>
      <c r="GD23" s="1623"/>
      <c r="GE23" s="1457"/>
      <c r="GF23" s="1457"/>
      <c r="GG23" s="1457"/>
      <c r="GH23" s="1623"/>
      <c r="GI23" s="1623"/>
      <c r="GJ23" s="1457"/>
      <c r="GK23" s="1623"/>
      <c r="GL23" s="1623"/>
      <c r="GM23" s="1623"/>
      <c r="GN23" s="1623"/>
      <c r="GO23" s="1623"/>
      <c r="GP23" s="1623"/>
      <c r="GQ23" s="1623"/>
      <c r="GR23" s="1623"/>
      <c r="GS23" s="1623"/>
      <c r="GT23" s="1623"/>
      <c r="GU23" s="1623"/>
      <c r="GV23" s="1623"/>
      <c r="GW23" s="1457"/>
      <c r="GX23" s="1457"/>
      <c r="GY23" s="1623"/>
      <c r="GZ23" s="1623"/>
      <c r="HA23" s="1623"/>
      <c r="HB23" s="1382"/>
      <c r="HC23" s="1623"/>
      <c r="HD23" s="1457"/>
      <c r="HE23" s="1623"/>
      <c r="HF23" s="1457"/>
      <c r="HG23" s="1457"/>
      <c r="HH23" s="1623"/>
      <c r="HI23" s="1623"/>
      <c r="HJ23" s="1623"/>
      <c r="HK23" s="1623"/>
      <c r="HL23" s="1623"/>
      <c r="HM23" s="1623"/>
      <c r="HN23" s="1623"/>
      <c r="HO23" s="1623"/>
      <c r="HP23" s="1623"/>
      <c r="HQ23" s="1623"/>
      <c r="HR23" s="1623"/>
      <c r="HS23" s="1457"/>
      <c r="HT23" s="1623"/>
      <c r="HU23" s="1623"/>
      <c r="HV23" s="1623"/>
      <c r="HW23" s="1623"/>
      <c r="HX23" s="1623"/>
      <c r="HY23" s="1623"/>
      <c r="HZ23" s="1457"/>
      <c r="IA23" s="1623"/>
      <c r="IB23" s="1623"/>
      <c r="IC23" s="1623"/>
      <c r="ID23" s="1623"/>
      <c r="IE23" s="1623"/>
      <c r="IF23" s="1623"/>
      <c r="IG23" s="1623"/>
      <c r="IH23" s="1623"/>
      <c r="II23" s="1623"/>
      <c r="IJ23" s="1623"/>
      <c r="IK23" s="1623"/>
      <c r="IL23" s="1623"/>
      <c r="IM23" s="1623"/>
      <c r="IN23" s="1623"/>
      <c r="IO23" s="1457"/>
      <c r="IP23" s="1623"/>
      <c r="IQ23" s="1623"/>
      <c r="IR23" s="1623"/>
      <c r="IS23" s="1623"/>
      <c r="IT23" s="1623"/>
      <c r="IU23" s="1623"/>
      <c r="IV23" s="1623"/>
      <c r="IW23" s="1623"/>
      <c r="IX23" s="1457"/>
      <c r="IY23" s="1381"/>
      <c r="IZ23" s="1457"/>
      <c r="JA23" s="1457"/>
      <c r="JB23" s="1457"/>
      <c r="JC23" s="1457"/>
      <c r="JD23" s="1457"/>
      <c r="JE23" s="1457"/>
      <c r="JF23" s="1457"/>
      <c r="JG23" s="1457"/>
      <c r="JH23" s="1623"/>
      <c r="JI23" s="1623"/>
      <c r="JJ23" s="1623"/>
      <c r="JK23" s="1623"/>
      <c r="JL23" s="1623"/>
      <c r="JM23" s="1623"/>
      <c r="JN23" s="1623"/>
      <c r="JO23" s="1623"/>
      <c r="JP23" s="1623"/>
      <c r="JQ23" s="1611"/>
      <c r="JR23" s="351"/>
      <c r="JS23" s="1614" t="s">
        <v>3779</v>
      </c>
      <c r="JT23" s="1615" t="s">
        <v>2319</v>
      </c>
    </row>
    <row r="24" spans="1:280" ht="12.5" x14ac:dyDescent="0.25">
      <c r="A24" s="1367">
        <v>24</v>
      </c>
      <c r="B24" s="1411" t="str">
        <f t="shared" si="1"/>
        <v/>
      </c>
      <c r="C24" s="1617" t="s">
        <v>3780</v>
      </c>
      <c r="D24" s="1612" t="s">
        <v>3781</v>
      </c>
      <c r="E24" s="1457"/>
      <c r="F24" s="1457"/>
      <c r="G24" s="1457"/>
      <c r="H24" s="1457"/>
      <c r="I24" s="1457"/>
      <c r="J24" s="1381"/>
      <c r="K24" s="1457"/>
      <c r="L24" s="1457"/>
      <c r="M24" s="1457"/>
      <c r="N24" s="1457"/>
      <c r="O24" s="1457"/>
      <c r="P24" s="1457"/>
      <c r="Q24" s="1457"/>
      <c r="R24" s="1457"/>
      <c r="S24" s="1457"/>
      <c r="T24" s="1457"/>
      <c r="U24" s="1457"/>
      <c r="V24" s="1457"/>
      <c r="W24" s="1457"/>
      <c r="X24" s="1457"/>
      <c r="Y24" s="1457"/>
      <c r="Z24" s="1457"/>
      <c r="AA24" s="1457"/>
      <c r="AB24" s="1457"/>
      <c r="AC24" s="1457"/>
      <c r="AD24" s="1457"/>
      <c r="AE24" s="1457"/>
      <c r="AF24" s="1457"/>
      <c r="AG24" s="1457"/>
      <c r="AH24" s="1457"/>
      <c r="AI24" s="1457"/>
      <c r="AJ24" s="1381"/>
      <c r="AK24" s="1457"/>
      <c r="AL24" s="1457"/>
      <c r="AM24" s="1457"/>
      <c r="AN24" s="1457"/>
      <c r="AO24" s="1457"/>
      <c r="AP24" s="1457"/>
      <c r="AQ24" s="1457"/>
      <c r="AR24" s="1457"/>
      <c r="AS24" s="1457"/>
      <c r="AT24" s="1457"/>
      <c r="AU24" s="1457"/>
      <c r="AV24" s="1457"/>
      <c r="AW24" s="1457"/>
      <c r="AX24" s="1457"/>
      <c r="AY24" s="1457"/>
      <c r="AZ24" s="1457"/>
      <c r="BA24" s="1457"/>
      <c r="BB24" s="1457"/>
      <c r="BC24" s="1457"/>
      <c r="BD24" s="1457"/>
      <c r="BE24" s="1622"/>
      <c r="BF24" s="1622"/>
      <c r="BG24" s="1457"/>
      <c r="BH24" s="1622"/>
      <c r="BI24" s="1622"/>
      <c r="BJ24" s="1622"/>
      <c r="BK24" s="1622"/>
      <c r="BL24" s="1622"/>
      <c r="BM24" s="1622"/>
      <c r="BN24" s="1622"/>
      <c r="BO24" s="1622"/>
      <c r="BP24" s="1622"/>
      <c r="BQ24" s="1622"/>
      <c r="BR24" s="1622"/>
      <c r="BS24" s="1622"/>
      <c r="BT24" s="1457"/>
      <c r="BU24" s="1622"/>
      <c r="BV24" s="1457"/>
      <c r="BW24" s="1622"/>
      <c r="BX24" s="1457"/>
      <c r="BY24" s="1622"/>
      <c r="BZ24" s="1622"/>
      <c r="CA24" s="1622"/>
      <c r="CB24" s="1457"/>
      <c r="CC24" s="1457"/>
      <c r="CD24" s="1457"/>
      <c r="CE24" s="1623"/>
      <c r="CF24" s="1623"/>
      <c r="CG24" s="1623"/>
      <c r="CH24" s="1457"/>
      <c r="CI24" s="1457"/>
      <c r="CJ24" s="1623"/>
      <c r="CK24" s="1623"/>
      <c r="CL24" s="1623"/>
      <c r="CM24" s="1623"/>
      <c r="CN24" s="1623"/>
      <c r="CO24" s="1623"/>
      <c r="CP24" s="1623"/>
      <c r="CQ24" s="1457"/>
      <c r="CR24" s="1457"/>
      <c r="CS24" s="1457"/>
      <c r="CT24" s="1457"/>
      <c r="CU24" s="1623"/>
      <c r="CV24" s="1382"/>
      <c r="CW24" s="1623"/>
      <c r="CX24" s="1623"/>
      <c r="CY24" s="1623"/>
      <c r="CZ24" s="1457"/>
      <c r="DA24" s="1457"/>
      <c r="DB24" s="1457"/>
      <c r="DC24" s="1457"/>
      <c r="DD24" s="1623"/>
      <c r="DE24" s="1623"/>
      <c r="DF24" s="1623"/>
      <c r="DG24" s="1623"/>
      <c r="DH24" s="1623"/>
      <c r="DI24" s="1381"/>
      <c r="DJ24" s="1623"/>
      <c r="DK24" s="1623"/>
      <c r="DL24" s="1381"/>
      <c r="DM24" s="1457"/>
      <c r="DN24" s="1623"/>
      <c r="DO24" s="1623"/>
      <c r="DP24" s="1623"/>
      <c r="DQ24" s="1623"/>
      <c r="DR24" s="1457"/>
      <c r="DS24" s="1623"/>
      <c r="DT24" s="1623"/>
      <c r="DU24" s="1623"/>
      <c r="DV24" s="1623"/>
      <c r="DW24" s="1623"/>
      <c r="DX24" s="1623"/>
      <c r="DY24" s="1623"/>
      <c r="DZ24" s="1623"/>
      <c r="EA24" s="1623"/>
      <c r="EB24" s="1623"/>
      <c r="EC24" s="1623"/>
      <c r="ED24" s="1623"/>
      <c r="EE24" s="1623"/>
      <c r="EF24" s="1623"/>
      <c r="EG24" s="1623"/>
      <c r="EH24" s="1623"/>
      <c r="EI24" s="1623"/>
      <c r="EJ24" s="1457"/>
      <c r="EK24" s="1623"/>
      <c r="EL24" s="1623"/>
      <c r="EM24" s="1623"/>
      <c r="EN24" s="1457"/>
      <c r="EO24" s="1623"/>
      <c r="EP24" s="1623"/>
      <c r="EQ24" s="1623"/>
      <c r="ER24" s="1623"/>
      <c r="ES24" s="1623"/>
      <c r="ET24" s="1623"/>
      <c r="EU24" s="1457"/>
      <c r="EV24" s="1623"/>
      <c r="EW24" s="1623"/>
      <c r="EX24" s="1623"/>
      <c r="EY24" s="1623"/>
      <c r="EZ24" s="1623"/>
      <c r="FA24" s="1623"/>
      <c r="FB24" s="1623"/>
      <c r="FC24" s="1623"/>
      <c r="FD24" s="1623"/>
      <c r="FE24" s="1623"/>
      <c r="FF24" s="1457"/>
      <c r="FG24" s="1623"/>
      <c r="FH24" s="1623"/>
      <c r="FI24" s="1623"/>
      <c r="FJ24" s="1623"/>
      <c r="FK24" s="1623"/>
      <c r="FL24" s="1623"/>
      <c r="FM24" s="1623"/>
      <c r="FN24" s="1623"/>
      <c r="FO24" s="1623"/>
      <c r="FP24" s="1623"/>
      <c r="FQ24" s="1623"/>
      <c r="FR24" s="1623"/>
      <c r="FS24" s="1623"/>
      <c r="FT24" s="1457"/>
      <c r="FU24" s="1457"/>
      <c r="FV24" s="1457"/>
      <c r="FW24" s="1623"/>
      <c r="FX24" s="1457"/>
      <c r="FY24" s="1623"/>
      <c r="FZ24" s="1623"/>
      <c r="GA24" s="1623"/>
      <c r="GB24" s="1623"/>
      <c r="GC24" s="1623"/>
      <c r="GD24" s="1623"/>
      <c r="GE24" s="1457"/>
      <c r="GF24" s="1457"/>
      <c r="GG24" s="1457"/>
      <c r="GH24" s="1623"/>
      <c r="GI24" s="1623"/>
      <c r="GJ24" s="1457"/>
      <c r="GK24" s="1623"/>
      <c r="GL24" s="1623"/>
      <c r="GM24" s="1623"/>
      <c r="GN24" s="1623"/>
      <c r="GO24" s="1623"/>
      <c r="GP24" s="1623"/>
      <c r="GQ24" s="1623"/>
      <c r="GR24" s="1623"/>
      <c r="GS24" s="1623"/>
      <c r="GT24" s="1623"/>
      <c r="GU24" s="1623"/>
      <c r="GV24" s="1623"/>
      <c r="GW24" s="1457"/>
      <c r="GX24" s="1457"/>
      <c r="GY24" s="1623"/>
      <c r="GZ24" s="1623"/>
      <c r="HA24" s="1623"/>
      <c r="HB24" s="1382"/>
      <c r="HC24" s="1623"/>
      <c r="HD24" s="1457"/>
      <c r="HE24" s="1623"/>
      <c r="HF24" s="1457"/>
      <c r="HG24" s="1457"/>
      <c r="HH24" s="1623"/>
      <c r="HI24" s="1623"/>
      <c r="HJ24" s="1623"/>
      <c r="HK24" s="1623"/>
      <c r="HL24" s="1623"/>
      <c r="HM24" s="1623"/>
      <c r="HN24" s="1623"/>
      <c r="HO24" s="1623"/>
      <c r="HP24" s="1623"/>
      <c r="HQ24" s="1623"/>
      <c r="HR24" s="1623"/>
      <c r="HS24" s="1457"/>
      <c r="HT24" s="1623"/>
      <c r="HU24" s="1623"/>
      <c r="HV24" s="1623"/>
      <c r="HW24" s="1623"/>
      <c r="HX24" s="1623"/>
      <c r="HY24" s="1623"/>
      <c r="HZ24" s="1457"/>
      <c r="IA24" s="1623"/>
      <c r="IB24" s="1623"/>
      <c r="IC24" s="1623"/>
      <c r="ID24" s="1623"/>
      <c r="IE24" s="1623"/>
      <c r="IF24" s="1623"/>
      <c r="IG24" s="1623"/>
      <c r="IH24" s="1623"/>
      <c r="II24" s="1623"/>
      <c r="IJ24" s="1623"/>
      <c r="IK24" s="1623"/>
      <c r="IL24" s="1623"/>
      <c r="IM24" s="1623"/>
      <c r="IN24" s="1623"/>
      <c r="IO24" s="1457"/>
      <c r="IP24" s="1623"/>
      <c r="IQ24" s="1623"/>
      <c r="IR24" s="1623"/>
      <c r="IS24" s="1623"/>
      <c r="IT24" s="1623"/>
      <c r="IU24" s="1623"/>
      <c r="IV24" s="1623"/>
      <c r="IW24" s="1623"/>
      <c r="IX24" s="1457"/>
      <c r="IY24" s="1381"/>
      <c r="IZ24" s="1457"/>
      <c r="JA24" s="1457"/>
      <c r="JB24" s="1457"/>
      <c r="JC24" s="1457"/>
      <c r="JD24" s="1457"/>
      <c r="JE24" s="1457"/>
      <c r="JF24" s="1457"/>
      <c r="JG24" s="1457"/>
      <c r="JH24" s="1623"/>
      <c r="JI24" s="1623"/>
      <c r="JJ24" s="1623"/>
      <c r="JK24" s="1623"/>
      <c r="JL24" s="1623"/>
      <c r="JM24" s="1623"/>
      <c r="JN24" s="1623"/>
      <c r="JO24" s="1623"/>
      <c r="JP24" s="1623"/>
      <c r="JQ24" s="1611"/>
      <c r="JR24" s="351"/>
      <c r="JS24" s="1614"/>
      <c r="JT24" s="1615" t="s">
        <v>2319</v>
      </c>
    </row>
    <row r="25" spans="1:280" ht="12.5" x14ac:dyDescent="0.25">
      <c r="A25" s="1367">
        <v>25</v>
      </c>
      <c r="B25" s="1411" t="str">
        <f t="shared" si="1"/>
        <v/>
      </c>
      <c r="C25" s="1617" t="s">
        <v>3741</v>
      </c>
      <c r="D25" s="1612" t="s">
        <v>3742</v>
      </c>
      <c r="E25" s="1452"/>
      <c r="F25" s="1452"/>
      <c r="G25" s="1452"/>
      <c r="H25" s="1452"/>
      <c r="I25" s="1452"/>
      <c r="J25" s="1452"/>
      <c r="K25" s="1452"/>
      <c r="L25" s="1452"/>
      <c r="M25" s="1452"/>
      <c r="N25" s="1452"/>
      <c r="O25" s="1452"/>
      <c r="P25" s="1452"/>
      <c r="Q25" s="1452"/>
      <c r="R25" s="1452"/>
      <c r="S25" s="1452"/>
      <c r="T25" s="1452"/>
      <c r="U25" s="1452"/>
      <c r="V25" s="1452"/>
      <c r="W25" s="1452"/>
      <c r="X25" s="1452"/>
      <c r="Y25" s="1452"/>
      <c r="Z25" s="1452"/>
      <c r="AA25" s="1452"/>
      <c r="AB25" s="1452"/>
      <c r="AC25" s="1452"/>
      <c r="AD25" s="1452"/>
      <c r="AE25" s="1452"/>
      <c r="AF25" s="1452"/>
      <c r="AG25" s="1452"/>
      <c r="AH25" s="1452"/>
      <c r="AI25" s="1452"/>
      <c r="AJ25" s="1453"/>
      <c r="AK25" s="1452"/>
      <c r="AL25" s="1452"/>
      <c r="AM25" s="1452"/>
      <c r="AN25" s="1452"/>
      <c r="AO25" s="1452"/>
      <c r="AP25" s="1452"/>
      <c r="AQ25" s="1452"/>
      <c r="AR25" s="1452"/>
      <c r="AS25" s="1452"/>
      <c r="AT25" s="1452"/>
      <c r="AU25" s="1452"/>
      <c r="AV25" s="1452"/>
      <c r="AW25" s="1452"/>
      <c r="AX25" s="1452"/>
      <c r="AY25" s="1452"/>
      <c r="AZ25" s="1452"/>
      <c r="BA25" s="1452"/>
      <c r="BB25" s="1452"/>
      <c r="BC25" s="1452"/>
      <c r="BD25" s="1452"/>
      <c r="BE25" s="1624"/>
      <c r="BF25" s="1624"/>
      <c r="BG25" s="1452"/>
      <c r="BH25" s="1624"/>
      <c r="BI25" s="1624"/>
      <c r="BJ25" s="1624"/>
      <c r="BK25" s="1624"/>
      <c r="BL25" s="1624"/>
      <c r="BM25" s="1624"/>
      <c r="BN25" s="1624"/>
      <c r="BO25" s="1624"/>
      <c r="BP25" s="1624"/>
      <c r="BQ25" s="1624"/>
      <c r="BR25" s="1624"/>
      <c r="BS25" s="1624"/>
      <c r="BT25" s="1452"/>
      <c r="BU25" s="1624"/>
      <c r="BV25" s="1452"/>
      <c r="BW25" s="1624"/>
      <c r="BX25" s="1452"/>
      <c r="BY25" s="1624"/>
      <c r="BZ25" s="1624"/>
      <c r="CA25" s="1624"/>
      <c r="CB25" s="1452"/>
      <c r="CC25" s="1452"/>
      <c r="CD25" s="1452"/>
      <c r="CE25" s="1625"/>
      <c r="CF25" s="1625"/>
      <c r="CG25" s="1625"/>
      <c r="CH25" s="1452"/>
      <c r="CI25" s="1452"/>
      <c r="CJ25" s="1625"/>
      <c r="CK25" s="1625"/>
      <c r="CL25" s="1625"/>
      <c r="CM25" s="1625"/>
      <c r="CN25" s="1625"/>
      <c r="CO25" s="1625"/>
      <c r="CP25" s="1625"/>
      <c r="CQ25" s="1452"/>
      <c r="CR25" s="1452"/>
      <c r="CS25" s="1452"/>
      <c r="CT25" s="1452"/>
      <c r="CU25" s="1625"/>
      <c r="CV25" s="1452"/>
      <c r="CW25" s="1625"/>
      <c r="CX25" s="1625"/>
      <c r="CY25" s="1625"/>
      <c r="CZ25" s="1452"/>
      <c r="DA25" s="1452"/>
      <c r="DB25" s="1452"/>
      <c r="DC25" s="1452"/>
      <c r="DD25" s="1625"/>
      <c r="DE25" s="1625"/>
      <c r="DF25" s="1625"/>
      <c r="DG25" s="1625"/>
      <c r="DH25" s="1625"/>
      <c r="DI25" s="1452"/>
      <c r="DJ25" s="1625"/>
      <c r="DK25" s="1625"/>
      <c r="DL25" s="1452"/>
      <c r="DM25" s="1452"/>
      <c r="DN25" s="1625"/>
      <c r="DO25" s="1625"/>
      <c r="DP25" s="1625"/>
      <c r="DQ25" s="1625"/>
      <c r="DR25" s="1452"/>
      <c r="DS25" s="1625"/>
      <c r="DT25" s="1625"/>
      <c r="DU25" s="1625"/>
      <c r="DV25" s="1625"/>
      <c r="DW25" s="1625"/>
      <c r="DX25" s="1625"/>
      <c r="DY25" s="1625"/>
      <c r="DZ25" s="1625"/>
      <c r="EA25" s="1625"/>
      <c r="EB25" s="1625"/>
      <c r="EC25" s="1625"/>
      <c r="ED25" s="1625"/>
      <c r="EE25" s="1625"/>
      <c r="EF25" s="1625"/>
      <c r="EG25" s="1625"/>
      <c r="EH25" s="1625"/>
      <c r="EI25" s="1625"/>
      <c r="EJ25" s="1454"/>
      <c r="EK25" s="1625"/>
      <c r="EL25" s="1625"/>
      <c r="EM25" s="1625"/>
      <c r="EN25" s="1452"/>
      <c r="EO25" s="1625"/>
      <c r="EP25" s="1625"/>
      <c r="EQ25" s="1625"/>
      <c r="ER25" s="1625"/>
      <c r="ES25" s="1625"/>
      <c r="ET25" s="1625"/>
      <c r="EU25" s="1452"/>
      <c r="EV25" s="1625"/>
      <c r="EW25" s="1625"/>
      <c r="EX25" s="1625"/>
      <c r="EY25" s="1625"/>
      <c r="EZ25" s="1625"/>
      <c r="FA25" s="1625"/>
      <c r="FB25" s="1625"/>
      <c r="FC25" s="1625"/>
      <c r="FD25" s="1625"/>
      <c r="FE25" s="1625"/>
      <c r="FF25" s="1452"/>
      <c r="FG25" s="1625"/>
      <c r="FH25" s="1625"/>
      <c r="FI25" s="1625"/>
      <c r="FJ25" s="1625"/>
      <c r="FK25" s="1625"/>
      <c r="FL25" s="1625"/>
      <c r="FM25" s="1625"/>
      <c r="FN25" s="1625"/>
      <c r="FO25" s="1625"/>
      <c r="FP25" s="1625"/>
      <c r="FQ25" s="1625"/>
      <c r="FR25" s="1625"/>
      <c r="FS25" s="1625"/>
      <c r="FT25" s="1452"/>
      <c r="FU25" s="1452"/>
      <c r="FV25" s="1452"/>
      <c r="FW25" s="1625"/>
      <c r="FX25" s="1452"/>
      <c r="FY25" s="1625"/>
      <c r="FZ25" s="1625"/>
      <c r="GA25" s="1625"/>
      <c r="GB25" s="1625"/>
      <c r="GC25" s="1625"/>
      <c r="GD25" s="1625"/>
      <c r="GE25" s="1454"/>
      <c r="GF25" s="1454"/>
      <c r="GG25" s="1452"/>
      <c r="GH25" s="1625"/>
      <c r="GI25" s="1625"/>
      <c r="GJ25" s="1452"/>
      <c r="GK25" s="1625"/>
      <c r="GL25" s="1625"/>
      <c r="GM25" s="1625"/>
      <c r="GN25" s="1625"/>
      <c r="GO25" s="1625"/>
      <c r="GP25" s="1625"/>
      <c r="GQ25" s="1625"/>
      <c r="GR25" s="1625"/>
      <c r="GS25" s="1625"/>
      <c r="GT25" s="1625"/>
      <c r="GU25" s="1625"/>
      <c r="GV25" s="1625"/>
      <c r="GW25" s="1452"/>
      <c r="GX25" s="1452"/>
      <c r="GY25" s="1625"/>
      <c r="GZ25" s="1625"/>
      <c r="HA25" s="1625"/>
      <c r="HB25" s="1452"/>
      <c r="HC25" s="1625"/>
      <c r="HD25" s="1452"/>
      <c r="HE25" s="1625"/>
      <c r="HF25" s="1452"/>
      <c r="HG25" s="1452"/>
      <c r="HH25" s="1625"/>
      <c r="HI25" s="1625"/>
      <c r="HJ25" s="1625"/>
      <c r="HK25" s="1625"/>
      <c r="HL25" s="1625"/>
      <c r="HM25" s="1625"/>
      <c r="HN25" s="1625"/>
      <c r="HO25" s="1625"/>
      <c r="HP25" s="1625"/>
      <c r="HQ25" s="1625"/>
      <c r="HR25" s="1625"/>
      <c r="HS25" s="1452"/>
      <c r="HT25" s="1625"/>
      <c r="HU25" s="1625"/>
      <c r="HV25" s="1625"/>
      <c r="HW25" s="1625"/>
      <c r="HX25" s="1625"/>
      <c r="HY25" s="1625"/>
      <c r="HZ25" s="1452"/>
      <c r="IA25" s="1625"/>
      <c r="IB25" s="1625"/>
      <c r="IC25" s="1625"/>
      <c r="ID25" s="1625"/>
      <c r="IE25" s="1625"/>
      <c r="IF25" s="1625"/>
      <c r="IG25" s="1625"/>
      <c r="IH25" s="1625"/>
      <c r="II25" s="1625"/>
      <c r="IJ25" s="1625"/>
      <c r="IK25" s="1625"/>
      <c r="IL25" s="1625"/>
      <c r="IM25" s="1625"/>
      <c r="IN25" s="1625"/>
      <c r="IO25" s="1452"/>
      <c r="IP25" s="1625"/>
      <c r="IQ25" s="1625"/>
      <c r="IR25" s="1625"/>
      <c r="IS25" s="1625"/>
      <c r="IT25" s="1625"/>
      <c r="IU25" s="1625"/>
      <c r="IV25" s="1625"/>
      <c r="IW25" s="1625"/>
      <c r="IX25" s="1452"/>
      <c r="IY25" s="1453"/>
      <c r="IZ25" s="1452"/>
      <c r="JA25" s="1452"/>
      <c r="JB25" s="1452"/>
      <c r="JC25" s="1452"/>
      <c r="JD25" s="1452"/>
      <c r="JE25" s="1452"/>
      <c r="JF25" s="1452"/>
      <c r="JG25" s="1452"/>
      <c r="JH25" s="1625"/>
      <c r="JI25" s="1625"/>
      <c r="JJ25" s="1625"/>
      <c r="JK25" s="1625"/>
      <c r="JL25" s="1625"/>
      <c r="JM25" s="1625"/>
      <c r="JN25" s="1625"/>
      <c r="JO25" s="1625"/>
      <c r="JP25" s="1625"/>
      <c r="JQ25" s="1613"/>
      <c r="JR25" s="351"/>
      <c r="JS25" s="1614"/>
      <c r="JT25" s="1615" t="s">
        <v>2224</v>
      </c>
    </row>
    <row r="26" spans="1:280" ht="20" x14ac:dyDescent="0.25">
      <c r="A26" s="1367">
        <v>26</v>
      </c>
      <c r="B26" s="1411" t="str">
        <f t="shared" si="1"/>
        <v/>
      </c>
      <c r="C26" s="1617" t="s">
        <v>3743</v>
      </c>
      <c r="D26" s="1612" t="s">
        <v>3744</v>
      </c>
      <c r="E26" s="1452"/>
      <c r="F26" s="1452"/>
      <c r="G26" s="1452"/>
      <c r="H26" s="1452"/>
      <c r="I26" s="1452"/>
      <c r="J26" s="1452"/>
      <c r="K26" s="1452"/>
      <c r="L26" s="1452"/>
      <c r="M26" s="1452"/>
      <c r="N26" s="1452"/>
      <c r="O26" s="1452"/>
      <c r="P26" s="1452"/>
      <c r="Q26" s="1452"/>
      <c r="R26" s="1452"/>
      <c r="S26" s="1452"/>
      <c r="T26" s="1452"/>
      <c r="U26" s="1452"/>
      <c r="V26" s="1452"/>
      <c r="W26" s="1452"/>
      <c r="X26" s="1452"/>
      <c r="Y26" s="1452"/>
      <c r="Z26" s="1452"/>
      <c r="AA26" s="1452"/>
      <c r="AB26" s="1452"/>
      <c r="AC26" s="1452"/>
      <c r="AD26" s="1452"/>
      <c r="AE26" s="1452"/>
      <c r="AF26" s="1452"/>
      <c r="AG26" s="1452"/>
      <c r="AH26" s="1452"/>
      <c r="AI26" s="1452"/>
      <c r="AJ26" s="1453"/>
      <c r="AK26" s="1452"/>
      <c r="AL26" s="1452"/>
      <c r="AM26" s="1452"/>
      <c r="AN26" s="1452"/>
      <c r="AO26" s="1452"/>
      <c r="AP26" s="1452"/>
      <c r="AQ26" s="1452"/>
      <c r="AR26" s="1452"/>
      <c r="AS26" s="1452"/>
      <c r="AT26" s="1452"/>
      <c r="AU26" s="1452"/>
      <c r="AV26" s="1452"/>
      <c r="AW26" s="1452"/>
      <c r="AX26" s="1452"/>
      <c r="AY26" s="1452"/>
      <c r="AZ26" s="1452"/>
      <c r="BA26" s="1452"/>
      <c r="BB26" s="1452"/>
      <c r="BC26" s="1452"/>
      <c r="BD26" s="1452"/>
      <c r="BE26" s="1624"/>
      <c r="BF26" s="1624"/>
      <c r="BG26" s="1452"/>
      <c r="BH26" s="1624"/>
      <c r="BI26" s="1624"/>
      <c r="BJ26" s="1624"/>
      <c r="BK26" s="1624"/>
      <c r="BL26" s="1624"/>
      <c r="BM26" s="1624"/>
      <c r="BN26" s="1624"/>
      <c r="BO26" s="1624"/>
      <c r="BP26" s="1624"/>
      <c r="BQ26" s="1624"/>
      <c r="BR26" s="1624"/>
      <c r="BS26" s="1624"/>
      <c r="BT26" s="1452"/>
      <c r="BU26" s="1624"/>
      <c r="BV26" s="1452"/>
      <c r="BW26" s="1624"/>
      <c r="BX26" s="1452"/>
      <c r="BY26" s="1624"/>
      <c r="BZ26" s="1624"/>
      <c r="CA26" s="1624"/>
      <c r="CB26" s="1452"/>
      <c r="CC26" s="1452"/>
      <c r="CD26" s="1452"/>
      <c r="CE26" s="1625"/>
      <c r="CF26" s="1625"/>
      <c r="CG26" s="1625"/>
      <c r="CH26" s="1452"/>
      <c r="CI26" s="1452"/>
      <c r="CJ26" s="1625"/>
      <c r="CK26" s="1625"/>
      <c r="CL26" s="1625"/>
      <c r="CM26" s="1625"/>
      <c r="CN26" s="1625"/>
      <c r="CO26" s="1625"/>
      <c r="CP26" s="1625"/>
      <c r="CQ26" s="1452"/>
      <c r="CR26" s="1452"/>
      <c r="CS26" s="1452"/>
      <c r="CT26" s="1452"/>
      <c r="CU26" s="1625"/>
      <c r="CV26" s="1452"/>
      <c r="CW26" s="1625"/>
      <c r="CX26" s="1625"/>
      <c r="CY26" s="1625"/>
      <c r="CZ26" s="1452"/>
      <c r="DA26" s="1452"/>
      <c r="DB26" s="1452"/>
      <c r="DC26" s="1452"/>
      <c r="DD26" s="1625"/>
      <c r="DE26" s="1625"/>
      <c r="DF26" s="1625"/>
      <c r="DG26" s="1625"/>
      <c r="DH26" s="1625"/>
      <c r="DI26" s="1452"/>
      <c r="DJ26" s="1625"/>
      <c r="DK26" s="1625"/>
      <c r="DL26" s="1452"/>
      <c r="DM26" s="1452"/>
      <c r="DN26" s="1625"/>
      <c r="DO26" s="1625"/>
      <c r="DP26" s="1625"/>
      <c r="DQ26" s="1625"/>
      <c r="DR26" s="1452"/>
      <c r="DS26" s="1625"/>
      <c r="DT26" s="1625"/>
      <c r="DU26" s="1625"/>
      <c r="DV26" s="1625"/>
      <c r="DW26" s="1625"/>
      <c r="DX26" s="1625"/>
      <c r="DY26" s="1625"/>
      <c r="DZ26" s="1625"/>
      <c r="EA26" s="1625"/>
      <c r="EB26" s="1625"/>
      <c r="EC26" s="1625"/>
      <c r="ED26" s="1625"/>
      <c r="EE26" s="1625"/>
      <c r="EF26" s="1625"/>
      <c r="EG26" s="1625"/>
      <c r="EH26" s="1625"/>
      <c r="EI26" s="1625"/>
      <c r="EJ26" s="1452"/>
      <c r="EK26" s="1625"/>
      <c r="EL26" s="1625"/>
      <c r="EM26" s="1625"/>
      <c r="EN26" s="1452"/>
      <c r="EO26" s="1625"/>
      <c r="EP26" s="1625"/>
      <c r="EQ26" s="1625"/>
      <c r="ER26" s="1625"/>
      <c r="ES26" s="1625"/>
      <c r="ET26" s="1625"/>
      <c r="EU26" s="1452"/>
      <c r="EV26" s="1625"/>
      <c r="EW26" s="1625"/>
      <c r="EX26" s="1625"/>
      <c r="EY26" s="1625"/>
      <c r="EZ26" s="1625"/>
      <c r="FA26" s="1625"/>
      <c r="FB26" s="1625"/>
      <c r="FC26" s="1625"/>
      <c r="FD26" s="1625"/>
      <c r="FE26" s="1625"/>
      <c r="FF26" s="1452"/>
      <c r="FG26" s="1625"/>
      <c r="FH26" s="1625"/>
      <c r="FI26" s="1625"/>
      <c r="FJ26" s="1625"/>
      <c r="FK26" s="1625"/>
      <c r="FL26" s="1625"/>
      <c r="FM26" s="1625"/>
      <c r="FN26" s="1625"/>
      <c r="FO26" s="1625"/>
      <c r="FP26" s="1625"/>
      <c r="FQ26" s="1625"/>
      <c r="FR26" s="1625"/>
      <c r="FS26" s="1625"/>
      <c r="FT26" s="1452"/>
      <c r="FU26" s="1452"/>
      <c r="FV26" s="1452"/>
      <c r="FW26" s="1625"/>
      <c r="FX26" s="1452"/>
      <c r="FY26" s="1625"/>
      <c r="FZ26" s="1625"/>
      <c r="GA26" s="1625"/>
      <c r="GB26" s="1625"/>
      <c r="GC26" s="1625"/>
      <c r="GD26" s="1625"/>
      <c r="GE26" s="1452"/>
      <c r="GF26" s="1452"/>
      <c r="GG26" s="1452"/>
      <c r="GH26" s="1625"/>
      <c r="GI26" s="1625"/>
      <c r="GJ26" s="1452"/>
      <c r="GK26" s="1625"/>
      <c r="GL26" s="1625"/>
      <c r="GM26" s="1625"/>
      <c r="GN26" s="1625"/>
      <c r="GO26" s="1625"/>
      <c r="GP26" s="1625"/>
      <c r="GQ26" s="1625"/>
      <c r="GR26" s="1625"/>
      <c r="GS26" s="1625"/>
      <c r="GT26" s="1625"/>
      <c r="GU26" s="1625"/>
      <c r="GV26" s="1625"/>
      <c r="GW26" s="1452"/>
      <c r="GX26" s="1452"/>
      <c r="GY26" s="1625"/>
      <c r="GZ26" s="1625"/>
      <c r="HA26" s="1625"/>
      <c r="HB26" s="1452"/>
      <c r="HC26" s="1625"/>
      <c r="HD26" s="1452"/>
      <c r="HE26" s="1625"/>
      <c r="HF26" s="1452"/>
      <c r="HG26" s="1452"/>
      <c r="HH26" s="1625"/>
      <c r="HI26" s="1625"/>
      <c r="HJ26" s="1625"/>
      <c r="HK26" s="1625"/>
      <c r="HL26" s="1625"/>
      <c r="HM26" s="1625"/>
      <c r="HN26" s="1625"/>
      <c r="HO26" s="1625"/>
      <c r="HP26" s="1625"/>
      <c r="HQ26" s="1625"/>
      <c r="HR26" s="1625"/>
      <c r="HS26" s="1452"/>
      <c r="HT26" s="1625"/>
      <c r="HU26" s="1625"/>
      <c r="HV26" s="1625"/>
      <c r="HW26" s="1625"/>
      <c r="HX26" s="1625"/>
      <c r="HY26" s="1625"/>
      <c r="HZ26" s="1452"/>
      <c r="IA26" s="1625"/>
      <c r="IB26" s="1625"/>
      <c r="IC26" s="1625"/>
      <c r="ID26" s="1625"/>
      <c r="IE26" s="1625"/>
      <c r="IF26" s="1625"/>
      <c r="IG26" s="1625"/>
      <c r="IH26" s="1625"/>
      <c r="II26" s="1625"/>
      <c r="IJ26" s="1625"/>
      <c r="IK26" s="1625"/>
      <c r="IL26" s="1625"/>
      <c r="IM26" s="1625"/>
      <c r="IN26" s="1625"/>
      <c r="IO26" s="1452"/>
      <c r="IP26" s="1625"/>
      <c r="IQ26" s="1625"/>
      <c r="IR26" s="1625"/>
      <c r="IS26" s="1625"/>
      <c r="IT26" s="1625"/>
      <c r="IU26" s="1625"/>
      <c r="IV26" s="1625"/>
      <c r="IW26" s="1625"/>
      <c r="IX26" s="1452"/>
      <c r="IY26" s="1453"/>
      <c r="IZ26" s="1452"/>
      <c r="JA26" s="1452"/>
      <c r="JB26" s="1452"/>
      <c r="JC26" s="1452"/>
      <c r="JD26" s="1452"/>
      <c r="JE26" s="1452"/>
      <c r="JF26" s="1452"/>
      <c r="JG26" s="1452"/>
      <c r="JH26" s="1625"/>
      <c r="JI26" s="1625"/>
      <c r="JJ26" s="1625"/>
      <c r="JK26" s="1625"/>
      <c r="JL26" s="1625"/>
      <c r="JM26" s="1625"/>
      <c r="JN26" s="1625"/>
      <c r="JO26" s="1625"/>
      <c r="JP26" s="1625"/>
      <c r="JQ26" s="1613"/>
      <c r="JR26" s="351"/>
      <c r="JS26" s="1614" t="s">
        <v>3745</v>
      </c>
      <c r="JT26" s="1615" t="s">
        <v>2242</v>
      </c>
    </row>
    <row r="27" spans="1:280" ht="12.5" x14ac:dyDescent="0.25">
      <c r="A27" s="1367">
        <v>27</v>
      </c>
      <c r="B27" s="1411" t="str">
        <f t="shared" si="1"/>
        <v/>
      </c>
      <c r="C27" s="1617" t="s">
        <v>3746</v>
      </c>
      <c r="D27" s="1612" t="s">
        <v>3747</v>
      </c>
      <c r="E27" s="1452"/>
      <c r="F27" s="1452"/>
      <c r="G27" s="1452"/>
      <c r="H27" s="1452"/>
      <c r="I27" s="1452"/>
      <c r="J27" s="1452"/>
      <c r="K27" s="1452"/>
      <c r="L27" s="1452"/>
      <c r="M27" s="1452"/>
      <c r="N27" s="1452"/>
      <c r="O27" s="1452"/>
      <c r="P27" s="1452"/>
      <c r="Q27" s="1452"/>
      <c r="R27" s="1452"/>
      <c r="S27" s="1452"/>
      <c r="T27" s="1452"/>
      <c r="U27" s="1452"/>
      <c r="V27" s="1452"/>
      <c r="W27" s="1452"/>
      <c r="X27" s="1452"/>
      <c r="Y27" s="1452"/>
      <c r="Z27" s="1452"/>
      <c r="AA27" s="1452"/>
      <c r="AB27" s="1452"/>
      <c r="AC27" s="1452"/>
      <c r="AD27" s="1452"/>
      <c r="AE27" s="1452"/>
      <c r="AF27" s="1452"/>
      <c r="AG27" s="1452"/>
      <c r="AH27" s="1452"/>
      <c r="AI27" s="1452"/>
      <c r="AJ27" s="1453"/>
      <c r="AK27" s="1452"/>
      <c r="AL27" s="1452"/>
      <c r="AM27" s="1452"/>
      <c r="AN27" s="1452"/>
      <c r="AO27" s="1452"/>
      <c r="AP27" s="1452"/>
      <c r="AQ27" s="1452"/>
      <c r="AR27" s="1452"/>
      <c r="AS27" s="1452"/>
      <c r="AT27" s="1452"/>
      <c r="AU27" s="1452"/>
      <c r="AV27" s="1452"/>
      <c r="AW27" s="1452"/>
      <c r="AX27" s="1452"/>
      <c r="AY27" s="1452"/>
      <c r="AZ27" s="1452"/>
      <c r="BA27" s="1452"/>
      <c r="BB27" s="1452"/>
      <c r="BC27" s="1452"/>
      <c r="BD27" s="1452"/>
      <c r="BE27" s="1624"/>
      <c r="BF27" s="1624"/>
      <c r="BG27" s="1452"/>
      <c r="BH27" s="1624"/>
      <c r="BI27" s="1624"/>
      <c r="BJ27" s="1624"/>
      <c r="BK27" s="1624"/>
      <c r="BL27" s="1624"/>
      <c r="BM27" s="1624"/>
      <c r="BN27" s="1624"/>
      <c r="BO27" s="1624"/>
      <c r="BP27" s="1624"/>
      <c r="BQ27" s="1624"/>
      <c r="BR27" s="1624"/>
      <c r="BS27" s="1624"/>
      <c r="BT27" s="1452"/>
      <c r="BU27" s="1624"/>
      <c r="BV27" s="1452"/>
      <c r="BW27" s="1624"/>
      <c r="BX27" s="1452"/>
      <c r="BY27" s="1624"/>
      <c r="BZ27" s="1624"/>
      <c r="CA27" s="1624"/>
      <c r="CB27" s="1452"/>
      <c r="CC27" s="1452"/>
      <c r="CD27" s="1452"/>
      <c r="CE27" s="1625"/>
      <c r="CF27" s="1625"/>
      <c r="CG27" s="1625"/>
      <c r="CH27" s="1452"/>
      <c r="CI27" s="1452"/>
      <c r="CJ27" s="1625"/>
      <c r="CK27" s="1625"/>
      <c r="CL27" s="1625"/>
      <c r="CM27" s="1625"/>
      <c r="CN27" s="1625"/>
      <c r="CO27" s="1625"/>
      <c r="CP27" s="1625"/>
      <c r="CQ27" s="1452"/>
      <c r="CR27" s="1452"/>
      <c r="CS27" s="1452"/>
      <c r="CT27" s="1452"/>
      <c r="CU27" s="1625"/>
      <c r="CV27" s="1452"/>
      <c r="CW27" s="1625"/>
      <c r="CX27" s="1625"/>
      <c r="CY27" s="1625"/>
      <c r="CZ27" s="1452"/>
      <c r="DA27" s="1452"/>
      <c r="DB27" s="1452"/>
      <c r="DC27" s="1452"/>
      <c r="DD27" s="1625"/>
      <c r="DE27" s="1625"/>
      <c r="DF27" s="1625"/>
      <c r="DG27" s="1625"/>
      <c r="DH27" s="1625"/>
      <c r="DI27" s="1452"/>
      <c r="DJ27" s="1625"/>
      <c r="DK27" s="1625"/>
      <c r="DL27" s="1452"/>
      <c r="DM27" s="1452"/>
      <c r="DN27" s="1625"/>
      <c r="DO27" s="1625"/>
      <c r="DP27" s="1625"/>
      <c r="DQ27" s="1625"/>
      <c r="DR27" s="1452"/>
      <c r="DS27" s="1625"/>
      <c r="DT27" s="1625"/>
      <c r="DU27" s="1625"/>
      <c r="DV27" s="1625"/>
      <c r="DW27" s="1625"/>
      <c r="DX27" s="1625"/>
      <c r="DY27" s="1625"/>
      <c r="DZ27" s="1625"/>
      <c r="EA27" s="1625"/>
      <c r="EB27" s="1625"/>
      <c r="EC27" s="1625"/>
      <c r="ED27" s="1625"/>
      <c r="EE27" s="1625"/>
      <c r="EF27" s="1625"/>
      <c r="EG27" s="1625"/>
      <c r="EH27" s="1625"/>
      <c r="EI27" s="1625"/>
      <c r="EJ27" s="1452"/>
      <c r="EK27" s="1625"/>
      <c r="EL27" s="1625"/>
      <c r="EM27" s="1625"/>
      <c r="EN27" s="1452"/>
      <c r="EO27" s="1625"/>
      <c r="EP27" s="1625"/>
      <c r="EQ27" s="1625"/>
      <c r="ER27" s="1625"/>
      <c r="ES27" s="1625"/>
      <c r="ET27" s="1625"/>
      <c r="EU27" s="1452"/>
      <c r="EV27" s="1625"/>
      <c r="EW27" s="1625"/>
      <c r="EX27" s="1625"/>
      <c r="EY27" s="1625"/>
      <c r="EZ27" s="1625"/>
      <c r="FA27" s="1625"/>
      <c r="FB27" s="1625"/>
      <c r="FC27" s="1625"/>
      <c r="FD27" s="1625"/>
      <c r="FE27" s="1625"/>
      <c r="FF27" s="1452"/>
      <c r="FG27" s="1625"/>
      <c r="FH27" s="1625"/>
      <c r="FI27" s="1625"/>
      <c r="FJ27" s="1625"/>
      <c r="FK27" s="1625"/>
      <c r="FL27" s="1625"/>
      <c r="FM27" s="1625"/>
      <c r="FN27" s="1625"/>
      <c r="FO27" s="1625"/>
      <c r="FP27" s="1625"/>
      <c r="FQ27" s="1625"/>
      <c r="FR27" s="1625"/>
      <c r="FS27" s="1625"/>
      <c r="FT27" s="1452"/>
      <c r="FU27" s="1452"/>
      <c r="FV27" s="1452"/>
      <c r="FW27" s="1625"/>
      <c r="FX27" s="1452"/>
      <c r="FY27" s="1625"/>
      <c r="FZ27" s="1625"/>
      <c r="GA27" s="1625"/>
      <c r="GB27" s="1625"/>
      <c r="GC27" s="1625"/>
      <c r="GD27" s="1625"/>
      <c r="GE27" s="1452"/>
      <c r="GF27" s="1452"/>
      <c r="GG27" s="1452"/>
      <c r="GH27" s="1625"/>
      <c r="GI27" s="1625"/>
      <c r="GJ27" s="1452"/>
      <c r="GK27" s="1625"/>
      <c r="GL27" s="1625"/>
      <c r="GM27" s="1625"/>
      <c r="GN27" s="1625"/>
      <c r="GO27" s="1625"/>
      <c r="GP27" s="1625"/>
      <c r="GQ27" s="1625"/>
      <c r="GR27" s="1625"/>
      <c r="GS27" s="1625"/>
      <c r="GT27" s="1625"/>
      <c r="GU27" s="1625"/>
      <c r="GV27" s="1625"/>
      <c r="GW27" s="1452"/>
      <c r="GX27" s="1452"/>
      <c r="GY27" s="1625"/>
      <c r="GZ27" s="1625"/>
      <c r="HA27" s="1625"/>
      <c r="HB27" s="1452"/>
      <c r="HC27" s="1625"/>
      <c r="HD27" s="1452"/>
      <c r="HE27" s="1625"/>
      <c r="HF27" s="1452"/>
      <c r="HG27" s="1452"/>
      <c r="HH27" s="1625"/>
      <c r="HI27" s="1625"/>
      <c r="HJ27" s="1625"/>
      <c r="HK27" s="1625"/>
      <c r="HL27" s="1625"/>
      <c r="HM27" s="1625"/>
      <c r="HN27" s="1625"/>
      <c r="HO27" s="1625"/>
      <c r="HP27" s="1625"/>
      <c r="HQ27" s="1625"/>
      <c r="HR27" s="1625"/>
      <c r="HS27" s="1452"/>
      <c r="HT27" s="1625"/>
      <c r="HU27" s="1625"/>
      <c r="HV27" s="1625"/>
      <c r="HW27" s="1625"/>
      <c r="HX27" s="1625"/>
      <c r="HY27" s="1625"/>
      <c r="HZ27" s="1454"/>
      <c r="IA27" s="1625"/>
      <c r="IB27" s="1625"/>
      <c r="IC27" s="1625"/>
      <c r="ID27" s="1625"/>
      <c r="IE27" s="1625"/>
      <c r="IF27" s="1625"/>
      <c r="IG27" s="1625"/>
      <c r="IH27" s="1625"/>
      <c r="II27" s="1625"/>
      <c r="IJ27" s="1625"/>
      <c r="IK27" s="1625"/>
      <c r="IL27" s="1625"/>
      <c r="IM27" s="1625"/>
      <c r="IN27" s="1625"/>
      <c r="IO27" s="1452"/>
      <c r="IP27" s="1625"/>
      <c r="IQ27" s="1625"/>
      <c r="IR27" s="1625"/>
      <c r="IS27" s="1625"/>
      <c r="IT27" s="1625"/>
      <c r="IU27" s="1625"/>
      <c r="IV27" s="1625"/>
      <c r="IW27" s="1625"/>
      <c r="IX27" s="1452"/>
      <c r="IY27" s="1453"/>
      <c r="IZ27" s="1452"/>
      <c r="JA27" s="1452"/>
      <c r="JB27" s="1452"/>
      <c r="JC27" s="1452"/>
      <c r="JD27" s="1452"/>
      <c r="JE27" s="1452"/>
      <c r="JF27" s="1452"/>
      <c r="JG27" s="1452"/>
      <c r="JH27" s="1625"/>
      <c r="JI27" s="1625"/>
      <c r="JJ27" s="1625"/>
      <c r="JK27" s="1625"/>
      <c r="JL27" s="1625"/>
      <c r="JM27" s="1625"/>
      <c r="JN27" s="1625"/>
      <c r="JO27" s="1625"/>
      <c r="JP27" s="1625"/>
      <c r="JQ27" s="1613"/>
      <c r="JR27" s="351"/>
      <c r="JS27" s="1614"/>
      <c r="JT27" s="1615" t="s">
        <v>2319</v>
      </c>
    </row>
    <row r="28" spans="1:280" ht="12.5" x14ac:dyDescent="0.25">
      <c r="A28" s="1367">
        <v>28</v>
      </c>
      <c r="B28" s="1411" t="str">
        <f t="shared" si="1"/>
        <v/>
      </c>
      <c r="C28" s="1617" t="s">
        <v>3748</v>
      </c>
      <c r="D28" s="1612" t="s">
        <v>3749</v>
      </c>
      <c r="E28" s="1452"/>
      <c r="F28" s="1452"/>
      <c r="G28" s="1452"/>
      <c r="H28" s="1452"/>
      <c r="I28" s="1452"/>
      <c r="J28" s="1452"/>
      <c r="K28" s="1452"/>
      <c r="L28" s="1452"/>
      <c r="M28" s="1452"/>
      <c r="N28" s="1452"/>
      <c r="O28" s="1452"/>
      <c r="P28" s="1452"/>
      <c r="Q28" s="1452"/>
      <c r="R28" s="1452"/>
      <c r="S28" s="1452"/>
      <c r="T28" s="1452"/>
      <c r="U28" s="1452"/>
      <c r="V28" s="1452"/>
      <c r="W28" s="1452"/>
      <c r="X28" s="1452"/>
      <c r="Y28" s="1452"/>
      <c r="Z28" s="1452"/>
      <c r="AA28" s="1452"/>
      <c r="AB28" s="1452"/>
      <c r="AC28" s="1452"/>
      <c r="AD28" s="1452"/>
      <c r="AE28" s="1452"/>
      <c r="AF28" s="1452"/>
      <c r="AG28" s="1452"/>
      <c r="AH28" s="1452"/>
      <c r="AI28" s="1452"/>
      <c r="AJ28" s="1453"/>
      <c r="AK28" s="1452"/>
      <c r="AL28" s="1452"/>
      <c r="AM28" s="1452"/>
      <c r="AN28" s="1452"/>
      <c r="AO28" s="1452"/>
      <c r="AP28" s="1452"/>
      <c r="AQ28" s="1452"/>
      <c r="AR28" s="1452"/>
      <c r="AS28" s="1452"/>
      <c r="AT28" s="1452"/>
      <c r="AU28" s="1452"/>
      <c r="AV28" s="1452"/>
      <c r="AW28" s="1452"/>
      <c r="AX28" s="1452"/>
      <c r="AY28" s="1452"/>
      <c r="AZ28" s="1452"/>
      <c r="BA28" s="1452"/>
      <c r="BB28" s="1452"/>
      <c r="BC28" s="1452"/>
      <c r="BD28" s="1452"/>
      <c r="BE28" s="1624"/>
      <c r="BF28" s="1624"/>
      <c r="BG28" s="1452"/>
      <c r="BH28" s="1624"/>
      <c r="BI28" s="1624"/>
      <c r="BJ28" s="1624"/>
      <c r="BK28" s="1624"/>
      <c r="BL28" s="1624"/>
      <c r="BM28" s="1624"/>
      <c r="BN28" s="1624"/>
      <c r="BO28" s="1624"/>
      <c r="BP28" s="1624"/>
      <c r="BQ28" s="1624"/>
      <c r="BR28" s="1624"/>
      <c r="BS28" s="1624"/>
      <c r="BT28" s="1452"/>
      <c r="BU28" s="1624"/>
      <c r="BV28" s="1452"/>
      <c r="BW28" s="1624"/>
      <c r="BX28" s="1452"/>
      <c r="BY28" s="1624"/>
      <c r="BZ28" s="1624"/>
      <c r="CA28" s="1624"/>
      <c r="CB28" s="1452"/>
      <c r="CC28" s="1452"/>
      <c r="CD28" s="1452"/>
      <c r="CE28" s="1625"/>
      <c r="CF28" s="1625"/>
      <c r="CG28" s="1625"/>
      <c r="CH28" s="1452"/>
      <c r="CI28" s="1452"/>
      <c r="CJ28" s="1625"/>
      <c r="CK28" s="1625"/>
      <c r="CL28" s="1625"/>
      <c r="CM28" s="1625"/>
      <c r="CN28" s="1625"/>
      <c r="CO28" s="1625"/>
      <c r="CP28" s="1625"/>
      <c r="CQ28" s="1452"/>
      <c r="CR28" s="1452"/>
      <c r="CS28" s="1452"/>
      <c r="CT28" s="1452"/>
      <c r="CU28" s="1625"/>
      <c r="CV28" s="1452"/>
      <c r="CW28" s="1625"/>
      <c r="CX28" s="1625"/>
      <c r="CY28" s="1625"/>
      <c r="CZ28" s="1452"/>
      <c r="DA28" s="1452"/>
      <c r="DB28" s="1452"/>
      <c r="DC28" s="1452"/>
      <c r="DD28" s="1625"/>
      <c r="DE28" s="1625"/>
      <c r="DF28" s="1625"/>
      <c r="DG28" s="1625"/>
      <c r="DH28" s="1625"/>
      <c r="DI28" s="1452"/>
      <c r="DJ28" s="1625"/>
      <c r="DK28" s="1625"/>
      <c r="DL28" s="1452"/>
      <c r="DM28" s="1452"/>
      <c r="DN28" s="1625"/>
      <c r="DO28" s="1625"/>
      <c r="DP28" s="1625"/>
      <c r="DQ28" s="1625"/>
      <c r="DR28" s="1452"/>
      <c r="DS28" s="1625"/>
      <c r="DT28" s="1625"/>
      <c r="DU28" s="1625"/>
      <c r="DV28" s="1625"/>
      <c r="DW28" s="1625"/>
      <c r="DX28" s="1625"/>
      <c r="DY28" s="1625"/>
      <c r="DZ28" s="1625"/>
      <c r="EA28" s="1625"/>
      <c r="EB28" s="1625"/>
      <c r="EC28" s="1625"/>
      <c r="ED28" s="1625"/>
      <c r="EE28" s="1625"/>
      <c r="EF28" s="1625"/>
      <c r="EG28" s="1625"/>
      <c r="EH28" s="1625"/>
      <c r="EI28" s="1625"/>
      <c r="EJ28" s="1454"/>
      <c r="EK28" s="1625"/>
      <c r="EL28" s="1625"/>
      <c r="EM28" s="1625"/>
      <c r="EN28" s="1452"/>
      <c r="EO28" s="1625"/>
      <c r="EP28" s="1625"/>
      <c r="EQ28" s="1625"/>
      <c r="ER28" s="1625"/>
      <c r="ES28" s="1625"/>
      <c r="ET28" s="1625"/>
      <c r="EU28" s="1452"/>
      <c r="EV28" s="1625"/>
      <c r="EW28" s="1625"/>
      <c r="EX28" s="1625"/>
      <c r="EY28" s="1625"/>
      <c r="EZ28" s="1625"/>
      <c r="FA28" s="1625"/>
      <c r="FB28" s="1625"/>
      <c r="FC28" s="1625"/>
      <c r="FD28" s="1625"/>
      <c r="FE28" s="1625"/>
      <c r="FF28" s="1452"/>
      <c r="FG28" s="1625"/>
      <c r="FH28" s="1625"/>
      <c r="FI28" s="1625"/>
      <c r="FJ28" s="1625"/>
      <c r="FK28" s="1625"/>
      <c r="FL28" s="1625"/>
      <c r="FM28" s="1625"/>
      <c r="FN28" s="1625"/>
      <c r="FO28" s="1625"/>
      <c r="FP28" s="1625"/>
      <c r="FQ28" s="1625"/>
      <c r="FR28" s="1625"/>
      <c r="FS28" s="1625"/>
      <c r="FT28" s="1452"/>
      <c r="FU28" s="1452"/>
      <c r="FV28" s="1452"/>
      <c r="FW28" s="1625"/>
      <c r="FX28" s="1452"/>
      <c r="FY28" s="1625"/>
      <c r="FZ28" s="1625"/>
      <c r="GA28" s="1625"/>
      <c r="GB28" s="1625"/>
      <c r="GC28" s="1625"/>
      <c r="GD28" s="1625"/>
      <c r="GE28" s="1454"/>
      <c r="GF28" s="1454"/>
      <c r="GG28" s="1452"/>
      <c r="GH28" s="1625"/>
      <c r="GI28" s="1625"/>
      <c r="GJ28" s="1452"/>
      <c r="GK28" s="1625"/>
      <c r="GL28" s="1625"/>
      <c r="GM28" s="1625"/>
      <c r="GN28" s="1625"/>
      <c r="GO28" s="1625"/>
      <c r="GP28" s="1625"/>
      <c r="GQ28" s="1625"/>
      <c r="GR28" s="1625"/>
      <c r="GS28" s="1625"/>
      <c r="GT28" s="1625"/>
      <c r="GU28" s="1625"/>
      <c r="GV28" s="1625"/>
      <c r="GW28" s="1452"/>
      <c r="GX28" s="1452"/>
      <c r="GY28" s="1625"/>
      <c r="GZ28" s="1625"/>
      <c r="HA28" s="1625"/>
      <c r="HB28" s="1452"/>
      <c r="HC28" s="1625"/>
      <c r="HD28" s="1452"/>
      <c r="HE28" s="1625"/>
      <c r="HF28" s="1452"/>
      <c r="HG28" s="1452"/>
      <c r="HH28" s="1625"/>
      <c r="HI28" s="1625"/>
      <c r="HJ28" s="1625"/>
      <c r="HK28" s="1625"/>
      <c r="HL28" s="1625"/>
      <c r="HM28" s="1625"/>
      <c r="HN28" s="1625"/>
      <c r="HO28" s="1625"/>
      <c r="HP28" s="1625"/>
      <c r="HQ28" s="1625"/>
      <c r="HR28" s="1625"/>
      <c r="HS28" s="1452"/>
      <c r="HT28" s="1625"/>
      <c r="HU28" s="1625"/>
      <c r="HV28" s="1625"/>
      <c r="HW28" s="1625"/>
      <c r="HX28" s="1625"/>
      <c r="HY28" s="1625"/>
      <c r="HZ28" s="1452"/>
      <c r="IA28" s="1625"/>
      <c r="IB28" s="1625"/>
      <c r="IC28" s="1625"/>
      <c r="ID28" s="1625"/>
      <c r="IE28" s="1625"/>
      <c r="IF28" s="1625"/>
      <c r="IG28" s="1625"/>
      <c r="IH28" s="1625"/>
      <c r="II28" s="1625"/>
      <c r="IJ28" s="1625"/>
      <c r="IK28" s="1625"/>
      <c r="IL28" s="1625"/>
      <c r="IM28" s="1625"/>
      <c r="IN28" s="1625"/>
      <c r="IO28" s="1452"/>
      <c r="IP28" s="1625"/>
      <c r="IQ28" s="1625"/>
      <c r="IR28" s="1625"/>
      <c r="IS28" s="1625"/>
      <c r="IT28" s="1625"/>
      <c r="IU28" s="1625"/>
      <c r="IV28" s="1625"/>
      <c r="IW28" s="1625"/>
      <c r="IX28" s="1452"/>
      <c r="IY28" s="1453"/>
      <c r="IZ28" s="1452"/>
      <c r="JA28" s="1452"/>
      <c r="JB28" s="1452"/>
      <c r="JC28" s="1452"/>
      <c r="JD28" s="1452"/>
      <c r="JE28" s="1452"/>
      <c r="JF28" s="1452"/>
      <c r="JG28" s="1452"/>
      <c r="JH28" s="1625"/>
      <c r="JI28" s="1625"/>
      <c r="JJ28" s="1625"/>
      <c r="JK28" s="1625"/>
      <c r="JL28" s="1625"/>
      <c r="JM28" s="1625"/>
      <c r="JN28" s="1625"/>
      <c r="JO28" s="1625"/>
      <c r="JP28" s="1625"/>
      <c r="JQ28" s="1613"/>
      <c r="JR28" s="351"/>
      <c r="JS28" s="1614"/>
      <c r="JT28" s="1615" t="s">
        <v>2242</v>
      </c>
    </row>
    <row r="29" spans="1:280" ht="12.5" x14ac:dyDescent="0.25">
      <c r="A29" s="1367">
        <v>29</v>
      </c>
      <c r="B29" s="1411" t="str">
        <f t="shared" si="1"/>
        <v/>
      </c>
      <c r="C29" s="1617" t="s">
        <v>3750</v>
      </c>
      <c r="D29" s="1612" t="s">
        <v>3751</v>
      </c>
      <c r="E29" s="1452"/>
      <c r="F29" s="1452"/>
      <c r="G29" s="1452"/>
      <c r="H29" s="1452"/>
      <c r="I29" s="1452"/>
      <c r="J29" s="1452"/>
      <c r="K29" s="1452"/>
      <c r="L29" s="1452"/>
      <c r="M29" s="1452"/>
      <c r="N29" s="1452"/>
      <c r="O29" s="1452"/>
      <c r="P29" s="1452"/>
      <c r="Q29" s="1452"/>
      <c r="R29" s="1452"/>
      <c r="S29" s="1452"/>
      <c r="T29" s="1452"/>
      <c r="U29" s="1452"/>
      <c r="V29" s="1452"/>
      <c r="W29" s="1452"/>
      <c r="X29" s="1452"/>
      <c r="Y29" s="1452"/>
      <c r="Z29" s="1452"/>
      <c r="AA29" s="1452"/>
      <c r="AB29" s="1452"/>
      <c r="AC29" s="1452"/>
      <c r="AD29" s="1452"/>
      <c r="AE29" s="1452"/>
      <c r="AF29" s="1452"/>
      <c r="AG29" s="1452"/>
      <c r="AH29" s="1452"/>
      <c r="AI29" s="1452"/>
      <c r="AJ29" s="1453"/>
      <c r="AK29" s="1452"/>
      <c r="AL29" s="1452"/>
      <c r="AM29" s="1452"/>
      <c r="AN29" s="1452"/>
      <c r="AO29" s="1452"/>
      <c r="AP29" s="1452"/>
      <c r="AQ29" s="1452"/>
      <c r="AR29" s="1452"/>
      <c r="AS29" s="1452"/>
      <c r="AT29" s="1452"/>
      <c r="AU29" s="1452"/>
      <c r="AV29" s="1452"/>
      <c r="AW29" s="1452"/>
      <c r="AX29" s="1452"/>
      <c r="AY29" s="1452"/>
      <c r="AZ29" s="1452"/>
      <c r="BA29" s="1452"/>
      <c r="BB29" s="1452"/>
      <c r="BC29" s="1452"/>
      <c r="BD29" s="1452"/>
      <c r="BE29" s="1624"/>
      <c r="BF29" s="1624"/>
      <c r="BG29" s="1452"/>
      <c r="BH29" s="1624"/>
      <c r="BI29" s="1624"/>
      <c r="BJ29" s="1624"/>
      <c r="BK29" s="1624"/>
      <c r="BL29" s="1624"/>
      <c r="BM29" s="1624"/>
      <c r="BN29" s="1624"/>
      <c r="BO29" s="1624"/>
      <c r="BP29" s="1624"/>
      <c r="BQ29" s="1624"/>
      <c r="BR29" s="1624"/>
      <c r="BS29" s="1624"/>
      <c r="BT29" s="1452"/>
      <c r="BU29" s="1624"/>
      <c r="BV29" s="1452"/>
      <c r="BW29" s="1624"/>
      <c r="BX29" s="1452"/>
      <c r="BY29" s="1624"/>
      <c r="BZ29" s="1624"/>
      <c r="CA29" s="1624"/>
      <c r="CB29" s="1452"/>
      <c r="CC29" s="1452"/>
      <c r="CD29" s="1452"/>
      <c r="CE29" s="1625"/>
      <c r="CF29" s="1625"/>
      <c r="CG29" s="1625"/>
      <c r="CH29" s="1452"/>
      <c r="CI29" s="1452"/>
      <c r="CJ29" s="1625"/>
      <c r="CK29" s="1625"/>
      <c r="CL29" s="1625"/>
      <c r="CM29" s="1625"/>
      <c r="CN29" s="1625"/>
      <c r="CO29" s="1625"/>
      <c r="CP29" s="1625"/>
      <c r="CQ29" s="1452"/>
      <c r="CR29" s="1452"/>
      <c r="CS29" s="1452"/>
      <c r="CT29" s="1452"/>
      <c r="CU29" s="1625"/>
      <c r="CV29" s="1452"/>
      <c r="CW29" s="1625"/>
      <c r="CX29" s="1625"/>
      <c r="CY29" s="1625"/>
      <c r="CZ29" s="1452"/>
      <c r="DA29" s="1452"/>
      <c r="DB29" s="1452"/>
      <c r="DC29" s="1452"/>
      <c r="DD29" s="1625"/>
      <c r="DE29" s="1625"/>
      <c r="DF29" s="1625"/>
      <c r="DG29" s="1625"/>
      <c r="DH29" s="1625"/>
      <c r="DI29" s="1452"/>
      <c r="DJ29" s="1625"/>
      <c r="DK29" s="1625"/>
      <c r="DL29" s="1452"/>
      <c r="DM29" s="1452"/>
      <c r="DN29" s="1625"/>
      <c r="DO29" s="1625"/>
      <c r="DP29" s="1625"/>
      <c r="DQ29" s="1625"/>
      <c r="DR29" s="1452"/>
      <c r="DS29" s="1625"/>
      <c r="DT29" s="1625"/>
      <c r="DU29" s="1625"/>
      <c r="DV29" s="1625"/>
      <c r="DW29" s="1625"/>
      <c r="DX29" s="1625"/>
      <c r="DY29" s="1625"/>
      <c r="DZ29" s="1625"/>
      <c r="EA29" s="1625"/>
      <c r="EB29" s="1625"/>
      <c r="EC29" s="1625"/>
      <c r="ED29" s="1625"/>
      <c r="EE29" s="1625"/>
      <c r="EF29" s="1625"/>
      <c r="EG29" s="1625"/>
      <c r="EH29" s="1625"/>
      <c r="EI29" s="1625"/>
      <c r="EJ29" s="1454"/>
      <c r="EK29" s="1625"/>
      <c r="EL29" s="1625"/>
      <c r="EM29" s="1625"/>
      <c r="EN29" s="1452"/>
      <c r="EO29" s="1625"/>
      <c r="EP29" s="1625"/>
      <c r="EQ29" s="1625"/>
      <c r="ER29" s="1625"/>
      <c r="ES29" s="1625"/>
      <c r="ET29" s="1625"/>
      <c r="EU29" s="1452"/>
      <c r="EV29" s="1625"/>
      <c r="EW29" s="1625"/>
      <c r="EX29" s="1625"/>
      <c r="EY29" s="1625"/>
      <c r="EZ29" s="1625"/>
      <c r="FA29" s="1625"/>
      <c r="FB29" s="1625"/>
      <c r="FC29" s="1625"/>
      <c r="FD29" s="1625"/>
      <c r="FE29" s="1625"/>
      <c r="FF29" s="1452"/>
      <c r="FG29" s="1625"/>
      <c r="FH29" s="1625"/>
      <c r="FI29" s="1625"/>
      <c r="FJ29" s="1625"/>
      <c r="FK29" s="1625"/>
      <c r="FL29" s="1625"/>
      <c r="FM29" s="1625"/>
      <c r="FN29" s="1625"/>
      <c r="FO29" s="1625"/>
      <c r="FP29" s="1625"/>
      <c r="FQ29" s="1625"/>
      <c r="FR29" s="1625"/>
      <c r="FS29" s="1625"/>
      <c r="FT29" s="1452"/>
      <c r="FU29" s="1452"/>
      <c r="FV29" s="1452"/>
      <c r="FW29" s="1625"/>
      <c r="FX29" s="1452"/>
      <c r="FY29" s="1625"/>
      <c r="FZ29" s="1625"/>
      <c r="GA29" s="1625"/>
      <c r="GB29" s="1625"/>
      <c r="GC29" s="1625"/>
      <c r="GD29" s="1625"/>
      <c r="GE29" s="1454"/>
      <c r="GF29" s="1454"/>
      <c r="GG29" s="1452"/>
      <c r="GH29" s="1625"/>
      <c r="GI29" s="1625"/>
      <c r="GJ29" s="1452"/>
      <c r="GK29" s="1625"/>
      <c r="GL29" s="1625"/>
      <c r="GM29" s="1625"/>
      <c r="GN29" s="1625"/>
      <c r="GO29" s="1625"/>
      <c r="GP29" s="1625"/>
      <c r="GQ29" s="1625"/>
      <c r="GR29" s="1625"/>
      <c r="GS29" s="1625"/>
      <c r="GT29" s="1625"/>
      <c r="GU29" s="1625"/>
      <c r="GV29" s="1625"/>
      <c r="GW29" s="1452"/>
      <c r="GX29" s="1452"/>
      <c r="GY29" s="1625"/>
      <c r="GZ29" s="1625"/>
      <c r="HA29" s="1625"/>
      <c r="HB29" s="1452"/>
      <c r="HC29" s="1625"/>
      <c r="HD29" s="1452"/>
      <c r="HE29" s="1625"/>
      <c r="HF29" s="1452"/>
      <c r="HG29" s="1452"/>
      <c r="HH29" s="1625"/>
      <c r="HI29" s="1625"/>
      <c r="HJ29" s="1625"/>
      <c r="HK29" s="1625"/>
      <c r="HL29" s="1625"/>
      <c r="HM29" s="1625"/>
      <c r="HN29" s="1625"/>
      <c r="HO29" s="1625"/>
      <c r="HP29" s="1625"/>
      <c r="HQ29" s="1625"/>
      <c r="HR29" s="1625"/>
      <c r="HS29" s="1452"/>
      <c r="HT29" s="1625"/>
      <c r="HU29" s="1625"/>
      <c r="HV29" s="1625"/>
      <c r="HW29" s="1625"/>
      <c r="HX29" s="1625"/>
      <c r="HY29" s="1625"/>
      <c r="HZ29" s="1452"/>
      <c r="IA29" s="1625"/>
      <c r="IB29" s="1625"/>
      <c r="IC29" s="1625"/>
      <c r="ID29" s="1625"/>
      <c r="IE29" s="1625"/>
      <c r="IF29" s="1625"/>
      <c r="IG29" s="1625"/>
      <c r="IH29" s="1625"/>
      <c r="II29" s="1625"/>
      <c r="IJ29" s="1625"/>
      <c r="IK29" s="1625"/>
      <c r="IL29" s="1625"/>
      <c r="IM29" s="1625"/>
      <c r="IN29" s="1625"/>
      <c r="IO29" s="1452"/>
      <c r="IP29" s="1625"/>
      <c r="IQ29" s="1625"/>
      <c r="IR29" s="1625"/>
      <c r="IS29" s="1625"/>
      <c r="IT29" s="1625"/>
      <c r="IU29" s="1625"/>
      <c r="IV29" s="1625"/>
      <c r="IW29" s="1625"/>
      <c r="IX29" s="1452"/>
      <c r="IY29" s="1453"/>
      <c r="IZ29" s="1452"/>
      <c r="JA29" s="1452"/>
      <c r="JB29" s="1452"/>
      <c r="JC29" s="1452"/>
      <c r="JD29" s="1452"/>
      <c r="JE29" s="1452"/>
      <c r="JF29" s="1452"/>
      <c r="JG29" s="1452"/>
      <c r="JH29" s="1625"/>
      <c r="JI29" s="1625"/>
      <c r="JJ29" s="1625"/>
      <c r="JK29" s="1625"/>
      <c r="JL29" s="1625"/>
      <c r="JM29" s="1625"/>
      <c r="JN29" s="1625"/>
      <c r="JO29" s="1625"/>
      <c r="JP29" s="1625"/>
      <c r="JQ29" s="1613"/>
      <c r="JR29" s="351"/>
      <c r="JS29" s="1614"/>
      <c r="JT29" s="1615" t="s">
        <v>2242</v>
      </c>
    </row>
    <row r="30" spans="1:280" ht="12.5" x14ac:dyDescent="0.25">
      <c r="A30" s="1367">
        <v>30</v>
      </c>
      <c r="B30" s="1411" t="str">
        <f t="shared" si="1"/>
        <v/>
      </c>
      <c r="C30" s="1617" t="s">
        <v>3752</v>
      </c>
      <c r="D30" s="1612" t="s">
        <v>2953</v>
      </c>
      <c r="E30" s="1452"/>
      <c r="F30" s="1452"/>
      <c r="G30" s="1452"/>
      <c r="H30" s="1452"/>
      <c r="I30" s="1452"/>
      <c r="J30" s="1452"/>
      <c r="K30" s="1452"/>
      <c r="L30" s="1452"/>
      <c r="M30" s="1452"/>
      <c r="N30" s="1452"/>
      <c r="O30" s="1452"/>
      <c r="P30" s="1452"/>
      <c r="Q30" s="1452"/>
      <c r="R30" s="1452"/>
      <c r="S30" s="1452"/>
      <c r="T30" s="1452"/>
      <c r="U30" s="1452"/>
      <c r="V30" s="1452"/>
      <c r="W30" s="1452"/>
      <c r="X30" s="1452"/>
      <c r="Y30" s="1452"/>
      <c r="Z30" s="1452"/>
      <c r="AA30" s="1452"/>
      <c r="AB30" s="1452"/>
      <c r="AC30" s="1452"/>
      <c r="AD30" s="1452"/>
      <c r="AE30" s="1452"/>
      <c r="AF30" s="1452"/>
      <c r="AG30" s="1452"/>
      <c r="AH30" s="1452"/>
      <c r="AI30" s="1452"/>
      <c r="AJ30" s="1453"/>
      <c r="AK30" s="1452"/>
      <c r="AL30" s="1452"/>
      <c r="AM30" s="1452"/>
      <c r="AN30" s="1452"/>
      <c r="AO30" s="1452"/>
      <c r="AP30" s="1452"/>
      <c r="AQ30" s="1452"/>
      <c r="AR30" s="1452"/>
      <c r="AS30" s="1452"/>
      <c r="AT30" s="1452"/>
      <c r="AU30" s="1452"/>
      <c r="AV30" s="1452"/>
      <c r="AW30" s="1452"/>
      <c r="AX30" s="1452"/>
      <c r="AY30" s="1452"/>
      <c r="AZ30" s="1452"/>
      <c r="BA30" s="1452"/>
      <c r="BB30" s="1452"/>
      <c r="BC30" s="1452"/>
      <c r="BD30" s="1452"/>
      <c r="BE30" s="1624"/>
      <c r="BF30" s="1624"/>
      <c r="BG30" s="1452"/>
      <c r="BH30" s="1624"/>
      <c r="BI30" s="1624"/>
      <c r="BJ30" s="1624"/>
      <c r="BK30" s="1624"/>
      <c r="BL30" s="1624"/>
      <c r="BM30" s="1624"/>
      <c r="BN30" s="1624"/>
      <c r="BO30" s="1624"/>
      <c r="BP30" s="1624"/>
      <c r="BQ30" s="1624"/>
      <c r="BR30" s="1624"/>
      <c r="BS30" s="1624"/>
      <c r="BT30" s="1452"/>
      <c r="BU30" s="1624"/>
      <c r="BV30" s="1452"/>
      <c r="BW30" s="1624"/>
      <c r="BX30" s="1452"/>
      <c r="BY30" s="1624"/>
      <c r="BZ30" s="1624"/>
      <c r="CA30" s="1624"/>
      <c r="CB30" s="1452"/>
      <c r="CC30" s="1452"/>
      <c r="CD30" s="1452"/>
      <c r="CE30" s="1625"/>
      <c r="CF30" s="1625"/>
      <c r="CG30" s="1625"/>
      <c r="CH30" s="1452"/>
      <c r="CI30" s="1452"/>
      <c r="CJ30" s="1625"/>
      <c r="CK30" s="1625"/>
      <c r="CL30" s="1625"/>
      <c r="CM30" s="1625"/>
      <c r="CN30" s="1625"/>
      <c r="CO30" s="1625"/>
      <c r="CP30" s="1625"/>
      <c r="CQ30" s="1452"/>
      <c r="CR30" s="1452"/>
      <c r="CS30" s="1452"/>
      <c r="CT30" s="1452"/>
      <c r="CU30" s="1625"/>
      <c r="CV30" s="1452"/>
      <c r="CW30" s="1625"/>
      <c r="CX30" s="1625"/>
      <c r="CY30" s="1625"/>
      <c r="CZ30" s="1452"/>
      <c r="DA30" s="1452"/>
      <c r="DB30" s="1452"/>
      <c r="DC30" s="1452"/>
      <c r="DD30" s="1625"/>
      <c r="DE30" s="1625"/>
      <c r="DF30" s="1625"/>
      <c r="DG30" s="1625"/>
      <c r="DH30" s="1625"/>
      <c r="DI30" s="1452"/>
      <c r="DJ30" s="1625"/>
      <c r="DK30" s="1625"/>
      <c r="DL30" s="1452"/>
      <c r="DM30" s="1452"/>
      <c r="DN30" s="1625"/>
      <c r="DO30" s="1625"/>
      <c r="DP30" s="1625"/>
      <c r="DQ30" s="1625"/>
      <c r="DR30" s="1452"/>
      <c r="DS30" s="1625"/>
      <c r="DT30" s="1625"/>
      <c r="DU30" s="1625"/>
      <c r="DV30" s="1625"/>
      <c r="DW30" s="1625"/>
      <c r="DX30" s="1625"/>
      <c r="DY30" s="1625"/>
      <c r="DZ30" s="1625"/>
      <c r="EA30" s="1625"/>
      <c r="EB30" s="1625"/>
      <c r="EC30" s="1625"/>
      <c r="ED30" s="1625"/>
      <c r="EE30" s="1625"/>
      <c r="EF30" s="1625"/>
      <c r="EG30" s="1625"/>
      <c r="EH30" s="1625"/>
      <c r="EI30" s="1625"/>
      <c r="EJ30" s="1452"/>
      <c r="EK30" s="1625"/>
      <c r="EL30" s="1625"/>
      <c r="EM30" s="1625"/>
      <c r="EN30" s="1452"/>
      <c r="EO30" s="1625"/>
      <c r="EP30" s="1625"/>
      <c r="EQ30" s="1625"/>
      <c r="ER30" s="1625"/>
      <c r="ES30" s="1625"/>
      <c r="ET30" s="1625"/>
      <c r="EU30" s="1452"/>
      <c r="EV30" s="1625"/>
      <c r="EW30" s="1625"/>
      <c r="EX30" s="1625"/>
      <c r="EY30" s="1625"/>
      <c r="EZ30" s="1625"/>
      <c r="FA30" s="1625"/>
      <c r="FB30" s="1625"/>
      <c r="FC30" s="1625"/>
      <c r="FD30" s="1625"/>
      <c r="FE30" s="1625"/>
      <c r="FF30" s="1452"/>
      <c r="FG30" s="1625"/>
      <c r="FH30" s="1625"/>
      <c r="FI30" s="1625"/>
      <c r="FJ30" s="1625"/>
      <c r="FK30" s="1625"/>
      <c r="FL30" s="1625"/>
      <c r="FM30" s="1625"/>
      <c r="FN30" s="1625"/>
      <c r="FO30" s="1625"/>
      <c r="FP30" s="1625"/>
      <c r="FQ30" s="1625"/>
      <c r="FR30" s="1625"/>
      <c r="FS30" s="1625"/>
      <c r="FT30" s="1452"/>
      <c r="FU30" s="1452"/>
      <c r="FV30" s="1452"/>
      <c r="FW30" s="1625"/>
      <c r="FX30" s="1452"/>
      <c r="FY30" s="1625"/>
      <c r="FZ30" s="1625"/>
      <c r="GA30" s="1625"/>
      <c r="GB30" s="1625"/>
      <c r="GC30" s="1625"/>
      <c r="GD30" s="1625"/>
      <c r="GE30" s="1452"/>
      <c r="GF30" s="1452"/>
      <c r="GG30" s="1452"/>
      <c r="GH30" s="1625"/>
      <c r="GI30" s="1625"/>
      <c r="GJ30" s="1452"/>
      <c r="GK30" s="1625"/>
      <c r="GL30" s="1625"/>
      <c r="GM30" s="1625"/>
      <c r="GN30" s="1625"/>
      <c r="GO30" s="1625"/>
      <c r="GP30" s="1625"/>
      <c r="GQ30" s="1625"/>
      <c r="GR30" s="1625"/>
      <c r="GS30" s="1625"/>
      <c r="GT30" s="1625"/>
      <c r="GU30" s="1625"/>
      <c r="GV30" s="1625"/>
      <c r="GW30" s="1452"/>
      <c r="GX30" s="1452"/>
      <c r="GY30" s="1625"/>
      <c r="GZ30" s="1625"/>
      <c r="HA30" s="1625"/>
      <c r="HB30" s="1452"/>
      <c r="HC30" s="1625"/>
      <c r="HD30" s="1452"/>
      <c r="HE30" s="1625"/>
      <c r="HF30" s="1452"/>
      <c r="HG30" s="1452"/>
      <c r="HH30" s="1625"/>
      <c r="HI30" s="1625"/>
      <c r="HJ30" s="1625"/>
      <c r="HK30" s="1625"/>
      <c r="HL30" s="1625"/>
      <c r="HM30" s="1625"/>
      <c r="HN30" s="1625"/>
      <c r="HO30" s="1625"/>
      <c r="HP30" s="1625"/>
      <c r="HQ30" s="1625"/>
      <c r="HR30" s="1625"/>
      <c r="HS30" s="1452"/>
      <c r="HT30" s="1625"/>
      <c r="HU30" s="1625"/>
      <c r="HV30" s="1625"/>
      <c r="HW30" s="1625"/>
      <c r="HX30" s="1625"/>
      <c r="HY30" s="1625"/>
      <c r="HZ30" s="1452"/>
      <c r="IA30" s="1625"/>
      <c r="IB30" s="1625"/>
      <c r="IC30" s="1625"/>
      <c r="ID30" s="1625"/>
      <c r="IE30" s="1625"/>
      <c r="IF30" s="1625"/>
      <c r="IG30" s="1625"/>
      <c r="IH30" s="1625"/>
      <c r="II30" s="1625"/>
      <c r="IJ30" s="1625"/>
      <c r="IK30" s="1625"/>
      <c r="IL30" s="1625"/>
      <c r="IM30" s="1625"/>
      <c r="IN30" s="1625"/>
      <c r="IO30" s="1452"/>
      <c r="IP30" s="1625"/>
      <c r="IQ30" s="1625"/>
      <c r="IR30" s="1625"/>
      <c r="IS30" s="1625"/>
      <c r="IT30" s="1625"/>
      <c r="IU30" s="1625"/>
      <c r="IV30" s="1625"/>
      <c r="IW30" s="1625"/>
      <c r="IX30" s="1452"/>
      <c r="IY30" s="1453"/>
      <c r="IZ30" s="1452"/>
      <c r="JA30" s="1452"/>
      <c r="JB30" s="1452"/>
      <c r="JC30" s="1452"/>
      <c r="JD30" s="1452"/>
      <c r="JE30" s="1452"/>
      <c r="JF30" s="1452"/>
      <c r="JG30" s="1452"/>
      <c r="JH30" s="1625"/>
      <c r="JI30" s="1625"/>
      <c r="JJ30" s="1625"/>
      <c r="JK30" s="1625"/>
      <c r="JL30" s="1625"/>
      <c r="JM30" s="1625"/>
      <c r="JN30" s="1625"/>
      <c r="JO30" s="1625"/>
      <c r="JP30" s="1625"/>
      <c r="JQ30" s="1613"/>
      <c r="JR30" s="351"/>
      <c r="JS30" s="1614"/>
      <c r="JT30" s="1615" t="s">
        <v>2242</v>
      </c>
    </row>
    <row r="31" spans="1:280" ht="12.5" x14ac:dyDescent="0.25">
      <c r="A31" s="1367">
        <v>31</v>
      </c>
      <c r="B31" s="1411" t="str">
        <f t="shared" si="1"/>
        <v/>
      </c>
      <c r="C31" s="1617" t="s">
        <v>3753</v>
      </c>
      <c r="D31" s="1612" t="s">
        <v>2847</v>
      </c>
      <c r="E31" s="1452"/>
      <c r="F31" s="1452"/>
      <c r="G31" s="1452"/>
      <c r="H31" s="1452"/>
      <c r="I31" s="1452"/>
      <c r="J31" s="1452"/>
      <c r="K31" s="1452"/>
      <c r="L31" s="1452"/>
      <c r="M31" s="1452"/>
      <c r="N31" s="1452"/>
      <c r="O31" s="1452"/>
      <c r="P31" s="1452"/>
      <c r="Q31" s="1452"/>
      <c r="R31" s="1452"/>
      <c r="S31" s="1452"/>
      <c r="T31" s="1452"/>
      <c r="U31" s="1452"/>
      <c r="V31" s="1452"/>
      <c r="W31" s="1452"/>
      <c r="X31" s="1452"/>
      <c r="Y31" s="1452"/>
      <c r="Z31" s="1452"/>
      <c r="AA31" s="1452"/>
      <c r="AB31" s="1452"/>
      <c r="AC31" s="1452"/>
      <c r="AD31" s="1452"/>
      <c r="AE31" s="1452"/>
      <c r="AF31" s="1452"/>
      <c r="AG31" s="1452"/>
      <c r="AH31" s="1452"/>
      <c r="AI31" s="1452"/>
      <c r="AJ31" s="1453"/>
      <c r="AK31" s="1452"/>
      <c r="AL31" s="1452"/>
      <c r="AM31" s="1452"/>
      <c r="AN31" s="1452"/>
      <c r="AO31" s="1452"/>
      <c r="AP31" s="1452"/>
      <c r="AQ31" s="1452"/>
      <c r="AR31" s="1452"/>
      <c r="AS31" s="1452"/>
      <c r="AT31" s="1452"/>
      <c r="AU31" s="1452"/>
      <c r="AV31" s="1452"/>
      <c r="AW31" s="1452"/>
      <c r="AX31" s="1452"/>
      <c r="AY31" s="1452"/>
      <c r="AZ31" s="1452"/>
      <c r="BA31" s="1452"/>
      <c r="BB31" s="1452"/>
      <c r="BC31" s="1452"/>
      <c r="BD31" s="1452"/>
      <c r="BE31" s="1624"/>
      <c r="BF31" s="1624"/>
      <c r="BG31" s="1452"/>
      <c r="BH31" s="1624"/>
      <c r="BI31" s="1624"/>
      <c r="BJ31" s="1624"/>
      <c r="BK31" s="1624"/>
      <c r="BL31" s="1624"/>
      <c r="BM31" s="1624"/>
      <c r="BN31" s="1624"/>
      <c r="BO31" s="1624"/>
      <c r="BP31" s="1624"/>
      <c r="BQ31" s="1624"/>
      <c r="BR31" s="1624"/>
      <c r="BS31" s="1624"/>
      <c r="BT31" s="1452"/>
      <c r="BU31" s="1624"/>
      <c r="BV31" s="1452"/>
      <c r="BW31" s="1624"/>
      <c r="BX31" s="1452"/>
      <c r="BY31" s="1624"/>
      <c r="BZ31" s="1624"/>
      <c r="CA31" s="1624"/>
      <c r="CB31" s="1452"/>
      <c r="CC31" s="1452"/>
      <c r="CD31" s="1452"/>
      <c r="CE31" s="1625"/>
      <c r="CF31" s="1625"/>
      <c r="CG31" s="1625"/>
      <c r="CH31" s="1452"/>
      <c r="CI31" s="1452"/>
      <c r="CJ31" s="1625"/>
      <c r="CK31" s="1625"/>
      <c r="CL31" s="1625"/>
      <c r="CM31" s="1625"/>
      <c r="CN31" s="1625"/>
      <c r="CO31" s="1625"/>
      <c r="CP31" s="1625"/>
      <c r="CQ31" s="1452"/>
      <c r="CR31" s="1452"/>
      <c r="CS31" s="1452"/>
      <c r="CT31" s="1452"/>
      <c r="CU31" s="1625"/>
      <c r="CV31" s="1452"/>
      <c r="CW31" s="1625"/>
      <c r="CX31" s="1625"/>
      <c r="CY31" s="1625"/>
      <c r="CZ31" s="1452"/>
      <c r="DA31" s="1452"/>
      <c r="DB31" s="1452"/>
      <c r="DC31" s="1452"/>
      <c r="DD31" s="1625"/>
      <c r="DE31" s="1625"/>
      <c r="DF31" s="1625"/>
      <c r="DG31" s="1625"/>
      <c r="DH31" s="1625"/>
      <c r="DI31" s="1452"/>
      <c r="DJ31" s="1625"/>
      <c r="DK31" s="1625"/>
      <c r="DL31" s="1452"/>
      <c r="DM31" s="1452"/>
      <c r="DN31" s="1625"/>
      <c r="DO31" s="1625"/>
      <c r="DP31" s="1625"/>
      <c r="DQ31" s="1625"/>
      <c r="DR31" s="1452"/>
      <c r="DS31" s="1625"/>
      <c r="DT31" s="1625"/>
      <c r="DU31" s="1625"/>
      <c r="DV31" s="1625"/>
      <c r="DW31" s="1625"/>
      <c r="DX31" s="1625"/>
      <c r="DY31" s="1625"/>
      <c r="DZ31" s="1625"/>
      <c r="EA31" s="1625"/>
      <c r="EB31" s="1625"/>
      <c r="EC31" s="1625"/>
      <c r="ED31" s="1625"/>
      <c r="EE31" s="1625"/>
      <c r="EF31" s="1625"/>
      <c r="EG31" s="1625"/>
      <c r="EH31" s="1625"/>
      <c r="EI31" s="1625"/>
      <c r="EJ31" s="1452"/>
      <c r="EK31" s="1625"/>
      <c r="EL31" s="1625"/>
      <c r="EM31" s="1625"/>
      <c r="EN31" s="1452"/>
      <c r="EO31" s="1625"/>
      <c r="EP31" s="1625"/>
      <c r="EQ31" s="1625"/>
      <c r="ER31" s="1625"/>
      <c r="ES31" s="1625"/>
      <c r="ET31" s="1625"/>
      <c r="EU31" s="1452"/>
      <c r="EV31" s="1625"/>
      <c r="EW31" s="1625"/>
      <c r="EX31" s="1625"/>
      <c r="EY31" s="1625"/>
      <c r="EZ31" s="1625"/>
      <c r="FA31" s="1625"/>
      <c r="FB31" s="1625"/>
      <c r="FC31" s="1625"/>
      <c r="FD31" s="1625"/>
      <c r="FE31" s="1625"/>
      <c r="FF31" s="1452"/>
      <c r="FG31" s="1625"/>
      <c r="FH31" s="1625"/>
      <c r="FI31" s="1625"/>
      <c r="FJ31" s="1625"/>
      <c r="FK31" s="1625"/>
      <c r="FL31" s="1625"/>
      <c r="FM31" s="1625"/>
      <c r="FN31" s="1625"/>
      <c r="FO31" s="1625"/>
      <c r="FP31" s="1625"/>
      <c r="FQ31" s="1625"/>
      <c r="FR31" s="1625"/>
      <c r="FS31" s="1625"/>
      <c r="FT31" s="1452"/>
      <c r="FU31" s="1452"/>
      <c r="FV31" s="1452"/>
      <c r="FW31" s="1625"/>
      <c r="FX31" s="1452"/>
      <c r="FY31" s="1625"/>
      <c r="FZ31" s="1625"/>
      <c r="GA31" s="1625"/>
      <c r="GB31" s="1625"/>
      <c r="GC31" s="1625"/>
      <c r="GD31" s="1625"/>
      <c r="GE31" s="1452"/>
      <c r="GF31" s="1452"/>
      <c r="GG31" s="1452"/>
      <c r="GH31" s="1625"/>
      <c r="GI31" s="1625"/>
      <c r="GJ31" s="1452"/>
      <c r="GK31" s="1625"/>
      <c r="GL31" s="1625"/>
      <c r="GM31" s="1625"/>
      <c r="GN31" s="1625"/>
      <c r="GO31" s="1625"/>
      <c r="GP31" s="1625"/>
      <c r="GQ31" s="1625"/>
      <c r="GR31" s="1625"/>
      <c r="GS31" s="1625"/>
      <c r="GT31" s="1625"/>
      <c r="GU31" s="1625"/>
      <c r="GV31" s="1625"/>
      <c r="GW31" s="1452"/>
      <c r="GX31" s="1452"/>
      <c r="GY31" s="1625"/>
      <c r="GZ31" s="1625"/>
      <c r="HA31" s="1625"/>
      <c r="HB31" s="1452"/>
      <c r="HC31" s="1625"/>
      <c r="HD31" s="1452"/>
      <c r="HE31" s="1625"/>
      <c r="HF31" s="1452"/>
      <c r="HG31" s="1452"/>
      <c r="HH31" s="1625"/>
      <c r="HI31" s="1625"/>
      <c r="HJ31" s="1625"/>
      <c r="HK31" s="1625"/>
      <c r="HL31" s="1625"/>
      <c r="HM31" s="1625"/>
      <c r="HN31" s="1625"/>
      <c r="HO31" s="1625"/>
      <c r="HP31" s="1625"/>
      <c r="HQ31" s="1625"/>
      <c r="HR31" s="1625"/>
      <c r="HS31" s="1452"/>
      <c r="HT31" s="1625"/>
      <c r="HU31" s="1625"/>
      <c r="HV31" s="1625"/>
      <c r="HW31" s="1625"/>
      <c r="HX31" s="1625"/>
      <c r="HY31" s="1625"/>
      <c r="HZ31" s="1452"/>
      <c r="IA31" s="1625"/>
      <c r="IB31" s="1625"/>
      <c r="IC31" s="1625"/>
      <c r="ID31" s="1625"/>
      <c r="IE31" s="1625"/>
      <c r="IF31" s="1625"/>
      <c r="IG31" s="1625"/>
      <c r="IH31" s="1625"/>
      <c r="II31" s="1625"/>
      <c r="IJ31" s="1625"/>
      <c r="IK31" s="1625"/>
      <c r="IL31" s="1625"/>
      <c r="IM31" s="1625"/>
      <c r="IN31" s="1625"/>
      <c r="IO31" s="1452"/>
      <c r="IP31" s="1625"/>
      <c r="IQ31" s="1625"/>
      <c r="IR31" s="1625"/>
      <c r="IS31" s="1625"/>
      <c r="IT31" s="1625"/>
      <c r="IU31" s="1625"/>
      <c r="IV31" s="1625"/>
      <c r="IW31" s="1625"/>
      <c r="IX31" s="1452"/>
      <c r="IY31" s="1453"/>
      <c r="IZ31" s="1452"/>
      <c r="JA31" s="1452"/>
      <c r="JB31" s="1452"/>
      <c r="JC31" s="1452"/>
      <c r="JD31" s="1452"/>
      <c r="JE31" s="1452"/>
      <c r="JF31" s="1452"/>
      <c r="JG31" s="1452"/>
      <c r="JH31" s="1625"/>
      <c r="JI31" s="1625"/>
      <c r="JJ31" s="1625"/>
      <c r="JK31" s="1625"/>
      <c r="JL31" s="1625"/>
      <c r="JM31" s="1625"/>
      <c r="JN31" s="1625"/>
      <c r="JO31" s="1625"/>
      <c r="JP31" s="1625"/>
      <c r="JQ31" s="1613"/>
      <c r="JR31" s="351"/>
      <c r="JS31" s="1614"/>
      <c r="JT31" s="1615" t="s">
        <v>2242</v>
      </c>
    </row>
    <row r="32" spans="1:280" ht="12.5" x14ac:dyDescent="0.25">
      <c r="A32" s="1367">
        <v>32</v>
      </c>
      <c r="B32" s="1411" t="str">
        <f t="shared" si="1"/>
        <v/>
      </c>
      <c r="C32" s="1617" t="s">
        <v>3754</v>
      </c>
      <c r="D32" s="1612" t="s">
        <v>3755</v>
      </c>
      <c r="E32" s="1452"/>
      <c r="F32" s="1452"/>
      <c r="G32" s="1452"/>
      <c r="H32" s="1452"/>
      <c r="I32" s="1452"/>
      <c r="J32" s="1452"/>
      <c r="K32" s="1452"/>
      <c r="L32" s="1452"/>
      <c r="M32" s="1452"/>
      <c r="N32" s="1452"/>
      <c r="O32" s="1452"/>
      <c r="P32" s="1452"/>
      <c r="Q32" s="1452"/>
      <c r="R32" s="1452"/>
      <c r="S32" s="1452"/>
      <c r="T32" s="1452"/>
      <c r="U32" s="1452"/>
      <c r="V32" s="1452"/>
      <c r="W32" s="1452"/>
      <c r="X32" s="1452"/>
      <c r="Y32" s="1452"/>
      <c r="Z32" s="1452"/>
      <c r="AA32" s="1452"/>
      <c r="AB32" s="1452"/>
      <c r="AC32" s="1452"/>
      <c r="AD32" s="1452"/>
      <c r="AE32" s="1452"/>
      <c r="AF32" s="1452"/>
      <c r="AG32" s="1452"/>
      <c r="AH32" s="1452"/>
      <c r="AI32" s="1452"/>
      <c r="AJ32" s="1453"/>
      <c r="AK32" s="1452"/>
      <c r="AL32" s="1452"/>
      <c r="AM32" s="1452"/>
      <c r="AN32" s="1452"/>
      <c r="AO32" s="1452"/>
      <c r="AP32" s="1452"/>
      <c r="AQ32" s="1452"/>
      <c r="AR32" s="1452"/>
      <c r="AS32" s="1452"/>
      <c r="AT32" s="1452"/>
      <c r="AU32" s="1452"/>
      <c r="AV32" s="1452"/>
      <c r="AW32" s="1452"/>
      <c r="AX32" s="1452"/>
      <c r="AY32" s="1452"/>
      <c r="AZ32" s="1452"/>
      <c r="BA32" s="1452"/>
      <c r="BB32" s="1452"/>
      <c r="BC32" s="1452"/>
      <c r="BD32" s="1452"/>
      <c r="BE32" s="1624"/>
      <c r="BF32" s="1624"/>
      <c r="BG32" s="1452"/>
      <c r="BH32" s="1624"/>
      <c r="BI32" s="1624"/>
      <c r="BJ32" s="1624"/>
      <c r="BK32" s="1624"/>
      <c r="BL32" s="1624"/>
      <c r="BM32" s="1624"/>
      <c r="BN32" s="1624"/>
      <c r="BO32" s="1624"/>
      <c r="BP32" s="1624"/>
      <c r="BQ32" s="1624"/>
      <c r="BR32" s="1624"/>
      <c r="BS32" s="1624"/>
      <c r="BT32" s="1452"/>
      <c r="BU32" s="1624"/>
      <c r="BV32" s="1452"/>
      <c r="BW32" s="1624"/>
      <c r="BX32" s="1452"/>
      <c r="BY32" s="1624"/>
      <c r="BZ32" s="1624"/>
      <c r="CA32" s="1624"/>
      <c r="CB32" s="1452"/>
      <c r="CC32" s="1452"/>
      <c r="CD32" s="1452"/>
      <c r="CE32" s="1625"/>
      <c r="CF32" s="1625"/>
      <c r="CG32" s="1625"/>
      <c r="CH32" s="1452"/>
      <c r="CI32" s="1452"/>
      <c r="CJ32" s="1625"/>
      <c r="CK32" s="1625"/>
      <c r="CL32" s="1625"/>
      <c r="CM32" s="1625"/>
      <c r="CN32" s="1625"/>
      <c r="CO32" s="1625"/>
      <c r="CP32" s="1625"/>
      <c r="CQ32" s="1452"/>
      <c r="CR32" s="1452"/>
      <c r="CS32" s="1452"/>
      <c r="CT32" s="1452"/>
      <c r="CU32" s="1625"/>
      <c r="CV32" s="1452"/>
      <c r="CW32" s="1625"/>
      <c r="CX32" s="1625"/>
      <c r="CY32" s="1625"/>
      <c r="CZ32" s="1452"/>
      <c r="DA32" s="1452"/>
      <c r="DB32" s="1452"/>
      <c r="DC32" s="1452"/>
      <c r="DD32" s="1625"/>
      <c r="DE32" s="1625"/>
      <c r="DF32" s="1625"/>
      <c r="DG32" s="1625"/>
      <c r="DH32" s="1625"/>
      <c r="DI32" s="1452"/>
      <c r="DJ32" s="1625"/>
      <c r="DK32" s="1625"/>
      <c r="DL32" s="1452"/>
      <c r="DM32" s="1452"/>
      <c r="DN32" s="1625"/>
      <c r="DO32" s="1625"/>
      <c r="DP32" s="1625"/>
      <c r="DQ32" s="1625"/>
      <c r="DR32" s="1452"/>
      <c r="DS32" s="1625"/>
      <c r="DT32" s="1625"/>
      <c r="DU32" s="1625"/>
      <c r="DV32" s="1625"/>
      <c r="DW32" s="1625"/>
      <c r="DX32" s="1625"/>
      <c r="DY32" s="1625"/>
      <c r="DZ32" s="1625"/>
      <c r="EA32" s="1625"/>
      <c r="EB32" s="1625"/>
      <c r="EC32" s="1625"/>
      <c r="ED32" s="1625"/>
      <c r="EE32" s="1625"/>
      <c r="EF32" s="1625"/>
      <c r="EG32" s="1625"/>
      <c r="EH32" s="1625"/>
      <c r="EI32" s="1625"/>
      <c r="EJ32" s="1454"/>
      <c r="EK32" s="1625"/>
      <c r="EL32" s="1625"/>
      <c r="EM32" s="1625"/>
      <c r="EN32" s="1452"/>
      <c r="EO32" s="1625"/>
      <c r="EP32" s="1625"/>
      <c r="EQ32" s="1625"/>
      <c r="ER32" s="1625"/>
      <c r="ES32" s="1625"/>
      <c r="ET32" s="1625"/>
      <c r="EU32" s="1452"/>
      <c r="EV32" s="1625"/>
      <c r="EW32" s="1625"/>
      <c r="EX32" s="1625"/>
      <c r="EY32" s="1625"/>
      <c r="EZ32" s="1625"/>
      <c r="FA32" s="1625"/>
      <c r="FB32" s="1625"/>
      <c r="FC32" s="1625"/>
      <c r="FD32" s="1625"/>
      <c r="FE32" s="1625"/>
      <c r="FF32" s="1452"/>
      <c r="FG32" s="1625"/>
      <c r="FH32" s="1625"/>
      <c r="FI32" s="1625"/>
      <c r="FJ32" s="1625"/>
      <c r="FK32" s="1625"/>
      <c r="FL32" s="1625"/>
      <c r="FM32" s="1625"/>
      <c r="FN32" s="1625"/>
      <c r="FO32" s="1625"/>
      <c r="FP32" s="1625"/>
      <c r="FQ32" s="1625"/>
      <c r="FR32" s="1625"/>
      <c r="FS32" s="1625"/>
      <c r="FT32" s="1452"/>
      <c r="FU32" s="1452"/>
      <c r="FV32" s="1452"/>
      <c r="FW32" s="1625"/>
      <c r="FX32" s="1452"/>
      <c r="FY32" s="1625"/>
      <c r="FZ32" s="1625"/>
      <c r="GA32" s="1625"/>
      <c r="GB32" s="1625"/>
      <c r="GC32" s="1625"/>
      <c r="GD32" s="1625"/>
      <c r="GE32" s="1454"/>
      <c r="GF32" s="1454"/>
      <c r="GG32" s="1452"/>
      <c r="GH32" s="1625"/>
      <c r="GI32" s="1625"/>
      <c r="GJ32" s="1452"/>
      <c r="GK32" s="1625"/>
      <c r="GL32" s="1625"/>
      <c r="GM32" s="1625"/>
      <c r="GN32" s="1625"/>
      <c r="GO32" s="1625"/>
      <c r="GP32" s="1625"/>
      <c r="GQ32" s="1625"/>
      <c r="GR32" s="1625"/>
      <c r="GS32" s="1625"/>
      <c r="GT32" s="1625"/>
      <c r="GU32" s="1625"/>
      <c r="GV32" s="1625"/>
      <c r="GW32" s="1452"/>
      <c r="GX32" s="1452"/>
      <c r="GY32" s="1625"/>
      <c r="GZ32" s="1625"/>
      <c r="HA32" s="1625"/>
      <c r="HB32" s="1452"/>
      <c r="HC32" s="1625"/>
      <c r="HD32" s="1452"/>
      <c r="HE32" s="1625"/>
      <c r="HF32" s="1452"/>
      <c r="HG32" s="1452"/>
      <c r="HH32" s="1625"/>
      <c r="HI32" s="1625"/>
      <c r="HJ32" s="1625"/>
      <c r="HK32" s="1625"/>
      <c r="HL32" s="1625"/>
      <c r="HM32" s="1625"/>
      <c r="HN32" s="1625"/>
      <c r="HO32" s="1625"/>
      <c r="HP32" s="1625"/>
      <c r="HQ32" s="1625"/>
      <c r="HR32" s="1625"/>
      <c r="HS32" s="1452"/>
      <c r="HT32" s="1625"/>
      <c r="HU32" s="1625"/>
      <c r="HV32" s="1625"/>
      <c r="HW32" s="1625"/>
      <c r="HX32" s="1625"/>
      <c r="HY32" s="1625"/>
      <c r="HZ32" s="1452"/>
      <c r="IA32" s="1625"/>
      <c r="IB32" s="1625"/>
      <c r="IC32" s="1625"/>
      <c r="ID32" s="1625"/>
      <c r="IE32" s="1625"/>
      <c r="IF32" s="1625"/>
      <c r="IG32" s="1625"/>
      <c r="IH32" s="1625"/>
      <c r="II32" s="1625"/>
      <c r="IJ32" s="1625"/>
      <c r="IK32" s="1625"/>
      <c r="IL32" s="1625"/>
      <c r="IM32" s="1625"/>
      <c r="IN32" s="1625"/>
      <c r="IO32" s="1452"/>
      <c r="IP32" s="1625"/>
      <c r="IQ32" s="1625"/>
      <c r="IR32" s="1625"/>
      <c r="IS32" s="1625"/>
      <c r="IT32" s="1625"/>
      <c r="IU32" s="1625"/>
      <c r="IV32" s="1625"/>
      <c r="IW32" s="1625"/>
      <c r="IX32" s="1452"/>
      <c r="IY32" s="1453"/>
      <c r="IZ32" s="1452"/>
      <c r="JA32" s="1452"/>
      <c r="JB32" s="1452"/>
      <c r="JC32" s="1452"/>
      <c r="JD32" s="1452"/>
      <c r="JE32" s="1452"/>
      <c r="JF32" s="1452"/>
      <c r="JG32" s="1452"/>
      <c r="JH32" s="1625"/>
      <c r="JI32" s="1625"/>
      <c r="JJ32" s="1625"/>
      <c r="JK32" s="1625"/>
      <c r="JL32" s="1625"/>
      <c r="JM32" s="1625"/>
      <c r="JN32" s="1625"/>
      <c r="JO32" s="1625"/>
      <c r="JP32" s="1625"/>
      <c r="JQ32" s="1613"/>
      <c r="JR32" s="351"/>
      <c r="JS32" s="1614" t="s">
        <v>3756</v>
      </c>
      <c r="JT32" s="1615" t="s">
        <v>2242</v>
      </c>
    </row>
    <row r="33" spans="1:280" ht="12.5" x14ac:dyDescent="0.25">
      <c r="A33" s="1367">
        <v>33</v>
      </c>
      <c r="B33" s="1411" t="str">
        <f t="shared" si="1"/>
        <v/>
      </c>
      <c r="C33" s="1617" t="s">
        <v>3757</v>
      </c>
      <c r="D33" s="1612" t="s">
        <v>3758</v>
      </c>
      <c r="E33" s="1452"/>
      <c r="F33" s="1452"/>
      <c r="G33" s="1452"/>
      <c r="H33" s="1452"/>
      <c r="I33" s="1452"/>
      <c r="J33" s="1452"/>
      <c r="K33" s="1452"/>
      <c r="L33" s="1452"/>
      <c r="M33" s="1452"/>
      <c r="N33" s="1452"/>
      <c r="O33" s="1452"/>
      <c r="P33" s="1452"/>
      <c r="Q33" s="1452"/>
      <c r="R33" s="1452"/>
      <c r="S33" s="1452"/>
      <c r="T33" s="1452"/>
      <c r="U33" s="1452"/>
      <c r="V33" s="1452"/>
      <c r="W33" s="1452"/>
      <c r="X33" s="1452"/>
      <c r="Y33" s="1452"/>
      <c r="Z33" s="1452"/>
      <c r="AA33" s="1452"/>
      <c r="AB33" s="1452"/>
      <c r="AC33" s="1452"/>
      <c r="AD33" s="1452"/>
      <c r="AE33" s="1452"/>
      <c r="AF33" s="1452"/>
      <c r="AG33" s="1452"/>
      <c r="AH33" s="1452"/>
      <c r="AI33" s="1452"/>
      <c r="AJ33" s="1453"/>
      <c r="AK33" s="1452"/>
      <c r="AL33" s="1452"/>
      <c r="AM33" s="1452"/>
      <c r="AN33" s="1452"/>
      <c r="AO33" s="1452"/>
      <c r="AP33" s="1452"/>
      <c r="AQ33" s="1452"/>
      <c r="AR33" s="1452"/>
      <c r="AS33" s="1452"/>
      <c r="AT33" s="1452"/>
      <c r="AU33" s="1452"/>
      <c r="AV33" s="1452"/>
      <c r="AW33" s="1452"/>
      <c r="AX33" s="1452"/>
      <c r="AY33" s="1452"/>
      <c r="AZ33" s="1452"/>
      <c r="BA33" s="1452"/>
      <c r="BB33" s="1452"/>
      <c r="BC33" s="1452"/>
      <c r="BD33" s="1452"/>
      <c r="BE33" s="1624"/>
      <c r="BF33" s="1624"/>
      <c r="BG33" s="1452"/>
      <c r="BH33" s="1624"/>
      <c r="BI33" s="1624"/>
      <c r="BJ33" s="1624"/>
      <c r="BK33" s="1624"/>
      <c r="BL33" s="1624"/>
      <c r="BM33" s="1624"/>
      <c r="BN33" s="1624"/>
      <c r="BO33" s="1624"/>
      <c r="BP33" s="1624"/>
      <c r="BQ33" s="1624"/>
      <c r="BR33" s="1624"/>
      <c r="BS33" s="1624"/>
      <c r="BT33" s="1452"/>
      <c r="BU33" s="1624"/>
      <c r="BV33" s="1452"/>
      <c r="BW33" s="1624"/>
      <c r="BX33" s="1452"/>
      <c r="BY33" s="1624"/>
      <c r="BZ33" s="1624"/>
      <c r="CA33" s="1624"/>
      <c r="CB33" s="1452"/>
      <c r="CC33" s="1452"/>
      <c r="CD33" s="1452"/>
      <c r="CE33" s="1625"/>
      <c r="CF33" s="1625"/>
      <c r="CG33" s="1625"/>
      <c r="CH33" s="1452"/>
      <c r="CI33" s="1452"/>
      <c r="CJ33" s="1625"/>
      <c r="CK33" s="1625"/>
      <c r="CL33" s="1625"/>
      <c r="CM33" s="1625"/>
      <c r="CN33" s="1625"/>
      <c r="CO33" s="1625"/>
      <c r="CP33" s="1625"/>
      <c r="CQ33" s="1452"/>
      <c r="CR33" s="1452"/>
      <c r="CS33" s="1452"/>
      <c r="CT33" s="1452"/>
      <c r="CU33" s="1625"/>
      <c r="CV33" s="1452"/>
      <c r="CW33" s="1625"/>
      <c r="CX33" s="1625"/>
      <c r="CY33" s="1625"/>
      <c r="CZ33" s="1452"/>
      <c r="DA33" s="1452"/>
      <c r="DB33" s="1452"/>
      <c r="DC33" s="1452"/>
      <c r="DD33" s="1625"/>
      <c r="DE33" s="1625"/>
      <c r="DF33" s="1625"/>
      <c r="DG33" s="1625"/>
      <c r="DH33" s="1625"/>
      <c r="DI33" s="1452"/>
      <c r="DJ33" s="1625"/>
      <c r="DK33" s="1625"/>
      <c r="DL33" s="1452"/>
      <c r="DM33" s="1452"/>
      <c r="DN33" s="1625"/>
      <c r="DO33" s="1625"/>
      <c r="DP33" s="1625"/>
      <c r="DQ33" s="1625"/>
      <c r="DR33" s="1452"/>
      <c r="DS33" s="1625"/>
      <c r="DT33" s="1625"/>
      <c r="DU33" s="1625"/>
      <c r="DV33" s="1625"/>
      <c r="DW33" s="1625"/>
      <c r="DX33" s="1625"/>
      <c r="DY33" s="1625"/>
      <c r="DZ33" s="1625"/>
      <c r="EA33" s="1625"/>
      <c r="EB33" s="1625"/>
      <c r="EC33" s="1625"/>
      <c r="ED33" s="1625"/>
      <c r="EE33" s="1625"/>
      <c r="EF33" s="1625"/>
      <c r="EG33" s="1625"/>
      <c r="EH33" s="1625"/>
      <c r="EI33" s="1625"/>
      <c r="EJ33" s="1452"/>
      <c r="EK33" s="1625"/>
      <c r="EL33" s="1625"/>
      <c r="EM33" s="1625"/>
      <c r="EN33" s="1452"/>
      <c r="EO33" s="1625"/>
      <c r="EP33" s="1625"/>
      <c r="EQ33" s="1625"/>
      <c r="ER33" s="1625"/>
      <c r="ES33" s="1625"/>
      <c r="ET33" s="1625"/>
      <c r="EU33" s="1452"/>
      <c r="EV33" s="1625"/>
      <c r="EW33" s="1625"/>
      <c r="EX33" s="1625"/>
      <c r="EY33" s="1625"/>
      <c r="EZ33" s="1625"/>
      <c r="FA33" s="1625"/>
      <c r="FB33" s="1625"/>
      <c r="FC33" s="1625"/>
      <c r="FD33" s="1625"/>
      <c r="FE33" s="1625"/>
      <c r="FF33" s="1452"/>
      <c r="FG33" s="1625"/>
      <c r="FH33" s="1625"/>
      <c r="FI33" s="1625"/>
      <c r="FJ33" s="1625"/>
      <c r="FK33" s="1625"/>
      <c r="FL33" s="1625"/>
      <c r="FM33" s="1625"/>
      <c r="FN33" s="1625"/>
      <c r="FO33" s="1625"/>
      <c r="FP33" s="1625"/>
      <c r="FQ33" s="1625"/>
      <c r="FR33" s="1625"/>
      <c r="FS33" s="1625"/>
      <c r="FT33" s="1452"/>
      <c r="FU33" s="1452"/>
      <c r="FV33" s="1452"/>
      <c r="FW33" s="1625"/>
      <c r="FX33" s="1452"/>
      <c r="FY33" s="1625"/>
      <c r="FZ33" s="1625"/>
      <c r="GA33" s="1625"/>
      <c r="GB33" s="1625"/>
      <c r="GC33" s="1625"/>
      <c r="GD33" s="1625"/>
      <c r="GE33" s="1452"/>
      <c r="GF33" s="1452"/>
      <c r="GG33" s="1452"/>
      <c r="GH33" s="1625"/>
      <c r="GI33" s="1625"/>
      <c r="GJ33" s="1452"/>
      <c r="GK33" s="1625"/>
      <c r="GL33" s="1625"/>
      <c r="GM33" s="1625"/>
      <c r="GN33" s="1625"/>
      <c r="GO33" s="1625"/>
      <c r="GP33" s="1625"/>
      <c r="GQ33" s="1625"/>
      <c r="GR33" s="1625"/>
      <c r="GS33" s="1625"/>
      <c r="GT33" s="1625"/>
      <c r="GU33" s="1625"/>
      <c r="GV33" s="1625"/>
      <c r="GW33" s="1452"/>
      <c r="GX33" s="1452"/>
      <c r="GY33" s="1625"/>
      <c r="GZ33" s="1625"/>
      <c r="HA33" s="1625"/>
      <c r="HB33" s="1452"/>
      <c r="HC33" s="1625"/>
      <c r="HD33" s="1452"/>
      <c r="HE33" s="1625"/>
      <c r="HF33" s="1452"/>
      <c r="HG33" s="1452"/>
      <c r="HH33" s="1625"/>
      <c r="HI33" s="1625"/>
      <c r="HJ33" s="1625"/>
      <c r="HK33" s="1625"/>
      <c r="HL33" s="1625"/>
      <c r="HM33" s="1625"/>
      <c r="HN33" s="1625"/>
      <c r="HO33" s="1625"/>
      <c r="HP33" s="1625"/>
      <c r="HQ33" s="1625"/>
      <c r="HR33" s="1625"/>
      <c r="HS33" s="1452"/>
      <c r="HT33" s="1625"/>
      <c r="HU33" s="1625"/>
      <c r="HV33" s="1625"/>
      <c r="HW33" s="1625"/>
      <c r="HX33" s="1625"/>
      <c r="HY33" s="1625"/>
      <c r="HZ33" s="1452"/>
      <c r="IA33" s="1625"/>
      <c r="IB33" s="1625"/>
      <c r="IC33" s="1625"/>
      <c r="ID33" s="1625"/>
      <c r="IE33" s="1625"/>
      <c r="IF33" s="1625"/>
      <c r="IG33" s="1625"/>
      <c r="IH33" s="1625"/>
      <c r="II33" s="1625"/>
      <c r="IJ33" s="1625"/>
      <c r="IK33" s="1625"/>
      <c r="IL33" s="1625"/>
      <c r="IM33" s="1625"/>
      <c r="IN33" s="1625"/>
      <c r="IO33" s="1452"/>
      <c r="IP33" s="1625"/>
      <c r="IQ33" s="1625"/>
      <c r="IR33" s="1625"/>
      <c r="IS33" s="1625"/>
      <c r="IT33" s="1625"/>
      <c r="IU33" s="1625"/>
      <c r="IV33" s="1625"/>
      <c r="IW33" s="1625"/>
      <c r="IX33" s="1452"/>
      <c r="IY33" s="1453"/>
      <c r="IZ33" s="1452"/>
      <c r="JA33" s="1452"/>
      <c r="JB33" s="1452"/>
      <c r="JC33" s="1452"/>
      <c r="JD33" s="1452"/>
      <c r="JE33" s="1452"/>
      <c r="JF33" s="1452"/>
      <c r="JG33" s="1452"/>
      <c r="JH33" s="1625"/>
      <c r="JI33" s="1625"/>
      <c r="JJ33" s="1625"/>
      <c r="JK33" s="1625"/>
      <c r="JL33" s="1625"/>
      <c r="JM33" s="1625"/>
      <c r="JN33" s="1625"/>
      <c r="JO33" s="1625"/>
      <c r="JP33" s="1625"/>
      <c r="JQ33" s="1613"/>
      <c r="JR33" s="351"/>
      <c r="JS33" s="1614" t="s">
        <v>3759</v>
      </c>
      <c r="JT33" s="1615" t="s">
        <v>2242</v>
      </c>
    </row>
    <row r="34" spans="1:280" ht="12.5" x14ac:dyDescent="0.25">
      <c r="A34" s="1367">
        <v>34</v>
      </c>
      <c r="B34" s="1411" t="str">
        <f t="shared" si="1"/>
        <v/>
      </c>
      <c r="C34" s="1617" t="s">
        <v>3760</v>
      </c>
      <c r="D34" s="1612" t="s">
        <v>3207</v>
      </c>
      <c r="E34" s="1452"/>
      <c r="F34" s="1452"/>
      <c r="G34" s="1452"/>
      <c r="H34" s="1452"/>
      <c r="I34" s="1452"/>
      <c r="J34" s="1452"/>
      <c r="K34" s="1452"/>
      <c r="L34" s="1452"/>
      <c r="M34" s="1452"/>
      <c r="N34" s="1452"/>
      <c r="O34" s="1452"/>
      <c r="P34" s="1452"/>
      <c r="Q34" s="1452"/>
      <c r="R34" s="1452"/>
      <c r="S34" s="1452"/>
      <c r="T34" s="1452"/>
      <c r="U34" s="1452"/>
      <c r="V34" s="1452"/>
      <c r="W34" s="1452"/>
      <c r="X34" s="1452"/>
      <c r="Y34" s="1452"/>
      <c r="Z34" s="1452"/>
      <c r="AA34" s="1452"/>
      <c r="AB34" s="1452"/>
      <c r="AC34" s="1452"/>
      <c r="AD34" s="1452"/>
      <c r="AE34" s="1452"/>
      <c r="AF34" s="1452"/>
      <c r="AG34" s="1452"/>
      <c r="AH34" s="1452"/>
      <c r="AI34" s="1452"/>
      <c r="AJ34" s="1453"/>
      <c r="AK34" s="1452"/>
      <c r="AL34" s="1452"/>
      <c r="AM34" s="1452"/>
      <c r="AN34" s="1452"/>
      <c r="AO34" s="1452"/>
      <c r="AP34" s="1452"/>
      <c r="AQ34" s="1452"/>
      <c r="AR34" s="1452"/>
      <c r="AS34" s="1452"/>
      <c r="AT34" s="1452"/>
      <c r="AU34" s="1452"/>
      <c r="AV34" s="1452"/>
      <c r="AW34" s="1452"/>
      <c r="AX34" s="1452"/>
      <c r="AY34" s="1452"/>
      <c r="AZ34" s="1452"/>
      <c r="BA34" s="1452"/>
      <c r="BB34" s="1452"/>
      <c r="BC34" s="1452"/>
      <c r="BD34" s="1452"/>
      <c r="BE34" s="1624"/>
      <c r="BF34" s="1624"/>
      <c r="BG34" s="1452"/>
      <c r="BH34" s="1624"/>
      <c r="BI34" s="1624"/>
      <c r="BJ34" s="1624"/>
      <c r="BK34" s="1624"/>
      <c r="BL34" s="1624"/>
      <c r="BM34" s="1624"/>
      <c r="BN34" s="1624"/>
      <c r="BO34" s="1624"/>
      <c r="BP34" s="1624"/>
      <c r="BQ34" s="1624"/>
      <c r="BR34" s="1624"/>
      <c r="BS34" s="1624"/>
      <c r="BT34" s="1452"/>
      <c r="BU34" s="1624"/>
      <c r="BV34" s="1452"/>
      <c r="BW34" s="1624"/>
      <c r="BX34" s="1452"/>
      <c r="BY34" s="1624"/>
      <c r="BZ34" s="1624"/>
      <c r="CA34" s="1624"/>
      <c r="CB34" s="1452"/>
      <c r="CC34" s="1452"/>
      <c r="CD34" s="1452"/>
      <c r="CE34" s="1625"/>
      <c r="CF34" s="1625"/>
      <c r="CG34" s="1625"/>
      <c r="CH34" s="1452"/>
      <c r="CI34" s="1452"/>
      <c r="CJ34" s="1625"/>
      <c r="CK34" s="1625"/>
      <c r="CL34" s="1625"/>
      <c r="CM34" s="1625"/>
      <c r="CN34" s="1625"/>
      <c r="CO34" s="1625"/>
      <c r="CP34" s="1625"/>
      <c r="CQ34" s="1452"/>
      <c r="CR34" s="1452"/>
      <c r="CS34" s="1452"/>
      <c r="CT34" s="1452"/>
      <c r="CU34" s="1625"/>
      <c r="CV34" s="1452"/>
      <c r="CW34" s="1625"/>
      <c r="CX34" s="1625"/>
      <c r="CY34" s="1625"/>
      <c r="CZ34" s="1452"/>
      <c r="DA34" s="1452"/>
      <c r="DB34" s="1452"/>
      <c r="DC34" s="1452"/>
      <c r="DD34" s="1625"/>
      <c r="DE34" s="1625"/>
      <c r="DF34" s="1625"/>
      <c r="DG34" s="1625"/>
      <c r="DH34" s="1625"/>
      <c r="DI34" s="1452"/>
      <c r="DJ34" s="1625"/>
      <c r="DK34" s="1625"/>
      <c r="DL34" s="1452"/>
      <c r="DM34" s="1452"/>
      <c r="DN34" s="1625"/>
      <c r="DO34" s="1625"/>
      <c r="DP34" s="1625"/>
      <c r="DQ34" s="1625"/>
      <c r="DR34" s="1452"/>
      <c r="DS34" s="1625"/>
      <c r="DT34" s="1625"/>
      <c r="DU34" s="1625"/>
      <c r="DV34" s="1625"/>
      <c r="DW34" s="1625"/>
      <c r="DX34" s="1625"/>
      <c r="DY34" s="1625"/>
      <c r="DZ34" s="1625"/>
      <c r="EA34" s="1625"/>
      <c r="EB34" s="1625"/>
      <c r="EC34" s="1625"/>
      <c r="ED34" s="1625"/>
      <c r="EE34" s="1625"/>
      <c r="EF34" s="1625"/>
      <c r="EG34" s="1625"/>
      <c r="EH34" s="1625"/>
      <c r="EI34" s="1625"/>
      <c r="EJ34" s="1452"/>
      <c r="EK34" s="1625"/>
      <c r="EL34" s="1625"/>
      <c r="EM34" s="1625"/>
      <c r="EN34" s="1452"/>
      <c r="EO34" s="1625"/>
      <c r="EP34" s="1625"/>
      <c r="EQ34" s="1625"/>
      <c r="ER34" s="1625"/>
      <c r="ES34" s="1625"/>
      <c r="ET34" s="1625"/>
      <c r="EU34" s="1452"/>
      <c r="EV34" s="1625"/>
      <c r="EW34" s="1625"/>
      <c r="EX34" s="1625"/>
      <c r="EY34" s="1625"/>
      <c r="EZ34" s="1625"/>
      <c r="FA34" s="1625"/>
      <c r="FB34" s="1625"/>
      <c r="FC34" s="1625"/>
      <c r="FD34" s="1625"/>
      <c r="FE34" s="1625"/>
      <c r="FF34" s="1452"/>
      <c r="FG34" s="1625"/>
      <c r="FH34" s="1625"/>
      <c r="FI34" s="1625"/>
      <c r="FJ34" s="1625"/>
      <c r="FK34" s="1625"/>
      <c r="FL34" s="1625"/>
      <c r="FM34" s="1625"/>
      <c r="FN34" s="1625"/>
      <c r="FO34" s="1625"/>
      <c r="FP34" s="1625"/>
      <c r="FQ34" s="1625"/>
      <c r="FR34" s="1625"/>
      <c r="FS34" s="1625"/>
      <c r="FT34" s="1452"/>
      <c r="FU34" s="1452"/>
      <c r="FV34" s="1452"/>
      <c r="FW34" s="1625"/>
      <c r="FX34" s="1452"/>
      <c r="FY34" s="1625"/>
      <c r="FZ34" s="1625"/>
      <c r="GA34" s="1625"/>
      <c r="GB34" s="1625"/>
      <c r="GC34" s="1625"/>
      <c r="GD34" s="1625"/>
      <c r="GE34" s="1452"/>
      <c r="GF34" s="1452"/>
      <c r="GG34" s="1452"/>
      <c r="GH34" s="1625"/>
      <c r="GI34" s="1625"/>
      <c r="GJ34" s="1452"/>
      <c r="GK34" s="1625"/>
      <c r="GL34" s="1625"/>
      <c r="GM34" s="1625"/>
      <c r="GN34" s="1625"/>
      <c r="GO34" s="1625"/>
      <c r="GP34" s="1625"/>
      <c r="GQ34" s="1625"/>
      <c r="GR34" s="1625"/>
      <c r="GS34" s="1625"/>
      <c r="GT34" s="1625"/>
      <c r="GU34" s="1625"/>
      <c r="GV34" s="1625"/>
      <c r="GW34" s="1452"/>
      <c r="GX34" s="1452"/>
      <c r="GY34" s="1625"/>
      <c r="GZ34" s="1625"/>
      <c r="HA34" s="1625"/>
      <c r="HB34" s="1452"/>
      <c r="HC34" s="1625"/>
      <c r="HD34" s="1452"/>
      <c r="HE34" s="1625"/>
      <c r="HF34" s="1452"/>
      <c r="HG34" s="1452"/>
      <c r="HH34" s="1625"/>
      <c r="HI34" s="1625"/>
      <c r="HJ34" s="1625"/>
      <c r="HK34" s="1625"/>
      <c r="HL34" s="1625"/>
      <c r="HM34" s="1625"/>
      <c r="HN34" s="1625"/>
      <c r="HO34" s="1625"/>
      <c r="HP34" s="1625"/>
      <c r="HQ34" s="1625"/>
      <c r="HR34" s="1625"/>
      <c r="HS34" s="1452"/>
      <c r="HT34" s="1625"/>
      <c r="HU34" s="1625"/>
      <c r="HV34" s="1625"/>
      <c r="HW34" s="1625"/>
      <c r="HX34" s="1625"/>
      <c r="HY34" s="1625"/>
      <c r="HZ34" s="1452"/>
      <c r="IA34" s="1625"/>
      <c r="IB34" s="1625"/>
      <c r="IC34" s="1625"/>
      <c r="ID34" s="1625"/>
      <c r="IE34" s="1625"/>
      <c r="IF34" s="1625"/>
      <c r="IG34" s="1625"/>
      <c r="IH34" s="1625"/>
      <c r="II34" s="1625"/>
      <c r="IJ34" s="1625"/>
      <c r="IK34" s="1625"/>
      <c r="IL34" s="1625"/>
      <c r="IM34" s="1625"/>
      <c r="IN34" s="1625"/>
      <c r="IO34" s="1452"/>
      <c r="IP34" s="1625"/>
      <c r="IQ34" s="1625"/>
      <c r="IR34" s="1625"/>
      <c r="IS34" s="1625"/>
      <c r="IT34" s="1625"/>
      <c r="IU34" s="1625"/>
      <c r="IV34" s="1625"/>
      <c r="IW34" s="1625"/>
      <c r="IX34" s="1452"/>
      <c r="IY34" s="1453"/>
      <c r="IZ34" s="1452"/>
      <c r="JA34" s="1452"/>
      <c r="JB34" s="1452"/>
      <c r="JC34" s="1452"/>
      <c r="JD34" s="1452"/>
      <c r="JE34" s="1452"/>
      <c r="JF34" s="1452"/>
      <c r="JG34" s="1452"/>
      <c r="JH34" s="1625"/>
      <c r="JI34" s="1625"/>
      <c r="JJ34" s="1625"/>
      <c r="JK34" s="1625"/>
      <c r="JL34" s="1625"/>
      <c r="JM34" s="1625"/>
      <c r="JN34" s="1625"/>
      <c r="JO34" s="1625"/>
      <c r="JP34" s="1625"/>
      <c r="JQ34" s="1613"/>
      <c r="JR34" s="351"/>
      <c r="JS34" s="1614"/>
      <c r="JT34" s="1615"/>
    </row>
    <row r="35" spans="1:280" ht="12.5" x14ac:dyDescent="0.25">
      <c r="A35" s="1367">
        <v>35</v>
      </c>
      <c r="B35" s="1411" t="str">
        <f t="shared" si="1"/>
        <v/>
      </c>
      <c r="C35" s="1617" t="s">
        <v>3761</v>
      </c>
      <c r="D35" s="1612" t="s">
        <v>2975</v>
      </c>
      <c r="E35" s="1452"/>
      <c r="F35" s="1452"/>
      <c r="G35" s="1452"/>
      <c r="H35" s="1452"/>
      <c r="I35" s="1452"/>
      <c r="J35" s="1452"/>
      <c r="K35" s="1452"/>
      <c r="L35" s="1452"/>
      <c r="M35" s="1452"/>
      <c r="N35" s="1452"/>
      <c r="O35" s="1452"/>
      <c r="P35" s="1452"/>
      <c r="Q35" s="1452"/>
      <c r="R35" s="1452"/>
      <c r="S35" s="1452"/>
      <c r="T35" s="1452"/>
      <c r="U35" s="1452"/>
      <c r="V35" s="1452"/>
      <c r="W35" s="1452"/>
      <c r="X35" s="1452"/>
      <c r="Y35" s="1452"/>
      <c r="Z35" s="1452"/>
      <c r="AA35" s="1452"/>
      <c r="AB35" s="1452"/>
      <c r="AC35" s="1452"/>
      <c r="AD35" s="1452"/>
      <c r="AE35" s="1452"/>
      <c r="AF35" s="1452"/>
      <c r="AG35" s="1452"/>
      <c r="AH35" s="1452"/>
      <c r="AI35" s="1452"/>
      <c r="AJ35" s="1453"/>
      <c r="AK35" s="1452"/>
      <c r="AL35" s="1452"/>
      <c r="AM35" s="1452"/>
      <c r="AN35" s="1452"/>
      <c r="AO35" s="1452"/>
      <c r="AP35" s="1452"/>
      <c r="AQ35" s="1452"/>
      <c r="AR35" s="1452"/>
      <c r="AS35" s="1452"/>
      <c r="AT35" s="1452"/>
      <c r="AU35" s="1452"/>
      <c r="AV35" s="1452"/>
      <c r="AW35" s="1452"/>
      <c r="AX35" s="1452"/>
      <c r="AY35" s="1452"/>
      <c r="AZ35" s="1452"/>
      <c r="BA35" s="1452"/>
      <c r="BB35" s="1452"/>
      <c r="BC35" s="1452"/>
      <c r="BD35" s="1452"/>
      <c r="BE35" s="1624"/>
      <c r="BF35" s="1624"/>
      <c r="BG35" s="1452"/>
      <c r="BH35" s="1624"/>
      <c r="BI35" s="1624"/>
      <c r="BJ35" s="1624"/>
      <c r="BK35" s="1624"/>
      <c r="BL35" s="1624"/>
      <c r="BM35" s="1624"/>
      <c r="BN35" s="1624"/>
      <c r="BO35" s="1624"/>
      <c r="BP35" s="1624"/>
      <c r="BQ35" s="1624"/>
      <c r="BR35" s="1624"/>
      <c r="BS35" s="1624"/>
      <c r="BT35" s="1452"/>
      <c r="BU35" s="1624"/>
      <c r="BV35" s="1452"/>
      <c r="BW35" s="1624"/>
      <c r="BX35" s="1452"/>
      <c r="BY35" s="1624"/>
      <c r="BZ35" s="1624"/>
      <c r="CA35" s="1624"/>
      <c r="CB35" s="1452"/>
      <c r="CC35" s="1452"/>
      <c r="CD35" s="1452"/>
      <c r="CE35" s="1625"/>
      <c r="CF35" s="1625"/>
      <c r="CG35" s="1625"/>
      <c r="CH35" s="1452"/>
      <c r="CI35" s="1452"/>
      <c r="CJ35" s="1625"/>
      <c r="CK35" s="1625"/>
      <c r="CL35" s="1625"/>
      <c r="CM35" s="1625"/>
      <c r="CN35" s="1625"/>
      <c r="CO35" s="1625"/>
      <c r="CP35" s="1625"/>
      <c r="CQ35" s="1452"/>
      <c r="CR35" s="1452"/>
      <c r="CS35" s="1452"/>
      <c r="CT35" s="1452"/>
      <c r="CU35" s="1625"/>
      <c r="CV35" s="1452"/>
      <c r="CW35" s="1625"/>
      <c r="CX35" s="1625"/>
      <c r="CY35" s="1625"/>
      <c r="CZ35" s="1452"/>
      <c r="DA35" s="1452"/>
      <c r="DB35" s="1452"/>
      <c r="DC35" s="1452"/>
      <c r="DD35" s="1625"/>
      <c r="DE35" s="1625"/>
      <c r="DF35" s="1625"/>
      <c r="DG35" s="1625"/>
      <c r="DH35" s="1625"/>
      <c r="DI35" s="1452"/>
      <c r="DJ35" s="1625"/>
      <c r="DK35" s="1625"/>
      <c r="DL35" s="1452"/>
      <c r="DM35" s="1452"/>
      <c r="DN35" s="1625"/>
      <c r="DO35" s="1625"/>
      <c r="DP35" s="1625"/>
      <c r="DQ35" s="1625"/>
      <c r="DR35" s="1452"/>
      <c r="DS35" s="1625"/>
      <c r="DT35" s="1625"/>
      <c r="DU35" s="1625"/>
      <c r="DV35" s="1625"/>
      <c r="DW35" s="1625"/>
      <c r="DX35" s="1625"/>
      <c r="DY35" s="1625"/>
      <c r="DZ35" s="1625"/>
      <c r="EA35" s="1625"/>
      <c r="EB35" s="1625"/>
      <c r="EC35" s="1625"/>
      <c r="ED35" s="1625"/>
      <c r="EE35" s="1625"/>
      <c r="EF35" s="1625"/>
      <c r="EG35" s="1625"/>
      <c r="EH35" s="1625"/>
      <c r="EI35" s="1625"/>
      <c r="EJ35" s="1452"/>
      <c r="EK35" s="1625"/>
      <c r="EL35" s="1625"/>
      <c r="EM35" s="1625"/>
      <c r="EN35" s="1452"/>
      <c r="EO35" s="1625"/>
      <c r="EP35" s="1625"/>
      <c r="EQ35" s="1625"/>
      <c r="ER35" s="1625"/>
      <c r="ES35" s="1625"/>
      <c r="ET35" s="1625"/>
      <c r="EU35" s="1452"/>
      <c r="EV35" s="1625"/>
      <c r="EW35" s="1625"/>
      <c r="EX35" s="1625"/>
      <c r="EY35" s="1625"/>
      <c r="EZ35" s="1625"/>
      <c r="FA35" s="1625"/>
      <c r="FB35" s="1625"/>
      <c r="FC35" s="1625"/>
      <c r="FD35" s="1625"/>
      <c r="FE35" s="1625"/>
      <c r="FF35" s="1452"/>
      <c r="FG35" s="1625"/>
      <c r="FH35" s="1625"/>
      <c r="FI35" s="1625"/>
      <c r="FJ35" s="1625"/>
      <c r="FK35" s="1625"/>
      <c r="FL35" s="1625"/>
      <c r="FM35" s="1625"/>
      <c r="FN35" s="1625"/>
      <c r="FO35" s="1625"/>
      <c r="FP35" s="1625"/>
      <c r="FQ35" s="1625"/>
      <c r="FR35" s="1625"/>
      <c r="FS35" s="1625"/>
      <c r="FT35" s="1452"/>
      <c r="FU35" s="1452"/>
      <c r="FV35" s="1452"/>
      <c r="FW35" s="1625"/>
      <c r="FX35" s="1452"/>
      <c r="FY35" s="1625"/>
      <c r="FZ35" s="1625"/>
      <c r="GA35" s="1625"/>
      <c r="GB35" s="1625"/>
      <c r="GC35" s="1625"/>
      <c r="GD35" s="1625"/>
      <c r="GE35" s="1452"/>
      <c r="GF35" s="1452"/>
      <c r="GG35" s="1452"/>
      <c r="GH35" s="1625"/>
      <c r="GI35" s="1625"/>
      <c r="GJ35" s="1452"/>
      <c r="GK35" s="1625"/>
      <c r="GL35" s="1625"/>
      <c r="GM35" s="1625"/>
      <c r="GN35" s="1625"/>
      <c r="GO35" s="1625"/>
      <c r="GP35" s="1625"/>
      <c r="GQ35" s="1625"/>
      <c r="GR35" s="1625"/>
      <c r="GS35" s="1625"/>
      <c r="GT35" s="1625"/>
      <c r="GU35" s="1625"/>
      <c r="GV35" s="1625"/>
      <c r="GW35" s="1452"/>
      <c r="GX35" s="1452"/>
      <c r="GY35" s="1625"/>
      <c r="GZ35" s="1625"/>
      <c r="HA35" s="1625"/>
      <c r="HB35" s="1452"/>
      <c r="HC35" s="1625"/>
      <c r="HD35" s="1452"/>
      <c r="HE35" s="1625"/>
      <c r="HF35" s="1452"/>
      <c r="HG35" s="1452"/>
      <c r="HH35" s="1625"/>
      <c r="HI35" s="1625"/>
      <c r="HJ35" s="1625"/>
      <c r="HK35" s="1625"/>
      <c r="HL35" s="1625"/>
      <c r="HM35" s="1625"/>
      <c r="HN35" s="1625"/>
      <c r="HO35" s="1625"/>
      <c r="HP35" s="1625"/>
      <c r="HQ35" s="1625"/>
      <c r="HR35" s="1625"/>
      <c r="HS35" s="1452"/>
      <c r="HT35" s="1625"/>
      <c r="HU35" s="1625"/>
      <c r="HV35" s="1625"/>
      <c r="HW35" s="1625"/>
      <c r="HX35" s="1625"/>
      <c r="HY35" s="1625"/>
      <c r="HZ35" s="1452"/>
      <c r="IA35" s="1625"/>
      <c r="IB35" s="1625"/>
      <c r="IC35" s="1625"/>
      <c r="ID35" s="1625"/>
      <c r="IE35" s="1625"/>
      <c r="IF35" s="1625"/>
      <c r="IG35" s="1625"/>
      <c r="IH35" s="1625"/>
      <c r="II35" s="1625"/>
      <c r="IJ35" s="1625"/>
      <c r="IK35" s="1625"/>
      <c r="IL35" s="1625"/>
      <c r="IM35" s="1625"/>
      <c r="IN35" s="1625"/>
      <c r="IO35" s="1452"/>
      <c r="IP35" s="1625"/>
      <c r="IQ35" s="1625"/>
      <c r="IR35" s="1625"/>
      <c r="IS35" s="1625"/>
      <c r="IT35" s="1625"/>
      <c r="IU35" s="1625"/>
      <c r="IV35" s="1625"/>
      <c r="IW35" s="1625"/>
      <c r="IX35" s="1452"/>
      <c r="IY35" s="1453"/>
      <c r="IZ35" s="1452"/>
      <c r="JA35" s="1452"/>
      <c r="JB35" s="1452"/>
      <c r="JC35" s="1452"/>
      <c r="JD35" s="1452"/>
      <c r="JE35" s="1452"/>
      <c r="JF35" s="1452"/>
      <c r="JG35" s="1452"/>
      <c r="JH35" s="1625"/>
      <c r="JI35" s="1625"/>
      <c r="JJ35" s="1625"/>
      <c r="JK35" s="1625"/>
      <c r="JL35" s="1625"/>
      <c r="JM35" s="1625"/>
      <c r="JN35" s="1625"/>
      <c r="JO35" s="1625"/>
      <c r="JP35" s="1625"/>
      <c r="JQ35" s="1613"/>
      <c r="JR35" s="351"/>
      <c r="JS35" s="1614"/>
      <c r="JT35" s="1615"/>
    </row>
    <row r="36" spans="1:280" ht="12.5" x14ac:dyDescent="0.25">
      <c r="A36" s="1367">
        <v>36</v>
      </c>
      <c r="B36" s="1411" t="str">
        <f t="shared" si="1"/>
        <v/>
      </c>
      <c r="C36" s="1617" t="s">
        <v>3762</v>
      </c>
      <c r="D36" s="1612" t="s">
        <v>3763</v>
      </c>
      <c r="E36" s="1452"/>
      <c r="F36" s="1452"/>
      <c r="G36" s="1452"/>
      <c r="H36" s="1452"/>
      <c r="I36" s="1452"/>
      <c r="J36" s="1452"/>
      <c r="K36" s="1452"/>
      <c r="L36" s="1452"/>
      <c r="M36" s="1452"/>
      <c r="N36" s="1452"/>
      <c r="O36" s="1452"/>
      <c r="P36" s="1452"/>
      <c r="Q36" s="1452"/>
      <c r="R36" s="1452"/>
      <c r="S36" s="1452"/>
      <c r="T36" s="1452"/>
      <c r="U36" s="1452"/>
      <c r="V36" s="1452"/>
      <c r="W36" s="1452"/>
      <c r="X36" s="1452"/>
      <c r="Y36" s="1452"/>
      <c r="Z36" s="1452"/>
      <c r="AA36" s="1452"/>
      <c r="AB36" s="1452"/>
      <c r="AC36" s="1452"/>
      <c r="AD36" s="1452"/>
      <c r="AE36" s="1452"/>
      <c r="AF36" s="1452"/>
      <c r="AG36" s="1452"/>
      <c r="AH36" s="1452"/>
      <c r="AI36" s="1452"/>
      <c r="AJ36" s="1453"/>
      <c r="AK36" s="1452"/>
      <c r="AL36" s="1452"/>
      <c r="AM36" s="1452"/>
      <c r="AN36" s="1452"/>
      <c r="AO36" s="1452"/>
      <c r="AP36" s="1452"/>
      <c r="AQ36" s="1452"/>
      <c r="AR36" s="1452"/>
      <c r="AS36" s="1452"/>
      <c r="AT36" s="1452"/>
      <c r="AU36" s="1452"/>
      <c r="AV36" s="1452"/>
      <c r="AW36" s="1452"/>
      <c r="AX36" s="1452"/>
      <c r="AY36" s="1452"/>
      <c r="AZ36" s="1452"/>
      <c r="BA36" s="1452"/>
      <c r="BB36" s="1452"/>
      <c r="BC36" s="1452"/>
      <c r="BD36" s="1452"/>
      <c r="BE36" s="1624"/>
      <c r="BF36" s="1624"/>
      <c r="BG36" s="1452"/>
      <c r="BH36" s="1624"/>
      <c r="BI36" s="1624"/>
      <c r="BJ36" s="1624"/>
      <c r="BK36" s="1624"/>
      <c r="BL36" s="1624"/>
      <c r="BM36" s="1624"/>
      <c r="BN36" s="1624"/>
      <c r="BO36" s="1624"/>
      <c r="BP36" s="1624"/>
      <c r="BQ36" s="1624"/>
      <c r="BR36" s="1624"/>
      <c r="BS36" s="1624"/>
      <c r="BT36" s="1452"/>
      <c r="BU36" s="1624"/>
      <c r="BV36" s="1452"/>
      <c r="BW36" s="1624"/>
      <c r="BX36" s="1452"/>
      <c r="BY36" s="1624"/>
      <c r="BZ36" s="1624"/>
      <c r="CA36" s="1624"/>
      <c r="CB36" s="1452"/>
      <c r="CC36" s="1452"/>
      <c r="CD36" s="1452"/>
      <c r="CE36" s="1625"/>
      <c r="CF36" s="1625"/>
      <c r="CG36" s="1625"/>
      <c r="CH36" s="1452"/>
      <c r="CI36" s="1452"/>
      <c r="CJ36" s="1625"/>
      <c r="CK36" s="1625"/>
      <c r="CL36" s="1625"/>
      <c r="CM36" s="1625"/>
      <c r="CN36" s="1625"/>
      <c r="CO36" s="1625"/>
      <c r="CP36" s="1625"/>
      <c r="CQ36" s="1452"/>
      <c r="CR36" s="1452"/>
      <c r="CS36" s="1452"/>
      <c r="CT36" s="1452"/>
      <c r="CU36" s="1625"/>
      <c r="CV36" s="1452"/>
      <c r="CW36" s="1625"/>
      <c r="CX36" s="1625"/>
      <c r="CY36" s="1625"/>
      <c r="CZ36" s="1452"/>
      <c r="DA36" s="1452"/>
      <c r="DB36" s="1452"/>
      <c r="DC36" s="1452"/>
      <c r="DD36" s="1625"/>
      <c r="DE36" s="1625"/>
      <c r="DF36" s="1625"/>
      <c r="DG36" s="1625"/>
      <c r="DH36" s="1625"/>
      <c r="DI36" s="1452"/>
      <c r="DJ36" s="1625"/>
      <c r="DK36" s="1625"/>
      <c r="DL36" s="1452"/>
      <c r="DM36" s="1452"/>
      <c r="DN36" s="1625"/>
      <c r="DO36" s="1625"/>
      <c r="DP36" s="1625"/>
      <c r="DQ36" s="1625"/>
      <c r="DR36" s="1452"/>
      <c r="DS36" s="1625"/>
      <c r="DT36" s="1625"/>
      <c r="DU36" s="1625"/>
      <c r="DV36" s="1625"/>
      <c r="DW36" s="1625"/>
      <c r="DX36" s="1625"/>
      <c r="DY36" s="1625"/>
      <c r="DZ36" s="1625"/>
      <c r="EA36" s="1625"/>
      <c r="EB36" s="1625"/>
      <c r="EC36" s="1625"/>
      <c r="ED36" s="1625"/>
      <c r="EE36" s="1625"/>
      <c r="EF36" s="1625"/>
      <c r="EG36" s="1625"/>
      <c r="EH36" s="1625"/>
      <c r="EI36" s="1625"/>
      <c r="EJ36" s="1452"/>
      <c r="EK36" s="1625"/>
      <c r="EL36" s="1625"/>
      <c r="EM36" s="1625"/>
      <c r="EN36" s="1452"/>
      <c r="EO36" s="1625"/>
      <c r="EP36" s="1625"/>
      <c r="EQ36" s="1625"/>
      <c r="ER36" s="1625"/>
      <c r="ES36" s="1625"/>
      <c r="ET36" s="1625"/>
      <c r="EU36" s="1452"/>
      <c r="EV36" s="1625"/>
      <c r="EW36" s="1625"/>
      <c r="EX36" s="1625"/>
      <c r="EY36" s="1625"/>
      <c r="EZ36" s="1625"/>
      <c r="FA36" s="1625"/>
      <c r="FB36" s="1625"/>
      <c r="FC36" s="1625"/>
      <c r="FD36" s="1625"/>
      <c r="FE36" s="1625"/>
      <c r="FF36" s="1452"/>
      <c r="FG36" s="1625"/>
      <c r="FH36" s="1625"/>
      <c r="FI36" s="1625"/>
      <c r="FJ36" s="1625"/>
      <c r="FK36" s="1625"/>
      <c r="FL36" s="1625"/>
      <c r="FM36" s="1625"/>
      <c r="FN36" s="1625"/>
      <c r="FO36" s="1625"/>
      <c r="FP36" s="1625"/>
      <c r="FQ36" s="1625"/>
      <c r="FR36" s="1625"/>
      <c r="FS36" s="1625"/>
      <c r="FT36" s="1452"/>
      <c r="FU36" s="1452"/>
      <c r="FV36" s="1452"/>
      <c r="FW36" s="1625"/>
      <c r="FX36" s="1452"/>
      <c r="FY36" s="1625"/>
      <c r="FZ36" s="1625"/>
      <c r="GA36" s="1625"/>
      <c r="GB36" s="1625"/>
      <c r="GC36" s="1625"/>
      <c r="GD36" s="1625"/>
      <c r="GE36" s="1452"/>
      <c r="GF36" s="1452"/>
      <c r="GG36" s="1452"/>
      <c r="GH36" s="1625"/>
      <c r="GI36" s="1625"/>
      <c r="GJ36" s="1452"/>
      <c r="GK36" s="1625"/>
      <c r="GL36" s="1625"/>
      <c r="GM36" s="1625"/>
      <c r="GN36" s="1625"/>
      <c r="GO36" s="1625"/>
      <c r="GP36" s="1625"/>
      <c r="GQ36" s="1625"/>
      <c r="GR36" s="1625"/>
      <c r="GS36" s="1625"/>
      <c r="GT36" s="1625"/>
      <c r="GU36" s="1625"/>
      <c r="GV36" s="1625"/>
      <c r="GW36" s="1452"/>
      <c r="GX36" s="1452"/>
      <c r="GY36" s="1625"/>
      <c r="GZ36" s="1625"/>
      <c r="HA36" s="1625"/>
      <c r="HB36" s="1452"/>
      <c r="HC36" s="1625"/>
      <c r="HD36" s="1452"/>
      <c r="HE36" s="1625"/>
      <c r="HF36" s="1452"/>
      <c r="HG36" s="1452"/>
      <c r="HH36" s="1625"/>
      <c r="HI36" s="1625"/>
      <c r="HJ36" s="1625"/>
      <c r="HK36" s="1625"/>
      <c r="HL36" s="1625"/>
      <c r="HM36" s="1625"/>
      <c r="HN36" s="1625"/>
      <c r="HO36" s="1625"/>
      <c r="HP36" s="1625"/>
      <c r="HQ36" s="1625"/>
      <c r="HR36" s="1625"/>
      <c r="HS36" s="1452"/>
      <c r="HT36" s="1625"/>
      <c r="HU36" s="1625"/>
      <c r="HV36" s="1625"/>
      <c r="HW36" s="1625"/>
      <c r="HX36" s="1625"/>
      <c r="HY36" s="1625"/>
      <c r="HZ36" s="1452"/>
      <c r="IA36" s="1625"/>
      <c r="IB36" s="1625"/>
      <c r="IC36" s="1625"/>
      <c r="ID36" s="1625"/>
      <c r="IE36" s="1625"/>
      <c r="IF36" s="1625"/>
      <c r="IG36" s="1625"/>
      <c r="IH36" s="1625"/>
      <c r="II36" s="1625"/>
      <c r="IJ36" s="1625"/>
      <c r="IK36" s="1625"/>
      <c r="IL36" s="1625"/>
      <c r="IM36" s="1625"/>
      <c r="IN36" s="1625"/>
      <c r="IO36" s="1452"/>
      <c r="IP36" s="1625"/>
      <c r="IQ36" s="1625"/>
      <c r="IR36" s="1625"/>
      <c r="IS36" s="1625"/>
      <c r="IT36" s="1625"/>
      <c r="IU36" s="1625"/>
      <c r="IV36" s="1625"/>
      <c r="IW36" s="1625"/>
      <c r="IX36" s="1452"/>
      <c r="IY36" s="1453"/>
      <c r="IZ36" s="1452"/>
      <c r="JA36" s="1452"/>
      <c r="JB36" s="1452"/>
      <c r="JC36" s="1452"/>
      <c r="JD36" s="1452"/>
      <c r="JE36" s="1452"/>
      <c r="JF36" s="1452"/>
      <c r="JG36" s="1452"/>
      <c r="JH36" s="1625"/>
      <c r="JI36" s="1625"/>
      <c r="JJ36" s="1625"/>
      <c r="JK36" s="1625"/>
      <c r="JL36" s="1625"/>
      <c r="JM36" s="1625"/>
      <c r="JN36" s="1625"/>
      <c r="JO36" s="1625"/>
      <c r="JP36" s="1625"/>
      <c r="JQ36" s="1613"/>
      <c r="JR36" s="351"/>
      <c r="JS36" s="1614"/>
      <c r="JT36" s="1615" t="s">
        <v>2242</v>
      </c>
    </row>
    <row r="37" spans="1:280" ht="30" x14ac:dyDescent="0.25">
      <c r="A37" s="1367">
        <v>37</v>
      </c>
      <c r="B37" s="1411" t="str">
        <f t="shared" si="1"/>
        <v/>
      </c>
      <c r="C37" s="1617" t="s">
        <v>3764</v>
      </c>
      <c r="D37" s="1612" t="s">
        <v>3765</v>
      </c>
      <c r="E37" s="1559"/>
      <c r="F37" s="1559"/>
      <c r="G37" s="1559"/>
      <c r="H37" s="1559"/>
      <c r="I37" s="1559"/>
      <c r="J37" s="1559"/>
      <c r="K37" s="1559"/>
      <c r="L37" s="1559"/>
      <c r="M37" s="1559"/>
      <c r="N37" s="1559"/>
      <c r="O37" s="1559"/>
      <c r="P37" s="1559"/>
      <c r="Q37" s="1559"/>
      <c r="R37" s="1559"/>
      <c r="S37" s="1559"/>
      <c r="T37" s="1559"/>
      <c r="U37" s="1559"/>
      <c r="V37" s="1559"/>
      <c r="W37" s="1559"/>
      <c r="X37" s="1559"/>
      <c r="Y37" s="1559"/>
      <c r="Z37" s="1559"/>
      <c r="AA37" s="1559"/>
      <c r="AB37" s="1559"/>
      <c r="AC37" s="1559"/>
      <c r="AD37" s="1559"/>
      <c r="AE37" s="1559"/>
      <c r="AF37" s="1559"/>
      <c r="AG37" s="1559"/>
      <c r="AH37" s="1559"/>
      <c r="AI37" s="1559"/>
      <c r="AJ37" s="1559"/>
      <c r="AK37" s="1559"/>
      <c r="AL37" s="1559"/>
      <c r="AM37" s="1559"/>
      <c r="AN37" s="1559"/>
      <c r="AO37" s="1559"/>
      <c r="AP37" s="1559"/>
      <c r="AQ37" s="1559"/>
      <c r="AR37" s="1559"/>
      <c r="AS37" s="1559"/>
      <c r="AT37" s="1559"/>
      <c r="AU37" s="1559"/>
      <c r="AV37" s="1559"/>
      <c r="AW37" s="1559"/>
      <c r="AX37" s="1559"/>
      <c r="AY37" s="1559"/>
      <c r="AZ37" s="1559"/>
      <c r="BA37" s="1559"/>
      <c r="BB37" s="1559"/>
      <c r="BC37" s="1559"/>
      <c r="BD37" s="1559"/>
      <c r="BE37" s="1559"/>
      <c r="BF37" s="1559"/>
      <c r="BG37" s="1559"/>
      <c r="BH37" s="1559"/>
      <c r="BI37" s="1559"/>
      <c r="BJ37" s="1559"/>
      <c r="BK37" s="1559"/>
      <c r="BL37" s="1559"/>
      <c r="BM37" s="1559"/>
      <c r="BN37" s="1559"/>
      <c r="BO37" s="1559"/>
      <c r="BP37" s="1559"/>
      <c r="BQ37" s="1559"/>
      <c r="BR37" s="1559"/>
      <c r="BS37" s="1559"/>
      <c r="BT37" s="1559"/>
      <c r="BU37" s="1559"/>
      <c r="BV37" s="1559"/>
      <c r="BW37" s="1559"/>
      <c r="BX37" s="1559"/>
      <c r="BY37" s="1559"/>
      <c r="BZ37" s="1559"/>
      <c r="CA37" s="1559"/>
      <c r="CB37" s="1559"/>
      <c r="CC37" s="1559"/>
      <c r="CD37" s="1559"/>
      <c r="CE37" s="1559"/>
      <c r="CF37" s="1559"/>
      <c r="CG37" s="1559"/>
      <c r="CH37" s="1559"/>
      <c r="CI37" s="1559"/>
      <c r="CJ37" s="1559"/>
      <c r="CK37" s="1559"/>
      <c r="CL37" s="1559"/>
      <c r="CM37" s="1559"/>
      <c r="CN37" s="1559"/>
      <c r="CO37" s="1559"/>
      <c r="CP37" s="1559"/>
      <c r="CQ37" s="1503"/>
      <c r="CR37" s="1503"/>
      <c r="CS37" s="1503"/>
      <c r="CT37" s="1503"/>
      <c r="CU37" s="1620"/>
      <c r="CV37" s="1503"/>
      <c r="CW37" s="1620"/>
      <c r="CX37" s="1620"/>
      <c r="CY37" s="1620"/>
      <c r="CZ37" s="1503"/>
      <c r="DA37" s="1503"/>
      <c r="DB37" s="1503"/>
      <c r="DC37" s="1503"/>
      <c r="DD37" s="1620"/>
      <c r="DE37" s="1620"/>
      <c r="DF37" s="1620"/>
      <c r="DG37" s="1620"/>
      <c r="DH37" s="1620"/>
      <c r="DI37" s="1559"/>
      <c r="DJ37" s="1620"/>
      <c r="DK37" s="1620"/>
      <c r="DL37" s="1559"/>
      <c r="DM37" s="1559"/>
      <c r="DN37" s="1620"/>
      <c r="DO37" s="1620"/>
      <c r="DP37" s="1620"/>
      <c r="DQ37" s="1620"/>
      <c r="DR37" s="1559"/>
      <c r="DS37" s="1620"/>
      <c r="DT37" s="1620"/>
      <c r="DU37" s="1620"/>
      <c r="DV37" s="1620"/>
      <c r="DW37" s="1620"/>
      <c r="DX37" s="1620"/>
      <c r="DY37" s="1620"/>
      <c r="DZ37" s="1620"/>
      <c r="EA37" s="1620"/>
      <c r="EB37" s="1620"/>
      <c r="EC37" s="1620"/>
      <c r="ED37" s="1620"/>
      <c r="EE37" s="1620"/>
      <c r="EF37" s="1620"/>
      <c r="EG37" s="1620"/>
      <c r="EH37" s="1620"/>
      <c r="EI37" s="1620"/>
      <c r="EJ37" s="1503"/>
      <c r="EK37" s="1620"/>
      <c r="EL37" s="1620"/>
      <c r="EM37" s="1620"/>
      <c r="EN37" s="1503"/>
      <c r="EO37" s="1620"/>
      <c r="EP37" s="1620"/>
      <c r="EQ37" s="1620"/>
      <c r="ER37" s="1620"/>
      <c r="ES37" s="1620"/>
      <c r="ET37" s="1620"/>
      <c r="EU37" s="1620"/>
      <c r="EV37" s="1620"/>
      <c r="EW37" s="1620"/>
      <c r="EX37" s="1620"/>
      <c r="EY37" s="1620"/>
      <c r="EZ37" s="1620"/>
      <c r="FA37" s="1620"/>
      <c r="FB37" s="1620"/>
      <c r="FC37" s="1620"/>
      <c r="FD37" s="1620"/>
      <c r="FE37" s="1620"/>
      <c r="FF37" s="1620"/>
      <c r="FG37" s="1620"/>
      <c r="FH37" s="1620"/>
      <c r="FI37" s="1620"/>
      <c r="FJ37" s="1620"/>
      <c r="FK37" s="1620"/>
      <c r="FL37" s="1620"/>
      <c r="FM37" s="1620"/>
      <c r="FN37" s="1620"/>
      <c r="FO37" s="1620"/>
      <c r="FP37" s="1620"/>
      <c r="FQ37" s="1620"/>
      <c r="FR37" s="1620"/>
      <c r="FS37" s="1620"/>
      <c r="FT37" s="1620"/>
      <c r="FU37" s="1620"/>
      <c r="FV37" s="1620"/>
      <c r="FW37" s="1620"/>
      <c r="FX37" s="1620"/>
      <c r="FY37" s="1620"/>
      <c r="FZ37" s="1620"/>
      <c r="GA37" s="1620"/>
      <c r="GB37" s="1620"/>
      <c r="GC37" s="1620"/>
      <c r="GD37" s="1620"/>
      <c r="GE37" s="1503"/>
      <c r="GF37" s="1503"/>
      <c r="GG37" s="1620"/>
      <c r="GH37" s="1620"/>
      <c r="GI37" s="1620"/>
      <c r="GJ37" s="1620"/>
      <c r="GK37" s="1620"/>
      <c r="GL37" s="1620"/>
      <c r="GM37" s="1620"/>
      <c r="GN37" s="1620"/>
      <c r="GO37" s="1620"/>
      <c r="GP37" s="1620"/>
      <c r="GQ37" s="1620"/>
      <c r="GR37" s="1620"/>
      <c r="GS37" s="1620"/>
      <c r="GT37" s="1620"/>
      <c r="GU37" s="1620"/>
      <c r="GV37" s="1620"/>
      <c r="GW37" s="1620"/>
      <c r="GX37" s="1620"/>
      <c r="GY37" s="1620"/>
      <c r="GZ37" s="1620"/>
      <c r="HA37" s="1620"/>
      <c r="HB37" s="1620"/>
      <c r="HC37" s="1620"/>
      <c r="HD37" s="1620"/>
      <c r="HE37" s="1620"/>
      <c r="HF37" s="1620"/>
      <c r="HG37" s="1620"/>
      <c r="HH37" s="1620"/>
      <c r="HI37" s="1620"/>
      <c r="HJ37" s="1620"/>
      <c r="HK37" s="1620"/>
      <c r="HL37" s="1620"/>
      <c r="HM37" s="1620"/>
      <c r="HN37" s="1620"/>
      <c r="HO37" s="1620"/>
      <c r="HP37" s="1620"/>
      <c r="HQ37" s="1620"/>
      <c r="HR37" s="1620"/>
      <c r="HS37" s="1620"/>
      <c r="HT37" s="1620"/>
      <c r="HU37" s="1620"/>
      <c r="HV37" s="1620"/>
      <c r="HW37" s="1620"/>
      <c r="HX37" s="1620"/>
      <c r="HY37" s="1620"/>
      <c r="HZ37" s="1620"/>
      <c r="IA37" s="1620"/>
      <c r="IB37" s="1620"/>
      <c r="IC37" s="1620"/>
      <c r="ID37" s="1620"/>
      <c r="IE37" s="1620"/>
      <c r="IF37" s="1620"/>
      <c r="IG37" s="1620"/>
      <c r="IH37" s="1620"/>
      <c r="II37" s="1620"/>
      <c r="IJ37" s="1620"/>
      <c r="IK37" s="1620"/>
      <c r="IL37" s="1620"/>
      <c r="IM37" s="1620"/>
      <c r="IN37" s="1620"/>
      <c r="IO37" s="1620"/>
      <c r="IP37" s="1620"/>
      <c r="IQ37" s="1620"/>
      <c r="IR37" s="1620"/>
      <c r="IS37" s="1620"/>
      <c r="IT37" s="1620"/>
      <c r="IU37" s="1620"/>
      <c r="IV37" s="1620"/>
      <c r="IW37" s="1620"/>
      <c r="IX37" s="1620"/>
      <c r="IY37" s="1620"/>
      <c r="IZ37" s="1620"/>
      <c r="JA37" s="1620"/>
      <c r="JB37" s="1620"/>
      <c r="JC37" s="1620"/>
      <c r="JD37" s="1620"/>
      <c r="JE37" s="1620"/>
      <c r="JF37" s="1620"/>
      <c r="JG37" s="1620"/>
      <c r="JH37" s="1620"/>
      <c r="JI37" s="1620"/>
      <c r="JJ37" s="1620"/>
      <c r="JK37" s="1620"/>
      <c r="JL37" s="1620"/>
      <c r="JM37" s="1620"/>
      <c r="JN37" s="1620"/>
      <c r="JO37" s="1620"/>
      <c r="JP37" s="1620"/>
      <c r="JQ37" s="1620"/>
      <c r="JR37" s="351"/>
      <c r="JS37" s="1614" t="s">
        <v>3766</v>
      </c>
      <c r="JT37" s="1615" t="s">
        <v>2224</v>
      </c>
    </row>
    <row r="38" spans="1:280" ht="12.5" x14ac:dyDescent="0.25">
      <c r="A38" s="1367">
        <v>38</v>
      </c>
      <c r="B38" s="1411" t="str">
        <f t="shared" si="1"/>
        <v/>
      </c>
      <c r="C38" s="1617" t="s">
        <v>3767</v>
      </c>
      <c r="D38" s="1612" t="s">
        <v>3768</v>
      </c>
      <c r="E38" s="1452"/>
      <c r="F38" s="1452"/>
      <c r="G38" s="1452"/>
      <c r="H38" s="1452"/>
      <c r="I38" s="1452"/>
      <c r="J38" s="1452"/>
      <c r="K38" s="1452"/>
      <c r="L38" s="1452"/>
      <c r="M38" s="1452"/>
      <c r="N38" s="1452"/>
      <c r="O38" s="1452"/>
      <c r="P38" s="1452"/>
      <c r="Q38" s="1452"/>
      <c r="R38" s="1452"/>
      <c r="S38" s="1452"/>
      <c r="T38" s="1452"/>
      <c r="U38" s="1452"/>
      <c r="V38" s="1452"/>
      <c r="W38" s="1452"/>
      <c r="X38" s="1452"/>
      <c r="Y38" s="1452"/>
      <c r="Z38" s="1452"/>
      <c r="AA38" s="1452"/>
      <c r="AB38" s="1452"/>
      <c r="AC38" s="1452"/>
      <c r="AD38" s="1452"/>
      <c r="AE38" s="1452"/>
      <c r="AF38" s="1452"/>
      <c r="AG38" s="1452"/>
      <c r="AH38" s="1452"/>
      <c r="AI38" s="1452"/>
      <c r="AJ38" s="1452"/>
      <c r="AK38" s="1452"/>
      <c r="AL38" s="1452"/>
      <c r="AM38" s="1452"/>
      <c r="AN38" s="1452"/>
      <c r="AO38" s="1452"/>
      <c r="AP38" s="1452"/>
      <c r="AQ38" s="1452"/>
      <c r="AR38" s="1452"/>
      <c r="AS38" s="1452"/>
      <c r="AT38" s="1452"/>
      <c r="AU38" s="1452"/>
      <c r="AV38" s="1452"/>
      <c r="AW38" s="1452"/>
      <c r="AX38" s="1452"/>
      <c r="AY38" s="1452"/>
      <c r="AZ38" s="1452"/>
      <c r="BA38" s="1452"/>
      <c r="BB38" s="1452"/>
      <c r="BC38" s="1452"/>
      <c r="BD38" s="1452"/>
      <c r="BE38" s="1452"/>
      <c r="BF38" s="1452"/>
      <c r="BG38" s="1452"/>
      <c r="BH38" s="1452"/>
      <c r="BI38" s="1452"/>
      <c r="BJ38" s="1452"/>
      <c r="BK38" s="1452"/>
      <c r="BL38" s="1452"/>
      <c r="BM38" s="1452"/>
      <c r="BN38" s="1452"/>
      <c r="BO38" s="1452"/>
      <c r="BP38" s="1452"/>
      <c r="BQ38" s="1452"/>
      <c r="BR38" s="1452"/>
      <c r="BS38" s="1452"/>
      <c r="BT38" s="1452"/>
      <c r="BU38" s="1452"/>
      <c r="BV38" s="1452"/>
      <c r="BW38" s="1452"/>
      <c r="BX38" s="1452"/>
      <c r="BY38" s="1452"/>
      <c r="BZ38" s="1452"/>
      <c r="CA38" s="1452"/>
      <c r="CB38" s="1452"/>
      <c r="CC38" s="1452"/>
      <c r="CD38" s="1452"/>
      <c r="CE38" s="1452"/>
      <c r="CF38" s="1452"/>
      <c r="CG38" s="1452"/>
      <c r="CH38" s="1452"/>
      <c r="CI38" s="1452"/>
      <c r="CJ38" s="1452"/>
      <c r="CK38" s="1452"/>
      <c r="CL38" s="1452"/>
      <c r="CM38" s="1452"/>
      <c r="CN38" s="1452"/>
      <c r="CO38" s="1452"/>
      <c r="CP38" s="1452"/>
      <c r="CQ38" s="1452"/>
      <c r="CR38" s="1452"/>
      <c r="CS38" s="1452"/>
      <c r="CT38" s="1452"/>
      <c r="CU38" s="1455"/>
      <c r="CV38" s="1452"/>
      <c r="CW38" s="1455"/>
      <c r="CX38" s="1455"/>
      <c r="CY38" s="1455"/>
      <c r="CZ38" s="1452"/>
      <c r="DA38" s="1452"/>
      <c r="DB38" s="1452"/>
      <c r="DC38" s="1452"/>
      <c r="DD38" s="1455"/>
      <c r="DE38" s="1455"/>
      <c r="DF38" s="1455"/>
      <c r="DG38" s="1455"/>
      <c r="DH38" s="1455"/>
      <c r="DI38" s="1452"/>
      <c r="DJ38" s="1455"/>
      <c r="DK38" s="1455"/>
      <c r="DL38" s="1452"/>
      <c r="DM38" s="1452"/>
      <c r="DN38" s="1455"/>
      <c r="DO38" s="1455"/>
      <c r="DP38" s="1455"/>
      <c r="DQ38" s="1455"/>
      <c r="DR38" s="1452"/>
      <c r="DS38" s="1455"/>
      <c r="DT38" s="1455"/>
      <c r="DU38" s="1455"/>
      <c r="DV38" s="1455"/>
      <c r="DW38" s="1455"/>
      <c r="DX38" s="1455"/>
      <c r="DY38" s="1455"/>
      <c r="DZ38" s="1455"/>
      <c r="EA38" s="1455"/>
      <c r="EB38" s="1455"/>
      <c r="EC38" s="1455"/>
      <c r="ED38" s="1455"/>
      <c r="EE38" s="1455"/>
      <c r="EF38" s="1455"/>
      <c r="EG38" s="1455"/>
      <c r="EH38" s="1455"/>
      <c r="EI38" s="1455"/>
      <c r="EJ38" s="1452"/>
      <c r="EK38" s="1455"/>
      <c r="EL38" s="1455"/>
      <c r="EM38" s="1455"/>
      <c r="EN38" s="1452"/>
      <c r="EO38" s="1455"/>
      <c r="EP38" s="1455"/>
      <c r="EQ38" s="1455"/>
      <c r="ER38" s="1455"/>
      <c r="ES38" s="1455"/>
      <c r="ET38" s="1455"/>
      <c r="EU38" s="1455"/>
      <c r="EV38" s="1455"/>
      <c r="EW38" s="1455"/>
      <c r="EX38" s="1455"/>
      <c r="EY38" s="1455"/>
      <c r="EZ38" s="1455"/>
      <c r="FA38" s="1455"/>
      <c r="FB38" s="1455"/>
      <c r="FC38" s="1455"/>
      <c r="FD38" s="1455"/>
      <c r="FE38" s="1455"/>
      <c r="FF38" s="1455"/>
      <c r="FG38" s="1455"/>
      <c r="FH38" s="1455"/>
      <c r="FI38" s="1455"/>
      <c r="FJ38" s="1455"/>
      <c r="FK38" s="1455"/>
      <c r="FL38" s="1455"/>
      <c r="FM38" s="1455"/>
      <c r="FN38" s="1455"/>
      <c r="FO38" s="1455"/>
      <c r="FP38" s="1455"/>
      <c r="FQ38" s="1455"/>
      <c r="FR38" s="1455"/>
      <c r="FS38" s="1455"/>
      <c r="FT38" s="1455"/>
      <c r="FU38" s="1455"/>
      <c r="FV38" s="1455"/>
      <c r="FW38" s="1455"/>
      <c r="FX38" s="1455"/>
      <c r="FY38" s="1455"/>
      <c r="FZ38" s="1455"/>
      <c r="GA38" s="1455"/>
      <c r="GB38" s="1455"/>
      <c r="GC38" s="1455"/>
      <c r="GD38" s="1455"/>
      <c r="GE38" s="1452"/>
      <c r="GF38" s="1452"/>
      <c r="GG38" s="1455"/>
      <c r="GH38" s="1455"/>
      <c r="GI38" s="1455"/>
      <c r="GJ38" s="1455"/>
      <c r="GK38" s="1455"/>
      <c r="GL38" s="1455"/>
      <c r="GM38" s="1455"/>
      <c r="GN38" s="1455"/>
      <c r="GO38" s="1455"/>
      <c r="GP38" s="1455"/>
      <c r="GQ38" s="1455"/>
      <c r="GR38" s="1455"/>
      <c r="GS38" s="1455"/>
      <c r="GT38" s="1455"/>
      <c r="GU38" s="1455"/>
      <c r="GV38" s="1455"/>
      <c r="GW38" s="1455"/>
      <c r="GX38" s="1455"/>
      <c r="GY38" s="1455"/>
      <c r="GZ38" s="1455"/>
      <c r="HA38" s="1455"/>
      <c r="HB38" s="1455"/>
      <c r="HC38" s="1455"/>
      <c r="HD38" s="1455"/>
      <c r="HE38" s="1455"/>
      <c r="HF38" s="1455"/>
      <c r="HG38" s="1455"/>
      <c r="HH38" s="1455"/>
      <c r="HI38" s="1455"/>
      <c r="HJ38" s="1455"/>
      <c r="HK38" s="1455"/>
      <c r="HL38" s="1455"/>
      <c r="HM38" s="1455"/>
      <c r="HN38" s="1455"/>
      <c r="HO38" s="1455"/>
      <c r="HP38" s="1455"/>
      <c r="HQ38" s="1455"/>
      <c r="HR38" s="1455"/>
      <c r="HS38" s="1455"/>
      <c r="HT38" s="1455"/>
      <c r="HU38" s="1455"/>
      <c r="HV38" s="1455"/>
      <c r="HW38" s="1455"/>
      <c r="HX38" s="1455"/>
      <c r="HY38" s="1455"/>
      <c r="HZ38" s="1455"/>
      <c r="IA38" s="1455"/>
      <c r="IB38" s="1455"/>
      <c r="IC38" s="1455"/>
      <c r="ID38" s="1455"/>
      <c r="IE38" s="1455"/>
      <c r="IF38" s="1455"/>
      <c r="IG38" s="1455"/>
      <c r="IH38" s="1455"/>
      <c r="II38" s="1455"/>
      <c r="IJ38" s="1455"/>
      <c r="IK38" s="1455"/>
      <c r="IL38" s="1455"/>
      <c r="IM38" s="1455"/>
      <c r="IN38" s="1455"/>
      <c r="IO38" s="1455"/>
      <c r="IP38" s="1455"/>
      <c r="IQ38" s="1455"/>
      <c r="IR38" s="1455"/>
      <c r="IS38" s="1455"/>
      <c r="IT38" s="1455"/>
      <c r="IU38" s="1455"/>
      <c r="IV38" s="1455"/>
      <c r="IW38" s="1455"/>
      <c r="IX38" s="1455"/>
      <c r="IY38" s="1455"/>
      <c r="IZ38" s="1455"/>
      <c r="JA38" s="1455"/>
      <c r="JB38" s="1455"/>
      <c r="JC38" s="1455"/>
      <c r="JD38" s="1455"/>
      <c r="JE38" s="1455"/>
      <c r="JF38" s="1455"/>
      <c r="JG38" s="1455"/>
      <c r="JH38" s="1455"/>
      <c r="JI38" s="1455"/>
      <c r="JJ38" s="1455"/>
      <c r="JK38" s="1455"/>
      <c r="JL38" s="1455"/>
      <c r="JM38" s="1455"/>
      <c r="JN38" s="1455"/>
      <c r="JO38" s="1455"/>
      <c r="JP38" s="1455"/>
      <c r="JQ38" s="1455"/>
      <c r="JR38" s="351"/>
      <c r="JS38" s="1614"/>
      <c r="JT38" s="1615" t="s">
        <v>2224</v>
      </c>
    </row>
    <row r="39" spans="1:280" ht="20" x14ac:dyDescent="0.25">
      <c r="A39" s="1367">
        <v>39</v>
      </c>
      <c r="B39" s="1411" t="str">
        <f t="shared" si="1"/>
        <v/>
      </c>
      <c r="C39" s="1617" t="s">
        <v>3769</v>
      </c>
      <c r="D39" s="1612" t="s">
        <v>3770</v>
      </c>
      <c r="E39" s="1559"/>
      <c r="F39" s="1559"/>
      <c r="G39" s="1559"/>
      <c r="H39" s="1559"/>
      <c r="I39" s="1559"/>
      <c r="J39" s="1559"/>
      <c r="K39" s="1559"/>
      <c r="L39" s="1559"/>
      <c r="M39" s="1559"/>
      <c r="N39" s="1559"/>
      <c r="O39" s="1559"/>
      <c r="P39" s="1559"/>
      <c r="Q39" s="1559"/>
      <c r="R39" s="1559"/>
      <c r="S39" s="1559"/>
      <c r="T39" s="1559"/>
      <c r="U39" s="1559"/>
      <c r="V39" s="1559"/>
      <c r="W39" s="1559"/>
      <c r="X39" s="1559"/>
      <c r="Y39" s="1559"/>
      <c r="Z39" s="1559"/>
      <c r="AA39" s="1559"/>
      <c r="AB39" s="1559"/>
      <c r="AC39" s="1559"/>
      <c r="AD39" s="1559"/>
      <c r="AE39" s="1559"/>
      <c r="AF39" s="1559"/>
      <c r="AG39" s="1559"/>
      <c r="AH39" s="1559"/>
      <c r="AI39" s="1559"/>
      <c r="AJ39" s="1559"/>
      <c r="AK39" s="1559"/>
      <c r="AL39" s="1559"/>
      <c r="AM39" s="1559"/>
      <c r="AN39" s="1559"/>
      <c r="AO39" s="1559"/>
      <c r="AP39" s="1559"/>
      <c r="AQ39" s="1559"/>
      <c r="AR39" s="1559"/>
      <c r="AS39" s="1559"/>
      <c r="AT39" s="1559"/>
      <c r="AU39" s="1559"/>
      <c r="AV39" s="1559"/>
      <c r="AW39" s="1559"/>
      <c r="AX39" s="1559"/>
      <c r="AY39" s="1559"/>
      <c r="AZ39" s="1559"/>
      <c r="BA39" s="1559"/>
      <c r="BB39" s="1559"/>
      <c r="BC39" s="1559"/>
      <c r="BD39" s="1559"/>
      <c r="BE39" s="1559"/>
      <c r="BF39" s="1559"/>
      <c r="BG39" s="1559"/>
      <c r="BH39" s="1559"/>
      <c r="BI39" s="1559"/>
      <c r="BJ39" s="1559"/>
      <c r="BK39" s="1559"/>
      <c r="BL39" s="1559"/>
      <c r="BM39" s="1559"/>
      <c r="BN39" s="1559"/>
      <c r="BO39" s="1559"/>
      <c r="BP39" s="1559"/>
      <c r="BQ39" s="1559"/>
      <c r="BR39" s="1559"/>
      <c r="BS39" s="1559"/>
      <c r="BT39" s="1559"/>
      <c r="BU39" s="1559"/>
      <c r="BV39" s="1559"/>
      <c r="BW39" s="1559"/>
      <c r="BX39" s="1559"/>
      <c r="BY39" s="1559"/>
      <c r="BZ39" s="1559"/>
      <c r="CA39" s="1559"/>
      <c r="CB39" s="1559"/>
      <c r="CC39" s="1559"/>
      <c r="CD39" s="1559"/>
      <c r="CE39" s="1559"/>
      <c r="CF39" s="1559"/>
      <c r="CG39" s="1559"/>
      <c r="CH39" s="1559"/>
      <c r="CI39" s="1559"/>
      <c r="CJ39" s="1559"/>
      <c r="CK39" s="1559"/>
      <c r="CL39" s="1559"/>
      <c r="CM39" s="1559"/>
      <c r="CN39" s="1559"/>
      <c r="CO39" s="1559"/>
      <c r="CP39" s="1559"/>
      <c r="CQ39" s="1503"/>
      <c r="CR39" s="1503"/>
      <c r="CS39" s="1503"/>
      <c r="CT39" s="1503"/>
      <c r="CU39" s="1620"/>
      <c r="CV39" s="1503"/>
      <c r="CW39" s="1620"/>
      <c r="CX39" s="1620"/>
      <c r="CY39" s="1620"/>
      <c r="CZ39" s="1503"/>
      <c r="DA39" s="1503"/>
      <c r="DB39" s="1503"/>
      <c r="DC39" s="1503"/>
      <c r="DD39" s="1620"/>
      <c r="DE39" s="1620"/>
      <c r="DF39" s="1620"/>
      <c r="DG39" s="1620"/>
      <c r="DH39" s="1620"/>
      <c r="DI39" s="1559"/>
      <c r="DJ39" s="1620"/>
      <c r="DK39" s="1620"/>
      <c r="DL39" s="1559"/>
      <c r="DM39" s="1559"/>
      <c r="DN39" s="1620"/>
      <c r="DO39" s="1620"/>
      <c r="DP39" s="1620"/>
      <c r="DQ39" s="1620"/>
      <c r="DR39" s="1559"/>
      <c r="DS39" s="1620"/>
      <c r="DT39" s="1620"/>
      <c r="DU39" s="1620"/>
      <c r="DV39" s="1620"/>
      <c r="DW39" s="1620"/>
      <c r="DX39" s="1620"/>
      <c r="DY39" s="1620"/>
      <c r="DZ39" s="1620"/>
      <c r="EA39" s="1620"/>
      <c r="EB39" s="1620"/>
      <c r="EC39" s="1620"/>
      <c r="ED39" s="1620"/>
      <c r="EE39" s="1620"/>
      <c r="EF39" s="1620"/>
      <c r="EG39" s="1620"/>
      <c r="EH39" s="1620"/>
      <c r="EI39" s="1620"/>
      <c r="EJ39" s="1503"/>
      <c r="EK39" s="1620"/>
      <c r="EL39" s="1620"/>
      <c r="EM39" s="1620"/>
      <c r="EN39" s="1503"/>
      <c r="EO39" s="1620"/>
      <c r="EP39" s="1620"/>
      <c r="EQ39" s="1620"/>
      <c r="ER39" s="1620"/>
      <c r="ES39" s="1620"/>
      <c r="ET39" s="1620"/>
      <c r="EU39" s="1620"/>
      <c r="EV39" s="1620"/>
      <c r="EW39" s="1620"/>
      <c r="EX39" s="1620"/>
      <c r="EY39" s="1620"/>
      <c r="EZ39" s="1620"/>
      <c r="FA39" s="1620"/>
      <c r="FB39" s="1620"/>
      <c r="FC39" s="1620"/>
      <c r="FD39" s="1620"/>
      <c r="FE39" s="1620"/>
      <c r="FF39" s="1620"/>
      <c r="FG39" s="1620"/>
      <c r="FH39" s="1620"/>
      <c r="FI39" s="1620"/>
      <c r="FJ39" s="1620"/>
      <c r="FK39" s="1620"/>
      <c r="FL39" s="1620"/>
      <c r="FM39" s="1620"/>
      <c r="FN39" s="1620"/>
      <c r="FO39" s="1620"/>
      <c r="FP39" s="1620"/>
      <c r="FQ39" s="1620"/>
      <c r="FR39" s="1620"/>
      <c r="FS39" s="1620"/>
      <c r="FT39" s="1620"/>
      <c r="FU39" s="1620"/>
      <c r="FV39" s="1620"/>
      <c r="FW39" s="1620"/>
      <c r="FX39" s="1620"/>
      <c r="FY39" s="1620"/>
      <c r="FZ39" s="1620"/>
      <c r="GA39" s="1620"/>
      <c r="GB39" s="1620"/>
      <c r="GC39" s="1620"/>
      <c r="GD39" s="1620"/>
      <c r="GE39" s="1503"/>
      <c r="GF39" s="1503"/>
      <c r="GG39" s="1620"/>
      <c r="GH39" s="1620"/>
      <c r="GI39" s="1620"/>
      <c r="GJ39" s="1620"/>
      <c r="GK39" s="1620"/>
      <c r="GL39" s="1620"/>
      <c r="GM39" s="1620"/>
      <c r="GN39" s="1620"/>
      <c r="GO39" s="1620"/>
      <c r="GP39" s="1620"/>
      <c r="GQ39" s="1620"/>
      <c r="GR39" s="1620"/>
      <c r="GS39" s="1620"/>
      <c r="GT39" s="1620"/>
      <c r="GU39" s="1620"/>
      <c r="GV39" s="1620"/>
      <c r="GW39" s="1620"/>
      <c r="GX39" s="1620"/>
      <c r="GY39" s="1620"/>
      <c r="GZ39" s="1620"/>
      <c r="HA39" s="1620"/>
      <c r="HB39" s="1620"/>
      <c r="HC39" s="1620"/>
      <c r="HD39" s="1620"/>
      <c r="HE39" s="1620"/>
      <c r="HF39" s="1620"/>
      <c r="HG39" s="1620"/>
      <c r="HH39" s="1620"/>
      <c r="HI39" s="1620"/>
      <c r="HJ39" s="1620"/>
      <c r="HK39" s="1620"/>
      <c r="HL39" s="1620"/>
      <c r="HM39" s="1620"/>
      <c r="HN39" s="1620"/>
      <c r="HO39" s="1620"/>
      <c r="HP39" s="1620"/>
      <c r="HQ39" s="1620"/>
      <c r="HR39" s="1620"/>
      <c r="HS39" s="1620"/>
      <c r="HT39" s="1620"/>
      <c r="HU39" s="1620"/>
      <c r="HV39" s="1620"/>
      <c r="HW39" s="1620"/>
      <c r="HX39" s="1620"/>
      <c r="HY39" s="1620"/>
      <c r="HZ39" s="1620"/>
      <c r="IA39" s="1620"/>
      <c r="IB39" s="1620"/>
      <c r="IC39" s="1620"/>
      <c r="ID39" s="1620"/>
      <c r="IE39" s="1620"/>
      <c r="IF39" s="1620"/>
      <c r="IG39" s="1620"/>
      <c r="IH39" s="1620"/>
      <c r="II39" s="1620"/>
      <c r="IJ39" s="1620"/>
      <c r="IK39" s="1620"/>
      <c r="IL39" s="1620"/>
      <c r="IM39" s="1620"/>
      <c r="IN39" s="1620"/>
      <c r="IO39" s="1620"/>
      <c r="IP39" s="1620"/>
      <c r="IQ39" s="1620"/>
      <c r="IR39" s="1620"/>
      <c r="IS39" s="1620"/>
      <c r="IT39" s="1620"/>
      <c r="IU39" s="1620"/>
      <c r="IV39" s="1620"/>
      <c r="IW39" s="1620"/>
      <c r="IX39" s="1620"/>
      <c r="IY39" s="1620"/>
      <c r="IZ39" s="1620"/>
      <c r="JA39" s="1620"/>
      <c r="JB39" s="1620"/>
      <c r="JC39" s="1620"/>
      <c r="JD39" s="1620"/>
      <c r="JE39" s="1620"/>
      <c r="JF39" s="1620"/>
      <c r="JG39" s="1620"/>
      <c r="JH39" s="1620"/>
      <c r="JI39" s="1620"/>
      <c r="JJ39" s="1620"/>
      <c r="JK39" s="1620"/>
      <c r="JL39" s="1620"/>
      <c r="JM39" s="1620"/>
      <c r="JN39" s="1620"/>
      <c r="JO39" s="1620"/>
      <c r="JP39" s="1620"/>
      <c r="JQ39" s="1620"/>
      <c r="JR39" s="351"/>
      <c r="JS39" s="1614" t="s">
        <v>3771</v>
      </c>
      <c r="JT39" s="1615" t="s">
        <v>2224</v>
      </c>
    </row>
    <row r="40" spans="1:280" ht="50" x14ac:dyDescent="0.25">
      <c r="A40" s="1367">
        <v>40</v>
      </c>
      <c r="B40" s="1411" t="str">
        <f t="shared" si="1"/>
        <v/>
      </c>
      <c r="C40" s="1617" t="s">
        <v>3772</v>
      </c>
      <c r="D40" s="1612" t="s">
        <v>3773</v>
      </c>
      <c r="E40" s="1559"/>
      <c r="F40" s="1559"/>
      <c r="G40" s="1559"/>
      <c r="H40" s="1559"/>
      <c r="I40" s="1559"/>
      <c r="J40" s="1559"/>
      <c r="K40" s="1559"/>
      <c r="L40" s="1559"/>
      <c r="M40" s="1559"/>
      <c r="N40" s="1559"/>
      <c r="O40" s="1559"/>
      <c r="P40" s="1559"/>
      <c r="Q40" s="1559"/>
      <c r="R40" s="1559"/>
      <c r="S40" s="1559"/>
      <c r="T40" s="1559"/>
      <c r="U40" s="1559"/>
      <c r="V40" s="1559"/>
      <c r="W40" s="1559"/>
      <c r="X40" s="1559"/>
      <c r="Y40" s="1559"/>
      <c r="Z40" s="1559"/>
      <c r="AA40" s="1559"/>
      <c r="AB40" s="1559"/>
      <c r="AC40" s="1559"/>
      <c r="AD40" s="1559"/>
      <c r="AE40" s="1559"/>
      <c r="AF40" s="1559"/>
      <c r="AG40" s="1559"/>
      <c r="AH40" s="1559"/>
      <c r="AI40" s="1559"/>
      <c r="AJ40" s="1559"/>
      <c r="AK40" s="1559"/>
      <c r="AL40" s="1559"/>
      <c r="AM40" s="1559"/>
      <c r="AN40" s="1559"/>
      <c r="AO40" s="1559"/>
      <c r="AP40" s="1559"/>
      <c r="AQ40" s="1559"/>
      <c r="AR40" s="1559"/>
      <c r="AS40" s="1559"/>
      <c r="AT40" s="1559"/>
      <c r="AU40" s="1559"/>
      <c r="AV40" s="1559"/>
      <c r="AW40" s="1559"/>
      <c r="AX40" s="1559"/>
      <c r="AY40" s="1559"/>
      <c r="AZ40" s="1559"/>
      <c r="BA40" s="1559"/>
      <c r="BB40" s="1559"/>
      <c r="BC40" s="1559"/>
      <c r="BD40" s="1559"/>
      <c r="BE40" s="1559"/>
      <c r="BF40" s="1559"/>
      <c r="BG40" s="1559"/>
      <c r="BH40" s="1559"/>
      <c r="BI40" s="1559"/>
      <c r="BJ40" s="1559"/>
      <c r="BK40" s="1559"/>
      <c r="BL40" s="1559"/>
      <c r="BM40" s="1559"/>
      <c r="BN40" s="1559"/>
      <c r="BO40" s="1559"/>
      <c r="BP40" s="1559"/>
      <c r="BQ40" s="1559"/>
      <c r="BR40" s="1559"/>
      <c r="BS40" s="1559"/>
      <c r="BT40" s="1559"/>
      <c r="BU40" s="1559"/>
      <c r="BV40" s="1559"/>
      <c r="BW40" s="1559"/>
      <c r="BX40" s="1559"/>
      <c r="BY40" s="1559"/>
      <c r="BZ40" s="1559"/>
      <c r="CA40" s="1559"/>
      <c r="CB40" s="1559"/>
      <c r="CC40" s="1559"/>
      <c r="CD40" s="1559"/>
      <c r="CE40" s="1559"/>
      <c r="CF40" s="1559"/>
      <c r="CG40" s="1559"/>
      <c r="CH40" s="1559"/>
      <c r="CI40" s="1559"/>
      <c r="CJ40" s="1559"/>
      <c r="CK40" s="1559"/>
      <c r="CL40" s="1559"/>
      <c r="CM40" s="1559"/>
      <c r="CN40" s="1559"/>
      <c r="CO40" s="1559"/>
      <c r="CP40" s="1559"/>
      <c r="CQ40" s="1503"/>
      <c r="CR40" s="1503"/>
      <c r="CS40" s="1503"/>
      <c r="CT40" s="1503"/>
      <c r="CU40" s="1620"/>
      <c r="CV40" s="1503"/>
      <c r="CW40" s="1620"/>
      <c r="CX40" s="1620"/>
      <c r="CY40" s="1620"/>
      <c r="CZ40" s="1503"/>
      <c r="DA40" s="1503"/>
      <c r="DB40" s="1503"/>
      <c r="DC40" s="1503"/>
      <c r="DD40" s="1620"/>
      <c r="DE40" s="1620"/>
      <c r="DF40" s="1620"/>
      <c r="DG40" s="1620"/>
      <c r="DH40" s="1620"/>
      <c r="DI40" s="1559"/>
      <c r="DJ40" s="1620"/>
      <c r="DK40" s="1620"/>
      <c r="DL40" s="1559"/>
      <c r="DM40" s="1559"/>
      <c r="DN40" s="1620"/>
      <c r="DO40" s="1620"/>
      <c r="DP40" s="1620"/>
      <c r="DQ40" s="1620"/>
      <c r="DR40" s="1559"/>
      <c r="DS40" s="1620"/>
      <c r="DT40" s="1620"/>
      <c r="DU40" s="1620"/>
      <c r="DV40" s="1620"/>
      <c r="DW40" s="1620"/>
      <c r="DX40" s="1620"/>
      <c r="DY40" s="1620"/>
      <c r="DZ40" s="1620"/>
      <c r="EA40" s="1620"/>
      <c r="EB40" s="1620"/>
      <c r="EC40" s="1620"/>
      <c r="ED40" s="1620"/>
      <c r="EE40" s="1620"/>
      <c r="EF40" s="1620"/>
      <c r="EG40" s="1620"/>
      <c r="EH40" s="1620"/>
      <c r="EI40" s="1620"/>
      <c r="EJ40" s="1503"/>
      <c r="EK40" s="1620"/>
      <c r="EL40" s="1620"/>
      <c r="EM40" s="1620"/>
      <c r="EN40" s="1503"/>
      <c r="EO40" s="1620"/>
      <c r="EP40" s="1620"/>
      <c r="EQ40" s="1620"/>
      <c r="ER40" s="1620"/>
      <c r="ES40" s="1620"/>
      <c r="ET40" s="1620"/>
      <c r="EU40" s="1620"/>
      <c r="EV40" s="1620"/>
      <c r="EW40" s="1620"/>
      <c r="EX40" s="1620"/>
      <c r="EY40" s="1620"/>
      <c r="EZ40" s="1620"/>
      <c r="FA40" s="1620"/>
      <c r="FB40" s="1620"/>
      <c r="FC40" s="1620"/>
      <c r="FD40" s="1620"/>
      <c r="FE40" s="1620"/>
      <c r="FF40" s="1620"/>
      <c r="FG40" s="1620"/>
      <c r="FH40" s="1620"/>
      <c r="FI40" s="1620"/>
      <c r="FJ40" s="1620"/>
      <c r="FK40" s="1620"/>
      <c r="FL40" s="1620"/>
      <c r="FM40" s="1620"/>
      <c r="FN40" s="1620"/>
      <c r="FO40" s="1620"/>
      <c r="FP40" s="1620"/>
      <c r="FQ40" s="1620"/>
      <c r="FR40" s="1620"/>
      <c r="FS40" s="1620"/>
      <c r="FT40" s="1620"/>
      <c r="FU40" s="1620"/>
      <c r="FV40" s="1620"/>
      <c r="FW40" s="1620"/>
      <c r="FX40" s="1620"/>
      <c r="FY40" s="1620"/>
      <c r="FZ40" s="1620"/>
      <c r="GA40" s="1620"/>
      <c r="GB40" s="1620"/>
      <c r="GC40" s="1620"/>
      <c r="GD40" s="1620"/>
      <c r="GE40" s="1503"/>
      <c r="GF40" s="1503"/>
      <c r="GG40" s="1620"/>
      <c r="GH40" s="1620"/>
      <c r="GI40" s="1620"/>
      <c r="GJ40" s="1620"/>
      <c r="GK40" s="1620"/>
      <c r="GL40" s="1620"/>
      <c r="GM40" s="1620"/>
      <c r="GN40" s="1620"/>
      <c r="GO40" s="1620"/>
      <c r="GP40" s="1620"/>
      <c r="GQ40" s="1620"/>
      <c r="GR40" s="1620"/>
      <c r="GS40" s="1620"/>
      <c r="GT40" s="1620"/>
      <c r="GU40" s="1620"/>
      <c r="GV40" s="1620"/>
      <c r="GW40" s="1620"/>
      <c r="GX40" s="1620"/>
      <c r="GY40" s="1620"/>
      <c r="GZ40" s="1620"/>
      <c r="HA40" s="1620"/>
      <c r="HB40" s="1620"/>
      <c r="HC40" s="1620"/>
      <c r="HD40" s="1620"/>
      <c r="HE40" s="1620"/>
      <c r="HF40" s="1620"/>
      <c r="HG40" s="1620"/>
      <c r="HH40" s="1620"/>
      <c r="HI40" s="1620"/>
      <c r="HJ40" s="1620"/>
      <c r="HK40" s="1620"/>
      <c r="HL40" s="1620"/>
      <c r="HM40" s="1620"/>
      <c r="HN40" s="1620"/>
      <c r="HO40" s="1620"/>
      <c r="HP40" s="1620"/>
      <c r="HQ40" s="1620"/>
      <c r="HR40" s="1620"/>
      <c r="HS40" s="1620"/>
      <c r="HT40" s="1620"/>
      <c r="HU40" s="1620"/>
      <c r="HV40" s="1620"/>
      <c r="HW40" s="1620"/>
      <c r="HX40" s="1620"/>
      <c r="HY40" s="1620"/>
      <c r="HZ40" s="1620"/>
      <c r="IA40" s="1620"/>
      <c r="IB40" s="1620"/>
      <c r="IC40" s="1620"/>
      <c r="ID40" s="1620"/>
      <c r="IE40" s="1620"/>
      <c r="IF40" s="1620"/>
      <c r="IG40" s="1620"/>
      <c r="IH40" s="1620"/>
      <c r="II40" s="1620"/>
      <c r="IJ40" s="1620"/>
      <c r="IK40" s="1620"/>
      <c r="IL40" s="1620"/>
      <c r="IM40" s="1620"/>
      <c r="IN40" s="1620"/>
      <c r="IO40" s="1620"/>
      <c r="IP40" s="1620"/>
      <c r="IQ40" s="1620"/>
      <c r="IR40" s="1620"/>
      <c r="IS40" s="1620"/>
      <c r="IT40" s="1620"/>
      <c r="IU40" s="1620"/>
      <c r="IV40" s="1620"/>
      <c r="IW40" s="1620"/>
      <c r="IX40" s="1620"/>
      <c r="IY40" s="1620"/>
      <c r="IZ40" s="1620"/>
      <c r="JA40" s="1620"/>
      <c r="JB40" s="1620"/>
      <c r="JC40" s="1620"/>
      <c r="JD40" s="1620"/>
      <c r="JE40" s="1620"/>
      <c r="JF40" s="1620"/>
      <c r="JG40" s="1620"/>
      <c r="JH40" s="1620"/>
      <c r="JI40" s="1620"/>
      <c r="JJ40" s="1620"/>
      <c r="JK40" s="1620"/>
      <c r="JL40" s="1620"/>
      <c r="JM40" s="1620"/>
      <c r="JN40" s="1620"/>
      <c r="JO40" s="1620"/>
      <c r="JP40" s="1620"/>
      <c r="JQ40" s="1620"/>
      <c r="JR40" s="351"/>
      <c r="JS40" s="1614" t="s">
        <v>3774</v>
      </c>
      <c r="JT40" s="1615" t="s">
        <v>2224</v>
      </c>
    </row>
    <row r="41" spans="1:280" ht="12.5" x14ac:dyDescent="0.25">
      <c r="A41" s="1367">
        <v>41</v>
      </c>
      <c r="B41" s="1411" t="str">
        <f t="shared" si="1"/>
        <v/>
      </c>
      <c r="C41" s="1617" t="s">
        <v>3775</v>
      </c>
      <c r="D41" s="1612" t="s">
        <v>3776</v>
      </c>
      <c r="E41" s="1559"/>
      <c r="F41" s="1559"/>
      <c r="G41" s="1559"/>
      <c r="H41" s="1559"/>
      <c r="I41" s="1559"/>
      <c r="J41" s="1559"/>
      <c r="K41" s="1559"/>
      <c r="L41" s="1559"/>
      <c r="M41" s="1559"/>
      <c r="N41" s="1559"/>
      <c r="O41" s="1559"/>
      <c r="P41" s="1559"/>
      <c r="Q41" s="1559"/>
      <c r="R41" s="1559"/>
      <c r="S41" s="1559"/>
      <c r="T41" s="1559"/>
      <c r="U41" s="1559"/>
      <c r="V41" s="1559"/>
      <c r="W41" s="1559"/>
      <c r="X41" s="1559"/>
      <c r="Y41" s="1559"/>
      <c r="Z41" s="1559"/>
      <c r="AA41" s="1559"/>
      <c r="AB41" s="1559"/>
      <c r="AC41" s="1559"/>
      <c r="AD41" s="1559"/>
      <c r="AE41" s="1559"/>
      <c r="AF41" s="1559"/>
      <c r="AG41" s="1559"/>
      <c r="AH41" s="1559"/>
      <c r="AI41" s="1559"/>
      <c r="AJ41" s="1618"/>
      <c r="AK41" s="1559"/>
      <c r="AL41" s="1559"/>
      <c r="AM41" s="1559"/>
      <c r="AN41" s="1559"/>
      <c r="AO41" s="1559"/>
      <c r="AP41" s="1559"/>
      <c r="AQ41" s="1559"/>
      <c r="AR41" s="1559"/>
      <c r="AS41" s="1559"/>
      <c r="AT41" s="1559"/>
      <c r="AU41" s="1559"/>
      <c r="AV41" s="1559"/>
      <c r="AW41" s="1559"/>
      <c r="AX41" s="1559"/>
      <c r="AY41" s="1559"/>
      <c r="AZ41" s="1559"/>
      <c r="BA41" s="1559"/>
      <c r="BB41" s="1559"/>
      <c r="BC41" s="1559"/>
      <c r="BD41" s="1559"/>
      <c r="BE41" s="1619"/>
      <c r="BF41" s="1619"/>
      <c r="BG41" s="1559"/>
      <c r="BH41" s="1619"/>
      <c r="BI41" s="1619"/>
      <c r="BJ41" s="1619"/>
      <c r="BK41" s="1619"/>
      <c r="BL41" s="1619"/>
      <c r="BM41" s="1619"/>
      <c r="BN41" s="1619"/>
      <c r="BO41" s="1619"/>
      <c r="BP41" s="1619"/>
      <c r="BQ41" s="1619"/>
      <c r="BR41" s="1619"/>
      <c r="BS41" s="1619"/>
      <c r="BT41" s="1559"/>
      <c r="BU41" s="1619"/>
      <c r="BV41" s="1559"/>
      <c r="BW41" s="1619"/>
      <c r="BX41" s="1559"/>
      <c r="BY41" s="1619"/>
      <c r="BZ41" s="1619"/>
      <c r="CA41" s="1619"/>
      <c r="CB41" s="1559"/>
      <c r="CC41" s="1559"/>
      <c r="CD41" s="1559"/>
      <c r="CE41" s="1620"/>
      <c r="CF41" s="1620"/>
      <c r="CG41" s="1620"/>
      <c r="CH41" s="1559"/>
      <c r="CI41" s="1559"/>
      <c r="CJ41" s="1620"/>
      <c r="CK41" s="1620"/>
      <c r="CL41" s="1620"/>
      <c r="CM41" s="1620"/>
      <c r="CN41" s="1620"/>
      <c r="CO41" s="1620"/>
      <c r="CP41" s="1620"/>
      <c r="CQ41" s="1559"/>
      <c r="CR41" s="1559"/>
      <c r="CS41" s="1559"/>
      <c r="CT41" s="1559"/>
      <c r="CU41" s="1620"/>
      <c r="CV41" s="1559"/>
      <c r="CW41" s="1620"/>
      <c r="CX41" s="1620"/>
      <c r="CY41" s="1620"/>
      <c r="CZ41" s="1559"/>
      <c r="DA41" s="1559"/>
      <c r="DB41" s="1559"/>
      <c r="DC41" s="1559"/>
      <c r="DD41" s="1620"/>
      <c r="DE41" s="1620"/>
      <c r="DF41" s="1620"/>
      <c r="DG41" s="1620"/>
      <c r="DH41" s="1620"/>
      <c r="DI41" s="1559"/>
      <c r="DJ41" s="1620"/>
      <c r="DK41" s="1620"/>
      <c r="DL41" s="1559"/>
      <c r="DM41" s="1559"/>
      <c r="DN41" s="1620"/>
      <c r="DO41" s="1620"/>
      <c r="DP41" s="1620"/>
      <c r="DQ41" s="1620"/>
      <c r="DR41" s="1559"/>
      <c r="DS41" s="1620"/>
      <c r="DT41" s="1620"/>
      <c r="DU41" s="1620"/>
      <c r="DV41" s="1620"/>
      <c r="DW41" s="1620"/>
      <c r="DX41" s="1620"/>
      <c r="DY41" s="1620"/>
      <c r="DZ41" s="1620"/>
      <c r="EA41" s="1620"/>
      <c r="EB41" s="1620"/>
      <c r="EC41" s="1620"/>
      <c r="ED41" s="1620"/>
      <c r="EE41" s="1620"/>
      <c r="EF41" s="1620"/>
      <c r="EG41" s="1620"/>
      <c r="EH41" s="1620"/>
      <c r="EI41" s="1620"/>
      <c r="EJ41" s="1559"/>
      <c r="EK41" s="1620"/>
      <c r="EL41" s="1620"/>
      <c r="EM41" s="1620"/>
      <c r="EN41" s="1559"/>
      <c r="EO41" s="1620"/>
      <c r="EP41" s="1620"/>
      <c r="EQ41" s="1620"/>
      <c r="ER41" s="1620"/>
      <c r="ES41" s="1620"/>
      <c r="ET41" s="1620"/>
      <c r="EU41" s="1559"/>
      <c r="EV41" s="1620"/>
      <c r="EW41" s="1620"/>
      <c r="EX41" s="1620"/>
      <c r="EY41" s="1620"/>
      <c r="EZ41" s="1620"/>
      <c r="FA41" s="1620"/>
      <c r="FB41" s="1620"/>
      <c r="FC41" s="1620"/>
      <c r="FD41" s="1620"/>
      <c r="FE41" s="1620"/>
      <c r="FF41" s="1559"/>
      <c r="FG41" s="1620"/>
      <c r="FH41" s="1620"/>
      <c r="FI41" s="1620"/>
      <c r="FJ41" s="1620"/>
      <c r="FK41" s="1620"/>
      <c r="FL41" s="1620"/>
      <c r="FM41" s="1620"/>
      <c r="FN41" s="1620"/>
      <c r="FO41" s="1620"/>
      <c r="FP41" s="1620"/>
      <c r="FQ41" s="1620"/>
      <c r="FR41" s="1620"/>
      <c r="FS41" s="1620"/>
      <c r="FT41" s="1559"/>
      <c r="FU41" s="1559"/>
      <c r="FV41" s="1559"/>
      <c r="FW41" s="1620"/>
      <c r="FX41" s="1559"/>
      <c r="FY41" s="1620"/>
      <c r="FZ41" s="1620"/>
      <c r="GA41" s="1620"/>
      <c r="GB41" s="1620"/>
      <c r="GC41" s="1620"/>
      <c r="GD41" s="1620"/>
      <c r="GE41" s="1559"/>
      <c r="GF41" s="1559"/>
      <c r="GG41" s="1559"/>
      <c r="GH41" s="1620"/>
      <c r="GI41" s="1620"/>
      <c r="GJ41" s="1559"/>
      <c r="GK41" s="1620"/>
      <c r="GL41" s="1620"/>
      <c r="GM41" s="1620"/>
      <c r="GN41" s="1620"/>
      <c r="GO41" s="1620"/>
      <c r="GP41" s="1620"/>
      <c r="GQ41" s="1620"/>
      <c r="GR41" s="1620"/>
      <c r="GS41" s="1620"/>
      <c r="GT41" s="1620"/>
      <c r="GU41" s="1620"/>
      <c r="GV41" s="1620"/>
      <c r="GW41" s="1559"/>
      <c r="GX41" s="1559"/>
      <c r="GY41" s="1620"/>
      <c r="GZ41" s="1620"/>
      <c r="HA41" s="1620"/>
      <c r="HB41" s="1559"/>
      <c r="HC41" s="1620"/>
      <c r="HD41" s="1559"/>
      <c r="HE41" s="1620"/>
      <c r="HF41" s="1559"/>
      <c r="HG41" s="1559"/>
      <c r="HH41" s="1620"/>
      <c r="HI41" s="1620"/>
      <c r="HJ41" s="1620"/>
      <c r="HK41" s="1620"/>
      <c r="HL41" s="1620"/>
      <c r="HM41" s="1620"/>
      <c r="HN41" s="1620"/>
      <c r="HO41" s="1620"/>
      <c r="HP41" s="1620"/>
      <c r="HQ41" s="1620"/>
      <c r="HR41" s="1620"/>
      <c r="HS41" s="1559"/>
      <c r="HT41" s="1620"/>
      <c r="HU41" s="1620"/>
      <c r="HV41" s="1620"/>
      <c r="HW41" s="1620"/>
      <c r="HX41" s="1620"/>
      <c r="HY41" s="1620"/>
      <c r="HZ41" s="1559"/>
      <c r="IA41" s="1620"/>
      <c r="IB41" s="1620"/>
      <c r="IC41" s="1620"/>
      <c r="ID41" s="1620"/>
      <c r="IE41" s="1620"/>
      <c r="IF41" s="1620"/>
      <c r="IG41" s="1620"/>
      <c r="IH41" s="1620"/>
      <c r="II41" s="1620"/>
      <c r="IJ41" s="1620"/>
      <c r="IK41" s="1620"/>
      <c r="IL41" s="1620"/>
      <c r="IM41" s="1620"/>
      <c r="IN41" s="1620"/>
      <c r="IO41" s="1619"/>
      <c r="IP41" s="1620"/>
      <c r="IQ41" s="1620"/>
      <c r="IR41" s="1620"/>
      <c r="IS41" s="1620"/>
      <c r="IT41" s="1620"/>
      <c r="IU41" s="1620"/>
      <c r="IV41" s="1620"/>
      <c r="IW41" s="1620"/>
      <c r="IX41" s="1559"/>
      <c r="IY41" s="1618"/>
      <c r="IZ41" s="1559"/>
      <c r="JA41" s="1559"/>
      <c r="JB41" s="1559"/>
      <c r="JC41" s="1559"/>
      <c r="JD41" s="1559"/>
      <c r="JE41" s="1559"/>
      <c r="JF41" s="1559"/>
      <c r="JG41" s="1559"/>
      <c r="JH41" s="1620"/>
      <c r="JI41" s="1620"/>
      <c r="JJ41" s="1620"/>
      <c r="JK41" s="1620"/>
      <c r="JL41" s="1620"/>
      <c r="JM41" s="1620"/>
      <c r="JN41" s="1620"/>
      <c r="JO41" s="1620"/>
      <c r="JP41" s="1620"/>
      <c r="JQ41" s="1620"/>
      <c r="JR41" s="351"/>
      <c r="JS41" s="1614"/>
      <c r="JT41" s="1615" t="s">
        <v>2224</v>
      </c>
    </row>
    <row r="42" spans="1:280" ht="30" x14ac:dyDescent="0.25">
      <c r="A42" s="1367">
        <v>42</v>
      </c>
      <c r="B42" s="1411" t="str">
        <f t="shared" si="1"/>
        <v/>
      </c>
      <c r="C42" s="1617" t="s">
        <v>3777</v>
      </c>
      <c r="D42" s="1612" t="s">
        <v>3778</v>
      </c>
      <c r="E42" s="1457"/>
      <c r="F42" s="1457"/>
      <c r="G42" s="1457"/>
      <c r="H42" s="1457"/>
      <c r="I42" s="1457"/>
      <c r="J42" s="1457"/>
      <c r="K42" s="1457"/>
      <c r="L42" s="1457"/>
      <c r="M42" s="1457"/>
      <c r="N42" s="1457"/>
      <c r="O42" s="1457"/>
      <c r="P42" s="1457"/>
      <c r="Q42" s="1457"/>
      <c r="R42" s="1457"/>
      <c r="S42" s="1457"/>
      <c r="T42" s="1457"/>
      <c r="U42" s="1457"/>
      <c r="V42" s="1457"/>
      <c r="W42" s="1457"/>
      <c r="X42" s="1457"/>
      <c r="Y42" s="1457"/>
      <c r="Z42" s="1457"/>
      <c r="AA42" s="1457"/>
      <c r="AB42" s="1457"/>
      <c r="AC42" s="1457"/>
      <c r="AD42" s="1457"/>
      <c r="AE42" s="1457"/>
      <c r="AF42" s="1457"/>
      <c r="AG42" s="1457"/>
      <c r="AH42" s="1457"/>
      <c r="AI42" s="1457"/>
      <c r="AJ42" s="1381"/>
      <c r="AK42" s="1457"/>
      <c r="AL42" s="1457"/>
      <c r="AM42" s="1457"/>
      <c r="AN42" s="1457"/>
      <c r="AO42" s="1457"/>
      <c r="AP42" s="1457"/>
      <c r="AQ42" s="1457"/>
      <c r="AR42" s="1457"/>
      <c r="AS42" s="1457"/>
      <c r="AT42" s="1457"/>
      <c r="AU42" s="1457"/>
      <c r="AV42" s="1457"/>
      <c r="AW42" s="1457"/>
      <c r="AX42" s="1457"/>
      <c r="AY42" s="1457"/>
      <c r="AZ42" s="1457"/>
      <c r="BA42" s="1457"/>
      <c r="BB42" s="1457"/>
      <c r="BC42" s="1457"/>
      <c r="BD42" s="1457"/>
      <c r="BE42" s="1622"/>
      <c r="BF42" s="1622"/>
      <c r="BG42" s="1457"/>
      <c r="BH42" s="1622"/>
      <c r="BI42" s="1622"/>
      <c r="BJ42" s="1622"/>
      <c r="BK42" s="1622"/>
      <c r="BL42" s="1622"/>
      <c r="BM42" s="1622"/>
      <c r="BN42" s="1622"/>
      <c r="BO42" s="1622"/>
      <c r="BP42" s="1622"/>
      <c r="BQ42" s="1622"/>
      <c r="BR42" s="1622"/>
      <c r="BS42" s="1622"/>
      <c r="BT42" s="1457"/>
      <c r="BU42" s="1622"/>
      <c r="BV42" s="1457"/>
      <c r="BW42" s="1622"/>
      <c r="BX42" s="1457"/>
      <c r="BY42" s="1622"/>
      <c r="BZ42" s="1622"/>
      <c r="CA42" s="1622"/>
      <c r="CB42" s="1457"/>
      <c r="CC42" s="1457"/>
      <c r="CD42" s="1457"/>
      <c r="CE42" s="1623"/>
      <c r="CF42" s="1623"/>
      <c r="CG42" s="1623"/>
      <c r="CH42" s="1457"/>
      <c r="CI42" s="1457"/>
      <c r="CJ42" s="1623"/>
      <c r="CK42" s="1623"/>
      <c r="CL42" s="1623"/>
      <c r="CM42" s="1623"/>
      <c r="CN42" s="1623"/>
      <c r="CO42" s="1623"/>
      <c r="CP42" s="1623"/>
      <c r="CQ42" s="1457"/>
      <c r="CR42" s="1457"/>
      <c r="CS42" s="1457"/>
      <c r="CT42" s="1457"/>
      <c r="CU42" s="1623"/>
      <c r="CV42" s="1457"/>
      <c r="CW42" s="1623"/>
      <c r="CX42" s="1623"/>
      <c r="CY42" s="1623"/>
      <c r="CZ42" s="1457"/>
      <c r="DA42" s="1457"/>
      <c r="DB42" s="1457"/>
      <c r="DC42" s="1457"/>
      <c r="DD42" s="1623"/>
      <c r="DE42" s="1623"/>
      <c r="DF42" s="1623"/>
      <c r="DG42" s="1623"/>
      <c r="DH42" s="1623"/>
      <c r="DI42" s="1457"/>
      <c r="DJ42" s="1623"/>
      <c r="DK42" s="1623"/>
      <c r="DL42" s="1457"/>
      <c r="DM42" s="1457"/>
      <c r="DN42" s="1623"/>
      <c r="DO42" s="1623"/>
      <c r="DP42" s="1623"/>
      <c r="DQ42" s="1623"/>
      <c r="DR42" s="1457"/>
      <c r="DS42" s="1623"/>
      <c r="DT42" s="1623"/>
      <c r="DU42" s="1623"/>
      <c r="DV42" s="1623"/>
      <c r="DW42" s="1623"/>
      <c r="DX42" s="1623"/>
      <c r="DY42" s="1623"/>
      <c r="DZ42" s="1623"/>
      <c r="EA42" s="1623"/>
      <c r="EB42" s="1623"/>
      <c r="EC42" s="1623"/>
      <c r="ED42" s="1623"/>
      <c r="EE42" s="1623"/>
      <c r="EF42" s="1623"/>
      <c r="EG42" s="1623"/>
      <c r="EH42" s="1623"/>
      <c r="EI42" s="1623"/>
      <c r="EJ42" s="1458"/>
      <c r="EK42" s="1623"/>
      <c r="EL42" s="1623"/>
      <c r="EM42" s="1623"/>
      <c r="EN42" s="1457"/>
      <c r="EO42" s="1623"/>
      <c r="EP42" s="1623"/>
      <c r="EQ42" s="1623"/>
      <c r="ER42" s="1623"/>
      <c r="ES42" s="1623"/>
      <c r="ET42" s="1623"/>
      <c r="EU42" s="1457"/>
      <c r="EV42" s="1623"/>
      <c r="EW42" s="1623"/>
      <c r="EX42" s="1623"/>
      <c r="EY42" s="1623"/>
      <c r="EZ42" s="1623"/>
      <c r="FA42" s="1623"/>
      <c r="FB42" s="1623"/>
      <c r="FC42" s="1623"/>
      <c r="FD42" s="1623"/>
      <c r="FE42" s="1623"/>
      <c r="FF42" s="1457"/>
      <c r="FG42" s="1623"/>
      <c r="FH42" s="1623"/>
      <c r="FI42" s="1623"/>
      <c r="FJ42" s="1623"/>
      <c r="FK42" s="1623"/>
      <c r="FL42" s="1623"/>
      <c r="FM42" s="1623"/>
      <c r="FN42" s="1623"/>
      <c r="FO42" s="1623"/>
      <c r="FP42" s="1623"/>
      <c r="FQ42" s="1623"/>
      <c r="FR42" s="1623"/>
      <c r="FS42" s="1623"/>
      <c r="FT42" s="1457"/>
      <c r="FU42" s="1457"/>
      <c r="FV42" s="1457"/>
      <c r="FW42" s="1623"/>
      <c r="FX42" s="1457"/>
      <c r="FY42" s="1623"/>
      <c r="FZ42" s="1623"/>
      <c r="GA42" s="1623"/>
      <c r="GB42" s="1623"/>
      <c r="GC42" s="1623"/>
      <c r="GD42" s="1623"/>
      <c r="GE42" s="1457"/>
      <c r="GF42" s="1457"/>
      <c r="GG42" s="1457"/>
      <c r="GH42" s="1623"/>
      <c r="GI42" s="1623"/>
      <c r="GJ42" s="1457"/>
      <c r="GK42" s="1623"/>
      <c r="GL42" s="1623"/>
      <c r="GM42" s="1623"/>
      <c r="GN42" s="1623"/>
      <c r="GO42" s="1623"/>
      <c r="GP42" s="1623"/>
      <c r="GQ42" s="1623"/>
      <c r="GR42" s="1623"/>
      <c r="GS42" s="1623"/>
      <c r="GT42" s="1623"/>
      <c r="GU42" s="1623"/>
      <c r="GV42" s="1623"/>
      <c r="GW42" s="1457"/>
      <c r="GX42" s="1457"/>
      <c r="GY42" s="1623"/>
      <c r="GZ42" s="1623"/>
      <c r="HA42" s="1623"/>
      <c r="HB42" s="1457"/>
      <c r="HC42" s="1623"/>
      <c r="HD42" s="1457"/>
      <c r="HE42" s="1623"/>
      <c r="HF42" s="1457"/>
      <c r="HG42" s="1457"/>
      <c r="HH42" s="1623"/>
      <c r="HI42" s="1623"/>
      <c r="HJ42" s="1623"/>
      <c r="HK42" s="1623"/>
      <c r="HL42" s="1623"/>
      <c r="HM42" s="1623"/>
      <c r="HN42" s="1623"/>
      <c r="HO42" s="1623"/>
      <c r="HP42" s="1623"/>
      <c r="HQ42" s="1623"/>
      <c r="HR42" s="1623"/>
      <c r="HS42" s="1457"/>
      <c r="HT42" s="1623"/>
      <c r="HU42" s="1623"/>
      <c r="HV42" s="1623"/>
      <c r="HW42" s="1623"/>
      <c r="HX42" s="1623"/>
      <c r="HY42" s="1623"/>
      <c r="HZ42" s="1458"/>
      <c r="IA42" s="1623"/>
      <c r="IB42" s="1623"/>
      <c r="IC42" s="1623"/>
      <c r="ID42" s="1623"/>
      <c r="IE42" s="1623"/>
      <c r="IF42" s="1623"/>
      <c r="IG42" s="1623"/>
      <c r="IH42" s="1623"/>
      <c r="II42" s="1623"/>
      <c r="IJ42" s="1623"/>
      <c r="IK42" s="1623"/>
      <c r="IL42" s="1623"/>
      <c r="IM42" s="1623"/>
      <c r="IN42" s="1623"/>
      <c r="IO42" s="1622"/>
      <c r="IP42" s="1623"/>
      <c r="IQ42" s="1623"/>
      <c r="IR42" s="1623"/>
      <c r="IS42" s="1623"/>
      <c r="IT42" s="1623"/>
      <c r="IU42" s="1623"/>
      <c r="IV42" s="1623"/>
      <c r="IW42" s="1623"/>
      <c r="IX42" s="1457"/>
      <c r="IY42" s="1381"/>
      <c r="IZ42" s="1457"/>
      <c r="JA42" s="1457"/>
      <c r="JB42" s="1457"/>
      <c r="JC42" s="1457"/>
      <c r="JD42" s="1457"/>
      <c r="JE42" s="1457"/>
      <c r="JF42" s="1457"/>
      <c r="JG42" s="1457"/>
      <c r="JH42" s="1623"/>
      <c r="JI42" s="1623"/>
      <c r="JJ42" s="1623"/>
      <c r="JK42" s="1623"/>
      <c r="JL42" s="1623"/>
      <c r="JM42" s="1623"/>
      <c r="JN42" s="1623"/>
      <c r="JO42" s="1623"/>
      <c r="JP42" s="1623"/>
      <c r="JQ42" s="1611"/>
      <c r="JR42" s="351"/>
      <c r="JS42" s="1614" t="s">
        <v>3779</v>
      </c>
      <c r="JT42" s="1615" t="s">
        <v>2319</v>
      </c>
    </row>
    <row r="43" spans="1:280" thickBot="1" x14ac:dyDescent="0.3">
      <c r="A43" s="1367">
        <v>43</v>
      </c>
      <c r="B43" s="1411" t="str">
        <f t="shared" si="1"/>
        <v/>
      </c>
      <c r="C43" s="2550" t="s">
        <v>3780</v>
      </c>
      <c r="D43" s="1016" t="s">
        <v>3781</v>
      </c>
      <c r="E43" s="1457"/>
      <c r="F43" s="1457"/>
      <c r="G43" s="1457"/>
      <c r="H43" s="1457"/>
      <c r="I43" s="1457"/>
      <c r="J43" s="1457"/>
      <c r="K43" s="1457"/>
      <c r="L43" s="1457"/>
      <c r="M43" s="1457"/>
      <c r="N43" s="1457"/>
      <c r="O43" s="1457"/>
      <c r="P43" s="1457"/>
      <c r="Q43" s="1457"/>
      <c r="R43" s="1457"/>
      <c r="S43" s="1457"/>
      <c r="T43" s="1457"/>
      <c r="U43" s="1457"/>
      <c r="V43" s="1457"/>
      <c r="W43" s="1457"/>
      <c r="X43" s="1457"/>
      <c r="Y43" s="1457"/>
      <c r="Z43" s="1457"/>
      <c r="AA43" s="1457"/>
      <c r="AB43" s="1457"/>
      <c r="AC43" s="1457"/>
      <c r="AD43" s="1457"/>
      <c r="AE43" s="1457"/>
      <c r="AF43" s="1457"/>
      <c r="AG43" s="1457"/>
      <c r="AH43" s="1457"/>
      <c r="AI43" s="1457"/>
      <c r="AJ43" s="1381"/>
      <c r="AK43" s="1457"/>
      <c r="AL43" s="1457"/>
      <c r="AM43" s="1457"/>
      <c r="AN43" s="1457"/>
      <c r="AO43" s="1457"/>
      <c r="AP43" s="1457"/>
      <c r="AQ43" s="1457"/>
      <c r="AR43" s="1457"/>
      <c r="AS43" s="1457"/>
      <c r="AT43" s="1457"/>
      <c r="AU43" s="1457"/>
      <c r="AV43" s="1457"/>
      <c r="AW43" s="1457"/>
      <c r="AX43" s="1457"/>
      <c r="AY43" s="1457"/>
      <c r="AZ43" s="1457"/>
      <c r="BA43" s="1457"/>
      <c r="BB43" s="1457"/>
      <c r="BC43" s="1457"/>
      <c r="BD43" s="1457"/>
      <c r="BE43" s="1622"/>
      <c r="BF43" s="1622"/>
      <c r="BG43" s="1457"/>
      <c r="BH43" s="1622"/>
      <c r="BI43" s="1622"/>
      <c r="BJ43" s="1622"/>
      <c r="BK43" s="1622"/>
      <c r="BL43" s="1622"/>
      <c r="BM43" s="1622"/>
      <c r="BN43" s="1622"/>
      <c r="BO43" s="1622"/>
      <c r="BP43" s="1622"/>
      <c r="BQ43" s="1622"/>
      <c r="BR43" s="1622"/>
      <c r="BS43" s="1622"/>
      <c r="BT43" s="1457"/>
      <c r="BU43" s="1622"/>
      <c r="BV43" s="1457"/>
      <c r="BW43" s="1622"/>
      <c r="BX43" s="1457"/>
      <c r="BY43" s="1622"/>
      <c r="BZ43" s="1622"/>
      <c r="CA43" s="1622"/>
      <c r="CB43" s="1457"/>
      <c r="CC43" s="1457"/>
      <c r="CD43" s="1457"/>
      <c r="CE43" s="1623"/>
      <c r="CF43" s="1623"/>
      <c r="CG43" s="1623"/>
      <c r="CH43" s="1457"/>
      <c r="CI43" s="1457"/>
      <c r="CJ43" s="1623"/>
      <c r="CK43" s="1623"/>
      <c r="CL43" s="1623"/>
      <c r="CM43" s="1623"/>
      <c r="CN43" s="1623"/>
      <c r="CO43" s="1623"/>
      <c r="CP43" s="1623"/>
      <c r="CQ43" s="1457"/>
      <c r="CR43" s="1457"/>
      <c r="CS43" s="1457"/>
      <c r="CT43" s="1457"/>
      <c r="CU43" s="1623"/>
      <c r="CV43" s="1457"/>
      <c r="CW43" s="1623"/>
      <c r="CX43" s="1623"/>
      <c r="CY43" s="1623"/>
      <c r="CZ43" s="1457"/>
      <c r="DA43" s="1457"/>
      <c r="DB43" s="1457"/>
      <c r="DC43" s="1457"/>
      <c r="DD43" s="1623"/>
      <c r="DE43" s="1623"/>
      <c r="DF43" s="1623"/>
      <c r="DG43" s="1623"/>
      <c r="DH43" s="1623"/>
      <c r="DI43" s="1457"/>
      <c r="DJ43" s="1623"/>
      <c r="DK43" s="1623"/>
      <c r="DL43" s="1457"/>
      <c r="DM43" s="1457"/>
      <c r="DN43" s="1623"/>
      <c r="DO43" s="1623"/>
      <c r="DP43" s="1623"/>
      <c r="DQ43" s="1623"/>
      <c r="DR43" s="1457"/>
      <c r="DS43" s="1623"/>
      <c r="DT43" s="1623"/>
      <c r="DU43" s="1623"/>
      <c r="DV43" s="1623"/>
      <c r="DW43" s="1623"/>
      <c r="DX43" s="1623"/>
      <c r="DY43" s="1623"/>
      <c r="DZ43" s="1623"/>
      <c r="EA43" s="1623"/>
      <c r="EB43" s="1623"/>
      <c r="EC43" s="1623"/>
      <c r="ED43" s="1623"/>
      <c r="EE43" s="1623"/>
      <c r="EF43" s="1623"/>
      <c r="EG43" s="1623"/>
      <c r="EH43" s="1623"/>
      <c r="EI43" s="1623"/>
      <c r="EJ43" s="1457"/>
      <c r="EK43" s="1623"/>
      <c r="EL43" s="1623"/>
      <c r="EM43" s="1623"/>
      <c r="EN43" s="1457"/>
      <c r="EO43" s="1623"/>
      <c r="EP43" s="1623"/>
      <c r="EQ43" s="1623"/>
      <c r="ER43" s="1623"/>
      <c r="ES43" s="1623"/>
      <c r="ET43" s="1623"/>
      <c r="EU43" s="1457"/>
      <c r="EV43" s="1623"/>
      <c r="EW43" s="1623"/>
      <c r="EX43" s="1623"/>
      <c r="EY43" s="1623"/>
      <c r="EZ43" s="1623"/>
      <c r="FA43" s="1623"/>
      <c r="FB43" s="1623"/>
      <c r="FC43" s="1623"/>
      <c r="FD43" s="1623"/>
      <c r="FE43" s="1623"/>
      <c r="FF43" s="1457"/>
      <c r="FG43" s="1623"/>
      <c r="FH43" s="1623"/>
      <c r="FI43" s="1623"/>
      <c r="FJ43" s="1623"/>
      <c r="FK43" s="1623"/>
      <c r="FL43" s="1623"/>
      <c r="FM43" s="1623"/>
      <c r="FN43" s="1623"/>
      <c r="FO43" s="1623"/>
      <c r="FP43" s="1623"/>
      <c r="FQ43" s="1623"/>
      <c r="FR43" s="1623"/>
      <c r="FS43" s="1623"/>
      <c r="FT43" s="1457"/>
      <c r="FU43" s="1457"/>
      <c r="FV43" s="1457"/>
      <c r="FW43" s="1623"/>
      <c r="FX43" s="1457"/>
      <c r="FY43" s="1623"/>
      <c r="FZ43" s="1623"/>
      <c r="GA43" s="1623"/>
      <c r="GB43" s="1623"/>
      <c r="GC43" s="1623"/>
      <c r="GD43" s="1623"/>
      <c r="GE43" s="1457"/>
      <c r="GF43" s="1457"/>
      <c r="GG43" s="1457"/>
      <c r="GH43" s="1623"/>
      <c r="GI43" s="1623"/>
      <c r="GJ43" s="1457"/>
      <c r="GK43" s="1623"/>
      <c r="GL43" s="1623"/>
      <c r="GM43" s="1623"/>
      <c r="GN43" s="1623"/>
      <c r="GO43" s="1623"/>
      <c r="GP43" s="1623"/>
      <c r="GQ43" s="1623"/>
      <c r="GR43" s="1623"/>
      <c r="GS43" s="1623"/>
      <c r="GT43" s="1623"/>
      <c r="GU43" s="1623"/>
      <c r="GV43" s="1623"/>
      <c r="GW43" s="1457"/>
      <c r="GX43" s="1457"/>
      <c r="GY43" s="1623"/>
      <c r="GZ43" s="1623"/>
      <c r="HA43" s="1623"/>
      <c r="HB43" s="1457"/>
      <c r="HC43" s="1623"/>
      <c r="HD43" s="1457"/>
      <c r="HE43" s="1623"/>
      <c r="HF43" s="1457"/>
      <c r="HG43" s="1457"/>
      <c r="HH43" s="1623"/>
      <c r="HI43" s="1623"/>
      <c r="HJ43" s="1623"/>
      <c r="HK43" s="1623"/>
      <c r="HL43" s="1623"/>
      <c r="HM43" s="1623"/>
      <c r="HN43" s="1623"/>
      <c r="HO43" s="1623"/>
      <c r="HP43" s="1623"/>
      <c r="HQ43" s="1623"/>
      <c r="HR43" s="1626"/>
      <c r="HS43" s="818"/>
      <c r="HT43" s="1626"/>
      <c r="HU43" s="1626"/>
      <c r="HV43" s="1626"/>
      <c r="HW43" s="1626"/>
      <c r="HX43" s="1626"/>
      <c r="HY43" s="1626"/>
      <c r="HZ43" s="1623"/>
      <c r="IA43" s="1623"/>
      <c r="IB43" s="1623"/>
      <c r="IC43" s="1623"/>
      <c r="ID43" s="1623"/>
      <c r="IE43" s="1623"/>
      <c r="IF43" s="1623"/>
      <c r="IG43" s="1623"/>
      <c r="IH43" s="1623"/>
      <c r="II43" s="1623"/>
      <c r="IJ43" s="1623"/>
      <c r="IK43" s="1623"/>
      <c r="IL43" s="1623"/>
      <c r="IM43" s="1623"/>
      <c r="IN43" s="1623"/>
      <c r="IO43" s="1622"/>
      <c r="IP43" s="1623"/>
      <c r="IQ43" s="1623"/>
      <c r="IR43" s="1623"/>
      <c r="IS43" s="1623"/>
      <c r="IT43" s="1623"/>
      <c r="IU43" s="1623"/>
      <c r="IV43" s="1623"/>
      <c r="IW43" s="1623"/>
      <c r="IX43" s="1457"/>
      <c r="IY43" s="1381"/>
      <c r="IZ43" s="1457"/>
      <c r="JA43" s="1457"/>
      <c r="JB43" s="1457"/>
      <c r="JC43" s="1457"/>
      <c r="JD43" s="1457"/>
      <c r="JE43" s="1457"/>
      <c r="JF43" s="1457"/>
      <c r="JG43" s="1457"/>
      <c r="JH43" s="1623"/>
      <c r="JI43" s="1623"/>
      <c r="JJ43" s="1623"/>
      <c r="JK43" s="1623"/>
      <c r="JL43" s="1623"/>
      <c r="JM43" s="1623"/>
      <c r="JN43" s="1623"/>
      <c r="JO43" s="1623"/>
      <c r="JP43" s="1623"/>
      <c r="JQ43" s="1611"/>
      <c r="JR43" s="351"/>
      <c r="JS43" s="1614"/>
      <c r="JT43" s="1615" t="s">
        <v>2319</v>
      </c>
    </row>
    <row r="44" spans="1:280" ht="12.5" x14ac:dyDescent="0.25">
      <c r="A44" s="1367">
        <v>44</v>
      </c>
      <c r="B44" s="1411" t="str">
        <f t="shared" si="1"/>
        <v/>
      </c>
      <c r="C44" s="2551" t="s">
        <v>3782</v>
      </c>
      <c r="D44" s="1032" t="s">
        <v>3783</v>
      </c>
      <c r="E44" s="1452">
        <v>25790</v>
      </c>
      <c r="F44" s="1452">
        <v>19600</v>
      </c>
      <c r="G44" s="1452"/>
      <c r="H44" s="1452"/>
      <c r="I44" s="1452"/>
      <c r="J44" s="1452"/>
      <c r="K44" s="1452"/>
      <c r="L44" s="1452"/>
      <c r="M44" s="1452">
        <v>9300</v>
      </c>
      <c r="N44" s="1452"/>
      <c r="O44" s="1452">
        <v>9675</v>
      </c>
      <c r="P44" s="1452"/>
      <c r="Q44" s="1452">
        <v>3000</v>
      </c>
      <c r="R44" s="1452"/>
      <c r="S44" s="1452"/>
      <c r="T44" s="1452">
        <v>84999</v>
      </c>
      <c r="U44" s="1452">
        <v>17800</v>
      </c>
      <c r="V44" s="1452"/>
      <c r="W44" s="1452"/>
      <c r="X44" s="1452"/>
      <c r="Y44" s="1452"/>
      <c r="Z44" s="1452">
        <v>77332</v>
      </c>
      <c r="AA44" s="1452">
        <v>7252</v>
      </c>
      <c r="AB44" s="1452"/>
      <c r="AC44" s="1452">
        <v>17800</v>
      </c>
      <c r="AD44" s="1452"/>
      <c r="AE44" s="1452">
        <v>10000</v>
      </c>
      <c r="AF44" s="1452"/>
      <c r="AG44" s="1452"/>
      <c r="AH44" s="1452"/>
      <c r="AI44" s="1452"/>
      <c r="AJ44" s="1452"/>
      <c r="AK44" s="1452">
        <v>47652</v>
      </c>
      <c r="AL44" s="1452"/>
      <c r="AM44" s="1452"/>
      <c r="AN44" s="1452">
        <v>11476</v>
      </c>
      <c r="AO44" s="1452">
        <v>500</v>
      </c>
      <c r="AP44" s="1452"/>
      <c r="AQ44" s="1452">
        <v>8650</v>
      </c>
      <c r="AR44" s="1452"/>
      <c r="AS44" s="1452">
        <v>175800</v>
      </c>
      <c r="AT44" s="1452"/>
      <c r="AU44" s="1452"/>
      <c r="AV44" s="1452"/>
      <c r="AW44" s="1452">
        <v>45000</v>
      </c>
      <c r="AX44" s="1452"/>
      <c r="AY44" s="1454">
        <v>14340</v>
      </c>
      <c r="AZ44" s="1452">
        <v>45000</v>
      </c>
      <c r="BA44" s="1452"/>
      <c r="BB44" s="1454">
        <v>29750</v>
      </c>
      <c r="BC44" s="1452"/>
      <c r="BD44" s="1452">
        <v>7800</v>
      </c>
      <c r="BE44" s="1452"/>
      <c r="BF44" s="1452"/>
      <c r="BG44" s="1454"/>
      <c r="BH44" s="1452"/>
      <c r="BI44" s="1452"/>
      <c r="BJ44" s="1452"/>
      <c r="BK44" s="1452">
        <v>61411</v>
      </c>
      <c r="BL44" s="1452"/>
      <c r="BM44" s="1452"/>
      <c r="BN44" s="1452"/>
      <c r="BO44" s="1452"/>
      <c r="BP44" s="1454">
        <v>12937</v>
      </c>
      <c r="BQ44" s="1452"/>
      <c r="BR44" s="1452"/>
      <c r="BS44" s="1452"/>
      <c r="BT44" s="1454"/>
      <c r="BU44" s="1452"/>
      <c r="BV44" s="1454">
        <v>23546</v>
      </c>
      <c r="BW44" s="1452"/>
      <c r="BX44" s="1452">
        <v>15611</v>
      </c>
      <c r="BY44" s="1452"/>
      <c r="BZ44" s="1452"/>
      <c r="CA44" s="1452"/>
      <c r="CB44" s="1454">
        <v>1061254</v>
      </c>
      <c r="CC44" s="1452">
        <v>45000</v>
      </c>
      <c r="CD44" s="1454">
        <v>16027</v>
      </c>
      <c r="CE44" s="1455"/>
      <c r="CF44" s="1455"/>
      <c r="CG44" s="1455"/>
      <c r="CH44" s="1452">
        <v>7800</v>
      </c>
      <c r="CI44" s="1454">
        <v>31865</v>
      </c>
      <c r="CJ44" s="1472">
        <v>160489</v>
      </c>
      <c r="CK44" s="1455"/>
      <c r="CL44" s="1455"/>
      <c r="CM44" s="1455"/>
      <c r="CN44" s="1455">
        <v>184983</v>
      </c>
      <c r="CO44" s="1455"/>
      <c r="CP44" s="1455"/>
      <c r="CQ44" s="1454">
        <v>47389</v>
      </c>
      <c r="CR44" s="1452">
        <v>45005</v>
      </c>
      <c r="CS44" s="1452">
        <v>45005</v>
      </c>
      <c r="CT44" s="1454">
        <v>15823</v>
      </c>
      <c r="CU44" s="1455"/>
      <c r="CV44" s="1454"/>
      <c r="CW44" s="1455"/>
      <c r="CX44" s="1455"/>
      <c r="CY44" s="1455"/>
      <c r="CZ44" s="1452">
        <v>45000</v>
      </c>
      <c r="DA44" s="1452">
        <v>45000</v>
      </c>
      <c r="DB44" s="1452">
        <v>50672</v>
      </c>
      <c r="DC44" s="1454">
        <v>31865</v>
      </c>
      <c r="DD44" s="1455"/>
      <c r="DE44" s="1455"/>
      <c r="DF44" s="1455"/>
      <c r="DG44" s="1455"/>
      <c r="DH44" s="1455"/>
      <c r="DI44" s="1452">
        <v>38400</v>
      </c>
      <c r="DJ44" s="1472">
        <v>48999</v>
      </c>
      <c r="DK44" s="1455"/>
      <c r="DL44" s="1452">
        <v>38400</v>
      </c>
      <c r="DM44" s="1454">
        <v>31865</v>
      </c>
      <c r="DN44" s="1455"/>
      <c r="DO44" s="1455"/>
      <c r="DP44" s="1455"/>
      <c r="DQ44" s="1455"/>
      <c r="DR44" s="1454">
        <v>127045</v>
      </c>
      <c r="DS44" s="1455"/>
      <c r="DT44" s="1455"/>
      <c r="DU44" s="1455"/>
      <c r="DV44" s="1455"/>
      <c r="DW44" s="1455">
        <v>5940</v>
      </c>
      <c r="DX44" s="1472">
        <v>4000</v>
      </c>
      <c r="DY44" s="1472">
        <v>4800</v>
      </c>
      <c r="DZ44" s="1455"/>
      <c r="EA44" s="1455"/>
      <c r="EB44" s="1472">
        <v>16065</v>
      </c>
      <c r="EC44" s="1455"/>
      <c r="ED44" s="1455"/>
      <c r="EE44" s="1472">
        <v>26045</v>
      </c>
      <c r="EF44" s="1455"/>
      <c r="EG44" s="1455"/>
      <c r="EH44" s="1472">
        <v>3500</v>
      </c>
      <c r="EI44" s="1455"/>
      <c r="EJ44" s="1452">
        <v>8000</v>
      </c>
      <c r="EK44" s="1455"/>
      <c r="EL44" s="1455"/>
      <c r="EM44" s="1455"/>
      <c r="EN44" s="1454">
        <v>91776</v>
      </c>
      <c r="EO44" s="1472">
        <v>23802</v>
      </c>
      <c r="EP44" s="1472">
        <v>1944</v>
      </c>
      <c r="EQ44" s="1472">
        <v>22592</v>
      </c>
      <c r="ER44" s="1455"/>
      <c r="ES44" s="1455"/>
      <c r="ET44" s="1472">
        <v>1124836</v>
      </c>
      <c r="EU44" s="1452">
        <v>45005</v>
      </c>
      <c r="EV44" s="1472">
        <v>45006</v>
      </c>
      <c r="EW44" s="1455"/>
      <c r="EX44" s="1455"/>
      <c r="EY44" s="1455"/>
      <c r="EZ44" s="1472">
        <v>108163</v>
      </c>
      <c r="FA44" s="1455"/>
      <c r="FB44" s="1455"/>
      <c r="FC44" s="1455"/>
      <c r="FD44" s="1455"/>
      <c r="FE44" s="1455"/>
      <c r="FF44" s="1452">
        <v>7800</v>
      </c>
      <c r="FG44" s="1455"/>
      <c r="FH44" s="1455"/>
      <c r="FI44" s="1455"/>
      <c r="FJ44" s="1455"/>
      <c r="FK44" s="1455"/>
      <c r="FL44" s="1455"/>
      <c r="FM44" s="1455"/>
      <c r="FN44" s="1455"/>
      <c r="FO44" s="1455"/>
      <c r="FP44" s="1455"/>
      <c r="FQ44" s="1455"/>
      <c r="FR44" s="1455"/>
      <c r="FS44" s="1455"/>
      <c r="FT44" s="1452">
        <v>45000</v>
      </c>
      <c r="FU44" s="1452">
        <v>45000</v>
      </c>
      <c r="FV44" s="1454">
        <v>15823</v>
      </c>
      <c r="FW44" s="1455"/>
      <c r="FX44" s="1452">
        <v>45005</v>
      </c>
      <c r="FY44" s="1455"/>
      <c r="FZ44" s="1455"/>
      <c r="GA44" s="1455"/>
      <c r="GB44" s="1455"/>
      <c r="GC44" s="1455"/>
      <c r="GD44" s="1455"/>
      <c r="GE44" s="1452">
        <v>8000</v>
      </c>
      <c r="GF44" s="1452">
        <v>8000</v>
      </c>
      <c r="GG44" s="1452">
        <v>45005</v>
      </c>
      <c r="GH44" s="1455"/>
      <c r="GI44" s="1455"/>
      <c r="GJ44" s="1452">
        <v>45005</v>
      </c>
      <c r="GK44" s="1455"/>
      <c r="GL44" s="1455"/>
      <c r="GM44" s="1455"/>
      <c r="GN44" s="1455"/>
      <c r="GO44" s="1455"/>
      <c r="GP44" s="1455"/>
      <c r="GQ44" s="1455"/>
      <c r="GR44" s="1455"/>
      <c r="GS44" s="1455"/>
      <c r="GT44" s="1455"/>
      <c r="GU44" s="1455"/>
      <c r="GV44" s="1455"/>
      <c r="GW44" s="1452">
        <v>45005</v>
      </c>
      <c r="GX44" s="1454">
        <v>31865</v>
      </c>
      <c r="GY44" s="1455"/>
      <c r="GZ44" s="1455"/>
      <c r="HA44" s="1455"/>
      <c r="HB44" s="1454">
        <v>115478</v>
      </c>
      <c r="HC44" s="1455"/>
      <c r="HD44" s="1452">
        <v>53780</v>
      </c>
      <c r="HE44" s="1455"/>
      <c r="HF44" s="1452">
        <v>7800</v>
      </c>
      <c r="HG44" s="1452">
        <v>7800</v>
      </c>
      <c r="HH44" s="1455"/>
      <c r="HI44" s="1455"/>
      <c r="HJ44" s="1455"/>
      <c r="HK44" s="1455"/>
      <c r="HL44" s="1455"/>
      <c r="HM44" s="1455"/>
      <c r="HN44" s="1455"/>
      <c r="HO44" s="1455"/>
      <c r="HP44" s="1455"/>
      <c r="HQ44" s="1455"/>
      <c r="HR44" s="819">
        <v>101301</v>
      </c>
      <c r="HS44" s="1013">
        <v>10800</v>
      </c>
      <c r="HT44" s="1015">
        <v>9394</v>
      </c>
      <c r="HU44" s="820"/>
      <c r="HV44" s="820"/>
      <c r="HW44" s="820"/>
      <c r="HX44" s="820"/>
      <c r="HY44" s="820"/>
      <c r="HZ44" s="1013">
        <v>221159</v>
      </c>
      <c r="IA44" s="1455"/>
      <c r="IB44" s="1455"/>
      <c r="IC44" s="1455"/>
      <c r="ID44" s="1455"/>
      <c r="IE44" s="1455"/>
      <c r="IF44" s="1472">
        <v>13477.5</v>
      </c>
      <c r="IG44" s="1455"/>
      <c r="IH44" s="1455"/>
      <c r="II44" s="1472">
        <v>17826</v>
      </c>
      <c r="IJ44" s="1472">
        <v>9600</v>
      </c>
      <c r="IK44" s="1455"/>
      <c r="IL44" s="1455"/>
      <c r="IM44" s="1455"/>
      <c r="IN44" s="1455"/>
      <c r="IO44" s="1452">
        <v>3300</v>
      </c>
      <c r="IP44" s="1455">
        <v>113819</v>
      </c>
      <c r="IQ44" s="1455"/>
      <c r="IR44" s="1455"/>
      <c r="IS44" s="1455">
        <v>2980</v>
      </c>
      <c r="IT44" s="1455">
        <v>335196</v>
      </c>
      <c r="IU44" s="1455">
        <v>40714</v>
      </c>
      <c r="IV44" s="1455">
        <v>8730</v>
      </c>
      <c r="IW44" s="1455">
        <v>22099</v>
      </c>
      <c r="IX44" s="1452"/>
      <c r="IY44" s="1454">
        <v>17874</v>
      </c>
      <c r="IZ44" s="1452"/>
      <c r="JA44" s="1452"/>
      <c r="JB44" s="1452"/>
      <c r="JC44" s="1452"/>
      <c r="JD44" s="1452"/>
      <c r="JE44" s="1454">
        <v>7623</v>
      </c>
      <c r="JF44" s="1452"/>
      <c r="JG44" s="1454">
        <v>10352</v>
      </c>
      <c r="JH44" s="1455">
        <v>21784</v>
      </c>
      <c r="JI44" s="1455">
        <v>21784</v>
      </c>
      <c r="JJ44" s="1455"/>
      <c r="JK44" s="1455">
        <v>34006</v>
      </c>
      <c r="JL44" s="1455">
        <v>198022</v>
      </c>
      <c r="JM44" s="1455"/>
      <c r="JN44" s="1455"/>
      <c r="JO44" s="1455"/>
      <c r="JP44" s="1455"/>
      <c r="JQ44" s="1501">
        <v>77900</v>
      </c>
      <c r="JR44" s="351"/>
      <c r="JS44" s="1400"/>
      <c r="JT44" s="1385" t="s">
        <v>2224</v>
      </c>
    </row>
    <row r="45" spans="1:280" ht="50" x14ac:dyDescent="0.25">
      <c r="A45" s="1367">
        <v>45</v>
      </c>
      <c r="B45" s="1411" t="str">
        <f t="shared" si="1"/>
        <v/>
      </c>
      <c r="C45" s="1628" t="s">
        <v>3784</v>
      </c>
      <c r="D45" s="1531" t="s">
        <v>3744</v>
      </c>
      <c r="E45" s="1452"/>
      <c r="F45" s="1452"/>
      <c r="G45" s="1452"/>
      <c r="H45" s="1452"/>
      <c r="I45" s="1452"/>
      <c r="J45" s="1452"/>
      <c r="K45" s="1452"/>
      <c r="L45" s="1452"/>
      <c r="M45" s="1452"/>
      <c r="N45" s="1452"/>
      <c r="O45" s="1452"/>
      <c r="P45" s="1452"/>
      <c r="Q45" s="1452"/>
      <c r="R45" s="1452"/>
      <c r="S45" s="1452"/>
      <c r="T45" s="1452"/>
      <c r="U45" s="1452"/>
      <c r="V45" s="1452"/>
      <c r="W45" s="1452"/>
      <c r="X45" s="1452"/>
      <c r="Y45" s="1452"/>
      <c r="Z45" s="1452"/>
      <c r="AA45" s="1452"/>
      <c r="AB45" s="1452"/>
      <c r="AC45" s="1452"/>
      <c r="AD45" s="1452"/>
      <c r="AE45" s="1452">
        <v>1000</v>
      </c>
      <c r="AF45" s="1452"/>
      <c r="AG45" s="1452"/>
      <c r="AH45" s="1452"/>
      <c r="AI45" s="1452"/>
      <c r="AJ45" s="1452"/>
      <c r="AK45" s="1452"/>
      <c r="AL45" s="1452"/>
      <c r="AM45" s="1452"/>
      <c r="AN45" s="1452"/>
      <c r="AO45" s="1452"/>
      <c r="AP45" s="1452"/>
      <c r="AQ45" s="1452"/>
      <c r="AR45" s="1452"/>
      <c r="AS45" s="1452"/>
      <c r="AT45" s="1452"/>
      <c r="AU45" s="1452"/>
      <c r="AV45" s="1452"/>
      <c r="AW45" s="1452"/>
      <c r="AX45" s="1452"/>
      <c r="AY45" s="1452"/>
      <c r="AZ45" s="1452"/>
      <c r="BA45" s="1452"/>
      <c r="BB45" s="1452"/>
      <c r="BC45" s="1452"/>
      <c r="BD45" s="1452"/>
      <c r="BE45" s="1452"/>
      <c r="BF45" s="1452"/>
      <c r="BG45" s="1452"/>
      <c r="BH45" s="1452"/>
      <c r="BI45" s="1452"/>
      <c r="BJ45" s="1452"/>
      <c r="BK45" s="1452"/>
      <c r="BL45" s="1452"/>
      <c r="BM45" s="1452"/>
      <c r="BN45" s="1452"/>
      <c r="BO45" s="1452"/>
      <c r="BP45" s="1452"/>
      <c r="BQ45" s="1452"/>
      <c r="BR45" s="1452"/>
      <c r="BS45" s="1452"/>
      <c r="BT45" s="1452"/>
      <c r="BU45" s="1452"/>
      <c r="BV45" s="1452"/>
      <c r="BW45" s="1452"/>
      <c r="BX45" s="1452"/>
      <c r="BY45" s="1452"/>
      <c r="BZ45" s="1452"/>
      <c r="CA45" s="1452"/>
      <c r="CB45" s="1452"/>
      <c r="CC45" s="1452"/>
      <c r="CD45" s="1454">
        <v>1000</v>
      </c>
      <c r="CE45" s="1455"/>
      <c r="CF45" s="1455"/>
      <c r="CG45" s="1455"/>
      <c r="CH45" s="1452"/>
      <c r="CI45" s="1452"/>
      <c r="CJ45" s="1455"/>
      <c r="CK45" s="1455"/>
      <c r="CL45" s="1455"/>
      <c r="CM45" s="1455"/>
      <c r="CN45" s="1455"/>
      <c r="CO45" s="1455"/>
      <c r="CP45" s="1455"/>
      <c r="CQ45" s="1452"/>
      <c r="CR45" s="1452"/>
      <c r="CS45" s="1452"/>
      <c r="CT45" s="1452"/>
      <c r="CU45" s="1455"/>
      <c r="CV45" s="1452"/>
      <c r="CW45" s="1455"/>
      <c r="CX45" s="1455"/>
      <c r="CY45" s="1455"/>
      <c r="CZ45" s="1452"/>
      <c r="DA45" s="1452"/>
      <c r="DB45" s="1452"/>
      <c r="DC45" s="1452"/>
      <c r="DD45" s="1455"/>
      <c r="DE45" s="1455"/>
      <c r="DF45" s="1455"/>
      <c r="DG45" s="1455"/>
      <c r="DH45" s="1455"/>
      <c r="DI45" s="1452"/>
      <c r="DJ45" s="1455"/>
      <c r="DK45" s="1455"/>
      <c r="DL45" s="1452"/>
      <c r="DM45" s="1452"/>
      <c r="DN45" s="1455"/>
      <c r="DO45" s="1455"/>
      <c r="DP45" s="1455"/>
      <c r="DQ45" s="1455"/>
      <c r="DR45" s="1452"/>
      <c r="DS45" s="1455"/>
      <c r="DT45" s="1455"/>
      <c r="DU45" s="1455"/>
      <c r="DV45" s="1455"/>
      <c r="DW45" s="1452"/>
      <c r="DY45" s="1472">
        <v>1000</v>
      </c>
      <c r="DZ45" s="1455"/>
      <c r="EA45" s="1455"/>
      <c r="EB45" s="1455"/>
      <c r="EC45" s="1455"/>
      <c r="ED45" s="1455"/>
      <c r="EE45" s="1455"/>
      <c r="EF45" s="1455"/>
      <c r="EG45" s="1455"/>
      <c r="EH45" s="1472"/>
      <c r="EI45" s="1455"/>
      <c r="EJ45" s="1452"/>
      <c r="EK45" s="1455"/>
      <c r="EL45" s="1455"/>
      <c r="EM45" s="1455"/>
      <c r="EN45" s="1452"/>
      <c r="EO45" s="1455"/>
      <c r="EP45" s="1455"/>
      <c r="EQ45" s="1455"/>
      <c r="ER45" s="1455"/>
      <c r="ES45" s="1455"/>
      <c r="ET45" s="1455"/>
      <c r="EU45" s="1452"/>
      <c r="EV45" s="1455"/>
      <c r="EW45" s="1455"/>
      <c r="EX45" s="1455"/>
      <c r="EY45" s="1455"/>
      <c r="EZ45" s="1455"/>
      <c r="FA45" s="1455"/>
      <c r="FB45" s="1455"/>
      <c r="FC45" s="1455"/>
      <c r="FD45" s="1455"/>
      <c r="FE45" s="1455"/>
      <c r="FF45" s="1452"/>
      <c r="FG45" s="1455"/>
      <c r="FH45" s="1455"/>
      <c r="FI45" s="1455"/>
      <c r="FJ45" s="1455"/>
      <c r="FK45" s="1455"/>
      <c r="FL45" s="1455"/>
      <c r="FM45" s="1455"/>
      <c r="FN45" s="1455"/>
      <c r="FO45" s="1455"/>
      <c r="FP45" s="1455"/>
      <c r="FQ45" s="1455"/>
      <c r="FR45" s="1455"/>
      <c r="FS45" s="1455"/>
      <c r="FT45" s="1452"/>
      <c r="FU45" s="1452"/>
      <c r="FV45" s="1452"/>
      <c r="FW45" s="1455"/>
      <c r="FX45" s="1452"/>
      <c r="FY45" s="1455"/>
      <c r="FZ45" s="1455"/>
      <c r="GA45" s="1455"/>
      <c r="GB45" s="1455"/>
      <c r="GC45" s="1455"/>
      <c r="GD45" s="1455"/>
      <c r="GE45" s="1452"/>
      <c r="GF45" s="1452"/>
      <c r="GG45" s="1452"/>
      <c r="GH45" s="1455"/>
      <c r="GI45" s="1455"/>
      <c r="GJ45" s="1452"/>
      <c r="GK45" s="1455"/>
      <c r="GL45" s="1455"/>
      <c r="GM45" s="1455"/>
      <c r="GN45" s="1455"/>
      <c r="GO45" s="1455"/>
      <c r="GP45" s="1455"/>
      <c r="GQ45" s="1455"/>
      <c r="GR45" s="1455"/>
      <c r="GS45" s="1455"/>
      <c r="GT45" s="1455"/>
      <c r="GU45" s="1455"/>
      <c r="GV45" s="1455"/>
      <c r="GW45" s="1452"/>
      <c r="GX45" s="1452"/>
      <c r="GY45" s="1455"/>
      <c r="GZ45" s="1455"/>
      <c r="HA45" s="1455"/>
      <c r="HB45" s="1452"/>
      <c r="HC45" s="1455"/>
      <c r="HD45" s="1452"/>
      <c r="HE45" s="1455"/>
      <c r="HF45" s="1452"/>
      <c r="HG45" s="1452"/>
      <c r="HH45" s="1455"/>
      <c r="HI45" s="1455"/>
      <c r="HJ45" s="1455"/>
      <c r="HK45" s="1455"/>
      <c r="HL45" s="1455"/>
      <c r="HM45" s="1455"/>
      <c r="HN45" s="1455"/>
      <c r="HO45" s="1455"/>
      <c r="HP45" s="1455"/>
      <c r="HQ45" s="1455"/>
      <c r="HR45" s="1455"/>
      <c r="HS45" s="1452"/>
      <c r="HT45" s="1455"/>
      <c r="HU45" s="1455"/>
      <c r="HV45" s="1455"/>
      <c r="HW45" s="1455"/>
      <c r="HX45" s="1455"/>
      <c r="HY45" s="1455"/>
      <c r="HZ45" s="1452"/>
      <c r="IA45" s="1455"/>
      <c r="IB45" s="1455"/>
      <c r="IC45" s="1455"/>
      <c r="ID45" s="1455"/>
      <c r="IE45" s="1455"/>
      <c r="IF45" s="1455"/>
      <c r="IG45" s="1455"/>
      <c r="IH45" s="1455"/>
      <c r="II45" s="1455"/>
      <c r="IJ45" s="1455"/>
      <c r="IK45" s="1455"/>
      <c r="IL45" s="1455"/>
      <c r="IM45" s="1455"/>
      <c r="IN45" s="1455"/>
      <c r="IO45" s="1452"/>
      <c r="IP45" s="1455"/>
      <c r="IQ45" s="1455"/>
      <c r="IR45" s="1455"/>
      <c r="IS45" s="1455"/>
      <c r="IT45" s="1455"/>
      <c r="IU45" s="1455"/>
      <c r="IV45" s="1455"/>
      <c r="IW45" s="1455"/>
      <c r="IX45" s="1452"/>
      <c r="IY45" s="1452"/>
      <c r="IZ45" s="1452"/>
      <c r="JA45" s="1452"/>
      <c r="JB45" s="1452"/>
      <c r="JC45" s="1452"/>
      <c r="JD45" s="1452"/>
      <c r="JE45" s="1452"/>
      <c r="JF45" s="1452"/>
      <c r="JG45" s="1452"/>
      <c r="JH45" s="1455"/>
      <c r="JI45" s="1455"/>
      <c r="JJ45" s="1455"/>
      <c r="JK45" s="1455"/>
      <c r="JL45" s="1455"/>
      <c r="JM45" s="1455"/>
      <c r="JN45" s="1455"/>
      <c r="JO45" s="1455"/>
      <c r="JP45" s="1455"/>
      <c r="JQ45" s="1501"/>
      <c r="JR45" s="351"/>
      <c r="JS45" s="1627" t="s">
        <v>3785</v>
      </c>
      <c r="JT45" s="1385" t="s">
        <v>2242</v>
      </c>
    </row>
    <row r="46" spans="1:280" ht="12.5" x14ac:dyDescent="0.25">
      <c r="A46" s="1367">
        <v>46</v>
      </c>
      <c r="B46" s="1411" t="str">
        <f t="shared" si="1"/>
        <v/>
      </c>
      <c r="C46" s="1628" t="s">
        <v>3786</v>
      </c>
      <c r="D46" s="1531" t="s">
        <v>3747</v>
      </c>
      <c r="E46" s="1452"/>
      <c r="F46" s="1452"/>
      <c r="G46" s="1452"/>
      <c r="H46" s="1452"/>
      <c r="I46" s="1452"/>
      <c r="J46" s="1452"/>
      <c r="K46" s="1452"/>
      <c r="L46" s="1452"/>
      <c r="M46" s="1452"/>
      <c r="N46" s="1452"/>
      <c r="O46" s="1452"/>
      <c r="P46" s="1452"/>
      <c r="Q46" s="1452"/>
      <c r="R46" s="1452"/>
      <c r="S46" s="1452"/>
      <c r="T46" s="1452"/>
      <c r="U46" s="1452"/>
      <c r="V46" s="1452"/>
      <c r="W46" s="1452"/>
      <c r="X46" s="1452"/>
      <c r="Y46" s="1452"/>
      <c r="Z46" s="1452"/>
      <c r="AA46" s="1452"/>
      <c r="AB46" s="1452"/>
      <c r="AC46" s="1452"/>
      <c r="AD46" s="1452"/>
      <c r="AE46" s="1452"/>
      <c r="AF46" s="1452"/>
      <c r="AG46" s="1452"/>
      <c r="AH46" s="1452"/>
      <c r="AI46" s="1452"/>
      <c r="AJ46" s="1452"/>
      <c r="AK46" s="1452"/>
      <c r="AL46" s="1452"/>
      <c r="AM46" s="1452"/>
      <c r="AN46" s="1452"/>
      <c r="AO46" s="1452"/>
      <c r="AP46" s="1452"/>
      <c r="AQ46" s="1452"/>
      <c r="AR46" s="1452"/>
      <c r="AS46" s="1453" t="s">
        <v>1707</v>
      </c>
      <c r="AT46" s="1452"/>
      <c r="AU46" s="1452"/>
      <c r="AV46" s="1452"/>
      <c r="AW46" s="1452"/>
      <c r="AX46" s="1452"/>
      <c r="AY46" s="1452"/>
      <c r="AZ46" s="1452"/>
      <c r="BA46" s="1452"/>
      <c r="BB46" s="1452"/>
      <c r="BC46" s="1452"/>
      <c r="BD46" s="1452"/>
      <c r="BE46" s="1452"/>
      <c r="BF46" s="1452"/>
      <c r="BG46" s="1452"/>
      <c r="BH46" s="1452"/>
      <c r="BI46" s="1452"/>
      <c r="BJ46" s="1452"/>
      <c r="BK46" s="1452"/>
      <c r="BL46" s="1452"/>
      <c r="BM46" s="1452"/>
      <c r="BN46" s="1452"/>
      <c r="BO46" s="1452"/>
      <c r="BP46" s="1452"/>
      <c r="BQ46" s="1452"/>
      <c r="BR46" s="1452"/>
      <c r="BS46" s="1452"/>
      <c r="BT46" s="1452"/>
      <c r="BU46" s="1452"/>
      <c r="BV46" s="1452"/>
      <c r="BW46" s="1452"/>
      <c r="BX46" s="1452" t="s">
        <v>1707</v>
      </c>
      <c r="BY46" s="1452"/>
      <c r="BZ46" s="1452"/>
      <c r="CA46" s="1452"/>
      <c r="CB46" s="1452" t="s">
        <v>1707</v>
      </c>
      <c r="CC46" s="1452"/>
      <c r="CD46" s="1452"/>
      <c r="CE46" s="1455"/>
      <c r="CF46" s="1455"/>
      <c r="CG46" s="1455"/>
      <c r="CH46" s="1452"/>
      <c r="CI46" s="1452" t="s">
        <v>1707</v>
      </c>
      <c r="CJ46" s="1472" t="s">
        <v>1707</v>
      </c>
      <c r="CK46" s="1455"/>
      <c r="CL46" s="1455"/>
      <c r="CM46" s="1455"/>
      <c r="CN46" s="1455" t="s">
        <v>1707</v>
      </c>
      <c r="CO46" s="1455"/>
      <c r="CP46" s="1455"/>
      <c r="CQ46" s="1454"/>
      <c r="CR46" s="1452"/>
      <c r="CS46" s="1452"/>
      <c r="CT46" s="1452"/>
      <c r="CU46" s="1455"/>
      <c r="CV46" s="1454"/>
      <c r="CW46" s="1455"/>
      <c r="CX46" s="1455"/>
      <c r="CY46" s="1455"/>
      <c r="CZ46" s="1452"/>
      <c r="DA46" s="1452"/>
      <c r="DB46" s="1452"/>
      <c r="DC46" s="1452" t="s">
        <v>1707</v>
      </c>
      <c r="DD46" s="1455"/>
      <c r="DE46" s="1455"/>
      <c r="DF46" s="1455"/>
      <c r="DG46" s="1455"/>
      <c r="DH46" s="1455"/>
      <c r="DI46" s="1452" t="s">
        <v>1707</v>
      </c>
      <c r="DJ46" s="1455"/>
      <c r="DK46" s="1455"/>
      <c r="DL46" s="1452" t="s">
        <v>1707</v>
      </c>
      <c r="DM46" s="1452" t="s">
        <v>1707</v>
      </c>
      <c r="DN46" s="1455"/>
      <c r="DO46" s="1455"/>
      <c r="DP46" s="1455"/>
      <c r="DQ46" s="1455"/>
      <c r="DR46" s="1454" t="s">
        <v>1707</v>
      </c>
      <c r="DS46" s="1455"/>
      <c r="DT46" s="1455"/>
      <c r="DU46" s="1455"/>
      <c r="DV46" s="1455"/>
      <c r="DW46" s="1455" t="s">
        <v>1707</v>
      </c>
      <c r="DX46" s="1455"/>
      <c r="DY46" s="1455"/>
      <c r="DZ46" s="1455"/>
      <c r="EA46" s="1455"/>
      <c r="EB46" s="1455"/>
      <c r="EC46" s="1455"/>
      <c r="ED46" s="1455"/>
      <c r="EE46" s="1455"/>
      <c r="EF46" s="1455"/>
      <c r="EG46" s="1455"/>
      <c r="EH46" s="1455"/>
      <c r="EI46" s="1455"/>
      <c r="EJ46" s="1452"/>
      <c r="EK46" s="1455"/>
      <c r="EL46" s="1455"/>
      <c r="EM46" s="1455"/>
      <c r="EN46" s="1452"/>
      <c r="EO46" s="1455"/>
      <c r="EP46" s="1455"/>
      <c r="EQ46" s="1455"/>
      <c r="ER46" s="1455"/>
      <c r="ES46" s="1455"/>
      <c r="ET46" s="1472" t="s">
        <v>1707</v>
      </c>
      <c r="EU46" s="1452"/>
      <c r="EV46" s="1455"/>
      <c r="EW46" s="1455"/>
      <c r="EX46" s="1455"/>
      <c r="EY46" s="1455"/>
      <c r="EZ46" s="1455"/>
      <c r="FA46" s="1455"/>
      <c r="FB46" s="1455"/>
      <c r="FC46" s="1455"/>
      <c r="FD46" s="1455"/>
      <c r="FE46" s="1455"/>
      <c r="FF46" s="1452"/>
      <c r="FG46" s="1455"/>
      <c r="FH46" s="1455"/>
      <c r="FI46" s="1455"/>
      <c r="FJ46" s="1455"/>
      <c r="FK46" s="1455"/>
      <c r="FL46" s="1455"/>
      <c r="FM46" s="1455"/>
      <c r="FN46" s="1455"/>
      <c r="FO46" s="1455"/>
      <c r="FP46" s="1455"/>
      <c r="FQ46" s="1455"/>
      <c r="FR46" s="1455"/>
      <c r="FS46" s="1455"/>
      <c r="FT46" s="1452"/>
      <c r="FU46" s="1452"/>
      <c r="FV46" s="1452"/>
      <c r="FW46" s="1455"/>
      <c r="FX46" s="1452"/>
      <c r="FY46" s="1455"/>
      <c r="FZ46" s="1455"/>
      <c r="GA46" s="1455"/>
      <c r="GB46" s="1455"/>
      <c r="GC46" s="1455"/>
      <c r="GD46" s="1455"/>
      <c r="GE46" s="1452"/>
      <c r="GF46" s="1452"/>
      <c r="GG46" s="1452"/>
      <c r="GH46" s="1455"/>
      <c r="GI46" s="1455"/>
      <c r="GJ46" s="1452"/>
      <c r="GK46" s="1455"/>
      <c r="GL46" s="1455"/>
      <c r="GM46" s="1455"/>
      <c r="GN46" s="1455"/>
      <c r="GO46" s="1455"/>
      <c r="GP46" s="1455"/>
      <c r="GQ46" s="1455"/>
      <c r="GR46" s="1455"/>
      <c r="GS46" s="1455"/>
      <c r="GT46" s="1455"/>
      <c r="GU46" s="1455"/>
      <c r="GV46" s="1455"/>
      <c r="GW46" s="1452"/>
      <c r="GX46" s="1452" t="s">
        <v>1707</v>
      </c>
      <c r="GY46" s="1455"/>
      <c r="GZ46" s="1455"/>
      <c r="HA46" s="1455"/>
      <c r="HB46" s="1452" t="s">
        <v>1707</v>
      </c>
      <c r="HC46" s="1455"/>
      <c r="HD46" s="1452"/>
      <c r="HE46" s="1455"/>
      <c r="HF46" s="1452"/>
      <c r="HG46" s="1452"/>
      <c r="HH46" s="1455"/>
      <c r="HI46" s="1455"/>
      <c r="HJ46" s="1455"/>
      <c r="HK46" s="1455"/>
      <c r="HL46" s="1455"/>
      <c r="HM46" s="1455"/>
      <c r="HN46" s="1455"/>
      <c r="HO46" s="1455"/>
      <c r="HP46" s="1455"/>
      <c r="HQ46" s="1455"/>
      <c r="HR46" s="1452" t="s">
        <v>1707</v>
      </c>
      <c r="HS46" s="1452"/>
      <c r="HT46" s="1472" t="s">
        <v>1707</v>
      </c>
      <c r="HU46" s="1455"/>
      <c r="HV46" s="1455"/>
      <c r="HW46" s="1455"/>
      <c r="HX46" s="1455"/>
      <c r="HY46" s="1455"/>
      <c r="HZ46" s="1452" t="s">
        <v>1707</v>
      </c>
      <c r="IA46" s="1455"/>
      <c r="IB46" s="1455"/>
      <c r="IC46" s="1455"/>
      <c r="ID46" s="1455"/>
      <c r="IE46" s="1455"/>
      <c r="IF46" s="1472" t="s">
        <v>1707</v>
      </c>
      <c r="IG46" s="1455"/>
      <c r="IH46" s="1455"/>
      <c r="II46" s="1455"/>
      <c r="IJ46" s="1455"/>
      <c r="IK46" s="1455"/>
      <c r="IL46" s="1455"/>
      <c r="IM46" s="1455"/>
      <c r="IN46" s="1455"/>
      <c r="IO46" s="1452"/>
      <c r="IP46" s="1455"/>
      <c r="IQ46" s="1455"/>
      <c r="IR46" s="1455"/>
      <c r="IS46" s="1455" t="s">
        <v>1707</v>
      </c>
      <c r="IT46" s="1455" t="s">
        <v>1707</v>
      </c>
      <c r="IU46" s="1455"/>
      <c r="IV46" s="1455"/>
      <c r="IW46" s="1455"/>
      <c r="IX46" s="1452"/>
      <c r="IY46" s="1454" t="s">
        <v>1707</v>
      </c>
      <c r="IZ46" s="1452"/>
      <c r="JA46" s="1452"/>
      <c r="JB46" s="1452"/>
      <c r="JC46" s="1452"/>
      <c r="JD46" s="1452"/>
      <c r="JE46" s="1452"/>
      <c r="JF46" s="1452"/>
      <c r="JG46" s="1452" t="s">
        <v>1707</v>
      </c>
      <c r="JH46" s="1455"/>
      <c r="JI46" s="1455"/>
      <c r="JJ46" s="1455"/>
      <c r="JK46" s="1455" t="s">
        <v>1707</v>
      </c>
      <c r="JL46" s="1455" t="s">
        <v>1707</v>
      </c>
      <c r="JM46" s="1455"/>
      <c r="JN46" s="1455"/>
      <c r="JO46" s="1455"/>
      <c r="JP46" s="1455"/>
      <c r="JQ46" s="1501"/>
      <c r="JR46" s="351"/>
      <c r="JS46" s="1400"/>
      <c r="JT46" s="1385" t="s">
        <v>2319</v>
      </c>
    </row>
    <row r="47" spans="1:280" ht="12.5" x14ac:dyDescent="0.25">
      <c r="A47" s="1367">
        <v>47</v>
      </c>
      <c r="B47" s="1411" t="str">
        <f t="shared" si="1"/>
        <v/>
      </c>
      <c r="C47" s="1628" t="s">
        <v>3787</v>
      </c>
      <c r="D47" s="1531" t="s">
        <v>2412</v>
      </c>
      <c r="E47" s="1452"/>
      <c r="F47" s="1452"/>
      <c r="G47" s="1452"/>
      <c r="H47" s="1452"/>
      <c r="I47" s="1452"/>
      <c r="J47" s="1452"/>
      <c r="K47" s="1452"/>
      <c r="L47" s="1452"/>
      <c r="M47" s="1452"/>
      <c r="N47" s="1452"/>
      <c r="O47" s="1452"/>
      <c r="P47" s="1452"/>
      <c r="Q47" s="1452"/>
      <c r="R47" s="1452"/>
      <c r="S47" s="1452"/>
      <c r="T47" s="1452"/>
      <c r="U47" s="1452"/>
      <c r="V47" s="1452"/>
      <c r="W47" s="1452"/>
      <c r="X47" s="1452"/>
      <c r="Y47" s="1452"/>
      <c r="Z47" s="1452"/>
      <c r="AA47" s="1452"/>
      <c r="AB47" s="1452"/>
      <c r="AC47" s="1452"/>
      <c r="AD47" s="1452"/>
      <c r="AE47" s="1452"/>
      <c r="AF47" s="1452"/>
      <c r="AG47" s="1452"/>
      <c r="AH47" s="1452"/>
      <c r="AI47" s="1452"/>
      <c r="AJ47" s="1452"/>
      <c r="AK47" s="1452"/>
      <c r="AL47" s="1452"/>
      <c r="AM47" s="1452"/>
      <c r="AN47" s="1452"/>
      <c r="AO47" s="1452"/>
      <c r="AP47" s="1452"/>
      <c r="AQ47" s="1452"/>
      <c r="AR47" s="1452"/>
      <c r="AS47" s="1452"/>
      <c r="AT47" s="1452"/>
      <c r="AU47" s="1452"/>
      <c r="AV47" s="1452"/>
      <c r="AW47" s="1452"/>
      <c r="AX47" s="1452"/>
      <c r="AY47" s="1452"/>
      <c r="AZ47" s="1452"/>
      <c r="BA47" s="1452"/>
      <c r="BB47" s="1452"/>
      <c r="BC47" s="1452"/>
      <c r="BD47" s="1452"/>
      <c r="BE47" s="1452"/>
      <c r="BF47" s="1452"/>
      <c r="BG47" s="1452"/>
      <c r="BH47" s="1452"/>
      <c r="BI47" s="1452"/>
      <c r="BJ47" s="1452"/>
      <c r="BK47" s="1452"/>
      <c r="BL47" s="1452"/>
      <c r="BM47" s="1452"/>
      <c r="BN47" s="1452"/>
      <c r="BO47" s="1452"/>
      <c r="BP47" s="1452"/>
      <c r="BQ47" s="1452"/>
      <c r="BR47" s="1452"/>
      <c r="BS47" s="1452"/>
      <c r="BT47" s="1452"/>
      <c r="BU47" s="1452"/>
      <c r="BV47" s="1452"/>
      <c r="BW47" s="1452"/>
      <c r="BX47" s="1452">
        <v>1696</v>
      </c>
      <c r="BY47" s="1452"/>
      <c r="BZ47" s="1452"/>
      <c r="CA47" s="1452"/>
      <c r="CB47" s="1452"/>
      <c r="CC47" s="1452"/>
      <c r="CD47" s="1452"/>
      <c r="CE47" s="1455"/>
      <c r="CF47" s="1455"/>
      <c r="CG47" s="1455"/>
      <c r="CH47" s="1452"/>
      <c r="CI47" s="1452">
        <v>1696</v>
      </c>
      <c r="CJ47" s="1455"/>
      <c r="CK47" s="1455"/>
      <c r="CL47" s="1455"/>
      <c r="CM47" s="1455"/>
      <c r="CN47" s="1455"/>
      <c r="CO47" s="1455"/>
      <c r="CP47" s="1455"/>
      <c r="CQ47" s="1454"/>
      <c r="CR47" s="1452"/>
      <c r="CS47" s="1452"/>
      <c r="CT47" s="1452">
        <v>75</v>
      </c>
      <c r="CU47" s="1455"/>
      <c r="CV47" s="1452"/>
      <c r="CW47" s="1455"/>
      <c r="CX47" s="1455"/>
      <c r="CY47" s="1455"/>
      <c r="CZ47" s="1452"/>
      <c r="DA47" s="1452"/>
      <c r="DB47" s="1452"/>
      <c r="DC47" s="1452">
        <v>1696</v>
      </c>
      <c r="DD47" s="1455"/>
      <c r="DE47" s="1455"/>
      <c r="DF47" s="1455"/>
      <c r="DG47" s="1455"/>
      <c r="DH47" s="1455"/>
      <c r="DI47" s="1452"/>
      <c r="DJ47" s="1455"/>
      <c r="DK47" s="1455"/>
      <c r="DL47" s="1452"/>
      <c r="DM47" s="1452">
        <v>1696</v>
      </c>
      <c r="DN47" s="1455"/>
      <c r="DO47" s="1455"/>
      <c r="DP47" s="1455"/>
      <c r="DQ47" s="1455"/>
      <c r="DR47" s="1452"/>
      <c r="DS47" s="1455"/>
      <c r="DT47" s="1455"/>
      <c r="DU47" s="1455"/>
      <c r="DV47" s="1455"/>
      <c r="DW47" s="1455"/>
      <c r="DX47" s="1455"/>
      <c r="DY47" s="1455"/>
      <c r="DZ47" s="1455"/>
      <c r="EA47" s="1455"/>
      <c r="EB47" s="1455"/>
      <c r="EC47" s="1455"/>
      <c r="ED47" s="1455"/>
      <c r="EE47" s="1455"/>
      <c r="EF47" s="1455"/>
      <c r="EG47" s="1455"/>
      <c r="EH47" s="1455"/>
      <c r="EI47" s="1455"/>
      <c r="EJ47" s="1452"/>
      <c r="EK47" s="1455"/>
      <c r="EL47" s="1455"/>
      <c r="EM47" s="1455"/>
      <c r="EN47" s="1452"/>
      <c r="EO47" s="1455"/>
      <c r="EP47" s="1455"/>
      <c r="EQ47" s="1455"/>
      <c r="ER47" s="1455"/>
      <c r="ES47" s="1455"/>
      <c r="ET47" s="1472">
        <v>3026</v>
      </c>
      <c r="EU47" s="1452"/>
      <c r="EV47" s="1455"/>
      <c r="EW47" s="1455"/>
      <c r="EX47" s="1455"/>
      <c r="EY47" s="1455"/>
      <c r="EZ47" s="1455"/>
      <c r="FA47" s="1455"/>
      <c r="FB47" s="1455"/>
      <c r="FC47" s="1455"/>
      <c r="FD47" s="1455"/>
      <c r="FE47" s="1455"/>
      <c r="FF47" s="1452"/>
      <c r="FG47" s="1455"/>
      <c r="FH47" s="1455"/>
      <c r="FI47" s="1455"/>
      <c r="FJ47" s="1455"/>
      <c r="FK47" s="1455"/>
      <c r="FL47" s="1455"/>
      <c r="FM47" s="1455"/>
      <c r="FN47" s="1455"/>
      <c r="FO47" s="1455"/>
      <c r="FP47" s="1455"/>
      <c r="FQ47" s="1455"/>
      <c r="FR47" s="1455"/>
      <c r="FS47" s="1455"/>
      <c r="FT47" s="1452"/>
      <c r="FU47" s="1452"/>
      <c r="FV47" s="1452">
        <v>75</v>
      </c>
      <c r="FW47" s="1455"/>
      <c r="FX47" s="1452"/>
      <c r="FY47" s="1455"/>
      <c r="FZ47" s="1455"/>
      <c r="GA47" s="1455"/>
      <c r="GB47" s="1455"/>
      <c r="GC47" s="1455"/>
      <c r="GD47" s="1455"/>
      <c r="GE47" s="1452"/>
      <c r="GF47" s="1452"/>
      <c r="GG47" s="1452"/>
      <c r="GH47" s="1455"/>
      <c r="GI47" s="1455"/>
      <c r="GJ47" s="1452"/>
      <c r="GK47" s="1455"/>
      <c r="GL47" s="1455"/>
      <c r="GM47" s="1455"/>
      <c r="GN47" s="1455"/>
      <c r="GO47" s="1455"/>
      <c r="GP47" s="1455"/>
      <c r="GQ47" s="1455"/>
      <c r="GR47" s="1455"/>
      <c r="GS47" s="1455"/>
      <c r="GT47" s="1455"/>
      <c r="GU47" s="1455"/>
      <c r="GV47" s="1455"/>
      <c r="GW47" s="1452"/>
      <c r="GX47" s="1452">
        <v>1696</v>
      </c>
      <c r="GY47" s="1455"/>
      <c r="GZ47" s="1455"/>
      <c r="HA47" s="1455"/>
      <c r="HB47" s="1452"/>
      <c r="HC47" s="1455"/>
      <c r="HD47" s="1452"/>
      <c r="HE47" s="1455"/>
      <c r="HF47" s="1452"/>
      <c r="HG47" s="1452"/>
      <c r="HH47" s="1455"/>
      <c r="HI47" s="1455"/>
      <c r="HJ47" s="1455"/>
      <c r="HK47" s="1455"/>
      <c r="HL47" s="1455"/>
      <c r="HM47" s="1455"/>
      <c r="HN47" s="1455"/>
      <c r="HO47" s="1455"/>
      <c r="HP47" s="1455"/>
      <c r="HQ47" s="1455"/>
      <c r="HR47" s="1452"/>
      <c r="HS47" s="1452"/>
      <c r="HT47" s="1455"/>
      <c r="HU47" s="1455"/>
      <c r="HV47" s="1455"/>
      <c r="HW47" s="1455"/>
      <c r="HX47" s="1455"/>
      <c r="HY47" s="1455"/>
      <c r="HZ47" s="1452"/>
      <c r="IA47" s="1455"/>
      <c r="IB47" s="1455"/>
      <c r="IC47" s="1455"/>
      <c r="ID47" s="1455"/>
      <c r="IE47" s="1455"/>
      <c r="IF47" s="1455"/>
      <c r="IG47" s="1455"/>
      <c r="IH47" s="1455"/>
      <c r="II47" s="1455"/>
      <c r="IJ47" s="1455"/>
      <c r="IK47" s="1455"/>
      <c r="IL47" s="1455"/>
      <c r="IM47" s="1455"/>
      <c r="IN47" s="1455"/>
      <c r="IO47" s="1452"/>
      <c r="IP47" s="1455"/>
      <c r="IQ47" s="1455"/>
      <c r="IR47" s="1455"/>
      <c r="IS47" s="1455"/>
      <c r="IT47" s="1455"/>
      <c r="IU47" s="1455"/>
      <c r="IV47" s="1455"/>
      <c r="IW47" s="1455"/>
      <c r="IX47" s="1452"/>
      <c r="IY47" s="1452"/>
      <c r="IZ47" s="1452"/>
      <c r="JA47" s="1452"/>
      <c r="JB47" s="1452"/>
      <c r="JC47" s="1452"/>
      <c r="JD47" s="1452"/>
      <c r="JE47" s="1452"/>
      <c r="JF47" s="1452"/>
      <c r="JG47" s="1452"/>
      <c r="JH47" s="1455"/>
      <c r="JI47" s="1455"/>
      <c r="JJ47" s="1455"/>
      <c r="JK47" s="1455"/>
      <c r="JL47" s="1455"/>
      <c r="JM47" s="1455"/>
      <c r="JN47" s="1455"/>
      <c r="JO47" s="1455"/>
      <c r="JP47" s="1455"/>
      <c r="JQ47" s="1501"/>
      <c r="JR47" s="351"/>
      <c r="JS47" s="1400"/>
      <c r="JT47" s="1385" t="s">
        <v>2242</v>
      </c>
    </row>
    <row r="48" spans="1:280" ht="12.5" x14ac:dyDescent="0.25">
      <c r="A48" s="1367">
        <v>48</v>
      </c>
      <c r="B48" s="1411" t="str">
        <f t="shared" si="1"/>
        <v/>
      </c>
      <c r="C48" s="1628" t="s">
        <v>3788</v>
      </c>
      <c r="D48" s="1531" t="s">
        <v>3789</v>
      </c>
      <c r="E48" s="1452"/>
      <c r="F48" s="1452"/>
      <c r="G48" s="1452"/>
      <c r="H48" s="1452"/>
      <c r="I48" s="1452"/>
      <c r="J48" s="1452"/>
      <c r="K48" s="1452"/>
      <c r="L48" s="1452"/>
      <c r="M48" s="1452"/>
      <c r="N48" s="1452"/>
      <c r="O48" s="1452"/>
      <c r="P48" s="1452"/>
      <c r="Q48" s="1452"/>
      <c r="R48" s="1452"/>
      <c r="S48" s="1452"/>
      <c r="T48" s="1452"/>
      <c r="U48" s="1452"/>
      <c r="V48" s="1452"/>
      <c r="W48" s="1452"/>
      <c r="X48" s="1452"/>
      <c r="Y48" s="1452"/>
      <c r="Z48" s="1452"/>
      <c r="AA48" s="1452"/>
      <c r="AB48" s="1452"/>
      <c r="AC48" s="1452"/>
      <c r="AD48" s="1452"/>
      <c r="AE48" s="1452"/>
      <c r="AF48" s="1452"/>
      <c r="AG48" s="1452"/>
      <c r="AH48" s="1452"/>
      <c r="AI48" s="1452"/>
      <c r="AJ48" s="1452"/>
      <c r="AK48" s="1452"/>
      <c r="AL48" s="1452"/>
      <c r="AM48" s="1452"/>
      <c r="AN48" s="1452"/>
      <c r="AO48" s="1452"/>
      <c r="AP48" s="1452"/>
      <c r="AQ48" s="1452"/>
      <c r="AR48" s="1452"/>
      <c r="AS48" s="1452"/>
      <c r="AT48" s="1452"/>
      <c r="AU48" s="1452"/>
      <c r="AV48" s="1452"/>
      <c r="AW48" s="1452"/>
      <c r="AX48" s="1452"/>
      <c r="AY48" s="1452"/>
      <c r="AZ48" s="1452"/>
      <c r="BA48" s="1452"/>
      <c r="BB48" s="1452"/>
      <c r="BC48" s="1452"/>
      <c r="BD48" s="1452"/>
      <c r="BE48" s="1452"/>
      <c r="BF48" s="1452"/>
      <c r="BG48" s="1452"/>
      <c r="BH48" s="1452"/>
      <c r="BI48" s="1452"/>
      <c r="BJ48" s="1452"/>
      <c r="BK48" s="1452"/>
      <c r="BL48" s="1452"/>
      <c r="BM48" s="1452"/>
      <c r="BN48" s="1452"/>
      <c r="BO48" s="1452"/>
      <c r="BP48" s="1452"/>
      <c r="BQ48" s="1452"/>
      <c r="BR48" s="1452"/>
      <c r="BS48" s="1452"/>
      <c r="BT48" s="1452"/>
      <c r="BU48" s="1452"/>
      <c r="BV48" s="1452"/>
      <c r="BW48" s="1452"/>
      <c r="BX48" s="1452"/>
      <c r="BY48" s="1452"/>
      <c r="BZ48" s="1452"/>
      <c r="CA48" s="1452"/>
      <c r="CB48" s="1452"/>
      <c r="CC48" s="1452"/>
      <c r="CD48" s="1452"/>
      <c r="CE48" s="1455"/>
      <c r="CF48" s="1455"/>
      <c r="CG48" s="1455"/>
      <c r="CH48" s="1452"/>
      <c r="CI48" s="1452"/>
      <c r="CJ48" s="1455"/>
      <c r="CK48" s="1455"/>
      <c r="CL48" s="1455"/>
      <c r="CM48" s="1455"/>
      <c r="CN48" s="1455"/>
      <c r="CO48" s="1455"/>
      <c r="CP48" s="1455"/>
      <c r="CQ48" s="1452"/>
      <c r="CR48" s="1452"/>
      <c r="CS48" s="1452"/>
      <c r="CT48" s="1452"/>
      <c r="CU48" s="1455"/>
      <c r="CV48" s="1452"/>
      <c r="CW48" s="1455"/>
      <c r="CX48" s="1455"/>
      <c r="CY48" s="1455"/>
      <c r="CZ48" s="1452"/>
      <c r="DA48" s="1452"/>
      <c r="DB48" s="1452"/>
      <c r="DC48" s="1452"/>
      <c r="DD48" s="1455"/>
      <c r="DE48" s="1455"/>
      <c r="DF48" s="1455"/>
      <c r="DG48" s="1455"/>
      <c r="DH48" s="1455"/>
      <c r="DI48" s="1452"/>
      <c r="DJ48" s="1455"/>
      <c r="DK48" s="1455"/>
      <c r="DL48" s="1452"/>
      <c r="DM48" s="1452"/>
      <c r="DN48" s="1455"/>
      <c r="DO48" s="1455"/>
      <c r="DP48" s="1455"/>
      <c r="DQ48" s="1455"/>
      <c r="DR48" s="1452"/>
      <c r="DS48" s="1455"/>
      <c r="DT48" s="1455"/>
      <c r="DU48" s="1455"/>
      <c r="DV48" s="1455"/>
      <c r="DW48" s="1455"/>
      <c r="DX48" s="1455"/>
      <c r="DY48" s="1455"/>
      <c r="DZ48" s="1455"/>
      <c r="EA48" s="1455"/>
      <c r="EB48" s="1455"/>
      <c r="EC48" s="1455"/>
      <c r="ED48" s="1455"/>
      <c r="EE48" s="1455"/>
      <c r="EF48" s="1455"/>
      <c r="EG48" s="1455"/>
      <c r="EH48" s="1455"/>
      <c r="EI48" s="1455"/>
      <c r="EJ48" s="1452"/>
      <c r="EK48" s="1455"/>
      <c r="EL48" s="1455"/>
      <c r="EM48" s="1455"/>
      <c r="EN48" s="1452"/>
      <c r="EO48" s="1455"/>
      <c r="EP48" s="1455"/>
      <c r="EQ48" s="1455"/>
      <c r="ER48" s="1455"/>
      <c r="ES48" s="1455"/>
      <c r="ET48" s="1455"/>
      <c r="EU48" s="1452"/>
      <c r="EV48" s="1455"/>
      <c r="EW48" s="1455"/>
      <c r="EX48" s="1455"/>
      <c r="EY48" s="1455"/>
      <c r="EZ48" s="1455"/>
      <c r="FA48" s="1455"/>
      <c r="FB48" s="1455"/>
      <c r="FC48" s="1455"/>
      <c r="FD48" s="1455"/>
      <c r="FE48" s="1455"/>
      <c r="FF48" s="1452"/>
      <c r="FG48" s="1455"/>
      <c r="FH48" s="1455"/>
      <c r="FI48" s="1455"/>
      <c r="FJ48" s="1455"/>
      <c r="FK48" s="1455"/>
      <c r="FL48" s="1455"/>
      <c r="FM48" s="1455"/>
      <c r="FN48" s="1455"/>
      <c r="FO48" s="1455"/>
      <c r="FP48" s="1455"/>
      <c r="FQ48" s="1455"/>
      <c r="FR48" s="1455"/>
      <c r="FS48" s="1455"/>
      <c r="FT48" s="1452"/>
      <c r="FU48" s="1452"/>
      <c r="FV48" s="1452"/>
      <c r="FW48" s="1455"/>
      <c r="FX48" s="1452"/>
      <c r="FY48" s="1455"/>
      <c r="FZ48" s="1455"/>
      <c r="GA48" s="1455"/>
      <c r="GB48" s="1455"/>
      <c r="GC48" s="1455"/>
      <c r="GD48" s="1455"/>
      <c r="GE48" s="1452"/>
      <c r="GF48" s="1452"/>
      <c r="GG48" s="1452"/>
      <c r="GH48" s="1455"/>
      <c r="GI48" s="1455"/>
      <c r="GJ48" s="1452"/>
      <c r="GK48" s="1455"/>
      <c r="GL48" s="1455"/>
      <c r="GM48" s="1455"/>
      <c r="GN48" s="1455"/>
      <c r="GO48" s="1455"/>
      <c r="GP48" s="1455"/>
      <c r="GQ48" s="1455"/>
      <c r="GR48" s="1455"/>
      <c r="GS48" s="1455"/>
      <c r="GT48" s="1455"/>
      <c r="GU48" s="1455"/>
      <c r="GV48" s="1455"/>
      <c r="GW48" s="1452"/>
      <c r="GX48" s="1452"/>
      <c r="GY48" s="1455"/>
      <c r="GZ48" s="1455"/>
      <c r="HA48" s="1455"/>
      <c r="HB48" s="1452"/>
      <c r="HC48" s="1455"/>
      <c r="HD48" s="1452"/>
      <c r="HE48" s="1455"/>
      <c r="HF48" s="1452"/>
      <c r="HG48" s="1452"/>
      <c r="HH48" s="1455"/>
      <c r="HI48" s="1455"/>
      <c r="HJ48" s="1455"/>
      <c r="HK48" s="1455"/>
      <c r="HL48" s="1455"/>
      <c r="HM48" s="1455"/>
      <c r="HN48" s="1455"/>
      <c r="HO48" s="1455"/>
      <c r="HP48" s="1455"/>
      <c r="HQ48" s="1455"/>
      <c r="HR48" s="1452"/>
      <c r="HS48" s="1452"/>
      <c r="HT48" s="1455"/>
      <c r="HU48" s="1455"/>
      <c r="HV48" s="1455"/>
      <c r="HW48" s="1455"/>
      <c r="HX48" s="1455"/>
      <c r="HY48" s="1455"/>
      <c r="HZ48" s="1452"/>
      <c r="IA48" s="1455"/>
      <c r="IB48" s="1455"/>
      <c r="IC48" s="1455"/>
      <c r="ID48" s="1455"/>
      <c r="IE48" s="1455"/>
      <c r="IF48" s="1455"/>
      <c r="IG48" s="1455"/>
      <c r="IH48" s="1455"/>
      <c r="II48" s="1455"/>
      <c r="IJ48" s="1455"/>
      <c r="IK48" s="1455"/>
      <c r="IL48" s="1455"/>
      <c r="IM48" s="1455"/>
      <c r="IN48" s="1455"/>
      <c r="IO48" s="1452"/>
      <c r="IP48" s="1455"/>
      <c r="IQ48" s="1455"/>
      <c r="IR48" s="1455"/>
      <c r="IS48" s="1455"/>
      <c r="IT48" s="1455"/>
      <c r="IU48" s="1455"/>
      <c r="IV48" s="1455"/>
      <c r="IW48" s="1455"/>
      <c r="IX48" s="1452"/>
      <c r="IY48" s="1452"/>
      <c r="IZ48" s="1452"/>
      <c r="JA48" s="1452"/>
      <c r="JB48" s="1452"/>
      <c r="JC48" s="1452"/>
      <c r="JD48" s="1452"/>
      <c r="JE48" s="1452"/>
      <c r="JF48" s="1452"/>
      <c r="JG48" s="1452">
        <v>50</v>
      </c>
      <c r="JH48" s="1455"/>
      <c r="JI48" s="1455"/>
      <c r="JJ48" s="1455"/>
      <c r="JK48" s="1455"/>
      <c r="JL48" s="1455"/>
      <c r="JM48" s="1455"/>
      <c r="JN48" s="1455"/>
      <c r="JO48" s="1455"/>
      <c r="JP48" s="1455"/>
      <c r="JQ48" s="1501"/>
      <c r="JR48" s="351"/>
      <c r="JS48" s="1400"/>
      <c r="JT48" s="1385" t="s">
        <v>2242</v>
      </c>
    </row>
    <row r="49" spans="1:280" ht="12.5" x14ac:dyDescent="0.25">
      <c r="A49" s="1367">
        <v>49</v>
      </c>
      <c r="B49" s="1411" t="str">
        <f t="shared" si="1"/>
        <v/>
      </c>
      <c r="C49" s="1628" t="s">
        <v>3790</v>
      </c>
      <c r="D49" s="1531" t="s">
        <v>3791</v>
      </c>
      <c r="E49" s="1452"/>
      <c r="F49" s="1452"/>
      <c r="G49" s="1452"/>
      <c r="H49" s="1452"/>
      <c r="I49" s="1452"/>
      <c r="J49" s="1452"/>
      <c r="K49" s="1452"/>
      <c r="L49" s="1452"/>
      <c r="M49" s="1452"/>
      <c r="N49" s="1452"/>
      <c r="O49" s="1452"/>
      <c r="P49" s="1452"/>
      <c r="Q49" s="1452"/>
      <c r="R49" s="1452"/>
      <c r="S49" s="1452"/>
      <c r="T49" s="1452"/>
      <c r="U49" s="1452"/>
      <c r="V49" s="1452"/>
      <c r="W49" s="1452"/>
      <c r="X49" s="1452"/>
      <c r="Y49" s="1452"/>
      <c r="Z49" s="1452"/>
      <c r="AA49" s="1452"/>
      <c r="AB49" s="1452"/>
      <c r="AC49" s="1452"/>
      <c r="AD49" s="1452"/>
      <c r="AE49" s="1452"/>
      <c r="AF49" s="1452"/>
      <c r="AG49" s="1452"/>
      <c r="AH49" s="1452"/>
      <c r="AI49" s="1452"/>
      <c r="AJ49" s="1452"/>
      <c r="AK49" s="1452"/>
      <c r="AL49" s="1452"/>
      <c r="AM49" s="1452"/>
      <c r="AN49" s="1452"/>
      <c r="AO49" s="1452"/>
      <c r="AP49" s="1452"/>
      <c r="AQ49" s="1452"/>
      <c r="AR49" s="1452"/>
      <c r="AS49" s="1452"/>
      <c r="AT49" s="1452"/>
      <c r="AU49" s="1452"/>
      <c r="AV49" s="1452"/>
      <c r="AW49" s="1452"/>
      <c r="AX49" s="1452"/>
      <c r="AY49" s="1452"/>
      <c r="AZ49" s="1452"/>
      <c r="BA49" s="1452"/>
      <c r="BB49" s="1452"/>
      <c r="BC49" s="1452"/>
      <c r="BD49" s="1452"/>
      <c r="BE49" s="1452"/>
      <c r="BF49" s="1452"/>
      <c r="BG49" s="1452"/>
      <c r="BH49" s="1452"/>
      <c r="BI49" s="1452"/>
      <c r="BJ49" s="1452"/>
      <c r="BK49" s="1452"/>
      <c r="BL49" s="1452"/>
      <c r="BM49" s="1452"/>
      <c r="BN49" s="1452"/>
      <c r="BO49" s="1452"/>
      <c r="BP49" s="1452"/>
      <c r="BQ49" s="1452"/>
      <c r="BR49" s="1452"/>
      <c r="BS49" s="1452"/>
      <c r="BT49" s="1452"/>
      <c r="BU49" s="1452"/>
      <c r="BV49" s="1452"/>
      <c r="BW49" s="1452"/>
      <c r="BX49" s="1452">
        <v>302</v>
      </c>
      <c r="BY49" s="1452"/>
      <c r="BZ49" s="1452"/>
      <c r="CA49" s="1452"/>
      <c r="CB49" s="1452"/>
      <c r="CC49" s="1452"/>
      <c r="CD49" s="1452"/>
      <c r="CE49" s="1455"/>
      <c r="CF49" s="1455"/>
      <c r="CG49" s="1455"/>
      <c r="CH49" s="1452"/>
      <c r="CI49" s="1452">
        <v>302</v>
      </c>
      <c r="CJ49" s="1455"/>
      <c r="CK49" s="1455"/>
      <c r="CL49" s="1455"/>
      <c r="CM49" s="1455"/>
      <c r="CN49" s="1455"/>
      <c r="CO49" s="1455"/>
      <c r="CP49" s="1455"/>
      <c r="CQ49" s="1454"/>
      <c r="CR49" s="1452"/>
      <c r="CS49" s="1452"/>
      <c r="CT49" s="1452"/>
      <c r="CU49" s="1455"/>
      <c r="CV49" s="1452"/>
      <c r="CW49" s="1455"/>
      <c r="CX49" s="1455"/>
      <c r="CY49" s="1455"/>
      <c r="CZ49" s="1452"/>
      <c r="DA49" s="1452"/>
      <c r="DB49" s="1452"/>
      <c r="DC49" s="1452">
        <v>302</v>
      </c>
      <c r="DD49" s="1455"/>
      <c r="DE49" s="1455"/>
      <c r="DF49" s="1455"/>
      <c r="DG49" s="1455"/>
      <c r="DH49" s="1455"/>
      <c r="DI49" s="1452"/>
      <c r="DJ49" s="1455"/>
      <c r="DK49" s="1455"/>
      <c r="DL49" s="1452"/>
      <c r="DM49" s="1452">
        <v>302</v>
      </c>
      <c r="DN49" s="1455"/>
      <c r="DO49" s="1455"/>
      <c r="DP49" s="1455"/>
      <c r="DQ49" s="1455"/>
      <c r="DR49" s="1452"/>
      <c r="DS49" s="1455"/>
      <c r="DT49" s="1455"/>
      <c r="DU49" s="1455"/>
      <c r="DV49" s="1455"/>
      <c r="DW49" s="1455"/>
      <c r="DX49" s="1455"/>
      <c r="DY49" s="1455"/>
      <c r="DZ49" s="1455"/>
      <c r="EA49" s="1455"/>
      <c r="EB49" s="1455"/>
      <c r="EC49" s="1455"/>
      <c r="ED49" s="1455"/>
      <c r="EE49" s="1455"/>
      <c r="EF49" s="1455"/>
      <c r="EG49" s="1455"/>
      <c r="EH49" s="1455"/>
      <c r="EI49" s="1455"/>
      <c r="EJ49" s="1452"/>
      <c r="EK49" s="1455"/>
      <c r="EL49" s="1455"/>
      <c r="EM49" s="1455"/>
      <c r="EN49" s="1452"/>
      <c r="EO49" s="1455"/>
      <c r="EP49" s="1455"/>
      <c r="EQ49" s="1455"/>
      <c r="ER49" s="1455"/>
      <c r="ES49" s="1455"/>
      <c r="ET49" s="1455"/>
      <c r="EU49" s="1452"/>
      <c r="EV49" s="1455"/>
      <c r="EW49" s="1455"/>
      <c r="EX49" s="1455"/>
      <c r="EY49" s="1455"/>
      <c r="EZ49" s="1455"/>
      <c r="FA49" s="1455"/>
      <c r="FB49" s="1455"/>
      <c r="FC49" s="1455"/>
      <c r="FD49" s="1455"/>
      <c r="FE49" s="1455"/>
      <c r="FF49" s="1452"/>
      <c r="FG49" s="1455"/>
      <c r="FH49" s="1455"/>
      <c r="FI49" s="1455"/>
      <c r="FJ49" s="1455"/>
      <c r="FK49" s="1455"/>
      <c r="FL49" s="1455"/>
      <c r="FM49" s="1455"/>
      <c r="FN49" s="1455"/>
      <c r="FO49" s="1455"/>
      <c r="FP49" s="1455"/>
      <c r="FQ49" s="1455"/>
      <c r="FR49" s="1455"/>
      <c r="FS49" s="1455"/>
      <c r="FT49" s="1452"/>
      <c r="FU49" s="1452"/>
      <c r="FV49" s="1452"/>
      <c r="FW49" s="1455"/>
      <c r="FX49" s="1452"/>
      <c r="FY49" s="1455"/>
      <c r="FZ49" s="1455"/>
      <c r="GA49" s="1455"/>
      <c r="GB49" s="1455"/>
      <c r="GC49" s="1455"/>
      <c r="GD49" s="1455"/>
      <c r="GE49" s="1452"/>
      <c r="GF49" s="1452"/>
      <c r="GG49" s="1452"/>
      <c r="GH49" s="1455"/>
      <c r="GI49" s="1455"/>
      <c r="GJ49" s="1452"/>
      <c r="GK49" s="1455"/>
      <c r="GL49" s="1455"/>
      <c r="GM49" s="1455"/>
      <c r="GN49" s="1455"/>
      <c r="GO49" s="1455"/>
      <c r="GP49" s="1455"/>
      <c r="GQ49" s="1455"/>
      <c r="GR49" s="1455"/>
      <c r="GS49" s="1455"/>
      <c r="GT49" s="1455"/>
      <c r="GU49" s="1455"/>
      <c r="GV49" s="1455"/>
      <c r="GW49" s="1452"/>
      <c r="GX49" s="1452">
        <v>302</v>
      </c>
      <c r="GY49" s="1455"/>
      <c r="GZ49" s="1455"/>
      <c r="HA49" s="1455"/>
      <c r="HB49" s="1452"/>
      <c r="HC49" s="1455"/>
      <c r="HD49" s="1452"/>
      <c r="HE49" s="1455"/>
      <c r="HF49" s="1452"/>
      <c r="HG49" s="1452"/>
      <c r="HH49" s="1455"/>
      <c r="HI49" s="1455"/>
      <c r="HJ49" s="1455"/>
      <c r="HK49" s="1455"/>
      <c r="HL49" s="1455"/>
      <c r="HM49" s="1455"/>
      <c r="HN49" s="1455"/>
      <c r="HO49" s="1455"/>
      <c r="HP49" s="1455"/>
      <c r="HQ49" s="1455"/>
      <c r="HR49" s="1452"/>
      <c r="HS49" s="1452"/>
      <c r="HT49" s="1455"/>
      <c r="HU49" s="1455"/>
      <c r="HV49" s="1455"/>
      <c r="HW49" s="1455"/>
      <c r="HX49" s="1455"/>
      <c r="HY49" s="1455"/>
      <c r="HZ49" s="1452"/>
      <c r="IA49" s="1455"/>
      <c r="IB49" s="1455"/>
      <c r="IC49" s="1455"/>
      <c r="ID49" s="1455"/>
      <c r="IE49" s="1455"/>
      <c r="IF49" s="1455"/>
      <c r="IG49" s="1455"/>
      <c r="IH49" s="1455"/>
      <c r="II49" s="1455"/>
      <c r="IJ49" s="1455"/>
      <c r="IK49" s="1455"/>
      <c r="IL49" s="1455"/>
      <c r="IM49" s="1455"/>
      <c r="IN49" s="1455"/>
      <c r="IO49" s="1452"/>
      <c r="IP49" s="1455"/>
      <c r="IQ49" s="1455"/>
      <c r="IR49" s="1455"/>
      <c r="IS49" s="1455"/>
      <c r="IT49" s="1455"/>
      <c r="IU49" s="1455"/>
      <c r="IV49" s="1455"/>
      <c r="IW49" s="1455"/>
      <c r="IX49" s="1452"/>
      <c r="IY49" s="1452"/>
      <c r="IZ49" s="1452"/>
      <c r="JA49" s="1452"/>
      <c r="JB49" s="1452"/>
      <c r="JC49" s="1452"/>
      <c r="JD49" s="1452"/>
      <c r="JE49" s="1452"/>
      <c r="JF49" s="1452"/>
      <c r="JG49" s="1452"/>
      <c r="JH49" s="1455"/>
      <c r="JI49" s="1455"/>
      <c r="JJ49" s="1455"/>
      <c r="JK49" s="1455"/>
      <c r="JL49" s="1455"/>
      <c r="JM49" s="1455"/>
      <c r="JN49" s="1455"/>
      <c r="JO49" s="1455"/>
      <c r="JP49" s="1455"/>
      <c r="JQ49" s="1501"/>
      <c r="JR49" s="351"/>
      <c r="JS49" s="1400"/>
      <c r="JT49" s="1385" t="s">
        <v>2242</v>
      </c>
    </row>
    <row r="50" spans="1:280" ht="12.5" x14ac:dyDescent="0.25">
      <c r="A50" s="1367">
        <v>50</v>
      </c>
      <c r="B50" s="1411" t="str">
        <f t="shared" si="1"/>
        <v/>
      </c>
      <c r="C50" s="1628" t="s">
        <v>3792</v>
      </c>
      <c r="D50" s="1531" t="s">
        <v>3793</v>
      </c>
      <c r="E50" s="1452"/>
      <c r="F50" s="1452"/>
      <c r="G50" s="1452"/>
      <c r="H50" s="1452"/>
      <c r="I50" s="1452"/>
      <c r="J50" s="1452"/>
      <c r="K50" s="1452"/>
      <c r="L50" s="1452"/>
      <c r="M50" s="1452"/>
      <c r="N50" s="1452"/>
      <c r="O50" s="1452"/>
      <c r="P50" s="1452"/>
      <c r="Q50" s="1452"/>
      <c r="R50" s="1452"/>
      <c r="S50" s="1452"/>
      <c r="T50" s="1452">
        <v>218</v>
      </c>
      <c r="U50" s="1452"/>
      <c r="V50" s="1452"/>
      <c r="W50" s="1452"/>
      <c r="X50" s="1452"/>
      <c r="Y50" s="1452"/>
      <c r="Z50" s="1452"/>
      <c r="AA50" s="1452"/>
      <c r="AB50" s="1452"/>
      <c r="AC50" s="1452"/>
      <c r="AD50" s="1452"/>
      <c r="AE50" s="1452"/>
      <c r="AF50" s="1452"/>
      <c r="AG50" s="1452"/>
      <c r="AH50" s="1452"/>
      <c r="AI50" s="1452"/>
      <c r="AJ50" s="1452"/>
      <c r="AK50" s="1452"/>
      <c r="AL50" s="1452"/>
      <c r="AM50" s="1452"/>
      <c r="AN50" s="1452"/>
      <c r="AO50" s="1452"/>
      <c r="AP50" s="1452"/>
      <c r="AQ50" s="1452">
        <v>3450</v>
      </c>
      <c r="AR50" s="1452"/>
      <c r="AS50" s="1452"/>
      <c r="AT50" s="1452"/>
      <c r="AU50" s="1452"/>
      <c r="AV50" s="1452"/>
      <c r="AW50" s="1452">
        <v>1654</v>
      </c>
      <c r="AX50" s="1452"/>
      <c r="AY50" s="1454">
        <v>1611</v>
      </c>
      <c r="AZ50" s="1452">
        <v>1654</v>
      </c>
      <c r="BA50" s="1452"/>
      <c r="BB50" s="1454">
        <v>788</v>
      </c>
      <c r="BC50" s="1452"/>
      <c r="BD50" s="1452"/>
      <c r="BE50" s="1452"/>
      <c r="BF50" s="1452"/>
      <c r="BG50" s="1452"/>
      <c r="BH50" s="1452"/>
      <c r="BI50" s="1452"/>
      <c r="BJ50" s="1452"/>
      <c r="BK50" s="1452"/>
      <c r="BL50" s="1452"/>
      <c r="BM50" s="1452"/>
      <c r="BN50" s="1452"/>
      <c r="BO50" s="1452"/>
      <c r="BP50" s="1452"/>
      <c r="BQ50" s="1452"/>
      <c r="BR50" s="1452"/>
      <c r="BS50" s="1452"/>
      <c r="BT50" s="1452"/>
      <c r="BU50" s="1452"/>
      <c r="BV50" s="1452"/>
      <c r="BW50" s="1452"/>
      <c r="BX50" s="1452">
        <v>1460</v>
      </c>
      <c r="BY50" s="1452"/>
      <c r="BZ50" s="1452"/>
      <c r="CA50" s="1452"/>
      <c r="CB50" s="1454">
        <v>4714</v>
      </c>
      <c r="CC50" s="1452">
        <v>1654</v>
      </c>
      <c r="CD50" s="1452"/>
      <c r="CE50" s="1455"/>
      <c r="CF50" s="1455"/>
      <c r="CG50" s="1455"/>
      <c r="CH50" s="1452"/>
      <c r="CI50" s="1452"/>
      <c r="CJ50" s="1472">
        <v>2369</v>
      </c>
      <c r="CK50" s="1455"/>
      <c r="CL50" s="1455"/>
      <c r="CM50" s="1455"/>
      <c r="CN50" s="1455">
        <v>2028</v>
      </c>
      <c r="CO50" s="1455"/>
      <c r="CP50" s="1455"/>
      <c r="CQ50" s="1454">
        <v>2070</v>
      </c>
      <c r="CR50" s="1452">
        <v>4880</v>
      </c>
      <c r="CS50" s="1452">
        <v>4880</v>
      </c>
      <c r="CT50" s="1454">
        <v>950</v>
      </c>
      <c r="CU50" s="1455"/>
      <c r="CV50" s="1454"/>
      <c r="CW50" s="1455"/>
      <c r="CX50" s="1455"/>
      <c r="CY50" s="1455"/>
      <c r="CZ50" s="1452">
        <v>1654</v>
      </c>
      <c r="DA50" s="1452">
        <v>1654</v>
      </c>
      <c r="DB50" s="1452">
        <v>4880</v>
      </c>
      <c r="DC50" s="1454">
        <v>2960</v>
      </c>
      <c r="DD50" s="1455"/>
      <c r="DE50" s="1455"/>
      <c r="DF50" s="1455"/>
      <c r="DG50" s="1455"/>
      <c r="DH50" s="1455"/>
      <c r="DI50" s="1452">
        <v>5900</v>
      </c>
      <c r="DJ50" s="1472">
        <v>324</v>
      </c>
      <c r="DK50" s="1455"/>
      <c r="DL50" s="1452">
        <v>5900</v>
      </c>
      <c r="DM50" s="1454">
        <v>2960</v>
      </c>
      <c r="DN50" s="1455"/>
      <c r="DO50" s="1455"/>
      <c r="DP50" s="1455"/>
      <c r="DQ50" s="1455"/>
      <c r="DR50" s="1454">
        <v>49881</v>
      </c>
      <c r="DS50" s="1455"/>
      <c r="DT50" s="1455"/>
      <c r="DU50" s="1455"/>
      <c r="DV50" s="1455"/>
      <c r="DW50" s="1455">
        <v>211</v>
      </c>
      <c r="DX50" s="1472">
        <v>142.93</v>
      </c>
      <c r="DY50" s="1455"/>
      <c r="DZ50" s="1455"/>
      <c r="EA50" s="1455"/>
      <c r="EB50" s="1472">
        <v>584</v>
      </c>
      <c r="EC50" s="1455"/>
      <c r="ED50" s="1455"/>
      <c r="EE50" s="1472">
        <v>250</v>
      </c>
      <c r="EF50" s="1455"/>
      <c r="EG50" s="1455"/>
      <c r="EH50" s="1455"/>
      <c r="EI50" s="1455"/>
      <c r="EJ50" s="1452"/>
      <c r="EK50" s="1455"/>
      <c r="EL50" s="1455"/>
      <c r="EM50" s="1455"/>
      <c r="EN50" s="1454">
        <v>188</v>
      </c>
      <c r="EO50" s="1455"/>
      <c r="EP50" s="1472">
        <v>865</v>
      </c>
      <c r="EQ50" s="1472">
        <v>2128</v>
      </c>
      <c r="ER50" s="1455"/>
      <c r="ES50" s="1455"/>
      <c r="ET50" s="1472">
        <v>19587.03</v>
      </c>
      <c r="EU50" s="1452">
        <v>4880</v>
      </c>
      <c r="EV50" s="1472">
        <v>4882</v>
      </c>
      <c r="EW50" s="1455"/>
      <c r="EX50" s="1455"/>
      <c r="EY50" s="1455"/>
      <c r="EZ50" s="1472">
        <v>8990</v>
      </c>
      <c r="FA50" s="1455"/>
      <c r="FB50" s="1455"/>
      <c r="FC50" s="1455"/>
      <c r="FD50" s="1455"/>
      <c r="FE50" s="1455"/>
      <c r="FF50" s="1452"/>
      <c r="FG50" s="1455"/>
      <c r="FH50" s="1455"/>
      <c r="FI50" s="1455"/>
      <c r="FJ50" s="1455"/>
      <c r="FK50" s="1455"/>
      <c r="FL50" s="1455"/>
      <c r="FM50" s="1455"/>
      <c r="FN50" s="1455"/>
      <c r="FO50" s="1455"/>
      <c r="FP50" s="1455"/>
      <c r="FQ50" s="1455"/>
      <c r="FR50" s="1455"/>
      <c r="FS50" s="1455"/>
      <c r="FT50" s="1452">
        <v>1654</v>
      </c>
      <c r="FU50" s="1452">
        <v>1654</v>
      </c>
      <c r="FV50" s="1454">
        <v>950</v>
      </c>
      <c r="FW50" s="1455"/>
      <c r="FX50" s="1452">
        <v>4880</v>
      </c>
      <c r="FY50" s="1455"/>
      <c r="FZ50" s="1455"/>
      <c r="GA50" s="1455"/>
      <c r="GB50" s="1455"/>
      <c r="GC50" s="1455"/>
      <c r="GD50" s="1455"/>
      <c r="GE50" s="1452"/>
      <c r="GF50" s="1452"/>
      <c r="GG50" s="1452">
        <v>4000</v>
      </c>
      <c r="GH50" s="1455"/>
      <c r="GI50" s="1455"/>
      <c r="GJ50" s="1452">
        <v>4880</v>
      </c>
      <c r="GK50" s="1455"/>
      <c r="GL50" s="1455"/>
      <c r="GM50" s="1455"/>
      <c r="GN50" s="1455"/>
      <c r="GO50" s="1455"/>
      <c r="GP50" s="1455"/>
      <c r="GQ50" s="1455"/>
      <c r="GR50" s="1455"/>
      <c r="GS50" s="1455"/>
      <c r="GT50" s="1455"/>
      <c r="GU50" s="1455"/>
      <c r="GV50" s="1455"/>
      <c r="GW50" s="1452">
        <v>4880</v>
      </c>
      <c r="GX50" s="1454">
        <v>2960</v>
      </c>
      <c r="GY50" s="1455"/>
      <c r="GZ50" s="1455"/>
      <c r="HA50" s="1455"/>
      <c r="HB50" s="1454">
        <v>4216</v>
      </c>
      <c r="HC50" s="1455"/>
      <c r="HD50" s="1452"/>
      <c r="HE50" s="1455"/>
      <c r="HF50" s="1452"/>
      <c r="HG50" s="1452"/>
      <c r="HH50" s="1455"/>
      <c r="HI50" s="1455"/>
      <c r="HJ50" s="1455"/>
      <c r="HK50" s="1455"/>
      <c r="HL50" s="1455"/>
      <c r="HM50" s="1455"/>
      <c r="HN50" s="1455"/>
      <c r="HO50" s="1455"/>
      <c r="HP50" s="1455"/>
      <c r="HQ50" s="1455"/>
      <c r="HR50" s="1452">
        <v>5899</v>
      </c>
      <c r="HS50" s="1454">
        <v>2275</v>
      </c>
      <c r="HT50" s="1472">
        <v>282</v>
      </c>
      <c r="HU50" s="1455"/>
      <c r="HV50" s="1455"/>
      <c r="HW50" s="1455"/>
      <c r="HX50" s="1455"/>
      <c r="HY50" s="1455"/>
      <c r="HZ50" s="1454">
        <v>23282</v>
      </c>
      <c r="IA50" s="1455"/>
      <c r="IB50" s="1455"/>
      <c r="IC50" s="1455"/>
      <c r="ID50" s="1455"/>
      <c r="IE50" s="1455"/>
      <c r="IF50" s="1472">
        <v>3965</v>
      </c>
      <c r="IG50" s="1455"/>
      <c r="IH50" s="1455"/>
      <c r="II50" s="1472">
        <v>328</v>
      </c>
      <c r="IJ50" s="1472">
        <v>738.08</v>
      </c>
      <c r="IK50" s="1455"/>
      <c r="IL50" s="1455"/>
      <c r="IM50" s="1455"/>
      <c r="IN50" s="1455"/>
      <c r="IO50" s="1452">
        <v>128</v>
      </c>
      <c r="IP50" s="1455">
        <v>2644</v>
      </c>
      <c r="IQ50" s="1455"/>
      <c r="IR50" s="1455"/>
      <c r="IS50" s="1455">
        <v>151</v>
      </c>
      <c r="IT50" s="1455">
        <v>22048</v>
      </c>
      <c r="IU50" s="1455">
        <v>1516</v>
      </c>
      <c r="IV50" s="1455"/>
      <c r="IW50" s="1455">
        <v>4518</v>
      </c>
      <c r="IX50" s="1452"/>
      <c r="IY50" s="1454">
        <v>14482</v>
      </c>
      <c r="IZ50" s="1452"/>
      <c r="JA50" s="1452"/>
      <c r="JB50" s="1452"/>
      <c r="JC50" s="1452"/>
      <c r="JD50" s="1452"/>
      <c r="JE50" s="1452"/>
      <c r="JF50" s="1452"/>
      <c r="JG50" s="1454">
        <v>3500</v>
      </c>
      <c r="JH50" s="1455">
        <v>161</v>
      </c>
      <c r="JI50" s="1455">
        <v>161</v>
      </c>
      <c r="JJ50" s="1455"/>
      <c r="JK50" s="1455">
        <v>2790</v>
      </c>
      <c r="JL50" s="1455">
        <v>6676</v>
      </c>
      <c r="JM50" s="1455"/>
      <c r="JN50" s="1455"/>
      <c r="JO50" s="1455"/>
      <c r="JP50" s="1455"/>
      <c r="JQ50" s="1455">
        <v>914</v>
      </c>
      <c r="JR50" s="351"/>
      <c r="JS50" s="1400"/>
      <c r="JT50" s="1385" t="s">
        <v>2242</v>
      </c>
    </row>
    <row r="51" spans="1:280" ht="12.5" x14ac:dyDescent="0.25">
      <c r="A51" s="1367">
        <v>51</v>
      </c>
      <c r="B51" s="1411" t="str">
        <f t="shared" si="1"/>
        <v/>
      </c>
      <c r="C51" s="1628" t="s">
        <v>3794</v>
      </c>
      <c r="D51" s="1531" t="s">
        <v>3795</v>
      </c>
      <c r="E51" s="1452">
        <v>16200</v>
      </c>
      <c r="F51" s="1452"/>
      <c r="G51" s="1452"/>
      <c r="H51" s="1452"/>
      <c r="I51" s="1452"/>
      <c r="J51" s="1452"/>
      <c r="K51" s="1452"/>
      <c r="L51" s="1452"/>
      <c r="M51" s="1452"/>
      <c r="N51" s="1452"/>
      <c r="O51" s="1452"/>
      <c r="P51" s="1452"/>
      <c r="Q51" s="1452"/>
      <c r="R51" s="1452"/>
      <c r="S51" s="1452"/>
      <c r="T51" s="1452">
        <v>1817</v>
      </c>
      <c r="U51" s="1452"/>
      <c r="V51" s="1452"/>
      <c r="W51" s="1452"/>
      <c r="X51" s="1452"/>
      <c r="Y51" s="1452"/>
      <c r="Z51" s="1452"/>
      <c r="AA51" s="1452"/>
      <c r="AB51" s="1452"/>
      <c r="AC51" s="1452"/>
      <c r="AD51" s="1452"/>
      <c r="AE51" s="1452"/>
      <c r="AF51" s="1452"/>
      <c r="AG51" s="1452"/>
      <c r="AH51" s="1452"/>
      <c r="AI51" s="1452"/>
      <c r="AJ51" s="1452"/>
      <c r="AK51" s="1452">
        <v>23479</v>
      </c>
      <c r="AL51" s="1452"/>
      <c r="AM51" s="1452"/>
      <c r="AN51" s="1452">
        <v>700</v>
      </c>
      <c r="AO51" s="1452"/>
      <c r="AP51" s="1452"/>
      <c r="AQ51" s="1452">
        <v>1785</v>
      </c>
      <c r="AR51" s="1452"/>
      <c r="AS51" s="1452">
        <v>6849</v>
      </c>
      <c r="AT51" s="1452"/>
      <c r="AU51" s="1452"/>
      <c r="AV51" s="1452"/>
      <c r="AW51" s="1452">
        <v>4000</v>
      </c>
      <c r="AX51" s="1452"/>
      <c r="AY51" s="1454">
        <v>412</v>
      </c>
      <c r="AZ51" s="1452">
        <v>4000</v>
      </c>
      <c r="BA51" s="1452"/>
      <c r="BB51" s="1454">
        <v>10931</v>
      </c>
      <c r="BC51" s="1452"/>
      <c r="BD51" s="1452"/>
      <c r="BE51" s="1452"/>
      <c r="BF51" s="1452"/>
      <c r="BG51" s="1452"/>
      <c r="BH51" s="1452"/>
      <c r="BI51" s="1452"/>
      <c r="BJ51" s="1452"/>
      <c r="BK51" s="1452"/>
      <c r="BL51" s="1452"/>
      <c r="BM51" s="1452"/>
      <c r="BN51" s="1452"/>
      <c r="BO51" s="1452"/>
      <c r="BP51" s="1452"/>
      <c r="BQ51" s="1452"/>
      <c r="BR51" s="1452"/>
      <c r="BS51" s="1452"/>
      <c r="BT51" s="1452"/>
      <c r="BU51" s="1452"/>
      <c r="BV51" s="1452"/>
      <c r="BW51" s="1452"/>
      <c r="BX51" s="1452">
        <v>472</v>
      </c>
      <c r="BY51" s="1452"/>
      <c r="BZ51" s="1452"/>
      <c r="CA51" s="1452"/>
      <c r="CB51" s="1454">
        <v>14000</v>
      </c>
      <c r="CC51" s="1452">
        <v>4000</v>
      </c>
      <c r="CD51" s="1452"/>
      <c r="CE51" s="1455"/>
      <c r="CF51" s="1455"/>
      <c r="CG51" s="1455"/>
      <c r="CH51" s="1452"/>
      <c r="CI51" s="1452">
        <v>472</v>
      </c>
      <c r="CJ51" s="1472">
        <v>4911</v>
      </c>
      <c r="CK51" s="1455"/>
      <c r="CL51" s="1455"/>
      <c r="CM51" s="1455"/>
      <c r="CN51" s="1455">
        <v>8909</v>
      </c>
      <c r="CO51" s="1455"/>
      <c r="CP51" s="1455"/>
      <c r="CQ51" s="1454">
        <v>5986</v>
      </c>
      <c r="CR51" s="1452">
        <v>3775</v>
      </c>
      <c r="CS51" s="1452">
        <v>3775</v>
      </c>
      <c r="CT51" s="1452"/>
      <c r="CU51" s="1455"/>
      <c r="CV51" s="1454"/>
      <c r="CW51" s="1455"/>
      <c r="CX51" s="1455"/>
      <c r="CY51" s="1455"/>
      <c r="CZ51" s="1452">
        <v>4000</v>
      </c>
      <c r="DA51" s="1452">
        <v>4000</v>
      </c>
      <c r="DB51" s="1452">
        <v>3775</v>
      </c>
      <c r="DC51" s="1452">
        <v>472</v>
      </c>
      <c r="DD51" s="1455"/>
      <c r="DE51" s="1455"/>
      <c r="DF51" s="1455"/>
      <c r="DG51" s="1455"/>
      <c r="DH51" s="1455"/>
      <c r="DI51" s="1452">
        <v>4216</v>
      </c>
      <c r="DJ51" s="1472">
        <v>4750</v>
      </c>
      <c r="DK51" s="1455"/>
      <c r="DL51" s="1452">
        <v>4216</v>
      </c>
      <c r="DM51" s="1452">
        <v>472</v>
      </c>
      <c r="DN51" s="1455"/>
      <c r="DO51" s="1455"/>
      <c r="DP51" s="1455"/>
      <c r="DQ51" s="1455"/>
      <c r="DR51" s="1454">
        <v>12210</v>
      </c>
      <c r="DS51" s="1455"/>
      <c r="DT51" s="1455"/>
      <c r="DU51" s="1455"/>
      <c r="DV51" s="1455"/>
      <c r="DW51" s="1455">
        <v>208</v>
      </c>
      <c r="DX51" s="1472">
        <v>564.79999999999995</v>
      </c>
      <c r="DY51" s="1455"/>
      <c r="DZ51" s="1455"/>
      <c r="EA51" s="1455"/>
      <c r="EB51" s="1472">
        <v>1944</v>
      </c>
      <c r="EC51" s="1455"/>
      <c r="ED51" s="1455"/>
      <c r="EE51" s="1455"/>
      <c r="EF51" s="1455"/>
      <c r="EG51" s="1455"/>
      <c r="EH51" s="1455"/>
      <c r="EI51" s="1455"/>
      <c r="EJ51" s="1452"/>
      <c r="EK51" s="1455"/>
      <c r="EL51" s="1455"/>
      <c r="EM51" s="1455"/>
      <c r="EN51" s="1454">
        <v>11801</v>
      </c>
      <c r="EO51" s="1455"/>
      <c r="EP51" s="1455"/>
      <c r="EQ51" s="1472">
        <v>2905</v>
      </c>
      <c r="ER51" s="1455"/>
      <c r="ES51" s="1455"/>
      <c r="ET51" s="1472">
        <v>1566269.43</v>
      </c>
      <c r="EU51" s="1452">
        <v>3775</v>
      </c>
      <c r="EV51" s="1472">
        <v>3775</v>
      </c>
      <c r="EW51" s="1455"/>
      <c r="EX51" s="1455"/>
      <c r="EY51" s="1455"/>
      <c r="EZ51" s="1455"/>
      <c r="FA51" s="1455"/>
      <c r="FB51" s="1455"/>
      <c r="FC51" s="1455"/>
      <c r="FD51" s="1455"/>
      <c r="FE51" s="1455"/>
      <c r="FF51" s="1452"/>
      <c r="FG51" s="1455"/>
      <c r="FH51" s="1455"/>
      <c r="FI51" s="1455"/>
      <c r="FJ51" s="1455"/>
      <c r="FK51" s="1455"/>
      <c r="FL51" s="1455"/>
      <c r="FM51" s="1455"/>
      <c r="FN51" s="1455"/>
      <c r="FO51" s="1455"/>
      <c r="FP51" s="1455"/>
      <c r="FQ51" s="1455"/>
      <c r="FR51" s="1455"/>
      <c r="FS51" s="1455"/>
      <c r="FT51" s="1452">
        <v>4000</v>
      </c>
      <c r="FU51" s="1452">
        <v>4000</v>
      </c>
      <c r="FV51" s="1452"/>
      <c r="FW51" s="1455"/>
      <c r="FX51" s="1452">
        <v>3775</v>
      </c>
      <c r="FY51" s="1455"/>
      <c r="FZ51" s="1455"/>
      <c r="GA51" s="1455"/>
      <c r="GB51" s="1455"/>
      <c r="GC51" s="1455"/>
      <c r="GD51" s="1455"/>
      <c r="GE51" s="1452"/>
      <c r="GF51" s="1452"/>
      <c r="GG51" s="1452">
        <v>3005</v>
      </c>
      <c r="GH51" s="1455"/>
      <c r="GI51" s="1455"/>
      <c r="GJ51" s="1452">
        <v>3775</v>
      </c>
      <c r="GK51" s="1455"/>
      <c r="GL51" s="1455"/>
      <c r="GM51" s="1455"/>
      <c r="GN51" s="1455"/>
      <c r="GO51" s="1455"/>
      <c r="GP51" s="1455"/>
      <c r="GQ51" s="1455"/>
      <c r="GR51" s="1455"/>
      <c r="GS51" s="1455"/>
      <c r="GT51" s="1455"/>
      <c r="GU51" s="1455"/>
      <c r="GV51" s="1455"/>
      <c r="GW51" s="1452">
        <v>3775</v>
      </c>
      <c r="GX51" s="1452">
        <v>472</v>
      </c>
      <c r="GY51" s="1455"/>
      <c r="GZ51" s="1455"/>
      <c r="HA51" s="1455"/>
      <c r="HB51" s="1454">
        <v>32442</v>
      </c>
      <c r="HC51" s="1455"/>
      <c r="HD51" s="1452"/>
      <c r="HE51" s="1455"/>
      <c r="HF51" s="1452"/>
      <c r="HG51" s="1454">
        <v>18360</v>
      </c>
      <c r="HH51" s="1455"/>
      <c r="HI51" s="1455"/>
      <c r="HJ51" s="1455"/>
      <c r="HK51" s="1455"/>
      <c r="HL51" s="1455"/>
      <c r="HM51" s="1455"/>
      <c r="HN51" s="1455"/>
      <c r="HO51" s="1455"/>
      <c r="HP51" s="1455"/>
      <c r="HQ51" s="1455"/>
      <c r="HR51" s="1452">
        <v>75301</v>
      </c>
      <c r="HS51" s="1452"/>
      <c r="HT51" s="1472">
        <v>767</v>
      </c>
      <c r="HU51" s="1455"/>
      <c r="HV51" s="1455"/>
      <c r="HW51" s="1455"/>
      <c r="HX51" s="1455"/>
      <c r="HY51" s="1455"/>
      <c r="HZ51" s="1452"/>
      <c r="IA51" s="1455"/>
      <c r="IB51" s="1455"/>
      <c r="IC51" s="1455"/>
      <c r="ID51" s="1455"/>
      <c r="IE51" s="1455"/>
      <c r="IF51" s="1455"/>
      <c r="IG51" s="1455"/>
      <c r="IH51" s="1455"/>
      <c r="II51" s="1472">
        <v>636</v>
      </c>
      <c r="IJ51" s="1472">
        <v>1682.67</v>
      </c>
      <c r="IK51" s="1455"/>
      <c r="IL51" s="1455"/>
      <c r="IM51" s="1455"/>
      <c r="IN51" s="1455"/>
      <c r="IO51" s="1452">
        <v>340</v>
      </c>
      <c r="IP51" s="1455">
        <v>6604</v>
      </c>
      <c r="IQ51" s="1455"/>
      <c r="IR51" s="1455"/>
      <c r="IS51" s="1455">
        <v>753</v>
      </c>
      <c r="IT51" s="1455">
        <v>80176</v>
      </c>
      <c r="IU51" s="1455">
        <v>12468</v>
      </c>
      <c r="IV51" s="1455">
        <v>1513</v>
      </c>
      <c r="IW51" s="1455"/>
      <c r="IX51" s="1452"/>
      <c r="IY51" s="1454"/>
      <c r="IZ51" s="1452"/>
      <c r="JA51" s="1452"/>
      <c r="JB51" s="1452"/>
      <c r="JC51" s="1452"/>
      <c r="JD51" s="1452"/>
      <c r="JE51" s="1454">
        <v>4947</v>
      </c>
      <c r="JF51" s="1452"/>
      <c r="JG51" s="1452">
        <v>130</v>
      </c>
      <c r="JH51" s="1455">
        <v>2586</v>
      </c>
      <c r="JI51" s="1455">
        <v>2586</v>
      </c>
      <c r="JJ51" s="1455"/>
      <c r="JK51" s="1455">
        <v>23798</v>
      </c>
      <c r="JL51" s="1455">
        <v>3160</v>
      </c>
      <c r="JM51" s="1455"/>
      <c r="JN51" s="1455"/>
      <c r="JO51" s="1455"/>
      <c r="JP51" s="1455"/>
      <c r="JQ51" s="1455">
        <v>6800</v>
      </c>
      <c r="JR51" s="351"/>
      <c r="JS51" s="1400"/>
      <c r="JT51" s="1385" t="s">
        <v>2242</v>
      </c>
    </row>
    <row r="52" spans="1:280" ht="12.5" x14ac:dyDescent="0.25">
      <c r="A52" s="1367">
        <v>52</v>
      </c>
      <c r="B52" s="1411" t="str">
        <f t="shared" si="1"/>
        <v/>
      </c>
      <c r="C52" s="1628" t="s">
        <v>3796</v>
      </c>
      <c r="D52" s="1531" t="s">
        <v>3751</v>
      </c>
      <c r="E52" s="1452"/>
      <c r="F52" s="1452">
        <v>3000</v>
      </c>
      <c r="G52" s="1452"/>
      <c r="H52" s="1452"/>
      <c r="I52" s="1452"/>
      <c r="J52" s="1452"/>
      <c r="K52" s="1452"/>
      <c r="L52" s="1452"/>
      <c r="M52" s="1452">
        <v>2000</v>
      </c>
      <c r="N52" s="1452"/>
      <c r="O52" s="1452">
        <v>3000</v>
      </c>
      <c r="P52" s="1452"/>
      <c r="Q52" s="1452"/>
      <c r="R52" s="1452"/>
      <c r="S52" s="1452"/>
      <c r="T52" s="1452"/>
      <c r="U52" s="1452">
        <v>2000</v>
      </c>
      <c r="V52" s="1452"/>
      <c r="W52" s="1452"/>
      <c r="X52" s="1452"/>
      <c r="Y52" s="1452"/>
      <c r="Z52" s="1452"/>
      <c r="AA52" s="1452"/>
      <c r="AB52" s="1452"/>
      <c r="AC52" s="1452">
        <v>13000</v>
      </c>
      <c r="AD52" s="1452"/>
      <c r="AE52" s="1452"/>
      <c r="AF52" s="1452"/>
      <c r="AG52" s="1452"/>
      <c r="AH52" s="1452"/>
      <c r="AI52" s="1452"/>
      <c r="AJ52" s="1452"/>
      <c r="AK52" s="1452"/>
      <c r="AL52" s="1452"/>
      <c r="AM52" s="1452"/>
      <c r="AN52" s="1452"/>
      <c r="AO52" s="1452"/>
      <c r="AP52" s="1452"/>
      <c r="AQ52" s="1452"/>
      <c r="AR52" s="1452"/>
      <c r="AS52" s="1452"/>
      <c r="AT52" s="1452"/>
      <c r="AU52" s="1452"/>
      <c r="AV52" s="1452"/>
      <c r="AW52" s="1452">
        <v>1500</v>
      </c>
      <c r="AX52" s="1452"/>
      <c r="AY52" s="1454"/>
      <c r="AZ52" s="1452">
        <v>1500</v>
      </c>
      <c r="BA52" s="1452"/>
      <c r="BB52" s="1452"/>
      <c r="BC52" s="1452"/>
      <c r="BD52" s="1452"/>
      <c r="BE52" s="1452"/>
      <c r="BF52" s="1452"/>
      <c r="BG52" s="1452"/>
      <c r="BH52" s="1452"/>
      <c r="BI52" s="1452"/>
      <c r="BJ52" s="1452"/>
      <c r="BK52" s="1452"/>
      <c r="BL52" s="1452"/>
      <c r="BM52" s="1452"/>
      <c r="BN52" s="1452"/>
      <c r="BO52" s="1452"/>
      <c r="BP52" s="1452"/>
      <c r="BQ52" s="1452"/>
      <c r="BR52" s="1452"/>
      <c r="BS52" s="1452"/>
      <c r="BT52" s="1452"/>
      <c r="BU52" s="1452"/>
      <c r="BV52" s="1452"/>
      <c r="BW52" s="1452"/>
      <c r="BX52" s="1452"/>
      <c r="BY52" s="1452"/>
      <c r="BZ52" s="1452"/>
      <c r="CA52" s="1452"/>
      <c r="CB52" s="1454">
        <v>7021</v>
      </c>
      <c r="CC52" s="1452">
        <v>1500</v>
      </c>
      <c r="CD52" s="1452"/>
      <c r="CE52" s="1455"/>
      <c r="CF52" s="1455"/>
      <c r="CG52" s="1455"/>
      <c r="CH52" s="1452"/>
      <c r="CI52" s="1454">
        <v>5981</v>
      </c>
      <c r="CJ52" s="1472">
        <v>39170</v>
      </c>
      <c r="CK52" s="1455"/>
      <c r="CL52" s="1455"/>
      <c r="CM52" s="1455"/>
      <c r="CN52" s="1455"/>
      <c r="CO52" s="1455"/>
      <c r="CP52" s="1455"/>
      <c r="CQ52" s="1454"/>
      <c r="CR52" s="1452"/>
      <c r="CS52" s="1452"/>
      <c r="CT52" s="1454">
        <v>3000</v>
      </c>
      <c r="CU52" s="1455"/>
      <c r="CV52" s="1454"/>
      <c r="CW52" s="1455"/>
      <c r="CX52" s="1455"/>
      <c r="CY52" s="1455"/>
      <c r="CZ52" s="1452">
        <v>1500</v>
      </c>
      <c r="DA52" s="1452">
        <v>1500</v>
      </c>
      <c r="DB52" s="1452"/>
      <c r="DC52" s="1454">
        <v>5981</v>
      </c>
      <c r="DD52" s="1455"/>
      <c r="DE52" s="1455"/>
      <c r="DF52" s="1455"/>
      <c r="DG52" s="1455"/>
      <c r="DH52" s="1455"/>
      <c r="DI52" s="1452">
        <v>29168</v>
      </c>
      <c r="DJ52" s="1472">
        <v>140</v>
      </c>
      <c r="DK52" s="1455"/>
      <c r="DL52" s="1452">
        <v>29168</v>
      </c>
      <c r="DM52" s="1454">
        <v>5981</v>
      </c>
      <c r="DN52" s="1455"/>
      <c r="DO52" s="1455"/>
      <c r="DP52" s="1455"/>
      <c r="DQ52" s="1455"/>
      <c r="DR52" s="1452"/>
      <c r="DS52" s="1455"/>
      <c r="DT52" s="1455"/>
      <c r="DU52" s="1455"/>
      <c r="DV52" s="1455"/>
      <c r="DW52" s="1455">
        <v>1583</v>
      </c>
      <c r="DX52" s="1455"/>
      <c r="DY52" s="1455"/>
      <c r="DZ52" s="1455"/>
      <c r="EA52" s="1455"/>
      <c r="EB52" s="1455"/>
      <c r="EC52" s="1455"/>
      <c r="ED52" s="1455"/>
      <c r="EE52" s="1455"/>
      <c r="EF52" s="1455"/>
      <c r="EG52" s="1455"/>
      <c r="EH52" s="1455"/>
      <c r="EI52" s="1455"/>
      <c r="EJ52" s="1452"/>
      <c r="EK52" s="1455"/>
      <c r="EL52" s="1455"/>
      <c r="EM52" s="1455"/>
      <c r="EN52" s="1452"/>
      <c r="EO52" s="1455"/>
      <c r="EP52" s="1472">
        <v>55</v>
      </c>
      <c r="EQ52" s="1455"/>
      <c r="ER52" s="1455"/>
      <c r="ES52" s="1455"/>
      <c r="ET52" s="1472">
        <v>488488.83</v>
      </c>
      <c r="EU52" s="1452"/>
      <c r="EV52" s="1472">
        <v>4555</v>
      </c>
      <c r="EW52" s="1455"/>
      <c r="EX52" s="1455"/>
      <c r="EY52" s="1455"/>
      <c r="EZ52" s="1455"/>
      <c r="FA52" s="1455"/>
      <c r="FB52" s="1455"/>
      <c r="FC52" s="1455"/>
      <c r="FD52" s="1455"/>
      <c r="FE52" s="1455"/>
      <c r="FF52" s="1452"/>
      <c r="FG52" s="1455"/>
      <c r="FH52" s="1455"/>
      <c r="FI52" s="1455"/>
      <c r="FJ52" s="1455"/>
      <c r="FK52" s="1455"/>
      <c r="FL52" s="1455"/>
      <c r="FM52" s="1455"/>
      <c r="FN52" s="1455"/>
      <c r="FO52" s="1455"/>
      <c r="FP52" s="1455"/>
      <c r="FQ52" s="1455"/>
      <c r="FR52" s="1455"/>
      <c r="FS52" s="1455"/>
      <c r="FT52" s="1452">
        <v>1500</v>
      </c>
      <c r="FU52" s="1452">
        <v>1500</v>
      </c>
      <c r="FV52" s="1454">
        <v>3000</v>
      </c>
      <c r="FW52" s="1455"/>
      <c r="FX52" s="1452"/>
      <c r="FY52" s="1455"/>
      <c r="FZ52" s="1455"/>
      <c r="GA52" s="1455"/>
      <c r="GB52" s="1455"/>
      <c r="GC52" s="1455"/>
      <c r="GD52" s="1455"/>
      <c r="GE52" s="1452"/>
      <c r="GF52" s="1452"/>
      <c r="GG52" s="1452"/>
      <c r="GH52" s="1455"/>
      <c r="GI52" s="1455"/>
      <c r="GJ52" s="1454">
        <v>4555</v>
      </c>
      <c r="GK52" s="1455"/>
      <c r="GL52" s="1455"/>
      <c r="GM52" s="1455"/>
      <c r="GN52" s="1455"/>
      <c r="GO52" s="1455"/>
      <c r="GP52" s="1455"/>
      <c r="GQ52" s="1455"/>
      <c r="GR52" s="1455"/>
      <c r="GS52" s="1455"/>
      <c r="GT52" s="1455"/>
      <c r="GU52" s="1455"/>
      <c r="GV52" s="1455"/>
      <c r="GW52" s="1452"/>
      <c r="GX52" s="1454">
        <v>5981</v>
      </c>
      <c r="GY52" s="1455"/>
      <c r="GZ52" s="1455"/>
      <c r="HA52" s="1455"/>
      <c r="HB52" s="1454">
        <v>29168</v>
      </c>
      <c r="HC52" s="1455"/>
      <c r="HD52" s="1452"/>
      <c r="HE52" s="1455"/>
      <c r="HF52" s="1452"/>
      <c r="HG52" s="1452"/>
      <c r="HH52" s="1455"/>
      <c r="HI52" s="1455"/>
      <c r="HJ52" s="1455"/>
      <c r="HK52" s="1455"/>
      <c r="HL52" s="1455"/>
      <c r="HM52" s="1455"/>
      <c r="HN52" s="1455"/>
      <c r="HO52" s="1455"/>
      <c r="HP52" s="1455"/>
      <c r="HQ52" s="1455"/>
      <c r="HR52" s="1452">
        <v>19802</v>
      </c>
      <c r="HS52" s="1454">
        <v>3511</v>
      </c>
      <c r="HT52" s="1455"/>
      <c r="HU52" s="1455"/>
      <c r="HV52" s="1455"/>
      <c r="HW52" s="1455"/>
      <c r="HX52" s="1455"/>
      <c r="HY52" s="1455"/>
      <c r="HZ52" s="1454">
        <v>24698</v>
      </c>
      <c r="IA52" s="1455"/>
      <c r="IB52" s="1455"/>
      <c r="IC52" s="1455"/>
      <c r="ID52" s="1455"/>
      <c r="IE52" s="1455"/>
      <c r="IF52" s="1455"/>
      <c r="IG52" s="1455"/>
      <c r="IH52" s="1455"/>
      <c r="II52" s="1455"/>
      <c r="IJ52" s="1455"/>
      <c r="IK52" s="1455"/>
      <c r="IL52" s="1455"/>
      <c r="IM52" s="1455"/>
      <c r="IN52" s="1455"/>
      <c r="IO52" s="1452">
        <v>104</v>
      </c>
      <c r="IP52" s="1455">
        <v>41</v>
      </c>
      <c r="IQ52" s="1455"/>
      <c r="IR52" s="1455"/>
      <c r="IS52" s="1455">
        <v>491</v>
      </c>
      <c r="IT52" s="1455">
        <v>83561</v>
      </c>
      <c r="IU52" s="1455">
        <v>12418</v>
      </c>
      <c r="IV52" s="1455"/>
      <c r="IW52" s="1455"/>
      <c r="IX52" s="1452"/>
      <c r="IY52" s="1454">
        <v>800</v>
      </c>
      <c r="IZ52" s="1452"/>
      <c r="JA52" s="1452"/>
      <c r="JB52" s="1452"/>
      <c r="JC52" s="1452"/>
      <c r="JD52" s="1452"/>
      <c r="JE52" s="1452"/>
      <c r="JF52" s="1452"/>
      <c r="JG52" s="1454">
        <v>1400</v>
      </c>
      <c r="JH52" s="1455"/>
      <c r="JI52" s="1455"/>
      <c r="JJ52" s="1455"/>
      <c r="JK52" s="1455">
        <v>1642</v>
      </c>
      <c r="JL52" s="1455">
        <v>104136</v>
      </c>
      <c r="JM52" s="1455"/>
      <c r="JN52" s="1455"/>
      <c r="JO52" s="1455"/>
      <c r="JP52" s="1455"/>
      <c r="JQ52" s="1455">
        <v>172</v>
      </c>
      <c r="JR52" s="351"/>
      <c r="JS52" s="1400"/>
      <c r="JT52" s="1385" t="s">
        <v>2242</v>
      </c>
    </row>
    <row r="53" spans="1:280" ht="12.5" x14ac:dyDescent="0.25">
      <c r="A53" s="1367">
        <v>53</v>
      </c>
      <c r="B53" s="1411" t="str">
        <f t="shared" si="1"/>
        <v/>
      </c>
      <c r="C53" s="1628" t="s">
        <v>3797</v>
      </c>
      <c r="D53" s="1531" t="s">
        <v>2953</v>
      </c>
      <c r="E53" s="1452"/>
      <c r="F53" s="1452"/>
      <c r="G53" s="1452"/>
      <c r="H53" s="1452"/>
      <c r="I53" s="1452"/>
      <c r="J53" s="1452"/>
      <c r="K53" s="1452"/>
      <c r="L53" s="1452"/>
      <c r="M53" s="1452"/>
      <c r="N53" s="1452"/>
      <c r="O53" s="1452"/>
      <c r="P53" s="1452"/>
      <c r="Q53" s="1452"/>
      <c r="R53" s="1452"/>
      <c r="S53" s="1452"/>
      <c r="T53" s="1452">
        <v>5527</v>
      </c>
      <c r="U53" s="1452"/>
      <c r="V53" s="1452"/>
      <c r="W53" s="1452"/>
      <c r="X53" s="1452"/>
      <c r="Y53" s="1452"/>
      <c r="Z53" s="1452"/>
      <c r="AA53" s="1452"/>
      <c r="AB53" s="1452"/>
      <c r="AC53" s="1452"/>
      <c r="AD53" s="1452"/>
      <c r="AE53" s="1452"/>
      <c r="AF53" s="1452"/>
      <c r="AG53" s="1452"/>
      <c r="AH53" s="1452"/>
      <c r="AI53" s="1452"/>
      <c r="AJ53" s="1452"/>
      <c r="AK53" s="1452"/>
      <c r="AL53" s="1452"/>
      <c r="AM53" s="1452"/>
      <c r="AN53" s="1452"/>
      <c r="AO53" s="1452"/>
      <c r="AP53" s="1452"/>
      <c r="AQ53" s="1452">
        <v>1632</v>
      </c>
      <c r="AR53" s="1452"/>
      <c r="AS53" s="1452"/>
      <c r="AT53" s="1452"/>
      <c r="AU53" s="1452"/>
      <c r="AV53" s="1452"/>
      <c r="AW53" s="1452">
        <v>1200</v>
      </c>
      <c r="AX53" s="1452"/>
      <c r="AY53" s="1454"/>
      <c r="AZ53" s="1452">
        <v>1200</v>
      </c>
      <c r="BA53" s="1452"/>
      <c r="BB53" s="1454">
        <v>3534</v>
      </c>
      <c r="BC53" s="1452"/>
      <c r="BD53" s="1452"/>
      <c r="BE53" s="1452"/>
      <c r="BF53" s="1452"/>
      <c r="BG53" s="1452"/>
      <c r="BH53" s="1452"/>
      <c r="BI53" s="1452"/>
      <c r="BJ53" s="1452"/>
      <c r="BK53" s="1452"/>
      <c r="BL53" s="1452"/>
      <c r="BM53" s="1452"/>
      <c r="BN53" s="1452"/>
      <c r="BO53" s="1452"/>
      <c r="BP53" s="1452"/>
      <c r="BQ53" s="1452"/>
      <c r="BR53" s="1452"/>
      <c r="BS53" s="1452"/>
      <c r="BT53" s="1452"/>
      <c r="BU53" s="1452"/>
      <c r="BV53" s="1452"/>
      <c r="BW53" s="1452"/>
      <c r="BX53" s="1452"/>
      <c r="BY53" s="1452"/>
      <c r="BZ53" s="1452"/>
      <c r="CA53" s="1452"/>
      <c r="CB53" s="1454">
        <v>2464</v>
      </c>
      <c r="CC53" s="1452">
        <v>1200</v>
      </c>
      <c r="CD53" s="1452"/>
      <c r="CE53" s="1455"/>
      <c r="CF53" s="1455"/>
      <c r="CG53" s="1455"/>
      <c r="CH53" s="1452"/>
      <c r="CI53" s="1454">
        <v>364</v>
      </c>
      <c r="CJ53" s="1472">
        <v>9533</v>
      </c>
      <c r="CK53" s="1455"/>
      <c r="CL53" s="1455"/>
      <c r="CM53" s="1455"/>
      <c r="CN53" s="1455">
        <v>12791</v>
      </c>
      <c r="CO53" s="1455"/>
      <c r="CP53" s="1455"/>
      <c r="CQ53" s="1454">
        <v>220</v>
      </c>
      <c r="CR53" s="1452"/>
      <c r="CS53" s="1452"/>
      <c r="CT53" s="1454">
        <v>250</v>
      </c>
      <c r="CU53" s="1455"/>
      <c r="CV53" s="1454"/>
      <c r="CW53" s="1455"/>
      <c r="CX53" s="1455"/>
      <c r="CY53" s="1455"/>
      <c r="CZ53" s="1452">
        <v>1200</v>
      </c>
      <c r="DA53" s="1452">
        <v>1200</v>
      </c>
      <c r="DB53" s="1452"/>
      <c r="DC53" s="1454">
        <v>364</v>
      </c>
      <c r="DD53" s="1455"/>
      <c r="DE53" s="1455"/>
      <c r="DF53" s="1455"/>
      <c r="DG53" s="1455"/>
      <c r="DH53" s="1455"/>
      <c r="DI53" s="1452">
        <v>900</v>
      </c>
      <c r="DJ53" s="1472">
        <v>100</v>
      </c>
      <c r="DK53" s="1455"/>
      <c r="DL53" s="1452">
        <v>900</v>
      </c>
      <c r="DM53" s="1454">
        <v>364</v>
      </c>
      <c r="DN53" s="1455"/>
      <c r="DO53" s="1455"/>
      <c r="DP53" s="1455"/>
      <c r="DQ53" s="1455"/>
      <c r="DR53" s="1452"/>
      <c r="DS53" s="1455"/>
      <c r="DT53" s="1455"/>
      <c r="DU53" s="1455"/>
      <c r="DV53" s="1455"/>
      <c r="DW53" s="1455">
        <v>917</v>
      </c>
      <c r="DX53" s="1472">
        <v>713.63</v>
      </c>
      <c r="DY53" s="1455"/>
      <c r="DZ53" s="1455"/>
      <c r="EA53" s="1455"/>
      <c r="EB53" s="1472">
        <v>3117</v>
      </c>
      <c r="EC53" s="1455"/>
      <c r="ED53" s="1455"/>
      <c r="EE53" s="1472">
        <v>200</v>
      </c>
      <c r="EF53" s="1455"/>
      <c r="EG53" s="1455"/>
      <c r="EH53" s="1455"/>
      <c r="EI53" s="1455"/>
      <c r="EJ53" s="1452"/>
      <c r="EK53" s="1455"/>
      <c r="EL53" s="1455"/>
      <c r="EM53" s="1455"/>
      <c r="EN53" s="1454">
        <v>6893</v>
      </c>
      <c r="EO53" s="1455"/>
      <c r="EP53" s="1472">
        <v>60</v>
      </c>
      <c r="EQ53" s="1472">
        <v>2518</v>
      </c>
      <c r="ER53" s="1455"/>
      <c r="ES53" s="1455"/>
      <c r="ET53" s="1472">
        <v>151573.10999999999</v>
      </c>
      <c r="EU53" s="1452"/>
      <c r="EV53" s="1472">
        <v>2322</v>
      </c>
      <c r="EW53" s="1455"/>
      <c r="EX53" s="1455"/>
      <c r="EY53" s="1455"/>
      <c r="EZ53" s="1472">
        <v>11299</v>
      </c>
      <c r="FA53" s="1455"/>
      <c r="FB53" s="1455"/>
      <c r="FC53" s="1455"/>
      <c r="FD53" s="1455"/>
      <c r="FE53" s="1455"/>
      <c r="FF53" s="1452"/>
      <c r="FG53" s="1455"/>
      <c r="FH53" s="1455"/>
      <c r="FI53" s="1455"/>
      <c r="FJ53" s="1455"/>
      <c r="FK53" s="1455"/>
      <c r="FL53" s="1455"/>
      <c r="FM53" s="1455"/>
      <c r="FN53" s="1455"/>
      <c r="FO53" s="1455"/>
      <c r="FP53" s="1455"/>
      <c r="FQ53" s="1455"/>
      <c r="FR53" s="1455"/>
      <c r="FS53" s="1455"/>
      <c r="FT53" s="1452">
        <v>1200</v>
      </c>
      <c r="FU53" s="1452">
        <v>1200</v>
      </c>
      <c r="FV53" s="1454">
        <v>250</v>
      </c>
      <c r="FW53" s="1455"/>
      <c r="FX53" s="1452"/>
      <c r="FY53" s="1455"/>
      <c r="FZ53" s="1455"/>
      <c r="GA53" s="1455"/>
      <c r="GB53" s="1455"/>
      <c r="GC53" s="1455"/>
      <c r="GD53" s="1455"/>
      <c r="GE53" s="1452"/>
      <c r="GF53" s="1452"/>
      <c r="GG53" s="1452"/>
      <c r="GH53" s="1455"/>
      <c r="GI53" s="1455"/>
      <c r="GJ53" s="1454">
        <v>2320</v>
      </c>
      <c r="GK53" s="1455"/>
      <c r="GL53" s="1455"/>
      <c r="GM53" s="1455"/>
      <c r="GN53" s="1455"/>
      <c r="GO53" s="1455"/>
      <c r="GP53" s="1455"/>
      <c r="GQ53" s="1455"/>
      <c r="GR53" s="1455"/>
      <c r="GS53" s="1455"/>
      <c r="GT53" s="1455"/>
      <c r="GU53" s="1455"/>
      <c r="GV53" s="1455"/>
      <c r="GW53" s="1452"/>
      <c r="GX53" s="1454">
        <v>364</v>
      </c>
      <c r="GY53" s="1455"/>
      <c r="GZ53" s="1455"/>
      <c r="HA53" s="1455"/>
      <c r="HB53" s="1454">
        <v>9923</v>
      </c>
      <c r="HC53" s="1455"/>
      <c r="HD53" s="1452"/>
      <c r="HE53" s="1455"/>
      <c r="HF53" s="1452"/>
      <c r="HG53" s="1452"/>
      <c r="HH53" s="1455"/>
      <c r="HI53" s="1455"/>
      <c r="HJ53" s="1455"/>
      <c r="HK53" s="1455"/>
      <c r="HL53" s="1455"/>
      <c r="HM53" s="1455"/>
      <c r="HN53" s="1455"/>
      <c r="HO53" s="1455"/>
      <c r="HP53" s="1455"/>
      <c r="HQ53" s="1455"/>
      <c r="HR53" s="1452">
        <v>11909</v>
      </c>
      <c r="HS53" s="1454">
        <v>275</v>
      </c>
      <c r="HT53" s="1472">
        <v>1461</v>
      </c>
      <c r="HU53" s="1455"/>
      <c r="HV53" s="1455"/>
      <c r="HW53" s="1455"/>
      <c r="HX53" s="1455"/>
      <c r="HY53" s="1455"/>
      <c r="HZ53" s="1454">
        <v>24275</v>
      </c>
      <c r="IA53" s="1455"/>
      <c r="IB53" s="1455"/>
      <c r="IC53" s="1455"/>
      <c r="ID53" s="1455"/>
      <c r="IE53" s="1455"/>
      <c r="IF53" s="1455"/>
      <c r="IG53" s="1455"/>
      <c r="IH53" s="1455"/>
      <c r="II53" s="1472">
        <v>1422</v>
      </c>
      <c r="IJ53" s="1472">
        <v>1993.2</v>
      </c>
      <c r="IK53" s="1455"/>
      <c r="IL53" s="1455"/>
      <c r="IM53" s="1455"/>
      <c r="IN53" s="1455"/>
      <c r="IO53" s="1452">
        <v>177</v>
      </c>
      <c r="IP53" s="1455">
        <v>11142</v>
      </c>
      <c r="IQ53" s="1455"/>
      <c r="IR53" s="1455"/>
      <c r="IS53" s="1455">
        <v>312</v>
      </c>
      <c r="IT53" s="1455">
        <v>48709</v>
      </c>
      <c r="IU53" s="1455">
        <v>4718</v>
      </c>
      <c r="IV53" s="1455"/>
      <c r="IW53" s="1455">
        <v>3467</v>
      </c>
      <c r="IX53" s="1452"/>
      <c r="IY53" s="1454">
        <v>175</v>
      </c>
      <c r="IZ53" s="1452"/>
      <c r="JA53" s="1452"/>
      <c r="JB53" s="1452"/>
      <c r="JC53" s="1452"/>
      <c r="JD53" s="1452"/>
      <c r="JE53" s="1454">
        <v>915</v>
      </c>
      <c r="JF53" s="1452"/>
      <c r="JG53" s="1454">
        <v>400</v>
      </c>
      <c r="JH53" s="1455">
        <v>540</v>
      </c>
      <c r="JI53" s="1455">
        <v>540</v>
      </c>
      <c r="JJ53" s="1455"/>
      <c r="JK53" s="1455">
        <v>1620</v>
      </c>
      <c r="JL53" s="1455">
        <v>10703</v>
      </c>
      <c r="JM53" s="1455"/>
      <c r="JN53" s="1455"/>
      <c r="JO53" s="1455"/>
      <c r="JP53" s="1455"/>
      <c r="JQ53" s="1455">
        <v>700</v>
      </c>
      <c r="JR53" s="351"/>
      <c r="JS53" s="1400"/>
      <c r="JT53" s="1385" t="s">
        <v>2242</v>
      </c>
    </row>
    <row r="54" spans="1:280" ht="12.5" x14ac:dyDescent="0.25">
      <c r="A54" s="1367">
        <v>54</v>
      </c>
      <c r="B54" s="1411" t="str">
        <f t="shared" si="1"/>
        <v/>
      </c>
      <c r="C54" s="1628" t="s">
        <v>3798</v>
      </c>
      <c r="D54" s="1531" t="s">
        <v>3799</v>
      </c>
      <c r="E54" s="1452"/>
      <c r="F54" s="1452"/>
      <c r="G54" s="1452"/>
      <c r="H54" s="1452"/>
      <c r="I54" s="1452"/>
      <c r="J54" s="1452"/>
      <c r="K54" s="1452"/>
      <c r="L54" s="1452"/>
      <c r="M54" s="1452"/>
      <c r="N54" s="1452"/>
      <c r="O54" s="1452"/>
      <c r="P54" s="1452"/>
      <c r="Q54" s="1452"/>
      <c r="R54" s="1452"/>
      <c r="S54" s="1452"/>
      <c r="T54" s="1452"/>
      <c r="U54" s="1452"/>
      <c r="V54" s="1452"/>
      <c r="W54" s="1452"/>
      <c r="X54" s="1452"/>
      <c r="Y54" s="1452"/>
      <c r="Z54" s="1452"/>
      <c r="AA54" s="1452"/>
      <c r="AB54" s="1452"/>
      <c r="AC54" s="1452"/>
      <c r="AD54" s="1452"/>
      <c r="AE54" s="1452"/>
      <c r="AF54" s="1452"/>
      <c r="AG54" s="1452"/>
      <c r="AH54" s="1452"/>
      <c r="AI54" s="1452"/>
      <c r="AJ54" s="1452"/>
      <c r="AK54" s="1452"/>
      <c r="AL54" s="1452"/>
      <c r="AM54" s="1452"/>
      <c r="AN54" s="1452"/>
      <c r="AO54" s="1452"/>
      <c r="AP54" s="1452"/>
      <c r="AQ54" s="1452"/>
      <c r="AR54" s="1452"/>
      <c r="AS54" s="1452"/>
      <c r="AT54" s="1452"/>
      <c r="AU54" s="1452"/>
      <c r="AV54" s="1452"/>
      <c r="AW54" s="1452">
        <v>480</v>
      </c>
      <c r="AX54" s="1452"/>
      <c r="AY54" s="1452"/>
      <c r="AZ54" s="1452">
        <v>480</v>
      </c>
      <c r="BA54" s="1452"/>
      <c r="BB54" s="1452"/>
      <c r="BC54" s="1452"/>
      <c r="BD54" s="1452"/>
      <c r="BE54" s="1452"/>
      <c r="BF54" s="1452"/>
      <c r="BG54" s="1452"/>
      <c r="BH54" s="1452"/>
      <c r="BI54" s="1452"/>
      <c r="BJ54" s="1452"/>
      <c r="BK54" s="1452"/>
      <c r="BL54" s="1452"/>
      <c r="BM54" s="1452"/>
      <c r="BN54" s="1452"/>
      <c r="BO54" s="1452"/>
      <c r="BP54" s="1452"/>
      <c r="BQ54" s="1452"/>
      <c r="BR54" s="1452"/>
      <c r="BS54" s="1452"/>
      <c r="BT54" s="1452"/>
      <c r="BU54" s="1452"/>
      <c r="BV54" s="1452"/>
      <c r="BW54" s="1452"/>
      <c r="BX54" s="1452">
        <v>1900</v>
      </c>
      <c r="BY54" s="1452"/>
      <c r="BZ54" s="1452"/>
      <c r="CA54" s="1452"/>
      <c r="CB54" s="1452">
        <v>480</v>
      </c>
      <c r="CC54" s="1452">
        <v>480</v>
      </c>
      <c r="CD54" s="1452"/>
      <c r="CE54" s="1455"/>
      <c r="CF54" s="1455"/>
      <c r="CG54" s="1455"/>
      <c r="CH54" s="1452"/>
      <c r="CI54" s="1452">
        <v>1900</v>
      </c>
      <c r="CJ54" s="1472">
        <v>15</v>
      </c>
      <c r="CK54" s="1455"/>
      <c r="CL54" s="1455"/>
      <c r="CM54" s="1455"/>
      <c r="CN54" s="1455"/>
      <c r="CO54" s="1455"/>
      <c r="CP54" s="1455"/>
      <c r="CQ54" s="1454">
        <v>2926</v>
      </c>
      <c r="CR54" s="1452"/>
      <c r="CS54" s="1452"/>
      <c r="CT54" s="1452"/>
      <c r="CU54" s="1455"/>
      <c r="CV54" s="1452"/>
      <c r="CW54" s="1455"/>
      <c r="CX54" s="1455"/>
      <c r="CY54" s="1455"/>
      <c r="CZ54" s="1452">
        <v>480</v>
      </c>
      <c r="DA54" s="1452">
        <v>480</v>
      </c>
      <c r="DB54" s="1452"/>
      <c r="DC54" s="1452">
        <v>1900</v>
      </c>
      <c r="DD54" s="1455"/>
      <c r="DE54" s="1455"/>
      <c r="DF54" s="1455"/>
      <c r="DG54" s="1455"/>
      <c r="DH54" s="1455"/>
      <c r="DI54" s="1452"/>
      <c r="DJ54" s="1472">
        <v>3379</v>
      </c>
      <c r="DK54" s="1455"/>
      <c r="DL54" s="1452"/>
      <c r="DM54" s="1452">
        <v>1900</v>
      </c>
      <c r="DN54" s="1455"/>
      <c r="DO54" s="1455"/>
      <c r="DP54" s="1455"/>
      <c r="DQ54" s="1455"/>
      <c r="DR54" s="1454">
        <v>35296</v>
      </c>
      <c r="DS54" s="1455"/>
      <c r="DT54" s="1455"/>
      <c r="DU54" s="1455"/>
      <c r="DV54" s="1455"/>
      <c r="DW54" s="1455">
        <v>372</v>
      </c>
      <c r="DX54" s="1455"/>
      <c r="DY54" s="1455"/>
      <c r="DZ54" s="1455"/>
      <c r="EA54" s="1455"/>
      <c r="EB54" s="1472">
        <v>60</v>
      </c>
      <c r="EC54" s="1455"/>
      <c r="ED54" s="1455"/>
      <c r="EE54" s="1455"/>
      <c r="EF54" s="1455"/>
      <c r="EG54" s="1455"/>
      <c r="EH54" s="1455"/>
      <c r="EI54" s="1455"/>
      <c r="EJ54" s="1452"/>
      <c r="EK54" s="1455"/>
      <c r="EL54" s="1455"/>
      <c r="EM54" s="1455"/>
      <c r="EN54" s="1454"/>
      <c r="EO54" s="1455"/>
      <c r="EP54" s="1455"/>
      <c r="EQ54" s="1455"/>
      <c r="ER54" s="1455"/>
      <c r="ES54" s="1455"/>
      <c r="ET54" s="1472">
        <v>26693.3</v>
      </c>
      <c r="EU54" s="1452"/>
      <c r="EV54" s="1455"/>
      <c r="EW54" s="1455"/>
      <c r="EX54" s="1455"/>
      <c r="EY54" s="1455"/>
      <c r="EZ54" s="1455"/>
      <c r="FA54" s="1455"/>
      <c r="FB54" s="1455"/>
      <c r="FC54" s="1455"/>
      <c r="FD54" s="1455"/>
      <c r="FE54" s="1455"/>
      <c r="FF54" s="1452"/>
      <c r="FG54" s="1455"/>
      <c r="FH54" s="1455"/>
      <c r="FI54" s="1455"/>
      <c r="FJ54" s="1455"/>
      <c r="FK54" s="1455"/>
      <c r="FL54" s="1455"/>
      <c r="FM54" s="1455"/>
      <c r="FN54" s="1455"/>
      <c r="FO54" s="1455"/>
      <c r="FP54" s="1455"/>
      <c r="FQ54" s="1455"/>
      <c r="FR54" s="1455"/>
      <c r="FS54" s="1455"/>
      <c r="FT54" s="1452">
        <v>480</v>
      </c>
      <c r="FU54" s="1452">
        <v>480</v>
      </c>
      <c r="FV54" s="1454">
        <v>325</v>
      </c>
      <c r="FW54" s="1455"/>
      <c r="FX54" s="1452"/>
      <c r="FY54" s="1455"/>
      <c r="FZ54" s="1455"/>
      <c r="GA54" s="1455"/>
      <c r="GB54" s="1455"/>
      <c r="GC54" s="1455"/>
      <c r="GD54" s="1455"/>
      <c r="GE54" s="1452"/>
      <c r="GF54" s="1452"/>
      <c r="GG54" s="1452"/>
      <c r="GH54" s="1455"/>
      <c r="GI54" s="1455"/>
      <c r="GJ54" s="1452"/>
      <c r="GK54" s="1455"/>
      <c r="GL54" s="1455"/>
      <c r="GM54" s="1455"/>
      <c r="GN54" s="1455"/>
      <c r="GO54" s="1455"/>
      <c r="GP54" s="1455"/>
      <c r="GQ54" s="1455"/>
      <c r="GR54" s="1455"/>
      <c r="GS54" s="1455"/>
      <c r="GT54" s="1455"/>
      <c r="GU54" s="1455"/>
      <c r="GV54" s="1455"/>
      <c r="GW54" s="1452"/>
      <c r="GX54" s="1452">
        <v>1900</v>
      </c>
      <c r="GY54" s="1455"/>
      <c r="GZ54" s="1455"/>
      <c r="HA54" s="1455"/>
      <c r="HB54" s="1452"/>
      <c r="HC54" s="1455"/>
      <c r="HD54" s="1452"/>
      <c r="HE54" s="1455"/>
      <c r="HF54" s="1452"/>
      <c r="HG54" s="1452"/>
      <c r="HH54" s="1455"/>
      <c r="HI54" s="1455"/>
      <c r="HJ54" s="1455"/>
      <c r="HK54" s="1455"/>
      <c r="HL54" s="1455"/>
      <c r="HM54" s="1455"/>
      <c r="HN54" s="1455"/>
      <c r="HO54" s="1455"/>
      <c r="HP54" s="1455"/>
      <c r="HQ54" s="1455"/>
      <c r="HR54" s="1452">
        <v>12570</v>
      </c>
      <c r="HS54" s="1452"/>
      <c r="HT54" s="1455"/>
      <c r="HU54" s="1455"/>
      <c r="HV54" s="1455"/>
      <c r="HW54" s="1455"/>
      <c r="HX54" s="1455"/>
      <c r="HY54" s="1455"/>
      <c r="HZ54" s="1452">
        <v>27000</v>
      </c>
      <c r="IA54" s="1455"/>
      <c r="IB54" s="1455"/>
      <c r="IC54" s="1455"/>
      <c r="ID54" s="1455"/>
      <c r="IE54" s="1455"/>
      <c r="IF54" s="1455"/>
      <c r="IG54" s="1455"/>
      <c r="IH54" s="1455"/>
      <c r="II54" s="1472">
        <v>6858</v>
      </c>
      <c r="IJ54" s="1455"/>
      <c r="IK54" s="1455"/>
      <c r="IL54" s="1455"/>
      <c r="IM54" s="1455"/>
      <c r="IN54" s="1455"/>
      <c r="IO54" s="1452"/>
      <c r="IP54" s="1455">
        <v>364</v>
      </c>
      <c r="IQ54" s="1455"/>
      <c r="IR54" s="1455"/>
      <c r="IS54" s="1455"/>
      <c r="IT54" s="1455">
        <v>36001</v>
      </c>
      <c r="IU54" s="1455"/>
      <c r="IV54" s="1455">
        <v>150</v>
      </c>
      <c r="IW54" s="1455"/>
      <c r="IX54" s="1452"/>
      <c r="IY54" s="1452"/>
      <c r="IZ54" s="1452"/>
      <c r="JA54" s="1452"/>
      <c r="JB54" s="1452"/>
      <c r="JC54" s="1452"/>
      <c r="JD54" s="1452"/>
      <c r="JE54" s="1452"/>
      <c r="JF54" s="1452"/>
      <c r="JG54" s="1452"/>
      <c r="JH54" s="1455">
        <v>48</v>
      </c>
      <c r="JI54" s="1455">
        <v>48</v>
      </c>
      <c r="JJ54" s="1455"/>
      <c r="JK54" s="1455">
        <v>2789</v>
      </c>
      <c r="JL54" s="1455"/>
      <c r="JM54" s="1455"/>
      <c r="JN54" s="1455"/>
      <c r="JO54" s="1455"/>
      <c r="JP54" s="1455"/>
      <c r="JQ54" s="1455">
        <v>2000</v>
      </c>
      <c r="JR54" s="351"/>
      <c r="JS54" s="1400"/>
      <c r="JT54" s="1385" t="s">
        <v>2242</v>
      </c>
    </row>
    <row r="55" spans="1:280" ht="12.5" x14ac:dyDescent="0.25">
      <c r="A55" s="1367">
        <v>55</v>
      </c>
      <c r="B55" s="1411" t="str">
        <f t="shared" si="1"/>
        <v/>
      </c>
      <c r="C55" s="1628" t="s">
        <v>3800</v>
      </c>
      <c r="D55" s="1531" t="s">
        <v>2847</v>
      </c>
      <c r="E55" s="1452">
        <v>1092</v>
      </c>
      <c r="F55" s="1452">
        <v>1200</v>
      </c>
      <c r="G55" s="1452"/>
      <c r="H55" s="1452"/>
      <c r="I55" s="1452"/>
      <c r="J55" s="1452"/>
      <c r="K55" s="1452"/>
      <c r="L55" s="1452"/>
      <c r="M55" s="1452">
        <v>700</v>
      </c>
      <c r="N55" s="1452"/>
      <c r="O55" s="1452">
        <v>1200</v>
      </c>
      <c r="P55" s="1452"/>
      <c r="Q55" s="1452">
        <v>2303</v>
      </c>
      <c r="R55" s="1452"/>
      <c r="S55" s="1452"/>
      <c r="T55" s="1452">
        <v>59</v>
      </c>
      <c r="U55" s="1452">
        <v>1200</v>
      </c>
      <c r="V55" s="1452"/>
      <c r="W55" s="1452"/>
      <c r="X55" s="1452"/>
      <c r="Y55" s="1452"/>
      <c r="Z55" s="1452">
        <v>31835</v>
      </c>
      <c r="AA55" s="1452">
        <v>1337</v>
      </c>
      <c r="AB55" s="1452"/>
      <c r="AC55" s="1452">
        <v>1200</v>
      </c>
      <c r="AD55" s="1452"/>
      <c r="AE55" s="1452"/>
      <c r="AF55" s="1452"/>
      <c r="AG55" s="1452"/>
      <c r="AH55" s="1452"/>
      <c r="AI55" s="1452"/>
      <c r="AJ55" s="1452"/>
      <c r="AK55" s="1452">
        <v>3278</v>
      </c>
      <c r="AL55" s="1452"/>
      <c r="AM55" s="1452"/>
      <c r="AN55" s="1452">
        <v>621</v>
      </c>
      <c r="AO55" s="1452"/>
      <c r="AP55" s="1452"/>
      <c r="AQ55" s="1452">
        <v>2603</v>
      </c>
      <c r="AR55" s="1452"/>
      <c r="AS55" s="1452"/>
      <c r="AT55" s="1452"/>
      <c r="AU55" s="1452"/>
      <c r="AV55" s="1452"/>
      <c r="AW55" s="1452">
        <v>6890</v>
      </c>
      <c r="AX55" s="1452"/>
      <c r="AY55" s="1454">
        <v>1434</v>
      </c>
      <c r="AZ55" s="1452">
        <v>6890</v>
      </c>
      <c r="BA55" s="1452"/>
      <c r="BB55" s="1452"/>
      <c r="BC55" s="1452"/>
      <c r="BD55" s="1452">
        <v>4200</v>
      </c>
      <c r="BE55" s="1452"/>
      <c r="BF55" s="1452"/>
      <c r="BG55" s="1454"/>
      <c r="BH55" s="1452"/>
      <c r="BI55" s="1452"/>
      <c r="BJ55" s="1452"/>
      <c r="BK55" s="1452">
        <v>4200</v>
      </c>
      <c r="BL55" s="1452"/>
      <c r="BM55" s="1452"/>
      <c r="BN55" s="1452"/>
      <c r="BO55" s="1452"/>
      <c r="BP55" s="1454">
        <v>1876</v>
      </c>
      <c r="BQ55" s="1452"/>
      <c r="BR55" s="1452"/>
      <c r="BS55" s="1452"/>
      <c r="BT55" s="1454"/>
      <c r="BU55" s="1452"/>
      <c r="BV55" s="1452">
        <v>4200</v>
      </c>
      <c r="BW55" s="1452"/>
      <c r="BX55" s="1452"/>
      <c r="BY55" s="1452"/>
      <c r="BZ55" s="1452"/>
      <c r="CA55" s="1452"/>
      <c r="CB55" s="1454">
        <v>16917</v>
      </c>
      <c r="CC55" s="1452">
        <v>6890</v>
      </c>
      <c r="CD55" s="1454"/>
      <c r="CE55" s="1455"/>
      <c r="CF55" s="1455"/>
      <c r="CG55" s="1455"/>
      <c r="CH55" s="1452">
        <v>4200</v>
      </c>
      <c r="CI55" s="1454">
        <v>27</v>
      </c>
      <c r="CJ55" s="1472">
        <v>149</v>
      </c>
      <c r="CK55" s="1455"/>
      <c r="CL55" s="1455"/>
      <c r="CM55" s="1455"/>
      <c r="CN55" s="1455"/>
      <c r="CO55" s="1455"/>
      <c r="CP55" s="1455"/>
      <c r="CQ55" s="1454">
        <v>199</v>
      </c>
      <c r="CR55" s="1452"/>
      <c r="CS55" s="1452"/>
      <c r="CT55" s="1454">
        <v>325</v>
      </c>
      <c r="CU55" s="1455"/>
      <c r="CV55" s="1452"/>
      <c r="CW55" s="1455"/>
      <c r="CX55" s="1455"/>
      <c r="CY55" s="1455"/>
      <c r="CZ55" s="1452">
        <v>6890</v>
      </c>
      <c r="DA55" s="1452">
        <v>6890</v>
      </c>
      <c r="DB55" s="1452"/>
      <c r="DC55" s="1454">
        <v>27</v>
      </c>
      <c r="DD55" s="1455"/>
      <c r="DE55" s="1455"/>
      <c r="DF55" s="1455"/>
      <c r="DG55" s="1455"/>
      <c r="DH55" s="1455"/>
      <c r="DI55" s="1452"/>
      <c r="DJ55" s="1455"/>
      <c r="DK55" s="1455"/>
      <c r="DL55" s="1452"/>
      <c r="DM55" s="1454">
        <v>27</v>
      </c>
      <c r="DN55" s="1455"/>
      <c r="DO55" s="1455"/>
      <c r="DP55" s="1455"/>
      <c r="DQ55" s="1455"/>
      <c r="DR55" s="1452"/>
      <c r="DS55" s="1455"/>
      <c r="DT55" s="1455"/>
      <c r="DU55" s="1455"/>
      <c r="DV55" s="1455"/>
      <c r="DW55" s="1455"/>
      <c r="DX55" s="1472">
        <v>487</v>
      </c>
      <c r="DY55" s="1455"/>
      <c r="DZ55" s="1455"/>
      <c r="EA55" s="1455"/>
      <c r="EB55" s="1455"/>
      <c r="EC55" s="1455"/>
      <c r="ED55" s="1455"/>
      <c r="EE55" s="1455"/>
      <c r="EF55" s="1455"/>
      <c r="EG55" s="1455"/>
      <c r="EH55" s="1455"/>
      <c r="EI55" s="1455"/>
      <c r="EJ55" s="1452">
        <v>3000</v>
      </c>
      <c r="EK55" s="1455"/>
      <c r="EL55" s="1455"/>
      <c r="EM55" s="1455"/>
      <c r="EN55" s="1452"/>
      <c r="EO55" s="1472">
        <v>2248.81</v>
      </c>
      <c r="EP55" s="1472">
        <v>35</v>
      </c>
      <c r="EQ55" s="1472">
        <v>352</v>
      </c>
      <c r="ER55" s="1455"/>
      <c r="ES55" s="1455"/>
      <c r="ET55" s="1472">
        <v>3656.18</v>
      </c>
      <c r="EU55" s="1452"/>
      <c r="EV55" s="1455"/>
      <c r="EW55" s="1455"/>
      <c r="EX55" s="1455"/>
      <c r="EY55" s="1455"/>
      <c r="EZ55" s="1455"/>
      <c r="FA55" s="1455"/>
      <c r="FB55" s="1455"/>
      <c r="FC55" s="1455"/>
      <c r="FD55" s="1455"/>
      <c r="FE55" s="1455"/>
      <c r="FF55" s="1452">
        <v>4200</v>
      </c>
      <c r="FG55" s="1455"/>
      <c r="FH55" s="1455"/>
      <c r="FI55" s="1455"/>
      <c r="FJ55" s="1455"/>
      <c r="FK55" s="1455"/>
      <c r="FL55" s="1455"/>
      <c r="FM55" s="1455"/>
      <c r="FN55" s="1455"/>
      <c r="FO55" s="1455"/>
      <c r="FP55" s="1455"/>
      <c r="FQ55" s="1455"/>
      <c r="FR55" s="1455"/>
      <c r="FS55" s="1455"/>
      <c r="FT55" s="1452">
        <v>6890</v>
      </c>
      <c r="FU55" s="1452">
        <v>6890</v>
      </c>
      <c r="FV55" s="1452"/>
      <c r="FW55" s="1455"/>
      <c r="FX55" s="1452"/>
      <c r="FY55" s="1455"/>
      <c r="FZ55" s="1455"/>
      <c r="GA55" s="1455"/>
      <c r="GB55" s="1455"/>
      <c r="GC55" s="1455"/>
      <c r="GD55" s="1455"/>
      <c r="GE55" s="1452">
        <v>3000</v>
      </c>
      <c r="GF55" s="1452">
        <v>3000</v>
      </c>
      <c r="GG55" s="1452"/>
      <c r="GH55" s="1455"/>
      <c r="GI55" s="1455"/>
      <c r="GJ55" s="1452"/>
      <c r="GK55" s="1455"/>
      <c r="GL55" s="1455"/>
      <c r="GM55" s="1455"/>
      <c r="GN55" s="1455"/>
      <c r="GO55" s="1455"/>
      <c r="GP55" s="1455"/>
      <c r="GQ55" s="1455"/>
      <c r="GR55" s="1455"/>
      <c r="GS55" s="1455"/>
      <c r="GT55" s="1455"/>
      <c r="GU55" s="1455"/>
      <c r="GV55" s="1455"/>
      <c r="GW55" s="1452"/>
      <c r="GX55" s="1454">
        <v>27</v>
      </c>
      <c r="GY55" s="1455"/>
      <c r="GZ55" s="1455"/>
      <c r="HA55" s="1455"/>
      <c r="HB55" s="1452"/>
      <c r="HC55" s="1455"/>
      <c r="HD55" s="1452">
        <v>47197</v>
      </c>
      <c r="HE55" s="1455"/>
      <c r="HF55" s="1452">
        <v>4200</v>
      </c>
      <c r="HG55" s="1454">
        <v>7350</v>
      </c>
      <c r="HH55" s="1455"/>
      <c r="HI55" s="1455"/>
      <c r="HJ55" s="1455"/>
      <c r="HK55" s="1455"/>
      <c r="HL55" s="1455"/>
      <c r="HM55" s="1455"/>
      <c r="HN55" s="1455"/>
      <c r="HO55" s="1455"/>
      <c r="HP55" s="1455"/>
      <c r="HQ55" s="1455"/>
      <c r="HR55" s="1452"/>
      <c r="HS55" s="1454">
        <v>325</v>
      </c>
      <c r="HT55" s="1455"/>
      <c r="HU55" s="1455"/>
      <c r="HV55" s="1455"/>
      <c r="HW55" s="1455"/>
      <c r="HX55" s="1455"/>
      <c r="HY55" s="1455"/>
      <c r="HZ55" s="1454">
        <v>1115</v>
      </c>
      <c r="IA55" s="1455"/>
      <c r="IB55" s="1455"/>
      <c r="IC55" s="1455"/>
      <c r="ID55" s="1455"/>
      <c r="IE55" s="1455"/>
      <c r="IF55" s="1455"/>
      <c r="IG55" s="1455"/>
      <c r="IH55" s="1455"/>
      <c r="II55" s="1472">
        <v>293</v>
      </c>
      <c r="IJ55" s="1455"/>
      <c r="IK55" s="1455"/>
      <c r="IL55" s="1455"/>
      <c r="IM55" s="1455"/>
      <c r="IN55" s="1455"/>
      <c r="IO55" s="1452"/>
      <c r="IP55" s="1455">
        <v>1134</v>
      </c>
      <c r="IQ55" s="1455"/>
      <c r="IR55" s="1455"/>
      <c r="IS55" s="1455">
        <v>260</v>
      </c>
      <c r="IT55" s="1455">
        <v>5971</v>
      </c>
      <c r="IU55" s="1455">
        <v>2147</v>
      </c>
      <c r="IV55" s="1455"/>
      <c r="IW55" s="1455">
        <v>61</v>
      </c>
      <c r="IX55" s="1452"/>
      <c r="IY55" s="1454">
        <v>4247</v>
      </c>
      <c r="IZ55" s="1452"/>
      <c r="JA55" s="1452"/>
      <c r="JB55" s="1452"/>
      <c r="JC55" s="1452"/>
      <c r="JD55" s="1452"/>
      <c r="JE55" s="1454">
        <v>446</v>
      </c>
      <c r="JF55" s="1452"/>
      <c r="JG55" s="1454">
        <v>1230</v>
      </c>
      <c r="JH55" s="1455"/>
      <c r="JI55" s="1455"/>
      <c r="JJ55" s="1455"/>
      <c r="JK55" s="1455">
        <v>285</v>
      </c>
      <c r="JL55" s="1455">
        <v>299</v>
      </c>
      <c r="JM55" s="1455"/>
      <c r="JN55" s="1455"/>
      <c r="JO55" s="1455"/>
      <c r="JP55" s="1455"/>
      <c r="JQ55" s="1455">
        <v>129</v>
      </c>
      <c r="JR55" s="351"/>
      <c r="JS55" s="1400"/>
      <c r="JT55" s="1385" t="s">
        <v>2242</v>
      </c>
    </row>
    <row r="56" spans="1:280" ht="12.5" x14ac:dyDescent="0.25">
      <c r="A56" s="1367">
        <v>56</v>
      </c>
      <c r="B56" s="1411" t="str">
        <f t="shared" si="1"/>
        <v/>
      </c>
      <c r="C56" s="1628" t="s">
        <v>3801</v>
      </c>
      <c r="D56" s="1531" t="s">
        <v>3755</v>
      </c>
      <c r="E56" s="1452"/>
      <c r="F56" s="1452"/>
      <c r="G56" s="1452"/>
      <c r="H56" s="1452"/>
      <c r="I56" s="1452"/>
      <c r="J56" s="1452"/>
      <c r="K56" s="1452"/>
      <c r="L56" s="1452"/>
      <c r="M56" s="1452"/>
      <c r="N56" s="1452"/>
      <c r="O56" s="1452"/>
      <c r="P56" s="1452"/>
      <c r="Q56" s="1452"/>
      <c r="R56" s="1452"/>
      <c r="S56" s="1452"/>
      <c r="T56" s="1452"/>
      <c r="U56" s="1452"/>
      <c r="V56" s="1452"/>
      <c r="W56" s="1452"/>
      <c r="X56" s="1452"/>
      <c r="Y56" s="1452"/>
      <c r="Z56" s="1452"/>
      <c r="AA56" s="1452"/>
      <c r="AB56" s="1452"/>
      <c r="AC56" s="1452"/>
      <c r="AD56" s="1452"/>
      <c r="AE56" s="1452"/>
      <c r="AF56" s="1452"/>
      <c r="AG56" s="1452"/>
      <c r="AH56" s="1452"/>
      <c r="AI56" s="1452"/>
      <c r="AJ56" s="1453"/>
      <c r="AK56" s="1452"/>
      <c r="AL56" s="1452"/>
      <c r="AM56" s="1452"/>
      <c r="AN56" s="1452"/>
      <c r="AO56" s="1452"/>
      <c r="AP56" s="1452"/>
      <c r="AQ56" s="1452"/>
      <c r="AR56" s="1452"/>
      <c r="AS56" s="1452"/>
      <c r="AT56" s="1452"/>
      <c r="AU56" s="1452"/>
      <c r="AV56" s="1452"/>
      <c r="AW56" s="1452"/>
      <c r="AX56" s="1452"/>
      <c r="AY56" s="1452"/>
      <c r="AZ56" s="1452"/>
      <c r="BA56" s="1452"/>
      <c r="BB56" s="1452"/>
      <c r="BC56" s="1452"/>
      <c r="BD56" s="1452"/>
      <c r="BE56" s="1452"/>
      <c r="BF56" s="1452"/>
      <c r="BG56" s="1452"/>
      <c r="BH56" s="1452"/>
      <c r="BI56" s="1452"/>
      <c r="BJ56" s="1452"/>
      <c r="BK56" s="1452"/>
      <c r="BL56" s="1452"/>
      <c r="BM56" s="1452"/>
      <c r="BN56" s="1452"/>
      <c r="BO56" s="1452"/>
      <c r="BP56" s="1452"/>
      <c r="BQ56" s="1452"/>
      <c r="BR56" s="1452"/>
      <c r="BS56" s="1452"/>
      <c r="BT56" s="1452"/>
      <c r="BU56" s="1452"/>
      <c r="BV56" s="1452"/>
      <c r="BW56" s="1452"/>
      <c r="BX56" s="1452"/>
      <c r="BY56" s="1452"/>
      <c r="BZ56" s="1452"/>
      <c r="CA56" s="1452"/>
      <c r="CB56" s="1454">
        <v>370</v>
      </c>
      <c r="CC56" s="1452"/>
      <c r="CD56" s="1452"/>
      <c r="CE56" s="1455"/>
      <c r="CF56" s="1455"/>
      <c r="CG56" s="1455"/>
      <c r="CH56" s="1452"/>
      <c r="CI56" s="1454">
        <v>370</v>
      </c>
      <c r="CJ56" s="1455"/>
      <c r="CK56" s="1455"/>
      <c r="CL56" s="1455"/>
      <c r="CM56" s="1455"/>
      <c r="CN56" s="1455"/>
      <c r="CO56" s="1455"/>
      <c r="CP56" s="1455"/>
      <c r="CQ56" s="1452"/>
      <c r="CR56" s="1452"/>
      <c r="CS56" s="1452"/>
      <c r="CT56" s="1452"/>
      <c r="CU56" s="1455"/>
      <c r="CV56" s="1452"/>
      <c r="CW56" s="1455"/>
      <c r="CX56" s="1455"/>
      <c r="CY56" s="1455"/>
      <c r="CZ56" s="1452"/>
      <c r="DA56" s="1452"/>
      <c r="DB56" s="1452"/>
      <c r="DC56" s="1454">
        <v>370</v>
      </c>
      <c r="DD56" s="1455"/>
      <c r="DE56" s="1455"/>
      <c r="DF56" s="1455"/>
      <c r="DG56" s="1455"/>
      <c r="DH56" s="1455"/>
      <c r="DI56" s="1452"/>
      <c r="DJ56" s="1455"/>
      <c r="DK56" s="1455"/>
      <c r="DL56" s="1452"/>
      <c r="DM56" s="1454">
        <v>370</v>
      </c>
      <c r="DN56" s="1455"/>
      <c r="DO56" s="1455"/>
      <c r="DP56" s="1455"/>
      <c r="DQ56" s="1455"/>
      <c r="DR56" s="1452"/>
      <c r="DS56" s="1455"/>
      <c r="DT56" s="1455"/>
      <c r="DU56" s="1455"/>
      <c r="DV56" s="1455"/>
      <c r="DW56" s="1455"/>
      <c r="DX56" s="1455"/>
      <c r="DY56" s="1455"/>
      <c r="DZ56" s="1455"/>
      <c r="EA56" s="1455"/>
      <c r="EB56" s="1455"/>
      <c r="EC56" s="1455"/>
      <c r="ED56" s="1455"/>
      <c r="EE56" s="1455"/>
      <c r="EF56" s="1455"/>
      <c r="EG56" s="1455"/>
      <c r="EH56" s="1455"/>
      <c r="EI56" s="1455"/>
      <c r="EJ56" s="1452"/>
      <c r="EK56" s="1455"/>
      <c r="EL56" s="1455"/>
      <c r="EM56" s="1455"/>
      <c r="EN56" s="1452"/>
      <c r="EO56" s="1455"/>
      <c r="EP56" s="1455"/>
      <c r="EQ56" s="1455"/>
      <c r="ER56" s="1455"/>
      <c r="ES56" s="1455"/>
      <c r="ET56" s="1455"/>
      <c r="EU56" s="1452"/>
      <c r="EV56" s="1472">
        <v>1142</v>
      </c>
      <c r="EW56" s="1455"/>
      <c r="EX56" s="1455"/>
      <c r="EY56" s="1455"/>
      <c r="EZ56" s="1455"/>
      <c r="FA56" s="1455"/>
      <c r="FB56" s="1455"/>
      <c r="FC56" s="1455"/>
      <c r="FD56" s="1455"/>
      <c r="FE56" s="1455"/>
      <c r="FF56" s="1452"/>
      <c r="FG56" s="1455"/>
      <c r="FH56" s="1455"/>
      <c r="FI56" s="1455"/>
      <c r="FJ56" s="1455"/>
      <c r="FK56" s="1455"/>
      <c r="FL56" s="1455"/>
      <c r="FM56" s="1455"/>
      <c r="FN56" s="1455"/>
      <c r="FO56" s="1455"/>
      <c r="FP56" s="1455"/>
      <c r="FQ56" s="1455"/>
      <c r="FR56" s="1455"/>
      <c r="FS56" s="1455"/>
      <c r="FT56" s="1452"/>
      <c r="FU56" s="1452"/>
      <c r="FV56" s="1452"/>
      <c r="FW56" s="1455"/>
      <c r="FX56" s="1452"/>
      <c r="FY56" s="1455"/>
      <c r="FZ56" s="1455"/>
      <c r="GA56" s="1455"/>
      <c r="GB56" s="1455"/>
      <c r="GC56" s="1455"/>
      <c r="GD56" s="1455"/>
      <c r="GE56" s="1452"/>
      <c r="GF56" s="1452"/>
      <c r="GG56" s="1452"/>
      <c r="GH56" s="1455"/>
      <c r="GI56" s="1455"/>
      <c r="GJ56" s="1454">
        <v>1150</v>
      </c>
      <c r="GK56" s="1455"/>
      <c r="GL56" s="1455"/>
      <c r="GM56" s="1455"/>
      <c r="GN56" s="1455"/>
      <c r="GO56" s="1455"/>
      <c r="GP56" s="1455"/>
      <c r="GQ56" s="1455"/>
      <c r="GR56" s="1455"/>
      <c r="GS56" s="1455"/>
      <c r="GT56" s="1455"/>
      <c r="GU56" s="1455"/>
      <c r="GV56" s="1455"/>
      <c r="GW56" s="1452"/>
      <c r="GX56" s="1454">
        <v>370</v>
      </c>
      <c r="GY56" s="1455"/>
      <c r="GZ56" s="1455"/>
      <c r="HA56" s="1455"/>
      <c r="HB56" s="1452"/>
      <c r="HC56" s="1455"/>
      <c r="HD56" s="1452"/>
      <c r="HE56" s="1455"/>
      <c r="HF56" s="1452"/>
      <c r="HG56" s="1452"/>
      <c r="HH56" s="1455"/>
      <c r="HI56" s="1455"/>
      <c r="HJ56" s="1455"/>
      <c r="HK56" s="1455"/>
      <c r="HL56" s="1455"/>
      <c r="HM56" s="1455"/>
      <c r="HN56" s="1455"/>
      <c r="HO56" s="1455"/>
      <c r="HP56" s="1455"/>
      <c r="HQ56" s="1455"/>
      <c r="HR56" s="1452"/>
      <c r="HS56" s="1452"/>
      <c r="HT56" s="1455"/>
      <c r="HU56" s="1455"/>
      <c r="HV56" s="1455"/>
      <c r="HW56" s="1455"/>
      <c r="HX56" s="1455"/>
      <c r="HY56" s="1455"/>
      <c r="HZ56" s="1452"/>
      <c r="IA56" s="1455"/>
      <c r="IB56" s="1455"/>
      <c r="IC56" s="1455"/>
      <c r="ID56" s="1455"/>
      <c r="IE56" s="1455"/>
      <c r="IF56" s="1455"/>
      <c r="IG56" s="1455"/>
      <c r="IH56" s="1455"/>
      <c r="II56" s="1455"/>
      <c r="IJ56" s="1455"/>
      <c r="IK56" s="1455"/>
      <c r="IL56" s="1455"/>
      <c r="IM56" s="1455"/>
      <c r="IN56" s="1455"/>
      <c r="IO56" s="1452"/>
      <c r="IP56" s="1455"/>
      <c r="IQ56" s="1455"/>
      <c r="IR56" s="1455"/>
      <c r="IS56" s="1455"/>
      <c r="IT56" s="1455"/>
      <c r="IU56" s="1455"/>
      <c r="IV56" s="1455"/>
      <c r="IW56" s="1455"/>
      <c r="IX56" s="1452"/>
      <c r="IY56" s="1453"/>
      <c r="IZ56" s="1452"/>
      <c r="JA56" s="1452"/>
      <c r="JB56" s="1452"/>
      <c r="JC56" s="1452"/>
      <c r="JD56" s="1452"/>
      <c r="JE56" s="1452"/>
      <c r="JF56" s="1452"/>
      <c r="JG56" s="1452">
        <v>790</v>
      </c>
      <c r="JH56" s="1455"/>
      <c r="JI56" s="1455"/>
      <c r="JJ56" s="1455"/>
      <c r="JK56" s="1455"/>
      <c r="JL56" s="1455"/>
      <c r="JM56" s="1455"/>
      <c r="JN56" s="1455"/>
      <c r="JO56" s="1455"/>
      <c r="JP56" s="1455"/>
      <c r="JQ56" s="1501"/>
      <c r="JR56" s="351"/>
      <c r="JS56" s="1400"/>
      <c r="JT56" s="1385" t="s">
        <v>2242</v>
      </c>
    </row>
    <row r="57" spans="1:280" ht="50" x14ac:dyDescent="0.25">
      <c r="A57" s="1367">
        <v>57</v>
      </c>
      <c r="B57" s="1411" t="str">
        <f t="shared" si="1"/>
        <v/>
      </c>
      <c r="C57" s="1628" t="s">
        <v>3802</v>
      </c>
      <c r="D57" s="1531" t="s">
        <v>3758</v>
      </c>
      <c r="E57" s="1452"/>
      <c r="F57" s="1452"/>
      <c r="G57" s="1452"/>
      <c r="H57" s="1452"/>
      <c r="I57" s="1452"/>
      <c r="J57" s="1452"/>
      <c r="K57" s="1452"/>
      <c r="L57" s="1452"/>
      <c r="M57" s="1452"/>
      <c r="N57" s="1452"/>
      <c r="O57" s="1452"/>
      <c r="P57" s="1452"/>
      <c r="Q57" s="1452"/>
      <c r="R57" s="1452"/>
      <c r="S57" s="1452"/>
      <c r="T57" s="1452"/>
      <c r="U57" s="1452"/>
      <c r="V57" s="1452"/>
      <c r="W57" s="1452"/>
      <c r="X57" s="1452"/>
      <c r="Y57" s="1452"/>
      <c r="Z57" s="1452"/>
      <c r="AA57" s="1452"/>
      <c r="AB57" s="1452"/>
      <c r="AC57" s="1452"/>
      <c r="AD57" s="1452"/>
      <c r="AE57" s="1452"/>
      <c r="AF57" s="1452"/>
      <c r="AG57" s="1452"/>
      <c r="AH57" s="1452"/>
      <c r="AI57" s="1452"/>
      <c r="AJ57" s="1453"/>
      <c r="AK57" s="1452"/>
      <c r="AL57" s="1452"/>
      <c r="AM57" s="1452"/>
      <c r="AN57" s="1452"/>
      <c r="AO57" s="1452"/>
      <c r="AP57" s="1452"/>
      <c r="AQ57" s="1452"/>
      <c r="AR57" s="1452"/>
      <c r="AS57" s="1452"/>
      <c r="AT57" s="1452"/>
      <c r="AU57" s="1452"/>
      <c r="AV57" s="1452"/>
      <c r="AW57" s="1452"/>
      <c r="AX57" s="1452"/>
      <c r="AY57" s="1452"/>
      <c r="AZ57" s="1452"/>
      <c r="BA57" s="1452"/>
      <c r="BB57" s="1452"/>
      <c r="BC57" s="1452"/>
      <c r="BD57" s="1452"/>
      <c r="BE57" s="1452"/>
      <c r="BF57" s="1452"/>
      <c r="BG57" s="1452"/>
      <c r="BH57" s="1452"/>
      <c r="BI57" s="1452"/>
      <c r="BJ57" s="1452"/>
      <c r="BK57" s="1452"/>
      <c r="BL57" s="1452"/>
      <c r="BM57" s="1452"/>
      <c r="BN57" s="1452"/>
      <c r="BO57" s="1452"/>
      <c r="BP57" s="1452"/>
      <c r="BQ57" s="1452"/>
      <c r="BR57" s="1452"/>
      <c r="BS57" s="1452"/>
      <c r="BT57" s="1452"/>
      <c r="BU57" s="1452"/>
      <c r="BV57" s="1452"/>
      <c r="BW57" s="1452"/>
      <c r="BX57" s="1452">
        <v>622</v>
      </c>
      <c r="BY57" s="1452"/>
      <c r="BZ57" s="1452"/>
      <c r="CA57" s="1452"/>
      <c r="CB57" s="1454">
        <v>367</v>
      </c>
      <c r="CC57" s="1452"/>
      <c r="CD57" s="1452"/>
      <c r="CE57" s="1455"/>
      <c r="CF57" s="1455"/>
      <c r="CG57" s="1455"/>
      <c r="CH57" s="1452"/>
      <c r="CI57" s="1454">
        <v>1189</v>
      </c>
      <c r="CJ57" s="1455"/>
      <c r="CK57" s="1455"/>
      <c r="CL57" s="1455"/>
      <c r="CM57" s="1455"/>
      <c r="CN57" s="1455"/>
      <c r="CO57" s="1455"/>
      <c r="CP57" s="1455"/>
      <c r="CQ57" s="1454"/>
      <c r="CR57" s="1452"/>
      <c r="CS57" s="1452"/>
      <c r="CT57" s="1452"/>
      <c r="CU57" s="1455"/>
      <c r="CV57" s="1454"/>
      <c r="CW57" s="1455"/>
      <c r="CX57" s="1455"/>
      <c r="CY57" s="1455"/>
      <c r="CZ57" s="1452"/>
      <c r="DA57" s="1452"/>
      <c r="DB57" s="1452"/>
      <c r="DC57" s="1454">
        <v>1189</v>
      </c>
      <c r="DD57" s="1455"/>
      <c r="DE57" s="1455"/>
      <c r="DF57" s="1455"/>
      <c r="DG57" s="1455"/>
      <c r="DH57" s="1455"/>
      <c r="DI57" s="1452">
        <v>1521</v>
      </c>
      <c r="DJ57" s="1455"/>
      <c r="DK57" s="1455"/>
      <c r="DL57" s="1452">
        <v>1521</v>
      </c>
      <c r="DM57" s="1454">
        <v>1189</v>
      </c>
      <c r="DN57" s="1455"/>
      <c r="DO57" s="1455"/>
      <c r="DP57" s="1455"/>
      <c r="DQ57" s="1455"/>
      <c r="DR57" s="1452"/>
      <c r="DS57" s="1455"/>
      <c r="DT57" s="1455"/>
      <c r="DU57" s="1455"/>
      <c r="DV57" s="1455"/>
      <c r="DW57" s="1455"/>
      <c r="DX57" s="1455"/>
      <c r="DY57" s="1455"/>
      <c r="DZ57" s="1455"/>
      <c r="EA57" s="1455"/>
      <c r="EB57" s="1455"/>
      <c r="EC57" s="1455"/>
      <c r="ED57" s="1455"/>
      <c r="EE57" s="1455"/>
      <c r="EF57" s="1455"/>
      <c r="EG57" s="1455"/>
      <c r="EH57" s="1455"/>
      <c r="EI57" s="1455"/>
      <c r="EJ57" s="1452"/>
      <c r="EK57" s="1455"/>
      <c r="EL57" s="1455"/>
      <c r="EM57" s="1455"/>
      <c r="EN57" s="1452"/>
      <c r="EO57" s="1455"/>
      <c r="EP57" s="1455"/>
      <c r="EQ57" s="1455"/>
      <c r="ER57" s="1455"/>
      <c r="ES57" s="1455"/>
      <c r="ET57" s="1455"/>
      <c r="EU57" s="1452"/>
      <c r="EV57" s="1455"/>
      <c r="EW57" s="1455"/>
      <c r="EX57" s="1455"/>
      <c r="EY57" s="1455"/>
      <c r="EZ57" s="1455"/>
      <c r="FA57" s="1455"/>
      <c r="FB57" s="1455"/>
      <c r="FC57" s="1455"/>
      <c r="FD57" s="1455"/>
      <c r="FE57" s="1455"/>
      <c r="FF57" s="1452"/>
      <c r="FG57" s="1455"/>
      <c r="FH57" s="1455"/>
      <c r="FI57" s="1455"/>
      <c r="FJ57" s="1455"/>
      <c r="FK57" s="1455"/>
      <c r="FL57" s="1455"/>
      <c r="FM57" s="1455"/>
      <c r="FN57" s="1455"/>
      <c r="FO57" s="1455"/>
      <c r="FP57" s="1455"/>
      <c r="FQ57" s="1455"/>
      <c r="FR57" s="1455"/>
      <c r="FS57" s="1455"/>
      <c r="FT57" s="1452"/>
      <c r="FU57" s="1452"/>
      <c r="FV57" s="1452"/>
      <c r="FW57" s="1455"/>
      <c r="FX57" s="1452"/>
      <c r="FY57" s="1455"/>
      <c r="FZ57" s="1455"/>
      <c r="GA57" s="1455"/>
      <c r="GB57" s="1455"/>
      <c r="GC57" s="1455"/>
      <c r="GD57" s="1455"/>
      <c r="GE57" s="1452"/>
      <c r="GF57" s="1452"/>
      <c r="GG57" s="1452"/>
      <c r="GH57" s="1455"/>
      <c r="GI57" s="1455"/>
      <c r="GJ57" s="1452"/>
      <c r="GK57" s="1455"/>
      <c r="GL57" s="1455"/>
      <c r="GM57" s="1455"/>
      <c r="GN57" s="1455"/>
      <c r="GO57" s="1455"/>
      <c r="GP57" s="1455"/>
      <c r="GQ57" s="1455"/>
      <c r="GR57" s="1455"/>
      <c r="GS57" s="1455"/>
      <c r="GT57" s="1455"/>
      <c r="GU57" s="1455"/>
      <c r="GV57" s="1455"/>
      <c r="GW57" s="1452"/>
      <c r="GX57" s="1454">
        <v>1189</v>
      </c>
      <c r="GY57" s="1455"/>
      <c r="GZ57" s="1455"/>
      <c r="HA57" s="1455"/>
      <c r="HB57" s="1454">
        <v>1521</v>
      </c>
      <c r="HC57" s="1455"/>
      <c r="HD57" s="1452"/>
      <c r="HE57" s="1455"/>
      <c r="HF57" s="1452"/>
      <c r="HG57" s="1452"/>
      <c r="HH57" s="1455"/>
      <c r="HI57" s="1455"/>
      <c r="HJ57" s="1455"/>
      <c r="HK57" s="1455"/>
      <c r="HL57" s="1455"/>
      <c r="HM57" s="1455"/>
      <c r="HN57" s="1455"/>
      <c r="HO57" s="1455"/>
      <c r="HP57" s="1455"/>
      <c r="HQ57" s="1455"/>
      <c r="HR57" s="1452"/>
      <c r="HS57" s="1452"/>
      <c r="HT57" s="1455"/>
      <c r="HU57" s="1455"/>
      <c r="HV57" s="1455"/>
      <c r="HW57" s="1455"/>
      <c r="HX57" s="1455"/>
      <c r="HY57" s="1455"/>
      <c r="HZ57" s="1452"/>
      <c r="IA57" s="1455"/>
      <c r="IB57" s="1455"/>
      <c r="IC57" s="1455"/>
      <c r="ID57" s="1455"/>
      <c r="IE57" s="1455"/>
      <c r="IF57" s="1455"/>
      <c r="IG57" s="1455"/>
      <c r="IH57" s="1455"/>
      <c r="II57" s="1455"/>
      <c r="IJ57" s="1455"/>
      <c r="IK57" s="1455"/>
      <c r="IL57" s="1455"/>
      <c r="IM57" s="1455"/>
      <c r="IN57" s="1455"/>
      <c r="IO57" s="1452"/>
      <c r="IP57" s="1455"/>
      <c r="IQ57" s="1455"/>
      <c r="IR57" s="1455"/>
      <c r="IS57" s="1455"/>
      <c r="IT57" s="1455"/>
      <c r="IU57" s="1455"/>
      <c r="IV57" s="1455"/>
      <c r="IW57" s="1455"/>
      <c r="IX57" s="1452"/>
      <c r="IY57" s="1453"/>
      <c r="IZ57" s="1452"/>
      <c r="JA57" s="1452"/>
      <c r="JB57" s="1452"/>
      <c r="JC57" s="1452"/>
      <c r="JD57" s="1452"/>
      <c r="JE57" s="1452"/>
      <c r="JF57" s="1452"/>
      <c r="JG57" s="1452"/>
      <c r="JH57" s="1455"/>
      <c r="JI57" s="1455"/>
      <c r="JJ57" s="1455"/>
      <c r="JK57" s="1455"/>
      <c r="JL57" s="1455"/>
      <c r="JM57" s="1455"/>
      <c r="JN57" s="1455"/>
      <c r="JO57" s="1455"/>
      <c r="JP57" s="1455"/>
      <c r="JQ57" s="1501"/>
      <c r="JR57" s="351"/>
      <c r="JS57" s="1627" t="s">
        <v>3803</v>
      </c>
      <c r="JT57" s="1385" t="s">
        <v>2242</v>
      </c>
    </row>
    <row r="58" spans="1:280" ht="30" x14ac:dyDescent="0.25">
      <c r="A58" s="1367">
        <v>58</v>
      </c>
      <c r="B58" s="1411" t="str">
        <f t="shared" si="1"/>
        <v/>
      </c>
      <c r="C58" s="1628" t="s">
        <v>3804</v>
      </c>
      <c r="D58" s="1531" t="s">
        <v>3805</v>
      </c>
      <c r="E58" s="1452"/>
      <c r="F58" s="1452"/>
      <c r="G58" s="1452"/>
      <c r="H58" s="1452"/>
      <c r="I58" s="1452"/>
      <c r="J58" s="1452"/>
      <c r="K58" s="1452"/>
      <c r="L58" s="1452"/>
      <c r="M58" s="1452"/>
      <c r="N58" s="1452"/>
      <c r="O58" s="1452"/>
      <c r="P58" s="1452"/>
      <c r="Q58" s="1452"/>
      <c r="R58" s="1452"/>
      <c r="S58" s="1452"/>
      <c r="T58" s="1452"/>
      <c r="U58" s="1452"/>
      <c r="V58" s="1452"/>
      <c r="W58" s="1452"/>
      <c r="X58" s="1452"/>
      <c r="Y58" s="1452"/>
      <c r="Z58" s="1452"/>
      <c r="AA58" s="1452"/>
      <c r="AB58" s="1452"/>
      <c r="AC58" s="1452"/>
      <c r="AD58" s="1452"/>
      <c r="AE58" s="1452"/>
      <c r="AF58" s="1452"/>
      <c r="AG58" s="1452"/>
      <c r="AH58" s="1452"/>
      <c r="AI58" s="1452"/>
      <c r="AJ58" s="1453"/>
      <c r="AK58" s="1452"/>
      <c r="AL58" s="1452"/>
      <c r="AM58" s="1452"/>
      <c r="AN58" s="1452"/>
      <c r="AO58" s="1452"/>
      <c r="AP58" s="1452"/>
      <c r="AQ58" s="1452"/>
      <c r="AR58" s="1452"/>
      <c r="AS58" s="1452"/>
      <c r="AT58" s="1452"/>
      <c r="AU58" s="1452"/>
      <c r="AV58" s="1452"/>
      <c r="AW58" s="1452"/>
      <c r="AX58" s="1452"/>
      <c r="AY58" s="1452"/>
      <c r="AZ58" s="1452"/>
      <c r="BA58" s="1452"/>
      <c r="BB58" s="1452"/>
      <c r="BC58" s="1452"/>
      <c r="BD58" s="1452"/>
      <c r="BE58" s="1452"/>
      <c r="BF58" s="1452"/>
      <c r="BG58" s="1452"/>
      <c r="BH58" s="1452"/>
      <c r="BI58" s="1452"/>
      <c r="BJ58" s="1452"/>
      <c r="BK58" s="1452"/>
      <c r="BL58" s="1452"/>
      <c r="BM58" s="1452"/>
      <c r="BN58" s="1452"/>
      <c r="BO58" s="1452"/>
      <c r="BP58" s="1452"/>
      <c r="BQ58" s="1452"/>
      <c r="BR58" s="1452"/>
      <c r="BS58" s="1452"/>
      <c r="BT58" s="1452"/>
      <c r="BU58" s="1452"/>
      <c r="BV58" s="1452"/>
      <c r="BW58" s="1452"/>
      <c r="BX58" s="1452">
        <v>1540</v>
      </c>
      <c r="BY58" s="1452"/>
      <c r="BZ58" s="1452"/>
      <c r="CA58" s="1452"/>
      <c r="CB58" s="1452">
        <v>750000</v>
      </c>
      <c r="CC58" s="1452"/>
      <c r="CD58" s="1452"/>
      <c r="CE58" s="1455"/>
      <c r="CF58" s="1455"/>
      <c r="CG58" s="1455"/>
      <c r="CH58" s="1452"/>
      <c r="CI58" s="1452">
        <v>1540</v>
      </c>
      <c r="CJ58" s="1455"/>
      <c r="CK58" s="1455"/>
      <c r="CL58" s="1455"/>
      <c r="CM58" s="1455"/>
      <c r="CN58" s="1455"/>
      <c r="CO58" s="1455"/>
      <c r="CP58" s="1455"/>
      <c r="CQ58" s="1454"/>
      <c r="CR58" s="1452"/>
      <c r="CS58" s="1452"/>
      <c r="CT58" s="1452"/>
      <c r="CU58" s="1455"/>
      <c r="CV58" s="1454"/>
      <c r="CW58" s="1455"/>
      <c r="CX58" s="1455"/>
      <c r="CY58" s="1455"/>
      <c r="CZ58" s="1452"/>
      <c r="DA58" s="1452"/>
      <c r="DB58" s="1452"/>
      <c r="DC58" s="1452">
        <v>1540</v>
      </c>
      <c r="DD58" s="1455"/>
      <c r="DE58" s="1455"/>
      <c r="DF58" s="1455"/>
      <c r="DG58" s="1455"/>
      <c r="DH58" s="1455"/>
      <c r="DI58" s="1452">
        <v>3621</v>
      </c>
      <c r="DJ58" s="1455"/>
      <c r="DK58" s="1455"/>
      <c r="DL58" s="1452">
        <v>3621</v>
      </c>
      <c r="DM58" s="1454">
        <v>1540</v>
      </c>
      <c r="DN58" s="1455"/>
      <c r="DO58" s="1455"/>
      <c r="DP58" s="1455"/>
      <c r="DQ58" s="1455"/>
      <c r="DR58" s="1452"/>
      <c r="DS58" s="1455"/>
      <c r="DT58" s="1455"/>
      <c r="DU58" s="1455"/>
      <c r="DV58" s="1455"/>
      <c r="DW58" s="1455"/>
      <c r="DX58" s="1455"/>
      <c r="DY58" s="1455"/>
      <c r="DZ58" s="1455"/>
      <c r="EA58" s="1455"/>
      <c r="EB58" s="1455"/>
      <c r="EC58" s="1455"/>
      <c r="ED58" s="1455"/>
      <c r="EE58" s="1455"/>
      <c r="EF58" s="1455"/>
      <c r="EG58" s="1455"/>
      <c r="EH58" s="1455"/>
      <c r="EI58" s="1455"/>
      <c r="EJ58" s="1452"/>
      <c r="EK58" s="1455"/>
      <c r="EL58" s="1455"/>
      <c r="EM58" s="1455"/>
      <c r="EN58" s="1452"/>
      <c r="EO58" s="1455"/>
      <c r="EP58" s="1455"/>
      <c r="EQ58" s="1455"/>
      <c r="ER58" s="1455"/>
      <c r="ES58" s="1455"/>
      <c r="ET58" s="1472">
        <v>2877.55</v>
      </c>
      <c r="EU58" s="1452"/>
      <c r="EV58" s="1455"/>
      <c r="EW58" s="1455"/>
      <c r="EX58" s="1455"/>
      <c r="EY58" s="1455"/>
      <c r="EZ58" s="1455"/>
      <c r="FA58" s="1455"/>
      <c r="FB58" s="1455"/>
      <c r="FC58" s="1455"/>
      <c r="FD58" s="1455"/>
      <c r="FE58" s="1455"/>
      <c r="FF58" s="1452"/>
      <c r="FG58" s="1455"/>
      <c r="FH58" s="1455"/>
      <c r="FI58" s="1455"/>
      <c r="FJ58" s="1455"/>
      <c r="FK58" s="1455"/>
      <c r="FL58" s="1455"/>
      <c r="FM58" s="1455"/>
      <c r="FN58" s="1455"/>
      <c r="FO58" s="1455"/>
      <c r="FP58" s="1455"/>
      <c r="FQ58" s="1455"/>
      <c r="FR58" s="1455"/>
      <c r="FS58" s="1455"/>
      <c r="FT58" s="1452"/>
      <c r="FU58" s="1452"/>
      <c r="FV58" s="1452"/>
      <c r="FW58" s="1455"/>
      <c r="FX58" s="1452"/>
      <c r="FY58" s="1455"/>
      <c r="FZ58" s="1455"/>
      <c r="GA58" s="1455"/>
      <c r="GB58" s="1455"/>
      <c r="GC58" s="1455"/>
      <c r="GD58" s="1455"/>
      <c r="GE58" s="1452"/>
      <c r="GF58" s="1452"/>
      <c r="GG58" s="1452"/>
      <c r="GH58" s="1455"/>
      <c r="GI58" s="1455"/>
      <c r="GJ58" s="1452"/>
      <c r="GK58" s="1455"/>
      <c r="GL58" s="1455"/>
      <c r="GM58" s="1455"/>
      <c r="GN58" s="1455"/>
      <c r="GO58" s="1455"/>
      <c r="GP58" s="1455"/>
      <c r="GQ58" s="1455"/>
      <c r="GR58" s="1455"/>
      <c r="GS58" s="1455"/>
      <c r="GT58" s="1455"/>
      <c r="GU58" s="1455"/>
      <c r="GV58" s="1455"/>
      <c r="GW58" s="1452"/>
      <c r="GX58" s="1452">
        <v>1540</v>
      </c>
      <c r="GY58" s="1455"/>
      <c r="GZ58" s="1455"/>
      <c r="HA58" s="1455"/>
      <c r="HB58" s="1454">
        <v>3621</v>
      </c>
      <c r="HC58" s="1455"/>
      <c r="HD58" s="1452"/>
      <c r="HE58" s="1455"/>
      <c r="HF58" s="1452"/>
      <c r="HG58" s="1452"/>
      <c r="HH58" s="1455"/>
      <c r="HI58" s="1455"/>
      <c r="HJ58" s="1455"/>
      <c r="HK58" s="1455"/>
      <c r="HL58" s="1455"/>
      <c r="HM58" s="1455"/>
      <c r="HN58" s="1455"/>
      <c r="HO58" s="1455"/>
      <c r="HP58" s="1455"/>
      <c r="HQ58" s="1455"/>
      <c r="HR58" s="1452">
        <v>3621</v>
      </c>
      <c r="HS58" s="1452"/>
      <c r="HT58" s="1455"/>
      <c r="HU58" s="1455"/>
      <c r="HV58" s="1455"/>
      <c r="HW58" s="1455"/>
      <c r="HX58" s="1455"/>
      <c r="HY58" s="1455"/>
      <c r="HZ58" s="1452"/>
      <c r="IA58" s="1455"/>
      <c r="IB58" s="1455"/>
      <c r="IC58" s="1455"/>
      <c r="ID58" s="1455"/>
      <c r="IE58" s="1455"/>
      <c r="IF58" s="1455"/>
      <c r="IG58" s="1455"/>
      <c r="IH58" s="1455"/>
      <c r="II58" s="1455"/>
      <c r="IJ58" s="1455"/>
      <c r="IK58" s="1455"/>
      <c r="IL58" s="1455"/>
      <c r="IM58" s="1455"/>
      <c r="IN58" s="1455"/>
      <c r="IO58" s="1452"/>
      <c r="IP58" s="1455"/>
      <c r="IQ58" s="1455"/>
      <c r="IR58" s="1455"/>
      <c r="IS58" s="1455"/>
      <c r="IT58" s="1455">
        <v>481</v>
      </c>
      <c r="IU58" s="1455"/>
      <c r="IV58" s="1455"/>
      <c r="IW58" s="1455"/>
      <c r="IX58" s="1452"/>
      <c r="IY58" s="1453"/>
      <c r="IZ58" s="1452"/>
      <c r="JA58" s="1452"/>
      <c r="JB58" s="1452"/>
      <c r="JC58" s="1452"/>
      <c r="JD58" s="1452"/>
      <c r="JE58" s="1452"/>
      <c r="JF58" s="1452"/>
      <c r="JG58" s="1452">
        <v>650</v>
      </c>
      <c r="JH58" s="1455"/>
      <c r="JI58" s="1455"/>
      <c r="JJ58" s="1455"/>
      <c r="JK58" s="1455"/>
      <c r="JL58" s="1455"/>
      <c r="JM58" s="1455"/>
      <c r="JN58" s="1455"/>
      <c r="JO58" s="1455"/>
      <c r="JP58" s="1455"/>
      <c r="JQ58" s="1501"/>
      <c r="JR58" s="351"/>
      <c r="JS58" s="1400" t="s">
        <v>3806</v>
      </c>
      <c r="JT58" s="1385" t="s">
        <v>2242</v>
      </c>
    </row>
    <row r="59" spans="1:280" ht="12.5" x14ac:dyDescent="0.25">
      <c r="A59" s="1367">
        <v>59</v>
      </c>
      <c r="B59" s="1411" t="str">
        <f t="shared" si="1"/>
        <v/>
      </c>
      <c r="C59" s="1628" t="s">
        <v>3807</v>
      </c>
      <c r="D59" s="1531" t="s">
        <v>2979</v>
      </c>
      <c r="E59" s="1452"/>
      <c r="F59" s="1452"/>
      <c r="G59" s="1452"/>
      <c r="H59" s="1452"/>
      <c r="I59" s="1452"/>
      <c r="J59" s="1452"/>
      <c r="K59" s="1452"/>
      <c r="L59" s="1452"/>
      <c r="M59" s="1452"/>
      <c r="N59" s="1452"/>
      <c r="O59" s="1452"/>
      <c r="P59" s="1452"/>
      <c r="Q59" s="1452"/>
      <c r="R59" s="1452"/>
      <c r="S59" s="1452"/>
      <c r="T59" s="1452"/>
      <c r="U59" s="1452"/>
      <c r="V59" s="1452"/>
      <c r="W59" s="1452"/>
      <c r="X59" s="1452"/>
      <c r="Y59" s="1452"/>
      <c r="Z59" s="1452"/>
      <c r="AA59" s="1452"/>
      <c r="AB59" s="1452"/>
      <c r="AC59" s="1452"/>
      <c r="AD59" s="1452"/>
      <c r="AE59" s="1452"/>
      <c r="AF59" s="1452"/>
      <c r="AG59" s="1452"/>
      <c r="AH59" s="1452"/>
      <c r="AI59" s="1452"/>
      <c r="AJ59" s="1453"/>
      <c r="AK59" s="1452"/>
      <c r="AL59" s="1452"/>
      <c r="AM59" s="1452"/>
      <c r="AN59" s="1452"/>
      <c r="AO59" s="1452"/>
      <c r="AP59" s="1452"/>
      <c r="AQ59" s="1452"/>
      <c r="AR59" s="1452"/>
      <c r="AS59" s="1452"/>
      <c r="AT59" s="1452"/>
      <c r="AU59" s="1452"/>
      <c r="AV59" s="1452"/>
      <c r="AW59" s="1452"/>
      <c r="AX59" s="1452"/>
      <c r="AY59" s="1452"/>
      <c r="AZ59" s="1452"/>
      <c r="BA59" s="1452"/>
      <c r="BB59" s="1452"/>
      <c r="BC59" s="1452"/>
      <c r="BD59" s="1452"/>
      <c r="BE59" s="1452"/>
      <c r="BF59" s="1452"/>
      <c r="BG59" s="1452"/>
      <c r="BH59" s="1452"/>
      <c r="BI59" s="1452"/>
      <c r="BJ59" s="1452"/>
      <c r="BK59" s="1452"/>
      <c r="BL59" s="1452"/>
      <c r="BM59" s="1452"/>
      <c r="BN59" s="1452"/>
      <c r="BO59" s="1452"/>
      <c r="BP59" s="1452"/>
      <c r="BQ59" s="1452"/>
      <c r="BR59" s="1452"/>
      <c r="BS59" s="1452"/>
      <c r="BT59" s="1452"/>
      <c r="BU59" s="1452"/>
      <c r="BV59" s="1452"/>
      <c r="BW59" s="1452"/>
      <c r="BX59" s="1452"/>
      <c r="BY59" s="1452"/>
      <c r="BZ59" s="1452"/>
      <c r="CA59" s="1452"/>
      <c r="CB59" s="1452">
        <v>3000</v>
      </c>
      <c r="CC59" s="1452"/>
      <c r="CD59" s="1452"/>
      <c r="CE59" s="1455"/>
      <c r="CF59" s="1455"/>
      <c r="CG59" s="1455"/>
      <c r="CH59" s="1452"/>
      <c r="CI59" s="1452"/>
      <c r="CJ59" s="1455"/>
      <c r="CK59" s="1455"/>
      <c r="CL59" s="1455"/>
      <c r="CM59" s="1455"/>
      <c r="CN59" s="1455"/>
      <c r="CO59" s="1455"/>
      <c r="CP59" s="1455"/>
      <c r="CQ59" s="1452"/>
      <c r="CR59" s="1452"/>
      <c r="CS59" s="1452"/>
      <c r="CT59" s="1452"/>
      <c r="CU59" s="1455"/>
      <c r="CV59" s="1452"/>
      <c r="CW59" s="1455"/>
      <c r="CX59" s="1455"/>
      <c r="CY59" s="1455"/>
      <c r="CZ59" s="1452"/>
      <c r="DA59" s="1452"/>
      <c r="DB59" s="1452"/>
      <c r="DC59" s="1452"/>
      <c r="DD59" s="1455"/>
      <c r="DE59" s="1455"/>
      <c r="DF59" s="1455"/>
      <c r="DG59" s="1455"/>
      <c r="DH59" s="1455"/>
      <c r="DI59" s="1452"/>
      <c r="DJ59" s="1455"/>
      <c r="DK59" s="1455"/>
      <c r="DL59" s="1452"/>
      <c r="DM59" s="1452"/>
      <c r="DN59" s="1455"/>
      <c r="DO59" s="1455"/>
      <c r="DP59" s="1455"/>
      <c r="DQ59" s="1455"/>
      <c r="DR59" s="1452"/>
      <c r="DS59" s="1455"/>
      <c r="DT59" s="1455"/>
      <c r="DU59" s="1455"/>
      <c r="DV59" s="1455"/>
      <c r="DW59" s="1455"/>
      <c r="DX59" s="1455"/>
      <c r="DY59" s="1455"/>
      <c r="DZ59" s="1455"/>
      <c r="EA59" s="1455"/>
      <c r="EB59" s="1455"/>
      <c r="EC59" s="1455"/>
      <c r="ED59" s="1455"/>
      <c r="EE59" s="1455"/>
      <c r="EF59" s="1455"/>
      <c r="EG59" s="1455"/>
      <c r="EH59" s="1455"/>
      <c r="EI59" s="1455"/>
      <c r="EJ59" s="1452"/>
      <c r="EK59" s="1455"/>
      <c r="EL59" s="1455"/>
      <c r="EM59" s="1455"/>
      <c r="EN59" s="1452"/>
      <c r="EO59" s="1455"/>
      <c r="EP59" s="1455"/>
      <c r="EQ59" s="1455"/>
      <c r="ER59" s="1455"/>
      <c r="ES59" s="1455"/>
      <c r="ET59" s="1455"/>
      <c r="EU59" s="1452"/>
      <c r="EV59" s="1455"/>
      <c r="EW59" s="1455"/>
      <c r="EX59" s="1455"/>
      <c r="EY59" s="1455"/>
      <c r="EZ59" s="1455"/>
      <c r="FA59" s="1455"/>
      <c r="FB59" s="1455"/>
      <c r="FC59" s="1455"/>
      <c r="FD59" s="1455"/>
      <c r="FE59" s="1455"/>
      <c r="FF59" s="1452"/>
      <c r="FG59" s="1455"/>
      <c r="FH59" s="1455"/>
      <c r="FI59" s="1455"/>
      <c r="FJ59" s="1455"/>
      <c r="FK59" s="1455"/>
      <c r="FL59" s="1455"/>
      <c r="FM59" s="1455"/>
      <c r="FN59" s="1455"/>
      <c r="FO59" s="1455"/>
      <c r="FP59" s="1455"/>
      <c r="FQ59" s="1455"/>
      <c r="FR59" s="1455"/>
      <c r="FS59" s="1455"/>
      <c r="FT59" s="1452"/>
      <c r="FU59" s="1452"/>
      <c r="FV59" s="1452"/>
      <c r="FW59" s="1455"/>
      <c r="FX59" s="1452"/>
      <c r="FY59" s="1455"/>
      <c r="FZ59" s="1455"/>
      <c r="GA59" s="1455"/>
      <c r="GB59" s="1455"/>
      <c r="GC59" s="1455"/>
      <c r="GD59" s="1455"/>
      <c r="GE59" s="1452"/>
      <c r="GF59" s="1452"/>
      <c r="GG59" s="1452"/>
      <c r="GH59" s="1455"/>
      <c r="GI59" s="1455"/>
      <c r="GJ59" s="1452"/>
      <c r="GK59" s="1455"/>
      <c r="GL59" s="1455"/>
      <c r="GM59" s="1455"/>
      <c r="GN59" s="1455"/>
      <c r="GO59" s="1455"/>
      <c r="GP59" s="1455"/>
      <c r="GQ59" s="1455"/>
      <c r="GR59" s="1455"/>
      <c r="GS59" s="1455"/>
      <c r="GT59" s="1455"/>
      <c r="GU59" s="1455"/>
      <c r="GV59" s="1455"/>
      <c r="GW59" s="1452"/>
      <c r="GX59" s="1452"/>
      <c r="GY59" s="1455"/>
      <c r="GZ59" s="1455"/>
      <c r="HA59" s="1455"/>
      <c r="HB59" s="1452"/>
      <c r="HC59" s="1455"/>
      <c r="HD59" s="1452"/>
      <c r="HE59" s="1455"/>
      <c r="HF59" s="1452"/>
      <c r="HG59" s="1452"/>
      <c r="HH59" s="1455"/>
      <c r="HI59" s="1455"/>
      <c r="HJ59" s="1455"/>
      <c r="HK59" s="1455"/>
      <c r="HL59" s="1455"/>
      <c r="HM59" s="1455"/>
      <c r="HN59" s="1455"/>
      <c r="HO59" s="1455"/>
      <c r="HP59" s="1455"/>
      <c r="HQ59" s="1455"/>
      <c r="HR59" s="1452"/>
      <c r="HS59" s="1452"/>
      <c r="HT59" s="1455"/>
      <c r="HU59" s="1455"/>
      <c r="HV59" s="1455"/>
      <c r="HW59" s="1455"/>
      <c r="HX59" s="1455"/>
      <c r="HY59" s="1455"/>
      <c r="HZ59" s="1452"/>
      <c r="IA59" s="1455"/>
      <c r="IB59" s="1455"/>
      <c r="IC59" s="1455"/>
      <c r="ID59" s="1455"/>
      <c r="IE59" s="1455"/>
      <c r="IF59" s="1455"/>
      <c r="IG59" s="1455"/>
      <c r="IH59" s="1455"/>
      <c r="II59" s="1455"/>
      <c r="IJ59" s="1455"/>
      <c r="IK59" s="1455"/>
      <c r="IL59" s="1455"/>
      <c r="IM59" s="1455"/>
      <c r="IN59" s="1455"/>
      <c r="IO59" s="1452"/>
      <c r="IP59" s="1455"/>
      <c r="IQ59" s="1455"/>
      <c r="IR59" s="1455"/>
      <c r="IS59" s="1455"/>
      <c r="IT59" s="1455"/>
      <c r="IU59" s="1455"/>
      <c r="IV59" s="1455"/>
      <c r="IW59" s="1455"/>
      <c r="IX59" s="1452"/>
      <c r="IY59" s="1453"/>
      <c r="IZ59" s="1452"/>
      <c r="JA59" s="1452"/>
      <c r="JB59" s="1452"/>
      <c r="JC59" s="1452"/>
      <c r="JD59" s="1452"/>
      <c r="JE59" s="1452"/>
      <c r="JF59" s="1452"/>
      <c r="JG59" s="1452"/>
      <c r="JH59" s="1455"/>
      <c r="JI59" s="1455"/>
      <c r="JJ59" s="1455"/>
      <c r="JK59" s="1455"/>
      <c r="JL59" s="1455"/>
      <c r="JM59" s="1455"/>
      <c r="JN59" s="1455"/>
      <c r="JO59" s="1455"/>
      <c r="JP59" s="1455"/>
      <c r="JQ59" s="1501"/>
      <c r="JR59" s="351"/>
      <c r="JS59" s="1400"/>
      <c r="JT59" s="1385" t="s">
        <v>2224</v>
      </c>
    </row>
    <row r="60" spans="1:280" ht="12.5" x14ac:dyDescent="0.25">
      <c r="A60" s="1367">
        <v>60</v>
      </c>
      <c r="B60" s="1411" t="str">
        <f t="shared" ref="B60:B73" si="2">IF(PRO_IND&gt;1,IF(HLOOKUP(PRO_IND-1,PRO_RANGE,A60)="","",HLOOKUP(PRO_IND-1,PRO_RANGE,A60)),"")</f>
        <v/>
      </c>
      <c r="C60" s="1628" t="s">
        <v>3808</v>
      </c>
      <c r="D60" s="1531" t="s">
        <v>3207</v>
      </c>
      <c r="E60" s="1452"/>
      <c r="F60" s="1452"/>
      <c r="G60" s="1452"/>
      <c r="H60" s="1452"/>
      <c r="I60" s="1452"/>
      <c r="J60" s="1452"/>
      <c r="K60" s="1452"/>
      <c r="L60" s="1452"/>
      <c r="M60" s="1452"/>
      <c r="N60" s="1452"/>
      <c r="O60" s="1452"/>
      <c r="P60" s="1452"/>
      <c r="Q60" s="1452"/>
      <c r="R60" s="1452"/>
      <c r="S60" s="1452"/>
      <c r="T60" s="1452"/>
      <c r="U60" s="1452"/>
      <c r="V60" s="1452"/>
      <c r="W60" s="1452"/>
      <c r="X60" s="1452"/>
      <c r="Y60" s="1452"/>
      <c r="Z60" s="1452"/>
      <c r="AA60" s="1452"/>
      <c r="AB60" s="1452"/>
      <c r="AC60" s="1452"/>
      <c r="AD60" s="1452"/>
      <c r="AE60" s="1452"/>
      <c r="AF60" s="1452"/>
      <c r="AG60" s="1452"/>
      <c r="AH60" s="1452"/>
      <c r="AI60" s="1452"/>
      <c r="AJ60" s="1453"/>
      <c r="AK60" s="1452"/>
      <c r="AL60" s="1452"/>
      <c r="AM60" s="1452"/>
      <c r="AN60" s="1452"/>
      <c r="AO60" s="1452"/>
      <c r="AP60" s="1452"/>
      <c r="AQ60" s="1452"/>
      <c r="AR60" s="1452"/>
      <c r="AS60" s="1452">
        <v>250</v>
      </c>
      <c r="AT60" s="1452"/>
      <c r="AU60" s="1452"/>
      <c r="AV60" s="1452"/>
      <c r="AW60" s="1452"/>
      <c r="AX60" s="1452"/>
      <c r="AY60" s="1452"/>
      <c r="AZ60" s="1452"/>
      <c r="BA60" s="1452"/>
      <c r="BB60" s="1452"/>
      <c r="BC60" s="1452"/>
      <c r="BD60" s="1452"/>
      <c r="BE60" s="1452"/>
      <c r="BF60" s="1452"/>
      <c r="BG60" s="1452"/>
      <c r="BH60" s="1452"/>
      <c r="BI60" s="1452"/>
      <c r="BJ60" s="1452"/>
      <c r="BK60" s="1452"/>
      <c r="BL60" s="1452"/>
      <c r="BM60" s="1452"/>
      <c r="BN60" s="1452"/>
      <c r="BO60" s="1452"/>
      <c r="BP60" s="1452"/>
      <c r="BQ60" s="1452"/>
      <c r="BR60" s="1452"/>
      <c r="BS60" s="1452"/>
      <c r="BT60" s="1452"/>
      <c r="BU60" s="1452"/>
      <c r="BV60" s="1452"/>
      <c r="BW60" s="1452"/>
      <c r="BX60" s="1452"/>
      <c r="BY60" s="1452"/>
      <c r="BZ60" s="1452"/>
      <c r="CA60" s="1452"/>
      <c r="CB60" s="1454">
        <v>10299</v>
      </c>
      <c r="CC60" s="1452"/>
      <c r="CD60" s="1452"/>
      <c r="CE60" s="1455"/>
      <c r="CF60" s="1455"/>
      <c r="CG60" s="1455"/>
      <c r="CH60" s="1452"/>
      <c r="CI60" s="1452"/>
      <c r="CJ60" s="1455"/>
      <c r="CK60" s="1455"/>
      <c r="CL60" s="1455"/>
      <c r="CM60" s="1455"/>
      <c r="CN60" s="1455"/>
      <c r="CO60" s="1455"/>
      <c r="CP60" s="1455"/>
      <c r="CQ60" s="1452"/>
      <c r="CR60" s="1452"/>
      <c r="CS60" s="1452"/>
      <c r="CT60" s="1452"/>
      <c r="CU60" s="1455"/>
      <c r="CV60" s="1452"/>
      <c r="CW60" s="1455"/>
      <c r="CX60" s="1455"/>
      <c r="CY60" s="1455"/>
      <c r="CZ60" s="1452"/>
      <c r="DA60" s="1452"/>
      <c r="DB60" s="1452"/>
      <c r="DC60" s="1452"/>
      <c r="DD60" s="1455"/>
      <c r="DE60" s="1455"/>
      <c r="DF60" s="1455"/>
      <c r="DG60" s="1455"/>
      <c r="DH60" s="1455"/>
      <c r="DI60" s="1452"/>
      <c r="DJ60" s="1455"/>
      <c r="DK60" s="1455"/>
      <c r="DL60" s="1452"/>
      <c r="DM60" s="1452"/>
      <c r="DN60" s="1455"/>
      <c r="DO60" s="1455"/>
      <c r="DP60" s="1455"/>
      <c r="DQ60" s="1455"/>
      <c r="DR60" s="1452"/>
      <c r="DS60" s="1455"/>
      <c r="DT60" s="1455"/>
      <c r="DU60" s="1455"/>
      <c r="DV60" s="1455"/>
      <c r="DW60" s="1455"/>
      <c r="DX60" s="1455"/>
      <c r="DY60" s="1455"/>
      <c r="DZ60" s="1455"/>
      <c r="EA60" s="1455"/>
      <c r="EB60" s="1455"/>
      <c r="EC60" s="1455"/>
      <c r="ED60" s="1455"/>
      <c r="EE60" s="1455"/>
      <c r="EF60" s="1455"/>
      <c r="EG60" s="1455"/>
      <c r="EH60" s="1455"/>
      <c r="EI60" s="1455"/>
      <c r="EJ60" s="1452"/>
      <c r="EK60" s="1455"/>
      <c r="EL60" s="1455"/>
      <c r="EM60" s="1455"/>
      <c r="EN60" s="1452"/>
      <c r="EO60" s="1455"/>
      <c r="EP60" s="1455"/>
      <c r="EQ60" s="1455"/>
      <c r="ER60" s="1455"/>
      <c r="ES60" s="1455"/>
      <c r="ET60" s="1455"/>
      <c r="EU60" s="1452"/>
      <c r="EV60" s="1455"/>
      <c r="EW60" s="1455"/>
      <c r="EX60" s="1455"/>
      <c r="EY60" s="1455"/>
      <c r="EZ60" s="1455"/>
      <c r="FA60" s="1455"/>
      <c r="FB60" s="1455"/>
      <c r="FC60" s="1455"/>
      <c r="FD60" s="1455"/>
      <c r="FE60" s="1455"/>
      <c r="FF60" s="1452"/>
      <c r="FG60" s="1455"/>
      <c r="FH60" s="1455"/>
      <c r="FI60" s="1455"/>
      <c r="FJ60" s="1455"/>
      <c r="FK60" s="1455"/>
      <c r="FL60" s="1455"/>
      <c r="FM60" s="1455"/>
      <c r="FN60" s="1455"/>
      <c r="FO60" s="1455"/>
      <c r="FP60" s="1455"/>
      <c r="FQ60" s="1455"/>
      <c r="FR60" s="1455"/>
      <c r="FS60" s="1455"/>
      <c r="FT60" s="1452"/>
      <c r="FU60" s="1452"/>
      <c r="FV60" s="1452"/>
      <c r="FW60" s="1455"/>
      <c r="FX60" s="1452"/>
      <c r="FY60" s="1455"/>
      <c r="FZ60" s="1455"/>
      <c r="GA60" s="1455"/>
      <c r="GB60" s="1455"/>
      <c r="GC60" s="1455"/>
      <c r="GD60" s="1455"/>
      <c r="GE60" s="1452"/>
      <c r="GF60" s="1452"/>
      <c r="GG60" s="1452"/>
      <c r="GH60" s="1455"/>
      <c r="GI60" s="1455"/>
      <c r="GJ60" s="1452"/>
      <c r="GK60" s="1455"/>
      <c r="GL60" s="1455"/>
      <c r="GM60" s="1455"/>
      <c r="GN60" s="1455"/>
      <c r="GO60" s="1455"/>
      <c r="GP60" s="1455"/>
      <c r="GQ60" s="1455"/>
      <c r="GR60" s="1455"/>
      <c r="GS60" s="1455"/>
      <c r="GT60" s="1455"/>
      <c r="GU60" s="1455"/>
      <c r="GV60" s="1455"/>
      <c r="GW60" s="1452"/>
      <c r="GX60" s="1452"/>
      <c r="GY60" s="1455"/>
      <c r="GZ60" s="1455"/>
      <c r="HA60" s="1455"/>
      <c r="HB60" s="1452"/>
      <c r="HC60" s="1455"/>
      <c r="HD60" s="1452"/>
      <c r="HE60" s="1455"/>
      <c r="HF60" s="1452"/>
      <c r="HG60" s="1452"/>
      <c r="HH60" s="1455"/>
      <c r="HI60" s="1455"/>
      <c r="HJ60" s="1455"/>
      <c r="HK60" s="1455"/>
      <c r="HL60" s="1455"/>
      <c r="HM60" s="1455"/>
      <c r="HN60" s="1455"/>
      <c r="HO60" s="1455"/>
      <c r="HP60" s="1455"/>
      <c r="HQ60" s="1455"/>
      <c r="HR60" s="1455"/>
      <c r="HS60" s="1452"/>
      <c r="HT60" s="1455"/>
      <c r="HU60" s="1455"/>
      <c r="HV60" s="1455"/>
      <c r="HW60" s="1455"/>
      <c r="HX60" s="1455"/>
      <c r="HY60" s="1455"/>
      <c r="HZ60" s="1452"/>
      <c r="IA60" s="1455"/>
      <c r="IB60" s="1455"/>
      <c r="IC60" s="1455"/>
      <c r="ID60" s="1455"/>
      <c r="IE60" s="1455"/>
      <c r="IF60" s="1455"/>
      <c r="IG60" s="1455"/>
      <c r="IH60" s="1455"/>
      <c r="II60" s="1455"/>
      <c r="IJ60" s="1455"/>
      <c r="IK60" s="1455"/>
      <c r="IL60" s="1455"/>
      <c r="IM60" s="1455"/>
      <c r="IN60" s="1455"/>
      <c r="IO60" s="1452"/>
      <c r="IP60" s="1455"/>
      <c r="IQ60" s="1455"/>
      <c r="IR60" s="1455"/>
      <c r="IS60" s="1455"/>
      <c r="IT60" s="1455"/>
      <c r="IU60" s="1455"/>
      <c r="IV60" s="1455"/>
      <c r="IW60" s="1455"/>
      <c r="IX60" s="1452"/>
      <c r="IY60" s="1453"/>
      <c r="IZ60" s="1452"/>
      <c r="JA60" s="1452"/>
      <c r="JB60" s="1452"/>
      <c r="JC60" s="1452"/>
      <c r="JD60" s="1452"/>
      <c r="JE60" s="1452"/>
      <c r="JF60" s="1452"/>
      <c r="JG60" s="1452"/>
      <c r="JH60" s="1455"/>
      <c r="JI60" s="1455"/>
      <c r="JJ60" s="1455"/>
      <c r="JK60" s="1455"/>
      <c r="JL60" s="1455"/>
      <c r="JM60" s="1455"/>
      <c r="JN60" s="1455"/>
      <c r="JO60" s="1455"/>
      <c r="JP60" s="1455"/>
      <c r="JQ60" s="1501"/>
      <c r="JR60" s="351"/>
      <c r="JS60" s="1400"/>
      <c r="JT60" s="1385"/>
    </row>
    <row r="61" spans="1:280" ht="12.5" x14ac:dyDescent="0.25">
      <c r="A61" s="1367">
        <v>61</v>
      </c>
      <c r="B61" s="1411" t="str">
        <f t="shared" si="2"/>
        <v/>
      </c>
      <c r="C61" s="1628" t="s">
        <v>3809</v>
      </c>
      <c r="D61" s="1531" t="s">
        <v>3810</v>
      </c>
      <c r="E61" s="1452"/>
      <c r="F61" s="1452"/>
      <c r="G61" s="1452"/>
      <c r="H61" s="1452"/>
      <c r="I61" s="1452"/>
      <c r="J61" s="1452"/>
      <c r="K61" s="1452"/>
      <c r="L61" s="1452"/>
      <c r="M61" s="1452"/>
      <c r="N61" s="1452"/>
      <c r="O61" s="1452"/>
      <c r="P61" s="1452"/>
      <c r="Q61" s="1452"/>
      <c r="R61" s="1452"/>
      <c r="S61" s="1452"/>
      <c r="T61" s="1452"/>
      <c r="U61" s="1452"/>
      <c r="V61" s="1452"/>
      <c r="W61" s="1452"/>
      <c r="X61" s="1452"/>
      <c r="Y61" s="1452"/>
      <c r="Z61" s="1452"/>
      <c r="AA61" s="1452"/>
      <c r="AB61" s="1452"/>
      <c r="AC61" s="1452"/>
      <c r="AD61" s="1452"/>
      <c r="AE61" s="1452"/>
      <c r="AF61" s="1452"/>
      <c r="AG61" s="1452"/>
      <c r="AH61" s="1452"/>
      <c r="AI61" s="1452"/>
      <c r="AJ61" s="1453"/>
      <c r="AK61" s="1452"/>
      <c r="AL61" s="1452"/>
      <c r="AM61" s="1452"/>
      <c r="AN61" s="1452"/>
      <c r="AO61" s="1452"/>
      <c r="AP61" s="1452"/>
      <c r="AQ61" s="1452"/>
      <c r="AR61" s="1452"/>
      <c r="AS61" s="1452">
        <v>1551</v>
      </c>
      <c r="AT61" s="1452"/>
      <c r="AU61" s="1452"/>
      <c r="AV61" s="1452"/>
      <c r="AW61" s="1452"/>
      <c r="AX61" s="1452"/>
      <c r="AY61" s="1452"/>
      <c r="AZ61" s="1452"/>
      <c r="BA61" s="1452"/>
      <c r="BB61" s="1452"/>
      <c r="BC61" s="1452"/>
      <c r="BD61" s="1452"/>
      <c r="BE61" s="1452"/>
      <c r="BF61" s="1452"/>
      <c r="BG61" s="1452"/>
      <c r="BH61" s="1452"/>
      <c r="BI61" s="1452"/>
      <c r="BJ61" s="1452"/>
      <c r="BK61" s="1452"/>
      <c r="BL61" s="1452"/>
      <c r="BM61" s="1452"/>
      <c r="BN61" s="1452"/>
      <c r="BO61" s="1452"/>
      <c r="BP61" s="1452"/>
      <c r="BQ61" s="1452"/>
      <c r="BR61" s="1452"/>
      <c r="BS61" s="1452"/>
      <c r="BT61" s="1452"/>
      <c r="BU61" s="1452"/>
      <c r="BV61" s="1452"/>
      <c r="BW61" s="1452"/>
      <c r="BX61" s="1452"/>
      <c r="BY61" s="1452"/>
      <c r="BZ61" s="1452"/>
      <c r="CA61" s="1452"/>
      <c r="CB61" s="1452"/>
      <c r="CC61" s="1452"/>
      <c r="CD61" s="1452"/>
      <c r="CE61" s="1455"/>
      <c r="CF61" s="1455"/>
      <c r="CG61" s="1455"/>
      <c r="CH61" s="1452"/>
      <c r="CI61" s="1452"/>
      <c r="CJ61" s="1455"/>
      <c r="CK61" s="1455"/>
      <c r="CL61" s="1455"/>
      <c r="CM61" s="1455"/>
      <c r="CN61" s="1455"/>
      <c r="CO61" s="1455"/>
      <c r="CP61" s="1455"/>
      <c r="CQ61" s="1454"/>
      <c r="CR61" s="1452"/>
      <c r="CS61" s="1452"/>
      <c r="CT61" s="1452"/>
      <c r="CU61" s="1455"/>
      <c r="CV61" s="1452"/>
      <c r="CW61" s="1455"/>
      <c r="CX61" s="1455"/>
      <c r="CY61" s="1455"/>
      <c r="CZ61" s="1452"/>
      <c r="DA61" s="1452"/>
      <c r="DB61" s="1452"/>
      <c r="DC61" s="1452"/>
      <c r="DD61" s="1455"/>
      <c r="DE61" s="1455"/>
      <c r="DF61" s="1455"/>
      <c r="DG61" s="1455"/>
      <c r="DH61" s="1455"/>
      <c r="DI61" s="1452"/>
      <c r="DJ61" s="1455"/>
      <c r="DK61" s="1455"/>
      <c r="DL61" s="1452"/>
      <c r="DM61" s="1452"/>
      <c r="DN61" s="1455"/>
      <c r="DO61" s="1455"/>
      <c r="DP61" s="1455"/>
      <c r="DQ61" s="1455"/>
      <c r="DR61" s="1452"/>
      <c r="DS61" s="1455"/>
      <c r="DT61" s="1455"/>
      <c r="DU61" s="1455"/>
      <c r="DV61" s="1455"/>
      <c r="DW61" s="1455"/>
      <c r="DX61" s="1455"/>
      <c r="DY61" s="1455"/>
      <c r="DZ61" s="1455"/>
      <c r="EA61" s="1455"/>
      <c r="EB61" s="1455"/>
      <c r="EC61" s="1455"/>
      <c r="ED61" s="1455"/>
      <c r="EE61" s="1455"/>
      <c r="EF61" s="1455"/>
      <c r="EG61" s="1455"/>
      <c r="EH61" s="1455"/>
      <c r="EI61" s="1455"/>
      <c r="EJ61" s="1452"/>
      <c r="EK61" s="1455"/>
      <c r="EL61" s="1455"/>
      <c r="EM61" s="1455"/>
      <c r="EN61" s="1452"/>
      <c r="EO61" s="1455"/>
      <c r="EP61" s="1455"/>
      <c r="EQ61" s="1455"/>
      <c r="ER61" s="1455"/>
      <c r="ES61" s="1455"/>
      <c r="ET61" s="1455"/>
      <c r="EU61" s="1452"/>
      <c r="EV61" s="1455"/>
      <c r="EW61" s="1455"/>
      <c r="EX61" s="1455"/>
      <c r="EY61" s="1455"/>
      <c r="EZ61" s="1455"/>
      <c r="FA61" s="1455"/>
      <c r="FB61" s="1455"/>
      <c r="FC61" s="1455"/>
      <c r="FD61" s="1455"/>
      <c r="FE61" s="1455"/>
      <c r="FF61" s="1452"/>
      <c r="FG61" s="1455"/>
      <c r="FH61" s="1455"/>
      <c r="FI61" s="1455"/>
      <c r="FJ61" s="1455"/>
      <c r="FK61" s="1455"/>
      <c r="FL61" s="1455"/>
      <c r="FM61" s="1455"/>
      <c r="FN61" s="1455"/>
      <c r="FO61" s="1455"/>
      <c r="FP61" s="1455"/>
      <c r="FQ61" s="1455"/>
      <c r="FR61" s="1455"/>
      <c r="FS61" s="1455"/>
      <c r="FT61" s="1452"/>
      <c r="FU61" s="1452"/>
      <c r="FV61" s="1452"/>
      <c r="FW61" s="1455"/>
      <c r="FX61" s="1452"/>
      <c r="FY61" s="1455"/>
      <c r="FZ61" s="1455"/>
      <c r="GA61" s="1455"/>
      <c r="GB61" s="1455"/>
      <c r="GC61" s="1455"/>
      <c r="GD61" s="1455"/>
      <c r="GE61" s="1452"/>
      <c r="GF61" s="1452"/>
      <c r="GG61" s="1452">
        <v>770</v>
      </c>
      <c r="GH61" s="1455"/>
      <c r="GI61" s="1455"/>
      <c r="GJ61" s="1452"/>
      <c r="GK61" s="1455"/>
      <c r="GL61" s="1455"/>
      <c r="GM61" s="1455"/>
      <c r="GN61" s="1455"/>
      <c r="GO61" s="1455"/>
      <c r="GP61" s="1455"/>
      <c r="GQ61" s="1455"/>
      <c r="GR61" s="1455"/>
      <c r="GS61" s="1455"/>
      <c r="GT61" s="1455"/>
      <c r="GU61" s="1455"/>
      <c r="GV61" s="1455"/>
      <c r="GW61" s="1452"/>
      <c r="GX61" s="1452"/>
      <c r="GY61" s="1455"/>
      <c r="GZ61" s="1455"/>
      <c r="HA61" s="1455"/>
      <c r="HB61" s="1452"/>
      <c r="HC61" s="1455"/>
      <c r="HD61" s="1452"/>
      <c r="HE61" s="1455"/>
      <c r="HF61" s="1452"/>
      <c r="HG61" s="1452"/>
      <c r="HH61" s="1455"/>
      <c r="HI61" s="1455"/>
      <c r="HJ61" s="1455"/>
      <c r="HK61" s="1455"/>
      <c r="HL61" s="1455"/>
      <c r="HM61" s="1455"/>
      <c r="HN61" s="1455"/>
      <c r="HO61" s="1455"/>
      <c r="HP61" s="1455"/>
      <c r="HQ61" s="1455"/>
      <c r="HR61" s="1455"/>
      <c r="HS61" s="1452"/>
      <c r="HT61" s="1455"/>
      <c r="HU61" s="1455"/>
      <c r="HV61" s="1455"/>
      <c r="HW61" s="1455"/>
      <c r="HX61" s="1455"/>
      <c r="HY61" s="1455"/>
      <c r="HZ61" s="1452"/>
      <c r="IA61" s="1455"/>
      <c r="IB61" s="1455"/>
      <c r="IC61" s="1455"/>
      <c r="ID61" s="1455"/>
      <c r="IE61" s="1455"/>
      <c r="IF61" s="1455"/>
      <c r="IG61" s="1455"/>
      <c r="IH61" s="1455"/>
      <c r="II61" s="1455"/>
      <c r="IJ61" s="1455"/>
      <c r="IK61" s="1455"/>
      <c r="IL61" s="1455"/>
      <c r="IM61" s="1455"/>
      <c r="IN61" s="1455"/>
      <c r="IO61" s="1452"/>
      <c r="IP61" s="1455"/>
      <c r="IQ61" s="1455"/>
      <c r="IR61" s="1455"/>
      <c r="IS61" s="1455"/>
      <c r="IT61" s="1455"/>
      <c r="IU61" s="1455"/>
      <c r="IV61" s="1455"/>
      <c r="IW61" s="1455"/>
      <c r="IX61" s="1452"/>
      <c r="IY61" s="1453"/>
      <c r="IZ61" s="1452"/>
      <c r="JA61" s="1452"/>
      <c r="JB61" s="1452"/>
      <c r="JC61" s="1452"/>
      <c r="JD61" s="1452"/>
      <c r="JE61" s="1452"/>
      <c r="JF61" s="1452"/>
      <c r="JG61" s="1452"/>
      <c r="JH61" s="1455"/>
      <c r="JI61" s="1455"/>
      <c r="JJ61" s="1455"/>
      <c r="JK61" s="1455"/>
      <c r="JL61" s="1455"/>
      <c r="JM61" s="1455"/>
      <c r="JN61" s="1455"/>
      <c r="JO61" s="1455"/>
      <c r="JP61" s="1455"/>
      <c r="JQ61" s="1501"/>
      <c r="JR61" s="351"/>
      <c r="JS61" s="1400"/>
      <c r="JT61" s="1385"/>
    </row>
    <row r="62" spans="1:280" ht="12.5" x14ac:dyDescent="0.25">
      <c r="A62" s="1367">
        <v>62</v>
      </c>
      <c r="B62" s="1411" t="str">
        <f t="shared" si="2"/>
        <v/>
      </c>
      <c r="C62" s="2552" t="s">
        <v>3811</v>
      </c>
      <c r="D62" s="1629" t="s">
        <v>3203</v>
      </c>
      <c r="E62" s="1452"/>
      <c r="F62" s="1452"/>
      <c r="G62" s="1452"/>
      <c r="H62" s="1452"/>
      <c r="I62" s="1452"/>
      <c r="J62" s="1452"/>
      <c r="K62" s="1452"/>
      <c r="L62" s="1452"/>
      <c r="M62" s="1452"/>
      <c r="N62" s="1452"/>
      <c r="O62" s="1452"/>
      <c r="P62" s="1452"/>
      <c r="Q62" s="1452"/>
      <c r="R62" s="1452"/>
      <c r="S62" s="1452"/>
      <c r="T62" s="1452"/>
      <c r="U62" s="1452"/>
      <c r="V62" s="1452"/>
      <c r="W62" s="1452"/>
      <c r="X62" s="1452"/>
      <c r="Y62" s="1452"/>
      <c r="Z62" s="1452"/>
      <c r="AA62" s="1452"/>
      <c r="AB62" s="1452"/>
      <c r="AC62" s="1452"/>
      <c r="AD62" s="1452"/>
      <c r="AE62" s="1452"/>
      <c r="AF62" s="1452"/>
      <c r="AG62" s="1452"/>
      <c r="AH62" s="1452"/>
      <c r="AI62" s="1452"/>
      <c r="AJ62" s="1453"/>
      <c r="AK62" s="1452"/>
      <c r="AL62" s="1452"/>
      <c r="AM62" s="1452"/>
      <c r="AN62" s="1452"/>
      <c r="AO62" s="1452"/>
      <c r="AP62" s="1452"/>
      <c r="AQ62" s="1452"/>
      <c r="AR62" s="1452"/>
      <c r="AS62" s="1454"/>
      <c r="AT62" s="1452"/>
      <c r="AU62" s="1452"/>
      <c r="AV62" s="1452"/>
      <c r="AW62" s="1452"/>
      <c r="AX62" s="1452"/>
      <c r="AY62" s="1452"/>
      <c r="AZ62" s="1452"/>
      <c r="BA62" s="1452"/>
      <c r="BB62" s="1452"/>
      <c r="BC62" s="1452"/>
      <c r="BD62" s="1452"/>
      <c r="BE62" s="1452"/>
      <c r="BF62" s="1452"/>
      <c r="BG62" s="1452"/>
      <c r="BH62" s="1452"/>
      <c r="BI62" s="1452"/>
      <c r="BJ62" s="1452"/>
      <c r="BK62" s="1452"/>
      <c r="BL62" s="1452"/>
      <c r="BM62" s="1452"/>
      <c r="BN62" s="1452"/>
      <c r="BO62" s="1452"/>
      <c r="BP62" s="1452"/>
      <c r="BQ62" s="1452"/>
      <c r="BR62" s="1452"/>
      <c r="BS62" s="1452"/>
      <c r="BT62" s="1452"/>
      <c r="BU62" s="1452"/>
      <c r="BV62" s="1452"/>
      <c r="BW62" s="1452"/>
      <c r="BX62" s="1452"/>
      <c r="BY62" s="1452"/>
      <c r="BZ62" s="1452"/>
      <c r="CA62" s="1452"/>
      <c r="CB62" s="1452"/>
      <c r="CC62" s="1452"/>
      <c r="CD62" s="1452"/>
      <c r="CE62" s="1455"/>
      <c r="CF62" s="1455"/>
      <c r="CG62" s="1455"/>
      <c r="CH62" s="1452"/>
      <c r="CI62" s="1452"/>
      <c r="CJ62" s="1455"/>
      <c r="CK62" s="1455"/>
      <c r="CL62" s="1455"/>
      <c r="CM62" s="1455"/>
      <c r="CN62" s="1455"/>
      <c r="CO62" s="1455"/>
      <c r="CP62" s="1455"/>
      <c r="CQ62" s="1452"/>
      <c r="CR62" s="1452"/>
      <c r="CS62" s="1452"/>
      <c r="CT62" s="1452"/>
      <c r="CU62" s="1455"/>
      <c r="CV62" s="1452"/>
      <c r="CW62" s="1455"/>
      <c r="CX62" s="1455"/>
      <c r="CY62" s="1455"/>
      <c r="CZ62" s="1452"/>
      <c r="DA62" s="1452"/>
      <c r="DB62" s="1452"/>
      <c r="DC62" s="1452"/>
      <c r="DD62" s="1455"/>
      <c r="DE62" s="1455"/>
      <c r="DF62" s="1455"/>
      <c r="DG62" s="1455"/>
      <c r="DH62" s="1455"/>
      <c r="DI62" s="1452"/>
      <c r="DJ62" s="1455"/>
      <c r="DK62" s="1455"/>
      <c r="DL62" s="1452"/>
      <c r="DM62" s="1452"/>
      <c r="DN62" s="1455"/>
      <c r="DO62" s="1455"/>
      <c r="DP62" s="1455"/>
      <c r="DQ62" s="1455"/>
      <c r="DR62" s="1452"/>
      <c r="DS62" s="1455"/>
      <c r="DT62" s="1455"/>
      <c r="DU62" s="1455"/>
      <c r="DV62" s="1455"/>
      <c r="DW62" s="1455"/>
      <c r="DX62" s="1455"/>
      <c r="DY62" s="1455"/>
      <c r="DZ62" s="1455"/>
      <c r="EA62" s="1455"/>
      <c r="EB62" s="1455"/>
      <c r="EC62" s="1455"/>
      <c r="ED62" s="1455"/>
      <c r="EE62" s="1455"/>
      <c r="EF62" s="1455"/>
      <c r="EG62" s="1455"/>
      <c r="EH62" s="1455"/>
      <c r="EI62" s="1455"/>
      <c r="EJ62" s="1452"/>
      <c r="EK62" s="1455"/>
      <c r="EL62" s="1455"/>
      <c r="EM62" s="1455"/>
      <c r="EN62" s="1452"/>
      <c r="EO62" s="1455"/>
      <c r="EP62" s="1455"/>
      <c r="EQ62" s="1455"/>
      <c r="ER62" s="1455"/>
      <c r="ES62" s="1455"/>
      <c r="ET62" s="1455"/>
      <c r="EU62" s="1452"/>
      <c r="EV62" s="1455"/>
      <c r="EW62" s="1455"/>
      <c r="EX62" s="1455"/>
      <c r="EY62" s="1455"/>
      <c r="EZ62" s="1455"/>
      <c r="FA62" s="1455"/>
      <c r="FB62" s="1455"/>
      <c r="FC62" s="1455"/>
      <c r="FD62" s="1455"/>
      <c r="FE62" s="1455"/>
      <c r="FF62" s="1452"/>
      <c r="FG62" s="1455"/>
      <c r="FH62" s="1455"/>
      <c r="FI62" s="1455"/>
      <c r="FJ62" s="1455"/>
      <c r="FK62" s="1455"/>
      <c r="FL62" s="1455"/>
      <c r="FM62" s="1455"/>
      <c r="FN62" s="1455"/>
      <c r="FO62" s="1455"/>
      <c r="FP62" s="1455"/>
      <c r="FQ62" s="1455"/>
      <c r="FR62" s="1455"/>
      <c r="FS62" s="1455"/>
      <c r="FT62" s="1452"/>
      <c r="FU62" s="1452"/>
      <c r="FV62" s="1452"/>
      <c r="FW62" s="1455"/>
      <c r="FX62" s="1452"/>
      <c r="FY62" s="1455"/>
      <c r="FZ62" s="1455"/>
      <c r="GA62" s="1455"/>
      <c r="GB62" s="1455"/>
      <c r="GC62" s="1455"/>
      <c r="GD62" s="1455"/>
      <c r="GE62" s="1452"/>
      <c r="GF62" s="1452"/>
      <c r="GG62" s="1452"/>
      <c r="GH62" s="1455"/>
      <c r="GI62" s="1455"/>
      <c r="GJ62" s="1452"/>
      <c r="GK62" s="1455"/>
      <c r="GL62" s="1455"/>
      <c r="GM62" s="1455"/>
      <c r="GN62" s="1455"/>
      <c r="GO62" s="1455"/>
      <c r="GP62" s="1455"/>
      <c r="GQ62" s="1455"/>
      <c r="GR62" s="1455"/>
      <c r="GS62" s="1455"/>
      <c r="GT62" s="1455"/>
      <c r="GU62" s="1455"/>
      <c r="GV62" s="1455"/>
      <c r="GW62" s="1452"/>
      <c r="GX62" s="1452"/>
      <c r="GY62" s="1455"/>
      <c r="GZ62" s="1455"/>
      <c r="HA62" s="1455"/>
      <c r="HB62" s="1452"/>
      <c r="HC62" s="1455"/>
      <c r="HD62" s="1452"/>
      <c r="HE62" s="1455"/>
      <c r="HF62" s="1452"/>
      <c r="HG62" s="1452"/>
      <c r="HH62" s="1455"/>
      <c r="HI62" s="1455"/>
      <c r="HJ62" s="1455"/>
      <c r="HK62" s="1455"/>
      <c r="HL62" s="1455"/>
      <c r="HM62" s="1455"/>
      <c r="HN62" s="1455"/>
      <c r="HO62" s="1455"/>
      <c r="HP62" s="1455"/>
      <c r="HQ62" s="1455"/>
      <c r="HR62" s="1455"/>
      <c r="HS62" s="1452"/>
      <c r="HT62" s="1455"/>
      <c r="HU62" s="1455"/>
      <c r="HV62" s="1455"/>
      <c r="HW62" s="1455"/>
      <c r="HX62" s="1455"/>
      <c r="HY62" s="1455"/>
      <c r="HZ62" s="1452"/>
      <c r="IA62" s="1455"/>
      <c r="IB62" s="1455"/>
      <c r="IC62" s="1455"/>
      <c r="ID62" s="1455"/>
      <c r="IE62" s="1455"/>
      <c r="IF62" s="1455"/>
      <c r="IG62" s="1455"/>
      <c r="IH62" s="1455"/>
      <c r="II62" s="1455"/>
      <c r="IJ62" s="1455"/>
      <c r="IK62" s="1455"/>
      <c r="IL62" s="1455"/>
      <c r="IM62" s="1455"/>
      <c r="IN62" s="1455"/>
      <c r="IO62" s="1452"/>
      <c r="IP62" s="1455"/>
      <c r="IQ62" s="1455"/>
      <c r="IR62" s="1455"/>
      <c r="IS62" s="1455"/>
      <c r="IT62" s="1455"/>
      <c r="IU62" s="1455"/>
      <c r="IV62" s="1455"/>
      <c r="IW62" s="1455"/>
      <c r="IX62" s="1452"/>
      <c r="IY62" s="1453"/>
      <c r="IZ62" s="1452"/>
      <c r="JA62" s="1452"/>
      <c r="JB62" s="1452"/>
      <c r="JC62" s="1452"/>
      <c r="JD62" s="1452"/>
      <c r="JE62" s="1452"/>
      <c r="JF62" s="1452"/>
      <c r="JG62" s="1452"/>
      <c r="JH62" s="1455"/>
      <c r="JI62" s="1455"/>
      <c r="JJ62" s="1455"/>
      <c r="JK62" s="1455"/>
      <c r="JL62" s="1455"/>
      <c r="JM62" s="1455"/>
      <c r="JN62" s="1455"/>
      <c r="JO62" s="1455"/>
      <c r="JP62" s="1455"/>
      <c r="JQ62" s="1501"/>
      <c r="JR62" s="351"/>
      <c r="JS62" s="1400"/>
      <c r="JT62" s="1385" t="s">
        <v>2242</v>
      </c>
    </row>
    <row r="63" spans="1:280" ht="12.5" x14ac:dyDescent="0.25">
      <c r="A63" s="1367">
        <v>63</v>
      </c>
      <c r="B63" s="1411" t="str">
        <f t="shared" si="2"/>
        <v/>
      </c>
      <c r="C63" s="1628" t="s">
        <v>3812</v>
      </c>
      <c r="D63" s="1531" t="s">
        <v>2975</v>
      </c>
      <c r="E63" s="1452"/>
      <c r="F63" s="1452"/>
      <c r="G63" s="1452"/>
      <c r="H63" s="1452"/>
      <c r="I63" s="1452"/>
      <c r="J63" s="1452"/>
      <c r="K63" s="1452"/>
      <c r="L63" s="1452"/>
      <c r="M63" s="1452"/>
      <c r="N63" s="1452"/>
      <c r="O63" s="1452"/>
      <c r="P63" s="1452"/>
      <c r="Q63" s="1452"/>
      <c r="R63" s="1452"/>
      <c r="S63" s="1452"/>
      <c r="T63" s="1452"/>
      <c r="U63" s="1452"/>
      <c r="V63" s="1452"/>
      <c r="W63" s="1452"/>
      <c r="X63" s="1452"/>
      <c r="Y63" s="1452"/>
      <c r="Z63" s="1452"/>
      <c r="AA63" s="1452"/>
      <c r="AB63" s="1452"/>
      <c r="AC63" s="1452"/>
      <c r="AD63" s="1452"/>
      <c r="AE63" s="1452"/>
      <c r="AF63" s="1452"/>
      <c r="AG63" s="1452"/>
      <c r="AH63" s="1452"/>
      <c r="AI63" s="1452"/>
      <c r="AJ63" s="1453"/>
      <c r="AK63" s="1452"/>
      <c r="AL63" s="1452"/>
      <c r="AM63" s="1452"/>
      <c r="AN63" s="1452"/>
      <c r="AO63" s="1452"/>
      <c r="AP63" s="1452"/>
      <c r="AQ63" s="1452"/>
      <c r="AR63" s="1452"/>
      <c r="AS63" s="1452">
        <v>741</v>
      </c>
      <c r="AT63" s="1452"/>
      <c r="AU63" s="1452"/>
      <c r="AV63" s="1452"/>
      <c r="AW63" s="1452"/>
      <c r="AX63" s="1452"/>
      <c r="AY63" s="1452"/>
      <c r="AZ63" s="1452"/>
      <c r="BA63" s="1452"/>
      <c r="BB63" s="1452"/>
      <c r="BC63" s="1452"/>
      <c r="BD63" s="1452"/>
      <c r="BE63" s="1452"/>
      <c r="BF63" s="1452"/>
      <c r="BG63" s="1452"/>
      <c r="BH63" s="1452"/>
      <c r="BI63" s="1452"/>
      <c r="BJ63" s="1452"/>
      <c r="BK63" s="1452"/>
      <c r="BL63" s="1452"/>
      <c r="BM63" s="1452"/>
      <c r="BN63" s="1452"/>
      <c r="BO63" s="1452"/>
      <c r="BP63" s="1452"/>
      <c r="BQ63" s="1452"/>
      <c r="BR63" s="1452"/>
      <c r="BS63" s="1452"/>
      <c r="BT63" s="1452"/>
      <c r="BU63" s="1452"/>
      <c r="BV63" s="1452"/>
      <c r="BW63" s="1452"/>
      <c r="BX63" s="1452"/>
      <c r="BY63" s="1452"/>
      <c r="BZ63" s="1452"/>
      <c r="CA63" s="1452"/>
      <c r="CB63" s="1452"/>
      <c r="CC63" s="1452"/>
      <c r="CD63" s="1452"/>
      <c r="CE63" s="1455"/>
      <c r="CF63" s="1455"/>
      <c r="CG63" s="1455"/>
      <c r="CH63" s="1452"/>
      <c r="CI63" s="1452"/>
      <c r="CJ63" s="1455"/>
      <c r="CK63" s="1455"/>
      <c r="CL63" s="1455"/>
      <c r="CM63" s="1455"/>
      <c r="CN63" s="1455"/>
      <c r="CO63" s="1455"/>
      <c r="CP63" s="1455"/>
      <c r="CQ63" s="1454"/>
      <c r="CR63" s="1452"/>
      <c r="CS63" s="1452"/>
      <c r="CT63" s="1452"/>
      <c r="CU63" s="1455"/>
      <c r="CV63" s="1452"/>
      <c r="CW63" s="1455"/>
      <c r="CX63" s="1455"/>
      <c r="CY63" s="1455"/>
      <c r="CZ63" s="1452"/>
      <c r="DA63" s="1452"/>
      <c r="DB63" s="1452"/>
      <c r="DC63" s="1452"/>
      <c r="DD63" s="1455"/>
      <c r="DE63" s="1455"/>
      <c r="DF63" s="1455"/>
      <c r="DG63" s="1455"/>
      <c r="DH63" s="1455"/>
      <c r="DI63" s="1452"/>
      <c r="DJ63" s="1455"/>
      <c r="DK63" s="1455"/>
      <c r="DL63" s="1452"/>
      <c r="DM63" s="1452"/>
      <c r="DN63" s="1455"/>
      <c r="DO63" s="1455"/>
      <c r="DP63" s="1455"/>
      <c r="DQ63" s="1455"/>
      <c r="DR63" s="1452"/>
      <c r="DS63" s="1455"/>
      <c r="DT63" s="1455"/>
      <c r="DU63" s="1455"/>
      <c r="DV63" s="1455"/>
      <c r="DW63" s="1455"/>
      <c r="DX63" s="1455"/>
      <c r="DY63" s="1455"/>
      <c r="DZ63" s="1455"/>
      <c r="EA63" s="1455"/>
      <c r="EB63" s="1455"/>
      <c r="EC63" s="1455"/>
      <c r="ED63" s="1455"/>
      <c r="EE63" s="1455"/>
      <c r="EF63" s="1455"/>
      <c r="EG63" s="1455"/>
      <c r="EH63" s="1455"/>
      <c r="EI63" s="1455"/>
      <c r="EJ63" s="1452"/>
      <c r="EK63" s="1455"/>
      <c r="EL63" s="1455"/>
      <c r="EM63" s="1455"/>
      <c r="EN63" s="1452"/>
      <c r="EO63" s="1455"/>
      <c r="EP63" s="1455"/>
      <c r="EQ63" s="1455"/>
      <c r="ER63" s="1455"/>
      <c r="ES63" s="1455"/>
      <c r="ET63" s="1455"/>
      <c r="EU63" s="1452"/>
      <c r="EV63" s="1455"/>
      <c r="EW63" s="1455"/>
      <c r="EX63" s="1455"/>
      <c r="EY63" s="1455"/>
      <c r="EZ63" s="1455"/>
      <c r="FA63" s="1455"/>
      <c r="FB63" s="1455"/>
      <c r="FC63" s="1455"/>
      <c r="FD63" s="1455"/>
      <c r="FE63" s="1455"/>
      <c r="FF63" s="1452"/>
      <c r="FG63" s="1455"/>
      <c r="FH63" s="1455"/>
      <c r="FI63" s="1455"/>
      <c r="FJ63" s="1455"/>
      <c r="FK63" s="1455"/>
      <c r="FL63" s="1455"/>
      <c r="FM63" s="1455"/>
      <c r="FN63" s="1455"/>
      <c r="FO63" s="1455"/>
      <c r="FP63" s="1455"/>
      <c r="FQ63" s="1455"/>
      <c r="FR63" s="1455"/>
      <c r="FS63" s="1455"/>
      <c r="FT63" s="1452"/>
      <c r="FU63" s="1452"/>
      <c r="FV63" s="1452"/>
      <c r="FW63" s="1455"/>
      <c r="FX63" s="1452"/>
      <c r="FY63" s="1455"/>
      <c r="FZ63" s="1455"/>
      <c r="GA63" s="1455"/>
      <c r="GB63" s="1455"/>
      <c r="GC63" s="1455"/>
      <c r="GD63" s="1455"/>
      <c r="GE63" s="1452"/>
      <c r="GF63" s="1452"/>
      <c r="GG63" s="1452">
        <v>880</v>
      </c>
      <c r="GH63" s="1455"/>
      <c r="GI63" s="1455"/>
      <c r="GJ63" s="1452"/>
      <c r="GK63" s="1455"/>
      <c r="GL63" s="1455"/>
      <c r="GM63" s="1455"/>
      <c r="GN63" s="1455"/>
      <c r="GO63" s="1455"/>
      <c r="GP63" s="1455"/>
      <c r="GQ63" s="1455"/>
      <c r="GR63" s="1455"/>
      <c r="GS63" s="1455"/>
      <c r="GT63" s="1455"/>
      <c r="GU63" s="1455"/>
      <c r="GV63" s="1455"/>
      <c r="GW63" s="1452"/>
      <c r="GX63" s="1452"/>
      <c r="GY63" s="1455"/>
      <c r="GZ63" s="1455"/>
      <c r="HA63" s="1455"/>
      <c r="HB63" s="1452"/>
      <c r="HC63" s="1455"/>
      <c r="HD63" s="1452"/>
      <c r="HE63" s="1455"/>
      <c r="HF63" s="1452"/>
      <c r="HG63" s="1452"/>
      <c r="HH63" s="1455"/>
      <c r="HI63" s="1455"/>
      <c r="HJ63" s="1455"/>
      <c r="HK63" s="1455"/>
      <c r="HL63" s="1455"/>
      <c r="HM63" s="1455"/>
      <c r="HN63" s="1455"/>
      <c r="HO63" s="1455"/>
      <c r="HP63" s="1455"/>
      <c r="HQ63" s="1455"/>
      <c r="HR63" s="1455"/>
      <c r="HS63" s="1452"/>
      <c r="HT63" s="1455"/>
      <c r="HU63" s="1455"/>
      <c r="HV63" s="1455"/>
      <c r="HW63" s="1455"/>
      <c r="HX63" s="1455"/>
      <c r="HY63" s="1455"/>
      <c r="HZ63" s="1452"/>
      <c r="IA63" s="1455"/>
      <c r="IB63" s="1455"/>
      <c r="IC63" s="1455"/>
      <c r="ID63" s="1455"/>
      <c r="IE63" s="1455"/>
      <c r="IF63" s="1455"/>
      <c r="IG63" s="1455"/>
      <c r="IH63" s="1455"/>
      <c r="II63" s="1455"/>
      <c r="IJ63" s="1455"/>
      <c r="IK63" s="1455"/>
      <c r="IL63" s="1455"/>
      <c r="IM63" s="1455"/>
      <c r="IN63" s="1455"/>
      <c r="IO63" s="1452"/>
      <c r="IP63" s="1455"/>
      <c r="IQ63" s="1455"/>
      <c r="IR63" s="1455"/>
      <c r="IS63" s="1455"/>
      <c r="IT63" s="1455"/>
      <c r="IU63" s="1455"/>
      <c r="IV63" s="1455"/>
      <c r="IW63" s="1455"/>
      <c r="IX63" s="1452"/>
      <c r="IY63" s="1453"/>
      <c r="IZ63" s="1452"/>
      <c r="JA63" s="1452"/>
      <c r="JB63" s="1452"/>
      <c r="JC63" s="1452"/>
      <c r="JD63" s="1452"/>
      <c r="JE63" s="1452"/>
      <c r="JF63" s="1452"/>
      <c r="JG63" s="1452"/>
      <c r="JH63" s="1455"/>
      <c r="JI63" s="1455"/>
      <c r="JJ63" s="1455"/>
      <c r="JK63" s="1455"/>
      <c r="JL63" s="1455"/>
      <c r="JM63" s="1455"/>
      <c r="JN63" s="1455"/>
      <c r="JO63" s="1455"/>
      <c r="JP63" s="1455"/>
      <c r="JQ63" s="1501"/>
      <c r="JR63" s="351"/>
      <c r="JS63" s="1400"/>
      <c r="JT63" s="1385"/>
    </row>
    <row r="64" spans="1:280" ht="12.5" x14ac:dyDescent="0.25">
      <c r="A64" s="1367">
        <v>64</v>
      </c>
      <c r="B64" s="1411" t="str">
        <f t="shared" si="2"/>
        <v/>
      </c>
      <c r="C64" s="1628" t="s">
        <v>3813</v>
      </c>
      <c r="D64" s="1531" t="s">
        <v>3814</v>
      </c>
      <c r="E64" s="1452"/>
      <c r="F64" s="1452"/>
      <c r="G64" s="1452"/>
      <c r="H64" s="1452"/>
      <c r="I64" s="1452"/>
      <c r="J64" s="1452"/>
      <c r="K64" s="1452"/>
      <c r="L64" s="1452"/>
      <c r="M64" s="1452"/>
      <c r="N64" s="1452"/>
      <c r="O64" s="1452"/>
      <c r="P64" s="1452"/>
      <c r="Q64" s="1452"/>
      <c r="R64" s="1452"/>
      <c r="S64" s="1452"/>
      <c r="T64" s="1452"/>
      <c r="U64" s="1452"/>
      <c r="V64" s="1452"/>
      <c r="W64" s="1452"/>
      <c r="X64" s="1452"/>
      <c r="Y64" s="1452"/>
      <c r="Z64" s="1452"/>
      <c r="AA64" s="1452"/>
      <c r="AB64" s="1452"/>
      <c r="AC64" s="1452"/>
      <c r="AD64" s="1452"/>
      <c r="AE64" s="1452"/>
      <c r="AF64" s="1452"/>
      <c r="AG64" s="1452"/>
      <c r="AH64" s="1452"/>
      <c r="AI64" s="1452"/>
      <c r="AJ64" s="1453"/>
      <c r="AK64" s="1452"/>
      <c r="AL64" s="1452"/>
      <c r="AM64" s="1452"/>
      <c r="AN64" s="1452"/>
      <c r="AO64" s="1452"/>
      <c r="AP64" s="1452"/>
      <c r="AQ64" s="1452"/>
      <c r="AR64" s="1452"/>
      <c r="AS64" s="1452"/>
      <c r="AT64" s="1452"/>
      <c r="AU64" s="1452"/>
      <c r="AV64" s="1452"/>
      <c r="AW64" s="1452"/>
      <c r="AX64" s="1452"/>
      <c r="AY64" s="1452"/>
      <c r="AZ64" s="1452"/>
      <c r="BA64" s="1452"/>
      <c r="BB64" s="1452"/>
      <c r="BC64" s="1452"/>
      <c r="BD64" s="1452"/>
      <c r="BE64" s="1452"/>
      <c r="BF64" s="1452"/>
      <c r="BG64" s="1452"/>
      <c r="BH64" s="1452"/>
      <c r="BI64" s="1452"/>
      <c r="BJ64" s="1452"/>
      <c r="BK64" s="1452"/>
      <c r="BL64" s="1452"/>
      <c r="BM64" s="1452"/>
      <c r="BN64" s="1452"/>
      <c r="BO64" s="1452"/>
      <c r="BP64" s="1452"/>
      <c r="BQ64" s="1452"/>
      <c r="BR64" s="1452"/>
      <c r="BS64" s="1452"/>
      <c r="BT64" s="1452"/>
      <c r="BU64" s="1452"/>
      <c r="BV64" s="1452"/>
      <c r="BW64" s="1452"/>
      <c r="BX64" s="1452"/>
      <c r="BY64" s="1452"/>
      <c r="BZ64" s="1452"/>
      <c r="CA64" s="1452"/>
      <c r="CB64" s="1454">
        <v>1420</v>
      </c>
      <c r="CC64" s="1452"/>
      <c r="CD64" s="1452"/>
      <c r="CE64" s="1455"/>
      <c r="CF64" s="1455"/>
      <c r="CG64" s="1455"/>
      <c r="CH64" s="1452"/>
      <c r="CI64" s="1454">
        <v>1420</v>
      </c>
      <c r="CJ64" s="1472">
        <v>4419</v>
      </c>
      <c r="CK64" s="1455"/>
      <c r="CL64" s="1455"/>
      <c r="CM64" s="1455"/>
      <c r="CN64" s="1455"/>
      <c r="CO64" s="1455"/>
      <c r="CP64" s="1455"/>
      <c r="CQ64" s="1452"/>
      <c r="CR64" s="1452"/>
      <c r="CS64" s="1452"/>
      <c r="CT64" s="1454">
        <v>1252</v>
      </c>
      <c r="CU64" s="1455"/>
      <c r="CV64" s="1454"/>
      <c r="CW64" s="1455"/>
      <c r="CX64" s="1455"/>
      <c r="CY64" s="1455"/>
      <c r="CZ64" s="1452"/>
      <c r="DA64" s="1452"/>
      <c r="DB64" s="1452"/>
      <c r="DC64" s="1454">
        <v>1420</v>
      </c>
      <c r="DD64" s="1455"/>
      <c r="DE64" s="1455"/>
      <c r="DF64" s="1455"/>
      <c r="DG64" s="1455"/>
      <c r="DH64" s="1455"/>
      <c r="DI64" s="1452"/>
      <c r="DJ64" s="1455"/>
      <c r="DK64" s="1455"/>
      <c r="DL64" s="1452"/>
      <c r="DM64" s="1454">
        <v>1420</v>
      </c>
      <c r="DN64" s="1455"/>
      <c r="DO64" s="1455"/>
      <c r="DP64" s="1455"/>
      <c r="DQ64" s="1455"/>
      <c r="DR64" s="1452"/>
      <c r="DS64" s="1455"/>
      <c r="DT64" s="1455"/>
      <c r="DU64" s="1455"/>
      <c r="DV64" s="1455"/>
      <c r="DW64" s="1455"/>
      <c r="DX64" s="1455"/>
      <c r="DY64" s="1455"/>
      <c r="DZ64" s="1455"/>
      <c r="EA64" s="1455"/>
      <c r="EB64" s="1455"/>
      <c r="EC64" s="1455"/>
      <c r="ED64" s="1455"/>
      <c r="EE64" s="1455"/>
      <c r="EF64" s="1455"/>
      <c r="EG64" s="1455"/>
      <c r="EH64" s="1455"/>
      <c r="EI64" s="1455"/>
      <c r="EJ64" s="1452">
        <v>500</v>
      </c>
      <c r="EK64" s="1455"/>
      <c r="EL64" s="1455"/>
      <c r="EM64" s="1455"/>
      <c r="EN64" s="1454">
        <v>184</v>
      </c>
      <c r="EO64" s="1455"/>
      <c r="EP64" s="1455"/>
      <c r="EQ64" s="1455"/>
      <c r="ER64" s="1455"/>
      <c r="ES64" s="1455"/>
      <c r="ET64" s="1472">
        <v>5106.33</v>
      </c>
      <c r="EU64" s="1452"/>
      <c r="EV64" s="1455"/>
      <c r="EW64" s="1455"/>
      <c r="EX64" s="1455"/>
      <c r="EY64" s="1455"/>
      <c r="EZ64" s="1455"/>
      <c r="FA64" s="1455"/>
      <c r="FB64" s="1455"/>
      <c r="FC64" s="1455"/>
      <c r="FD64" s="1455"/>
      <c r="FE64" s="1455"/>
      <c r="FF64" s="1452"/>
      <c r="FG64" s="1455"/>
      <c r="FH64" s="1455"/>
      <c r="FI64" s="1455"/>
      <c r="FJ64" s="1455"/>
      <c r="FK64" s="1455"/>
      <c r="FL64" s="1455"/>
      <c r="FM64" s="1455"/>
      <c r="FN64" s="1455"/>
      <c r="FO64" s="1455"/>
      <c r="FP64" s="1455"/>
      <c r="FQ64" s="1455"/>
      <c r="FR64" s="1455"/>
      <c r="FS64" s="1455"/>
      <c r="FT64" s="1452"/>
      <c r="FU64" s="1452"/>
      <c r="FV64" s="1454">
        <v>1252</v>
      </c>
      <c r="FW64" s="1455"/>
      <c r="FX64" s="1452"/>
      <c r="FY64" s="1455"/>
      <c r="FZ64" s="1455"/>
      <c r="GA64" s="1455"/>
      <c r="GB64" s="1455"/>
      <c r="GC64" s="1455"/>
      <c r="GD64" s="1455"/>
      <c r="GE64" s="1452">
        <v>500</v>
      </c>
      <c r="GF64" s="1452">
        <v>500</v>
      </c>
      <c r="GG64" s="1452"/>
      <c r="GH64" s="1455"/>
      <c r="GI64" s="1455"/>
      <c r="GJ64" s="1452"/>
      <c r="GK64" s="1455"/>
      <c r="GL64" s="1455"/>
      <c r="GM64" s="1455"/>
      <c r="GN64" s="1455"/>
      <c r="GO64" s="1455"/>
      <c r="GP64" s="1455"/>
      <c r="GQ64" s="1455"/>
      <c r="GR64" s="1455"/>
      <c r="GS64" s="1455"/>
      <c r="GT64" s="1455"/>
      <c r="GU64" s="1455"/>
      <c r="GV64" s="1455"/>
      <c r="GW64" s="1452"/>
      <c r="GX64" s="1454">
        <v>1420</v>
      </c>
      <c r="GY64" s="1455"/>
      <c r="GZ64" s="1455"/>
      <c r="HA64" s="1455"/>
      <c r="HB64" s="1454">
        <v>48014</v>
      </c>
      <c r="HC64" s="1455"/>
      <c r="HD64" s="1452"/>
      <c r="HE64" s="1455"/>
      <c r="HF64" s="1452"/>
      <c r="HG64" s="1452"/>
      <c r="HH64" s="1455"/>
      <c r="HI64" s="1455"/>
      <c r="HJ64" s="1455"/>
      <c r="HK64" s="1455"/>
      <c r="HL64" s="1455"/>
      <c r="HM64" s="1455"/>
      <c r="HN64" s="1455"/>
      <c r="HO64" s="1455"/>
      <c r="HP64" s="1455"/>
      <c r="HQ64" s="1455"/>
      <c r="HR64" s="1455"/>
      <c r="HS64" s="1454">
        <v>2252</v>
      </c>
      <c r="HT64" s="1455"/>
      <c r="HU64" s="1455"/>
      <c r="HV64" s="1455"/>
      <c r="HW64" s="1455"/>
      <c r="HX64" s="1455"/>
      <c r="HY64" s="1455"/>
      <c r="HZ64" s="1452"/>
      <c r="IA64" s="1455"/>
      <c r="IB64" s="1455"/>
      <c r="IC64" s="1455"/>
      <c r="ID64" s="1455"/>
      <c r="IE64" s="1455"/>
      <c r="IF64" s="1455"/>
      <c r="IG64" s="1455"/>
      <c r="IH64" s="1455"/>
      <c r="II64" s="1455"/>
      <c r="IJ64" s="1455"/>
      <c r="IK64" s="1455"/>
      <c r="IL64" s="1455"/>
      <c r="IM64" s="1455"/>
      <c r="IN64" s="1455"/>
      <c r="IO64" s="1452"/>
      <c r="IP64" s="1455"/>
      <c r="IQ64" s="1455"/>
      <c r="IR64" s="1455"/>
      <c r="IS64" s="1455"/>
      <c r="IT64" s="1455"/>
      <c r="IU64" s="1455"/>
      <c r="IV64" s="1455"/>
      <c r="IW64" s="1455"/>
      <c r="IX64" s="1452"/>
      <c r="IY64" s="1453"/>
      <c r="IZ64" s="1452"/>
      <c r="JA64" s="1452"/>
      <c r="JB64" s="1452"/>
      <c r="JC64" s="1452"/>
      <c r="JD64" s="1452"/>
      <c r="JE64" s="1452"/>
      <c r="JF64" s="1452"/>
      <c r="JG64" s="1452"/>
      <c r="JH64" s="1455"/>
      <c r="JI64" s="1455"/>
      <c r="JJ64" s="1455"/>
      <c r="JK64" s="1455"/>
      <c r="JL64" s="1455"/>
      <c r="JM64" s="1455"/>
      <c r="JN64" s="1455"/>
      <c r="JO64" s="1455"/>
      <c r="JP64" s="1455"/>
      <c r="JQ64" s="1501"/>
      <c r="JR64" s="351"/>
      <c r="JS64" s="1400"/>
      <c r="JT64" s="1385" t="s">
        <v>2242</v>
      </c>
    </row>
    <row r="65" spans="1:280" ht="12.5" x14ac:dyDescent="0.25">
      <c r="A65" s="1367">
        <v>65</v>
      </c>
      <c r="B65" s="1411" t="str">
        <f t="shared" si="2"/>
        <v/>
      </c>
      <c r="C65" s="1628" t="s">
        <v>3815</v>
      </c>
      <c r="D65" s="1531" t="s">
        <v>3816</v>
      </c>
      <c r="E65" s="1452"/>
      <c r="F65" s="1452"/>
      <c r="G65" s="1452"/>
      <c r="H65" s="1452"/>
      <c r="I65" s="1452"/>
      <c r="J65" s="1452"/>
      <c r="K65" s="1452"/>
      <c r="L65" s="1452"/>
      <c r="M65" s="1452"/>
      <c r="N65" s="1452"/>
      <c r="O65" s="1452"/>
      <c r="P65" s="1452"/>
      <c r="Q65" s="1452"/>
      <c r="R65" s="1452"/>
      <c r="S65" s="1452"/>
      <c r="T65" s="1452">
        <v>13171</v>
      </c>
      <c r="U65" s="1452"/>
      <c r="V65" s="1452"/>
      <c r="W65" s="1452"/>
      <c r="X65" s="1452"/>
      <c r="Y65" s="1452"/>
      <c r="Z65" s="1452"/>
      <c r="AA65" s="1452"/>
      <c r="AB65" s="1452"/>
      <c r="AC65" s="1452"/>
      <c r="AD65" s="1452"/>
      <c r="AE65" s="1452"/>
      <c r="AF65" s="1452"/>
      <c r="AG65" s="1452"/>
      <c r="AH65" s="1452"/>
      <c r="AI65" s="1452"/>
      <c r="AJ65" s="1453"/>
      <c r="AK65" s="1452"/>
      <c r="AL65" s="1452"/>
      <c r="AM65" s="1452"/>
      <c r="AN65" s="1452"/>
      <c r="AO65" s="1452"/>
      <c r="AP65" s="1452"/>
      <c r="AQ65" s="1452"/>
      <c r="AR65" s="1452"/>
      <c r="AS65" s="1452"/>
      <c r="AT65" s="1452"/>
      <c r="AU65" s="1452"/>
      <c r="AV65" s="1452"/>
      <c r="AW65" s="1452"/>
      <c r="AX65" s="1452"/>
      <c r="AY65" s="1452"/>
      <c r="AZ65" s="1452"/>
      <c r="BA65" s="1452"/>
      <c r="BB65" s="1452"/>
      <c r="BC65" s="1452"/>
      <c r="BD65" s="1452"/>
      <c r="BE65" s="1452"/>
      <c r="BF65" s="1452"/>
      <c r="BG65" s="1452"/>
      <c r="BH65" s="1452"/>
      <c r="BI65" s="1452"/>
      <c r="BJ65" s="1452"/>
      <c r="BK65" s="1452"/>
      <c r="BL65" s="1452"/>
      <c r="BM65" s="1452"/>
      <c r="BN65" s="1452"/>
      <c r="BO65" s="1452"/>
      <c r="BP65" s="1452"/>
      <c r="BQ65" s="1452"/>
      <c r="BR65" s="1452"/>
      <c r="BS65" s="1452"/>
      <c r="BT65" s="1452"/>
      <c r="BU65" s="1452"/>
      <c r="BV65" s="1452"/>
      <c r="BW65" s="1452"/>
      <c r="BX65" s="1452">
        <v>770</v>
      </c>
      <c r="BY65" s="1452"/>
      <c r="BZ65" s="1452"/>
      <c r="CA65" s="1452"/>
      <c r="CB65" s="1452"/>
      <c r="CC65" s="1452"/>
      <c r="CD65" s="1452"/>
      <c r="CE65" s="1455"/>
      <c r="CF65" s="1455"/>
      <c r="CG65" s="1455"/>
      <c r="CH65" s="1452"/>
      <c r="CI65" s="1452">
        <v>770</v>
      </c>
      <c r="CJ65" s="1472">
        <v>1444</v>
      </c>
      <c r="CK65" s="1455"/>
      <c r="CL65" s="1455"/>
      <c r="CM65" s="1455"/>
      <c r="CN65" s="1455"/>
      <c r="CO65" s="1455"/>
      <c r="CP65" s="1455"/>
      <c r="CQ65" s="1454"/>
      <c r="CR65" s="1452"/>
      <c r="CS65" s="1452"/>
      <c r="CT65" s="1452"/>
      <c r="CU65" s="1455"/>
      <c r="CV65" s="1452"/>
      <c r="CW65" s="1455"/>
      <c r="CX65" s="1455"/>
      <c r="CY65" s="1455"/>
      <c r="CZ65" s="1452"/>
      <c r="DA65" s="1452"/>
      <c r="DB65" s="1452"/>
      <c r="DC65" s="1452">
        <v>770</v>
      </c>
      <c r="DD65" s="1455"/>
      <c r="DE65" s="1455"/>
      <c r="DF65" s="1455"/>
      <c r="DG65" s="1455"/>
      <c r="DH65" s="1455"/>
      <c r="DI65" s="1452"/>
      <c r="DJ65" s="1472">
        <v>439</v>
      </c>
      <c r="DK65" s="1455"/>
      <c r="DL65" s="1452"/>
      <c r="DM65" s="1452">
        <v>770</v>
      </c>
      <c r="DN65" s="1455"/>
      <c r="DO65" s="1455"/>
      <c r="DP65" s="1455"/>
      <c r="DQ65" s="1455"/>
      <c r="DR65" s="1452"/>
      <c r="DS65" s="1455"/>
      <c r="DT65" s="1455"/>
      <c r="DU65" s="1455"/>
      <c r="DV65" s="1455"/>
      <c r="DW65" s="1455"/>
      <c r="DX65" s="1455"/>
      <c r="DY65" s="1455"/>
      <c r="DZ65" s="1455"/>
      <c r="EA65" s="1455"/>
      <c r="EB65" s="1455"/>
      <c r="EC65" s="1455"/>
      <c r="ED65" s="1455"/>
      <c r="EE65" s="1455"/>
      <c r="EF65" s="1455"/>
      <c r="EG65" s="1455"/>
      <c r="EH65" s="1455"/>
      <c r="EI65" s="1455"/>
      <c r="EJ65" s="1452"/>
      <c r="EK65" s="1455"/>
      <c r="EL65" s="1455"/>
      <c r="EM65" s="1455"/>
      <c r="EN65" s="1452"/>
      <c r="EO65" s="1455"/>
      <c r="EP65" s="1455"/>
      <c r="EQ65" s="1472">
        <v>1155</v>
      </c>
      <c r="ER65" s="1455"/>
      <c r="ES65" s="1455"/>
      <c r="ET65" s="1455"/>
      <c r="EU65" s="1452"/>
      <c r="EV65" s="1455"/>
      <c r="EW65" s="1455"/>
      <c r="EX65" s="1455"/>
      <c r="EY65" s="1455"/>
      <c r="EZ65" s="1455"/>
      <c r="FA65" s="1455"/>
      <c r="FB65" s="1455"/>
      <c r="FC65" s="1455"/>
      <c r="FD65" s="1455"/>
      <c r="FE65" s="1455"/>
      <c r="FF65" s="1452"/>
      <c r="FG65" s="1455"/>
      <c r="FH65" s="1455"/>
      <c r="FI65" s="1455"/>
      <c r="FJ65" s="1455"/>
      <c r="FK65" s="1455"/>
      <c r="FL65" s="1455"/>
      <c r="FM65" s="1455"/>
      <c r="FN65" s="1455"/>
      <c r="FO65" s="1455"/>
      <c r="FP65" s="1455"/>
      <c r="FQ65" s="1455"/>
      <c r="FR65" s="1455"/>
      <c r="FS65" s="1455"/>
      <c r="FT65" s="1452"/>
      <c r="FU65" s="1452"/>
      <c r="FV65" s="1452"/>
      <c r="FW65" s="1455"/>
      <c r="FX65" s="1452"/>
      <c r="FY65" s="1455"/>
      <c r="FZ65" s="1455"/>
      <c r="GA65" s="1455"/>
      <c r="GB65" s="1455"/>
      <c r="GC65" s="1455"/>
      <c r="GD65" s="1455"/>
      <c r="GE65" s="1452"/>
      <c r="GF65" s="1452"/>
      <c r="GG65" s="1452"/>
      <c r="GH65" s="1455"/>
      <c r="GI65" s="1455"/>
      <c r="GJ65" s="1452"/>
      <c r="GK65" s="1455"/>
      <c r="GL65" s="1455"/>
      <c r="GM65" s="1455"/>
      <c r="GN65" s="1455"/>
      <c r="GO65" s="1455"/>
      <c r="GP65" s="1455"/>
      <c r="GQ65" s="1455"/>
      <c r="GR65" s="1455"/>
      <c r="GS65" s="1455"/>
      <c r="GT65" s="1455"/>
      <c r="GU65" s="1455"/>
      <c r="GV65" s="1455"/>
      <c r="GW65" s="1452"/>
      <c r="GX65" s="1452">
        <v>770</v>
      </c>
      <c r="GY65" s="1455"/>
      <c r="GZ65" s="1455"/>
      <c r="HA65" s="1455"/>
      <c r="HB65" s="1452"/>
      <c r="HC65" s="1455"/>
      <c r="HD65" s="1452">
        <v>5379</v>
      </c>
      <c r="HE65" s="1455"/>
      <c r="HF65" s="1452"/>
      <c r="HG65" s="1452"/>
      <c r="HH65" s="1455"/>
      <c r="HI65" s="1455"/>
      <c r="HJ65" s="1455"/>
      <c r="HK65" s="1455"/>
      <c r="HL65" s="1455"/>
      <c r="HM65" s="1455"/>
      <c r="HN65" s="1455"/>
      <c r="HO65" s="1455"/>
      <c r="HP65" s="1455"/>
      <c r="HQ65" s="1455"/>
      <c r="HR65" s="1455"/>
      <c r="HS65" s="1452"/>
      <c r="HT65" s="1455"/>
      <c r="HU65" s="1455"/>
      <c r="HV65" s="1455"/>
      <c r="HW65" s="1455"/>
      <c r="HX65" s="1455"/>
      <c r="HY65" s="1455"/>
      <c r="HZ65" s="1452"/>
      <c r="IA65" s="1455"/>
      <c r="IB65" s="1455"/>
      <c r="IC65" s="1455"/>
      <c r="ID65" s="1455"/>
      <c r="IE65" s="1455"/>
      <c r="IF65" s="1455"/>
      <c r="IG65" s="1455"/>
      <c r="IH65" s="1455"/>
      <c r="II65" s="1455"/>
      <c r="IJ65" s="1455"/>
      <c r="IK65" s="1455"/>
      <c r="IL65" s="1455"/>
      <c r="IM65" s="1455"/>
      <c r="IN65" s="1455"/>
      <c r="IO65" s="1452"/>
      <c r="IP65" s="1455">
        <v>59</v>
      </c>
      <c r="IQ65" s="1455"/>
      <c r="IR65" s="1455"/>
      <c r="IS65" s="1455"/>
      <c r="IT65" s="1455"/>
      <c r="IU65" s="1455"/>
      <c r="IV65" s="1455"/>
      <c r="IW65" s="1455"/>
      <c r="IX65" s="1452"/>
      <c r="IY65" s="1469"/>
      <c r="IZ65" s="1452"/>
      <c r="JA65" s="1452"/>
      <c r="JB65" s="1452"/>
      <c r="JC65" s="1452"/>
      <c r="JD65" s="1452"/>
      <c r="JE65" s="1452"/>
      <c r="JF65" s="1452"/>
      <c r="JG65" s="1452"/>
      <c r="JH65" s="1455"/>
      <c r="JI65" s="1455"/>
      <c r="JJ65" s="1455"/>
      <c r="JK65" s="1455"/>
      <c r="JL65" s="1455"/>
      <c r="JM65" s="1455"/>
      <c r="JN65" s="1455"/>
      <c r="JO65" s="1455"/>
      <c r="JP65" s="1455"/>
      <c r="JQ65" s="1501"/>
      <c r="JR65" s="351"/>
      <c r="JS65" s="1400" t="s">
        <v>3817</v>
      </c>
      <c r="JT65" s="1385" t="s">
        <v>2242</v>
      </c>
    </row>
    <row r="66" spans="1:280" ht="20" x14ac:dyDescent="0.25">
      <c r="A66" s="1367">
        <v>66</v>
      </c>
      <c r="B66" s="1411" t="str">
        <f t="shared" si="2"/>
        <v/>
      </c>
      <c r="C66" s="1628" t="s">
        <v>3818</v>
      </c>
      <c r="D66" s="1531" t="s">
        <v>3819</v>
      </c>
      <c r="E66" s="1452"/>
      <c r="F66" s="1452"/>
      <c r="G66" s="1452"/>
      <c r="H66" s="1452"/>
      <c r="I66" s="1452"/>
      <c r="J66" s="1452"/>
      <c r="K66" s="1452"/>
      <c r="L66" s="1452"/>
      <c r="M66" s="1452"/>
      <c r="N66" s="1452"/>
      <c r="O66" s="1452"/>
      <c r="P66" s="1452"/>
      <c r="Q66" s="1452"/>
      <c r="R66" s="1452"/>
      <c r="S66" s="1452"/>
      <c r="T66" s="1452"/>
      <c r="U66" s="1452"/>
      <c r="V66" s="1452"/>
      <c r="W66" s="1452"/>
      <c r="X66" s="1452"/>
      <c r="Y66" s="1452"/>
      <c r="Z66" s="1452"/>
      <c r="AA66" s="1452"/>
      <c r="AB66" s="1452"/>
      <c r="AC66" s="1452"/>
      <c r="AD66" s="1452"/>
      <c r="AE66" s="1452"/>
      <c r="AF66" s="1452"/>
      <c r="AG66" s="1452"/>
      <c r="AH66" s="1452"/>
      <c r="AI66" s="1452"/>
      <c r="AJ66" s="1453"/>
      <c r="AK66" s="1452"/>
      <c r="AL66" s="1452"/>
      <c r="AM66" s="1452"/>
      <c r="AN66" s="1452"/>
      <c r="AO66" s="1452"/>
      <c r="AP66" s="1452"/>
      <c r="AQ66" s="1452"/>
      <c r="AR66" s="1452"/>
      <c r="AS66" s="1452"/>
      <c r="AT66" s="1452"/>
      <c r="AU66" s="1452"/>
      <c r="AV66" s="1452"/>
      <c r="AW66" s="1452"/>
      <c r="AX66" s="1452"/>
      <c r="AY66" s="1452"/>
      <c r="AZ66" s="1452"/>
      <c r="BA66" s="1452"/>
      <c r="BB66" s="1452"/>
      <c r="BC66" s="1452"/>
      <c r="BD66" s="1452"/>
      <c r="BE66" s="1452"/>
      <c r="BF66" s="1452"/>
      <c r="BG66" s="1452"/>
      <c r="BH66" s="1452"/>
      <c r="BI66" s="1452"/>
      <c r="BJ66" s="1452"/>
      <c r="BK66" s="1452"/>
      <c r="BL66" s="1452"/>
      <c r="BM66" s="1452"/>
      <c r="BN66" s="1452"/>
      <c r="BO66" s="1452"/>
      <c r="BP66" s="1452"/>
      <c r="BQ66" s="1452"/>
      <c r="BR66" s="1452"/>
      <c r="BS66" s="1452"/>
      <c r="BT66" s="1452"/>
      <c r="BU66" s="1452"/>
      <c r="BV66" s="1452"/>
      <c r="BW66" s="1452"/>
      <c r="BX66" s="1452"/>
      <c r="BY66" s="1452"/>
      <c r="BZ66" s="1452"/>
      <c r="CA66" s="1452"/>
      <c r="CB66" s="1452"/>
      <c r="CC66" s="1452"/>
      <c r="CD66" s="1454">
        <v>7500</v>
      </c>
      <c r="CE66" s="1455"/>
      <c r="CF66" s="1455"/>
      <c r="CG66" s="1455"/>
      <c r="CH66" s="1452"/>
      <c r="CI66" s="1452"/>
      <c r="CJ66" s="1455"/>
      <c r="CK66" s="1455"/>
      <c r="CL66" s="1455"/>
      <c r="CM66" s="1455"/>
      <c r="CN66" s="1455"/>
      <c r="CO66" s="1455"/>
      <c r="CP66" s="1455"/>
      <c r="CQ66" s="1454">
        <v>3750</v>
      </c>
      <c r="CR66" s="1452"/>
      <c r="CS66" s="1452"/>
      <c r="CT66" s="1452"/>
      <c r="CU66" s="1455"/>
      <c r="CV66" s="1452"/>
      <c r="CW66" s="1455"/>
      <c r="CX66" s="1455"/>
      <c r="CY66" s="1455"/>
      <c r="CZ66" s="1452"/>
      <c r="DA66" s="1452"/>
      <c r="DB66" s="1452"/>
      <c r="DC66" s="1452"/>
      <c r="DD66" s="1455"/>
      <c r="DE66" s="1455"/>
      <c r="DF66" s="1455"/>
      <c r="DG66" s="1455"/>
      <c r="DH66" s="1455"/>
      <c r="DI66" s="1452"/>
      <c r="DJ66" s="1455"/>
      <c r="DK66" s="1455"/>
      <c r="DL66" s="1452"/>
      <c r="DM66" s="1452"/>
      <c r="DN66" s="1455"/>
      <c r="DO66" s="1455"/>
      <c r="DP66" s="1455"/>
      <c r="DQ66" s="1455"/>
      <c r="DR66" s="1452"/>
      <c r="DS66" s="1455"/>
      <c r="DT66" s="1455"/>
      <c r="DU66" s="1455"/>
      <c r="DV66" s="1455"/>
      <c r="DW66" s="1455"/>
      <c r="DX66" s="1455"/>
      <c r="DY66" s="1455"/>
      <c r="DZ66" s="1455"/>
      <c r="EA66" s="1455"/>
      <c r="EB66" s="1455"/>
      <c r="EC66" s="1455"/>
      <c r="ED66" s="1455"/>
      <c r="EE66" s="1455"/>
      <c r="EF66" s="1455"/>
      <c r="EG66" s="1455"/>
      <c r="EH66" s="1455"/>
      <c r="EI66" s="1455"/>
      <c r="EJ66" s="1452"/>
      <c r="EK66" s="1455"/>
      <c r="EL66" s="1455"/>
      <c r="EM66" s="1455"/>
      <c r="EN66" s="1452"/>
      <c r="EO66" s="1455"/>
      <c r="EP66" s="1455"/>
      <c r="EQ66" s="1455"/>
      <c r="ER66" s="1455"/>
      <c r="ES66" s="1455"/>
      <c r="ET66" s="1455"/>
      <c r="EU66" s="1452"/>
      <c r="EV66" s="1455"/>
      <c r="EW66" s="1455"/>
      <c r="EX66" s="1455"/>
      <c r="EY66" s="1455"/>
      <c r="EZ66" s="1455"/>
      <c r="FA66" s="1455"/>
      <c r="FB66" s="1455"/>
      <c r="FC66" s="1455"/>
      <c r="FD66" s="1455"/>
      <c r="FE66" s="1455"/>
      <c r="FF66" s="1452"/>
      <c r="FG66" s="1455"/>
      <c r="FH66" s="1455"/>
      <c r="FI66" s="1455"/>
      <c r="FJ66" s="1455"/>
      <c r="FK66" s="1455"/>
      <c r="FL66" s="1455"/>
      <c r="FM66" s="1455"/>
      <c r="FN66" s="1455"/>
      <c r="FO66" s="1455"/>
      <c r="FP66" s="1455"/>
      <c r="FQ66" s="1455"/>
      <c r="FR66" s="1455"/>
      <c r="FS66" s="1455"/>
      <c r="FT66" s="1452"/>
      <c r="FU66" s="1452"/>
      <c r="FV66" s="1452"/>
      <c r="FW66" s="1455"/>
      <c r="FX66" s="1452"/>
      <c r="FY66" s="1455"/>
      <c r="FZ66" s="1455"/>
      <c r="GA66" s="1455"/>
      <c r="GB66" s="1455"/>
      <c r="GC66" s="1455"/>
      <c r="GD66" s="1455"/>
      <c r="GE66" s="1452"/>
      <c r="GF66" s="1452"/>
      <c r="GG66" s="1452"/>
      <c r="GH66" s="1455"/>
      <c r="GI66" s="1455"/>
      <c r="GJ66" s="1452"/>
      <c r="GK66" s="1455"/>
      <c r="GL66" s="1455"/>
      <c r="GM66" s="1455"/>
      <c r="GN66" s="1455"/>
      <c r="GO66" s="1455"/>
      <c r="GP66" s="1455"/>
      <c r="GQ66" s="1455"/>
      <c r="GR66" s="1455"/>
      <c r="GS66" s="1455"/>
      <c r="GT66" s="1455"/>
      <c r="GU66" s="1455"/>
      <c r="GV66" s="1455"/>
      <c r="GW66" s="1452"/>
      <c r="GX66" s="1452"/>
      <c r="GY66" s="1455"/>
      <c r="GZ66" s="1455"/>
      <c r="HA66" s="1455"/>
      <c r="HB66" s="1452"/>
      <c r="HC66" s="1455"/>
      <c r="HD66" s="1452"/>
      <c r="HE66" s="1455"/>
      <c r="HF66" s="1452"/>
      <c r="HG66" s="1452"/>
      <c r="HH66" s="1455"/>
      <c r="HI66" s="1455"/>
      <c r="HJ66" s="1455"/>
      <c r="HK66" s="1455"/>
      <c r="HL66" s="1455"/>
      <c r="HM66" s="1455"/>
      <c r="HN66" s="1455"/>
      <c r="HO66" s="1455"/>
      <c r="HP66" s="1455"/>
      <c r="HQ66" s="1455"/>
      <c r="HR66" s="1455"/>
      <c r="HS66" s="1452"/>
      <c r="HT66" s="1455"/>
      <c r="HU66" s="1455"/>
      <c r="HV66" s="1455"/>
      <c r="HW66" s="1455"/>
      <c r="HX66" s="1455"/>
      <c r="HY66" s="1455"/>
      <c r="HZ66" s="1452"/>
      <c r="IA66" s="1455"/>
      <c r="IB66" s="1455"/>
      <c r="IC66" s="1455"/>
      <c r="ID66" s="1455"/>
      <c r="IE66" s="1455"/>
      <c r="IF66" s="1455"/>
      <c r="IG66" s="1455"/>
      <c r="IH66" s="1455"/>
      <c r="II66" s="1455"/>
      <c r="IJ66" s="1455"/>
      <c r="IK66" s="1455"/>
      <c r="IL66" s="1455"/>
      <c r="IM66" s="1455"/>
      <c r="IN66" s="1455"/>
      <c r="IO66" s="1452"/>
      <c r="IP66" s="1455"/>
      <c r="IQ66" s="1455"/>
      <c r="IR66" s="1455"/>
      <c r="IS66" s="1455"/>
      <c r="IT66" s="1455"/>
      <c r="IU66" s="1455"/>
      <c r="IV66" s="1455"/>
      <c r="IW66" s="1455"/>
      <c r="IX66" s="1452"/>
      <c r="IY66" s="1453"/>
      <c r="IZ66" s="1452"/>
      <c r="JA66" s="1452"/>
      <c r="JB66" s="1452"/>
      <c r="JC66" s="1452"/>
      <c r="JD66" s="1452"/>
      <c r="JE66" s="1452"/>
      <c r="JF66" s="1452"/>
      <c r="JG66" s="1452"/>
      <c r="JH66" s="1455"/>
      <c r="JI66" s="1455"/>
      <c r="JJ66" s="1455"/>
      <c r="JK66" s="1455"/>
      <c r="JL66" s="1455"/>
      <c r="JM66" s="1455"/>
      <c r="JN66" s="1455"/>
      <c r="JO66" s="1455"/>
      <c r="JP66" s="1455"/>
      <c r="JQ66" s="1501"/>
      <c r="JR66" s="351"/>
      <c r="JS66" s="1400" t="s">
        <v>3820</v>
      </c>
      <c r="JT66" s="1385" t="s">
        <v>2242</v>
      </c>
    </row>
    <row r="67" spans="1:280" ht="40" x14ac:dyDescent="0.25">
      <c r="A67" s="1367">
        <v>67</v>
      </c>
      <c r="B67" s="1411" t="str">
        <f t="shared" si="2"/>
        <v/>
      </c>
      <c r="C67" s="1628" t="s">
        <v>3821</v>
      </c>
      <c r="D67" s="1531" t="s">
        <v>3822</v>
      </c>
      <c r="E67" s="2554">
        <f>MAX(0,(E44+E48+E49+E56+E57)-(E50+E51+E52+E53+E54+E55+E58+E62+E64+E65+E66))</f>
        <v>8498</v>
      </c>
      <c r="F67" s="2554">
        <f>MAX(0,(F44+F48+F49+F56+F57)-(F50+F51+F52+F53+F54+F55+F58+F62+F64+F65+F66))</f>
        <v>15400</v>
      </c>
      <c r="G67" s="2554"/>
      <c r="H67" s="2554"/>
      <c r="I67" s="2554"/>
      <c r="J67" s="2554"/>
      <c r="K67" s="2554"/>
      <c r="L67" s="2554"/>
      <c r="M67" s="2554">
        <f>MAX(0,(M44+M48+M49+M56+M57)-(M50+M51+M52+M53+M54+M55+M58+M62+M64+M65+M66))</f>
        <v>6600</v>
      </c>
      <c r="N67" s="2554"/>
      <c r="O67" s="2554">
        <f>MAX(0,(O44+O48+O49+O56+O57)-(O50+O51+O52+O53+O54+O55+O58+O62+O64+O65+O66))</f>
        <v>5475</v>
      </c>
      <c r="P67" s="2554"/>
      <c r="Q67" s="2554">
        <f>MAX(0,(Q44+Q48+Q49+Q56+Q57)-(Q50+Q51+Q52+Q53+Q54+Q55+Q58+Q62+Q64+Q65+Q66))</f>
        <v>697</v>
      </c>
      <c r="R67" s="2554"/>
      <c r="S67" s="2554"/>
      <c r="T67" s="2554">
        <f>MAX(0,(T44+T48+T49+T56+T57)-(T50+T51+T52+T53+T54+T55+T58+T62+T64+T65+T66))</f>
        <v>64207</v>
      </c>
      <c r="U67" s="2554">
        <f>MAX(0,(U44+U48+U49+U56+U57)-(U50+U51+U52+U53+U54+U55+U58+U62+U64+U65+U66))</f>
        <v>14600</v>
      </c>
      <c r="V67" s="2554"/>
      <c r="W67" s="2554"/>
      <c r="X67" s="2554"/>
      <c r="Y67" s="2554"/>
      <c r="Z67" s="2554">
        <f>MAX(0,(Z44+Z48+Z49+Z56+Z57)-(Z50+Z51+Z52+Z53+Z54+Z55+Z58+Z62+Z64+Z65+Z66))</f>
        <v>45497</v>
      </c>
      <c r="AA67" s="2554">
        <f>MAX(0,(AA44+AA48+AA49+AA56+AA57)-(AA50+AA51+AA52+AA53+AA54+AA55+AA58+AA62+AA64+AA65+AA66))</f>
        <v>5915</v>
      </c>
      <c r="AB67" s="2554"/>
      <c r="AC67" s="2554">
        <f>MAX(0,(AC44+AC48+AC49+AC56+AC57)-(AC50+AC51+AC52+AC53+AC54+AC55+AC58+AC62+AC64+AC65+AC66))</f>
        <v>3600</v>
      </c>
      <c r="AD67" s="2554"/>
      <c r="AE67" s="2554">
        <f>MAX(0,(AE44+AE48+AE49+AE56+AE57)-(AE45+AE50+AE51+AE52+AE53+AE54+AE55+AE58+AE62+AE64+AE65+AE66))</f>
        <v>9000</v>
      </c>
      <c r="AF67" s="2554"/>
      <c r="AG67" s="2554"/>
      <c r="AH67" s="2554"/>
      <c r="AI67" s="2554"/>
      <c r="AJ67" s="2554"/>
      <c r="AK67" s="2554">
        <f>MAX(0,(AK44+AK48+AK49+AK56+AK57)-(AK45+AK50+AK51+AK52+AK53+AK54+AK55+AK58+AK62+AK64+AK65+AK66))</f>
        <v>20895</v>
      </c>
      <c r="AL67" s="2554"/>
      <c r="AM67" s="2554"/>
      <c r="AN67" s="2554">
        <f>MAX(0,(AN44+AN48+AN49+AN56+AN57)-(AN45+AN50+AN51+AN52+AN53+AN54+AN55+AN58+AN62+AN64+AN65+AN66))</f>
        <v>10155</v>
      </c>
      <c r="AO67" s="2554">
        <f>MAX(0,(AO44+AO48+AO49+AO56+AO57)-(AO45+AO50+AO51+AO52+AO53+AO54+AO55+AO58+AO62+AO64+AO65+AO66))</f>
        <v>500</v>
      </c>
      <c r="AP67" s="2554"/>
      <c r="AQ67" s="2554">
        <f>MAX(0,(AQ44+AQ48+AQ49+AQ56+AQ57)-(AQ45+AQ50+AQ51+AQ52+AQ53+AQ54+AQ55+AQ58+AQ62+AQ64+AQ65+AQ66))</f>
        <v>0</v>
      </c>
      <c r="AR67" s="2554"/>
      <c r="AS67" s="2554">
        <f>MAX(0,(AS44+AS48+AS49+AS56+AS57)-(AS45+AS50+AS51+AS52+AS53+AS54+AS55+AS58+AS62+AS64+AS65+AS66+AS60+AS61+AS63))</f>
        <v>166409</v>
      </c>
      <c r="AT67" s="2554"/>
      <c r="AU67" s="2554"/>
      <c r="AV67" s="2554"/>
      <c r="AW67" s="2554">
        <f>MAX(0,(AW44+AW48+AW49+AW56+AW57)-(AW50+AW51+AW52+AW53+AW54+AW55+AW58+AW62+AW64+AW65+AW66))</f>
        <v>29276</v>
      </c>
      <c r="AX67" s="2554"/>
      <c r="AY67" s="2554">
        <f>MAX(0,(AY44+AY48+AY49+AY56+AY57)-(AY50+AY51+AY52+AY53+AY54+AY55+AY58+AY62+AY64+AY65+AY66))</f>
        <v>10883</v>
      </c>
      <c r="AZ67" s="2554">
        <f>MAX(0,(AZ44+AZ48+AZ49+AZ56+AZ57)-(AZ50+AZ51+AZ52+AZ53+AZ54+AZ55+AZ58+AZ62+AZ64+AZ65+AZ66))</f>
        <v>29276</v>
      </c>
      <c r="BA67" s="2554"/>
      <c r="BB67" s="1503">
        <f>MAX(0,(BB44+BB48+BB49+BB56+BB57)-(BB50+BB51+BB52+BB53+BB54+BB55+BB58+BB62+BB64+BB65+BB66))</f>
        <v>14497</v>
      </c>
      <c r="BC67" s="2554"/>
      <c r="BD67" s="2554">
        <f>MAX(0,(BD44+BD48+BD49+BD56+BD57)-(BD50+BD51+BD52+BD53+BD54+BD55+BD58+BD62+BD64+BD65+BD66))</f>
        <v>3600</v>
      </c>
      <c r="BE67" s="2554"/>
      <c r="BF67" s="2554"/>
      <c r="BG67" s="2554">
        <f>MAX(0,(BG44+BG48+BG49+BG56+BG57)-(BG50+BG51+BG52+BG53+BG54+BG55+BG58+BG62+BG64+BG65+BG66))</f>
        <v>0</v>
      </c>
      <c r="BH67" s="2554"/>
      <c r="BI67" s="2554"/>
      <c r="BJ67" s="2554"/>
      <c r="BK67" s="2554">
        <f>MAX(0,(BK44+BK48+BK49+BK56+BK57)-(BK50+BK51+BK52+BK53+BK54+BK55+BK58+BK62+BK64+BK65+BK66))</f>
        <v>57211</v>
      </c>
      <c r="BL67" s="2554"/>
      <c r="BM67" s="2554"/>
      <c r="BN67" s="2554"/>
      <c r="BO67" s="2554"/>
      <c r="BP67" s="1503">
        <f>MAX(0,(BP44+BP48+BP49+BP56+BP57)-(BP50+BP51+BP52+BP53+BP54+BP55+BP58+BP62+BP64+BP65+BP66))</f>
        <v>11061</v>
      </c>
      <c r="BQ67" s="2554"/>
      <c r="BR67" s="2554"/>
      <c r="BS67" s="2554"/>
      <c r="BT67" s="1503"/>
      <c r="BU67" s="2554"/>
      <c r="BV67" s="1503">
        <f>MAX(0,(BV44+BV48+BV49+BV56+BV57)-(BV50+BV51+BV52+BV53+BV54+BV55+BV58+BV62+BV64+BV65+BV66))</f>
        <v>19346</v>
      </c>
      <c r="BW67" s="2554"/>
      <c r="BX67" s="2554">
        <f>MAX(0,(BX44+BX48+BX49+BX56+BX57)-(BX50+BX51+BX52+BX53+BX54+BX55+BX58+BX62+BX64+BX65+BX66))</f>
        <v>10393</v>
      </c>
      <c r="BY67" s="2554"/>
      <c r="BZ67" s="2554"/>
      <c r="CA67" s="2554"/>
      <c r="CB67" s="2554">
        <f>MAX(0,(CB44+CB48+CB49+CB56+CB57)-(CB50+CB51+CB52+CB53+CB54+CB55+CB58+CB59+CB60+CB62+CB64+CB65+CB66))</f>
        <v>251676</v>
      </c>
      <c r="CC67" s="2554">
        <f>MAX(0,(CC44+CC48+CC49+CC56+CC57)-(CC50+CC51+CC52+CC53+CC54+CC55+CC58+CC62+CC64+CC65+CC66))</f>
        <v>29276</v>
      </c>
      <c r="CD67" s="1503">
        <v>7527</v>
      </c>
      <c r="CE67" s="1630"/>
      <c r="CF67" s="1630"/>
      <c r="CG67" s="1630"/>
      <c r="CH67" s="2554">
        <f>MAX(0,(CH44+CH48+CH49+CH56+CH57)-(CH50+CH51+CH52+CH53+CH54+CH55+CH58+CH62+CH64+CH65+CH66))</f>
        <v>3600</v>
      </c>
      <c r="CI67" s="2554">
        <f>MAX(0,(CI44+CI48+CI49+CI56+CI57)-(CI50+CI51+CI52+CI53+CI54+CI55+CI58+CI62+CI64+CI65+CI66))</f>
        <v>21252</v>
      </c>
      <c r="CJ67" s="1503">
        <f>MAX(0,(CJ44+CJ48+CJ49+CJ56+CJ57)-(CJ50+CJ51+CJ52+CJ53+CJ54+CJ55+CJ58+CJ62+CJ64+CJ65+CJ66))</f>
        <v>98479</v>
      </c>
      <c r="CK67" s="1630"/>
      <c r="CL67" s="1630"/>
      <c r="CM67" s="1630"/>
      <c r="CN67" s="1630">
        <f t="shared" ref="CN67" si="3">MAX(0,(CN44+CN48+CN49+CN56+CN57)-(CN50+CN51+CN52+CN53+CN54+CN55+CN58+CN61+CN62+CN63+CN64+CN65+CN66))</f>
        <v>161255</v>
      </c>
      <c r="CO67" s="2554"/>
      <c r="CP67" s="2554"/>
      <c r="CQ67" s="1503">
        <f>MAX(0,(CQ44+CQ48+CQ49+CQ56+CQ57)-(CQ50+CQ51+CQ52+CQ53+CQ54+CQ55+CQ58+CQ62+CQ64+CQ65+CQ66))</f>
        <v>32238</v>
      </c>
      <c r="CR67" s="2554">
        <f>MAX(0,(CR44+CR48+CR49+CR56+CR57)-(CR50+CR51+CR52+CR53+CR54+CR55+CR58+CR62+CR64+CR65+CR66))</f>
        <v>36350</v>
      </c>
      <c r="CS67" s="2554">
        <f>MAX(0,(CS44+CS48+CS49+CS56+CS57)-(CS50+CS51+CS52+CS53+CS54+CS55+CS58+CS62+CS64+CS65+CS66))</f>
        <v>36350</v>
      </c>
      <c r="CT67" s="2554">
        <f>MAX(0,(CT44+CT48+CT49+CT56+CT57)-(CT50+CT51+CT52+CT53+CT54+CT55+CT58+CT62+CT64+CT65+CT66))</f>
        <v>10046</v>
      </c>
      <c r="CU67" s="1630"/>
      <c r="CV67" s="1503"/>
      <c r="CW67" s="1630"/>
      <c r="CX67" s="1630"/>
      <c r="CY67" s="1630"/>
      <c r="CZ67" s="2554">
        <f>MAX(0,(CZ44+CZ48+CZ49+CZ56+CZ57)-(CZ50+CZ51+CZ52+CZ53+CZ54+CZ55+CZ58+CZ62+CZ64+CZ65+CZ66))</f>
        <v>29276</v>
      </c>
      <c r="DA67" s="2554">
        <f>MAX(0,(DA44+DA48+DA49+DA56+DA57)-(DA50+DA51+DA52+DA53+DA54+DA55+DA58+DA62+DA64+DA65+DA66))</f>
        <v>29276</v>
      </c>
      <c r="DB67" s="2554">
        <f>MAX(0,(DB44+DB48+DB49+DB56+DB57)-(DB50+DB51+DB52+DB53+DB54+DB55+DB58+DB62+DB64+DB65+DB66))</f>
        <v>42017</v>
      </c>
      <c r="DC67" s="2554">
        <f>MAX(0,(DC44+DC48+DC49+DC56+DC57)-(DC50+DC51+DC52+DC53+DC54+DC55+DC58+DC62+DC64+DC65+DC66))</f>
        <v>18292</v>
      </c>
      <c r="DD67" s="1630"/>
      <c r="DE67" s="1630"/>
      <c r="DF67" s="1630"/>
      <c r="DG67" s="1630"/>
      <c r="DH67" s="1630"/>
      <c r="DI67" s="2554">
        <f>MAX(0,(DI44+DI48+DI49+DI56+DI57)-(DI50+DI51+DI52+DI53+DI54+DI55+DI58+DI62+DI64+DI65+DI66))</f>
        <v>0</v>
      </c>
      <c r="DJ67" s="1503">
        <f>MAX(0,(DJ44+DJ48+DJ49+DJ56+DJ57)-(DJ50+DJ51+DJ52+DJ53+DJ54+DJ55+DJ58+DJ62+DJ64+DJ65+DJ66))</f>
        <v>39867</v>
      </c>
      <c r="DK67" s="1630"/>
      <c r="DL67" s="2554">
        <f>MAX(0,(DL44+DL48+DL49+DL56+DL57)-(DL50+DL51+DL52+DL53+DL54+DL55+DL58+DL62+DL64+DL65+DL66))</f>
        <v>0</v>
      </c>
      <c r="DM67" s="2554">
        <f>MAX(0,(DM44+DM48+DM49+DM56+DM57)-(DM50+DM51+DM52+DM53+DM54+DM55+DM58+DM62+DM64+DM65+DM66))</f>
        <v>18292</v>
      </c>
      <c r="DN67" s="1630"/>
      <c r="DO67" s="1630"/>
      <c r="DP67" s="1630"/>
      <c r="DQ67" s="1630"/>
      <c r="DR67" s="1503">
        <f>MAX(0,(DR44+DR48+DR49+DR56+DR57)-(DR50+DR51+DR52+DR53+DR54+DR55+DR58+DR62+DR64+DR65+DR66))</f>
        <v>29658</v>
      </c>
      <c r="DS67" s="1630"/>
      <c r="DT67" s="1630"/>
      <c r="DU67" s="1630"/>
      <c r="DV67" s="1630"/>
      <c r="DW67" s="1630">
        <f>MAX(0,(DW44+DW48+DW49+DW56+DW57)-(DW50+DW51+DW52+DW53+DW54+DW55+DW58+DW62+DW64+DW65+DW66))</f>
        <v>2649</v>
      </c>
      <c r="DX67" s="1503">
        <f>MAX(0,(DX44+DX48+DX49+DX56+DX57)-(DX50+DX51+DX52+DX53+DX54+DX55+DX58+DX62+DX64+DX65+DX66))</f>
        <v>2091.64</v>
      </c>
      <c r="DY67" s="1504">
        <v>3800</v>
      </c>
      <c r="DZ67" s="1630"/>
      <c r="EA67" s="1630"/>
      <c r="EB67" s="1503">
        <f t="shared" ref="EB67:EH67" si="4">MAX(0,(EB44+EB48+EB49+EB56+EB57)-(EB50+EB51+EB52+EB53+EB54+EB55+EB58+EB62+EB64+EB65+EB66))</f>
        <v>10360</v>
      </c>
      <c r="EC67" s="2554"/>
      <c r="ED67" s="2554"/>
      <c r="EE67" s="1503">
        <f t="shared" si="4"/>
        <v>25595</v>
      </c>
      <c r="EF67" s="2554"/>
      <c r="EG67" s="2554"/>
      <c r="EH67" s="1503">
        <f t="shared" si="4"/>
        <v>3500</v>
      </c>
      <c r="EI67" s="2554"/>
      <c r="EJ67" s="2554">
        <f>MAX(0,(EJ44+EJ48+EJ49+EJ56+EJ57)-(EJ50+EJ51+EJ52+EJ53+EJ54+EJ55+EJ58+EJ62+EJ64+EJ65+EJ66))</f>
        <v>4500</v>
      </c>
      <c r="EK67" s="1630"/>
      <c r="EL67" s="1630"/>
      <c r="EM67" s="1630"/>
      <c r="EN67" s="1503">
        <f>MAX(0,(EN44+EN48+EN49+EN56+EN57)-(EN50+EN51+EN52+EN53+EN54+EN55+EN58+EN62+EN64+EN65+EN66))</f>
        <v>72710</v>
      </c>
      <c r="EO67" s="1503">
        <f t="shared" ref="EO67:EQ67" si="5">MAX(0,(EO44+EO48+EO49+EO56+EO57)-(EO50+EO51+EO52+EO53+EO54+EO55+EO58+EO62+EO64+EO65+EO66))</f>
        <v>21553.19</v>
      </c>
      <c r="EP67" s="1503">
        <f t="shared" si="5"/>
        <v>929</v>
      </c>
      <c r="EQ67" s="1503">
        <f t="shared" si="5"/>
        <v>13534</v>
      </c>
      <c r="ER67" s="2554"/>
      <c r="ES67" s="2554"/>
      <c r="ET67" s="1503">
        <f>MAX(0,(ET44+ET48+ET49+ET56+ET57)-(ET50+ET51+ET52+ET53+ET54+ET55+ET58+ET62+ET64+ET65+ET66))</f>
        <v>0</v>
      </c>
      <c r="EU67" s="2554">
        <f>MAX(0,(EU44+EU48+EU49+EU56+EU57)-(EU50+EU51+EU52+EU53+EU54+EU55+EU58+EU62+EU64+EU65+EU66))</f>
        <v>36350</v>
      </c>
      <c r="EV67" s="1503">
        <f t="shared" ref="EV67:FI67" si="6">MAX(0,(EV44+EV48+EV49+EV56+EV57)-(EV50+EV51+EV52+EV53+EV54+EV55+EV58+EV62+EV64+EV65+EV66))</f>
        <v>30614</v>
      </c>
      <c r="EW67" s="2554">
        <f t="shared" si="6"/>
        <v>0</v>
      </c>
      <c r="EX67" s="2554">
        <f t="shared" si="6"/>
        <v>0</v>
      </c>
      <c r="EY67" s="2554">
        <f t="shared" si="6"/>
        <v>0</v>
      </c>
      <c r="EZ67" s="1503">
        <f t="shared" si="6"/>
        <v>87874</v>
      </c>
      <c r="FA67" s="2554">
        <f t="shared" si="6"/>
        <v>0</v>
      </c>
      <c r="FB67" s="2554">
        <f t="shared" si="6"/>
        <v>0</v>
      </c>
      <c r="FC67" s="2554">
        <f t="shared" si="6"/>
        <v>0</v>
      </c>
      <c r="FD67" s="2554">
        <f t="shared" si="6"/>
        <v>0</v>
      </c>
      <c r="FE67" s="2554">
        <f t="shared" si="6"/>
        <v>0</v>
      </c>
      <c r="FF67" s="2554">
        <f t="shared" si="6"/>
        <v>3600</v>
      </c>
      <c r="FG67" s="2554">
        <f t="shared" si="6"/>
        <v>0</v>
      </c>
      <c r="FH67" s="2554">
        <f t="shared" si="6"/>
        <v>0</v>
      </c>
      <c r="FI67" s="2554">
        <f t="shared" si="6"/>
        <v>0</v>
      </c>
      <c r="FJ67" s="1630"/>
      <c r="FK67" s="1630"/>
      <c r="FL67" s="1630"/>
      <c r="FM67" s="1630"/>
      <c r="FN67" s="1630"/>
      <c r="FO67" s="1630"/>
      <c r="FP67" s="1630"/>
      <c r="FQ67" s="1630"/>
      <c r="FR67" s="1630"/>
      <c r="FS67" s="1630"/>
      <c r="FT67" s="2554">
        <f>MAX(0,(FT44+FT48+FT49+FT56+FT57)-(FT50+FT51+FT52+FT53+FT54+FT55+FT58+FT62+FT64+FT65+FT66))</f>
        <v>29276</v>
      </c>
      <c r="FU67" s="2554">
        <f>MAX(0,(FU44+FU48+FU49+FU56+FU57)-(FU50+FU51+FU52+FU53+FU54+FU55+FU58+FU62+FU64+FU65+FU66))</f>
        <v>29276</v>
      </c>
      <c r="FV67" s="1503">
        <f>MAX(0,(FV44+FV48+FV49+FV56+FV57)-(FV50+FV51+FV52+FV53+FV54+FV55+FV58+FV62+FV64+FV65+FV66))</f>
        <v>10046</v>
      </c>
      <c r="FW67" s="1630"/>
      <c r="FX67" s="2554">
        <f>MAX(0,(FX44+FX48+FX49+FX56+FX57)-(FX50+FX51+FX52+FX53+FX54+FX55+FX58+FX62+FX64+FX65+FX66))</f>
        <v>36350</v>
      </c>
      <c r="FY67" s="1630"/>
      <c r="FZ67" s="1630"/>
      <c r="GA67" s="1630"/>
      <c r="GB67" s="1630"/>
      <c r="GC67" s="1630"/>
      <c r="GD67" s="1630"/>
      <c r="GE67" s="2554">
        <f>MAX(0,(GE44+GE48+GE49+GE56+GE57)-(GE50+GE51+GE52+GE53+GE54+GE55+GE58+GE62+GE64+GE65+GE66))</f>
        <v>4500</v>
      </c>
      <c r="GF67" s="2554">
        <f>MAX(0,(GF44+GF48+GF49+GF56+GF57)-(GF50+GF51+GF52+GF53+GF54+GF55+GF58+GF62+GF64+GF65+GF66))</f>
        <v>4500</v>
      </c>
      <c r="GG67" s="2554">
        <f>MAX(0,(GG44+GG48+GG49+GG56+GG57)-(GG50+GG51+GG52+GG53+GG54+GG55+GG58+GG61+GG62+GG63+GG64+GG65+GG66))</f>
        <v>36350</v>
      </c>
      <c r="GH67" s="1630"/>
      <c r="GI67" s="1630"/>
      <c r="GJ67" s="1503">
        <f>MAX(0,(GJ44+GJ48+GJ49+GJ56+GJ57)-(GJ50+GJ51+GJ52+GJ53+GJ54+GJ55+GJ58+GJ62+GJ64+GJ65+GJ66))</f>
        <v>30625</v>
      </c>
      <c r="GK67" s="1630"/>
      <c r="GL67" s="1630"/>
      <c r="GM67" s="1630"/>
      <c r="GN67" s="1630"/>
      <c r="GO67" s="1630"/>
      <c r="GP67" s="1630"/>
      <c r="GQ67" s="1630"/>
      <c r="GR67" s="1630"/>
      <c r="GS67" s="1630"/>
      <c r="GT67" s="1630"/>
      <c r="GU67" s="1630"/>
      <c r="GV67" s="1630"/>
      <c r="GW67" s="2554">
        <f>MAX(0,(GW44+GW48+GW49+GW56+GW57)-(GW50+GW51+GW52+GW53+GW54+GW55+GW58+GW62+GW64+GW65+GW66))</f>
        <v>36350</v>
      </c>
      <c r="GX67" s="2554">
        <f>MAX(0,(GX44+GX48+GX49+GX56+GX57)-(GX50+GX51+GX52+GX53+GX54+GX55+GX58+GX62+GX64+GX65+GX66))</f>
        <v>18292</v>
      </c>
      <c r="GY67" s="1630"/>
      <c r="GZ67" s="1630"/>
      <c r="HA67" s="1630"/>
      <c r="HB67" s="1503">
        <v>34947</v>
      </c>
      <c r="HC67" s="1630"/>
      <c r="HD67" s="2554">
        <f>MAX(0,(HD44+HD48+HD49+HD56+HD57)-(HD50+HD51+HD52+HD53+HD54+HD55+HD58+HD62+HD64+HD65+HD66))</f>
        <v>1204</v>
      </c>
      <c r="HE67" s="1630"/>
      <c r="HF67" s="2554">
        <f>MAX(0,(HF44+HF48+HF49+HF56+HF57)-(HF50+HF51+HF52+HF53+HF54+HF55+HF58+HF62+HF64+HF65+HF66))</f>
        <v>3600</v>
      </c>
      <c r="HG67" s="2554">
        <f>MAX(0,(HG44+HG48+HG49+HG56+HG57)-(HG50+HG51+HG52+HG53+HG54+HG55+HG58+HG62+HG64+HG65+HG66))</f>
        <v>0</v>
      </c>
      <c r="HH67" s="1630"/>
      <c r="HI67" s="1630"/>
      <c r="HJ67" s="1630"/>
      <c r="HK67" s="1630"/>
      <c r="HL67" s="1630"/>
      <c r="HM67" s="1630"/>
      <c r="HN67" s="1630"/>
      <c r="HO67" s="1630"/>
      <c r="HP67" s="1630"/>
      <c r="HQ67" s="1630"/>
      <c r="HR67" s="2554">
        <f>MAX(0,(HR44+HR48+HR49+HR56+HR57)-(HR50+HR51+HR52+HR53+HR54+HR55+HR58+HR62+HR64+HR65+HR66))</f>
        <v>0</v>
      </c>
      <c r="HS67" s="1503">
        <f>MAX(0,(HS44+HS48+HS49+HS56+HS57)-(HS50+HS51+HS52+HS53+HS54+HS55+HS58+HS62+HS64+HS65+HS66))</f>
        <v>2162</v>
      </c>
      <c r="HT67" s="1503">
        <f>MAX(0,(HT44+HT48+HT49+HT56+HT57)-(HT50+HT51+HT52+HT53+HT54+HT55+HT58+HT62+HT64+HT65+HT66))</f>
        <v>6884</v>
      </c>
      <c r="HU67" s="1630"/>
      <c r="HV67" s="1630"/>
      <c r="HW67" s="1630"/>
      <c r="HX67" s="1630"/>
      <c r="HY67" s="1630"/>
      <c r="HZ67" s="1503">
        <f>MAX(0,(HZ44+HZ48+HZ49+HZ56+HZ57)-(HZ50+HZ51+HZ52+HZ53+HZ54+HZ55+HZ58+HZ62+HZ64+HZ65+HZ66))</f>
        <v>120789</v>
      </c>
      <c r="IA67" s="1630"/>
      <c r="IB67" s="1630"/>
      <c r="IC67" s="1630"/>
      <c r="ID67" s="2554">
        <f t="shared" ref="ID67:IF67" si="7">MAX(0,(ID44+ID48+ID49+ID56+ID57)-(ID50+ID51+ID52+ID53+ID54+ID55+ID58+ID62+ID64+ID65+ID66))</f>
        <v>0</v>
      </c>
      <c r="IE67" s="2554">
        <f t="shared" si="7"/>
        <v>0</v>
      </c>
      <c r="IF67" s="1503">
        <f t="shared" si="7"/>
        <v>9512.5</v>
      </c>
      <c r="IG67" s="2554"/>
      <c r="IH67" s="2554"/>
      <c r="II67" s="1503">
        <f>MAX(0,(II44+II48+II49+II56+II57)-(II50+II51+II52+II53+II54+II55+II58+II62+II64+II65+II66))</f>
        <v>8289</v>
      </c>
      <c r="IJ67" s="1503">
        <f>MAX(0,(IJ44+IJ48+IJ49+IJ56+IJ57)-(IJ50+IJ51+IJ52+IJ53+IJ54+IJ55+IJ58+IJ62+IJ64+IJ65+IJ66))</f>
        <v>5186.05</v>
      </c>
      <c r="IK67" s="2554"/>
      <c r="IL67" s="2554"/>
      <c r="IM67" s="2554"/>
      <c r="IN67" s="2554"/>
      <c r="IO67" s="2554">
        <f>MAX(0,(IO44+IO48+IO49+IO56+IO57)-(IO50+IO51+IO52+IO53+IO54+IO55+IO58+IO62+IO64+IO65+IO66))</f>
        <v>2551</v>
      </c>
      <c r="IP67" s="1630">
        <f>MAX(0,(IP44+IP48+IP49+IP56+IP57)-(IP50+IP51+IP52+IP53+IP54+IP55+IP58+IP62+IP64+IP65+IP66))</f>
        <v>91831</v>
      </c>
      <c r="IQ67" s="1630"/>
      <c r="IR67" s="1630"/>
      <c r="IS67" s="1630">
        <f>MAX(0,(IS44+IS48+IS49+IS56+IS57)-(IS50+IS51+IS52+IS53+IS54+IS55+IS58+IS62+IS64+IS65+IS66))</f>
        <v>1013</v>
      </c>
      <c r="IT67" s="1630">
        <f>MAX(0,(IT44+IT48+IT49+IT56+IT57)-(IT50+IT51+IT52+IT53+IT54+IT55+IT58+IT62+IT64+IT65+IT66))</f>
        <v>58249</v>
      </c>
      <c r="IU67" s="1630">
        <f>MAX(0,(IU44+IU48+IU49+IU56+IU57)-(IU50+IU51+IU52+IU53+IU54+IU55+IU58+IU62+IU64+IU65+IU66))</f>
        <v>7447</v>
      </c>
      <c r="IV67" s="1630">
        <f>MAX(0,(IV44+IV48+IV49+IV56+IV57)-(IV50+IV51+IV52+IV53+IV54+IV55+IV58+IV62+IV64+IV65+IV66))</f>
        <v>7067</v>
      </c>
      <c r="IW67" s="1630">
        <f>MAX(0,(IW44+IW48+IW49+IW56+IW57)-(IW50+IW51+IW52+IW53+IW54+IW55+IW58+IW62+IW64+IW65+IW66))</f>
        <v>14053</v>
      </c>
      <c r="IX67" s="1630"/>
      <c r="IY67" s="1630">
        <f>MAX(0,(IY44+IY48+IY49+IY56+IY57)-(IY50+IY51+IY52+IY53+IY54+IY55+IY58+IY62+IY64+IY65+IY66))</f>
        <v>0</v>
      </c>
      <c r="IZ67" s="1630"/>
      <c r="JA67" s="1630"/>
      <c r="JB67" s="1630"/>
      <c r="JC67" s="1630"/>
      <c r="JD67" s="1630"/>
      <c r="JE67" s="1503">
        <f t="shared" ref="JE67" si="8">MAX(0,(JE44+JE48+JE49+JE56+JE57)-(JE50+JE51+JE52+JE53+JE54+JE55+JE58+JE62+JE64+JE65+JE66))</f>
        <v>1315</v>
      </c>
      <c r="JF67" s="2554"/>
      <c r="JG67" s="1503">
        <f>MAX(0,(JG44+JG48+JG49+JG56+JG57)-(JG50+JG51+JG52+JG53+JG54+JG55+JG58+JG62+JG64+JG65+JG66))</f>
        <v>3882</v>
      </c>
      <c r="JH67" s="1630">
        <f>MAX(0,(JH44+JH48+JH49+JH56+JH57)-(JH50+JH51+JH52+JH53+JH54+JH55+JH58+JH62+JH64+JH65+JH66))</f>
        <v>18449</v>
      </c>
      <c r="JI67" s="1630">
        <f>MAX(0,(JI44+JI48+JI49+JI56+JI57)-(JI50+JI51+JI52+JI53+JI54+JI55+JI58+JI62+JI64+JI65+JI66))</f>
        <v>18449</v>
      </c>
      <c r="JJ67" s="1630"/>
      <c r="JK67" s="1630">
        <f>MAX(0,(JK44+JK48+JK49+JK56+JK57)-(JK50+JK51+JK52+JK53+JK54+JK55+JK58+JK62+JK64+JK65+JK66))</f>
        <v>1082</v>
      </c>
      <c r="JL67" s="1630">
        <f>MAX(0,(JL44+JL48+JL49+JL56+JL57)-(JL50+JL51+JL52+JL53+JL54+JL55+JL58+JL62+JL64+JL65+JL66))</f>
        <v>73048</v>
      </c>
      <c r="JM67" s="1630"/>
      <c r="JN67" s="1630"/>
      <c r="JO67" s="1630"/>
      <c r="JP67" s="1630"/>
      <c r="JQ67" s="2555">
        <f>MAX(0,(JQ44+JQ48+JQ49+JQ56+JQ57)-(JQ50+JQ51+JQ52+JQ53+JQ54+JQ55+JQ58+JQ62+JQ64+JQ65+JQ66))</f>
        <v>67185</v>
      </c>
      <c r="JR67" s="351"/>
      <c r="JS67" s="1400" t="s">
        <v>3823</v>
      </c>
      <c r="JT67" s="1385" t="s">
        <v>2224</v>
      </c>
    </row>
    <row r="68" spans="1:280" ht="12.5" x14ac:dyDescent="0.25">
      <c r="A68" s="1367">
        <v>68</v>
      </c>
      <c r="B68" s="1411" t="str">
        <f t="shared" si="2"/>
        <v/>
      </c>
      <c r="C68" s="1628" t="s">
        <v>3824</v>
      </c>
      <c r="D68" s="1531" t="s">
        <v>3825</v>
      </c>
      <c r="E68" s="1452">
        <v>1022</v>
      </c>
      <c r="F68" s="1452">
        <v>2700</v>
      </c>
      <c r="G68" s="1452"/>
      <c r="H68" s="1452"/>
      <c r="I68" s="1452"/>
      <c r="J68" s="1452"/>
      <c r="K68" s="1452"/>
      <c r="L68" s="1452"/>
      <c r="M68" s="1452"/>
      <c r="N68" s="1452"/>
      <c r="O68" s="1452"/>
      <c r="P68" s="1452"/>
      <c r="Q68" s="1452">
        <v>697</v>
      </c>
      <c r="R68" s="1452"/>
      <c r="S68" s="1452"/>
      <c r="T68" s="1452">
        <v>1197</v>
      </c>
      <c r="U68" s="1452"/>
      <c r="V68" s="1452"/>
      <c r="W68" s="1452"/>
      <c r="X68" s="1452"/>
      <c r="Y68" s="1452"/>
      <c r="Z68" s="1452"/>
      <c r="AA68" s="1452"/>
      <c r="AB68" s="1452"/>
      <c r="AC68" s="1452"/>
      <c r="AD68" s="1452"/>
      <c r="AE68" s="1452"/>
      <c r="AF68" s="1452"/>
      <c r="AG68" s="1452"/>
      <c r="AH68" s="1452"/>
      <c r="AI68" s="1452"/>
      <c r="AJ68" s="1452"/>
      <c r="AK68" s="1452"/>
      <c r="AL68" s="1452"/>
      <c r="AM68" s="1452"/>
      <c r="AN68" s="1452"/>
      <c r="AO68" s="1452"/>
      <c r="AP68" s="1452"/>
      <c r="AQ68" s="1452"/>
      <c r="AR68" s="1452"/>
      <c r="AS68" s="1452">
        <v>165400</v>
      </c>
      <c r="AT68" s="1452"/>
      <c r="AU68" s="1452"/>
      <c r="AV68" s="1452"/>
      <c r="AW68" s="1452">
        <v>2691</v>
      </c>
      <c r="AX68" s="1452"/>
      <c r="AY68" s="1454"/>
      <c r="AZ68" s="1452">
        <v>2691</v>
      </c>
      <c r="BA68" s="1452"/>
      <c r="BB68" s="1452"/>
      <c r="BC68" s="1452"/>
      <c r="BD68" s="1452"/>
      <c r="BE68" s="1452"/>
      <c r="BF68" s="1452"/>
      <c r="BG68" s="1452"/>
      <c r="BH68" s="1452"/>
      <c r="BI68" s="1452"/>
      <c r="BJ68" s="1452"/>
      <c r="BK68" s="1452"/>
      <c r="BL68" s="1452"/>
      <c r="BM68" s="1452"/>
      <c r="BN68" s="1452"/>
      <c r="BO68" s="1452"/>
      <c r="BP68" s="1452"/>
      <c r="BQ68" s="1452"/>
      <c r="BR68" s="1452"/>
      <c r="BS68" s="1452"/>
      <c r="BT68" s="1452"/>
      <c r="BU68" s="1452"/>
      <c r="BV68" s="1452"/>
      <c r="BW68" s="1452"/>
      <c r="BX68" s="1452">
        <v>7462</v>
      </c>
      <c r="BY68" s="1452"/>
      <c r="BZ68" s="1452"/>
      <c r="CA68" s="1452"/>
      <c r="CB68" s="1452"/>
      <c r="CC68" s="1452">
        <v>2691</v>
      </c>
      <c r="CD68" s="1452"/>
      <c r="CE68" s="1455"/>
      <c r="CF68" s="1455"/>
      <c r="CG68" s="1455"/>
      <c r="CH68" s="1452"/>
      <c r="CI68" s="1452"/>
      <c r="CJ68" s="1455"/>
      <c r="CK68" s="1455"/>
      <c r="CL68" s="1455"/>
      <c r="CM68" s="1455"/>
      <c r="CN68" s="1455"/>
      <c r="CO68" s="1455"/>
      <c r="CP68" s="1455"/>
      <c r="CQ68" s="1452"/>
      <c r="CR68" s="1452"/>
      <c r="CS68" s="1452"/>
      <c r="CT68" s="1452"/>
      <c r="CU68" s="1455"/>
      <c r="CV68" s="1452"/>
      <c r="CW68" s="1455"/>
      <c r="CX68" s="1455"/>
      <c r="CY68" s="1455"/>
      <c r="CZ68" s="1452">
        <v>2691</v>
      </c>
      <c r="DA68" s="1452">
        <v>2691</v>
      </c>
      <c r="DB68" s="1452"/>
      <c r="DC68" s="1452">
        <v>7462</v>
      </c>
      <c r="DD68" s="1455"/>
      <c r="DE68" s="1455"/>
      <c r="DF68" s="1455"/>
      <c r="DG68" s="1455"/>
      <c r="DH68" s="1455"/>
      <c r="DI68" s="1452"/>
      <c r="DJ68" s="1455"/>
      <c r="DK68" s="1455"/>
      <c r="DL68" s="1452"/>
      <c r="DM68" s="1452">
        <v>7462</v>
      </c>
      <c r="DN68" s="1455"/>
      <c r="DO68" s="1455"/>
      <c r="DP68" s="1455"/>
      <c r="DQ68" s="1455"/>
      <c r="DR68" s="1452"/>
      <c r="DS68" s="1455"/>
      <c r="DT68" s="1455"/>
      <c r="DU68" s="1455"/>
      <c r="DV68" s="1455"/>
      <c r="DW68" s="1455"/>
      <c r="DX68" s="1455"/>
      <c r="DY68" s="1455"/>
      <c r="DZ68" s="1455"/>
      <c r="EA68" s="1455"/>
      <c r="EB68" s="1455"/>
      <c r="EC68" s="1455"/>
      <c r="ED68" s="1455"/>
      <c r="EE68" s="1455"/>
      <c r="EF68" s="1455"/>
      <c r="EG68" s="1455"/>
      <c r="EH68" s="1455"/>
      <c r="EI68" s="1455"/>
      <c r="EJ68" s="1452"/>
      <c r="EK68" s="1455"/>
      <c r="EL68" s="1455"/>
      <c r="EM68" s="1455"/>
      <c r="EN68" s="1452"/>
      <c r="EO68" s="1455"/>
      <c r="EP68" s="1455"/>
      <c r="EQ68" s="1455"/>
      <c r="ER68" s="1455"/>
      <c r="ES68" s="1455"/>
      <c r="ET68" s="1455"/>
      <c r="EU68" s="1452"/>
      <c r="EV68" s="1455"/>
      <c r="EW68" s="1455"/>
      <c r="EX68" s="1455"/>
      <c r="EY68" s="1455"/>
      <c r="EZ68" s="1455"/>
      <c r="FA68" s="1455"/>
      <c r="FB68" s="1455"/>
      <c r="FC68" s="1455"/>
      <c r="FD68" s="1455"/>
      <c r="FE68" s="1455"/>
      <c r="FF68" s="1452"/>
      <c r="FG68" s="1455"/>
      <c r="FH68" s="1455"/>
      <c r="FI68" s="1455"/>
      <c r="FJ68" s="1455"/>
      <c r="FK68" s="1455"/>
      <c r="FL68" s="1455"/>
      <c r="FM68" s="1455"/>
      <c r="FN68" s="1455"/>
      <c r="FO68" s="1455"/>
      <c r="FP68" s="1455"/>
      <c r="FQ68" s="1455"/>
      <c r="FR68" s="1455"/>
      <c r="FS68" s="1455"/>
      <c r="FT68" s="1452">
        <v>2691</v>
      </c>
      <c r="FU68" s="1452">
        <v>2691</v>
      </c>
      <c r="FV68" s="1452"/>
      <c r="FW68" s="1455"/>
      <c r="FX68" s="1452"/>
      <c r="FY68" s="1455"/>
      <c r="FZ68" s="1455"/>
      <c r="GA68" s="1455"/>
      <c r="GB68" s="1455"/>
      <c r="GC68" s="1455"/>
      <c r="GD68" s="1455"/>
      <c r="GE68" s="1452"/>
      <c r="GF68" s="1452"/>
      <c r="GG68" s="1452"/>
      <c r="GH68" s="1455"/>
      <c r="GI68" s="1455"/>
      <c r="GJ68" s="1452"/>
      <c r="GK68" s="1455"/>
      <c r="GL68" s="1455"/>
      <c r="GM68" s="1455"/>
      <c r="GN68" s="1455"/>
      <c r="GO68" s="1455"/>
      <c r="GP68" s="1455"/>
      <c r="GQ68" s="1455"/>
      <c r="GR68" s="1455"/>
      <c r="GS68" s="1455"/>
      <c r="GT68" s="1455"/>
      <c r="GU68" s="1455"/>
      <c r="GV68" s="1455"/>
      <c r="GW68" s="1452"/>
      <c r="GX68" s="1452">
        <v>7462</v>
      </c>
      <c r="GY68" s="1455"/>
      <c r="GZ68" s="1455"/>
      <c r="HA68" s="1455"/>
      <c r="HB68" s="1452"/>
      <c r="HC68" s="1455"/>
      <c r="HD68" s="1452">
        <v>1204</v>
      </c>
      <c r="HE68" s="1455"/>
      <c r="HF68" s="1452"/>
      <c r="HG68" s="1452"/>
      <c r="HH68" s="1455"/>
      <c r="HI68" s="1455"/>
      <c r="HJ68" s="1455"/>
      <c r="HK68" s="1455"/>
      <c r="HL68" s="1455"/>
      <c r="HM68" s="1455"/>
      <c r="HN68" s="1455"/>
      <c r="HO68" s="1455"/>
      <c r="HP68" s="1455"/>
      <c r="HQ68" s="1455"/>
      <c r="HR68" s="1452"/>
      <c r="HS68" s="1452"/>
      <c r="HT68" s="1455"/>
      <c r="HU68" s="1455"/>
      <c r="HV68" s="1455"/>
      <c r="HW68" s="1455"/>
      <c r="HX68" s="1455"/>
      <c r="HY68" s="1455"/>
      <c r="HZ68" s="1472">
        <v>30000</v>
      </c>
      <c r="IA68" s="1455"/>
      <c r="IB68" s="1455"/>
      <c r="IC68" s="1455"/>
      <c r="ID68" s="1455"/>
      <c r="IE68" s="1455"/>
      <c r="IF68" s="1455"/>
      <c r="IG68" s="1455"/>
      <c r="IH68" s="1455"/>
      <c r="II68" s="1455"/>
      <c r="IJ68" s="1455"/>
      <c r="IK68" s="1455"/>
      <c r="IL68" s="1455"/>
      <c r="IM68" s="1455"/>
      <c r="IN68" s="1455"/>
      <c r="IO68" s="1452"/>
      <c r="IP68" s="1455"/>
      <c r="IQ68" s="1455"/>
      <c r="IR68" s="1455"/>
      <c r="IS68" s="1455"/>
      <c r="IT68" s="1455">
        <v>58249</v>
      </c>
      <c r="IU68" s="1455">
        <v>7447</v>
      </c>
      <c r="IV68" s="1455"/>
      <c r="IW68" s="1455"/>
      <c r="IX68" s="1455"/>
      <c r="IY68" s="1452"/>
      <c r="IZ68" s="1455"/>
      <c r="JA68" s="1455"/>
      <c r="JB68" s="1455"/>
      <c r="JC68" s="1455"/>
      <c r="JD68" s="1455"/>
      <c r="JE68" s="1452"/>
      <c r="JF68" s="1452"/>
      <c r="JG68" s="1452"/>
      <c r="JH68" s="1455"/>
      <c r="JI68" s="1455"/>
      <c r="JJ68" s="1455"/>
      <c r="JK68" s="1455"/>
      <c r="JL68" s="1455"/>
      <c r="JM68" s="1455"/>
      <c r="JN68" s="1455"/>
      <c r="JO68" s="1455"/>
      <c r="JP68" s="1455"/>
      <c r="JQ68" s="1501">
        <v>1798</v>
      </c>
      <c r="JR68" s="351"/>
      <c r="JS68" s="1400" t="s">
        <v>3826</v>
      </c>
      <c r="JT68" s="1385" t="s">
        <v>2242</v>
      </c>
    </row>
    <row r="69" spans="1:280" ht="20" x14ac:dyDescent="0.25">
      <c r="A69" s="1367">
        <v>69</v>
      </c>
      <c r="B69" s="1411" t="str">
        <f t="shared" si="2"/>
        <v/>
      </c>
      <c r="C69" s="1628" t="s">
        <v>3827</v>
      </c>
      <c r="D69" s="1531" t="s">
        <v>3828</v>
      </c>
      <c r="E69" s="1479">
        <f>MAX(0,E67-E68)</f>
        <v>7476</v>
      </c>
      <c r="F69" s="1479">
        <f>MAX(0,F67-F68)</f>
        <v>12700</v>
      </c>
      <c r="G69" s="1479"/>
      <c r="H69" s="1479"/>
      <c r="I69" s="1479"/>
      <c r="J69" s="1479"/>
      <c r="K69" s="1479"/>
      <c r="L69" s="1479"/>
      <c r="M69" s="1479">
        <f>MAX(0,M67-M68)</f>
        <v>6600</v>
      </c>
      <c r="N69" s="1479"/>
      <c r="O69" s="1479">
        <f>MAX(0,O67-O68)</f>
        <v>5475</v>
      </c>
      <c r="P69" s="1479"/>
      <c r="Q69" s="1479">
        <f>MAX(0,Q67-Q68)</f>
        <v>0</v>
      </c>
      <c r="R69" s="1479"/>
      <c r="S69" s="1479"/>
      <c r="T69" s="1479">
        <f>MAX(0,T67-T68)</f>
        <v>63010</v>
      </c>
      <c r="U69" s="1479">
        <f>MAX(0,U67-U68)</f>
        <v>14600</v>
      </c>
      <c r="V69" s="1479"/>
      <c r="W69" s="1479"/>
      <c r="X69" s="1479"/>
      <c r="Y69" s="1479"/>
      <c r="Z69" s="1479">
        <f>MAX(0,Z67-Z68)</f>
        <v>45497</v>
      </c>
      <c r="AA69" s="1479">
        <f>MAX(0,AA67-AA68)</f>
        <v>5915</v>
      </c>
      <c r="AB69" s="1479"/>
      <c r="AC69" s="1479">
        <f>MAX(0,AC67-AC68)</f>
        <v>3600</v>
      </c>
      <c r="AD69" s="1479"/>
      <c r="AE69" s="1479">
        <f>MAX(0,AE67-AE68)</f>
        <v>9000</v>
      </c>
      <c r="AF69" s="1479"/>
      <c r="AG69" s="1479"/>
      <c r="AH69" s="1479"/>
      <c r="AI69" s="1479"/>
      <c r="AJ69" s="1479"/>
      <c r="AK69" s="1479">
        <f>MAX(0,AK67-AK68)</f>
        <v>20895</v>
      </c>
      <c r="AL69" s="1479"/>
      <c r="AM69" s="1479"/>
      <c r="AN69" s="1479">
        <f>MAX(0,AN67-AN68)</f>
        <v>10155</v>
      </c>
      <c r="AO69" s="1479">
        <f>MAX(0,AO67-AO68)</f>
        <v>500</v>
      </c>
      <c r="AP69" s="1479"/>
      <c r="AQ69" s="1479">
        <f t="shared" ref="AQ69" si="9">MAX(0,AQ67-AQ68)</f>
        <v>0</v>
      </c>
      <c r="AR69" s="1479"/>
      <c r="AS69" s="1479">
        <f>MAX(0,AS67-AS68)</f>
        <v>1009</v>
      </c>
      <c r="AT69" s="1479"/>
      <c r="AU69" s="1479"/>
      <c r="AV69" s="1479"/>
      <c r="AW69" s="1479">
        <f>MAX(0,AW67-AW68)</f>
        <v>26585</v>
      </c>
      <c r="AX69" s="1479"/>
      <c r="AY69" s="1503">
        <f>MAX(0,AY67-AY68)</f>
        <v>10883</v>
      </c>
      <c r="AZ69" s="1479">
        <f>MAX(0,AZ67-AZ68)</f>
        <v>26585</v>
      </c>
      <c r="BA69" s="1479"/>
      <c r="BB69" s="1503">
        <f t="shared" ref="BB69" si="10">MAX(0,BB67-BB68)</f>
        <v>14497</v>
      </c>
      <c r="BC69" s="1479"/>
      <c r="BD69" s="1479">
        <f>MAX(0,BD67-BD68)</f>
        <v>3600</v>
      </c>
      <c r="BE69" s="1479"/>
      <c r="BF69" s="1479"/>
      <c r="BG69" s="1479">
        <f>MAX(0,BG67-BG68)</f>
        <v>0</v>
      </c>
      <c r="BH69" s="1479"/>
      <c r="BI69" s="1479"/>
      <c r="BJ69" s="1479"/>
      <c r="BK69" s="1479">
        <f>MAX(0,BK67-BK68)</f>
        <v>57211</v>
      </c>
      <c r="BL69" s="1479"/>
      <c r="BM69" s="1479"/>
      <c r="BN69" s="1479"/>
      <c r="BO69" s="1479"/>
      <c r="BP69" s="1503">
        <f t="shared" ref="BP69" si="11">MAX(0,BP67-BP68)</f>
        <v>11061</v>
      </c>
      <c r="BQ69" s="1479"/>
      <c r="BR69" s="1479"/>
      <c r="BS69" s="1479"/>
      <c r="BT69" s="1503"/>
      <c r="BU69" s="1479"/>
      <c r="BV69" s="1503">
        <f>MAX(0,BV67-BV68)</f>
        <v>19346</v>
      </c>
      <c r="BW69" s="1479"/>
      <c r="BX69" s="1479">
        <f>MAX(0,BX67-BX68)</f>
        <v>2931</v>
      </c>
      <c r="BY69" s="1479"/>
      <c r="BZ69" s="1479"/>
      <c r="CA69" s="1479"/>
      <c r="CB69" s="1479">
        <f>MAX(0,CB67-CB68)</f>
        <v>251676</v>
      </c>
      <c r="CC69" s="1479">
        <f>MAX(0,CC67-CC68)</f>
        <v>26585</v>
      </c>
      <c r="CD69" s="1503">
        <f>MAX(0,CD67-CD68)</f>
        <v>7527</v>
      </c>
      <c r="CE69" s="1630"/>
      <c r="CF69" s="1630"/>
      <c r="CG69" s="1630"/>
      <c r="CH69" s="1479">
        <f>MAX(0,CH67-CH68)</f>
        <v>3600</v>
      </c>
      <c r="CI69" s="1479">
        <f>MAX(0,CI67-CI68)</f>
        <v>21252</v>
      </c>
      <c r="CJ69" s="1503">
        <f t="shared" ref="CJ69" si="12">MAX(0,CJ67-CJ68)</f>
        <v>98479</v>
      </c>
      <c r="CK69" s="1630"/>
      <c r="CL69" s="1630"/>
      <c r="CM69" s="1630"/>
      <c r="CN69" s="1630">
        <f t="shared" ref="CN69" si="13">MAX(0,CN67-CN68)</f>
        <v>161255</v>
      </c>
      <c r="CO69" s="1479"/>
      <c r="CP69" s="1479"/>
      <c r="CQ69" s="1503">
        <f>MAX(0,CQ67-CQ68)</f>
        <v>32238</v>
      </c>
      <c r="CR69" s="2554">
        <f>MAX(0,CR67-CR68)</f>
        <v>36350</v>
      </c>
      <c r="CS69" s="2554">
        <f>MAX(0,CS67-CS68)</f>
        <v>36350</v>
      </c>
      <c r="CT69" s="1479">
        <f>MAX(0,CT67-CT68)</f>
        <v>10046</v>
      </c>
      <c r="CU69" s="1630"/>
      <c r="CV69" s="1503"/>
      <c r="CW69" s="1630"/>
      <c r="CX69" s="1630"/>
      <c r="CY69" s="1630"/>
      <c r="CZ69" s="1479">
        <f>MAX(0,CZ67-CZ68)</f>
        <v>26585</v>
      </c>
      <c r="DA69" s="1479">
        <f>MAX(0,DA67-DA68)</f>
        <v>26585</v>
      </c>
      <c r="DB69" s="1479">
        <f>MAX(0,DB67-DB68)</f>
        <v>42017</v>
      </c>
      <c r="DC69" s="1479">
        <f>MAX(0,DC67-DC68)</f>
        <v>10830</v>
      </c>
      <c r="DD69" s="1630"/>
      <c r="DE69" s="1630"/>
      <c r="DF69" s="1630"/>
      <c r="DG69" s="1630"/>
      <c r="DH69" s="1630"/>
      <c r="DI69" s="1479">
        <f>MAX(0,DI67-DI68)</f>
        <v>0</v>
      </c>
      <c r="DJ69" s="1503">
        <f t="shared" ref="DJ69" si="14">MAX(0,DJ67-DJ68)</f>
        <v>39867</v>
      </c>
      <c r="DK69" s="1630"/>
      <c r="DL69" s="1479">
        <f>MAX(0,DL67-DL68)</f>
        <v>0</v>
      </c>
      <c r="DM69" s="1479">
        <f>MAX(0,DM67-DM68)</f>
        <v>10830</v>
      </c>
      <c r="DN69" s="1630"/>
      <c r="DO69" s="1630"/>
      <c r="DP69" s="1630"/>
      <c r="DQ69" s="1630"/>
      <c r="DR69" s="1503">
        <f>MAX(0,DR67-DR68)</f>
        <v>29658</v>
      </c>
      <c r="DS69" s="1630"/>
      <c r="DT69" s="1630"/>
      <c r="DU69" s="1630"/>
      <c r="DV69" s="1630"/>
      <c r="DW69" s="1630">
        <f>MAX(0,DW67-DW68)</f>
        <v>2649</v>
      </c>
      <c r="DX69" s="1503">
        <f t="shared" ref="DX69:EI69" si="15">MAX(0,DX67-DX68)</f>
        <v>2091.64</v>
      </c>
      <c r="DY69" s="1503">
        <f t="shared" si="15"/>
        <v>3800</v>
      </c>
      <c r="DZ69" s="1479">
        <f t="shared" si="15"/>
        <v>0</v>
      </c>
      <c r="EA69" s="1479">
        <f t="shared" si="15"/>
        <v>0</v>
      </c>
      <c r="EB69" s="1503">
        <f t="shared" si="15"/>
        <v>10360</v>
      </c>
      <c r="EC69" s="1479"/>
      <c r="ED69" s="1479"/>
      <c r="EE69" s="1503">
        <f t="shared" si="15"/>
        <v>25595</v>
      </c>
      <c r="EF69" s="1479"/>
      <c r="EG69" s="1479"/>
      <c r="EH69" s="1503">
        <f t="shared" si="15"/>
        <v>3500</v>
      </c>
      <c r="EI69" s="1479">
        <f t="shared" si="15"/>
        <v>0</v>
      </c>
      <c r="EJ69" s="1479">
        <f>MAX(0,EJ67-EJ68)</f>
        <v>4500</v>
      </c>
      <c r="EK69" s="1630"/>
      <c r="EL69" s="1630"/>
      <c r="EM69" s="1630"/>
      <c r="EN69" s="1503">
        <f>MAX(0,EN67-EN68)</f>
        <v>72710</v>
      </c>
      <c r="EO69" s="1503">
        <f t="shared" ref="EO69:ET69" si="16">MAX(0,EO67-EO68)</f>
        <v>21553.19</v>
      </c>
      <c r="EP69" s="1503">
        <f t="shared" si="16"/>
        <v>929</v>
      </c>
      <c r="EQ69" s="1503">
        <f t="shared" si="16"/>
        <v>13534</v>
      </c>
      <c r="ER69" s="2554"/>
      <c r="ES69" s="2554"/>
      <c r="ET69" s="1503">
        <f t="shared" si="16"/>
        <v>0</v>
      </c>
      <c r="EU69" s="2554">
        <f t="shared" ref="EU69" si="17">MAX(0,EU67-EU68)</f>
        <v>36350</v>
      </c>
      <c r="EV69" s="1503">
        <f t="shared" ref="EV69" si="18">MAX(0,EV67-EV68)</f>
        <v>30614</v>
      </c>
      <c r="EW69" s="2554">
        <f t="shared" ref="EW69" si="19">MAX(0,EW67-EW68)</f>
        <v>0</v>
      </c>
      <c r="EX69" s="2554">
        <f t="shared" ref="EX69" si="20">MAX(0,EX67-EX68)</f>
        <v>0</v>
      </c>
      <c r="EY69" s="2554">
        <f t="shared" ref="EY69" si="21">MAX(0,EY67-EY68)</f>
        <v>0</v>
      </c>
      <c r="EZ69" s="1503">
        <f t="shared" ref="EZ69" si="22">MAX(0,EZ67-EZ68)</f>
        <v>87874</v>
      </c>
      <c r="FA69" s="2554">
        <f t="shared" ref="FA69" si="23">MAX(0,FA67-FA68)</f>
        <v>0</v>
      </c>
      <c r="FB69" s="2554">
        <f t="shared" ref="FB69" si="24">MAX(0,FB67-FB68)</f>
        <v>0</v>
      </c>
      <c r="FC69" s="2554">
        <f t="shared" ref="FC69" si="25">MAX(0,FC67-FC68)</f>
        <v>0</v>
      </c>
      <c r="FD69" s="2554">
        <f t="shared" ref="FD69" si="26">MAX(0,FD67-FD68)</f>
        <v>0</v>
      </c>
      <c r="FE69" s="2554">
        <f t="shared" ref="FE69" si="27">MAX(0,FE67-FE68)</f>
        <v>0</v>
      </c>
      <c r="FF69" s="2554">
        <f t="shared" ref="FF69" si="28">MAX(0,FF67-FF68)</f>
        <v>3600</v>
      </c>
      <c r="FG69" s="2554">
        <f t="shared" ref="FG69" si="29">MAX(0,FG67-FG68)</f>
        <v>0</v>
      </c>
      <c r="FH69" s="2554">
        <f t="shared" ref="FH69" si="30">MAX(0,FH67-FH68)</f>
        <v>0</v>
      </c>
      <c r="FI69" s="2554">
        <f t="shared" ref="FI69" si="31">MAX(0,FI67-FI68)</f>
        <v>0</v>
      </c>
      <c r="FJ69" s="2554">
        <f t="shared" ref="FJ69" si="32">MAX(0,FJ67-FJ68)</f>
        <v>0</v>
      </c>
      <c r="FK69" s="1630"/>
      <c r="FL69" s="1630"/>
      <c r="FM69" s="1630"/>
      <c r="FN69" s="1630"/>
      <c r="FO69" s="1630"/>
      <c r="FP69" s="1630"/>
      <c r="FQ69" s="1630"/>
      <c r="FR69" s="1630"/>
      <c r="FS69" s="1630"/>
      <c r="FT69" s="1479">
        <f>MAX(0,FT67-FT68)</f>
        <v>26585</v>
      </c>
      <c r="FU69" s="1479">
        <f>MAX(0,FU67-FU68)</f>
        <v>26585</v>
      </c>
      <c r="FV69" s="1503">
        <f>MAX(0,FV67-FV68)</f>
        <v>10046</v>
      </c>
      <c r="FW69" s="1630"/>
      <c r="FX69" s="2554">
        <f>MAX(0,FX67-FX68)</f>
        <v>36350</v>
      </c>
      <c r="FY69" s="1630"/>
      <c r="FZ69" s="1630"/>
      <c r="GA69" s="1630"/>
      <c r="GB69" s="1630"/>
      <c r="GC69" s="1630"/>
      <c r="GD69" s="1630"/>
      <c r="GE69" s="1479">
        <f>MAX(0,GE67-GE68)</f>
        <v>4500</v>
      </c>
      <c r="GF69" s="1479">
        <f>MAX(0,GF67-GF68)</f>
        <v>4500</v>
      </c>
      <c r="GG69" s="2554">
        <f>MAX(0,GG67-GG68)</f>
        <v>36350</v>
      </c>
      <c r="GH69" s="1630"/>
      <c r="GI69" s="1630"/>
      <c r="GJ69" s="1503">
        <f>MAX(0,GJ67-GJ68)</f>
        <v>30625</v>
      </c>
      <c r="GK69" s="1630"/>
      <c r="GL69" s="1630"/>
      <c r="GM69" s="1630"/>
      <c r="GN69" s="1630"/>
      <c r="GO69" s="1630"/>
      <c r="GP69" s="1630"/>
      <c r="GQ69" s="1630"/>
      <c r="GR69" s="1630"/>
      <c r="GS69" s="1630"/>
      <c r="GT69" s="1630"/>
      <c r="GU69" s="1630"/>
      <c r="GV69" s="1630"/>
      <c r="GW69" s="2554">
        <f>MAX(0,GW67-GW68)</f>
        <v>36350</v>
      </c>
      <c r="GX69" s="1479">
        <f>MAX(0,GX67-GX68)</f>
        <v>10830</v>
      </c>
      <c r="GY69" s="1630"/>
      <c r="GZ69" s="1630"/>
      <c r="HA69" s="1630"/>
      <c r="HB69" s="1503">
        <f>MAX(0,HB67-HB68)</f>
        <v>34947</v>
      </c>
      <c r="HC69" s="1630"/>
      <c r="HD69" s="1479">
        <f>MAX(0,HD67-HD68)</f>
        <v>0</v>
      </c>
      <c r="HE69" s="1630"/>
      <c r="HF69" s="1479">
        <f>MAX(0,HF67-HF68)</f>
        <v>3600</v>
      </c>
      <c r="HG69" s="1479">
        <f>MAX(0,HG67-HG68)</f>
        <v>0</v>
      </c>
      <c r="HH69" s="1630"/>
      <c r="HI69" s="1630"/>
      <c r="HJ69" s="1630"/>
      <c r="HK69" s="1630"/>
      <c r="HL69" s="1630"/>
      <c r="HM69" s="1630"/>
      <c r="HN69" s="1630"/>
      <c r="HO69" s="1630"/>
      <c r="HP69" s="1630"/>
      <c r="HQ69" s="1630"/>
      <c r="HR69" s="1479">
        <f>MAX(0,HR67-HR68)</f>
        <v>0</v>
      </c>
      <c r="HS69" s="1503">
        <f>MAX(0,HS67-HS68)</f>
        <v>2162</v>
      </c>
      <c r="HT69" s="1503">
        <f>MAX(0,HT67-HT68)</f>
        <v>6884</v>
      </c>
      <c r="HU69" s="1630"/>
      <c r="HV69" s="1630"/>
      <c r="HW69" s="1630"/>
      <c r="HX69" s="1630"/>
      <c r="HY69" s="1630"/>
      <c r="HZ69" s="1503">
        <f>MAX(0,HZ67-HZ68)</f>
        <v>90789</v>
      </c>
      <c r="IA69" s="1630"/>
      <c r="IB69" s="1630"/>
      <c r="IC69" s="1630"/>
      <c r="ID69" s="1630"/>
      <c r="IE69" s="1630"/>
      <c r="IF69" s="1503">
        <f t="shared" ref="IF69" si="33">MAX(0,IF67-IF68)</f>
        <v>9512.5</v>
      </c>
      <c r="IG69" s="2554"/>
      <c r="IH69" s="2554"/>
      <c r="II69" s="1503">
        <f>MAX(0,II67-II68)</f>
        <v>8289</v>
      </c>
      <c r="IJ69" s="1503">
        <f>MAX(0,IJ67-IJ68)</f>
        <v>5186.05</v>
      </c>
      <c r="IK69" s="2554"/>
      <c r="IL69" s="2554"/>
      <c r="IM69" s="2554"/>
      <c r="IN69" s="2554"/>
      <c r="IO69" s="2554">
        <f>MAX(0,IO67-IO68)</f>
        <v>2551</v>
      </c>
      <c r="IP69" s="1630">
        <f>MAX(0,IP67-IP68)</f>
        <v>91831</v>
      </c>
      <c r="IQ69" s="1630"/>
      <c r="IR69" s="1630"/>
      <c r="IS69" s="1630">
        <f>MAX(0,IS67-IS68)</f>
        <v>1013</v>
      </c>
      <c r="IT69" s="1630">
        <f>MAX(0,IT67-IT68)</f>
        <v>0</v>
      </c>
      <c r="IU69" s="1630">
        <f>MAX(0,IU67-IU68)</f>
        <v>0</v>
      </c>
      <c r="IV69" s="1630">
        <f>MAX(0,IV67-IV68)</f>
        <v>7067</v>
      </c>
      <c r="IW69" s="1630">
        <f>MAX(0,IW67-IW68)</f>
        <v>14053</v>
      </c>
      <c r="IX69" s="1630"/>
      <c r="IY69" s="1630">
        <f>MAX(0,IY67-IY68)</f>
        <v>0</v>
      </c>
      <c r="IZ69" s="1630"/>
      <c r="JA69" s="1630"/>
      <c r="JB69" s="1630"/>
      <c r="JC69" s="1630"/>
      <c r="JD69" s="1630"/>
      <c r="JE69" s="1503">
        <f t="shared" ref="JE69" si="34">MAX(0,JE67-JE68)</f>
        <v>1315</v>
      </c>
      <c r="JF69" s="1479"/>
      <c r="JG69" s="1503">
        <f>MAX(0,JG67-JG68)</f>
        <v>3882</v>
      </c>
      <c r="JH69" s="1630">
        <f>MAX(0,JH67-JH68)</f>
        <v>18449</v>
      </c>
      <c r="JI69" s="1630">
        <f>MAX(0,JI67-JI68)</f>
        <v>18449</v>
      </c>
      <c r="JJ69" s="1630"/>
      <c r="JK69" s="1630">
        <f>MAX(0,JK67-JK68)</f>
        <v>1082</v>
      </c>
      <c r="JL69" s="1630">
        <f>MAX(0,JL67-JL68)</f>
        <v>73048</v>
      </c>
      <c r="JM69" s="1630"/>
      <c r="JN69" s="1630"/>
      <c r="JO69" s="1630"/>
      <c r="JP69" s="1630"/>
      <c r="JQ69" s="2555">
        <f>MAX(0,JQ67-JQ68)</f>
        <v>65387</v>
      </c>
      <c r="JR69" s="351"/>
      <c r="JS69" s="1400" t="s">
        <v>3829</v>
      </c>
      <c r="JT69" s="1385" t="s">
        <v>2224</v>
      </c>
    </row>
    <row r="70" spans="1:280" ht="40" x14ac:dyDescent="0.25">
      <c r="A70" s="1367">
        <v>70</v>
      </c>
      <c r="B70" s="1411" t="str">
        <f t="shared" si="2"/>
        <v/>
      </c>
      <c r="C70" s="1628" t="s">
        <v>3830</v>
      </c>
      <c r="D70" s="1531" t="s">
        <v>3831</v>
      </c>
      <c r="E70" s="1479">
        <f>MAX(0,(E50+E51+E52+E53+E54+E55+E58+E59+E62+E64+E65+E66)-(E44+E48+E49+E56+E57))</f>
        <v>0</v>
      </c>
      <c r="F70" s="1479">
        <f>MAX(0,(F50+F51+F52+F53+F54+F55+F58+F59+F62+F64+F65+F66)-(F44+F48+F49+F56+F57))</f>
        <v>0</v>
      </c>
      <c r="G70" s="1479"/>
      <c r="H70" s="1479"/>
      <c r="I70" s="1479"/>
      <c r="J70" s="1479"/>
      <c r="K70" s="1479"/>
      <c r="L70" s="1479"/>
      <c r="M70" s="1479">
        <f t="shared" ref="M70:BP70" si="35">MAX(0,(M50+M51+M52+M53+M54+M55+M58+M59+M62+M64+M65+M66)-(M44+M48+M49+M56+M57))</f>
        <v>0</v>
      </c>
      <c r="N70" s="1479"/>
      <c r="O70" s="1479">
        <f>MAX(0,(O50+O51+O52+O53+O54+O55+O58+O59+O62+O64+O65+O66)-(O44+O48+O49+O56+O57))</f>
        <v>0</v>
      </c>
      <c r="P70" s="1479"/>
      <c r="Q70" s="1479">
        <f t="shared" si="35"/>
        <v>0</v>
      </c>
      <c r="R70" s="1479"/>
      <c r="S70" s="1479"/>
      <c r="T70" s="1479">
        <f t="shared" si="35"/>
        <v>0</v>
      </c>
      <c r="U70" s="1479">
        <f t="shared" si="35"/>
        <v>0</v>
      </c>
      <c r="V70" s="1479"/>
      <c r="W70" s="1479"/>
      <c r="X70" s="1479"/>
      <c r="Y70" s="1479"/>
      <c r="Z70" s="1479">
        <f t="shared" si="35"/>
        <v>0</v>
      </c>
      <c r="AA70" s="1479">
        <f t="shared" si="35"/>
        <v>0</v>
      </c>
      <c r="AB70" s="1479"/>
      <c r="AC70" s="1479">
        <f t="shared" si="35"/>
        <v>0</v>
      </c>
      <c r="AD70" s="1479"/>
      <c r="AE70" s="1479">
        <f t="shared" si="35"/>
        <v>0</v>
      </c>
      <c r="AF70" s="1479"/>
      <c r="AG70" s="1479"/>
      <c r="AH70" s="1479"/>
      <c r="AI70" s="1479"/>
      <c r="AJ70" s="1479"/>
      <c r="AK70" s="1479">
        <f t="shared" si="35"/>
        <v>0</v>
      </c>
      <c r="AL70" s="1479"/>
      <c r="AM70" s="1479"/>
      <c r="AN70" s="1479">
        <f t="shared" si="35"/>
        <v>0</v>
      </c>
      <c r="AO70" s="1479">
        <f t="shared" si="35"/>
        <v>0</v>
      </c>
      <c r="AP70" s="1479"/>
      <c r="AQ70" s="1479">
        <f t="shared" si="35"/>
        <v>820</v>
      </c>
      <c r="AR70" s="1479"/>
      <c r="AS70" s="1479">
        <f t="shared" si="35"/>
        <v>0</v>
      </c>
      <c r="AT70" s="1479"/>
      <c r="AU70" s="1479"/>
      <c r="AV70" s="1479"/>
      <c r="AW70" s="1479">
        <f t="shared" si="35"/>
        <v>0</v>
      </c>
      <c r="AX70" s="1479"/>
      <c r="AY70" s="1503">
        <f t="shared" si="35"/>
        <v>0</v>
      </c>
      <c r="AZ70" s="1479">
        <f t="shared" si="35"/>
        <v>0</v>
      </c>
      <c r="BA70" s="1479"/>
      <c r="BB70" s="1503">
        <f t="shared" si="35"/>
        <v>0</v>
      </c>
      <c r="BC70" s="1479"/>
      <c r="BD70" s="1479">
        <f t="shared" si="35"/>
        <v>0</v>
      </c>
      <c r="BE70" s="1479"/>
      <c r="BF70" s="1479"/>
      <c r="BG70" s="1479">
        <f t="shared" si="35"/>
        <v>0</v>
      </c>
      <c r="BH70" s="1479"/>
      <c r="BI70" s="1479"/>
      <c r="BJ70" s="1479"/>
      <c r="BK70" s="1479">
        <f t="shared" si="35"/>
        <v>0</v>
      </c>
      <c r="BL70" s="1479"/>
      <c r="BM70" s="1479"/>
      <c r="BN70" s="1479"/>
      <c r="BO70" s="1479"/>
      <c r="BP70" s="1503">
        <f t="shared" si="35"/>
        <v>0</v>
      </c>
      <c r="BQ70" s="1479"/>
      <c r="BR70" s="1479"/>
      <c r="BS70" s="1479"/>
      <c r="BT70" s="1503">
        <f t="shared" ref="BT70:EB70" si="36">MAX(0,(BT50+BT51+BT52+BT53+BT54+BT55+BT58+BT59+BT62+BT64+BT65+BT66)-(BT44+BT48+BT49+BT56+BT57))</f>
        <v>0</v>
      </c>
      <c r="BU70" s="1479"/>
      <c r="BV70" s="1503">
        <f t="shared" si="36"/>
        <v>0</v>
      </c>
      <c r="BW70" s="1479"/>
      <c r="BX70" s="1479">
        <f t="shared" si="36"/>
        <v>0</v>
      </c>
      <c r="BY70" s="1479"/>
      <c r="BZ70" s="1479"/>
      <c r="CA70" s="1479"/>
      <c r="CB70" s="1479">
        <f t="shared" si="36"/>
        <v>0</v>
      </c>
      <c r="CC70" s="1479">
        <f t="shared" si="36"/>
        <v>0</v>
      </c>
      <c r="CD70" s="1503">
        <f t="shared" si="36"/>
        <v>0</v>
      </c>
      <c r="CE70" s="1479"/>
      <c r="CF70" s="1479"/>
      <c r="CG70" s="1479"/>
      <c r="CH70" s="1479">
        <f t="shared" si="36"/>
        <v>0</v>
      </c>
      <c r="CI70" s="1479">
        <f t="shared" si="36"/>
        <v>0</v>
      </c>
      <c r="CJ70" s="1479"/>
      <c r="CK70" s="1479"/>
      <c r="CL70" s="1479"/>
      <c r="CM70" s="1479"/>
      <c r="CN70" s="1479">
        <f t="shared" si="36"/>
        <v>0</v>
      </c>
      <c r="CO70" s="1479"/>
      <c r="CP70" s="1479"/>
      <c r="CQ70" s="1503">
        <f t="shared" si="36"/>
        <v>0</v>
      </c>
      <c r="CR70" s="1479">
        <f t="shared" si="36"/>
        <v>0</v>
      </c>
      <c r="CS70" s="1479">
        <f t="shared" si="36"/>
        <v>0</v>
      </c>
      <c r="CT70" s="1479">
        <f t="shared" si="36"/>
        <v>0</v>
      </c>
      <c r="CU70" s="1479"/>
      <c r="CV70" s="1503"/>
      <c r="CW70" s="1479"/>
      <c r="CX70" s="1479"/>
      <c r="CY70" s="1479"/>
      <c r="CZ70" s="1479">
        <f t="shared" si="36"/>
        <v>0</v>
      </c>
      <c r="DA70" s="1479">
        <f t="shared" si="36"/>
        <v>0</v>
      </c>
      <c r="DB70" s="1479">
        <f t="shared" si="36"/>
        <v>0</v>
      </c>
      <c r="DC70" s="1479">
        <f t="shared" si="36"/>
        <v>0</v>
      </c>
      <c r="DD70" s="1479"/>
      <c r="DE70" s="1479"/>
      <c r="DF70" s="1479"/>
      <c r="DG70" s="1479"/>
      <c r="DH70" s="1479"/>
      <c r="DI70" s="1479">
        <f t="shared" si="36"/>
        <v>3884</v>
      </c>
      <c r="DJ70" s="1503">
        <f t="shared" si="36"/>
        <v>0</v>
      </c>
      <c r="DK70" s="1479"/>
      <c r="DL70" s="1479">
        <f t="shared" si="36"/>
        <v>3884</v>
      </c>
      <c r="DM70" s="1479">
        <f t="shared" si="36"/>
        <v>0</v>
      </c>
      <c r="DN70" s="1479"/>
      <c r="DO70" s="1479"/>
      <c r="DP70" s="1479"/>
      <c r="DQ70" s="1479"/>
      <c r="DR70" s="1503">
        <f t="shared" si="36"/>
        <v>0</v>
      </c>
      <c r="DS70" s="1479"/>
      <c r="DT70" s="1479"/>
      <c r="DU70" s="1479"/>
      <c r="DV70" s="1479"/>
      <c r="DW70" s="1479">
        <f t="shared" si="36"/>
        <v>0</v>
      </c>
      <c r="DX70" s="1503">
        <f t="shared" si="36"/>
        <v>0</v>
      </c>
      <c r="DY70" s="1503">
        <f t="shared" si="36"/>
        <v>0</v>
      </c>
      <c r="DZ70" s="1479">
        <f t="shared" si="36"/>
        <v>0</v>
      </c>
      <c r="EA70" s="1479">
        <f t="shared" si="36"/>
        <v>0</v>
      </c>
      <c r="EB70" s="1503">
        <f t="shared" si="36"/>
        <v>0</v>
      </c>
      <c r="EC70" s="1479"/>
      <c r="ED70" s="1479"/>
      <c r="EE70" s="1503">
        <f t="shared" ref="EE70:GJ70" si="37">MAX(0,(EE50+EE51+EE52+EE53+EE54+EE55+EE58+EE59+EE62+EE64+EE65+EE66)-(EE44+EE48+EE49+EE56+EE57))</f>
        <v>0</v>
      </c>
      <c r="EF70" s="1479"/>
      <c r="EG70" s="1479"/>
      <c r="EH70" s="1503">
        <f t="shared" si="37"/>
        <v>0</v>
      </c>
      <c r="EI70" s="1479">
        <f t="shared" si="37"/>
        <v>0</v>
      </c>
      <c r="EJ70" s="1479">
        <f t="shared" si="37"/>
        <v>0</v>
      </c>
      <c r="EK70" s="1479"/>
      <c r="EL70" s="1479"/>
      <c r="EM70" s="1479"/>
      <c r="EN70" s="1503">
        <f t="shared" si="37"/>
        <v>0</v>
      </c>
      <c r="EO70" s="1503">
        <f t="shared" si="37"/>
        <v>0</v>
      </c>
      <c r="EP70" s="1503">
        <f t="shared" si="37"/>
        <v>0</v>
      </c>
      <c r="EQ70" s="1503">
        <f t="shared" si="37"/>
        <v>0</v>
      </c>
      <c r="ER70" s="1479"/>
      <c r="ES70" s="1479"/>
      <c r="ET70" s="1503">
        <f t="shared" si="37"/>
        <v>1139415.7599999998</v>
      </c>
      <c r="EU70" s="1479">
        <f t="shared" si="37"/>
        <v>0</v>
      </c>
      <c r="EV70" s="1503">
        <f t="shared" si="37"/>
        <v>0</v>
      </c>
      <c r="EW70" s="1479">
        <f t="shared" si="37"/>
        <v>0</v>
      </c>
      <c r="EX70" s="1479">
        <f t="shared" si="37"/>
        <v>0</v>
      </c>
      <c r="EY70" s="1479">
        <f t="shared" si="37"/>
        <v>0</v>
      </c>
      <c r="EZ70" s="1503">
        <f t="shared" si="37"/>
        <v>0</v>
      </c>
      <c r="FA70" s="1479">
        <f t="shared" si="37"/>
        <v>0</v>
      </c>
      <c r="FB70" s="1479">
        <f t="shared" si="37"/>
        <v>0</v>
      </c>
      <c r="FC70" s="1479">
        <f t="shared" si="37"/>
        <v>0</v>
      </c>
      <c r="FD70" s="1479">
        <f t="shared" si="37"/>
        <v>0</v>
      </c>
      <c r="FE70" s="1479">
        <f t="shared" si="37"/>
        <v>0</v>
      </c>
      <c r="FF70" s="1479">
        <f t="shared" si="37"/>
        <v>0</v>
      </c>
      <c r="FG70" s="1479">
        <f t="shared" si="37"/>
        <v>0</v>
      </c>
      <c r="FH70" s="1479">
        <f t="shared" si="37"/>
        <v>0</v>
      </c>
      <c r="FI70" s="1479">
        <f t="shared" si="37"/>
        <v>0</v>
      </c>
      <c r="FJ70" s="1479">
        <f t="shared" si="37"/>
        <v>0</v>
      </c>
      <c r="FK70" s="1479"/>
      <c r="FL70" s="1479"/>
      <c r="FM70" s="1479"/>
      <c r="FN70" s="1479"/>
      <c r="FO70" s="1479"/>
      <c r="FP70" s="1479"/>
      <c r="FQ70" s="1479"/>
      <c r="FR70" s="1479"/>
      <c r="FS70" s="1479"/>
      <c r="FT70" s="1479"/>
      <c r="FU70" s="1479"/>
      <c r="FV70" s="1503">
        <f t="shared" si="37"/>
        <v>0</v>
      </c>
      <c r="FW70" s="1479"/>
      <c r="FX70" s="1479"/>
      <c r="FY70" s="1479"/>
      <c r="FZ70" s="1479"/>
      <c r="GA70" s="1479"/>
      <c r="GB70" s="1479"/>
      <c r="GC70" s="1479"/>
      <c r="GD70" s="1479"/>
      <c r="GE70" s="1479"/>
      <c r="GF70" s="1479"/>
      <c r="GG70" s="1479"/>
      <c r="GH70" s="1503"/>
      <c r="GI70" s="1503"/>
      <c r="GJ70" s="1503">
        <f t="shared" si="37"/>
        <v>0</v>
      </c>
      <c r="GK70" s="1479"/>
      <c r="GL70" s="1479"/>
      <c r="GM70" s="1479"/>
      <c r="GN70" s="1479"/>
      <c r="GO70" s="1479"/>
      <c r="GP70" s="1479"/>
      <c r="GQ70" s="1479"/>
      <c r="GR70" s="1479"/>
      <c r="GS70" s="1479"/>
      <c r="GT70" s="1479"/>
      <c r="GU70" s="1479"/>
      <c r="GV70" s="1479"/>
      <c r="GW70" s="1479"/>
      <c r="GX70" s="1479"/>
      <c r="GY70" s="1479"/>
      <c r="GZ70" s="1479"/>
      <c r="HA70" s="1479"/>
      <c r="HB70" s="1503">
        <f t="shared" ref="HB70:IY70" si="38">MAX(0,(HB50+HB51+HB52+HB53+HB54+HB55+HB58+HB59+HB62+HB64+HB65+HB66)-(HB44+HB48+HB49+HB56+HB57))</f>
        <v>10385</v>
      </c>
      <c r="HC70" s="1479"/>
      <c r="HD70" s="1479"/>
      <c r="HE70" s="1479"/>
      <c r="HF70" s="1479"/>
      <c r="HG70" s="1503">
        <f t="shared" si="38"/>
        <v>17910</v>
      </c>
      <c r="HH70" s="1479"/>
      <c r="HI70" s="1479"/>
      <c r="HJ70" s="1479"/>
      <c r="HK70" s="1479"/>
      <c r="HL70" s="1479"/>
      <c r="HM70" s="1479"/>
      <c r="HN70" s="1479"/>
      <c r="HO70" s="1479"/>
      <c r="HP70" s="1479"/>
      <c r="HQ70" s="1479"/>
      <c r="HR70" s="1479">
        <f t="shared" si="38"/>
        <v>27801</v>
      </c>
      <c r="HS70" s="1503"/>
      <c r="HT70" s="1503"/>
      <c r="HU70" s="1479"/>
      <c r="HV70" s="1479"/>
      <c r="HW70" s="1479"/>
      <c r="HX70" s="1479"/>
      <c r="HY70" s="1479"/>
      <c r="HZ70" s="1503">
        <f t="shared" si="38"/>
        <v>0</v>
      </c>
      <c r="IA70" s="1479"/>
      <c r="IB70" s="1479"/>
      <c r="IC70" s="1479"/>
      <c r="ID70" s="1479">
        <f t="shared" si="38"/>
        <v>0</v>
      </c>
      <c r="IE70" s="1479">
        <f t="shared" si="38"/>
        <v>0</v>
      </c>
      <c r="IF70" s="1503">
        <f t="shared" si="38"/>
        <v>0</v>
      </c>
      <c r="IG70" s="1479"/>
      <c r="IH70" s="1479"/>
      <c r="II70" s="1503">
        <f t="shared" si="38"/>
        <v>0</v>
      </c>
      <c r="IJ70" s="1503">
        <f t="shared" si="38"/>
        <v>0</v>
      </c>
      <c r="IK70" s="1479"/>
      <c r="IL70" s="1479"/>
      <c r="IM70" s="1479"/>
      <c r="IN70" s="1479"/>
      <c r="IO70" s="1479">
        <f t="shared" si="38"/>
        <v>0</v>
      </c>
      <c r="IP70" s="1479">
        <f t="shared" si="38"/>
        <v>0</v>
      </c>
      <c r="IQ70" s="1479"/>
      <c r="IR70" s="1479"/>
      <c r="IS70" s="1479">
        <f t="shared" si="38"/>
        <v>0</v>
      </c>
      <c r="IT70" s="1479">
        <f t="shared" si="38"/>
        <v>0</v>
      </c>
      <c r="IU70" s="1479">
        <f t="shared" si="38"/>
        <v>0</v>
      </c>
      <c r="IV70" s="1479">
        <f t="shared" si="38"/>
        <v>0</v>
      </c>
      <c r="IW70" s="1479">
        <f t="shared" si="38"/>
        <v>0</v>
      </c>
      <c r="IX70" s="1479"/>
      <c r="IY70" s="1479">
        <f t="shared" si="38"/>
        <v>1830</v>
      </c>
      <c r="IZ70" s="1479"/>
      <c r="JA70" s="1479"/>
      <c r="JB70" s="1479"/>
      <c r="JC70" s="1479"/>
      <c r="JD70" s="1479"/>
      <c r="JE70" s="1479">
        <f t="shared" ref="JE70:JQ70" si="39">MAX(0,(JE50+JE51+JE52+JE53+JE54+JE55+JE58+JE59+JE62+JE64+JE65+JE66)-(JE44+JE48+JE49+JE56+JE57))</f>
        <v>0</v>
      </c>
      <c r="JF70" s="1479"/>
      <c r="JG70" s="1479">
        <f t="shared" si="39"/>
        <v>0</v>
      </c>
      <c r="JH70" s="1479">
        <f t="shared" si="39"/>
        <v>0</v>
      </c>
      <c r="JI70" s="1479">
        <f t="shared" si="39"/>
        <v>0</v>
      </c>
      <c r="JJ70" s="1479"/>
      <c r="JK70" s="1479">
        <f t="shared" si="39"/>
        <v>0</v>
      </c>
      <c r="JL70" s="1479">
        <f t="shared" si="39"/>
        <v>0</v>
      </c>
      <c r="JM70" s="1479"/>
      <c r="JN70" s="1479"/>
      <c r="JO70" s="1479"/>
      <c r="JP70" s="1479"/>
      <c r="JQ70" s="1479">
        <f t="shared" si="39"/>
        <v>0</v>
      </c>
      <c r="JR70" s="351"/>
      <c r="JS70" s="1400" t="s">
        <v>3832</v>
      </c>
      <c r="JT70" s="1385" t="s">
        <v>2224</v>
      </c>
    </row>
    <row r="71" spans="1:280" ht="12.5" x14ac:dyDescent="0.25">
      <c r="A71" s="1367">
        <v>71</v>
      </c>
      <c r="B71" s="1411" t="str">
        <f t="shared" si="2"/>
        <v/>
      </c>
      <c r="C71" s="1628" t="s">
        <v>3833</v>
      </c>
      <c r="D71" s="1531" t="s">
        <v>3834</v>
      </c>
      <c r="E71" s="1452"/>
      <c r="F71" s="1452"/>
      <c r="G71" s="1452"/>
      <c r="H71" s="1452"/>
      <c r="I71" s="1452"/>
      <c r="J71" s="1452"/>
      <c r="K71" s="1452"/>
      <c r="L71" s="1452"/>
      <c r="M71" s="1452"/>
      <c r="N71" s="1452"/>
      <c r="O71" s="1452"/>
      <c r="P71" s="1452"/>
      <c r="Q71" s="1452"/>
      <c r="R71" s="1452"/>
      <c r="S71" s="1452"/>
      <c r="T71" s="1452"/>
      <c r="U71" s="1452"/>
      <c r="V71" s="1452"/>
      <c r="W71" s="1452"/>
      <c r="X71" s="1452"/>
      <c r="Y71" s="1452"/>
      <c r="Z71" s="1452"/>
      <c r="AA71" s="1452"/>
      <c r="AB71" s="1452"/>
      <c r="AC71" s="1452"/>
      <c r="AD71" s="1452"/>
      <c r="AE71" s="1452"/>
      <c r="AF71" s="1452"/>
      <c r="AG71" s="1452"/>
      <c r="AH71" s="1452"/>
      <c r="AI71" s="1452"/>
      <c r="AJ71" s="1452"/>
      <c r="AK71" s="1452"/>
      <c r="AL71" s="1452"/>
      <c r="AM71" s="1452"/>
      <c r="AN71" s="1452"/>
      <c r="AO71" s="1452"/>
      <c r="AP71" s="1452"/>
      <c r="AQ71" s="1452"/>
      <c r="AR71" s="1452"/>
      <c r="AS71" s="1452"/>
      <c r="AT71" s="1452"/>
      <c r="AU71" s="1452"/>
      <c r="AV71" s="1452"/>
      <c r="AW71" s="1452"/>
      <c r="AX71" s="1452"/>
      <c r="AY71" s="1452"/>
      <c r="AZ71" s="1452"/>
      <c r="BA71" s="1452"/>
      <c r="BB71" s="1452"/>
      <c r="BC71" s="1452"/>
      <c r="BD71" s="1452"/>
      <c r="BE71" s="1452"/>
      <c r="BF71" s="1452"/>
      <c r="BG71" s="1452"/>
      <c r="BH71" s="1452"/>
      <c r="BI71" s="1452"/>
      <c r="BJ71" s="1452"/>
      <c r="BK71" s="1452"/>
      <c r="BL71" s="1452"/>
      <c r="BM71" s="1452"/>
      <c r="BN71" s="1452"/>
      <c r="BO71" s="1452"/>
      <c r="BP71" s="1452"/>
      <c r="BQ71" s="1452"/>
      <c r="BR71" s="1452"/>
      <c r="BS71" s="1452"/>
      <c r="BT71" s="1452"/>
      <c r="BU71" s="1452"/>
      <c r="BV71" s="1452"/>
      <c r="BW71" s="1452"/>
      <c r="BX71" s="1452"/>
      <c r="BY71" s="1452"/>
      <c r="BZ71" s="1452"/>
      <c r="CA71" s="1452"/>
      <c r="CB71" s="1452"/>
      <c r="CC71" s="1452"/>
      <c r="CD71" s="1452"/>
      <c r="CE71" s="1455"/>
      <c r="CF71" s="1455"/>
      <c r="CG71" s="1455"/>
      <c r="CH71" s="1452"/>
      <c r="CI71" s="1452"/>
      <c r="CJ71" s="1455"/>
      <c r="CK71" s="1455"/>
      <c r="CL71" s="1455"/>
      <c r="CM71" s="1455"/>
      <c r="CN71" s="1455"/>
      <c r="CO71" s="1455"/>
      <c r="CP71" s="1455"/>
      <c r="CQ71" s="1452"/>
      <c r="CR71" s="1452"/>
      <c r="CS71" s="1452"/>
      <c r="CT71" s="1452"/>
      <c r="CU71" s="1455"/>
      <c r="CV71" s="1454"/>
      <c r="CW71" s="1455"/>
      <c r="CX71" s="1455"/>
      <c r="CY71" s="1455"/>
      <c r="CZ71" s="1452"/>
      <c r="DA71" s="1452"/>
      <c r="DB71" s="1452"/>
      <c r="DC71" s="1452"/>
      <c r="DD71" s="1455"/>
      <c r="DE71" s="1455"/>
      <c r="DF71" s="1455"/>
      <c r="DG71" s="1455"/>
      <c r="DH71" s="1455"/>
      <c r="DI71" s="1452">
        <v>2100</v>
      </c>
      <c r="DJ71" s="1455"/>
      <c r="DK71" s="1455"/>
      <c r="DL71" s="1452">
        <v>2100</v>
      </c>
      <c r="DM71" s="1452"/>
      <c r="DN71" s="1455"/>
      <c r="DO71" s="1455"/>
      <c r="DP71" s="1455"/>
      <c r="DQ71" s="1455"/>
      <c r="DR71" s="1452"/>
      <c r="DS71" s="1455"/>
      <c r="DT71" s="1455"/>
      <c r="DU71" s="1455"/>
      <c r="DV71" s="1455"/>
      <c r="DW71" s="1455"/>
      <c r="DX71" s="1455"/>
      <c r="DY71" s="1455"/>
      <c r="DZ71" s="1455"/>
      <c r="EA71" s="1455"/>
      <c r="EB71" s="1455"/>
      <c r="EC71" s="1455"/>
      <c r="ED71" s="1455"/>
      <c r="EE71" s="1455"/>
      <c r="EF71" s="1455"/>
      <c r="EG71" s="1455"/>
      <c r="EH71" s="1455"/>
      <c r="EI71" s="1455"/>
      <c r="EJ71" s="1452"/>
      <c r="EK71" s="1455"/>
      <c r="EL71" s="1455"/>
      <c r="EM71" s="1455"/>
      <c r="EN71" s="1452"/>
      <c r="EO71" s="1455"/>
      <c r="EP71" s="1455"/>
      <c r="EQ71" s="1455"/>
      <c r="ER71" s="1455"/>
      <c r="ES71" s="1455"/>
      <c r="ET71" s="1455"/>
      <c r="EU71" s="1452"/>
      <c r="EV71" s="1455"/>
      <c r="EW71" s="1455"/>
      <c r="EX71" s="1455"/>
      <c r="EY71" s="1455"/>
      <c r="EZ71" s="1455"/>
      <c r="FA71" s="1455"/>
      <c r="FB71" s="1455"/>
      <c r="FC71" s="1455"/>
      <c r="FD71" s="1455"/>
      <c r="FE71" s="1455"/>
      <c r="FF71" s="1452"/>
      <c r="FG71" s="1455"/>
      <c r="FH71" s="1455"/>
      <c r="FI71" s="1455"/>
      <c r="FJ71" s="1455"/>
      <c r="FK71" s="1455"/>
      <c r="FL71" s="1455"/>
      <c r="FM71" s="1455"/>
      <c r="FN71" s="1455"/>
      <c r="FO71" s="1455"/>
      <c r="FP71" s="1455"/>
      <c r="FQ71" s="1455"/>
      <c r="FR71" s="1455"/>
      <c r="FS71" s="1455"/>
      <c r="FT71" s="1452"/>
      <c r="FU71" s="1452"/>
      <c r="FV71" s="1452"/>
      <c r="FW71" s="1455"/>
      <c r="FX71" s="1452"/>
      <c r="FY71" s="1455"/>
      <c r="FZ71" s="1455"/>
      <c r="GA71" s="1455"/>
      <c r="GB71" s="1455"/>
      <c r="GC71" s="1455"/>
      <c r="GD71" s="1455"/>
      <c r="GE71" s="1452"/>
      <c r="GF71" s="1452"/>
      <c r="GG71" s="1452"/>
      <c r="GH71" s="1455"/>
      <c r="GI71" s="1455"/>
      <c r="GJ71" s="1452"/>
      <c r="GK71" s="1455"/>
      <c r="GL71" s="1455"/>
      <c r="GM71" s="1455"/>
      <c r="GN71" s="1455"/>
      <c r="GO71" s="1455"/>
      <c r="GP71" s="1455"/>
      <c r="GQ71" s="1455"/>
      <c r="GR71" s="1455"/>
      <c r="GS71" s="1455"/>
      <c r="GT71" s="1455"/>
      <c r="GU71" s="1455"/>
      <c r="GV71" s="1455"/>
      <c r="GW71" s="1452"/>
      <c r="GX71" s="1452"/>
      <c r="GY71" s="1455"/>
      <c r="GZ71" s="1455"/>
      <c r="HA71" s="1455"/>
      <c r="HB71" s="1452"/>
      <c r="HC71" s="1455"/>
      <c r="HD71" s="1452"/>
      <c r="HE71" s="1455"/>
      <c r="HF71" s="1452"/>
      <c r="HG71" s="1454">
        <v>17910</v>
      </c>
      <c r="HH71" s="1455"/>
      <c r="HI71" s="1455"/>
      <c r="HJ71" s="1455"/>
      <c r="HK71" s="1455"/>
      <c r="HL71" s="1455"/>
      <c r="HM71" s="1455"/>
      <c r="HN71" s="1455"/>
      <c r="HO71" s="1455"/>
      <c r="HP71" s="1455"/>
      <c r="HQ71" s="1455"/>
      <c r="HR71" s="1452">
        <v>27801</v>
      </c>
      <c r="HS71" s="1452"/>
      <c r="HT71" s="1455"/>
      <c r="HU71" s="1455"/>
      <c r="HV71" s="1455"/>
      <c r="HW71" s="1455"/>
      <c r="HX71" s="1455"/>
      <c r="HY71" s="1455"/>
      <c r="HZ71" s="1452"/>
      <c r="IA71" s="1455"/>
      <c r="IB71" s="1455"/>
      <c r="IC71" s="1455"/>
      <c r="ID71" s="1455"/>
      <c r="IE71" s="1455"/>
      <c r="IF71" s="1455"/>
      <c r="IG71" s="1455"/>
      <c r="IH71" s="1455"/>
      <c r="II71" s="1455"/>
      <c r="IJ71" s="1455"/>
      <c r="IK71" s="1455"/>
      <c r="IL71" s="1455"/>
      <c r="IM71" s="1455"/>
      <c r="IN71" s="1455"/>
      <c r="IO71" s="1452"/>
      <c r="IP71" s="1455"/>
      <c r="IQ71" s="1455"/>
      <c r="IR71" s="1455"/>
      <c r="IS71" s="1455"/>
      <c r="IT71" s="1455"/>
      <c r="IU71" s="1455"/>
      <c r="IV71" s="1455"/>
      <c r="IW71" s="1455"/>
      <c r="IX71" s="1455"/>
      <c r="IY71" s="1452"/>
      <c r="IZ71" s="1455"/>
      <c r="JA71" s="1455"/>
      <c r="JB71" s="1455"/>
      <c r="JC71" s="1455"/>
      <c r="JD71" s="1455"/>
      <c r="JE71" s="1452"/>
      <c r="JF71" s="1452"/>
      <c r="JG71" s="1452"/>
      <c r="JH71" s="1455"/>
      <c r="JI71" s="1455"/>
      <c r="JJ71" s="1455"/>
      <c r="JK71" s="1455"/>
      <c r="JL71" s="1455"/>
      <c r="JM71" s="1455"/>
      <c r="JN71" s="1455"/>
      <c r="JO71" s="1455"/>
      <c r="JP71" s="1455"/>
      <c r="JQ71" s="1501"/>
      <c r="JR71" s="351"/>
      <c r="JS71" s="1627" t="s">
        <v>3835</v>
      </c>
      <c r="JT71" s="1385" t="s">
        <v>2242</v>
      </c>
    </row>
    <row r="72" spans="1:280" ht="12.5" x14ac:dyDescent="0.25">
      <c r="A72" s="1367">
        <v>72</v>
      </c>
      <c r="B72" s="1411" t="str">
        <f t="shared" si="2"/>
        <v/>
      </c>
      <c r="C72" s="1628" t="s">
        <v>3836</v>
      </c>
      <c r="D72" s="1531" t="s">
        <v>3837</v>
      </c>
      <c r="E72" s="1556">
        <f t="shared" ref="E72:F72" si="40">MAX(0,(E68-E67)+(E70-E71))</f>
        <v>0</v>
      </c>
      <c r="F72" s="1556">
        <f t="shared" si="40"/>
        <v>0</v>
      </c>
      <c r="G72" s="1556"/>
      <c r="H72" s="1556"/>
      <c r="I72" s="1556"/>
      <c r="J72" s="1556"/>
      <c r="K72" s="1556"/>
      <c r="L72" s="1556"/>
      <c r="M72" s="1556">
        <f>MAX(0,(M68-M67)+(M70-M71))</f>
        <v>0</v>
      </c>
      <c r="N72" s="1556"/>
      <c r="O72" s="1556">
        <f t="shared" ref="O72:T72" si="41">MAX(0,(O68-O67)+(O70-O71))</f>
        <v>0</v>
      </c>
      <c r="P72" s="1556"/>
      <c r="Q72" s="1556">
        <f t="shared" si="41"/>
        <v>0</v>
      </c>
      <c r="R72" s="1556"/>
      <c r="S72" s="1556"/>
      <c r="T72" s="1556">
        <f t="shared" si="41"/>
        <v>0</v>
      </c>
      <c r="U72" s="1556">
        <f t="shared" ref="U72" si="42">MAX(0,(U68-U67)+(U70-U71))</f>
        <v>0</v>
      </c>
      <c r="V72" s="1556"/>
      <c r="W72" s="1556"/>
      <c r="X72" s="1556"/>
      <c r="Y72" s="1556"/>
      <c r="Z72" s="1556">
        <f t="shared" ref="Z72" si="43">MAX(0,(Z68-Z67)+(Z70-Z71))</f>
        <v>0</v>
      </c>
      <c r="AA72" s="1556">
        <f>MAX(0,(AA68-AA67)+(AA70-AA71))</f>
        <v>0</v>
      </c>
      <c r="AB72" s="1556"/>
      <c r="AC72" s="1556">
        <f t="shared" ref="AC72:AE72" si="44">MAX(0,(AC68-AC67)+(AC70-AC71))</f>
        <v>0</v>
      </c>
      <c r="AD72" s="1556"/>
      <c r="AE72" s="1556">
        <f t="shared" si="44"/>
        <v>0</v>
      </c>
      <c r="AF72" s="1556"/>
      <c r="AG72" s="1556"/>
      <c r="AH72" s="1556"/>
      <c r="AI72" s="1556"/>
      <c r="AJ72" s="1556"/>
      <c r="AK72" s="1556">
        <f t="shared" ref="AK72" si="45">MAX(0,(AK68-AK67)+(AK70-AK71))</f>
        <v>0</v>
      </c>
      <c r="AL72" s="1556"/>
      <c r="AM72" s="1556"/>
      <c r="AN72" s="1556">
        <f t="shared" ref="AN72" si="46">MAX(0,(AN68-AN67)+(AN70-AN71))</f>
        <v>0</v>
      </c>
      <c r="AO72" s="1556">
        <f t="shared" ref="AO72" si="47">MAX(0,(AO68-AO67)+(AO70-AO71))</f>
        <v>0</v>
      </c>
      <c r="AP72" s="1556"/>
      <c r="AQ72" s="1556">
        <f t="shared" ref="AQ72" si="48">MAX(0,(AQ68-AQ67)+(AQ70-AQ71))</f>
        <v>820</v>
      </c>
      <c r="AR72" s="1556"/>
      <c r="AS72" s="1556">
        <f t="shared" ref="AS72" si="49">MAX(0,(AS68-AS67)+(AS70-AS71))</f>
        <v>0</v>
      </c>
      <c r="AT72" s="1556"/>
      <c r="AU72" s="1556"/>
      <c r="AV72" s="1556"/>
      <c r="AW72" s="1556">
        <f t="shared" ref="AW72" si="50">MAX(0,(AW68-AW67)+(AW70-AW71))</f>
        <v>0</v>
      </c>
      <c r="AX72" s="1556"/>
      <c r="AY72" s="1454">
        <f t="shared" ref="AY72" si="51">MAX(0,(AY68-AY67)+(AY70-AY71))</f>
        <v>0</v>
      </c>
      <c r="AZ72" s="1556">
        <f t="shared" ref="AZ72" si="52">MAX(0,(AZ68-AZ67)+(AZ70-AZ71))</f>
        <v>0</v>
      </c>
      <c r="BA72" s="1556"/>
      <c r="BB72" s="1454">
        <f t="shared" ref="BB72" si="53">MAX(0,(BB68-BB67)+(BB70-BB71))</f>
        <v>0</v>
      </c>
      <c r="BC72" s="1556">
        <f t="shared" ref="BC72" si="54">MAX(0,(BC68-BC67)+(BC70-BC71))</f>
        <v>0</v>
      </c>
      <c r="BD72" s="1556">
        <f t="shared" ref="BD72" si="55">MAX(0,(BD68-BD67)+(BD70-BD71))</f>
        <v>0</v>
      </c>
      <c r="BE72" s="1556"/>
      <c r="BF72" s="1556"/>
      <c r="BG72" s="1556">
        <f>MAX(0,(BG68-BG67)+(BG70-BG71))</f>
        <v>0</v>
      </c>
      <c r="BH72" s="1556"/>
      <c r="BI72" s="1556"/>
      <c r="BJ72" s="1556"/>
      <c r="BK72" s="1556">
        <f>MAX(0,(BK68-BK67)+(BK70-BK71))</f>
        <v>0</v>
      </c>
      <c r="BL72" s="1556"/>
      <c r="BM72" s="1556"/>
      <c r="BN72" s="1556"/>
      <c r="BO72" s="1556"/>
      <c r="BP72" s="1454">
        <f t="shared" ref="BP72:BT72" si="56">MAX(0,(BP68-BP67)+(BP70-BP71))</f>
        <v>0</v>
      </c>
      <c r="BQ72" s="1556"/>
      <c r="BR72" s="1556"/>
      <c r="BS72" s="1556"/>
      <c r="BT72" s="1454">
        <f t="shared" si="56"/>
        <v>0</v>
      </c>
      <c r="BU72" s="1556"/>
      <c r="BV72" s="1454">
        <f>MAX(0,(BV68-BV67)+(BV70-BV71))</f>
        <v>0</v>
      </c>
      <c r="BW72" s="1556"/>
      <c r="BX72" s="1556">
        <f>MAX(0,(BX68-BX67)+(BX70-BX71))</f>
        <v>0</v>
      </c>
      <c r="BY72" s="1556"/>
      <c r="BZ72" s="1556"/>
      <c r="CA72" s="1556"/>
      <c r="CB72" s="1556">
        <f t="shared" ref="CB72" si="57">MAX(0,(CB68-CB67)+(CB70-CB71))</f>
        <v>0</v>
      </c>
      <c r="CC72" s="1556">
        <f>MAX(0,(CC68-CC67)+(CC70-CC71))</f>
        <v>0</v>
      </c>
      <c r="CD72" s="1454">
        <f>MAX(0,(CD68-CD67)+(CD70-CD71))</f>
        <v>0</v>
      </c>
      <c r="CE72" s="1631"/>
      <c r="CF72" s="1631"/>
      <c r="CG72" s="1631"/>
      <c r="CH72" s="1556">
        <f>MAX(0,(CH68-CH67)+(CH70-CH71))</f>
        <v>0</v>
      </c>
      <c r="CI72" s="1556">
        <f>MAX(0,(CI68-CI67)+(CI70-CI71))</f>
        <v>0</v>
      </c>
      <c r="CJ72" s="1454">
        <v>0</v>
      </c>
      <c r="CK72" s="1556"/>
      <c r="CL72" s="1556"/>
      <c r="CM72" s="1556"/>
      <c r="CN72" s="1556">
        <f t="shared" ref="CN72" si="58">MAX(0,(CN68-CN67)+(CN70-CN71))</f>
        <v>0</v>
      </c>
      <c r="CO72" s="1631"/>
      <c r="CP72" s="1631"/>
      <c r="CQ72" s="1454">
        <f>MAX(0,(CQ68-CQ67)+(CQ70-CQ71))</f>
        <v>0</v>
      </c>
      <c r="CR72" s="1556">
        <f>MAX(0,(CR68-CR67)+(CR70-CR71))</f>
        <v>0</v>
      </c>
      <c r="CS72" s="1556">
        <f>MAX(0,(CS68-CS67)+(CS70-CS71))</f>
        <v>0</v>
      </c>
      <c r="CT72" s="1556">
        <f>MAX(0,(CT68-CT67)+(CT70-CT71))</f>
        <v>0</v>
      </c>
      <c r="CU72" s="1631"/>
      <c r="CV72" s="1454"/>
      <c r="CW72" s="1631"/>
      <c r="CX72" s="1631"/>
      <c r="CY72" s="1631"/>
      <c r="CZ72" s="1556">
        <f>MAX(0,(CZ68-CZ67)+(CZ70-CZ71))</f>
        <v>0</v>
      </c>
      <c r="DA72" s="1556">
        <f>MAX(0,(DA68-DA67)+(DA70-DA71))</f>
        <v>0</v>
      </c>
      <c r="DB72" s="1556">
        <f>MAX(0,(DB68-DB67)+(DB70-DB71))</f>
        <v>0</v>
      </c>
      <c r="DC72" s="1556">
        <f>MAX(0,(DC68-DC67)+(DC70-DC71))</f>
        <v>0</v>
      </c>
      <c r="DD72" s="1631"/>
      <c r="DE72" s="1631"/>
      <c r="DF72" s="1631"/>
      <c r="DG72" s="1631"/>
      <c r="DH72" s="1631"/>
      <c r="DI72" s="1556">
        <f>MAX(0,(DI68-DI67)+(DI70-DI71))</f>
        <v>1784</v>
      </c>
      <c r="DJ72" s="1454">
        <f>MAX(0,(DJ68-DJ67)+(DJ70-DJ71))</f>
        <v>0</v>
      </c>
      <c r="DK72" s="1631"/>
      <c r="DL72" s="1556">
        <f>MAX(0,(DL68-DL67)+(DL70-DL71))</f>
        <v>1784</v>
      </c>
      <c r="DM72" s="1556">
        <f>MAX(0,(DM68-DM67)+(DM70-DM71))</f>
        <v>0</v>
      </c>
      <c r="DN72" s="1631"/>
      <c r="DO72" s="1631"/>
      <c r="DP72" s="1631"/>
      <c r="DQ72" s="1631"/>
      <c r="DR72" s="1454">
        <f>MAX(0,(DR68-DR67)+(DR70-DR71))</f>
        <v>0</v>
      </c>
      <c r="DS72" s="1631"/>
      <c r="DT72" s="1631"/>
      <c r="DU72" s="1631"/>
      <c r="DV72" s="1631"/>
      <c r="DW72" s="1631">
        <f>MAX(0,(DW68-DW67)+(DW70-DW71))</f>
        <v>0</v>
      </c>
      <c r="DX72" s="1472">
        <f t="shared" ref="DX72:DY72" si="59">MAX(0,(DX68-DX67)+(DX70-DX71))</f>
        <v>0</v>
      </c>
      <c r="DY72" s="1472">
        <f t="shared" si="59"/>
        <v>0</v>
      </c>
      <c r="DZ72" s="1479">
        <f t="shared" ref="DZ72" si="60">MAX(0,(DZ68-DZ67)+(DZ70-DZ71))</f>
        <v>0</v>
      </c>
      <c r="EA72" s="1479">
        <f t="shared" ref="EA72" si="61">MAX(0,(EA68-EA67)+(EA70-EA71))</f>
        <v>0</v>
      </c>
      <c r="EB72" s="1472">
        <f t="shared" ref="EB72" si="62">MAX(0,(EB68-EB67)+(EB70-EB71))</f>
        <v>0</v>
      </c>
      <c r="EC72" s="1479"/>
      <c r="ED72" s="1479"/>
      <c r="EE72" s="1503">
        <f t="shared" ref="EE72" si="63">MAX(0,(EE68-EE67)+(EE70-EE71))</f>
        <v>0</v>
      </c>
      <c r="EF72" s="1479"/>
      <c r="EG72" s="1479"/>
      <c r="EH72" s="1503">
        <f t="shared" ref="EH72" si="64">MAX(0,(EH68-EH67)+(EH70-EH71))</f>
        <v>0</v>
      </c>
      <c r="EI72" s="1479">
        <f t="shared" ref="EI72" si="65">MAX(0,(EI68-EI67)+(EI70-EI71))</f>
        <v>0</v>
      </c>
      <c r="EJ72" s="1479">
        <f t="shared" ref="EJ72" si="66">MAX(0,(EJ68-EJ67)+(EJ70-EJ71))</f>
        <v>0</v>
      </c>
      <c r="EK72" s="1631"/>
      <c r="EL72" s="1631"/>
      <c r="EM72" s="1631"/>
      <c r="EN72" s="1454">
        <f>MAX(0,(EN68-EN67)+(EN70-EN71))</f>
        <v>0</v>
      </c>
      <c r="EO72" s="1454">
        <f t="shared" ref="EO72:EU72" si="67">MAX(0,(EO68-EO67)+(EO70-EO71))</f>
        <v>0</v>
      </c>
      <c r="EP72" s="1454">
        <f t="shared" si="67"/>
        <v>0</v>
      </c>
      <c r="EQ72" s="1454">
        <f t="shared" si="67"/>
        <v>0</v>
      </c>
      <c r="ER72" s="1556"/>
      <c r="ES72" s="1556"/>
      <c r="ET72" s="1454">
        <f t="shared" si="67"/>
        <v>1139415.7599999998</v>
      </c>
      <c r="EU72" s="1556">
        <f t="shared" si="67"/>
        <v>0</v>
      </c>
      <c r="EV72" s="1454">
        <f t="shared" ref="EV72" si="68">MAX(0,(EV68-EV67)+(EV70-EV71))</f>
        <v>0</v>
      </c>
      <c r="EW72" s="1556">
        <f t="shared" ref="EW72" si="69">MAX(0,(EW68-EW67)+(EW70-EW71))</f>
        <v>0</v>
      </c>
      <c r="EX72" s="1556">
        <f t="shared" ref="EX72" si="70">MAX(0,(EX68-EX67)+(EX70-EX71))</f>
        <v>0</v>
      </c>
      <c r="EY72" s="1556">
        <f t="shared" ref="EY72" si="71">MAX(0,(EY68-EY67)+(EY70-EY71))</f>
        <v>0</v>
      </c>
      <c r="EZ72" s="1454">
        <f t="shared" ref="EZ72:FA72" si="72">MAX(0,(EZ68-EZ67)+(EZ70-EZ71))</f>
        <v>0</v>
      </c>
      <c r="FA72" s="1556">
        <f t="shared" si="72"/>
        <v>0</v>
      </c>
      <c r="FB72" s="1556">
        <f t="shared" ref="FB72" si="73">MAX(0,(FB68-FB67)+(FB70-FB71))</f>
        <v>0</v>
      </c>
      <c r="FC72" s="1556">
        <f t="shared" ref="FC72" si="74">MAX(0,(FC68-FC67)+(FC70-FC71))</f>
        <v>0</v>
      </c>
      <c r="FD72" s="1556">
        <f t="shared" ref="FD72" si="75">MAX(0,(FD68-FD67)+(FD70-FD71))</f>
        <v>0</v>
      </c>
      <c r="FE72" s="1556">
        <f t="shared" ref="FE72" si="76">MAX(0,(FE68-FE67)+(FE70-FE71))</f>
        <v>0</v>
      </c>
      <c r="FF72" s="1556">
        <f>MAX(0,(FF68-FF67)+(FF70-FF71))</f>
        <v>0</v>
      </c>
      <c r="FG72" s="1556">
        <f t="shared" ref="FG72:FJ72" si="77">MAX(0,(FG68-FG67)+(FG70-FG71))</f>
        <v>0</v>
      </c>
      <c r="FH72" s="1556">
        <f t="shared" si="77"/>
        <v>0</v>
      </c>
      <c r="FI72" s="1556">
        <f t="shared" si="77"/>
        <v>0</v>
      </c>
      <c r="FJ72" s="1556">
        <f t="shared" si="77"/>
        <v>0</v>
      </c>
      <c r="FK72" s="1631"/>
      <c r="FL72" s="1631"/>
      <c r="FM72" s="1631"/>
      <c r="FN72" s="1631"/>
      <c r="FO72" s="1631"/>
      <c r="FP72" s="1631"/>
      <c r="FQ72" s="1631"/>
      <c r="FR72" s="1631"/>
      <c r="FS72" s="1631"/>
      <c r="FT72" s="1556"/>
      <c r="FU72" s="1556"/>
      <c r="FV72" s="1454">
        <f>MAX(0,(FV68-FV67)+(FV70-FV71))</f>
        <v>0</v>
      </c>
      <c r="FW72" s="1631"/>
      <c r="FX72" s="1556"/>
      <c r="FY72" s="1631"/>
      <c r="FZ72" s="1631"/>
      <c r="GA72" s="1631"/>
      <c r="GB72" s="1631"/>
      <c r="GC72" s="1631"/>
      <c r="GD72" s="1631"/>
      <c r="GE72" s="1556"/>
      <c r="GF72" s="1556"/>
      <c r="GG72" s="1556"/>
      <c r="GH72" s="1631"/>
      <c r="GI72" s="1631"/>
      <c r="GJ72" s="1454">
        <v>5725</v>
      </c>
      <c r="GK72" s="1631"/>
      <c r="GL72" s="1631"/>
      <c r="GM72" s="1631"/>
      <c r="GN72" s="1631"/>
      <c r="GO72" s="1631"/>
      <c r="GP72" s="1631"/>
      <c r="GQ72" s="1631"/>
      <c r="GR72" s="1631"/>
      <c r="GS72" s="1631"/>
      <c r="GT72" s="1631"/>
      <c r="GU72" s="1631"/>
      <c r="GV72" s="1631"/>
      <c r="GW72" s="1556"/>
      <c r="GX72" s="1556"/>
      <c r="GY72" s="1631"/>
      <c r="GZ72" s="1631"/>
      <c r="HA72" s="1631"/>
      <c r="HB72" s="1454"/>
      <c r="HC72" s="1631"/>
      <c r="HD72" s="1632"/>
      <c r="HE72" s="1631"/>
      <c r="HF72" s="1556"/>
      <c r="HG72" s="1631">
        <f>MAX(0,(HG68-HG67)+(HG70-HG71))</f>
        <v>0</v>
      </c>
      <c r="HH72" s="1631"/>
      <c r="HI72" s="1631"/>
      <c r="HJ72" s="1631"/>
      <c r="HK72" s="1631"/>
      <c r="HL72" s="1631"/>
      <c r="HM72" s="1631"/>
      <c r="HN72" s="1631"/>
      <c r="HO72" s="1631"/>
      <c r="HP72" s="1631"/>
      <c r="HQ72" s="1631"/>
      <c r="HR72" s="1556"/>
      <c r="HS72" s="1556"/>
      <c r="HT72" s="1556"/>
      <c r="HU72" s="1556"/>
      <c r="HV72" s="1556"/>
      <c r="HW72" s="1556"/>
      <c r="HX72" s="1556"/>
      <c r="HY72" s="1556"/>
      <c r="HZ72" s="1556">
        <f t="shared" ref="HZ72" si="78">MAX(0,(HZ68-HZ67)+(HZ70-HZ71))</f>
        <v>0</v>
      </c>
      <c r="IA72" s="1556"/>
      <c r="IB72" s="1556"/>
      <c r="IC72" s="1556"/>
      <c r="ID72" s="1556">
        <f t="shared" ref="ID72" si="79">MAX(0,(ID68-ID67)+(ID70-ID71))</f>
        <v>0</v>
      </c>
      <c r="IE72" s="1556">
        <f t="shared" ref="IE72" si="80">MAX(0,(IE68-IE67)+(IE70-IE71))</f>
        <v>0</v>
      </c>
      <c r="IF72" s="1454">
        <f t="shared" ref="IF72" si="81">MAX(0,(IF68-IF67)+(IF70-IF71))</f>
        <v>0</v>
      </c>
      <c r="IG72" s="1479"/>
      <c r="IH72" s="1479"/>
      <c r="II72" s="1454">
        <f t="shared" ref="II72" si="82">MAX(0,(II68-II67)+(II70-II71))</f>
        <v>0</v>
      </c>
      <c r="IJ72" s="1454">
        <f t="shared" ref="IJ72" si="83">MAX(0,(IJ68-IJ67)+(IJ70-IJ71))</f>
        <v>0</v>
      </c>
      <c r="IK72" s="1631"/>
      <c r="IL72" s="1631"/>
      <c r="IM72" s="1631"/>
      <c r="IN72" s="1631"/>
      <c r="IO72" s="1632">
        <f>MAX(0,(IO68-IO67)+(IO70-IO71))</f>
        <v>0</v>
      </c>
      <c r="IP72" s="1631">
        <f>MAX(0,(IP68-IP67)+(IP70-IP71))</f>
        <v>0</v>
      </c>
      <c r="IQ72" s="1631"/>
      <c r="IR72" s="1631"/>
      <c r="IS72" s="1631">
        <f>MAX(0,(IS68-IS67)+(IS70-IS71))</f>
        <v>0</v>
      </c>
      <c r="IT72" s="1631">
        <f t="shared" ref="IT72:IW72" si="84">MAX(0,(IT68-IT67)+(IT70-IT71))</f>
        <v>0</v>
      </c>
      <c r="IU72" s="1631">
        <f t="shared" si="84"/>
        <v>0</v>
      </c>
      <c r="IV72" s="1631">
        <f t="shared" si="84"/>
        <v>0</v>
      </c>
      <c r="IW72" s="1631">
        <f t="shared" si="84"/>
        <v>0</v>
      </c>
      <c r="IX72" s="1631"/>
      <c r="IY72" s="1454">
        <v>9626</v>
      </c>
      <c r="IZ72" s="1631"/>
      <c r="JA72" s="1631"/>
      <c r="JB72" s="1631"/>
      <c r="JC72" s="1631"/>
      <c r="JD72" s="1631"/>
      <c r="JE72" s="1556">
        <f t="shared" ref="JE72" si="85">MAX(0,(JE68-JE67)+(JE70-JE71))</f>
        <v>0</v>
      </c>
      <c r="JF72" s="1556"/>
      <c r="JG72" s="1556">
        <f>MAX(0,(JG68-JG67)+(JG70-JG71))</f>
        <v>0</v>
      </c>
      <c r="JH72" s="1556">
        <f t="shared" ref="JH72:JI72" si="86">MAX(0,(JH68-JH67)+(JH70-JH71))</f>
        <v>0</v>
      </c>
      <c r="JI72" s="1556">
        <f t="shared" si="86"/>
        <v>0</v>
      </c>
      <c r="JJ72" s="1631"/>
      <c r="JK72" s="1631">
        <v>0</v>
      </c>
      <c r="JL72" s="1631">
        <v>0</v>
      </c>
      <c r="JM72" s="1631"/>
      <c r="JN72" s="1631"/>
      <c r="JO72" s="1631"/>
      <c r="JP72" s="1631"/>
      <c r="JQ72" s="1633">
        <f>MAX(0,(JQ68-JQ67)+(JQ70-JQ71))</f>
        <v>0</v>
      </c>
      <c r="JR72" s="351"/>
      <c r="JS72" s="1400"/>
      <c r="JT72" s="1385" t="s">
        <v>2224</v>
      </c>
    </row>
    <row r="73" spans="1:280" ht="30" x14ac:dyDescent="0.25">
      <c r="A73" s="1367">
        <v>73</v>
      </c>
      <c r="B73" s="1411" t="str">
        <f t="shared" si="2"/>
        <v/>
      </c>
      <c r="C73" s="1634" t="s">
        <v>3838</v>
      </c>
      <c r="D73" s="2556" t="s">
        <v>3839</v>
      </c>
      <c r="E73" s="1452">
        <v>6080</v>
      </c>
      <c r="F73" s="1452">
        <v>2800</v>
      </c>
      <c r="G73" s="1452"/>
      <c r="H73" s="1452"/>
      <c r="I73" s="1452"/>
      <c r="J73" s="1452"/>
      <c r="K73" s="1452"/>
      <c r="L73" s="1452"/>
      <c r="M73" s="1452">
        <v>2000</v>
      </c>
      <c r="N73" s="1452"/>
      <c r="O73" s="1452">
        <v>2500</v>
      </c>
      <c r="P73" s="1452"/>
      <c r="Q73" s="1452">
        <v>1778</v>
      </c>
      <c r="R73" s="1452"/>
      <c r="S73" s="1452"/>
      <c r="T73" s="1452">
        <v>88700</v>
      </c>
      <c r="U73" s="1452">
        <v>15000</v>
      </c>
      <c r="V73" s="1452"/>
      <c r="W73" s="1452"/>
      <c r="X73" s="1452"/>
      <c r="Y73" s="1452"/>
      <c r="Z73" s="1452">
        <v>15920</v>
      </c>
      <c r="AA73" s="1452"/>
      <c r="AB73" s="1452"/>
      <c r="AC73" s="1452">
        <v>5000</v>
      </c>
      <c r="AD73" s="1452"/>
      <c r="AE73" s="1452"/>
      <c r="AF73" s="1452"/>
      <c r="AG73" s="1452"/>
      <c r="AH73" s="1452"/>
      <c r="AI73" s="1452"/>
      <c r="AJ73" s="1452"/>
      <c r="AK73" s="1452"/>
      <c r="AL73" s="1452"/>
      <c r="AM73" s="1452"/>
      <c r="AN73" s="1452">
        <v>625</v>
      </c>
      <c r="AO73" s="1452"/>
      <c r="AP73" s="1452"/>
      <c r="AQ73" s="1452"/>
      <c r="AR73" s="1452"/>
      <c r="AS73" s="1452"/>
      <c r="AT73" s="1452"/>
      <c r="AU73" s="1452"/>
      <c r="AV73" s="1452"/>
      <c r="AW73" s="1452">
        <v>500</v>
      </c>
      <c r="AX73" s="1452"/>
      <c r="AY73" s="1454"/>
      <c r="AZ73" s="1452">
        <v>500</v>
      </c>
      <c r="BA73" s="1452"/>
      <c r="BB73" s="1454">
        <v>3600</v>
      </c>
      <c r="BC73" s="1452"/>
      <c r="BD73" s="1452"/>
      <c r="BE73" s="1452"/>
      <c r="BF73" s="1452"/>
      <c r="BG73" s="1452"/>
      <c r="BH73" s="1452"/>
      <c r="BI73" s="1452"/>
      <c r="BJ73" s="1452"/>
      <c r="BK73" s="1452"/>
      <c r="BL73" s="1452"/>
      <c r="BM73" s="1452"/>
      <c r="BN73" s="1452"/>
      <c r="BO73" s="1452"/>
      <c r="BP73" s="1452"/>
      <c r="BQ73" s="1452"/>
      <c r="BR73" s="1452"/>
      <c r="BS73" s="1452"/>
      <c r="BT73" s="1641"/>
      <c r="BU73" s="1452"/>
      <c r="BV73" s="1641"/>
      <c r="BW73" s="1452"/>
      <c r="BX73" s="1452">
        <v>1965</v>
      </c>
      <c r="BY73" s="1452"/>
      <c r="BZ73" s="1452"/>
      <c r="CA73" s="1452"/>
      <c r="CB73" s="1452"/>
      <c r="CC73" s="1452">
        <v>500</v>
      </c>
      <c r="CD73" s="1641"/>
      <c r="CE73" s="1455"/>
      <c r="CF73" s="1455"/>
      <c r="CG73" s="1455"/>
      <c r="CH73" s="1641"/>
      <c r="CI73" s="1452">
        <v>486.66666666666669</v>
      </c>
      <c r="CJ73" s="1455"/>
      <c r="CK73" s="1455"/>
      <c r="CL73" s="1455"/>
      <c r="CM73" s="1455"/>
      <c r="CN73" s="1455"/>
      <c r="CO73" s="1455"/>
      <c r="CP73" s="1455"/>
      <c r="CQ73" s="1454">
        <v>54675.4</v>
      </c>
      <c r="CR73" s="1452"/>
      <c r="CS73" s="1452"/>
      <c r="CT73" s="1641"/>
      <c r="CU73" s="1455"/>
      <c r="CV73" s="1454"/>
      <c r="CW73" s="1455"/>
      <c r="CX73" s="1455"/>
      <c r="CY73" s="1455"/>
      <c r="CZ73" s="1452">
        <v>500</v>
      </c>
      <c r="DA73" s="1452">
        <v>500</v>
      </c>
      <c r="DB73" s="1452"/>
      <c r="DC73" s="1452">
        <v>486.66666666666669</v>
      </c>
      <c r="DD73" s="1455"/>
      <c r="DE73" s="1455"/>
      <c r="DF73" s="1455"/>
      <c r="DG73" s="1455"/>
      <c r="DH73" s="1455"/>
      <c r="DI73" s="1452">
        <v>9722.6666666666661</v>
      </c>
      <c r="DJ73" s="1472">
        <v>5486</v>
      </c>
      <c r="DK73" s="1455"/>
      <c r="DL73" s="1452">
        <v>9722.6666666666661</v>
      </c>
      <c r="DM73" s="1452">
        <v>486.66666666666669</v>
      </c>
      <c r="DN73" s="1455"/>
      <c r="DO73" s="1455"/>
      <c r="DP73" s="1455"/>
      <c r="DQ73" s="1455"/>
      <c r="DR73" s="1452">
        <v>44137</v>
      </c>
      <c r="DS73" s="1455"/>
      <c r="DT73" s="1455"/>
      <c r="DU73" s="1455"/>
      <c r="DV73" s="1455"/>
      <c r="DW73" s="1455">
        <v>450</v>
      </c>
      <c r="DX73" s="1472">
        <v>2343.7399999999998</v>
      </c>
      <c r="DY73" s="1455"/>
      <c r="DZ73" s="1455"/>
      <c r="EA73" s="1455"/>
      <c r="EB73" s="1472">
        <v>4978</v>
      </c>
      <c r="EC73" s="1455"/>
      <c r="ED73" s="1455"/>
      <c r="EE73" s="1455"/>
      <c r="EF73" s="1455"/>
      <c r="EG73" s="1455"/>
      <c r="EH73" s="1455"/>
      <c r="EI73" s="1455"/>
      <c r="EJ73" s="1452"/>
      <c r="EK73" s="1455"/>
      <c r="EL73" s="1455"/>
      <c r="EM73" s="1455"/>
      <c r="EN73" s="1454">
        <v>33777.5</v>
      </c>
      <c r="EO73" s="1455"/>
      <c r="EP73" s="1455"/>
      <c r="EQ73" s="1455"/>
      <c r="ER73" s="1455"/>
      <c r="ES73" s="1455"/>
      <c r="ET73" s="1455"/>
      <c r="EU73" s="1452"/>
      <c r="EV73" s="1455"/>
      <c r="EW73" s="1455"/>
      <c r="EX73" s="1455"/>
      <c r="EY73" s="1455"/>
      <c r="EZ73" s="1455"/>
      <c r="FA73" s="1455"/>
      <c r="FB73" s="1455"/>
      <c r="FC73" s="1455"/>
      <c r="FD73" s="1455"/>
      <c r="FE73" s="1455"/>
      <c r="FF73" s="1641"/>
      <c r="FG73" s="1455"/>
      <c r="FH73" s="1455"/>
      <c r="FI73" s="1455"/>
      <c r="FJ73" s="1455"/>
      <c r="FK73" s="1455"/>
      <c r="FL73" s="1455"/>
      <c r="FM73" s="1455"/>
      <c r="FN73" s="1455"/>
      <c r="FO73" s="1455"/>
      <c r="FP73" s="1455"/>
      <c r="FQ73" s="1455"/>
      <c r="FR73" s="1455"/>
      <c r="FS73" s="1455"/>
      <c r="FT73" s="1452">
        <v>500</v>
      </c>
      <c r="FU73" s="1452">
        <v>500</v>
      </c>
      <c r="FV73" s="1641"/>
      <c r="FW73" s="1455"/>
      <c r="FX73" s="1452"/>
      <c r="FY73" s="1455"/>
      <c r="FZ73" s="1455"/>
      <c r="GA73" s="1455"/>
      <c r="GB73" s="1455"/>
      <c r="GC73" s="1455"/>
      <c r="GD73" s="1455"/>
      <c r="GE73" s="1452"/>
      <c r="GF73" s="1452"/>
      <c r="GG73" s="1452"/>
      <c r="GH73" s="1455"/>
      <c r="GI73" s="1455"/>
      <c r="GJ73" s="1452"/>
      <c r="GK73" s="1455"/>
      <c r="GL73" s="1455"/>
      <c r="GM73" s="1455"/>
      <c r="GN73" s="1455"/>
      <c r="GO73" s="1455"/>
      <c r="GP73" s="1455"/>
      <c r="GQ73" s="1455"/>
      <c r="GR73" s="1455"/>
      <c r="GS73" s="1455"/>
      <c r="GT73" s="1455"/>
      <c r="GU73" s="1455"/>
      <c r="GV73" s="1455"/>
      <c r="GW73" s="1452"/>
      <c r="GX73" s="1452">
        <v>486.66666666666669</v>
      </c>
      <c r="GY73" s="1455"/>
      <c r="GZ73" s="1455"/>
      <c r="HA73" s="1455"/>
      <c r="HB73" s="1454">
        <v>9722.6666666666661</v>
      </c>
      <c r="HC73" s="1455"/>
      <c r="HD73" s="1452"/>
      <c r="HE73" s="1455"/>
      <c r="HF73" s="1641"/>
      <c r="HG73" s="1641"/>
      <c r="HH73" s="1455"/>
      <c r="HI73" s="1455"/>
      <c r="HJ73" s="1455"/>
      <c r="HK73" s="1455"/>
      <c r="HL73" s="1455"/>
      <c r="HM73" s="1455"/>
      <c r="HN73" s="1455"/>
      <c r="HO73" s="1455"/>
      <c r="HP73" s="1455"/>
      <c r="HQ73" s="1455"/>
      <c r="HR73" s="1641"/>
      <c r="HS73" s="1641"/>
      <c r="HT73" s="1472">
        <v>1304</v>
      </c>
      <c r="HU73" s="1455"/>
      <c r="HV73" s="1455"/>
      <c r="HW73" s="1455"/>
      <c r="HX73" s="1455"/>
      <c r="HY73" s="1455"/>
      <c r="HZ73" s="1452">
        <v>700</v>
      </c>
      <c r="IA73" s="1455"/>
      <c r="IB73" s="1455"/>
      <c r="IC73" s="1455"/>
      <c r="ID73" s="1455"/>
      <c r="IE73" s="1455"/>
      <c r="IF73" s="1472">
        <v>4019.89</v>
      </c>
      <c r="IG73" s="1455"/>
      <c r="IH73" s="1455"/>
      <c r="II73" s="1472">
        <v>11016</v>
      </c>
      <c r="IJ73" s="1455"/>
      <c r="IK73" s="1455"/>
      <c r="IL73" s="1455"/>
      <c r="IM73" s="1455"/>
      <c r="IN73" s="1455"/>
      <c r="IO73" s="1452"/>
      <c r="IP73" s="1455"/>
      <c r="IQ73" s="1455"/>
      <c r="IR73" s="1455"/>
      <c r="IS73" s="1455"/>
      <c r="IT73" s="1455">
        <v>25068</v>
      </c>
      <c r="IU73" s="1455">
        <v>4739</v>
      </c>
      <c r="IV73" s="1455"/>
      <c r="IW73" s="1455"/>
      <c r="IX73" s="1455"/>
      <c r="IY73" s="1453"/>
      <c r="IZ73" s="1455"/>
      <c r="JA73" s="1455"/>
      <c r="JB73" s="1455"/>
      <c r="JC73" s="1455"/>
      <c r="JD73" s="1455"/>
      <c r="JE73" s="1452"/>
      <c r="JF73" s="1452"/>
      <c r="JG73" s="1452">
        <v>266.66666666666669</v>
      </c>
      <c r="JH73" s="1455"/>
      <c r="JI73" s="1455"/>
      <c r="JJ73" s="1455"/>
      <c r="JK73" s="1455">
        <v>514</v>
      </c>
      <c r="JL73" s="1455"/>
      <c r="JM73" s="1455"/>
      <c r="JN73" s="1455"/>
      <c r="JO73" s="1455"/>
      <c r="JP73" s="1455"/>
      <c r="JQ73" s="1501">
        <v>19100</v>
      </c>
      <c r="JR73" s="351"/>
      <c r="JS73" s="1400" t="s">
        <v>3840</v>
      </c>
      <c r="JT73" s="1385" t="s">
        <v>2242</v>
      </c>
    </row>
    <row r="74" spans="1:280" ht="12.5" x14ac:dyDescent="0.25">
      <c r="A74" s="1367">
        <v>74</v>
      </c>
      <c r="B74" s="1411" t="str">
        <f>IF(PRO_IND&gt;1,IF(HLOOKUP(PRO_IND-1,PRO_RANGE,A74)="","",HLOOKUP(PRO_IND-1,PRO_RANGE,A74)),"")</f>
        <v/>
      </c>
      <c r="C74" s="1628" t="s">
        <v>3841</v>
      </c>
      <c r="D74" s="1531" t="s">
        <v>3842</v>
      </c>
      <c r="E74" s="1452">
        <v>2400</v>
      </c>
      <c r="F74" s="1452">
        <v>50</v>
      </c>
      <c r="G74" s="1452"/>
      <c r="H74" s="1452"/>
      <c r="I74" s="1452"/>
      <c r="J74" s="1452"/>
      <c r="K74" s="1452"/>
      <c r="L74" s="1452"/>
      <c r="M74" s="1452"/>
      <c r="N74" s="1452"/>
      <c r="O74" s="1452"/>
      <c r="P74" s="1452"/>
      <c r="Q74" s="1452"/>
      <c r="R74" s="1452"/>
      <c r="S74" s="1452"/>
      <c r="T74" s="1452">
        <v>800</v>
      </c>
      <c r="U74" s="1452"/>
      <c r="V74" s="1452"/>
      <c r="W74" s="1452"/>
      <c r="X74" s="1452"/>
      <c r="Y74" s="1452"/>
      <c r="Z74" s="1452">
        <v>7443</v>
      </c>
      <c r="AA74" s="1452"/>
      <c r="AB74" s="1452"/>
      <c r="AC74" s="1452"/>
      <c r="AD74" s="1452"/>
      <c r="AE74" s="1452"/>
      <c r="AF74" s="1452"/>
      <c r="AG74" s="1452"/>
      <c r="AH74" s="1452"/>
      <c r="AI74" s="1452"/>
      <c r="AJ74" s="1452"/>
      <c r="AK74" s="1452"/>
      <c r="AL74" s="1452"/>
      <c r="AM74" s="1452"/>
      <c r="AN74" s="1452"/>
      <c r="AO74" s="1452"/>
      <c r="AP74" s="1452"/>
      <c r="AQ74" s="1452"/>
      <c r="AR74" s="1452"/>
      <c r="AS74" s="1452"/>
      <c r="AT74" s="1452"/>
      <c r="AU74" s="1452"/>
      <c r="AV74" s="1452"/>
      <c r="AW74" s="1452"/>
      <c r="AX74" s="1452"/>
      <c r="AY74" s="1452"/>
      <c r="AZ74" s="1452"/>
      <c r="BA74" s="1452"/>
      <c r="BB74" s="1452"/>
      <c r="BC74" s="1452"/>
      <c r="BD74" s="1452"/>
      <c r="BE74" s="1452"/>
      <c r="BF74" s="1452"/>
      <c r="BG74" s="1452"/>
      <c r="BH74" s="1452"/>
      <c r="BI74" s="1452"/>
      <c r="BJ74" s="1452"/>
      <c r="BK74" s="1452"/>
      <c r="BL74" s="1452"/>
      <c r="BM74" s="1452"/>
      <c r="BN74" s="1452"/>
      <c r="BO74" s="1452"/>
      <c r="BP74" s="1452"/>
      <c r="BQ74" s="1452"/>
      <c r="BR74" s="1452"/>
      <c r="BS74" s="1452"/>
      <c r="BT74" s="1452"/>
      <c r="BU74" s="1452"/>
      <c r="BV74" s="1452"/>
      <c r="BW74" s="1452"/>
      <c r="BX74" s="1452"/>
      <c r="BY74" s="1452"/>
      <c r="BZ74" s="1452"/>
      <c r="CA74" s="1452"/>
      <c r="CB74" s="1452"/>
      <c r="CC74" s="1452"/>
      <c r="CD74" s="1452"/>
      <c r="CE74" s="1452"/>
      <c r="CF74" s="1452"/>
      <c r="CG74" s="1452"/>
      <c r="CH74" s="1452"/>
      <c r="CI74" s="1452"/>
      <c r="CJ74" s="1452"/>
      <c r="CK74" s="1452"/>
      <c r="CL74" s="1452"/>
      <c r="CM74" s="1452"/>
      <c r="CN74" s="1452"/>
      <c r="CO74" s="1452"/>
      <c r="CP74" s="1452"/>
      <c r="CQ74" s="1452"/>
      <c r="CR74" s="1452"/>
      <c r="CS74" s="1452"/>
      <c r="CT74" s="1452"/>
      <c r="CU74" s="1452"/>
      <c r="CV74" s="1452"/>
      <c r="CW74" s="1452"/>
      <c r="CX74" s="1452"/>
      <c r="CY74" s="1452"/>
      <c r="CZ74" s="1452"/>
      <c r="DA74" s="1452"/>
      <c r="DB74" s="1452"/>
      <c r="DC74" s="1452"/>
      <c r="DD74" s="1452"/>
      <c r="DE74" s="1452"/>
      <c r="DF74" s="1452"/>
      <c r="DG74" s="1452"/>
      <c r="DH74" s="1452"/>
      <c r="DI74" s="1452"/>
      <c r="DJ74" s="1452"/>
      <c r="DK74" s="1452"/>
      <c r="DL74" s="1452"/>
      <c r="DM74" s="1452"/>
      <c r="DN74" s="1452"/>
      <c r="DO74" s="1452"/>
      <c r="DP74" s="1452"/>
      <c r="DQ74" s="1452"/>
      <c r="DR74" s="1452"/>
      <c r="DS74" s="1452"/>
      <c r="DT74" s="1452"/>
      <c r="DU74" s="1452"/>
      <c r="DV74" s="1452"/>
      <c r="DW74" s="1452"/>
      <c r="DX74" s="1472">
        <v>1706</v>
      </c>
      <c r="DY74" s="1452"/>
      <c r="DZ74" s="1452"/>
      <c r="EA74" s="1452"/>
      <c r="EB74" s="1472">
        <v>7181</v>
      </c>
      <c r="EC74" s="1452"/>
      <c r="ED74" s="1452"/>
      <c r="EE74" s="1452"/>
      <c r="EF74" s="1452"/>
      <c r="EG74" s="1452"/>
      <c r="EH74" s="1452"/>
      <c r="EI74" s="1452"/>
      <c r="EJ74" s="1452"/>
      <c r="EK74" s="1452"/>
      <c r="EL74" s="1452"/>
      <c r="EM74" s="1452"/>
      <c r="EN74" s="1452"/>
      <c r="EO74" s="1452"/>
      <c r="EP74" s="1452"/>
      <c r="EQ74" s="1452"/>
      <c r="ER74" s="1452"/>
      <c r="ES74" s="1452"/>
      <c r="ET74" s="1452"/>
      <c r="EU74" s="1452"/>
      <c r="EV74" s="1452"/>
      <c r="EW74" s="1452"/>
      <c r="EX74" s="1452"/>
      <c r="EY74" s="1452"/>
      <c r="EZ74" s="1452"/>
      <c r="FA74" s="1452"/>
      <c r="FB74" s="1452"/>
      <c r="FC74" s="1452"/>
      <c r="FD74" s="1452"/>
      <c r="FE74" s="1452"/>
      <c r="FF74" s="1452"/>
      <c r="FG74" s="1452"/>
      <c r="FH74" s="1452"/>
      <c r="FI74" s="1452"/>
      <c r="FJ74" s="1452"/>
      <c r="FK74" s="1452"/>
      <c r="FL74" s="1452"/>
      <c r="FM74" s="1452"/>
      <c r="FN74" s="1452"/>
      <c r="FO74" s="1452"/>
      <c r="FP74" s="1452"/>
      <c r="FQ74" s="1452"/>
      <c r="FR74" s="1452"/>
      <c r="FS74" s="1452"/>
      <c r="FT74" s="1452"/>
      <c r="FU74" s="1452"/>
      <c r="FV74" s="1452"/>
      <c r="FW74" s="1452"/>
      <c r="FX74" s="1452"/>
      <c r="FY74" s="1452"/>
      <c r="FZ74" s="1452"/>
      <c r="GA74" s="1452"/>
      <c r="GB74" s="1452"/>
      <c r="GC74" s="1452"/>
      <c r="GD74" s="1452"/>
      <c r="GE74" s="1452"/>
      <c r="GF74" s="1452"/>
      <c r="GG74" s="1452"/>
      <c r="GH74" s="1452"/>
      <c r="GI74" s="1452"/>
      <c r="GJ74" s="1452"/>
      <c r="GK74" s="1452"/>
      <c r="GL74" s="1452"/>
      <c r="GM74" s="1452"/>
      <c r="GN74" s="1452"/>
      <c r="GO74" s="1452"/>
      <c r="GP74" s="1452"/>
      <c r="GQ74" s="1452"/>
      <c r="GR74" s="1452"/>
      <c r="GS74" s="1452"/>
      <c r="GT74" s="1452"/>
      <c r="GU74" s="1452"/>
      <c r="GV74" s="1452"/>
      <c r="GW74" s="1452"/>
      <c r="GX74" s="1452"/>
      <c r="GY74" s="1452"/>
      <c r="GZ74" s="1452"/>
      <c r="HA74" s="1452"/>
      <c r="HB74" s="1452"/>
      <c r="HC74" s="1452"/>
      <c r="HD74" s="1452"/>
      <c r="HE74" s="1452"/>
      <c r="HF74" s="1452"/>
      <c r="HG74" s="1452"/>
      <c r="HH74" s="1452"/>
      <c r="HI74" s="1452"/>
      <c r="HJ74" s="1452"/>
      <c r="HK74" s="1452"/>
      <c r="HL74" s="1452"/>
      <c r="HM74" s="1452"/>
      <c r="HN74" s="1452"/>
      <c r="HO74" s="1452"/>
      <c r="HP74" s="1452"/>
      <c r="HQ74" s="1452"/>
      <c r="HR74" s="1452"/>
      <c r="HS74" s="1452"/>
      <c r="HT74" s="1452"/>
      <c r="HU74" s="1452"/>
      <c r="HV74" s="1452"/>
      <c r="HW74" s="1452"/>
      <c r="HX74" s="1452"/>
      <c r="HY74" s="1452"/>
      <c r="HZ74" s="1452">
        <v>1100</v>
      </c>
      <c r="IA74" s="1452"/>
      <c r="IB74" s="1452"/>
      <c r="IC74" s="1452"/>
      <c r="ID74" s="1452"/>
      <c r="IE74" s="1452"/>
      <c r="IF74" s="1452"/>
      <c r="IG74" s="1452"/>
      <c r="IH74" s="1452"/>
      <c r="II74" s="1472">
        <v>14761</v>
      </c>
      <c r="IJ74" s="1452"/>
      <c r="IK74" s="1452"/>
      <c r="IL74" s="1452"/>
      <c r="IM74" s="1452"/>
      <c r="IN74" s="1452"/>
      <c r="IO74" s="1452"/>
      <c r="IP74" s="1452"/>
      <c r="IQ74" s="1452"/>
      <c r="IR74" s="1452"/>
      <c r="IS74" s="1452"/>
      <c r="IT74" s="1452"/>
      <c r="IU74" s="1452"/>
      <c r="IV74" s="1452"/>
      <c r="IW74" s="1452"/>
      <c r="IX74" s="1452"/>
      <c r="IY74" s="1452"/>
      <c r="IZ74" s="1452"/>
      <c r="JA74" s="1452"/>
      <c r="JB74" s="1452"/>
      <c r="JC74" s="1452"/>
      <c r="JD74" s="1452"/>
      <c r="JE74" s="1452"/>
      <c r="JF74" s="1452"/>
      <c r="JG74" s="1452"/>
      <c r="JH74" s="1452"/>
      <c r="JI74" s="1452"/>
      <c r="JJ74" s="1452"/>
      <c r="JK74" s="1452"/>
      <c r="JL74" s="1452"/>
      <c r="JM74" s="1452"/>
      <c r="JN74" s="1452"/>
      <c r="JO74" s="1452"/>
      <c r="JP74" s="1452"/>
      <c r="JQ74" s="1452">
        <v>1780</v>
      </c>
      <c r="JR74" s="351"/>
      <c r="JS74" s="1400"/>
      <c r="JT74" s="1385" t="s">
        <v>3843</v>
      </c>
    </row>
    <row r="75" spans="1:280" ht="30" x14ac:dyDescent="0.3">
      <c r="JS75" s="1400" t="s">
        <v>3844</v>
      </c>
      <c r="JT75" s="1385" t="s">
        <v>3845</v>
      </c>
    </row>
  </sheetData>
  <phoneticPr fontId="58" type="noConversion"/>
  <dataValidations count="1">
    <dataValidation type="list" allowBlank="1" showInputMessage="1" showErrorMessage="1" sqref="JT2:JT74" xr:uid="{00000000-0002-0000-0E00-000000000000}">
      <formula1>allowedTypes</formula1>
    </dataValidation>
  </dataValidations>
  <pageMargins left="0.75" right="0.75" top="1" bottom="1" header="0.5" footer="0.5"/>
  <pageSetup paperSize="9" orientation="portrait" horizontalDpi="1200" verticalDpi="1200" r:id="rId1"/>
  <headerFooter alignWithMargins="0">
    <oddFooter>&amp;C&amp;1#&amp;"Calibri"&amp;10&amp;K000000OFFICIAL-SENSITIVE</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T267"/>
  <sheetViews>
    <sheetView showGridLines="0" zoomScaleNormal="100" workbookViewId="0">
      <pane xSplit="3" ySplit="1" topLeftCell="FH2" activePane="bottomRight" state="frozen"/>
      <selection pane="topRight" activeCell="I74" sqref="I74"/>
      <selection pane="bottomLeft" activeCell="I74" sqref="I74"/>
      <selection pane="bottomRight" activeCell="FR28" sqref="FR28"/>
    </sheetView>
  </sheetViews>
  <sheetFormatPr defaultColWidth="8.7265625" defaultRowHeight="12.5" x14ac:dyDescent="0.25"/>
  <cols>
    <col min="1" max="1" width="7.1796875" style="260" customWidth="1"/>
    <col min="2" max="2" width="10.1796875" style="178" customWidth="1"/>
    <col min="3" max="3" width="16.81640625" style="12" customWidth="1"/>
    <col min="4" max="4" width="40.54296875" style="8" customWidth="1"/>
    <col min="5" max="17" width="10.54296875" style="8" bestFit="1" customWidth="1"/>
    <col min="18" max="34" width="10.54296875" style="178" bestFit="1" customWidth="1"/>
    <col min="35" max="39" width="10.54296875" style="178" customWidth="1"/>
    <col min="40" max="46" width="10.54296875" style="178" bestFit="1" customWidth="1"/>
    <col min="47" max="47" width="11.54296875" style="178" bestFit="1" customWidth="1"/>
    <col min="48" max="213" width="10.54296875" style="178" bestFit="1" customWidth="1"/>
    <col min="214" max="214" width="10.54296875" style="178" customWidth="1"/>
    <col min="215" max="244" width="10.54296875" style="178" bestFit="1" customWidth="1"/>
    <col min="245" max="245" width="11.54296875" style="178" bestFit="1" customWidth="1"/>
    <col min="246" max="246" width="10.54296875" style="178" bestFit="1" customWidth="1"/>
    <col min="247" max="247" width="11.54296875" style="178" bestFit="1" customWidth="1"/>
    <col min="248" max="251" width="10.54296875" style="178" bestFit="1" customWidth="1"/>
    <col min="252" max="252" width="10.54296875" style="178" customWidth="1"/>
    <col min="253" max="254" width="10.54296875" style="178" bestFit="1" customWidth="1"/>
    <col min="255" max="277" width="10.54296875" style="178" customWidth="1"/>
    <col min="278" max="278" width="2.1796875" style="178" customWidth="1"/>
    <col min="279" max="280" width="26.1796875" style="178" customWidth="1"/>
    <col min="281" max="16384" width="8.7265625" style="178"/>
  </cols>
  <sheetData>
    <row r="1" spans="1:280" x14ac:dyDescent="0.25">
      <c r="A1" s="1367" t="s">
        <v>2201</v>
      </c>
      <c r="B1" s="585" t="str">
        <f>"selected "&amp;FOR_IND-1</f>
        <v>selected 168</v>
      </c>
      <c r="C1" s="2557" t="s">
        <v>34</v>
      </c>
      <c r="D1" s="520"/>
      <c r="E1" s="418">
        <v>1</v>
      </c>
      <c r="F1" s="418">
        <v>2</v>
      </c>
      <c r="G1" s="418">
        <v>3</v>
      </c>
      <c r="H1" s="418">
        <v>4</v>
      </c>
      <c r="I1" s="418">
        <v>5</v>
      </c>
      <c r="J1" s="418">
        <v>6</v>
      </c>
      <c r="K1" s="418">
        <v>7</v>
      </c>
      <c r="L1" s="418">
        <v>8</v>
      </c>
      <c r="M1" s="418">
        <v>9</v>
      </c>
      <c r="N1" s="418">
        <v>10</v>
      </c>
      <c r="O1" s="418">
        <v>11</v>
      </c>
      <c r="P1" s="418">
        <v>12</v>
      </c>
      <c r="Q1" s="418">
        <v>13</v>
      </c>
      <c r="R1" s="418">
        <v>14</v>
      </c>
      <c r="S1" s="418">
        <v>15</v>
      </c>
      <c r="T1" s="418">
        <v>16</v>
      </c>
      <c r="U1" s="418">
        <v>17</v>
      </c>
      <c r="V1" s="418">
        <v>18</v>
      </c>
      <c r="W1" s="418">
        <v>19</v>
      </c>
      <c r="X1" s="418">
        <v>20</v>
      </c>
      <c r="Y1" s="418">
        <v>21</v>
      </c>
      <c r="Z1" s="418">
        <v>22</v>
      </c>
      <c r="AA1" s="418">
        <v>23</v>
      </c>
      <c r="AB1" s="418">
        <v>24</v>
      </c>
      <c r="AC1" s="418">
        <v>25</v>
      </c>
      <c r="AD1" s="418">
        <v>26</v>
      </c>
      <c r="AE1" s="418">
        <v>27</v>
      </c>
      <c r="AF1" s="418">
        <v>28</v>
      </c>
      <c r="AG1" s="418">
        <v>29</v>
      </c>
      <c r="AH1" s="418">
        <v>30</v>
      </c>
      <c r="AI1" s="418">
        <v>31</v>
      </c>
      <c r="AJ1" s="418">
        <v>32</v>
      </c>
      <c r="AK1" s="418">
        <v>33</v>
      </c>
      <c r="AL1" s="418">
        <v>34</v>
      </c>
      <c r="AM1" s="418">
        <v>35</v>
      </c>
      <c r="AN1" s="418">
        <v>36</v>
      </c>
      <c r="AO1" s="418">
        <v>37</v>
      </c>
      <c r="AP1" s="418">
        <v>38</v>
      </c>
      <c r="AQ1" s="418">
        <v>39</v>
      </c>
      <c r="AR1" s="418">
        <v>40</v>
      </c>
      <c r="AS1" s="418">
        <v>41</v>
      </c>
      <c r="AT1" s="418">
        <v>42</v>
      </c>
      <c r="AU1" s="418">
        <v>43</v>
      </c>
      <c r="AV1" s="418">
        <v>44</v>
      </c>
      <c r="AW1" s="418">
        <v>45</v>
      </c>
      <c r="AX1" s="418">
        <v>46</v>
      </c>
      <c r="AY1" s="418">
        <v>47</v>
      </c>
      <c r="AZ1" s="418">
        <v>48</v>
      </c>
      <c r="BA1" s="418">
        <v>49</v>
      </c>
      <c r="BB1" s="418">
        <v>50</v>
      </c>
      <c r="BC1" s="418">
        <v>51</v>
      </c>
      <c r="BD1" s="418">
        <v>52</v>
      </c>
      <c r="BE1" s="418">
        <v>53</v>
      </c>
      <c r="BF1" s="418">
        <v>54</v>
      </c>
      <c r="BG1" s="418">
        <v>55</v>
      </c>
      <c r="BH1" s="418">
        <v>56</v>
      </c>
      <c r="BI1" s="418">
        <v>57</v>
      </c>
      <c r="BJ1" s="418">
        <v>58</v>
      </c>
      <c r="BK1" s="418">
        <v>59</v>
      </c>
      <c r="BL1" s="418">
        <v>60</v>
      </c>
      <c r="BM1" s="418">
        <v>61</v>
      </c>
      <c r="BN1" s="418">
        <v>62</v>
      </c>
      <c r="BO1" s="418">
        <v>63</v>
      </c>
      <c r="BP1" s="418">
        <v>64</v>
      </c>
      <c r="BQ1" s="418">
        <v>65</v>
      </c>
      <c r="BR1" s="418">
        <v>66</v>
      </c>
      <c r="BS1" s="418">
        <v>67</v>
      </c>
      <c r="BT1" s="418">
        <v>68</v>
      </c>
      <c r="BU1" s="418">
        <v>69</v>
      </c>
      <c r="BV1" s="418">
        <v>70</v>
      </c>
      <c r="BW1" s="418">
        <v>71</v>
      </c>
      <c r="BX1" s="418">
        <v>72</v>
      </c>
      <c r="BY1" s="418">
        <v>73</v>
      </c>
      <c r="BZ1" s="418">
        <v>74</v>
      </c>
      <c r="CA1" s="418">
        <v>75</v>
      </c>
      <c r="CB1" s="418">
        <v>76</v>
      </c>
      <c r="CC1" s="418">
        <v>77</v>
      </c>
      <c r="CD1" s="418">
        <v>78</v>
      </c>
      <c r="CE1" s="418">
        <v>79</v>
      </c>
      <c r="CF1" s="418">
        <v>80</v>
      </c>
      <c r="CG1" s="418">
        <v>81</v>
      </c>
      <c r="CH1" s="418">
        <v>82</v>
      </c>
      <c r="CI1" s="418">
        <v>83</v>
      </c>
      <c r="CJ1" s="418">
        <v>84</v>
      </c>
      <c r="CK1" s="418">
        <v>85</v>
      </c>
      <c r="CL1" s="418">
        <v>86</v>
      </c>
      <c r="CM1" s="418">
        <v>87</v>
      </c>
      <c r="CN1" s="418">
        <v>88</v>
      </c>
      <c r="CO1" s="418">
        <v>89</v>
      </c>
      <c r="CP1" s="418">
        <v>90</v>
      </c>
      <c r="CQ1" s="418">
        <v>91</v>
      </c>
      <c r="CR1" s="418">
        <v>92</v>
      </c>
      <c r="CS1" s="418">
        <v>93</v>
      </c>
      <c r="CT1" s="418">
        <v>94</v>
      </c>
      <c r="CU1" s="418">
        <v>95</v>
      </c>
      <c r="CV1" s="418">
        <v>96</v>
      </c>
      <c r="CW1" s="418">
        <v>97</v>
      </c>
      <c r="CX1" s="418">
        <v>98</v>
      </c>
      <c r="CY1" s="418">
        <v>99</v>
      </c>
      <c r="CZ1" s="418">
        <v>100</v>
      </c>
      <c r="DA1" s="418">
        <v>101</v>
      </c>
      <c r="DB1" s="418">
        <v>102</v>
      </c>
      <c r="DC1" s="418">
        <v>103</v>
      </c>
      <c r="DD1" s="418">
        <v>104</v>
      </c>
      <c r="DE1" s="418">
        <v>105</v>
      </c>
      <c r="DF1" s="418">
        <v>106</v>
      </c>
      <c r="DG1" s="418">
        <v>107</v>
      </c>
      <c r="DH1" s="418">
        <v>108</v>
      </c>
      <c r="DI1" s="418">
        <v>109</v>
      </c>
      <c r="DJ1" s="418">
        <v>110</v>
      </c>
      <c r="DK1" s="418">
        <v>111</v>
      </c>
      <c r="DL1" s="418">
        <v>112</v>
      </c>
      <c r="DM1" s="418">
        <v>113</v>
      </c>
      <c r="DN1" s="418">
        <v>114</v>
      </c>
      <c r="DO1" s="418">
        <v>115</v>
      </c>
      <c r="DP1" s="418">
        <v>116</v>
      </c>
      <c r="DQ1" s="418">
        <v>117</v>
      </c>
      <c r="DR1" s="418">
        <v>118</v>
      </c>
      <c r="DS1" s="418">
        <v>119</v>
      </c>
      <c r="DT1" s="418">
        <v>120</v>
      </c>
      <c r="DU1" s="418">
        <v>121</v>
      </c>
      <c r="DV1" s="418">
        <v>122</v>
      </c>
      <c r="DW1" s="418">
        <v>123</v>
      </c>
      <c r="DX1" s="418">
        <v>124</v>
      </c>
      <c r="DY1" s="418">
        <v>125</v>
      </c>
      <c r="DZ1" s="418">
        <v>126</v>
      </c>
      <c r="EA1" s="418">
        <v>127</v>
      </c>
      <c r="EB1" s="418">
        <v>128</v>
      </c>
      <c r="EC1" s="418">
        <v>129</v>
      </c>
      <c r="ED1" s="418">
        <v>130</v>
      </c>
      <c r="EE1" s="418">
        <v>131</v>
      </c>
      <c r="EF1" s="418">
        <v>132</v>
      </c>
      <c r="EG1" s="418">
        <v>133</v>
      </c>
      <c r="EH1" s="418">
        <v>134</v>
      </c>
      <c r="EI1" s="418">
        <v>135</v>
      </c>
      <c r="EJ1" s="418">
        <v>136</v>
      </c>
      <c r="EK1" s="418">
        <v>137</v>
      </c>
      <c r="EL1" s="418">
        <v>138</v>
      </c>
      <c r="EM1" s="418">
        <v>139</v>
      </c>
      <c r="EN1" s="418">
        <v>140</v>
      </c>
      <c r="EO1" s="418">
        <v>141</v>
      </c>
      <c r="EP1" s="418">
        <v>142</v>
      </c>
      <c r="EQ1" s="418">
        <v>143</v>
      </c>
      <c r="ER1" s="418">
        <v>144</v>
      </c>
      <c r="ES1" s="418">
        <v>145</v>
      </c>
      <c r="ET1" s="418">
        <v>146</v>
      </c>
      <c r="EU1" s="418">
        <v>147</v>
      </c>
      <c r="EV1" s="418">
        <v>148</v>
      </c>
      <c r="EW1" s="418">
        <v>149</v>
      </c>
      <c r="EX1" s="418">
        <v>150</v>
      </c>
      <c r="EY1" s="418">
        <v>151</v>
      </c>
      <c r="EZ1" s="418">
        <v>152</v>
      </c>
      <c r="FA1" s="418">
        <v>153</v>
      </c>
      <c r="FB1" s="418">
        <v>154</v>
      </c>
      <c r="FC1" s="418">
        <v>155</v>
      </c>
      <c r="FD1" s="418">
        <v>156</v>
      </c>
      <c r="FE1" s="418">
        <v>157</v>
      </c>
      <c r="FF1" s="418">
        <v>158</v>
      </c>
      <c r="FG1" s="418">
        <v>159</v>
      </c>
      <c r="FH1" s="418">
        <v>160</v>
      </c>
      <c r="FI1" s="418">
        <v>161</v>
      </c>
      <c r="FJ1" s="418">
        <v>162</v>
      </c>
      <c r="FK1" s="418">
        <v>163</v>
      </c>
      <c r="FL1" s="418">
        <v>164</v>
      </c>
      <c r="FM1" s="418">
        <v>165</v>
      </c>
      <c r="FN1" s="418">
        <v>166</v>
      </c>
      <c r="FO1" s="418">
        <v>167</v>
      </c>
      <c r="FP1" s="418">
        <v>168</v>
      </c>
      <c r="FQ1" s="418">
        <v>169</v>
      </c>
      <c r="FR1" s="418">
        <v>170</v>
      </c>
      <c r="FS1" s="418">
        <v>171</v>
      </c>
      <c r="FT1" s="418">
        <v>172</v>
      </c>
      <c r="FU1" s="418">
        <v>173</v>
      </c>
      <c r="FV1" s="418">
        <v>174</v>
      </c>
      <c r="FW1" s="418">
        <v>175</v>
      </c>
      <c r="FX1" s="418">
        <v>176</v>
      </c>
      <c r="FY1" s="418">
        <v>177</v>
      </c>
      <c r="FZ1" s="418">
        <v>178</v>
      </c>
      <c r="GA1" s="418">
        <v>179</v>
      </c>
      <c r="GB1" s="418">
        <v>180</v>
      </c>
      <c r="GC1" s="418">
        <v>181</v>
      </c>
      <c r="GD1" s="418">
        <v>182</v>
      </c>
      <c r="GE1" s="418">
        <v>183</v>
      </c>
      <c r="GF1" s="418">
        <v>184</v>
      </c>
      <c r="GG1" s="418">
        <v>185</v>
      </c>
      <c r="GH1" s="418">
        <v>186</v>
      </c>
      <c r="GI1" s="418">
        <v>187</v>
      </c>
      <c r="GJ1" s="418">
        <v>188</v>
      </c>
      <c r="GK1" s="418">
        <v>189</v>
      </c>
      <c r="GL1" s="418">
        <v>190</v>
      </c>
      <c r="GM1" s="418">
        <v>191</v>
      </c>
      <c r="GN1" s="418">
        <v>192</v>
      </c>
      <c r="GO1" s="418">
        <v>193</v>
      </c>
      <c r="GP1" s="418">
        <v>194</v>
      </c>
      <c r="GQ1" s="418">
        <v>195</v>
      </c>
      <c r="GR1" s="418">
        <v>196</v>
      </c>
      <c r="GS1" s="418">
        <v>197</v>
      </c>
      <c r="GT1" s="418">
        <v>198</v>
      </c>
      <c r="GU1" s="418">
        <v>199</v>
      </c>
      <c r="GV1" s="418">
        <v>200</v>
      </c>
      <c r="GW1" s="418">
        <v>201</v>
      </c>
      <c r="GX1" s="418">
        <v>202</v>
      </c>
      <c r="GY1" s="418">
        <v>203</v>
      </c>
      <c r="GZ1" s="418">
        <v>204</v>
      </c>
      <c r="HA1" s="418">
        <v>205</v>
      </c>
      <c r="HB1" s="418">
        <v>206</v>
      </c>
      <c r="HC1" s="418">
        <v>207</v>
      </c>
      <c r="HD1" s="418">
        <v>208</v>
      </c>
      <c r="HE1" s="418">
        <v>209</v>
      </c>
      <c r="HF1" s="418">
        <v>210</v>
      </c>
      <c r="HG1" s="418">
        <v>211</v>
      </c>
      <c r="HH1" s="418">
        <v>212</v>
      </c>
      <c r="HI1" s="418">
        <v>213</v>
      </c>
      <c r="HJ1" s="418">
        <v>214</v>
      </c>
      <c r="HK1" s="418">
        <v>215</v>
      </c>
      <c r="HL1" s="418">
        <v>216</v>
      </c>
      <c r="HM1" s="418">
        <v>217</v>
      </c>
      <c r="HN1" s="418">
        <v>218</v>
      </c>
      <c r="HO1" s="418">
        <v>219</v>
      </c>
      <c r="HP1" s="418">
        <v>220</v>
      </c>
      <c r="HQ1" s="418">
        <v>221</v>
      </c>
      <c r="HR1" s="418">
        <v>222</v>
      </c>
      <c r="HS1" s="418">
        <v>223</v>
      </c>
      <c r="HT1" s="418">
        <v>224</v>
      </c>
      <c r="HU1" s="418">
        <v>225</v>
      </c>
      <c r="HV1" s="418">
        <v>226</v>
      </c>
      <c r="HW1" s="418">
        <v>227</v>
      </c>
      <c r="HX1" s="418">
        <v>228</v>
      </c>
      <c r="HY1" s="418">
        <v>229</v>
      </c>
      <c r="HZ1" s="418">
        <v>230</v>
      </c>
      <c r="IA1" s="418">
        <v>231</v>
      </c>
      <c r="IB1" s="418">
        <v>232</v>
      </c>
      <c r="IC1" s="418">
        <v>233</v>
      </c>
      <c r="ID1" s="418">
        <v>234</v>
      </c>
      <c r="IE1" s="418">
        <v>235</v>
      </c>
      <c r="IF1" s="418">
        <v>236</v>
      </c>
      <c r="IG1" s="418">
        <v>237</v>
      </c>
      <c r="IH1" s="418">
        <v>238</v>
      </c>
      <c r="II1" s="418">
        <v>239</v>
      </c>
      <c r="IJ1" s="418">
        <v>240</v>
      </c>
      <c r="IK1" s="418">
        <v>241</v>
      </c>
      <c r="IL1" s="418">
        <v>242</v>
      </c>
      <c r="IM1" s="418">
        <v>243</v>
      </c>
      <c r="IN1" s="418">
        <v>244</v>
      </c>
      <c r="IO1" s="418">
        <v>245</v>
      </c>
      <c r="IP1" s="418">
        <v>246</v>
      </c>
      <c r="IQ1" s="418">
        <v>247</v>
      </c>
      <c r="IR1" s="418">
        <v>248</v>
      </c>
      <c r="IS1" s="418">
        <v>249</v>
      </c>
      <c r="IT1" s="418">
        <v>250</v>
      </c>
      <c r="IU1" s="418">
        <v>251</v>
      </c>
      <c r="IV1" s="418">
        <v>252</v>
      </c>
      <c r="IW1" s="418">
        <v>253</v>
      </c>
      <c r="IX1" s="418">
        <v>254</v>
      </c>
      <c r="IY1" s="418">
        <v>255</v>
      </c>
      <c r="IZ1" s="418">
        <v>256</v>
      </c>
      <c r="JA1" s="418">
        <v>257</v>
      </c>
      <c r="JB1" s="418">
        <v>258</v>
      </c>
      <c r="JC1" s="418">
        <v>259</v>
      </c>
      <c r="JD1" s="418">
        <v>260</v>
      </c>
      <c r="JE1" s="418">
        <v>261</v>
      </c>
      <c r="JF1" s="418">
        <v>262</v>
      </c>
      <c r="JG1" s="418">
        <v>263</v>
      </c>
      <c r="JH1" s="418">
        <v>264</v>
      </c>
      <c r="JI1" s="418">
        <v>265</v>
      </c>
      <c r="JJ1" s="418">
        <v>266</v>
      </c>
      <c r="JK1" s="418">
        <v>267</v>
      </c>
      <c r="JL1" s="418">
        <v>268</v>
      </c>
      <c r="JM1" s="418">
        <v>269</v>
      </c>
      <c r="JN1" s="418">
        <v>270</v>
      </c>
      <c r="JO1" s="418">
        <v>271</v>
      </c>
      <c r="JP1" s="418">
        <v>272</v>
      </c>
      <c r="JQ1" s="418">
        <v>273</v>
      </c>
      <c r="JR1" s="351"/>
      <c r="JS1" s="1470" t="s">
        <v>2198</v>
      </c>
      <c r="JT1" s="450" t="s">
        <v>2199</v>
      </c>
    </row>
    <row r="2" spans="1:280" x14ac:dyDescent="0.25">
      <c r="A2" s="1367">
        <v>2</v>
      </c>
      <c r="B2" s="1411" t="str">
        <f t="shared" ref="B2:B75" si="0">IF(FOR_IND&gt;1,IF(HLOOKUP(FOR_IND-1,FOR_RANGE,A2)="","",HLOOKUP(FOR_IND-1,FOR_RANGE,A2)),"")</f>
        <v/>
      </c>
      <c r="C2" s="1435" t="s">
        <v>3846</v>
      </c>
      <c r="D2" s="1361" t="s">
        <v>3847</v>
      </c>
      <c r="E2" s="1639"/>
      <c r="F2" s="1639"/>
      <c r="G2" s="1639"/>
      <c r="H2" s="1639"/>
      <c r="I2" s="1639"/>
      <c r="J2" s="1639"/>
      <c r="K2" s="1639"/>
      <c r="L2" s="1639"/>
      <c r="M2" s="1639"/>
      <c r="N2" s="1639"/>
      <c r="O2" s="1639"/>
      <c r="P2" s="1639"/>
      <c r="Q2" s="1639"/>
      <c r="R2" s="1639"/>
      <c r="S2" s="1639"/>
      <c r="T2" s="1639"/>
      <c r="U2" s="1639"/>
      <c r="V2" s="1639"/>
      <c r="W2" s="1639"/>
      <c r="X2" s="1639"/>
      <c r="Y2" s="1639"/>
      <c r="Z2" s="1639"/>
      <c r="AA2" s="1639"/>
      <c r="AB2" s="1639"/>
      <c r="AC2" s="1639"/>
      <c r="AD2" s="1639"/>
      <c r="AE2" s="1639"/>
      <c r="AF2" s="1639"/>
      <c r="AG2" s="1639"/>
      <c r="AH2" s="1639"/>
      <c r="AI2" s="1639"/>
      <c r="AJ2" s="1639"/>
      <c r="AK2" s="1639"/>
      <c r="AL2" s="1639"/>
      <c r="AM2" s="1639"/>
      <c r="AN2" s="1639"/>
      <c r="AO2" s="1639"/>
      <c r="AP2" s="1639"/>
      <c r="AQ2" s="1639"/>
      <c r="AR2" s="1639"/>
      <c r="AS2" s="1639"/>
      <c r="AT2" s="1639"/>
      <c r="AU2" s="1639"/>
      <c r="AV2" s="1639"/>
      <c r="AW2" s="1639" t="s">
        <v>1615</v>
      </c>
      <c r="AX2" s="1639"/>
      <c r="AY2" s="1639"/>
      <c r="AZ2" s="1639"/>
      <c r="BA2" s="1639"/>
      <c r="BB2" s="1639"/>
      <c r="BC2" s="1639" t="s">
        <v>1615</v>
      </c>
      <c r="BD2" s="1639" t="s">
        <v>1615</v>
      </c>
      <c r="BE2" s="1639"/>
      <c r="BF2" s="1639"/>
      <c r="BG2" s="1639"/>
      <c r="BH2" s="1639"/>
      <c r="BI2" s="1639"/>
      <c r="BJ2" s="1638"/>
      <c r="BK2" s="1639"/>
      <c r="BL2" s="1639"/>
      <c r="BM2" s="1639"/>
      <c r="BN2" s="1639"/>
      <c r="BO2" s="1639"/>
      <c r="BP2" s="1639"/>
      <c r="BQ2" s="1639"/>
      <c r="BR2" s="1639"/>
      <c r="BS2" s="1639"/>
      <c r="BT2" s="1639"/>
      <c r="BU2" s="1639"/>
      <c r="BV2" s="1639"/>
      <c r="BW2" s="1639"/>
      <c r="BX2" s="1639"/>
      <c r="BY2" s="1639"/>
      <c r="BZ2" s="1639"/>
      <c r="CA2" s="1639"/>
      <c r="CB2" s="1639"/>
      <c r="CC2" s="1639"/>
      <c r="CD2" s="1639"/>
      <c r="CE2" s="1639"/>
      <c r="CF2" s="1639"/>
      <c r="CG2" s="1639"/>
      <c r="CH2" s="1639"/>
      <c r="CI2" s="1639"/>
      <c r="CJ2" s="1639"/>
      <c r="CK2" s="1639"/>
      <c r="CL2" s="1639"/>
      <c r="CM2" s="1639"/>
      <c r="CN2" s="1639"/>
      <c r="CO2" s="1639"/>
      <c r="CP2" s="1639"/>
      <c r="CQ2" s="1639"/>
      <c r="CR2" s="1639"/>
      <c r="CS2" s="1639"/>
      <c r="CT2" s="1639" t="s">
        <v>1615</v>
      </c>
      <c r="CU2" s="1639"/>
      <c r="CV2" s="1639"/>
      <c r="CW2" s="1639"/>
      <c r="CX2" s="1639"/>
      <c r="CY2" s="1639"/>
      <c r="CZ2" s="1639"/>
      <c r="DA2" s="1639"/>
      <c r="DB2" s="1639"/>
      <c r="DC2" s="1639"/>
      <c r="DD2" s="1639"/>
      <c r="DE2" s="1639"/>
      <c r="DF2" s="1639"/>
      <c r="DG2" s="1639"/>
      <c r="DH2" s="1639"/>
      <c r="DI2" s="1638"/>
      <c r="DJ2" s="1639"/>
      <c r="DK2" s="1639"/>
      <c r="DL2" s="1639"/>
      <c r="DM2" s="1639" t="s">
        <v>1615</v>
      </c>
      <c r="DN2" s="1639"/>
      <c r="DO2" s="1639"/>
      <c r="DP2" s="1639" t="s">
        <v>1615</v>
      </c>
      <c r="DQ2" s="1639"/>
      <c r="DR2" s="1639"/>
      <c r="DS2" s="1639"/>
      <c r="DT2" s="1639" t="s">
        <v>1615</v>
      </c>
      <c r="DU2" s="1639"/>
      <c r="DV2" s="1639"/>
      <c r="DW2" s="1639"/>
      <c r="DX2" s="1639"/>
      <c r="DY2" s="1639"/>
      <c r="DZ2" s="1639"/>
      <c r="EA2" s="1639"/>
      <c r="EB2" s="1639"/>
      <c r="EC2" s="1639"/>
      <c r="ED2" s="1639"/>
      <c r="EE2" s="1639"/>
      <c r="EF2" s="1639"/>
      <c r="EG2" s="1639"/>
      <c r="EH2" s="1639"/>
      <c r="EI2" s="1639"/>
      <c r="EJ2" s="1639"/>
      <c r="EK2" s="1639"/>
      <c r="EL2" s="1639"/>
      <c r="EM2" s="1639"/>
      <c r="EN2" s="1639"/>
      <c r="EO2" s="1639" t="s">
        <v>1615</v>
      </c>
      <c r="EP2" s="1639"/>
      <c r="EQ2" s="1639"/>
      <c r="ER2" s="1639"/>
      <c r="ES2" s="1639"/>
      <c r="ET2" s="1639"/>
      <c r="EU2" s="1639"/>
      <c r="EV2" s="1639"/>
      <c r="EW2" s="1639"/>
      <c r="EX2" s="1639" t="s">
        <v>1615</v>
      </c>
      <c r="EY2" s="1639"/>
      <c r="EZ2" s="1639" t="s">
        <v>1615</v>
      </c>
      <c r="FA2" s="1639"/>
      <c r="FB2" s="1639"/>
      <c r="FC2" s="1639"/>
      <c r="FD2" s="1639"/>
      <c r="FE2" s="1639"/>
      <c r="FF2" s="1639"/>
      <c r="FG2" s="1639"/>
      <c r="FH2" s="1639"/>
      <c r="FI2" s="1639"/>
      <c r="FJ2" s="1639"/>
      <c r="FK2" s="1639"/>
      <c r="FL2" s="1639"/>
      <c r="FM2" s="1639"/>
      <c r="FN2" s="1639"/>
      <c r="FO2" s="1639"/>
      <c r="FP2" s="1639"/>
      <c r="FQ2" s="1639"/>
      <c r="FR2" s="1639"/>
      <c r="FS2" s="1639"/>
      <c r="FT2" s="1639"/>
      <c r="FU2" s="1639"/>
      <c r="FV2" s="1639"/>
      <c r="FW2" s="1639"/>
      <c r="FX2" s="1639"/>
      <c r="FY2" s="1639"/>
      <c r="FZ2" s="1639"/>
      <c r="GA2" s="1639"/>
      <c r="GB2" s="1639"/>
      <c r="GC2" s="1639"/>
      <c r="GD2" s="1639"/>
      <c r="GE2" s="1639"/>
      <c r="GF2" s="1639" t="s">
        <v>1615</v>
      </c>
      <c r="GG2" s="1639"/>
      <c r="GH2" s="1639"/>
      <c r="GI2" s="1639"/>
      <c r="GJ2" s="1639"/>
      <c r="GK2" s="1639"/>
      <c r="GL2" s="1639"/>
      <c r="GM2" s="1639"/>
      <c r="GN2" s="1639"/>
      <c r="GO2" s="1639"/>
      <c r="GP2" s="1639"/>
      <c r="GQ2" s="1639"/>
      <c r="GR2" s="1639"/>
      <c r="GS2" s="1639"/>
      <c r="GT2" s="1639"/>
      <c r="GU2" s="1639"/>
      <c r="GV2" s="1639"/>
      <c r="GW2" s="1639"/>
      <c r="GX2" s="1639"/>
      <c r="GY2" s="1639"/>
      <c r="GZ2" s="1639"/>
      <c r="HA2" s="1639"/>
      <c r="HB2" s="1639"/>
      <c r="HC2" s="1639"/>
      <c r="HD2" s="1639"/>
      <c r="HE2" s="1639"/>
      <c r="HF2" s="1639"/>
      <c r="HG2" s="1639"/>
      <c r="HH2" s="1639" t="s">
        <v>1615</v>
      </c>
      <c r="HI2" s="1639"/>
      <c r="HJ2" s="1639"/>
      <c r="HK2" s="1639"/>
      <c r="HL2" s="1639"/>
      <c r="HM2" s="1639"/>
      <c r="HN2" s="1639"/>
      <c r="HO2" s="1639"/>
      <c r="HP2" s="1639" t="s">
        <v>1615</v>
      </c>
      <c r="HQ2" s="1639"/>
      <c r="HR2" s="1639"/>
      <c r="HS2" s="1639"/>
      <c r="HT2" s="1639"/>
      <c r="HU2" s="1639"/>
      <c r="HV2" s="1639"/>
      <c r="HW2" s="1639"/>
      <c r="HX2" s="1639"/>
      <c r="HY2" s="1639"/>
      <c r="HZ2" s="1639"/>
      <c r="IA2" s="1639"/>
      <c r="IB2" s="1639"/>
      <c r="IC2" s="1639"/>
      <c r="ID2" s="1639"/>
      <c r="IE2" s="1639"/>
      <c r="IF2" s="1639" t="s">
        <v>1615</v>
      </c>
      <c r="IG2" s="1639"/>
      <c r="IH2" s="1639"/>
      <c r="II2" s="1639"/>
      <c r="IJ2" s="1639"/>
      <c r="IK2" s="1639"/>
      <c r="IL2" s="1639"/>
      <c r="IM2" s="1639"/>
      <c r="IN2" s="1639"/>
      <c r="IO2" s="1639"/>
      <c r="IP2" s="1414"/>
      <c r="IQ2" s="1414"/>
      <c r="IR2" s="1414"/>
      <c r="IS2" s="1414"/>
      <c r="IT2" s="1414"/>
      <c r="IU2" s="1414"/>
      <c r="IV2" s="1414"/>
      <c r="IW2" s="1414"/>
      <c r="IX2" s="1639"/>
      <c r="IY2" s="1639"/>
      <c r="IZ2" s="1639"/>
      <c r="JA2" s="1639"/>
      <c r="JB2" s="1639"/>
      <c r="JC2" s="1639"/>
      <c r="JD2" s="1639"/>
      <c r="JE2" s="1639" t="s">
        <v>1615</v>
      </c>
      <c r="JF2" s="1639" t="s">
        <v>1615</v>
      </c>
      <c r="JG2" s="1639"/>
      <c r="JH2" s="1414"/>
      <c r="JI2" s="1414"/>
      <c r="JJ2" s="1414"/>
      <c r="JK2" s="1414"/>
      <c r="JL2" s="1414"/>
      <c r="JM2" s="1414"/>
      <c r="JN2" s="1414"/>
      <c r="JO2" s="1414"/>
      <c r="JP2" s="1414"/>
      <c r="JQ2" s="1415"/>
      <c r="JR2" s="351"/>
    </row>
    <row r="3" spans="1:280" x14ac:dyDescent="0.25">
      <c r="A3" s="1367">
        <v>3</v>
      </c>
      <c r="B3" s="1411" t="str">
        <f t="shared" si="0"/>
        <v/>
      </c>
      <c r="C3" s="1435" t="s">
        <v>3848</v>
      </c>
      <c r="D3" s="1361" t="s">
        <v>3849</v>
      </c>
      <c r="E3" s="1641"/>
      <c r="F3" s="1641"/>
      <c r="G3" s="1641"/>
      <c r="H3" s="1641"/>
      <c r="I3" s="1641"/>
      <c r="J3" s="1641"/>
      <c r="K3" s="1641"/>
      <c r="L3" s="1641"/>
      <c r="M3" s="1641"/>
      <c r="N3" s="1641"/>
      <c r="O3" s="1641"/>
      <c r="P3" s="1641"/>
      <c r="Q3" s="1641"/>
      <c r="R3" s="1641"/>
      <c r="S3" s="1641"/>
      <c r="T3" s="1641"/>
      <c r="U3" s="1641"/>
      <c r="V3" s="1641"/>
      <c r="W3" s="1641"/>
      <c r="X3" s="1641"/>
      <c r="Y3" s="1641"/>
      <c r="Z3" s="1641"/>
      <c r="AA3" s="1641"/>
      <c r="AB3" s="1641"/>
      <c r="AC3" s="1641"/>
      <c r="AD3" s="1641"/>
      <c r="AE3" s="1641"/>
      <c r="AF3" s="1641"/>
      <c r="AG3" s="1641"/>
      <c r="AH3" s="1641"/>
      <c r="AI3" s="1641"/>
      <c r="AJ3" s="1641"/>
      <c r="AK3" s="1641"/>
      <c r="AL3" s="1641"/>
      <c r="AM3" s="1641"/>
      <c r="AN3" s="1641"/>
      <c r="AO3" s="1641"/>
      <c r="AP3" s="2559"/>
      <c r="AQ3" s="2559"/>
      <c r="AR3" s="1641"/>
      <c r="AS3" s="1641"/>
      <c r="AT3" s="1641"/>
      <c r="AU3" s="1641"/>
      <c r="AV3" s="1641"/>
      <c r="AW3" s="1641"/>
      <c r="AX3" s="1641"/>
      <c r="AY3" s="1641"/>
      <c r="AZ3" s="1641"/>
      <c r="BA3" s="1641"/>
      <c r="BB3" s="2560">
        <v>1805</v>
      </c>
      <c r="BC3" s="2559">
        <v>2442</v>
      </c>
      <c r="BD3" s="2559">
        <v>2442</v>
      </c>
      <c r="BE3" s="2559"/>
      <c r="BF3" s="2559"/>
      <c r="BG3" s="2559"/>
      <c r="BH3" s="2559"/>
      <c r="BI3" s="2559"/>
      <c r="BJ3" s="2560">
        <v>2525</v>
      </c>
      <c r="BK3" s="1641"/>
      <c r="BL3" s="1641"/>
      <c r="BM3" s="1641"/>
      <c r="BN3" s="1641"/>
      <c r="BO3" s="1641"/>
      <c r="BP3" s="1641"/>
      <c r="BQ3" s="1641"/>
      <c r="BR3" s="1641"/>
      <c r="BS3" s="1641"/>
      <c r="BT3" s="1641"/>
      <c r="BU3" s="1641"/>
      <c r="BV3" s="1641"/>
      <c r="BW3" s="1641"/>
      <c r="BX3" s="1641"/>
      <c r="BY3" s="1641"/>
      <c r="BZ3" s="1641"/>
      <c r="CA3" s="1641"/>
      <c r="CB3" s="1636">
        <v>3582.25</v>
      </c>
      <c r="CC3" s="1641"/>
      <c r="CD3" s="1641"/>
      <c r="CE3" s="1641"/>
      <c r="CF3" s="1641"/>
      <c r="CG3" s="1641"/>
      <c r="CH3" s="1641"/>
      <c r="CI3" s="1641"/>
      <c r="CJ3" s="1636">
        <v>77.25</v>
      </c>
      <c r="CK3" s="1641"/>
      <c r="CL3" s="1641"/>
      <c r="CM3" s="1641"/>
      <c r="CN3" s="1641"/>
      <c r="CO3" s="1641"/>
      <c r="CP3" s="1641"/>
      <c r="CQ3" s="1641"/>
      <c r="CR3" s="1641"/>
      <c r="CS3" s="1641"/>
      <c r="CT3" s="2559">
        <v>42</v>
      </c>
      <c r="CU3" s="1641"/>
      <c r="CV3" s="1641"/>
      <c r="CW3" s="1641"/>
      <c r="CX3" s="1641"/>
      <c r="CY3" s="1641"/>
      <c r="CZ3" s="1641"/>
      <c r="DA3" s="1641"/>
      <c r="DB3" s="1641"/>
      <c r="DC3" s="1641"/>
      <c r="DD3" s="1641"/>
      <c r="DE3" s="1641"/>
      <c r="DF3" s="1641"/>
      <c r="DG3" s="1641"/>
      <c r="DH3" s="1641"/>
      <c r="DI3" s="2560"/>
      <c r="DJ3" s="1641"/>
      <c r="DK3" s="1641"/>
      <c r="DL3" s="1641"/>
      <c r="DM3" s="1641"/>
      <c r="DN3" s="1641"/>
      <c r="DO3" s="1641"/>
      <c r="DP3" s="2559">
        <v>200</v>
      </c>
      <c r="DQ3" s="1641"/>
      <c r="DR3" s="1636">
        <v>26</v>
      </c>
      <c r="DS3" s="1641"/>
      <c r="DT3" s="2559">
        <v>200</v>
      </c>
      <c r="DU3" s="1641"/>
      <c r="DV3" s="1641"/>
      <c r="DW3" s="1636">
        <v>1307.69</v>
      </c>
      <c r="DX3" s="1641"/>
      <c r="DY3" s="1641"/>
      <c r="DZ3" s="1641"/>
      <c r="EA3" s="1641"/>
      <c r="EB3" s="1641"/>
      <c r="EC3" s="1641"/>
      <c r="ED3" s="1641"/>
      <c r="EE3" s="1641"/>
      <c r="EF3" s="1641"/>
      <c r="EG3" s="1641"/>
      <c r="EH3" s="1641"/>
      <c r="EI3" s="1641"/>
      <c r="EJ3" s="1641"/>
      <c r="EK3" s="1641"/>
      <c r="EL3" s="1641"/>
      <c r="EM3" s="1636">
        <v>907.8</v>
      </c>
      <c r="EN3" s="1636">
        <v>18.3</v>
      </c>
      <c r="EO3" s="1641"/>
      <c r="EP3" s="1636"/>
      <c r="EQ3" s="2560">
        <v>2141</v>
      </c>
      <c r="ER3" s="1636">
        <v>308</v>
      </c>
      <c r="ES3" s="1641"/>
      <c r="ET3" s="1641"/>
      <c r="EU3" s="1636">
        <v>537.6</v>
      </c>
      <c r="EV3" s="1636">
        <v>12966.8</v>
      </c>
      <c r="EW3" s="1641"/>
      <c r="EX3" s="2559">
        <v>377.5</v>
      </c>
      <c r="EY3" s="1641"/>
      <c r="EZ3" s="1641">
        <v>1824.29</v>
      </c>
      <c r="FA3" s="1641"/>
      <c r="FB3" s="1641"/>
      <c r="FC3" s="1636">
        <v>305</v>
      </c>
      <c r="FD3" s="1641"/>
      <c r="FE3" s="1641"/>
      <c r="FF3" s="1636">
        <v>6822</v>
      </c>
      <c r="FG3" s="1641"/>
      <c r="FH3" s="1641"/>
      <c r="FI3" s="1641"/>
      <c r="FJ3" s="1636">
        <v>7678.85</v>
      </c>
      <c r="FK3" s="1641"/>
      <c r="FL3" s="1641"/>
      <c r="FM3" s="1641"/>
      <c r="FN3" s="1641"/>
      <c r="FO3" s="1641"/>
      <c r="FP3" s="1641"/>
      <c r="FQ3" s="1641"/>
      <c r="FR3" s="1641"/>
      <c r="FS3" s="1641"/>
      <c r="FT3" s="1641"/>
      <c r="FU3" s="1641"/>
      <c r="FV3" s="1641"/>
      <c r="FW3" s="1641"/>
      <c r="FX3" s="1641"/>
      <c r="FY3" s="1641"/>
      <c r="FZ3" s="1641"/>
      <c r="GA3" s="1641"/>
      <c r="GB3" s="1641"/>
      <c r="GC3" s="1641"/>
      <c r="GD3" s="1641"/>
      <c r="GE3" s="1641"/>
      <c r="GF3" s="1641">
        <v>2442</v>
      </c>
      <c r="GG3" s="1641"/>
      <c r="GH3" s="1641"/>
      <c r="GI3" s="1641"/>
      <c r="GJ3" s="1641"/>
      <c r="GK3" s="1641"/>
      <c r="GL3" s="1641"/>
      <c r="GM3" s="1641"/>
      <c r="GN3" s="1641"/>
      <c r="GO3" s="1641"/>
      <c r="GP3" s="1641"/>
      <c r="GQ3" s="1641"/>
      <c r="GR3" s="1641"/>
      <c r="GS3" s="1641"/>
      <c r="GT3" s="1641"/>
      <c r="GU3" s="1641"/>
      <c r="GV3" s="1641"/>
      <c r="GW3" s="1641"/>
      <c r="GX3" s="1641"/>
      <c r="GY3" s="1641"/>
      <c r="GZ3" s="1641"/>
      <c r="HA3" s="1641"/>
      <c r="HB3" s="1641"/>
      <c r="HC3" s="1641"/>
      <c r="HD3" s="1641"/>
      <c r="HE3" s="1641"/>
      <c r="HF3" s="1641"/>
      <c r="HG3" s="1641"/>
      <c r="HH3" s="2559">
        <v>0</v>
      </c>
      <c r="HI3" s="2559"/>
      <c r="HJ3" s="2559">
        <v>23158</v>
      </c>
      <c r="HK3" s="2559">
        <v>35299</v>
      </c>
      <c r="HL3" s="2560">
        <v>18015</v>
      </c>
      <c r="HM3" s="2559">
        <v>35299</v>
      </c>
      <c r="HN3" s="1641"/>
      <c r="HO3" s="1641"/>
      <c r="HP3" s="2559">
        <v>883</v>
      </c>
      <c r="HQ3" s="1641"/>
      <c r="HR3" s="1641"/>
      <c r="HS3" s="1641"/>
      <c r="HT3" s="1636">
        <v>17663</v>
      </c>
      <c r="HU3" s="1641"/>
      <c r="HV3" s="1641"/>
      <c r="HW3" s="1641"/>
      <c r="HX3" s="1641"/>
      <c r="HY3" s="1641"/>
      <c r="HZ3" s="1641"/>
      <c r="IA3" s="1636">
        <v>246.25</v>
      </c>
      <c r="IB3" s="1641"/>
      <c r="IC3" s="1641"/>
      <c r="ID3" s="1641"/>
      <c r="IE3" s="1641"/>
      <c r="IF3" s="1636">
        <v>10568.2</v>
      </c>
      <c r="IG3" s="1641"/>
      <c r="IH3" s="1641"/>
      <c r="II3" s="1636">
        <v>2235.6</v>
      </c>
      <c r="IJ3" s="1641"/>
      <c r="IK3" s="1641"/>
      <c r="IL3" s="1636">
        <v>2832.2</v>
      </c>
      <c r="IM3" s="1641"/>
      <c r="IN3" s="1641"/>
      <c r="IO3" s="1641"/>
      <c r="IP3" s="1641"/>
      <c r="IQ3" s="1641"/>
      <c r="IR3" s="1641"/>
      <c r="IS3" s="1641"/>
      <c r="IT3" s="1641"/>
      <c r="IU3" s="1641"/>
      <c r="IV3" s="1641"/>
      <c r="IW3" s="1641"/>
      <c r="IX3" s="1641"/>
      <c r="IY3" s="1641"/>
      <c r="IZ3" s="1641"/>
      <c r="JA3" s="1641"/>
      <c r="JB3" s="1641"/>
      <c r="JC3" s="1641"/>
      <c r="JD3" s="1641"/>
      <c r="JE3" s="2559">
        <v>2442</v>
      </c>
      <c r="JF3" s="2559">
        <v>42</v>
      </c>
      <c r="JG3" s="1641"/>
      <c r="JH3" s="1414"/>
      <c r="JI3" s="1637"/>
      <c r="JJ3" s="1637">
        <v>171</v>
      </c>
      <c r="JK3" s="1637"/>
      <c r="JL3" s="1637"/>
      <c r="JM3" s="1637"/>
      <c r="JN3" s="1637"/>
      <c r="JO3" s="1637"/>
      <c r="JP3" s="2559">
        <v>1334.77</v>
      </c>
      <c r="JQ3" s="1415"/>
      <c r="JR3" s="351"/>
    </row>
    <row r="4" spans="1:280" x14ac:dyDescent="0.25">
      <c r="A4" s="1367">
        <v>4</v>
      </c>
      <c r="B4" s="1411" t="str">
        <f t="shared" si="0"/>
        <v>GGY</v>
      </c>
      <c r="C4" s="1435" t="s">
        <v>3850</v>
      </c>
      <c r="D4" s="1361" t="s">
        <v>3851</v>
      </c>
      <c r="E4" s="1639"/>
      <c r="F4" s="1639"/>
      <c r="G4" s="1639"/>
      <c r="H4" s="1639"/>
      <c r="I4" s="1639"/>
      <c r="J4" s="1639"/>
      <c r="K4" s="1639"/>
      <c r="L4" s="1639"/>
      <c r="M4" s="1639"/>
      <c r="N4" s="1639"/>
      <c r="O4" s="1639"/>
      <c r="P4" s="1639"/>
      <c r="Q4" s="1639"/>
      <c r="R4" s="1639"/>
      <c r="S4" s="1639"/>
      <c r="T4" s="1639"/>
      <c r="U4" s="1639"/>
      <c r="V4" s="1639"/>
      <c r="W4" s="1639"/>
      <c r="X4" s="1639"/>
      <c r="Y4" s="1639"/>
      <c r="Z4" s="1639"/>
      <c r="AA4" s="1639"/>
      <c r="AB4" s="1639"/>
      <c r="AC4" s="1639"/>
      <c r="AD4" s="1639"/>
      <c r="AE4" s="1639"/>
      <c r="AF4" s="1639"/>
      <c r="AG4" s="1639"/>
      <c r="AH4" s="1639"/>
      <c r="AI4" s="1639"/>
      <c r="AJ4" s="1639"/>
      <c r="AK4" s="1639"/>
      <c r="AL4" s="1639"/>
      <c r="AM4" s="1639"/>
      <c r="AN4" s="1639"/>
      <c r="AO4" s="1639"/>
      <c r="AP4" s="1639"/>
      <c r="AQ4" s="1639"/>
      <c r="AR4" s="1639"/>
      <c r="AS4" s="1639"/>
      <c r="AT4" s="1639"/>
      <c r="AU4" s="1639"/>
      <c r="AV4" s="1639"/>
      <c r="AW4" s="1639" t="s">
        <v>3852</v>
      </c>
      <c r="AX4" s="1639"/>
      <c r="AY4" s="1639"/>
      <c r="AZ4" s="1639"/>
      <c r="BA4" s="1639"/>
      <c r="BB4" s="1639"/>
      <c r="BC4" s="1639" t="s">
        <v>3853</v>
      </c>
      <c r="BD4" s="1639" t="s">
        <v>3853</v>
      </c>
      <c r="BE4" s="1639"/>
      <c r="BF4" s="1639"/>
      <c r="BG4" s="1639"/>
      <c r="BH4" s="1639"/>
      <c r="BI4" s="1639"/>
      <c r="BJ4" s="1639"/>
      <c r="BK4" s="1639"/>
      <c r="BL4" s="1639"/>
      <c r="BM4" s="1639"/>
      <c r="BN4" s="1639"/>
      <c r="BO4" s="1639"/>
      <c r="BP4" s="1639"/>
      <c r="BQ4" s="1639"/>
      <c r="BR4" s="1639"/>
      <c r="BS4" s="1639"/>
      <c r="BT4" s="1639"/>
      <c r="BU4" s="1639"/>
      <c r="BV4" s="1639"/>
      <c r="BW4" s="1639"/>
      <c r="BX4" s="1639"/>
      <c r="BY4" s="1639"/>
      <c r="BZ4" s="1639"/>
      <c r="CA4" s="1639"/>
      <c r="CB4" s="1639"/>
      <c r="CC4" s="1639"/>
      <c r="CD4" s="1639"/>
      <c r="CE4" s="1639"/>
      <c r="CF4" s="1639"/>
      <c r="CG4" s="1639"/>
      <c r="CH4" s="1639"/>
      <c r="CI4" s="1639"/>
      <c r="CJ4" s="1638" t="s">
        <v>3854</v>
      </c>
      <c r="CK4" s="1639"/>
      <c r="CL4" s="1639"/>
      <c r="CM4" s="1639"/>
      <c r="CN4" s="1639"/>
      <c r="CO4" s="1639"/>
      <c r="CP4" s="1639"/>
      <c r="CQ4" s="1639"/>
      <c r="CR4" s="1639"/>
      <c r="CS4" s="1639"/>
      <c r="CT4" s="1639" t="s">
        <v>3855</v>
      </c>
      <c r="CU4" s="1639"/>
      <c r="CV4" s="1639"/>
      <c r="CW4" s="1639"/>
      <c r="CX4" s="1639"/>
      <c r="CY4" s="1639"/>
      <c r="CZ4" s="1639"/>
      <c r="DA4" s="1639"/>
      <c r="DB4" s="1639"/>
      <c r="DC4" s="1639"/>
      <c r="DD4" s="1639"/>
      <c r="DE4" s="1639"/>
      <c r="DF4" s="1639"/>
      <c r="DG4" s="1639"/>
      <c r="DH4" s="1639"/>
      <c r="DI4" s="1638"/>
      <c r="DJ4" s="1639"/>
      <c r="DK4" s="1639"/>
      <c r="DL4" s="1639"/>
      <c r="DM4" s="1639" t="s">
        <v>3856</v>
      </c>
      <c r="DN4" s="1639"/>
      <c r="DO4" s="1639"/>
      <c r="DP4" s="1639"/>
      <c r="DQ4" s="1639"/>
      <c r="DR4" s="1639"/>
      <c r="DS4" s="1639"/>
      <c r="DT4" s="1639"/>
      <c r="DU4" s="1639"/>
      <c r="DV4" s="1639"/>
      <c r="DW4" s="1638" t="s">
        <v>3857</v>
      </c>
      <c r="DX4" s="1639"/>
      <c r="DY4" s="1639"/>
      <c r="DZ4" s="1639"/>
      <c r="EA4" s="1639"/>
      <c r="EB4" s="1639"/>
      <c r="EC4" s="1639"/>
      <c r="ED4" s="1639"/>
      <c r="EE4" s="1639"/>
      <c r="EF4" s="1639"/>
      <c r="EG4" s="1639"/>
      <c r="EH4" s="1639"/>
      <c r="EI4" s="1639"/>
      <c r="EJ4" s="1639"/>
      <c r="EK4" s="1639"/>
      <c r="EL4" s="1639"/>
      <c r="EM4" s="1638" t="s">
        <v>3857</v>
      </c>
      <c r="EN4" s="1638" t="s">
        <v>3858</v>
      </c>
      <c r="EO4" s="1639" t="s">
        <v>3856</v>
      </c>
      <c r="EP4" s="1639"/>
      <c r="EQ4" s="1638" t="s">
        <v>3859</v>
      </c>
      <c r="ER4" s="1639"/>
      <c r="ES4" s="1639"/>
      <c r="ET4" s="1639"/>
      <c r="EU4" s="1639"/>
      <c r="EV4" s="1638" t="s">
        <v>3852</v>
      </c>
      <c r="EW4" s="1639"/>
      <c r="EX4" s="1639" t="s">
        <v>3860</v>
      </c>
      <c r="EY4" s="1639"/>
      <c r="EZ4" s="1639" t="s">
        <v>3861</v>
      </c>
      <c r="FA4" s="1639"/>
      <c r="FB4" s="1639"/>
      <c r="FC4" s="1638" t="s">
        <v>3862</v>
      </c>
      <c r="FD4" s="1639"/>
      <c r="FE4" s="1639"/>
      <c r="FF4" s="1638" t="s">
        <v>3852</v>
      </c>
      <c r="FG4" s="1639"/>
      <c r="FH4" s="1639"/>
      <c r="FI4" s="1639"/>
      <c r="FJ4" s="1638" t="s">
        <v>3862</v>
      </c>
      <c r="FK4" s="1638" t="s">
        <v>3862</v>
      </c>
      <c r="FL4" s="1639"/>
      <c r="FM4" s="1639"/>
      <c r="FN4" s="1639"/>
      <c r="FO4" s="1638" t="s">
        <v>3863</v>
      </c>
      <c r="FP4" s="1638" t="s">
        <v>3857</v>
      </c>
      <c r="FQ4" s="1639"/>
      <c r="FR4" s="1639"/>
      <c r="FS4" s="1639"/>
      <c r="FT4" s="1639"/>
      <c r="FU4" s="1639"/>
      <c r="FV4" s="1639"/>
      <c r="FW4" s="1639"/>
      <c r="FX4" s="1639"/>
      <c r="FY4" s="1639"/>
      <c r="FZ4" s="1639"/>
      <c r="GA4" s="1639"/>
      <c r="GB4" s="1639"/>
      <c r="GC4" s="1639"/>
      <c r="GD4" s="1639"/>
      <c r="GE4" s="1639"/>
      <c r="GF4" s="1639" t="s">
        <v>3853</v>
      </c>
      <c r="GG4" s="1639"/>
      <c r="GH4" s="1639"/>
      <c r="GI4" s="1639"/>
      <c r="GJ4" s="1639"/>
      <c r="GK4" s="1639"/>
      <c r="GL4" s="1639"/>
      <c r="GM4" s="1639"/>
      <c r="GN4" s="1639"/>
      <c r="GO4" s="1639"/>
      <c r="GP4" s="1639"/>
      <c r="GQ4" s="1639"/>
      <c r="GR4" s="1639"/>
      <c r="GS4" s="1639"/>
      <c r="GT4" s="1639"/>
      <c r="GU4" s="1639"/>
      <c r="GV4" s="1639"/>
      <c r="GW4" s="1639"/>
      <c r="GX4" s="1639"/>
      <c r="GY4" s="1639"/>
      <c r="GZ4" s="1639"/>
      <c r="HA4" s="1639"/>
      <c r="HB4" s="1639"/>
      <c r="HC4" s="1639"/>
      <c r="HD4" s="1639"/>
      <c r="HE4" s="1639"/>
      <c r="HF4" s="1639"/>
      <c r="HG4" s="1638" t="s">
        <v>3853</v>
      </c>
      <c r="HH4" s="1639" t="s">
        <v>3853</v>
      </c>
      <c r="HI4" s="1639"/>
      <c r="HJ4" s="1639"/>
      <c r="HK4" s="1639"/>
      <c r="HL4" s="1638" t="s">
        <v>3852</v>
      </c>
      <c r="HM4" s="1639"/>
      <c r="HN4" s="1639"/>
      <c r="HO4" s="1639"/>
      <c r="HP4" s="1639"/>
      <c r="HQ4" s="1639"/>
      <c r="HR4" s="1639"/>
      <c r="HS4" s="1639"/>
      <c r="HT4" s="1639"/>
      <c r="HU4" s="1639"/>
      <c r="HV4" s="1639"/>
      <c r="HW4" s="1639"/>
      <c r="HX4" s="1639"/>
      <c r="HY4" s="1639"/>
      <c r="HZ4" s="1639"/>
      <c r="IA4" s="1638" t="s">
        <v>3862</v>
      </c>
      <c r="IB4" s="1639"/>
      <c r="IC4" s="1639" t="s">
        <v>3855</v>
      </c>
      <c r="ID4" s="1639"/>
      <c r="IE4" s="1639"/>
      <c r="IF4" s="1639" t="s">
        <v>3855</v>
      </c>
      <c r="IG4" s="1639"/>
      <c r="IH4" s="1639" t="s">
        <v>3858</v>
      </c>
      <c r="II4" s="1638" t="s">
        <v>3854</v>
      </c>
      <c r="IJ4" s="1639"/>
      <c r="IK4" s="1638" t="s">
        <v>3854</v>
      </c>
      <c r="IL4" s="1638" t="s">
        <v>3860</v>
      </c>
      <c r="IM4" s="1639"/>
      <c r="IN4" s="1639"/>
      <c r="IO4" s="1639"/>
      <c r="IP4" s="1414"/>
      <c r="IQ4" s="1641"/>
      <c r="IR4" s="1641"/>
      <c r="IS4" s="1641"/>
      <c r="IT4" s="1641"/>
      <c r="IU4" s="1641"/>
      <c r="IV4" s="1641"/>
      <c r="IW4" s="1641"/>
      <c r="IX4" s="1639"/>
      <c r="IY4" s="1639"/>
      <c r="IZ4" s="1639"/>
      <c r="JA4" s="1639"/>
      <c r="JB4" s="1639"/>
      <c r="JC4" s="1639"/>
      <c r="JD4" s="1639"/>
      <c r="JE4" s="1639"/>
      <c r="JF4" s="1639" t="s">
        <v>3855</v>
      </c>
      <c r="JG4" s="1639"/>
      <c r="JH4" s="1414" t="s">
        <v>3864</v>
      </c>
      <c r="JI4" s="1637"/>
      <c r="JJ4" s="1637" t="s">
        <v>3865</v>
      </c>
      <c r="JK4" s="1637"/>
      <c r="JL4" s="1637"/>
      <c r="JM4" s="1637"/>
      <c r="JN4" s="1637"/>
      <c r="JO4" s="1637"/>
      <c r="JP4" s="1414"/>
      <c r="JQ4" s="1415"/>
      <c r="JR4" s="351"/>
    </row>
    <row r="5" spans="1:280" x14ac:dyDescent="0.25">
      <c r="A5" s="1367">
        <v>5</v>
      </c>
      <c r="B5" s="1411">
        <f t="shared" si="0"/>
        <v>698</v>
      </c>
      <c r="C5" s="1435" t="s">
        <v>3866</v>
      </c>
      <c r="D5" s="1361" t="s">
        <v>3867</v>
      </c>
      <c r="E5" s="1641"/>
      <c r="F5" s="1641"/>
      <c r="G5" s="1641"/>
      <c r="H5" s="1641"/>
      <c r="I5" s="1641"/>
      <c r="J5" s="1641"/>
      <c r="K5" s="1641"/>
      <c r="L5" s="1641"/>
      <c r="M5" s="1641"/>
      <c r="N5" s="1641"/>
      <c r="O5" s="1641"/>
      <c r="P5" s="1641"/>
      <c r="Q5" s="1641"/>
      <c r="R5" s="1641"/>
      <c r="S5" s="1641"/>
      <c r="T5" s="1641"/>
      <c r="U5" s="1641"/>
      <c r="V5" s="1641"/>
      <c r="W5" s="1641"/>
      <c r="X5" s="1641"/>
      <c r="Y5" s="1641"/>
      <c r="Z5" s="1641"/>
      <c r="AA5" s="1641"/>
      <c r="AB5" s="1641"/>
      <c r="AC5" s="1641"/>
      <c r="AD5" s="1641"/>
      <c r="AE5" s="1641"/>
      <c r="AF5" s="1641"/>
      <c r="AG5" s="1641"/>
      <c r="AH5" s="1641"/>
      <c r="AI5" s="1641"/>
      <c r="AJ5" s="1641"/>
      <c r="AK5" s="1641"/>
      <c r="AL5" s="1641"/>
      <c r="AM5" s="1641"/>
      <c r="AN5" s="1641"/>
      <c r="AO5" s="1641"/>
      <c r="AP5" s="1641"/>
      <c r="AQ5" s="1641"/>
      <c r="AR5" s="1641"/>
      <c r="AS5" s="1641"/>
      <c r="AT5" s="1641"/>
      <c r="AU5" s="1641"/>
      <c r="AV5" s="1641"/>
      <c r="AW5" s="1641">
        <v>500</v>
      </c>
      <c r="AX5" s="1641"/>
      <c r="AY5" s="1641"/>
      <c r="AZ5" s="1641"/>
      <c r="BA5" s="1641"/>
      <c r="BB5" s="1641"/>
      <c r="BC5" s="1641">
        <v>3562</v>
      </c>
      <c r="BD5" s="1641">
        <v>3562</v>
      </c>
      <c r="BE5" s="1641"/>
      <c r="BF5" s="1641"/>
      <c r="BG5" s="1641"/>
      <c r="BH5" s="1641"/>
      <c r="BI5" s="1641"/>
      <c r="BJ5" s="1641"/>
      <c r="BK5" s="1641"/>
      <c r="BL5" s="1641"/>
      <c r="BM5" s="1641"/>
      <c r="BN5" s="1641"/>
      <c r="BO5" s="1641"/>
      <c r="BP5" s="1641"/>
      <c r="BQ5" s="1641"/>
      <c r="BR5" s="1641"/>
      <c r="BS5" s="1641"/>
      <c r="BT5" s="1641"/>
      <c r="BU5" s="1641"/>
      <c r="BV5" s="1641"/>
      <c r="BW5" s="1641"/>
      <c r="BX5" s="1641"/>
      <c r="BY5" s="1641"/>
      <c r="BZ5" s="1641"/>
      <c r="CA5" s="1641"/>
      <c r="CB5" s="1641"/>
      <c r="CC5" s="1641"/>
      <c r="CD5" s="1641"/>
      <c r="CE5" s="1641"/>
      <c r="CF5" s="1641"/>
      <c r="CG5" s="1641"/>
      <c r="CH5" s="1641"/>
      <c r="CI5" s="1641"/>
      <c r="CJ5" s="1636">
        <v>411</v>
      </c>
      <c r="CK5" s="1641"/>
      <c r="CL5" s="1641"/>
      <c r="CM5" s="1641"/>
      <c r="CN5" s="1641"/>
      <c r="CO5" s="1641"/>
      <c r="CP5" s="1641"/>
      <c r="CQ5" s="1641"/>
      <c r="CR5" s="1641"/>
      <c r="CS5" s="1641"/>
      <c r="CT5" s="1641">
        <v>1263</v>
      </c>
      <c r="CU5" s="1641"/>
      <c r="CV5" s="1641"/>
      <c r="CW5" s="1641"/>
      <c r="CX5" s="1641"/>
      <c r="CY5" s="1641"/>
      <c r="CZ5" s="1641"/>
      <c r="DA5" s="1641"/>
      <c r="DB5" s="1641"/>
      <c r="DC5" s="1641"/>
      <c r="DD5" s="1641"/>
      <c r="DE5" s="1641"/>
      <c r="DF5" s="1641"/>
      <c r="DG5" s="1641"/>
      <c r="DH5" s="1641"/>
      <c r="DI5" s="1636"/>
      <c r="DJ5" s="1641"/>
      <c r="DK5" s="1641"/>
      <c r="DL5" s="1641"/>
      <c r="DM5" s="1641">
        <v>4227</v>
      </c>
      <c r="DN5" s="1641"/>
      <c r="DO5" s="1641"/>
      <c r="DP5" s="1641"/>
      <c r="DQ5" s="1641"/>
      <c r="DR5" s="1641"/>
      <c r="DS5" s="1641"/>
      <c r="DT5" s="1641"/>
      <c r="DU5" s="1641"/>
      <c r="DV5" s="1641"/>
      <c r="DW5" s="1636">
        <v>116.29</v>
      </c>
      <c r="DX5" s="1641"/>
      <c r="DY5" s="1641"/>
      <c r="DZ5" s="1641"/>
      <c r="EA5" s="1641"/>
      <c r="EB5" s="1641"/>
      <c r="EC5" s="1641"/>
      <c r="ED5" s="1641"/>
      <c r="EE5" s="1641"/>
      <c r="EF5" s="1641"/>
      <c r="EG5" s="1641"/>
      <c r="EH5" s="1641"/>
      <c r="EI5" s="1641"/>
      <c r="EJ5" s="1641"/>
      <c r="EK5" s="1641"/>
      <c r="EL5" s="1641"/>
      <c r="EM5" s="1636">
        <v>2124</v>
      </c>
      <c r="EN5" s="1636">
        <v>15</v>
      </c>
      <c r="EO5" s="1636">
        <v>8367</v>
      </c>
      <c r="EP5" s="1641"/>
      <c r="EQ5" s="1636">
        <v>268</v>
      </c>
      <c r="ER5" s="1641"/>
      <c r="ES5" s="1641"/>
      <c r="ET5" s="1641"/>
      <c r="EU5" s="1641"/>
      <c r="EV5" s="1636">
        <v>2951</v>
      </c>
      <c r="EW5" s="1641"/>
      <c r="EX5" s="1641">
        <v>500</v>
      </c>
      <c r="EY5" s="1641"/>
      <c r="EZ5" s="1641">
        <v>1523.09</v>
      </c>
      <c r="FA5" s="1641"/>
      <c r="FB5" s="1641"/>
      <c r="FC5" s="1636">
        <v>19352</v>
      </c>
      <c r="FD5" s="1641"/>
      <c r="FE5" s="1641"/>
      <c r="FF5" s="1636">
        <v>22184</v>
      </c>
      <c r="FG5" s="1641"/>
      <c r="FH5" s="1641"/>
      <c r="FI5" s="1641"/>
      <c r="FJ5" s="1636">
        <v>9185</v>
      </c>
      <c r="FK5" s="1636">
        <v>5244</v>
      </c>
      <c r="FL5" s="1641"/>
      <c r="FM5" s="1641"/>
      <c r="FN5" s="1641"/>
      <c r="FO5" s="1636">
        <v>1231</v>
      </c>
      <c r="FP5" s="1636">
        <v>698</v>
      </c>
      <c r="FQ5" s="1641"/>
      <c r="FR5" s="1641"/>
      <c r="FS5" s="1641"/>
      <c r="FT5" s="1641"/>
      <c r="FU5" s="1641"/>
      <c r="FV5" s="1641"/>
      <c r="FW5" s="1641"/>
      <c r="FX5" s="1641"/>
      <c r="FY5" s="1641"/>
      <c r="FZ5" s="1641"/>
      <c r="GA5" s="1641"/>
      <c r="GB5" s="1641"/>
      <c r="GC5" s="1641"/>
      <c r="GD5" s="1641"/>
      <c r="GE5" s="1641"/>
      <c r="GF5" s="1641">
        <v>3562</v>
      </c>
      <c r="GG5" s="1641"/>
      <c r="GH5" s="1641"/>
      <c r="GI5" s="1641"/>
      <c r="GJ5" s="1641"/>
      <c r="GK5" s="1641"/>
      <c r="GL5" s="1641"/>
      <c r="GM5" s="1641"/>
      <c r="GN5" s="1641"/>
      <c r="GO5" s="1641"/>
      <c r="GP5" s="1641"/>
      <c r="GQ5" s="1641"/>
      <c r="GR5" s="1641"/>
      <c r="GS5" s="1641"/>
      <c r="GT5" s="1641"/>
      <c r="GU5" s="1641"/>
      <c r="GV5" s="1641"/>
      <c r="GW5" s="1641"/>
      <c r="GX5" s="1641"/>
      <c r="GY5" s="1641"/>
      <c r="GZ5" s="1641"/>
      <c r="HA5" s="1641"/>
      <c r="HB5" s="1641"/>
      <c r="HC5" s="1641"/>
      <c r="HD5" s="1641"/>
      <c r="HE5" s="1641"/>
      <c r="HF5" s="1641"/>
      <c r="HG5" s="1636">
        <v>20000</v>
      </c>
      <c r="HH5" s="1641">
        <v>1697</v>
      </c>
      <c r="HI5" s="1641"/>
      <c r="HJ5" s="1641"/>
      <c r="HK5" s="1641"/>
      <c r="HL5" s="1636">
        <v>18015</v>
      </c>
      <c r="HM5" s="1641"/>
      <c r="HN5" s="1641"/>
      <c r="HO5" s="1641"/>
      <c r="HP5" s="1641"/>
      <c r="HQ5" s="1641"/>
      <c r="HR5" s="1641"/>
      <c r="HS5" s="1641"/>
      <c r="HT5" s="1641"/>
      <c r="HU5" s="1641"/>
      <c r="HV5" s="1641"/>
      <c r="HW5" s="1641"/>
      <c r="HX5" s="1641"/>
      <c r="HY5" s="1641"/>
      <c r="HZ5" s="1641"/>
      <c r="IA5" s="1636">
        <v>161</v>
      </c>
      <c r="IB5" s="1641"/>
      <c r="IC5" s="1641">
        <v>451</v>
      </c>
      <c r="ID5" s="1641"/>
      <c r="IE5" s="1641"/>
      <c r="IF5" s="1641">
        <v>19048</v>
      </c>
      <c r="IG5" s="1641"/>
      <c r="IH5" s="1641">
        <v>2703</v>
      </c>
      <c r="II5" s="1636">
        <v>14904</v>
      </c>
      <c r="IJ5" s="1641"/>
      <c r="IK5" s="1636">
        <v>18500</v>
      </c>
      <c r="IL5" s="1636">
        <v>1250</v>
      </c>
      <c r="IM5" s="1641"/>
      <c r="IN5" s="1641"/>
      <c r="IO5" s="1641"/>
      <c r="IP5" s="1637"/>
      <c r="IQ5" s="1641"/>
      <c r="IR5" s="1641"/>
      <c r="IS5" s="1641"/>
      <c r="IT5" s="1641"/>
      <c r="IU5" s="1641"/>
      <c r="IV5" s="1641"/>
      <c r="IW5" s="1641"/>
      <c r="IX5" s="1641"/>
      <c r="IY5" s="1641"/>
      <c r="IZ5" s="1641"/>
      <c r="JA5" s="1641"/>
      <c r="JB5" s="1641"/>
      <c r="JC5" s="1641"/>
      <c r="JD5" s="1641"/>
      <c r="JE5" s="1641"/>
      <c r="JF5" s="1641">
        <v>1263</v>
      </c>
      <c r="JG5" s="1641"/>
      <c r="JH5" s="1637">
        <v>130</v>
      </c>
      <c r="JI5" s="1637"/>
      <c r="JJ5" s="1637">
        <v>1660</v>
      </c>
      <c r="JK5" s="1637"/>
      <c r="JL5" s="1637"/>
      <c r="JM5" s="1637"/>
      <c r="JN5" s="1637"/>
      <c r="JO5" s="1637"/>
      <c r="JP5" s="1637"/>
      <c r="JQ5" s="1640"/>
      <c r="JR5" s="351"/>
    </row>
    <row r="6" spans="1:280" x14ac:dyDescent="0.25">
      <c r="A6" s="1367">
        <v>6</v>
      </c>
      <c r="B6" s="1411" t="str">
        <f t="shared" si="0"/>
        <v/>
      </c>
      <c r="C6" s="1435" t="s">
        <v>3868</v>
      </c>
      <c r="D6" s="1361" t="s">
        <v>3869</v>
      </c>
      <c r="E6" s="1641"/>
      <c r="F6" s="1641"/>
      <c r="G6" s="1641"/>
      <c r="H6" s="1641"/>
      <c r="I6" s="1641"/>
      <c r="J6" s="1641"/>
      <c r="K6" s="1641"/>
      <c r="L6" s="1641"/>
      <c r="M6" s="1641"/>
      <c r="N6" s="1641"/>
      <c r="O6" s="1641"/>
      <c r="P6" s="1641"/>
      <c r="Q6" s="1641"/>
      <c r="R6" s="1641"/>
      <c r="S6" s="1641"/>
      <c r="T6" s="1641"/>
      <c r="U6" s="1641"/>
      <c r="V6" s="1641"/>
      <c r="W6" s="1641"/>
      <c r="X6" s="1641"/>
      <c r="Y6" s="1641"/>
      <c r="Z6" s="1641"/>
      <c r="AA6" s="1641"/>
      <c r="AB6" s="1641"/>
      <c r="AC6" s="1641"/>
      <c r="AD6" s="1641"/>
      <c r="AE6" s="1641"/>
      <c r="AF6" s="1641"/>
      <c r="AG6" s="1641"/>
      <c r="AH6" s="1641"/>
      <c r="AI6" s="1641"/>
      <c r="AJ6" s="1641"/>
      <c r="AK6" s="1641"/>
      <c r="AL6" s="1641"/>
      <c r="AM6" s="1641"/>
      <c r="AN6" s="1641"/>
      <c r="AO6" s="1641"/>
      <c r="AP6" s="1641"/>
      <c r="AQ6" s="1641"/>
      <c r="AR6" s="1641"/>
      <c r="AS6" s="1641"/>
      <c r="AT6" s="1641"/>
      <c r="AU6" s="1641"/>
      <c r="AV6" s="1641"/>
      <c r="AW6" s="1641">
        <v>100</v>
      </c>
      <c r="AX6" s="1641"/>
      <c r="AY6" s="1641"/>
      <c r="AZ6" s="1641"/>
      <c r="BA6" s="1641"/>
      <c r="BB6" s="1641"/>
      <c r="BC6" s="1641">
        <v>356</v>
      </c>
      <c r="BD6" s="1641">
        <v>356</v>
      </c>
      <c r="BE6" s="1641"/>
      <c r="BF6" s="1641"/>
      <c r="BG6" s="1641"/>
      <c r="BH6" s="1641"/>
      <c r="BI6" s="1641"/>
      <c r="BJ6" s="1641"/>
      <c r="BK6" s="1641"/>
      <c r="BL6" s="1641"/>
      <c r="BM6" s="1641"/>
      <c r="BN6" s="1641"/>
      <c r="BO6" s="1641"/>
      <c r="BP6" s="1641"/>
      <c r="BQ6" s="1641"/>
      <c r="BR6" s="1641"/>
      <c r="BS6" s="1641"/>
      <c r="BT6" s="1641"/>
      <c r="BU6" s="1641"/>
      <c r="BV6" s="1641"/>
      <c r="BW6" s="1641"/>
      <c r="BX6" s="1641"/>
      <c r="BY6" s="1641"/>
      <c r="BZ6" s="1641"/>
      <c r="CA6" s="1641"/>
      <c r="CB6" s="1641"/>
      <c r="CC6" s="1641"/>
      <c r="CD6" s="1641"/>
      <c r="CE6" s="1641"/>
      <c r="CF6" s="1641"/>
      <c r="CG6" s="1641"/>
      <c r="CH6" s="1641"/>
      <c r="CI6" s="1641"/>
      <c r="CJ6" s="1641" t="s">
        <v>2927</v>
      </c>
      <c r="CK6" s="1641"/>
      <c r="CL6" s="1641"/>
      <c r="CM6" s="1641"/>
      <c r="CN6" s="1641"/>
      <c r="CO6" s="1641"/>
      <c r="CP6" s="1641"/>
      <c r="CQ6" s="1641"/>
      <c r="CR6" s="1641"/>
      <c r="CS6" s="1641"/>
      <c r="CT6" s="1641"/>
      <c r="CU6" s="1641"/>
      <c r="CV6" s="1641"/>
      <c r="CW6" s="1641"/>
      <c r="CX6" s="1641"/>
      <c r="CY6" s="1641"/>
      <c r="CZ6" s="1641"/>
      <c r="DA6" s="1641"/>
      <c r="DB6" s="1641"/>
      <c r="DC6" s="1641"/>
      <c r="DD6" s="1641"/>
      <c r="DE6" s="1641"/>
      <c r="DF6" s="1641"/>
      <c r="DG6" s="1641"/>
      <c r="DH6" s="1641"/>
      <c r="DI6" s="1641"/>
      <c r="DJ6" s="1641"/>
      <c r="DK6" s="1641"/>
      <c r="DL6" s="1641"/>
      <c r="DM6" s="1641">
        <v>507</v>
      </c>
      <c r="DN6" s="1641"/>
      <c r="DO6" s="1641"/>
      <c r="DP6" s="1641"/>
      <c r="DQ6" s="1641"/>
      <c r="DR6" s="1641"/>
      <c r="DS6" s="1641"/>
      <c r="DT6" s="1641"/>
      <c r="DU6" s="1641"/>
      <c r="DV6" s="1641"/>
      <c r="DW6" s="1641"/>
      <c r="DX6" s="1641"/>
      <c r="DY6" s="1641"/>
      <c r="DZ6" s="1641"/>
      <c r="EA6" s="1641"/>
      <c r="EB6" s="1641"/>
      <c r="EC6" s="1641"/>
      <c r="ED6" s="1641"/>
      <c r="EE6" s="1641"/>
      <c r="EF6" s="1641"/>
      <c r="EG6" s="1641"/>
      <c r="EH6" s="1641"/>
      <c r="EI6" s="1641"/>
      <c r="EJ6" s="1641"/>
      <c r="EK6" s="1641"/>
      <c r="EL6" s="1641"/>
      <c r="EM6" s="1641"/>
      <c r="EN6" s="1641"/>
      <c r="EO6" s="1641">
        <v>507</v>
      </c>
      <c r="EP6" s="1641"/>
      <c r="EQ6" s="1641"/>
      <c r="ER6" s="1641"/>
      <c r="ES6" s="1641"/>
      <c r="ET6" s="1641"/>
      <c r="EU6" s="1641"/>
      <c r="EV6" s="1641"/>
      <c r="EW6" s="1641"/>
      <c r="EX6" s="1641">
        <v>100</v>
      </c>
      <c r="EY6" s="1641"/>
      <c r="EZ6" s="1641"/>
      <c r="FA6" s="1641"/>
      <c r="FB6" s="1641"/>
      <c r="FC6" s="1641"/>
      <c r="FD6" s="1641"/>
      <c r="FE6" s="1641"/>
      <c r="FF6" s="1641"/>
      <c r="FG6" s="1641"/>
      <c r="FH6" s="1641"/>
      <c r="FI6" s="1641"/>
      <c r="FJ6" s="1641"/>
      <c r="FK6" s="1641"/>
      <c r="FL6" s="1641"/>
      <c r="FM6" s="1641"/>
      <c r="FN6" s="1641"/>
      <c r="FO6" s="1641"/>
      <c r="FP6" s="1641"/>
      <c r="FQ6" s="1641"/>
      <c r="FR6" s="1641"/>
      <c r="FS6" s="1641"/>
      <c r="FT6" s="1641"/>
      <c r="FU6" s="1641"/>
      <c r="FV6" s="1641"/>
      <c r="FW6" s="1641"/>
      <c r="FX6" s="1641"/>
      <c r="FY6" s="1641"/>
      <c r="FZ6" s="1641"/>
      <c r="GA6" s="1641"/>
      <c r="GB6" s="1641"/>
      <c r="GC6" s="1641"/>
      <c r="GD6" s="1641"/>
      <c r="GE6" s="1641"/>
      <c r="GF6" s="1641">
        <v>356</v>
      </c>
      <c r="GG6" s="1641"/>
      <c r="GH6" s="1641"/>
      <c r="GI6" s="1641"/>
      <c r="GJ6" s="1641"/>
      <c r="GK6" s="1641"/>
      <c r="GL6" s="1641"/>
      <c r="GM6" s="1641"/>
      <c r="GN6" s="1641"/>
      <c r="GO6" s="1641"/>
      <c r="GP6" s="1641"/>
      <c r="GQ6" s="1641"/>
      <c r="GR6" s="1641"/>
      <c r="GS6" s="1641"/>
      <c r="GT6" s="1641"/>
      <c r="GU6" s="1641"/>
      <c r="GV6" s="1641"/>
      <c r="GW6" s="1641"/>
      <c r="GX6" s="1641"/>
      <c r="GY6" s="1641"/>
      <c r="GZ6" s="1641"/>
      <c r="HA6" s="1641"/>
      <c r="HB6" s="1641"/>
      <c r="HC6" s="1641"/>
      <c r="HD6" s="1641"/>
      <c r="HE6" s="1641"/>
      <c r="HF6" s="1641"/>
      <c r="HG6" s="1636">
        <v>2000</v>
      </c>
      <c r="HH6" s="1641">
        <v>170</v>
      </c>
      <c r="HI6" s="1641"/>
      <c r="HJ6" s="1641"/>
      <c r="HK6" s="1641"/>
      <c r="HL6" s="1641"/>
      <c r="HM6" s="1641"/>
      <c r="HN6" s="1641"/>
      <c r="HO6" s="1641"/>
      <c r="HP6" s="1641"/>
      <c r="HQ6" s="1641"/>
      <c r="HR6" s="1641"/>
      <c r="HS6" s="1641"/>
      <c r="HT6" s="1641"/>
      <c r="HU6" s="1641"/>
      <c r="HV6" s="1641"/>
      <c r="HW6" s="1641"/>
      <c r="HX6" s="1641"/>
      <c r="HY6" s="1641"/>
      <c r="HZ6" s="1641"/>
      <c r="IA6" s="1636">
        <v>4</v>
      </c>
      <c r="IB6" s="1641"/>
      <c r="IC6" s="1641"/>
      <c r="ID6" s="1641"/>
      <c r="IE6" s="1641"/>
      <c r="IF6" s="1641"/>
      <c r="IG6" s="1641"/>
      <c r="IH6" s="1641"/>
      <c r="II6" s="1636">
        <v>2605</v>
      </c>
      <c r="IJ6" s="1641"/>
      <c r="IK6" s="1636">
        <v>1850</v>
      </c>
      <c r="IL6" s="1636">
        <v>250</v>
      </c>
      <c r="IM6" s="1641"/>
      <c r="IN6" s="1641"/>
      <c r="IO6" s="1641"/>
      <c r="IP6" s="1637"/>
      <c r="IQ6" s="1641"/>
      <c r="IR6" s="1641"/>
      <c r="IS6" s="1641"/>
      <c r="IT6" s="1641"/>
      <c r="IU6" s="1641"/>
      <c r="IV6" s="1641"/>
      <c r="IW6" s="1641"/>
      <c r="IX6" s="1641"/>
      <c r="IY6" s="1641"/>
      <c r="IZ6" s="1641"/>
      <c r="JA6" s="1641"/>
      <c r="JB6" s="1641"/>
      <c r="JC6" s="1641"/>
      <c r="JD6" s="1641"/>
      <c r="JE6" s="1641"/>
      <c r="JF6" s="1641"/>
      <c r="JG6" s="1641"/>
      <c r="JH6" s="1637"/>
      <c r="JI6" s="1637"/>
      <c r="JJ6" s="1637"/>
      <c r="JK6" s="1637"/>
      <c r="JL6" s="1637"/>
      <c r="JM6" s="1637"/>
      <c r="JN6" s="1637"/>
      <c r="JO6" s="1637"/>
      <c r="JP6" s="1637"/>
      <c r="JQ6" s="1640"/>
      <c r="JR6" s="351"/>
    </row>
    <row r="7" spans="1:280" x14ac:dyDescent="0.25">
      <c r="A7" s="1367">
        <v>7</v>
      </c>
      <c r="B7" s="1411" t="str">
        <f t="shared" si="0"/>
        <v/>
      </c>
      <c r="C7" s="1435" t="s">
        <v>3870</v>
      </c>
      <c r="D7" s="1361" t="s">
        <v>3871</v>
      </c>
      <c r="E7" s="1641"/>
      <c r="F7" s="1641"/>
      <c r="G7" s="1641"/>
      <c r="H7" s="1641"/>
      <c r="I7" s="1641"/>
      <c r="J7" s="1641"/>
      <c r="K7" s="1641"/>
      <c r="L7" s="1641"/>
      <c r="M7" s="1641"/>
      <c r="N7" s="1641"/>
      <c r="O7" s="1641"/>
      <c r="P7" s="1641"/>
      <c r="Q7" s="1641"/>
      <c r="R7" s="1641"/>
      <c r="S7" s="1641"/>
      <c r="T7" s="1641"/>
      <c r="U7" s="1641"/>
      <c r="V7" s="1641"/>
      <c r="W7" s="1641"/>
      <c r="X7" s="1641"/>
      <c r="Y7" s="1641"/>
      <c r="Z7" s="1641"/>
      <c r="AA7" s="1641"/>
      <c r="AB7" s="1641"/>
      <c r="AC7" s="1641"/>
      <c r="AD7" s="1641"/>
      <c r="AE7" s="1641"/>
      <c r="AF7" s="1641"/>
      <c r="AG7" s="1641"/>
      <c r="AH7" s="1641"/>
      <c r="AI7" s="1641"/>
      <c r="AJ7" s="1641"/>
      <c r="AK7" s="1641"/>
      <c r="AL7" s="1641"/>
      <c r="AM7" s="1641"/>
      <c r="AN7" s="1641"/>
      <c r="AO7" s="1641"/>
      <c r="AP7" s="1641"/>
      <c r="AQ7" s="1641"/>
      <c r="AR7" s="1641"/>
      <c r="AS7" s="1641"/>
      <c r="AT7" s="1641"/>
      <c r="AU7" s="1641"/>
      <c r="AV7" s="1641"/>
      <c r="AW7" s="1641"/>
      <c r="AX7" s="1641"/>
      <c r="AY7" s="1641"/>
      <c r="AZ7" s="1641"/>
      <c r="BA7" s="1641"/>
      <c r="BB7" s="1641"/>
      <c r="BC7" s="1641"/>
      <c r="BD7" s="1641"/>
      <c r="BE7" s="1641"/>
      <c r="BF7" s="1641"/>
      <c r="BG7" s="1641"/>
      <c r="BH7" s="1641"/>
      <c r="BI7" s="1641"/>
      <c r="BJ7" s="1641"/>
      <c r="BK7" s="1641"/>
      <c r="BL7" s="1641"/>
      <c r="BM7" s="1641"/>
      <c r="BN7" s="1641"/>
      <c r="BO7" s="1641"/>
      <c r="BP7" s="1641"/>
      <c r="BQ7" s="1641"/>
      <c r="BR7" s="1641"/>
      <c r="BS7" s="1641"/>
      <c r="BT7" s="1641"/>
      <c r="BU7" s="1641"/>
      <c r="BV7" s="1641"/>
      <c r="BW7" s="1641"/>
      <c r="BX7" s="1641"/>
      <c r="BY7" s="1641"/>
      <c r="BZ7" s="1641"/>
      <c r="CA7" s="1641"/>
      <c r="CB7" s="1641"/>
      <c r="CC7" s="1641"/>
      <c r="CD7" s="1641"/>
      <c r="CE7" s="1641"/>
      <c r="CF7" s="1641"/>
      <c r="CG7" s="1641"/>
      <c r="CH7" s="1641"/>
      <c r="CI7" s="1641"/>
      <c r="CJ7" s="1641"/>
      <c r="CK7" s="1641"/>
      <c r="CL7" s="1641"/>
      <c r="CM7" s="1641"/>
      <c r="CN7" s="1641"/>
      <c r="CO7" s="1641"/>
      <c r="CP7" s="1641"/>
      <c r="CQ7" s="1641"/>
      <c r="CR7" s="1641"/>
      <c r="CS7" s="1641"/>
      <c r="CT7" s="1641">
        <v>252</v>
      </c>
      <c r="CU7" s="1641"/>
      <c r="CV7" s="1641"/>
      <c r="CW7" s="1641"/>
      <c r="CX7" s="1641"/>
      <c r="CY7" s="1641"/>
      <c r="CZ7" s="1641"/>
      <c r="DA7" s="1641"/>
      <c r="DB7" s="1641"/>
      <c r="DC7" s="1641"/>
      <c r="DD7" s="1641"/>
      <c r="DE7" s="1641"/>
      <c r="DF7" s="1641"/>
      <c r="DG7" s="1641"/>
      <c r="DH7" s="1641"/>
      <c r="DI7" s="1636"/>
      <c r="DJ7" s="1641"/>
      <c r="DK7" s="1641"/>
      <c r="DL7" s="1641"/>
      <c r="DM7" s="1641"/>
      <c r="DN7" s="1641"/>
      <c r="DO7" s="1641"/>
      <c r="DP7" s="1641"/>
      <c r="DQ7" s="1641"/>
      <c r="DR7" s="1641"/>
      <c r="DS7" s="1641"/>
      <c r="DT7" s="1641"/>
      <c r="DU7" s="1641"/>
      <c r="DV7" s="1641"/>
      <c r="DW7" s="1641"/>
      <c r="DX7" s="1641"/>
      <c r="DY7" s="1641"/>
      <c r="DZ7" s="1641"/>
      <c r="EA7" s="1641"/>
      <c r="EB7" s="1641"/>
      <c r="EC7" s="1641"/>
      <c r="ED7" s="1641"/>
      <c r="EE7" s="1641"/>
      <c r="EF7" s="1641"/>
      <c r="EG7" s="1641"/>
      <c r="EH7" s="1641"/>
      <c r="EI7" s="1641"/>
      <c r="EJ7" s="1641"/>
      <c r="EK7" s="1641"/>
      <c r="EL7" s="1641"/>
      <c r="EM7" s="1641"/>
      <c r="EN7" s="1641"/>
      <c r="EO7" s="1641"/>
      <c r="EP7" s="1641"/>
      <c r="EQ7" s="1641"/>
      <c r="ER7" s="1641"/>
      <c r="ES7" s="1641"/>
      <c r="ET7" s="1641"/>
      <c r="EU7" s="1641"/>
      <c r="EV7" s="1641"/>
      <c r="EW7" s="1641"/>
      <c r="EX7" s="1641">
        <v>75</v>
      </c>
      <c r="EY7" s="1641"/>
      <c r="EZ7" s="1641"/>
      <c r="FA7" s="1641"/>
      <c r="FB7" s="1641"/>
      <c r="FC7" s="1641"/>
      <c r="FD7" s="1641"/>
      <c r="FE7" s="1641"/>
      <c r="FF7" s="1641"/>
      <c r="FG7" s="1641"/>
      <c r="FH7" s="1641"/>
      <c r="FI7" s="1641"/>
      <c r="FJ7" s="1641"/>
      <c r="FK7" s="1641"/>
      <c r="FL7" s="1641"/>
      <c r="FM7" s="1641"/>
      <c r="FN7" s="1641"/>
      <c r="FO7" s="1641"/>
      <c r="FP7" s="1641"/>
      <c r="FQ7" s="1641"/>
      <c r="FR7" s="1641"/>
      <c r="FS7" s="1641"/>
      <c r="FT7" s="1641"/>
      <c r="FU7" s="1641"/>
      <c r="FV7" s="1641"/>
      <c r="FW7" s="1641"/>
      <c r="FX7" s="1641"/>
      <c r="FY7" s="1641"/>
      <c r="FZ7" s="1641"/>
      <c r="GA7" s="1641"/>
      <c r="GB7" s="1641"/>
      <c r="GC7" s="1641"/>
      <c r="GD7" s="1641"/>
      <c r="GE7" s="1641"/>
      <c r="GF7" s="1641"/>
      <c r="GG7" s="1641"/>
      <c r="GH7" s="1641"/>
      <c r="GI7" s="1641"/>
      <c r="GJ7" s="1641"/>
      <c r="GK7" s="1641"/>
      <c r="GL7" s="1641"/>
      <c r="GM7" s="1641"/>
      <c r="GN7" s="1641"/>
      <c r="GO7" s="1641"/>
      <c r="GP7" s="1641"/>
      <c r="GQ7" s="1641"/>
      <c r="GR7" s="1641"/>
      <c r="GS7" s="1641"/>
      <c r="GT7" s="1641"/>
      <c r="GU7" s="1641"/>
      <c r="GV7" s="1641"/>
      <c r="GW7" s="1641"/>
      <c r="GX7" s="1641"/>
      <c r="GY7" s="1641"/>
      <c r="GZ7" s="1641"/>
      <c r="HA7" s="1641"/>
      <c r="HB7" s="1641"/>
      <c r="HC7" s="1641"/>
      <c r="HD7" s="1641"/>
      <c r="HE7" s="1641"/>
      <c r="HF7" s="1641"/>
      <c r="HG7" s="1641"/>
      <c r="HH7" s="1641"/>
      <c r="HI7" s="1641"/>
      <c r="HJ7" s="1641"/>
      <c r="HK7" s="1641"/>
      <c r="HL7" s="1641"/>
      <c r="HM7" s="1641"/>
      <c r="HN7" s="1641"/>
      <c r="HO7" s="1641"/>
      <c r="HP7" s="1641"/>
      <c r="HQ7" s="1641"/>
      <c r="HR7" s="1641"/>
      <c r="HS7" s="1641"/>
      <c r="HT7" s="1641"/>
      <c r="HU7" s="1641"/>
      <c r="HV7" s="1641"/>
      <c r="HW7" s="1641"/>
      <c r="HX7" s="1641"/>
      <c r="HY7" s="1641"/>
      <c r="HZ7" s="1641"/>
      <c r="IA7" s="1641"/>
      <c r="IB7" s="1641"/>
      <c r="IC7" s="1641"/>
      <c r="ID7" s="1641"/>
      <c r="IE7" s="1641"/>
      <c r="IF7" s="1641"/>
      <c r="IG7" s="1641"/>
      <c r="IH7" s="1641"/>
      <c r="II7" s="1641"/>
      <c r="IJ7" s="1641"/>
      <c r="IK7" s="1641"/>
      <c r="IL7" s="1641"/>
      <c r="IM7" s="1641"/>
      <c r="IN7" s="1641"/>
      <c r="IO7" s="1641"/>
      <c r="IP7" s="1637"/>
      <c r="IQ7" s="1641"/>
      <c r="IR7" s="1641"/>
      <c r="IS7" s="1641"/>
      <c r="IT7" s="1641"/>
      <c r="IU7" s="1641"/>
      <c r="IV7" s="1641"/>
      <c r="IW7" s="1641"/>
      <c r="IX7" s="1641"/>
      <c r="IY7" s="1641"/>
      <c r="IZ7" s="1641"/>
      <c r="JA7" s="1641"/>
      <c r="JB7" s="1641"/>
      <c r="JC7" s="1641"/>
      <c r="JD7" s="1641"/>
      <c r="JE7" s="1641"/>
      <c r="JF7" s="1641">
        <v>252</v>
      </c>
      <c r="JG7" s="1641"/>
      <c r="JH7" s="1637"/>
      <c r="JI7" s="1637"/>
      <c r="JJ7" s="1637"/>
      <c r="JK7" s="1637"/>
      <c r="JL7" s="1637"/>
      <c r="JM7" s="1637"/>
      <c r="JN7" s="1637"/>
      <c r="JO7" s="1637"/>
      <c r="JP7" s="1637"/>
      <c r="JQ7" s="1640"/>
      <c r="JR7" s="351"/>
    </row>
    <row r="8" spans="1:280" x14ac:dyDescent="0.25">
      <c r="A8" s="1367">
        <v>8</v>
      </c>
      <c r="B8" s="1411" t="str">
        <f t="shared" si="0"/>
        <v/>
      </c>
      <c r="C8" s="1435" t="s">
        <v>3872</v>
      </c>
      <c r="D8" s="1361" t="s">
        <v>3873</v>
      </c>
      <c r="E8" s="1639"/>
      <c r="F8" s="1639"/>
      <c r="G8" s="1639"/>
      <c r="H8" s="1639"/>
      <c r="I8" s="1639"/>
      <c r="J8" s="1639"/>
      <c r="K8" s="1639"/>
      <c r="L8" s="1639"/>
      <c r="M8" s="1639"/>
      <c r="N8" s="1639"/>
      <c r="O8" s="1639"/>
      <c r="P8" s="1639"/>
      <c r="Q8" s="1639"/>
      <c r="R8" s="1639"/>
      <c r="S8" s="1639"/>
      <c r="T8" s="1639"/>
      <c r="U8" s="1639"/>
      <c r="V8" s="1639"/>
      <c r="W8" s="1639"/>
      <c r="X8" s="1639"/>
      <c r="Y8" s="1639"/>
      <c r="Z8" s="1639"/>
      <c r="AA8" s="1639"/>
      <c r="AB8" s="1639"/>
      <c r="AC8" s="1639"/>
      <c r="AD8" s="1639"/>
      <c r="AE8" s="1639"/>
      <c r="AF8" s="1639"/>
      <c r="AG8" s="1639"/>
      <c r="AH8" s="1639"/>
      <c r="AI8" s="1639"/>
      <c r="AJ8" s="1639"/>
      <c r="AK8" s="1639"/>
      <c r="AL8" s="1639"/>
      <c r="AM8" s="1639"/>
      <c r="AN8" s="1639"/>
      <c r="AO8" s="1639"/>
      <c r="AP8" s="1639"/>
      <c r="AQ8" s="1639"/>
      <c r="AR8" s="1639"/>
      <c r="AS8" s="1639"/>
      <c r="AT8" s="1639"/>
      <c r="AU8" s="1639"/>
      <c r="AV8" s="1639"/>
      <c r="AW8" s="1639"/>
      <c r="AX8" s="1639"/>
      <c r="AY8" s="1639"/>
      <c r="AZ8" s="1639"/>
      <c r="BA8" s="1639"/>
      <c r="BB8" s="1639"/>
      <c r="BC8" s="1639" t="s">
        <v>1707</v>
      </c>
      <c r="BD8" s="1639" t="s">
        <v>1707</v>
      </c>
      <c r="BE8" s="1639"/>
      <c r="BF8" s="1639"/>
      <c r="BG8" s="1639"/>
      <c r="BH8" s="1639"/>
      <c r="BI8" s="1639"/>
      <c r="BJ8" s="1639"/>
      <c r="BK8" s="1639"/>
      <c r="BL8" s="1639"/>
      <c r="BM8" s="1639"/>
      <c r="BN8" s="1639"/>
      <c r="BO8" s="1639"/>
      <c r="BP8" s="1639"/>
      <c r="BQ8" s="1639"/>
      <c r="BR8" s="1639"/>
      <c r="BS8" s="1639"/>
      <c r="BT8" s="1639"/>
      <c r="BU8" s="1639"/>
      <c r="BV8" s="1639"/>
      <c r="BW8" s="1639"/>
      <c r="BX8" s="1639"/>
      <c r="BY8" s="1639"/>
      <c r="BZ8" s="1639"/>
      <c r="CA8" s="1639"/>
      <c r="CB8" s="1639"/>
      <c r="CC8" s="1639"/>
      <c r="CD8" s="1639"/>
      <c r="CE8" s="1639"/>
      <c r="CF8" s="1639"/>
      <c r="CG8" s="1639"/>
      <c r="CH8" s="1639"/>
      <c r="CI8" s="1639"/>
      <c r="CJ8" s="1638" t="s">
        <v>1707</v>
      </c>
      <c r="CK8" s="1639"/>
      <c r="CL8" s="1639"/>
      <c r="CM8" s="1639"/>
      <c r="CN8" s="1639"/>
      <c r="CO8" s="1639"/>
      <c r="CP8" s="1639"/>
      <c r="CQ8" s="1639"/>
      <c r="CR8" s="1639"/>
      <c r="CS8" s="1639"/>
      <c r="CT8" s="1639"/>
      <c r="CU8" s="1639"/>
      <c r="CV8" s="1639"/>
      <c r="CW8" s="1639"/>
      <c r="CX8" s="1639"/>
      <c r="CY8" s="1639"/>
      <c r="CZ8" s="1639"/>
      <c r="DA8" s="1639"/>
      <c r="DB8" s="1639"/>
      <c r="DC8" s="1639"/>
      <c r="DD8" s="1639"/>
      <c r="DE8" s="1639"/>
      <c r="DF8" s="1639"/>
      <c r="DG8" s="1639"/>
      <c r="DH8" s="1639"/>
      <c r="DI8" s="1639"/>
      <c r="DJ8" s="1639"/>
      <c r="DK8" s="1639"/>
      <c r="DL8" s="1639"/>
      <c r="DM8" s="1639"/>
      <c r="DN8" s="1639"/>
      <c r="DO8" s="1639"/>
      <c r="DP8" s="1639"/>
      <c r="DQ8" s="1639"/>
      <c r="DR8" s="1639"/>
      <c r="DS8" s="1639"/>
      <c r="DT8" s="1639"/>
      <c r="DU8" s="1639"/>
      <c r="DV8" s="1639"/>
      <c r="DW8" s="1639"/>
      <c r="DX8" s="1639"/>
      <c r="DY8" s="1639"/>
      <c r="DZ8" s="1639"/>
      <c r="EA8" s="1639"/>
      <c r="EB8" s="1639"/>
      <c r="EC8" s="1639"/>
      <c r="ED8" s="1639"/>
      <c r="EE8" s="1639"/>
      <c r="EF8" s="1639"/>
      <c r="EG8" s="1639"/>
      <c r="EH8" s="1639"/>
      <c r="EI8" s="1639"/>
      <c r="EJ8" s="1639"/>
      <c r="EK8" s="1639"/>
      <c r="EL8" s="1639"/>
      <c r="EM8" s="1639"/>
      <c r="EN8" s="1639"/>
      <c r="EO8" s="1639"/>
      <c r="EP8" s="1639"/>
      <c r="EQ8" s="1639"/>
      <c r="ER8" s="1639"/>
      <c r="ES8" s="1639"/>
      <c r="ET8" s="1639"/>
      <c r="EU8" s="1639"/>
      <c r="EV8" s="1638" t="s">
        <v>1707</v>
      </c>
      <c r="EW8" s="1639"/>
      <c r="EX8" s="1639" t="s">
        <v>1707</v>
      </c>
      <c r="EY8" s="1639"/>
      <c r="EZ8" s="1639"/>
      <c r="FA8" s="1639"/>
      <c r="FB8" s="1639"/>
      <c r="FC8" s="1639"/>
      <c r="FD8" s="1639"/>
      <c r="FE8" s="1639"/>
      <c r="FF8" s="1639"/>
      <c r="FG8" s="1639"/>
      <c r="FH8" s="1639"/>
      <c r="FI8" s="1639"/>
      <c r="FJ8" s="1639"/>
      <c r="FK8" s="1639"/>
      <c r="FL8" s="1639"/>
      <c r="FM8" s="1639"/>
      <c r="FN8" s="1639"/>
      <c r="FO8" s="1639"/>
      <c r="FP8" s="1639"/>
      <c r="FQ8" s="1639"/>
      <c r="FR8" s="1639"/>
      <c r="FS8" s="1639"/>
      <c r="FT8" s="1639"/>
      <c r="FU8" s="1639"/>
      <c r="FV8" s="1639"/>
      <c r="FW8" s="1639"/>
      <c r="FX8" s="1639"/>
      <c r="FY8" s="1639"/>
      <c r="FZ8" s="1639"/>
      <c r="GA8" s="1639"/>
      <c r="GB8" s="1639"/>
      <c r="GC8" s="1639"/>
      <c r="GD8" s="1639"/>
      <c r="GE8" s="1639"/>
      <c r="GF8" s="1639" t="s">
        <v>1707</v>
      </c>
      <c r="GG8" s="1639"/>
      <c r="GH8" s="1639"/>
      <c r="GI8" s="1639"/>
      <c r="GJ8" s="1639"/>
      <c r="GK8" s="1639"/>
      <c r="GL8" s="1639"/>
      <c r="GM8" s="1639"/>
      <c r="GN8" s="1639"/>
      <c r="GO8" s="1639"/>
      <c r="GP8" s="1639"/>
      <c r="GQ8" s="1639"/>
      <c r="GR8" s="1639"/>
      <c r="GS8" s="1639"/>
      <c r="GT8" s="1639"/>
      <c r="GU8" s="1639"/>
      <c r="GV8" s="1639"/>
      <c r="GW8" s="1639"/>
      <c r="GX8" s="1639"/>
      <c r="GY8" s="1639"/>
      <c r="GZ8" s="1639"/>
      <c r="HA8" s="1639"/>
      <c r="HB8" s="1639"/>
      <c r="HC8" s="1639"/>
      <c r="HD8" s="1639"/>
      <c r="HE8" s="1639"/>
      <c r="HF8" s="1639"/>
      <c r="HG8" s="1639"/>
      <c r="HH8" s="1639" t="s">
        <v>1707</v>
      </c>
      <c r="HI8" s="1639"/>
      <c r="HJ8" s="1639"/>
      <c r="HK8" s="1639"/>
      <c r="HL8" s="1638" t="s">
        <v>1707</v>
      </c>
      <c r="HM8" s="1639"/>
      <c r="HN8" s="1639"/>
      <c r="HO8" s="1639"/>
      <c r="HP8" s="1639"/>
      <c r="HQ8" s="1639"/>
      <c r="HR8" s="1639"/>
      <c r="HS8" s="1639"/>
      <c r="HT8" s="1639"/>
      <c r="HU8" s="1639"/>
      <c r="HV8" s="1639"/>
      <c r="HW8" s="1639"/>
      <c r="HX8" s="1639"/>
      <c r="HY8" s="1639"/>
      <c r="HZ8" s="1639"/>
      <c r="IA8" s="1638" t="s">
        <v>1707</v>
      </c>
      <c r="IB8" s="1639"/>
      <c r="IC8" s="1639"/>
      <c r="ID8" s="1639"/>
      <c r="IE8" s="1639"/>
      <c r="IF8" s="1638"/>
      <c r="IG8" s="1639"/>
      <c r="IH8" s="1639"/>
      <c r="II8" s="1638" t="s">
        <v>1707</v>
      </c>
      <c r="IJ8" s="1639"/>
      <c r="IK8" s="1639"/>
      <c r="IL8" s="1638" t="s">
        <v>1707</v>
      </c>
      <c r="IM8" s="1639"/>
      <c r="IN8" s="1639"/>
      <c r="IO8" s="1639"/>
      <c r="IP8" s="1414"/>
      <c r="IQ8" s="1641"/>
      <c r="IR8" s="1641"/>
      <c r="IS8" s="1641"/>
      <c r="IT8" s="1641"/>
      <c r="IU8" s="1641"/>
      <c r="IV8" s="1641"/>
      <c r="IW8" s="1641"/>
      <c r="IX8" s="1639"/>
      <c r="IY8" s="1639"/>
      <c r="IZ8" s="1639"/>
      <c r="JA8" s="1639"/>
      <c r="JB8" s="1639"/>
      <c r="JC8" s="1639"/>
      <c r="JD8" s="1639"/>
      <c r="JE8" s="1639"/>
      <c r="JF8" s="1639"/>
      <c r="JG8" s="1639"/>
      <c r="JH8" s="1414"/>
      <c r="JI8" s="1637"/>
      <c r="JJ8" s="1637"/>
      <c r="JK8" s="1637"/>
      <c r="JL8" s="1637"/>
      <c r="JM8" s="1637"/>
      <c r="JN8" s="1637"/>
      <c r="JO8" s="1637"/>
      <c r="JP8" s="1414"/>
      <c r="JQ8" s="1415"/>
      <c r="JR8" s="351"/>
    </row>
    <row r="9" spans="1:280" x14ac:dyDescent="0.25">
      <c r="A9" s="1367">
        <v>9</v>
      </c>
      <c r="B9" s="1411">
        <f t="shared" si="0"/>
        <v>698</v>
      </c>
      <c r="C9" s="1435" t="s">
        <v>3874</v>
      </c>
      <c r="D9" s="1361" t="s">
        <v>3875</v>
      </c>
      <c r="E9" s="2561"/>
      <c r="F9" s="2561"/>
      <c r="G9" s="2561"/>
      <c r="H9" s="2561"/>
      <c r="I9" s="2561"/>
      <c r="J9" s="2561"/>
      <c r="K9" s="2561"/>
      <c r="L9" s="2561"/>
      <c r="M9" s="2561"/>
      <c r="N9" s="2561"/>
      <c r="O9" s="2561"/>
      <c r="P9" s="2561"/>
      <c r="Q9" s="2561"/>
      <c r="R9" s="2561"/>
      <c r="S9" s="2561"/>
      <c r="T9" s="2561"/>
      <c r="U9" s="2561"/>
      <c r="V9" s="2561"/>
      <c r="W9" s="2561"/>
      <c r="X9" s="2561"/>
      <c r="Y9" s="2561"/>
      <c r="Z9" s="2561"/>
      <c r="AA9" s="2561"/>
      <c r="AB9" s="2561"/>
      <c r="AC9" s="2561"/>
      <c r="AD9" s="2561"/>
      <c r="AE9" s="2561"/>
      <c r="AF9" s="2561"/>
      <c r="AG9" s="2561"/>
      <c r="AH9" s="2561"/>
      <c r="AI9" s="2561"/>
      <c r="AJ9" s="2561"/>
      <c r="AK9" s="2561"/>
      <c r="AL9" s="2561"/>
      <c r="AM9" s="2561"/>
      <c r="AN9" s="2561"/>
      <c r="AO9" s="2561"/>
      <c r="AP9" s="2561"/>
      <c r="AQ9" s="2561"/>
      <c r="AR9" s="2561"/>
      <c r="AS9" s="2561"/>
      <c r="AT9" s="2561"/>
      <c r="AU9" s="2561"/>
      <c r="AV9" s="2561"/>
      <c r="AW9" s="2561">
        <f>IF(AW8="Y",AW5,MAX(0,AW5-AW6))</f>
        <v>400</v>
      </c>
      <c r="AX9" s="2561"/>
      <c r="AY9" s="2561"/>
      <c r="AZ9" s="2561"/>
      <c r="BA9" s="2561"/>
      <c r="BB9" s="2561">
        <f>IF(BB8="Y",BB5,MAX(0,BB5-BB6))</f>
        <v>0</v>
      </c>
      <c r="BC9" s="2561">
        <f>IF(BC8="Y",BC5,MAX(0,BC5-BC6))</f>
        <v>3562</v>
      </c>
      <c r="BD9" s="2561">
        <f>IF(BD8="Y",BD5,MAX(0,BD5-BD6))</f>
        <v>3562</v>
      </c>
      <c r="BE9" s="2561"/>
      <c r="BF9" s="2561"/>
      <c r="BG9" s="2561"/>
      <c r="BH9" s="2561"/>
      <c r="BI9" s="2561"/>
      <c r="BJ9" s="2561">
        <f>IF(BJ8="Y",BJ5,MAX(0,BJ5-BJ6))</f>
        <v>0</v>
      </c>
      <c r="BK9" s="2561"/>
      <c r="BL9" s="2561"/>
      <c r="BM9" s="2561"/>
      <c r="BN9" s="2561"/>
      <c r="BO9" s="2561"/>
      <c r="BP9" s="2561"/>
      <c r="BQ9" s="2561"/>
      <c r="BR9" s="2561"/>
      <c r="BS9" s="2561"/>
      <c r="BT9" s="2561"/>
      <c r="BU9" s="2561"/>
      <c r="BV9" s="2561"/>
      <c r="BW9" s="2561"/>
      <c r="BX9" s="2561"/>
      <c r="BY9" s="2561"/>
      <c r="BZ9" s="2561"/>
      <c r="CA9" s="2561"/>
      <c r="CB9" s="2561"/>
      <c r="CC9" s="2561"/>
      <c r="CD9" s="2561"/>
      <c r="CE9" s="2561"/>
      <c r="CF9" s="2561"/>
      <c r="CG9" s="2561"/>
      <c r="CH9" s="2561"/>
      <c r="CI9" s="2561"/>
      <c r="CJ9" s="1636">
        <f>IF(CJ8="Y",CJ5,MAX(0,CJ5-CJ6))</f>
        <v>411</v>
      </c>
      <c r="CK9" s="2561"/>
      <c r="CL9" s="2561"/>
      <c r="CM9" s="2561"/>
      <c r="CN9" s="2561"/>
      <c r="CO9" s="2561"/>
      <c r="CP9" s="2561"/>
      <c r="CQ9" s="2561"/>
      <c r="CR9" s="2561"/>
      <c r="CS9" s="2561"/>
      <c r="CT9" s="2561">
        <f>IF(CT8="Y",CT5,MAX(0,CT5-CT6))</f>
        <v>1263</v>
      </c>
      <c r="CU9" s="2561"/>
      <c r="CV9" s="2561"/>
      <c r="CW9" s="2561"/>
      <c r="CX9" s="2561"/>
      <c r="CY9" s="2561"/>
      <c r="CZ9" s="2561"/>
      <c r="DA9" s="2561"/>
      <c r="DB9" s="2561"/>
      <c r="DC9" s="2561"/>
      <c r="DD9" s="2561"/>
      <c r="DE9" s="2561"/>
      <c r="DF9" s="2561"/>
      <c r="DG9" s="2561"/>
      <c r="DH9" s="2561"/>
      <c r="DI9" s="1636"/>
      <c r="DJ9" s="2561"/>
      <c r="DK9" s="2561"/>
      <c r="DL9" s="2561"/>
      <c r="DM9" s="2561">
        <f>IF(DM8="Y",DM5,MAX(0,DM5-DM6))</f>
        <v>3720</v>
      </c>
      <c r="DN9" s="2561"/>
      <c r="DO9" s="2561"/>
      <c r="DP9" s="2561"/>
      <c r="DQ9" s="2561"/>
      <c r="DR9" s="2561"/>
      <c r="DS9" s="2561"/>
      <c r="DT9" s="2561"/>
      <c r="DU9" s="2561"/>
      <c r="DV9" s="2561"/>
      <c r="DW9" s="1636">
        <v>116.29</v>
      </c>
      <c r="DX9" s="2561"/>
      <c r="DY9" s="2561"/>
      <c r="DZ9" s="2561"/>
      <c r="EA9" s="2561"/>
      <c r="EB9" s="2561"/>
      <c r="EC9" s="2561"/>
      <c r="ED9" s="2561"/>
      <c r="EE9" s="2561"/>
      <c r="EF9" s="2561"/>
      <c r="EG9" s="2561"/>
      <c r="EH9" s="2561"/>
      <c r="EI9" s="2561"/>
      <c r="EJ9" s="2561"/>
      <c r="EK9" s="2561"/>
      <c r="EL9" s="2561"/>
      <c r="EM9" s="1636">
        <v>2124</v>
      </c>
      <c r="EN9" s="1636">
        <v>15</v>
      </c>
      <c r="EO9" s="1636">
        <v>7860</v>
      </c>
      <c r="EP9" s="2561"/>
      <c r="EQ9" s="1636">
        <v>268</v>
      </c>
      <c r="ER9" s="2561"/>
      <c r="ES9" s="2561"/>
      <c r="ET9" s="2561"/>
      <c r="EU9" s="2561"/>
      <c r="EV9" s="1636">
        <v>2951</v>
      </c>
      <c r="EW9" s="2561"/>
      <c r="EX9" s="2561">
        <f>IF(EX8="Y",EX5,MAX(0,EX5-EX6))</f>
        <v>500</v>
      </c>
      <c r="EY9" s="2561"/>
      <c r="EZ9" s="2561">
        <v>1523.09</v>
      </c>
      <c r="FA9" s="2561"/>
      <c r="FB9" s="2561"/>
      <c r="FC9" s="1636">
        <v>19352</v>
      </c>
      <c r="FD9" s="2561"/>
      <c r="FE9" s="2561"/>
      <c r="FF9" s="1636">
        <v>22184</v>
      </c>
      <c r="FG9" s="2561"/>
      <c r="FH9" s="2561"/>
      <c r="FI9" s="2561"/>
      <c r="FJ9" s="1636">
        <v>9185</v>
      </c>
      <c r="FK9" s="1636">
        <v>5244</v>
      </c>
      <c r="FL9" s="2561"/>
      <c r="FM9" s="2561"/>
      <c r="FN9" s="2561"/>
      <c r="FO9" s="1636">
        <v>1231</v>
      </c>
      <c r="FP9" s="1636">
        <v>698</v>
      </c>
      <c r="FQ9" s="2561"/>
      <c r="FR9" s="2561"/>
      <c r="FS9" s="2561"/>
      <c r="FT9" s="2561"/>
      <c r="FU9" s="2561"/>
      <c r="FV9" s="2561"/>
      <c r="FW9" s="2561"/>
      <c r="FX9" s="2561"/>
      <c r="FY9" s="2561"/>
      <c r="FZ9" s="2561"/>
      <c r="GA9" s="2561"/>
      <c r="GB9" s="2561"/>
      <c r="GC9" s="2561"/>
      <c r="GD9" s="2561"/>
      <c r="GE9" s="2561"/>
      <c r="GF9" s="2561">
        <f>IF(GF8="Y",GF5,MAX(0,GF5-GF6))</f>
        <v>3562</v>
      </c>
      <c r="GG9" s="2561"/>
      <c r="GH9" s="2561"/>
      <c r="GI9" s="2561"/>
      <c r="GJ9" s="2561"/>
      <c r="GK9" s="2561"/>
      <c r="GL9" s="2561"/>
      <c r="GM9" s="2561"/>
      <c r="GN9" s="2561"/>
      <c r="GO9" s="2561"/>
      <c r="GP9" s="2561"/>
      <c r="GQ9" s="2561"/>
      <c r="GR9" s="2561"/>
      <c r="GS9" s="2561"/>
      <c r="GT9" s="2561"/>
      <c r="GU9" s="2561"/>
      <c r="GV9" s="2561"/>
      <c r="GW9" s="2561"/>
      <c r="GX9" s="2561"/>
      <c r="GY9" s="2561"/>
      <c r="GZ9" s="2561"/>
      <c r="HA9" s="2561"/>
      <c r="HB9" s="2561"/>
      <c r="HC9" s="2561"/>
      <c r="HD9" s="2561"/>
      <c r="HE9" s="2561"/>
      <c r="HF9" s="2561"/>
      <c r="HG9" s="2561">
        <f>IF(HG8="Y",HG5,MAX(0,HG5-HG6))</f>
        <v>18000</v>
      </c>
      <c r="HH9" s="2561">
        <f>IF(HH8="Y",HH5,MAX(0,HH5-HH6))</f>
        <v>1697</v>
      </c>
      <c r="HI9" s="2561"/>
      <c r="HJ9" s="2561"/>
      <c r="HK9" s="2561"/>
      <c r="HL9" s="1636">
        <v>201924</v>
      </c>
      <c r="HM9" s="2561"/>
      <c r="HN9" s="2561"/>
      <c r="HO9" s="2561"/>
      <c r="HP9" s="2561"/>
      <c r="HQ9" s="2561"/>
      <c r="HR9" s="2561"/>
      <c r="HS9" s="2561"/>
      <c r="HT9" s="2561"/>
      <c r="HU9" s="2561"/>
      <c r="HV9" s="2561"/>
      <c r="HW9" s="2561"/>
      <c r="HX9" s="2561"/>
      <c r="HY9" s="2561"/>
      <c r="HZ9" s="2561"/>
      <c r="IA9" s="1636">
        <v>161</v>
      </c>
      <c r="IB9" s="2561"/>
      <c r="IC9" s="2561">
        <f>IF(IC8="Y",IC5,MAX(0,IC5-IC6))</f>
        <v>451</v>
      </c>
      <c r="ID9" s="2561"/>
      <c r="IE9" s="2561"/>
      <c r="IF9" s="2561">
        <f>IF(IF8="Y",IF5,MAX(0,IF5-IF6))</f>
        <v>19048</v>
      </c>
      <c r="IG9" s="2561"/>
      <c r="IH9" s="2561">
        <f>IF(IH8="Y",IH5,MAX(0,IH5-IH6))</f>
        <v>2703</v>
      </c>
      <c r="II9" s="1636">
        <f>IF(II8="Y",II5,MAX(0,II5-II6))</f>
        <v>14904</v>
      </c>
      <c r="IJ9" s="2561"/>
      <c r="IK9" s="1636">
        <f>IF(IK8="Y",IK5,MAX(0,IK5-IK6))</f>
        <v>16650</v>
      </c>
      <c r="IL9" s="1636">
        <f>IF(IL8="Y",IL5,MAX(0,IL5-IL6))</f>
        <v>1250</v>
      </c>
      <c r="IM9" s="2561"/>
      <c r="IN9" s="2561"/>
      <c r="IO9" s="2561"/>
      <c r="IP9" s="2561"/>
      <c r="IQ9" s="2561"/>
      <c r="IR9" s="2561"/>
      <c r="IS9" s="2561"/>
      <c r="IT9" s="2561"/>
      <c r="IU9" s="2561"/>
      <c r="IV9" s="2561"/>
      <c r="IW9" s="2561"/>
      <c r="IX9" s="2561"/>
      <c r="IY9" s="2561"/>
      <c r="IZ9" s="2561"/>
      <c r="JA9" s="2561"/>
      <c r="JB9" s="2561"/>
      <c r="JC9" s="2561"/>
      <c r="JD9" s="2561"/>
      <c r="JE9" s="2561">
        <f>IF(JE8="Y",JE5,MAX(0,JE5-JE6))</f>
        <v>0</v>
      </c>
      <c r="JF9" s="2561">
        <f>IF(JF8="Y",JF5,MAX(0,JF5-JF6))</f>
        <v>1263</v>
      </c>
      <c r="JG9" s="2561"/>
      <c r="JH9" s="2561">
        <v>130</v>
      </c>
      <c r="JI9" s="2561"/>
      <c r="JJ9" s="2561">
        <v>1660</v>
      </c>
      <c r="JK9" s="2561"/>
      <c r="JL9" s="2561"/>
      <c r="JM9" s="2561"/>
      <c r="JN9" s="2561"/>
      <c r="JO9" s="2561"/>
      <c r="JP9" s="2561"/>
      <c r="JQ9" s="2561"/>
      <c r="JR9" s="351"/>
    </row>
    <row r="10" spans="1:280" x14ac:dyDescent="0.25">
      <c r="A10" s="1367">
        <v>10</v>
      </c>
      <c r="B10" s="1411" t="str">
        <f t="shared" si="0"/>
        <v>IRL</v>
      </c>
      <c r="C10" s="1435" t="s">
        <v>3876</v>
      </c>
      <c r="D10" s="1361" t="s">
        <v>3851</v>
      </c>
      <c r="E10" s="1641"/>
      <c r="F10" s="1641"/>
      <c r="G10" s="1641"/>
      <c r="H10" s="1641"/>
      <c r="I10" s="1641"/>
      <c r="J10" s="1641"/>
      <c r="K10" s="1641"/>
      <c r="L10" s="1641"/>
      <c r="M10" s="1641"/>
      <c r="N10" s="1641"/>
      <c r="O10" s="1641"/>
      <c r="P10" s="1641"/>
      <c r="Q10" s="1641"/>
      <c r="R10" s="1641"/>
      <c r="S10" s="1641"/>
      <c r="T10" s="1641"/>
      <c r="U10" s="1641"/>
      <c r="V10" s="1641"/>
      <c r="W10" s="1641"/>
      <c r="X10" s="1641"/>
      <c r="Y10" s="1641"/>
      <c r="Z10" s="1641"/>
      <c r="AA10" s="1641"/>
      <c r="AB10" s="1641"/>
      <c r="AC10" s="1641"/>
      <c r="AD10" s="1641"/>
      <c r="AE10" s="1641"/>
      <c r="AF10" s="1641"/>
      <c r="AG10" s="1641"/>
      <c r="AH10" s="1641"/>
      <c r="AI10" s="1641"/>
      <c r="AJ10" s="1641"/>
      <c r="AK10" s="1641"/>
      <c r="AL10" s="1641"/>
      <c r="AM10" s="1641"/>
      <c r="AN10" s="1641"/>
      <c r="AO10" s="1641"/>
      <c r="AP10" s="1641"/>
      <c r="AQ10" s="1641"/>
      <c r="AR10" s="1641"/>
      <c r="AS10" s="1641"/>
      <c r="AT10" s="1641"/>
      <c r="AU10" s="1641"/>
      <c r="AV10" s="1641"/>
      <c r="AW10" s="1641"/>
      <c r="AX10" s="1641"/>
      <c r="AY10" s="1641"/>
      <c r="AZ10" s="1641"/>
      <c r="BA10" s="1641"/>
      <c r="BB10" s="1641"/>
      <c r="BC10" s="1641"/>
      <c r="BD10" s="1641"/>
      <c r="BE10" s="1641"/>
      <c r="BF10" s="1641"/>
      <c r="BG10" s="1641"/>
      <c r="BH10" s="1641"/>
      <c r="BI10" s="1641"/>
      <c r="BJ10" s="1641"/>
      <c r="BK10" s="1641"/>
      <c r="BL10" s="1641"/>
      <c r="BM10" s="1641"/>
      <c r="BN10" s="1641"/>
      <c r="BO10" s="1641"/>
      <c r="BP10" s="1641"/>
      <c r="BQ10" s="1641"/>
      <c r="BR10" s="1641"/>
      <c r="BS10" s="1641"/>
      <c r="BT10" s="1641"/>
      <c r="BU10" s="1641"/>
      <c r="BV10" s="1641"/>
      <c r="BW10" s="1641"/>
      <c r="BX10" s="1641"/>
      <c r="BY10" s="1641"/>
      <c r="BZ10" s="1641"/>
      <c r="CA10" s="1641"/>
      <c r="CB10" s="1641"/>
      <c r="CC10" s="1641"/>
      <c r="CD10" s="1641"/>
      <c r="CE10" s="1641"/>
      <c r="CF10" s="1641"/>
      <c r="CG10" s="1641"/>
      <c r="CH10" s="1641"/>
      <c r="CI10" s="1641"/>
      <c r="CJ10" s="1641"/>
      <c r="CK10" s="1641"/>
      <c r="CL10" s="1641"/>
      <c r="CM10" s="1641"/>
      <c r="CN10" s="1641"/>
      <c r="CO10" s="1641"/>
      <c r="CP10" s="1641"/>
      <c r="CQ10" s="1641"/>
      <c r="CR10" s="1641"/>
      <c r="CS10" s="1641"/>
      <c r="CT10" s="1641"/>
      <c r="CU10" s="1641"/>
      <c r="CV10" s="1641"/>
      <c r="CW10" s="1641"/>
      <c r="CX10" s="1641"/>
      <c r="CY10" s="1641"/>
      <c r="CZ10" s="1641"/>
      <c r="DA10" s="1641"/>
      <c r="DB10" s="1641"/>
      <c r="DC10" s="1641"/>
      <c r="DD10" s="1641"/>
      <c r="DE10" s="1641"/>
      <c r="DF10" s="1641"/>
      <c r="DG10" s="1641"/>
      <c r="DH10" s="1641"/>
      <c r="DI10" s="1641"/>
      <c r="DJ10" s="1641"/>
      <c r="DK10" s="1641"/>
      <c r="DL10" s="1641"/>
      <c r="DM10" s="1641"/>
      <c r="DN10" s="1641"/>
      <c r="DO10" s="1641"/>
      <c r="DP10" s="1641"/>
      <c r="DQ10" s="1641"/>
      <c r="DR10" s="1641"/>
      <c r="DS10" s="1641"/>
      <c r="DT10" s="1641"/>
      <c r="DU10" s="1641"/>
      <c r="DV10" s="1641"/>
      <c r="DW10" s="1636" t="s">
        <v>3865</v>
      </c>
      <c r="DX10" s="1641"/>
      <c r="DY10" s="1641"/>
      <c r="DZ10" s="1641"/>
      <c r="EA10" s="1641"/>
      <c r="EB10" s="1641"/>
      <c r="EC10" s="1641"/>
      <c r="ED10" s="1641"/>
      <c r="EE10" s="1641"/>
      <c r="EF10" s="1641"/>
      <c r="EG10" s="1641"/>
      <c r="EH10" s="1641"/>
      <c r="EI10" s="1641"/>
      <c r="EJ10" s="1641"/>
      <c r="EK10" s="1641"/>
      <c r="EL10" s="1641"/>
      <c r="EM10" s="1636" t="s">
        <v>3862</v>
      </c>
      <c r="EN10" s="1636" t="s">
        <v>3877</v>
      </c>
      <c r="EO10" s="1641"/>
      <c r="EP10" s="1641"/>
      <c r="EQ10" s="1636" t="s">
        <v>3878</v>
      </c>
      <c r="ER10" s="1641"/>
      <c r="ES10" s="1641"/>
      <c r="ET10" s="1641"/>
      <c r="EU10" s="1641"/>
      <c r="EV10" s="1641"/>
      <c r="EW10" s="1641"/>
      <c r="EX10" s="1641"/>
      <c r="EY10" s="1641"/>
      <c r="EZ10" s="1639" t="s">
        <v>3861</v>
      </c>
      <c r="FA10" s="1641"/>
      <c r="FB10" s="1641"/>
      <c r="FC10" s="1641"/>
      <c r="FD10" s="1641"/>
      <c r="FE10" s="1641"/>
      <c r="FF10" s="1641"/>
      <c r="FG10" s="1641"/>
      <c r="FH10" s="1641"/>
      <c r="FI10" s="1641"/>
      <c r="FJ10" s="1636" t="s">
        <v>3879</v>
      </c>
      <c r="FK10" s="1641"/>
      <c r="FL10" s="1641"/>
      <c r="FM10" s="1641"/>
      <c r="FN10" s="1641"/>
      <c r="FO10" s="1636" t="s">
        <v>3852</v>
      </c>
      <c r="FP10" s="1636" t="s">
        <v>3862</v>
      </c>
      <c r="FQ10" s="1641"/>
      <c r="FR10" s="1641"/>
      <c r="FS10" s="1641"/>
      <c r="FT10" s="1641"/>
      <c r="FU10" s="1641"/>
      <c r="FV10" s="1641"/>
      <c r="FW10" s="1641"/>
      <c r="FX10" s="1641"/>
      <c r="FY10" s="1641"/>
      <c r="FZ10" s="1641"/>
      <c r="GA10" s="1641"/>
      <c r="GB10" s="1641"/>
      <c r="GC10" s="1641"/>
      <c r="GD10" s="1641"/>
      <c r="GE10" s="1641"/>
      <c r="GF10" s="1641"/>
      <c r="GG10" s="1641"/>
      <c r="GH10" s="1641"/>
      <c r="GI10" s="1641"/>
      <c r="GJ10" s="1641"/>
      <c r="GK10" s="1641"/>
      <c r="GL10" s="1641"/>
      <c r="GM10" s="1641"/>
      <c r="GN10" s="1641"/>
      <c r="GO10" s="1641"/>
      <c r="GP10" s="1641"/>
      <c r="GQ10" s="1641"/>
      <c r="GR10" s="1641"/>
      <c r="GS10" s="1641"/>
      <c r="GT10" s="1641"/>
      <c r="GU10" s="1641"/>
      <c r="GV10" s="1641"/>
      <c r="GW10" s="1641"/>
      <c r="GX10" s="1641"/>
      <c r="GY10" s="1641"/>
      <c r="GZ10" s="1641"/>
      <c r="HA10" s="1641"/>
      <c r="HB10" s="1641"/>
      <c r="HC10" s="1641"/>
      <c r="HD10" s="1641"/>
      <c r="HE10" s="1641"/>
      <c r="HF10" s="1641"/>
      <c r="HG10" s="1636" t="s">
        <v>3896</v>
      </c>
      <c r="HH10" s="1641" t="s">
        <v>3880</v>
      </c>
      <c r="HI10" s="1641"/>
      <c r="HJ10" s="1641"/>
      <c r="HK10" s="1641"/>
      <c r="HL10" s="1641"/>
      <c r="HM10" s="1641"/>
      <c r="HN10" s="1641"/>
      <c r="HO10" s="1641"/>
      <c r="HP10" s="1641"/>
      <c r="HQ10" s="1641"/>
      <c r="HR10" s="1641"/>
      <c r="HS10" s="1641"/>
      <c r="HT10" s="1641"/>
      <c r="HU10" s="1641"/>
      <c r="HV10" s="1641"/>
      <c r="HW10" s="1641"/>
      <c r="HX10" s="1641"/>
      <c r="HY10" s="1641"/>
      <c r="HZ10" s="1641"/>
      <c r="IA10" s="1641"/>
      <c r="IB10" s="1641"/>
      <c r="IC10" s="1641"/>
      <c r="ID10" s="1641"/>
      <c r="IE10" s="1641"/>
      <c r="IF10" s="1641"/>
      <c r="IG10" s="1641"/>
      <c r="IH10" s="1641"/>
      <c r="II10" s="1641"/>
      <c r="IJ10" s="1641"/>
      <c r="IK10" s="1641"/>
      <c r="IL10" s="1638" t="s">
        <v>3861</v>
      </c>
      <c r="IM10" s="1641"/>
      <c r="IN10" s="1641"/>
      <c r="IO10" s="1641"/>
      <c r="IP10" s="1641"/>
      <c r="IQ10" s="1641"/>
      <c r="IR10" s="1641"/>
      <c r="IS10" s="1641"/>
      <c r="IT10" s="1641"/>
      <c r="IU10" s="1641"/>
      <c r="IV10" s="1641"/>
      <c r="IW10" s="1641"/>
      <c r="IX10" s="1641"/>
      <c r="IY10" s="1641"/>
      <c r="IZ10" s="1641"/>
      <c r="JA10" s="1641"/>
      <c r="JB10" s="1641"/>
      <c r="JC10" s="1641"/>
      <c r="JD10" s="1641"/>
      <c r="JE10" s="1641"/>
      <c r="JF10" s="1641"/>
      <c r="JG10" s="1641"/>
      <c r="JH10" s="1414" t="s">
        <v>3862</v>
      </c>
      <c r="JI10" s="1637"/>
      <c r="JJ10" s="1637" t="s">
        <v>3862</v>
      </c>
      <c r="JK10" s="1637"/>
      <c r="JL10" s="1637"/>
      <c r="JM10" s="1637"/>
      <c r="JN10" s="1637"/>
      <c r="JO10" s="1637"/>
      <c r="JP10" s="1414"/>
      <c r="JQ10" s="1415"/>
      <c r="JR10" s="351"/>
    </row>
    <row r="11" spans="1:280" x14ac:dyDescent="0.25">
      <c r="A11" s="1367">
        <v>11</v>
      </c>
      <c r="B11" s="1411">
        <f t="shared" si="0"/>
        <v>14265</v>
      </c>
      <c r="C11" s="1435" t="s">
        <v>3881</v>
      </c>
      <c r="D11" s="1361" t="s">
        <v>3867</v>
      </c>
      <c r="E11" s="1641"/>
      <c r="F11" s="1641"/>
      <c r="G11" s="1641"/>
      <c r="H11" s="1641"/>
      <c r="I11" s="1641"/>
      <c r="J11" s="1641"/>
      <c r="K11" s="1641"/>
      <c r="L11" s="1641"/>
      <c r="M11" s="1641"/>
      <c r="N11" s="1641"/>
      <c r="O11" s="1641"/>
      <c r="P11" s="1641"/>
      <c r="Q11" s="1641"/>
      <c r="R11" s="1641"/>
      <c r="S11" s="1641"/>
      <c r="T11" s="1641"/>
      <c r="U11" s="1641"/>
      <c r="V11" s="1641"/>
      <c r="W11" s="1641"/>
      <c r="X11" s="1641"/>
      <c r="Y11" s="1641"/>
      <c r="Z11" s="1641"/>
      <c r="AA11" s="1641"/>
      <c r="AB11" s="1641"/>
      <c r="AC11" s="1641"/>
      <c r="AD11" s="1641"/>
      <c r="AE11" s="1641"/>
      <c r="AF11" s="1641"/>
      <c r="AG11" s="1641"/>
      <c r="AH11" s="1641"/>
      <c r="AI11" s="1641"/>
      <c r="AJ11" s="1641"/>
      <c r="AK11" s="1641"/>
      <c r="AL11" s="1641"/>
      <c r="AM11" s="1641"/>
      <c r="AN11" s="1641"/>
      <c r="AO11" s="1641"/>
      <c r="AP11" s="1641"/>
      <c r="AQ11" s="1641"/>
      <c r="AR11" s="1641"/>
      <c r="AS11" s="1641"/>
      <c r="AT11" s="1641"/>
      <c r="AU11" s="1641"/>
      <c r="AV11" s="1641"/>
      <c r="AW11" s="1641"/>
      <c r="AX11" s="1641"/>
      <c r="AY11" s="1641"/>
      <c r="AZ11" s="1641"/>
      <c r="BA11" s="1641"/>
      <c r="BB11" s="1641"/>
      <c r="BC11" s="1641"/>
      <c r="BD11" s="1641"/>
      <c r="BE11" s="1641"/>
      <c r="BF11" s="1641"/>
      <c r="BG11" s="1641"/>
      <c r="BH11" s="1641"/>
      <c r="BI11" s="1641"/>
      <c r="BJ11" s="1641"/>
      <c r="BK11" s="1641"/>
      <c r="BL11" s="1641"/>
      <c r="BM11" s="1641"/>
      <c r="BN11" s="1641"/>
      <c r="BO11" s="1641"/>
      <c r="BP11" s="1641"/>
      <c r="BQ11" s="1641"/>
      <c r="BR11" s="1641"/>
      <c r="BS11" s="1641"/>
      <c r="BT11" s="1641"/>
      <c r="BU11" s="1641"/>
      <c r="BV11" s="1641"/>
      <c r="BW11" s="1641"/>
      <c r="BX11" s="1641"/>
      <c r="BY11" s="1641"/>
      <c r="BZ11" s="1641"/>
      <c r="CA11" s="1641"/>
      <c r="CB11" s="1641"/>
      <c r="CC11" s="1641"/>
      <c r="CD11" s="1641"/>
      <c r="CE11" s="1641"/>
      <c r="CF11" s="1641"/>
      <c r="CG11" s="1641"/>
      <c r="CH11" s="1641"/>
      <c r="CI11" s="1641"/>
      <c r="CJ11" s="1641"/>
      <c r="CK11" s="1641"/>
      <c r="CL11" s="1641"/>
      <c r="CM11" s="1641"/>
      <c r="CN11" s="1641"/>
      <c r="CO11" s="1641"/>
      <c r="CP11" s="1641"/>
      <c r="CQ11" s="1641"/>
      <c r="CR11" s="1641"/>
      <c r="CS11" s="1641"/>
      <c r="CT11" s="1641"/>
      <c r="CU11" s="1641"/>
      <c r="CV11" s="1641"/>
      <c r="CW11" s="1641"/>
      <c r="CX11" s="1641"/>
      <c r="CY11" s="1641"/>
      <c r="CZ11" s="1641"/>
      <c r="DA11" s="1641"/>
      <c r="DB11" s="1641"/>
      <c r="DC11" s="1641"/>
      <c r="DD11" s="1641"/>
      <c r="DE11" s="1641"/>
      <c r="DF11" s="1641"/>
      <c r="DG11" s="1641"/>
      <c r="DH11" s="1641"/>
      <c r="DI11" s="1641"/>
      <c r="DJ11" s="1641"/>
      <c r="DK11" s="1641"/>
      <c r="DL11" s="1641"/>
      <c r="DM11" s="1641"/>
      <c r="DN11" s="1641"/>
      <c r="DO11" s="1641"/>
      <c r="DP11" s="1641"/>
      <c r="DQ11" s="1641"/>
      <c r="DR11" s="1641"/>
      <c r="DS11" s="1641"/>
      <c r="DT11" s="1641"/>
      <c r="DU11" s="1641"/>
      <c r="DV11" s="1641"/>
      <c r="DW11" s="1636">
        <v>6761.25</v>
      </c>
      <c r="DX11" s="1641"/>
      <c r="DY11" s="1641"/>
      <c r="DZ11" s="1641"/>
      <c r="EA11" s="1641"/>
      <c r="EB11" s="1641"/>
      <c r="EC11" s="1641"/>
      <c r="ED11" s="1641"/>
      <c r="EE11" s="1641"/>
      <c r="EF11" s="1641"/>
      <c r="EG11" s="1641"/>
      <c r="EH11" s="1641"/>
      <c r="EI11" s="1641"/>
      <c r="EJ11" s="1641"/>
      <c r="EK11" s="1641"/>
      <c r="EL11" s="1641"/>
      <c r="EM11" s="1636">
        <v>3310</v>
      </c>
      <c r="EN11" s="1636">
        <v>1000</v>
      </c>
      <c r="EO11" s="1641"/>
      <c r="EP11" s="1641"/>
      <c r="EQ11" s="1636">
        <v>8887</v>
      </c>
      <c r="ER11" s="1641"/>
      <c r="ES11" s="1641"/>
      <c r="ET11" s="1641"/>
      <c r="EU11" s="1641"/>
      <c r="EV11" s="1641"/>
      <c r="EW11" s="1641"/>
      <c r="EX11" s="1641"/>
      <c r="EY11" s="1641"/>
      <c r="EZ11" s="1641">
        <v>18242.79</v>
      </c>
      <c r="FA11" s="1641"/>
      <c r="FB11" s="1641"/>
      <c r="FC11" s="1641"/>
      <c r="FD11" s="1641"/>
      <c r="FE11" s="1641"/>
      <c r="FF11" s="1641"/>
      <c r="FG11" s="1641"/>
      <c r="FH11" s="1641"/>
      <c r="FI11" s="1641"/>
      <c r="FJ11" s="1636">
        <v>40536.769999999997</v>
      </c>
      <c r="FK11" s="1641"/>
      <c r="FL11" s="1641"/>
      <c r="FM11" s="1641"/>
      <c r="FN11" s="1641"/>
      <c r="FO11" s="1636">
        <v>2905</v>
      </c>
      <c r="FP11" s="1636">
        <v>14265</v>
      </c>
      <c r="FQ11" s="1641"/>
      <c r="FR11" s="1641"/>
      <c r="FS11" s="1641"/>
      <c r="FT11" s="1641"/>
      <c r="FU11" s="1641"/>
      <c r="FV11" s="1641"/>
      <c r="FW11" s="1641"/>
      <c r="FX11" s="1641"/>
      <c r="FY11" s="1641"/>
      <c r="FZ11" s="1641"/>
      <c r="GA11" s="1641"/>
      <c r="GB11" s="1641"/>
      <c r="GC11" s="1641"/>
      <c r="GD11" s="1641"/>
      <c r="GE11" s="1641"/>
      <c r="GF11" s="1641"/>
      <c r="GG11" s="1641"/>
      <c r="GH11" s="1641"/>
      <c r="GI11" s="1641"/>
      <c r="GJ11" s="1641"/>
      <c r="GK11" s="1641"/>
      <c r="GL11" s="1641"/>
      <c r="GM11" s="1641"/>
      <c r="GN11" s="1641"/>
      <c r="GO11" s="1641"/>
      <c r="GP11" s="1641"/>
      <c r="GQ11" s="1641"/>
      <c r="GR11" s="1641"/>
      <c r="GS11" s="1641"/>
      <c r="GT11" s="1641"/>
      <c r="GU11" s="1641"/>
      <c r="GV11" s="1641"/>
      <c r="GW11" s="1641"/>
      <c r="GX11" s="1641"/>
      <c r="GY11" s="1641"/>
      <c r="GZ11" s="1641"/>
      <c r="HA11" s="1641"/>
      <c r="HB11" s="1641"/>
      <c r="HC11" s="1641"/>
      <c r="HD11" s="1641"/>
      <c r="HE11" s="1641"/>
      <c r="HF11" s="1641"/>
      <c r="HG11" s="1636">
        <v>1500</v>
      </c>
      <c r="HH11" s="1641">
        <v>5759</v>
      </c>
      <c r="HI11" s="1641"/>
      <c r="HJ11" s="1641"/>
      <c r="HK11" s="1641"/>
      <c r="HL11" s="1641"/>
      <c r="HM11" s="1641"/>
      <c r="HN11" s="1641"/>
      <c r="HO11" s="1641"/>
      <c r="HP11" s="1641"/>
      <c r="HQ11" s="1641"/>
      <c r="HR11" s="1641"/>
      <c r="HS11" s="1641"/>
      <c r="HT11" s="1641"/>
      <c r="HU11" s="1641"/>
      <c r="HV11" s="1641"/>
      <c r="HW11" s="1641"/>
      <c r="HX11" s="1641"/>
      <c r="HY11" s="1641"/>
      <c r="HZ11" s="1641"/>
      <c r="IA11" s="1641"/>
      <c r="IB11" s="1641"/>
      <c r="IC11" s="1641"/>
      <c r="ID11" s="1641"/>
      <c r="IE11" s="1641"/>
      <c r="IF11" s="1641"/>
      <c r="IG11" s="1641"/>
      <c r="IH11" s="1641"/>
      <c r="II11" s="1641"/>
      <c r="IJ11" s="1641"/>
      <c r="IK11" s="1641"/>
      <c r="IL11" s="1636">
        <v>19732</v>
      </c>
      <c r="IM11" s="1641"/>
      <c r="IN11" s="1641"/>
      <c r="IO11" s="1641"/>
      <c r="IP11" s="1641"/>
      <c r="IQ11" s="1641"/>
      <c r="IR11" s="1641"/>
      <c r="IS11" s="1641"/>
      <c r="IT11" s="1641"/>
      <c r="IU11" s="1641"/>
      <c r="IV11" s="1641"/>
      <c r="IW11" s="1641"/>
      <c r="IX11" s="1641"/>
      <c r="IY11" s="1641"/>
      <c r="IZ11" s="1641"/>
      <c r="JA11" s="1641"/>
      <c r="JB11" s="1641"/>
      <c r="JC11" s="1641"/>
      <c r="JD11" s="1641"/>
      <c r="JE11" s="1641"/>
      <c r="JF11" s="1641"/>
      <c r="JG11" s="1641"/>
      <c r="JH11" s="1637">
        <v>475</v>
      </c>
      <c r="JI11" s="1637"/>
      <c r="JJ11" s="1637">
        <v>755</v>
      </c>
      <c r="JK11" s="1637"/>
      <c r="JL11" s="1637"/>
      <c r="JM11" s="1637"/>
      <c r="JN11" s="1637"/>
      <c r="JO11" s="1637"/>
      <c r="JP11" s="1637"/>
      <c r="JQ11" s="1640"/>
      <c r="JR11" s="351"/>
    </row>
    <row r="12" spans="1:280" x14ac:dyDescent="0.25">
      <c r="A12" s="1367">
        <v>12</v>
      </c>
      <c r="B12" s="1411" t="str">
        <f t="shared" si="0"/>
        <v/>
      </c>
      <c r="C12" s="1435" t="s">
        <v>3882</v>
      </c>
      <c r="D12" s="1361" t="s">
        <v>3869</v>
      </c>
      <c r="E12" s="1641"/>
      <c r="F12" s="1641"/>
      <c r="G12" s="1641"/>
      <c r="H12" s="1641"/>
      <c r="I12" s="1641"/>
      <c r="J12" s="1641"/>
      <c r="K12" s="1641"/>
      <c r="L12" s="1641"/>
      <c r="M12" s="1641"/>
      <c r="N12" s="1641"/>
      <c r="O12" s="1641"/>
      <c r="P12" s="1641"/>
      <c r="Q12" s="1641"/>
      <c r="R12" s="1641"/>
      <c r="S12" s="1641"/>
      <c r="T12" s="1641"/>
      <c r="U12" s="1641"/>
      <c r="V12" s="1641"/>
      <c r="W12" s="1641"/>
      <c r="X12" s="1641"/>
      <c r="Y12" s="1641"/>
      <c r="Z12" s="1641"/>
      <c r="AA12" s="1641"/>
      <c r="AB12" s="1641"/>
      <c r="AC12" s="1641"/>
      <c r="AD12" s="1641"/>
      <c r="AE12" s="1641"/>
      <c r="AF12" s="1641"/>
      <c r="AG12" s="1641"/>
      <c r="AH12" s="1641"/>
      <c r="AI12" s="1641"/>
      <c r="AJ12" s="1641"/>
      <c r="AK12" s="1641"/>
      <c r="AL12" s="1641"/>
      <c r="AM12" s="1641"/>
      <c r="AN12" s="1641"/>
      <c r="AO12" s="1641"/>
      <c r="AP12" s="1641"/>
      <c r="AQ12" s="1641"/>
      <c r="AR12" s="1641"/>
      <c r="AS12" s="1641"/>
      <c r="AT12" s="1641"/>
      <c r="AU12" s="1641"/>
      <c r="AV12" s="1641"/>
      <c r="AW12" s="1641"/>
      <c r="AX12" s="1641"/>
      <c r="AY12" s="1641"/>
      <c r="AZ12" s="1641"/>
      <c r="BA12" s="1641"/>
      <c r="BB12" s="1641"/>
      <c r="BC12" s="1641"/>
      <c r="BD12" s="1641"/>
      <c r="BE12" s="1641"/>
      <c r="BF12" s="1641"/>
      <c r="BG12" s="1641"/>
      <c r="BH12" s="1641"/>
      <c r="BI12" s="1641"/>
      <c r="BJ12" s="1641"/>
      <c r="BK12" s="1641"/>
      <c r="BL12" s="1641"/>
      <c r="BM12" s="1641"/>
      <c r="BN12" s="1641"/>
      <c r="BO12" s="1641"/>
      <c r="BP12" s="1641"/>
      <c r="BQ12" s="1641"/>
      <c r="BR12" s="1641"/>
      <c r="BS12" s="1641"/>
      <c r="BT12" s="1641"/>
      <c r="BU12" s="1641"/>
      <c r="BV12" s="1641"/>
      <c r="BW12" s="1641"/>
      <c r="BX12" s="1641"/>
      <c r="BY12" s="1641"/>
      <c r="BZ12" s="1641"/>
      <c r="CA12" s="1641"/>
      <c r="CB12" s="1641"/>
      <c r="CC12" s="1641"/>
      <c r="CD12" s="1641"/>
      <c r="CE12" s="1641"/>
      <c r="CF12" s="1641"/>
      <c r="CG12" s="1641"/>
      <c r="CH12" s="1641"/>
      <c r="CI12" s="1641"/>
      <c r="CJ12" s="1641"/>
      <c r="CK12" s="1641"/>
      <c r="CL12" s="1641"/>
      <c r="CM12" s="1641"/>
      <c r="CN12" s="1641"/>
      <c r="CO12" s="1641"/>
      <c r="CP12" s="1641"/>
      <c r="CQ12" s="1641"/>
      <c r="CR12" s="1641"/>
      <c r="CS12" s="1641"/>
      <c r="CT12" s="1641"/>
      <c r="CU12" s="1641"/>
      <c r="CV12" s="1641"/>
      <c r="CW12" s="1641"/>
      <c r="CX12" s="1641"/>
      <c r="CY12" s="1641"/>
      <c r="CZ12" s="1641"/>
      <c r="DA12" s="1641"/>
      <c r="DB12" s="1641"/>
      <c r="DC12" s="1641"/>
      <c r="DD12" s="1641"/>
      <c r="DE12" s="1641"/>
      <c r="DF12" s="1641"/>
      <c r="DG12" s="1641"/>
      <c r="DH12" s="1641"/>
      <c r="DI12" s="1641"/>
      <c r="DJ12" s="1641"/>
      <c r="DK12" s="1641"/>
      <c r="DL12" s="1641"/>
      <c r="DM12" s="1641"/>
      <c r="DN12" s="1641"/>
      <c r="DO12" s="1641"/>
      <c r="DP12" s="1641"/>
      <c r="DQ12" s="1641"/>
      <c r="DR12" s="1641"/>
      <c r="DS12" s="1641"/>
      <c r="DT12" s="1641"/>
      <c r="DU12" s="1641"/>
      <c r="DV12" s="1641"/>
      <c r="DW12" s="1641"/>
      <c r="DX12" s="1641"/>
      <c r="DY12" s="1641"/>
      <c r="DZ12" s="1641"/>
      <c r="EA12" s="1641"/>
      <c r="EB12" s="1641"/>
      <c r="EC12" s="1641"/>
      <c r="ED12" s="1641"/>
      <c r="EE12" s="1641"/>
      <c r="EF12" s="1641"/>
      <c r="EG12" s="1641"/>
      <c r="EH12" s="1641"/>
      <c r="EI12" s="1641"/>
      <c r="EJ12" s="1641"/>
      <c r="EK12" s="1641"/>
      <c r="EL12" s="1641"/>
      <c r="EM12" s="1641"/>
      <c r="EN12" s="1641"/>
      <c r="EO12" s="1641"/>
      <c r="EP12" s="1641"/>
      <c r="EQ12" s="1641"/>
      <c r="ER12" s="1641"/>
      <c r="ES12" s="1641"/>
      <c r="ET12" s="1641"/>
      <c r="EU12" s="1641"/>
      <c r="EV12" s="1641"/>
      <c r="EW12" s="1641"/>
      <c r="EX12" s="1641"/>
      <c r="EY12" s="1641"/>
      <c r="EZ12" s="1641">
        <v>2672.14</v>
      </c>
      <c r="FA12" s="1641"/>
      <c r="FB12" s="1641"/>
      <c r="FC12" s="1641"/>
      <c r="FD12" s="1641"/>
      <c r="FE12" s="1641"/>
      <c r="FF12" s="1641"/>
      <c r="FG12" s="1641"/>
      <c r="FH12" s="1641"/>
      <c r="FI12" s="1641"/>
      <c r="FJ12" s="1641"/>
      <c r="FK12" s="1641"/>
      <c r="FL12" s="1641"/>
      <c r="FM12" s="1641"/>
      <c r="FN12" s="1641"/>
      <c r="FO12" s="1641"/>
      <c r="FP12" s="1641"/>
      <c r="FQ12" s="1641"/>
      <c r="FR12" s="1641"/>
      <c r="FS12" s="1641"/>
      <c r="FT12" s="1641"/>
      <c r="FU12" s="1641"/>
      <c r="FV12" s="1641"/>
      <c r="FW12" s="1641"/>
      <c r="FX12" s="1641"/>
      <c r="FY12" s="1641"/>
      <c r="FZ12" s="1641"/>
      <c r="GA12" s="1641"/>
      <c r="GB12" s="1641"/>
      <c r="GC12" s="1641"/>
      <c r="GD12" s="1641"/>
      <c r="GE12" s="1641"/>
      <c r="GF12" s="1641"/>
      <c r="GG12" s="1641"/>
      <c r="GH12" s="1641"/>
      <c r="GI12" s="1641"/>
      <c r="GJ12" s="1641"/>
      <c r="GK12" s="1641"/>
      <c r="GL12" s="1641"/>
      <c r="GM12" s="1641"/>
      <c r="GN12" s="1641"/>
      <c r="GO12" s="1641"/>
      <c r="GP12" s="1641"/>
      <c r="GQ12" s="1641"/>
      <c r="GR12" s="1641"/>
      <c r="GS12" s="1641"/>
      <c r="GT12" s="1641"/>
      <c r="GU12" s="1641"/>
      <c r="GV12" s="1641"/>
      <c r="GW12" s="1641"/>
      <c r="GX12" s="1641"/>
      <c r="GY12" s="1641"/>
      <c r="GZ12" s="1641"/>
      <c r="HA12" s="1641"/>
      <c r="HB12" s="1641"/>
      <c r="HC12" s="1641"/>
      <c r="HD12" s="1641"/>
      <c r="HE12" s="1641"/>
      <c r="HF12" s="1641"/>
      <c r="HG12" s="1641"/>
      <c r="HH12" s="1641">
        <v>575.9</v>
      </c>
      <c r="HI12" s="1641"/>
      <c r="HJ12" s="1641"/>
      <c r="HK12" s="1641"/>
      <c r="HL12" s="1641"/>
      <c r="HM12" s="1641"/>
      <c r="HN12" s="1641"/>
      <c r="HO12" s="1641"/>
      <c r="HP12" s="1641"/>
      <c r="HQ12" s="1641"/>
      <c r="HR12" s="1641"/>
      <c r="HS12" s="1641"/>
      <c r="HT12" s="1641"/>
      <c r="HU12" s="1641"/>
      <c r="HV12" s="1641"/>
      <c r="HW12" s="1641"/>
      <c r="HX12" s="1641"/>
      <c r="HY12" s="1641"/>
      <c r="HZ12" s="1641"/>
      <c r="IA12" s="1641"/>
      <c r="IB12" s="1641"/>
      <c r="IC12" s="1641"/>
      <c r="ID12" s="1641"/>
      <c r="IE12" s="1641"/>
      <c r="IF12" s="1641"/>
      <c r="IG12" s="1641"/>
      <c r="IH12" s="1641"/>
      <c r="II12" s="1641"/>
      <c r="IJ12" s="1641"/>
      <c r="IK12" s="1641"/>
      <c r="IL12" s="1636">
        <v>2821.76</v>
      </c>
      <c r="IM12" s="1641"/>
      <c r="IN12" s="1641"/>
      <c r="IO12" s="1641"/>
      <c r="IP12" s="1641"/>
      <c r="IQ12" s="1641"/>
      <c r="IR12" s="1641"/>
      <c r="IS12" s="1641"/>
      <c r="IT12" s="1641"/>
      <c r="IU12" s="1641"/>
      <c r="IV12" s="1641"/>
      <c r="IW12" s="1641"/>
      <c r="IX12" s="1641"/>
      <c r="IY12" s="1641"/>
      <c r="IZ12" s="1641"/>
      <c r="JA12" s="1641"/>
      <c r="JB12" s="1641"/>
      <c r="JC12" s="1641"/>
      <c r="JD12" s="1641"/>
      <c r="JE12" s="1641"/>
      <c r="JF12" s="1641"/>
      <c r="JG12" s="1641"/>
      <c r="JH12" s="1637"/>
      <c r="JI12" s="1637"/>
      <c r="JJ12" s="1637"/>
      <c r="JK12" s="1637"/>
      <c r="JL12" s="1637"/>
      <c r="JM12" s="1637"/>
      <c r="JN12" s="1637"/>
      <c r="JO12" s="1637"/>
      <c r="JP12" s="1637"/>
      <c r="JQ12" s="1640"/>
      <c r="JR12" s="351"/>
    </row>
    <row r="13" spans="1:280" x14ac:dyDescent="0.25">
      <c r="A13" s="1367">
        <v>13</v>
      </c>
      <c r="B13" s="1411" t="str">
        <f t="shared" si="0"/>
        <v/>
      </c>
      <c r="C13" s="1435" t="s">
        <v>3883</v>
      </c>
      <c r="D13" s="1361" t="s">
        <v>3871</v>
      </c>
      <c r="E13" s="1641"/>
      <c r="F13" s="1641"/>
      <c r="G13" s="1641"/>
      <c r="H13" s="1641"/>
      <c r="I13" s="1641"/>
      <c r="J13" s="1641"/>
      <c r="K13" s="1641"/>
      <c r="L13" s="1641"/>
      <c r="M13" s="1641"/>
      <c r="N13" s="1641"/>
      <c r="O13" s="1641"/>
      <c r="P13" s="1641"/>
      <c r="Q13" s="1641"/>
      <c r="R13" s="1641"/>
      <c r="S13" s="1641"/>
      <c r="T13" s="1641"/>
      <c r="U13" s="1641"/>
      <c r="V13" s="1641"/>
      <c r="W13" s="1641"/>
      <c r="X13" s="1641"/>
      <c r="Y13" s="1641"/>
      <c r="Z13" s="1641"/>
      <c r="AA13" s="1641"/>
      <c r="AB13" s="1641"/>
      <c r="AC13" s="1641"/>
      <c r="AD13" s="1641"/>
      <c r="AE13" s="1641"/>
      <c r="AF13" s="1641"/>
      <c r="AG13" s="1641"/>
      <c r="AH13" s="1641"/>
      <c r="AI13" s="1641"/>
      <c r="AJ13" s="1641"/>
      <c r="AK13" s="1641"/>
      <c r="AL13" s="1641"/>
      <c r="AM13" s="1641"/>
      <c r="AN13" s="1641"/>
      <c r="AO13" s="1641"/>
      <c r="AP13" s="1641"/>
      <c r="AQ13" s="1641"/>
      <c r="AR13" s="1641"/>
      <c r="AS13" s="1641"/>
      <c r="AT13" s="1641"/>
      <c r="AU13" s="1641"/>
      <c r="AV13" s="1641"/>
      <c r="AW13" s="1641"/>
      <c r="AX13" s="1641"/>
      <c r="AY13" s="1641"/>
      <c r="AZ13" s="1641"/>
      <c r="BA13" s="1641"/>
      <c r="BB13" s="1641"/>
      <c r="BC13" s="1641"/>
      <c r="BD13" s="1641"/>
      <c r="BE13" s="1641"/>
      <c r="BF13" s="1641"/>
      <c r="BG13" s="1641"/>
      <c r="BH13" s="1641"/>
      <c r="BI13" s="1641"/>
      <c r="BJ13" s="1641"/>
      <c r="BK13" s="1641"/>
      <c r="BL13" s="1641"/>
      <c r="BM13" s="1641"/>
      <c r="BN13" s="1641"/>
      <c r="BO13" s="1641"/>
      <c r="BP13" s="1641"/>
      <c r="BQ13" s="1641"/>
      <c r="BR13" s="1641"/>
      <c r="BS13" s="1641"/>
      <c r="BT13" s="1641"/>
      <c r="BU13" s="1641"/>
      <c r="BV13" s="1641"/>
      <c r="BW13" s="1641"/>
      <c r="BX13" s="1641"/>
      <c r="BY13" s="1641"/>
      <c r="BZ13" s="1641"/>
      <c r="CA13" s="1641"/>
      <c r="CB13" s="1641"/>
      <c r="CC13" s="1641"/>
      <c r="CD13" s="1641"/>
      <c r="CE13" s="1641"/>
      <c r="CF13" s="1641"/>
      <c r="CG13" s="1641"/>
      <c r="CH13" s="1641"/>
      <c r="CI13" s="1641"/>
      <c r="CJ13" s="1641"/>
      <c r="CK13" s="1641"/>
      <c r="CL13" s="1641"/>
      <c r="CM13" s="1641"/>
      <c r="CN13" s="1641"/>
      <c r="CO13" s="1641"/>
      <c r="CP13" s="1641"/>
      <c r="CQ13" s="1641"/>
      <c r="CR13" s="1641"/>
      <c r="CS13" s="1641"/>
      <c r="CT13" s="1641"/>
      <c r="CU13" s="1641"/>
      <c r="CV13" s="1641"/>
      <c r="CW13" s="1641"/>
      <c r="CX13" s="1641"/>
      <c r="CY13" s="1641"/>
      <c r="CZ13" s="1641"/>
      <c r="DA13" s="1641"/>
      <c r="DB13" s="1641"/>
      <c r="DC13" s="1641"/>
      <c r="DD13" s="1641"/>
      <c r="DE13" s="1641"/>
      <c r="DF13" s="1641"/>
      <c r="DG13" s="1641"/>
      <c r="DH13" s="1641"/>
      <c r="DI13" s="1641"/>
      <c r="DJ13" s="1641"/>
      <c r="DK13" s="1641"/>
      <c r="DL13" s="1641"/>
      <c r="DM13" s="1641"/>
      <c r="DN13" s="1641"/>
      <c r="DO13" s="1641"/>
      <c r="DP13" s="1641"/>
      <c r="DQ13" s="1641"/>
      <c r="DR13" s="1641"/>
      <c r="DS13" s="1641"/>
      <c r="DT13" s="1641"/>
      <c r="DU13" s="1641"/>
      <c r="DV13" s="1641"/>
      <c r="DW13" s="1641"/>
      <c r="DX13" s="1641"/>
      <c r="DY13" s="1641"/>
      <c r="DZ13" s="1641"/>
      <c r="EA13" s="1641"/>
      <c r="EB13" s="1641"/>
      <c r="EC13" s="1641"/>
      <c r="ED13" s="1641"/>
      <c r="EE13" s="1641"/>
      <c r="EF13" s="1641"/>
      <c r="EG13" s="1641"/>
      <c r="EH13" s="1641"/>
      <c r="EI13" s="1641"/>
      <c r="EJ13" s="1641"/>
      <c r="EK13" s="1641"/>
      <c r="EL13" s="1641"/>
      <c r="EM13" s="1641"/>
      <c r="EN13" s="1641"/>
      <c r="EO13" s="1641"/>
      <c r="EP13" s="1641"/>
      <c r="EQ13" s="1641"/>
      <c r="ER13" s="1641"/>
      <c r="ES13" s="1641"/>
      <c r="ET13" s="1641"/>
      <c r="EU13" s="1641"/>
      <c r="EV13" s="1641"/>
      <c r="EW13" s="1641"/>
      <c r="EX13" s="1641"/>
      <c r="EY13" s="1641"/>
      <c r="EZ13" s="1641"/>
      <c r="FA13" s="1641"/>
      <c r="FB13" s="1641"/>
      <c r="FC13" s="1641"/>
      <c r="FD13" s="1641"/>
      <c r="FE13" s="1641"/>
      <c r="FF13" s="1641"/>
      <c r="FG13" s="1641"/>
      <c r="FH13" s="1641"/>
      <c r="FI13" s="1641"/>
      <c r="FJ13" s="1641"/>
      <c r="FK13" s="1641"/>
      <c r="FL13" s="1641"/>
      <c r="FM13" s="1641"/>
      <c r="FN13" s="1641"/>
      <c r="FO13" s="1641"/>
      <c r="FP13" s="1641"/>
      <c r="FQ13" s="1641"/>
      <c r="FR13" s="1641"/>
      <c r="FS13" s="1641"/>
      <c r="FT13" s="1641"/>
      <c r="FU13" s="1641"/>
      <c r="FV13" s="1641"/>
      <c r="FW13" s="1641"/>
      <c r="FX13" s="1641"/>
      <c r="FY13" s="1641"/>
      <c r="FZ13" s="1641"/>
      <c r="GA13" s="1641"/>
      <c r="GB13" s="1641"/>
      <c r="GC13" s="1641"/>
      <c r="GD13" s="1641"/>
      <c r="GE13" s="1641"/>
      <c r="GF13" s="1641"/>
      <c r="GG13" s="1641"/>
      <c r="GH13" s="1641"/>
      <c r="GI13" s="1641"/>
      <c r="GJ13" s="1641"/>
      <c r="GK13" s="1641"/>
      <c r="GL13" s="1641"/>
      <c r="GM13" s="1641"/>
      <c r="GN13" s="1641"/>
      <c r="GO13" s="1641"/>
      <c r="GP13" s="1641"/>
      <c r="GQ13" s="1641"/>
      <c r="GR13" s="1641"/>
      <c r="GS13" s="1641"/>
      <c r="GT13" s="1641"/>
      <c r="GU13" s="1641"/>
      <c r="GV13" s="1641"/>
      <c r="GW13" s="1641"/>
      <c r="GX13" s="1641"/>
      <c r="GY13" s="1641"/>
      <c r="GZ13" s="1641"/>
      <c r="HA13" s="1641"/>
      <c r="HB13" s="1641"/>
      <c r="HC13" s="1641"/>
      <c r="HD13" s="1641"/>
      <c r="HE13" s="1641"/>
      <c r="HF13" s="1641"/>
      <c r="HG13" s="1641"/>
      <c r="HH13" s="1641"/>
      <c r="HI13" s="1641"/>
      <c r="HJ13" s="1641"/>
      <c r="HK13" s="1641"/>
      <c r="HL13" s="1641"/>
      <c r="HM13" s="1641"/>
      <c r="HN13" s="1641"/>
      <c r="HO13" s="1641"/>
      <c r="HP13" s="1641"/>
      <c r="HQ13" s="1641"/>
      <c r="HR13" s="1641"/>
      <c r="HS13" s="1641"/>
      <c r="HT13" s="1641"/>
      <c r="HU13" s="1641"/>
      <c r="HV13" s="1641"/>
      <c r="HW13" s="1641"/>
      <c r="HX13" s="1641"/>
      <c r="HY13" s="1641"/>
      <c r="HZ13" s="1641"/>
      <c r="IA13" s="1641"/>
      <c r="IB13" s="1641"/>
      <c r="IC13" s="1641"/>
      <c r="ID13" s="1641"/>
      <c r="IE13" s="1641"/>
      <c r="IF13" s="1641"/>
      <c r="IG13" s="1641"/>
      <c r="IH13" s="1641"/>
      <c r="II13" s="1641"/>
      <c r="IJ13" s="1641"/>
      <c r="IK13" s="1641"/>
      <c r="IL13" s="1641"/>
      <c r="IM13" s="1641"/>
      <c r="IN13" s="1641"/>
      <c r="IO13" s="1641"/>
      <c r="IP13" s="1641"/>
      <c r="IQ13" s="1641"/>
      <c r="IR13" s="1641"/>
      <c r="IS13" s="1641"/>
      <c r="IT13" s="1641"/>
      <c r="IU13" s="1641"/>
      <c r="IV13" s="1641"/>
      <c r="IW13" s="1641"/>
      <c r="IX13" s="1641"/>
      <c r="IY13" s="1641"/>
      <c r="IZ13" s="1641"/>
      <c r="JA13" s="1641"/>
      <c r="JB13" s="1641"/>
      <c r="JC13" s="1641"/>
      <c r="JD13" s="1641"/>
      <c r="JE13" s="1641"/>
      <c r="JF13" s="1641"/>
      <c r="JG13" s="1641"/>
      <c r="JH13" s="1637"/>
      <c r="JI13" s="1637"/>
      <c r="JJ13" s="1637"/>
      <c r="JK13" s="1637"/>
      <c r="JL13" s="1637"/>
      <c r="JM13" s="1637"/>
      <c r="JN13" s="1637"/>
      <c r="JO13" s="1637"/>
      <c r="JP13" s="1637"/>
      <c r="JQ13" s="1640"/>
      <c r="JR13" s="351"/>
    </row>
    <row r="14" spans="1:280" x14ac:dyDescent="0.25">
      <c r="A14" s="1367">
        <v>14</v>
      </c>
      <c r="B14" s="1411" t="str">
        <f t="shared" si="0"/>
        <v/>
      </c>
      <c r="C14" s="1435" t="s">
        <v>3884</v>
      </c>
      <c r="D14" s="1361" t="s">
        <v>3873</v>
      </c>
      <c r="E14" s="1639"/>
      <c r="F14" s="1639"/>
      <c r="G14" s="1639"/>
      <c r="H14" s="1639"/>
      <c r="I14" s="1639"/>
      <c r="J14" s="1639"/>
      <c r="K14" s="1639"/>
      <c r="L14" s="1639"/>
      <c r="M14" s="1639"/>
      <c r="N14" s="1639"/>
      <c r="O14" s="1639"/>
      <c r="P14" s="1639"/>
      <c r="Q14" s="1639"/>
      <c r="R14" s="1639"/>
      <c r="S14" s="1639"/>
      <c r="T14" s="1639"/>
      <c r="U14" s="1639"/>
      <c r="V14" s="1639"/>
      <c r="W14" s="1639"/>
      <c r="X14" s="1639"/>
      <c r="Y14" s="1639"/>
      <c r="Z14" s="1639"/>
      <c r="AA14" s="1639"/>
      <c r="AB14" s="1639"/>
      <c r="AC14" s="1639"/>
      <c r="AD14" s="1639"/>
      <c r="AE14" s="1639"/>
      <c r="AF14" s="1639"/>
      <c r="AG14" s="1639"/>
      <c r="AH14" s="1639"/>
      <c r="AI14" s="1639"/>
      <c r="AJ14" s="1639"/>
      <c r="AK14" s="1639"/>
      <c r="AL14" s="1639"/>
      <c r="AM14" s="1639"/>
      <c r="AN14" s="1639"/>
      <c r="AO14" s="1639"/>
      <c r="AP14" s="1639"/>
      <c r="AQ14" s="1639"/>
      <c r="AR14" s="1639"/>
      <c r="AS14" s="1639"/>
      <c r="AT14" s="1639"/>
      <c r="AU14" s="1639"/>
      <c r="AV14" s="1639"/>
      <c r="AW14" s="1639"/>
      <c r="AX14" s="1639"/>
      <c r="AY14" s="1639"/>
      <c r="AZ14" s="1639"/>
      <c r="BA14" s="1639"/>
      <c r="BB14" s="1639"/>
      <c r="BC14" s="1639"/>
      <c r="BD14" s="1639"/>
      <c r="BE14" s="1639"/>
      <c r="BF14" s="1639"/>
      <c r="BG14" s="1639"/>
      <c r="BH14" s="1639"/>
      <c r="BI14" s="1639"/>
      <c r="BJ14" s="1639"/>
      <c r="BK14" s="1639"/>
      <c r="BL14" s="1639"/>
      <c r="BM14" s="1639"/>
      <c r="BN14" s="1639"/>
      <c r="BO14" s="1639"/>
      <c r="BP14" s="1639"/>
      <c r="BQ14" s="1639"/>
      <c r="BR14" s="1639"/>
      <c r="BS14" s="1639"/>
      <c r="BT14" s="1639"/>
      <c r="BU14" s="1639"/>
      <c r="BV14" s="1639"/>
      <c r="BW14" s="1639"/>
      <c r="BX14" s="1639"/>
      <c r="BY14" s="1639"/>
      <c r="BZ14" s="1639"/>
      <c r="CA14" s="1639"/>
      <c r="CB14" s="1639"/>
      <c r="CC14" s="1639"/>
      <c r="CD14" s="1639"/>
      <c r="CE14" s="1639"/>
      <c r="CF14" s="1639"/>
      <c r="CG14" s="1639"/>
      <c r="CH14" s="1639"/>
      <c r="CI14" s="1639"/>
      <c r="CJ14" s="1639"/>
      <c r="CK14" s="1639"/>
      <c r="CL14" s="1639"/>
      <c r="CM14" s="1639"/>
      <c r="CN14" s="1639"/>
      <c r="CO14" s="1639"/>
      <c r="CP14" s="1639"/>
      <c r="CQ14" s="1639"/>
      <c r="CR14" s="1639"/>
      <c r="CS14" s="1639"/>
      <c r="CT14" s="1639"/>
      <c r="CU14" s="1639"/>
      <c r="CV14" s="1639"/>
      <c r="CW14" s="1639"/>
      <c r="CX14" s="1639"/>
      <c r="CY14" s="1639"/>
      <c r="CZ14" s="1639"/>
      <c r="DA14" s="1639"/>
      <c r="DB14" s="1639"/>
      <c r="DC14" s="1639"/>
      <c r="DD14" s="1639"/>
      <c r="DE14" s="1639"/>
      <c r="DF14" s="1639"/>
      <c r="DG14" s="1639"/>
      <c r="DH14" s="1639"/>
      <c r="DI14" s="1639"/>
      <c r="DJ14" s="1639"/>
      <c r="DK14" s="1639"/>
      <c r="DL14" s="1639"/>
      <c r="DM14" s="1639"/>
      <c r="DN14" s="1639"/>
      <c r="DO14" s="1639"/>
      <c r="DP14" s="1639"/>
      <c r="DQ14" s="1639"/>
      <c r="DR14" s="1639"/>
      <c r="DS14" s="1639"/>
      <c r="DT14" s="1639"/>
      <c r="DU14" s="1639"/>
      <c r="DV14" s="1639"/>
      <c r="DW14" s="1639"/>
      <c r="DX14" s="1639"/>
      <c r="DY14" s="1639"/>
      <c r="DZ14" s="1639"/>
      <c r="EA14" s="1639"/>
      <c r="EB14" s="1639"/>
      <c r="EC14" s="1639"/>
      <c r="ED14" s="1639"/>
      <c r="EE14" s="1639"/>
      <c r="EF14" s="1639"/>
      <c r="EG14" s="1639"/>
      <c r="EH14" s="1639"/>
      <c r="EI14" s="1639"/>
      <c r="EJ14" s="1639"/>
      <c r="EK14" s="1639"/>
      <c r="EL14" s="1639"/>
      <c r="EM14" s="1639"/>
      <c r="EN14" s="1639"/>
      <c r="EO14" s="1639"/>
      <c r="EP14" s="1639"/>
      <c r="EQ14" s="1639"/>
      <c r="ER14" s="1639"/>
      <c r="ES14" s="1639"/>
      <c r="ET14" s="1639"/>
      <c r="EU14" s="1639"/>
      <c r="EV14" s="1639"/>
      <c r="EW14" s="1639"/>
      <c r="EX14" s="1639"/>
      <c r="EY14" s="1639"/>
      <c r="EZ14" s="1639" t="s">
        <v>1707</v>
      </c>
      <c r="FA14" s="1639"/>
      <c r="FB14" s="1639"/>
      <c r="FC14" s="1639"/>
      <c r="FD14" s="1639"/>
      <c r="FE14" s="1639"/>
      <c r="FF14" s="1639"/>
      <c r="FG14" s="1639"/>
      <c r="FH14" s="1639"/>
      <c r="FI14" s="1639"/>
      <c r="FJ14" s="1639"/>
      <c r="FK14" s="1639"/>
      <c r="FL14" s="1639"/>
      <c r="FM14" s="1639"/>
      <c r="FN14" s="1639"/>
      <c r="FO14" s="1639"/>
      <c r="FP14" s="1639"/>
      <c r="FQ14" s="1639"/>
      <c r="FR14" s="1639"/>
      <c r="FS14" s="1639"/>
      <c r="FT14" s="1639"/>
      <c r="FU14" s="1639"/>
      <c r="FV14" s="1639"/>
      <c r="FW14" s="1639"/>
      <c r="FX14" s="1639"/>
      <c r="FY14" s="1639"/>
      <c r="FZ14" s="1639"/>
      <c r="GA14" s="1639"/>
      <c r="GB14" s="1639"/>
      <c r="GC14" s="1639"/>
      <c r="GD14" s="1639"/>
      <c r="GE14" s="1639"/>
      <c r="GF14" s="1639"/>
      <c r="GG14" s="1639"/>
      <c r="GH14" s="1639"/>
      <c r="GI14" s="1639"/>
      <c r="GJ14" s="1639"/>
      <c r="GK14" s="1639"/>
      <c r="GL14" s="1639"/>
      <c r="GM14" s="1639"/>
      <c r="GN14" s="1639"/>
      <c r="GO14" s="1639"/>
      <c r="GP14" s="1639"/>
      <c r="GQ14" s="1639"/>
      <c r="GR14" s="1639"/>
      <c r="GS14" s="1639"/>
      <c r="GT14" s="1639"/>
      <c r="GU14" s="1639"/>
      <c r="GV14" s="1639"/>
      <c r="GW14" s="1639"/>
      <c r="GX14" s="1639"/>
      <c r="GY14" s="1639"/>
      <c r="GZ14" s="1639"/>
      <c r="HA14" s="1639"/>
      <c r="HB14" s="1639"/>
      <c r="HC14" s="1639"/>
      <c r="HD14" s="1639"/>
      <c r="HE14" s="1639"/>
      <c r="HF14" s="1639"/>
      <c r="HG14" s="1639"/>
      <c r="HH14" s="1639" t="s">
        <v>1707</v>
      </c>
      <c r="HI14" s="1639"/>
      <c r="HJ14" s="1639"/>
      <c r="HK14" s="1639"/>
      <c r="HL14" s="1639"/>
      <c r="HM14" s="1639"/>
      <c r="HN14" s="1639"/>
      <c r="HO14" s="1639"/>
      <c r="HP14" s="1639"/>
      <c r="HQ14" s="1639"/>
      <c r="HR14" s="1639"/>
      <c r="HS14" s="1639"/>
      <c r="HT14" s="1639"/>
      <c r="HU14" s="1639"/>
      <c r="HV14" s="1639"/>
      <c r="HW14" s="1639"/>
      <c r="HX14" s="1639"/>
      <c r="HY14" s="1639"/>
      <c r="HZ14" s="1639"/>
      <c r="IA14" s="1639"/>
      <c r="IB14" s="1639"/>
      <c r="IC14" s="1639"/>
      <c r="ID14" s="1639"/>
      <c r="IE14" s="1639"/>
      <c r="IF14" s="1639"/>
      <c r="IG14" s="1639"/>
      <c r="IH14" s="1639"/>
      <c r="II14" s="1639"/>
      <c r="IJ14" s="1639"/>
      <c r="IK14" s="1639"/>
      <c r="IL14" s="1638" t="s">
        <v>1707</v>
      </c>
      <c r="IM14" s="1639"/>
      <c r="IN14" s="1639"/>
      <c r="IO14" s="1639"/>
      <c r="IP14" s="1641"/>
      <c r="IQ14" s="1641"/>
      <c r="IR14" s="1641"/>
      <c r="IS14" s="1641"/>
      <c r="IT14" s="1641"/>
      <c r="IU14" s="1641"/>
      <c r="IV14" s="1641"/>
      <c r="IW14" s="1641"/>
      <c r="IX14" s="1639"/>
      <c r="IY14" s="1639"/>
      <c r="IZ14" s="1639"/>
      <c r="JA14" s="1639"/>
      <c r="JB14" s="1639"/>
      <c r="JC14" s="1639"/>
      <c r="JD14" s="1639"/>
      <c r="JE14" s="1639"/>
      <c r="JF14" s="1639"/>
      <c r="JG14" s="1639"/>
      <c r="JH14" s="1414"/>
      <c r="JI14" s="1637"/>
      <c r="JJ14" s="1637"/>
      <c r="JK14" s="1637"/>
      <c r="JL14" s="1637"/>
      <c r="JM14" s="1637"/>
      <c r="JN14" s="1637"/>
      <c r="JO14" s="1637"/>
      <c r="JP14" s="1414"/>
      <c r="JQ14" s="1415"/>
      <c r="JR14" s="351"/>
    </row>
    <row r="15" spans="1:280" x14ac:dyDescent="0.25">
      <c r="A15" s="1367">
        <v>15</v>
      </c>
      <c r="B15" s="1411">
        <f t="shared" si="0"/>
        <v>14265</v>
      </c>
      <c r="C15" s="1435" t="s">
        <v>3885</v>
      </c>
      <c r="D15" s="1361" t="s">
        <v>3875</v>
      </c>
      <c r="E15" s="1641"/>
      <c r="F15" s="1641"/>
      <c r="G15" s="1641"/>
      <c r="H15" s="1641"/>
      <c r="I15" s="1641"/>
      <c r="J15" s="1641"/>
      <c r="K15" s="1641"/>
      <c r="L15" s="1641"/>
      <c r="M15" s="1641"/>
      <c r="N15" s="1641"/>
      <c r="O15" s="1641"/>
      <c r="P15" s="1641"/>
      <c r="Q15" s="1641"/>
      <c r="R15" s="1641"/>
      <c r="S15" s="1641"/>
      <c r="T15" s="1641"/>
      <c r="U15" s="1641"/>
      <c r="V15" s="1641"/>
      <c r="W15" s="1641"/>
      <c r="X15" s="1641"/>
      <c r="Y15" s="1641"/>
      <c r="Z15" s="1641"/>
      <c r="AA15" s="1641"/>
      <c r="AB15" s="1641"/>
      <c r="AC15" s="1641"/>
      <c r="AD15" s="1641"/>
      <c r="AE15" s="1641"/>
      <c r="AF15" s="1641"/>
      <c r="AG15" s="1641"/>
      <c r="AH15" s="1641"/>
      <c r="AI15" s="1641"/>
      <c r="AJ15" s="1641"/>
      <c r="AK15" s="1641"/>
      <c r="AL15" s="1641"/>
      <c r="AM15" s="1641"/>
      <c r="AN15" s="1641"/>
      <c r="AO15" s="1641"/>
      <c r="AP15" s="1641"/>
      <c r="AQ15" s="1641"/>
      <c r="AR15" s="1641"/>
      <c r="AS15" s="1641"/>
      <c r="AT15" s="1641"/>
      <c r="AU15" s="1641"/>
      <c r="AV15" s="1641"/>
      <c r="AW15" s="1641"/>
      <c r="AX15" s="1641"/>
      <c r="AY15" s="1641"/>
      <c r="AZ15" s="1641"/>
      <c r="BA15" s="1641"/>
      <c r="BB15" s="1641"/>
      <c r="BC15" s="1641"/>
      <c r="BD15" s="1641"/>
      <c r="BE15" s="1641"/>
      <c r="BF15" s="1641"/>
      <c r="BG15" s="1641"/>
      <c r="BH15" s="1641"/>
      <c r="BI15" s="1641"/>
      <c r="BJ15" s="1641"/>
      <c r="BK15" s="1641"/>
      <c r="BL15" s="1641"/>
      <c r="BM15" s="1641"/>
      <c r="BN15" s="1641"/>
      <c r="BO15" s="1641"/>
      <c r="BP15" s="1641"/>
      <c r="BQ15" s="1641"/>
      <c r="BR15" s="1641"/>
      <c r="BS15" s="1641"/>
      <c r="BT15" s="1641"/>
      <c r="BU15" s="1641"/>
      <c r="BV15" s="1641"/>
      <c r="BW15" s="1641"/>
      <c r="BX15" s="1641"/>
      <c r="BY15" s="1641"/>
      <c r="BZ15" s="1641"/>
      <c r="CA15" s="1641"/>
      <c r="CB15" s="1641"/>
      <c r="CC15" s="1641"/>
      <c r="CD15" s="1641"/>
      <c r="CE15" s="1641"/>
      <c r="CF15" s="1641"/>
      <c r="CG15" s="1641"/>
      <c r="CH15" s="1641"/>
      <c r="CI15" s="1641"/>
      <c r="CJ15" s="1641"/>
      <c r="CK15" s="1641"/>
      <c r="CL15" s="1641"/>
      <c r="CM15" s="1641"/>
      <c r="CN15" s="1641"/>
      <c r="CO15" s="1641"/>
      <c r="CP15" s="1641"/>
      <c r="CQ15" s="1641"/>
      <c r="CR15" s="1641"/>
      <c r="CS15" s="1641"/>
      <c r="CT15" s="1641"/>
      <c r="CU15" s="1641"/>
      <c r="CV15" s="1641"/>
      <c r="CW15" s="1641"/>
      <c r="CX15" s="1641"/>
      <c r="CY15" s="1641"/>
      <c r="CZ15" s="1641"/>
      <c r="DA15" s="1641"/>
      <c r="DB15" s="1641"/>
      <c r="DC15" s="1641"/>
      <c r="DD15" s="1641"/>
      <c r="DE15" s="1641"/>
      <c r="DF15" s="1641"/>
      <c r="DG15" s="1641"/>
      <c r="DH15" s="1641"/>
      <c r="DI15" s="1641"/>
      <c r="DJ15" s="1641"/>
      <c r="DK15" s="1641"/>
      <c r="DL15" s="1641"/>
      <c r="DM15" s="1641"/>
      <c r="DN15" s="1641"/>
      <c r="DO15" s="1641"/>
      <c r="DP15" s="1641"/>
      <c r="DQ15" s="1641"/>
      <c r="DR15" s="1641"/>
      <c r="DS15" s="1641"/>
      <c r="DT15" s="1641"/>
      <c r="DU15" s="1641"/>
      <c r="DV15" s="1641"/>
      <c r="DW15" s="1636">
        <v>6761.25</v>
      </c>
      <c r="DX15" s="1641"/>
      <c r="DY15" s="1641"/>
      <c r="DZ15" s="1641"/>
      <c r="EA15" s="1641"/>
      <c r="EB15" s="1641"/>
      <c r="EC15" s="1641"/>
      <c r="ED15" s="1641"/>
      <c r="EE15" s="1641"/>
      <c r="EF15" s="1641"/>
      <c r="EG15" s="1641"/>
      <c r="EH15" s="1641"/>
      <c r="EI15" s="1641"/>
      <c r="EJ15" s="1641"/>
      <c r="EK15" s="1641"/>
      <c r="EL15" s="1641"/>
      <c r="EM15" s="1636">
        <v>3310</v>
      </c>
      <c r="EN15" s="1636">
        <v>1000</v>
      </c>
      <c r="EO15" s="1641"/>
      <c r="EP15" s="1641"/>
      <c r="EQ15" s="1636">
        <v>8887</v>
      </c>
      <c r="ER15" s="1641"/>
      <c r="ES15" s="1641"/>
      <c r="ET15" s="1641"/>
      <c r="EU15" s="1641"/>
      <c r="EV15" s="1641"/>
      <c r="EW15" s="1641"/>
      <c r="EX15" s="1641"/>
      <c r="EY15" s="1641"/>
      <c r="EZ15" s="1641">
        <v>18242.79</v>
      </c>
      <c r="FA15" s="1641"/>
      <c r="FB15" s="1641"/>
      <c r="FC15" s="1641"/>
      <c r="FD15" s="1641"/>
      <c r="FE15" s="1641"/>
      <c r="FF15" s="1641"/>
      <c r="FG15" s="1641"/>
      <c r="FH15" s="1641"/>
      <c r="FI15" s="1641"/>
      <c r="FJ15" s="1636">
        <v>40536.769999999997</v>
      </c>
      <c r="FK15" s="1641"/>
      <c r="FL15" s="1641"/>
      <c r="FM15" s="1641"/>
      <c r="FN15" s="1641"/>
      <c r="FO15" s="1636">
        <v>2905</v>
      </c>
      <c r="FP15" s="1636">
        <v>14265</v>
      </c>
      <c r="FQ15" s="1641"/>
      <c r="FR15" s="1641"/>
      <c r="FS15" s="1641"/>
      <c r="FT15" s="1641"/>
      <c r="FU15" s="1641"/>
      <c r="FV15" s="1641"/>
      <c r="FW15" s="1641"/>
      <c r="FX15" s="1641"/>
      <c r="FY15" s="1641"/>
      <c r="FZ15" s="1641"/>
      <c r="GA15" s="1641"/>
      <c r="GB15" s="1641"/>
      <c r="GC15" s="1641"/>
      <c r="GD15" s="1641"/>
      <c r="GE15" s="1641"/>
      <c r="GF15" s="1641"/>
      <c r="GG15" s="1641"/>
      <c r="GH15" s="1641"/>
      <c r="GI15" s="1641"/>
      <c r="GJ15" s="1641"/>
      <c r="GK15" s="1641"/>
      <c r="GL15" s="1641"/>
      <c r="GM15" s="1641"/>
      <c r="GN15" s="1641"/>
      <c r="GO15" s="1641"/>
      <c r="GP15" s="1641"/>
      <c r="GQ15" s="1641"/>
      <c r="GR15" s="1641"/>
      <c r="GS15" s="1641"/>
      <c r="GT15" s="1641"/>
      <c r="GU15" s="1641"/>
      <c r="GV15" s="1641"/>
      <c r="GW15" s="1641"/>
      <c r="GX15" s="1641"/>
      <c r="GY15" s="1641"/>
      <c r="GZ15" s="1641"/>
      <c r="HA15" s="1641"/>
      <c r="HB15" s="1641"/>
      <c r="HC15" s="1641"/>
      <c r="HD15" s="1641"/>
      <c r="HE15" s="1641"/>
      <c r="HF15" s="1641"/>
      <c r="HG15" s="1636">
        <v>1500</v>
      </c>
      <c r="HH15" s="2561">
        <f>IF(HH14="Y",HH11,MAX(0,HH11-HH12))</f>
        <v>5759</v>
      </c>
      <c r="HI15" s="1641"/>
      <c r="HJ15" s="1641"/>
      <c r="HK15" s="1641"/>
      <c r="HL15" s="1641"/>
      <c r="HM15" s="1641"/>
      <c r="HN15" s="1641"/>
      <c r="HO15" s="1641"/>
      <c r="HP15" s="1641"/>
      <c r="HQ15" s="1641"/>
      <c r="HR15" s="1641"/>
      <c r="HS15" s="1641"/>
      <c r="HT15" s="1641"/>
      <c r="HU15" s="1641"/>
      <c r="HV15" s="1641"/>
      <c r="HW15" s="1641"/>
      <c r="HX15" s="1641"/>
      <c r="HY15" s="1641"/>
      <c r="HZ15" s="1641"/>
      <c r="IA15" s="1641"/>
      <c r="IB15" s="1641"/>
      <c r="IC15" s="1641"/>
      <c r="ID15" s="1641"/>
      <c r="IE15" s="1641"/>
      <c r="IF15" s="1641"/>
      <c r="IG15" s="1641"/>
      <c r="IH15" s="1641"/>
      <c r="II15" s="1641"/>
      <c r="IJ15" s="1641"/>
      <c r="IK15" s="1641"/>
      <c r="IL15" s="1636">
        <v>19732</v>
      </c>
      <c r="IM15" s="1641"/>
      <c r="IN15" s="1641"/>
      <c r="IO15" s="1641"/>
      <c r="IP15" s="1641"/>
      <c r="IQ15" s="1641"/>
      <c r="IR15" s="1641"/>
      <c r="IS15" s="1641"/>
      <c r="IT15" s="1641"/>
      <c r="IU15" s="1641"/>
      <c r="IV15" s="1641"/>
      <c r="IW15" s="1641"/>
      <c r="IX15" s="1641"/>
      <c r="IY15" s="1641"/>
      <c r="IZ15" s="1641"/>
      <c r="JA15" s="1641"/>
      <c r="JB15" s="1641"/>
      <c r="JC15" s="1641"/>
      <c r="JD15" s="1641"/>
      <c r="JE15" s="1641"/>
      <c r="JF15" s="1641"/>
      <c r="JG15" s="1641"/>
      <c r="JH15" s="1642">
        <v>475</v>
      </c>
      <c r="JI15" s="1637"/>
      <c r="JJ15" s="1637">
        <v>755</v>
      </c>
      <c r="JK15" s="1637"/>
      <c r="JL15" s="1637"/>
      <c r="JM15" s="1637"/>
      <c r="JN15" s="1637"/>
      <c r="JO15" s="1637"/>
      <c r="JP15" s="1642"/>
      <c r="JQ15" s="1643"/>
      <c r="JR15" s="351"/>
    </row>
    <row r="16" spans="1:280" x14ac:dyDescent="0.25">
      <c r="A16" s="1367">
        <v>16</v>
      </c>
      <c r="B16" s="1411" t="str">
        <f t="shared" si="0"/>
        <v/>
      </c>
      <c r="C16" s="1435" t="s">
        <v>3886</v>
      </c>
      <c r="D16" s="1361" t="s">
        <v>3887</v>
      </c>
      <c r="E16" s="2561"/>
      <c r="F16" s="2561"/>
      <c r="G16" s="2561"/>
      <c r="H16" s="2561"/>
      <c r="I16" s="2561"/>
      <c r="J16" s="2561"/>
      <c r="K16" s="2561"/>
      <c r="L16" s="2561"/>
      <c r="M16" s="2561"/>
      <c r="N16" s="2561"/>
      <c r="O16" s="2561"/>
      <c r="P16" s="2561"/>
      <c r="Q16" s="2561"/>
      <c r="R16" s="2561"/>
      <c r="S16" s="2561"/>
      <c r="T16" s="2561"/>
      <c r="U16" s="2561"/>
      <c r="V16" s="2561"/>
      <c r="W16" s="2561"/>
      <c r="X16" s="2561"/>
      <c r="Y16" s="2561"/>
      <c r="Z16" s="2561"/>
      <c r="AA16" s="2561"/>
      <c r="AB16" s="2561"/>
      <c r="AC16" s="2561"/>
      <c r="AD16" s="2561"/>
      <c r="AE16" s="2561"/>
      <c r="AF16" s="2561"/>
      <c r="AG16" s="2561"/>
      <c r="AH16" s="2561"/>
      <c r="AI16" s="2561"/>
      <c r="AJ16" s="2561"/>
      <c r="AK16" s="2561"/>
      <c r="AL16" s="2561"/>
      <c r="AM16" s="2561"/>
      <c r="AN16" s="2561"/>
      <c r="AO16" s="2561"/>
      <c r="AP16" s="2561"/>
      <c r="AQ16" s="2561"/>
      <c r="AR16" s="2561"/>
      <c r="AS16" s="2561"/>
      <c r="AT16" s="2561"/>
      <c r="AU16" s="2561"/>
      <c r="AV16" s="2561"/>
      <c r="AW16" s="2561"/>
      <c r="AX16" s="2561"/>
      <c r="AY16" s="2561"/>
      <c r="AZ16" s="2561"/>
      <c r="BA16" s="2561"/>
      <c r="BB16" s="2561">
        <f>BB7+BB13</f>
        <v>0</v>
      </c>
      <c r="BC16" s="2561"/>
      <c r="BD16" s="2561"/>
      <c r="BE16" s="2561"/>
      <c r="BF16" s="2561"/>
      <c r="BG16" s="2561"/>
      <c r="BH16" s="2561"/>
      <c r="BI16" s="2561"/>
      <c r="BJ16" s="2561"/>
      <c r="BK16" s="2561"/>
      <c r="BL16" s="2561"/>
      <c r="BM16" s="2561"/>
      <c r="BN16" s="2561"/>
      <c r="BO16" s="2561"/>
      <c r="BP16" s="2561"/>
      <c r="BQ16" s="2561"/>
      <c r="BR16" s="2561"/>
      <c r="BS16" s="2561"/>
      <c r="BT16" s="2561"/>
      <c r="BU16" s="2561"/>
      <c r="BV16" s="2561"/>
      <c r="BW16" s="2561"/>
      <c r="BX16" s="2561"/>
      <c r="BY16" s="2561"/>
      <c r="BZ16" s="2561"/>
      <c r="CA16" s="2561"/>
      <c r="CB16" s="2561"/>
      <c r="CC16" s="2561"/>
      <c r="CD16" s="2561"/>
      <c r="CE16" s="2561"/>
      <c r="CF16" s="2561"/>
      <c r="CG16" s="2561"/>
      <c r="CH16" s="2561"/>
      <c r="CI16" s="2561"/>
      <c r="CJ16" s="2561"/>
      <c r="CK16" s="2561"/>
      <c r="CL16" s="2561"/>
      <c r="CM16" s="2561"/>
      <c r="CN16" s="2561"/>
      <c r="CO16" s="2561"/>
      <c r="CP16" s="2561"/>
      <c r="CQ16" s="2561"/>
      <c r="CR16" s="2561"/>
      <c r="CS16" s="2561"/>
      <c r="CT16" s="2561">
        <f>CT7+CT13</f>
        <v>252</v>
      </c>
      <c r="CU16" s="2561"/>
      <c r="CV16" s="2561"/>
      <c r="CW16" s="2561"/>
      <c r="CX16" s="2561"/>
      <c r="CY16" s="2561"/>
      <c r="CZ16" s="2561"/>
      <c r="DA16" s="2561"/>
      <c r="DB16" s="2561"/>
      <c r="DC16" s="2561"/>
      <c r="DD16" s="2561"/>
      <c r="DE16" s="2561"/>
      <c r="DF16" s="2561"/>
      <c r="DG16" s="2561"/>
      <c r="DH16" s="2561"/>
      <c r="DI16" s="1636"/>
      <c r="DJ16" s="2561"/>
      <c r="DK16" s="2561"/>
      <c r="DL16" s="2561"/>
      <c r="DM16" s="2561"/>
      <c r="DN16" s="2561"/>
      <c r="DO16" s="2561"/>
      <c r="DP16" s="2561"/>
      <c r="DQ16" s="2561"/>
      <c r="DR16" s="2561"/>
      <c r="DS16" s="2561"/>
      <c r="DT16" s="2561"/>
      <c r="DU16" s="2561"/>
      <c r="DV16" s="2561"/>
      <c r="DW16" s="2561"/>
      <c r="DX16" s="2561"/>
      <c r="DY16" s="2561"/>
      <c r="DZ16" s="2561"/>
      <c r="EA16" s="2561"/>
      <c r="EB16" s="2561"/>
      <c r="EC16" s="2561"/>
      <c r="ED16" s="2561"/>
      <c r="EE16" s="2561"/>
      <c r="EF16" s="2561"/>
      <c r="EG16" s="2561"/>
      <c r="EH16" s="2561"/>
      <c r="EI16" s="2561"/>
      <c r="EJ16" s="2561"/>
      <c r="EK16" s="2561"/>
      <c r="EL16" s="2561"/>
      <c r="EM16" s="2561"/>
      <c r="EN16" s="2561"/>
      <c r="EO16" s="2561"/>
      <c r="EP16" s="2561"/>
      <c r="EQ16" s="2561">
        <f>EQ8+EQ14</f>
        <v>0</v>
      </c>
      <c r="ER16" s="2561"/>
      <c r="ES16" s="2561"/>
      <c r="ET16" s="2561"/>
      <c r="EU16" s="2561"/>
      <c r="EV16" s="2561"/>
      <c r="EW16" s="2561"/>
      <c r="EX16" s="2561">
        <f>EX7+EX13</f>
        <v>75</v>
      </c>
      <c r="EY16" s="2561"/>
      <c r="EZ16" s="2561"/>
      <c r="FA16" s="2561"/>
      <c r="FB16" s="2561"/>
      <c r="FC16" s="2561"/>
      <c r="FD16" s="2561"/>
      <c r="FE16" s="2561"/>
      <c r="FF16" s="2561"/>
      <c r="FG16" s="2561"/>
      <c r="FH16" s="2561"/>
      <c r="FI16" s="2561"/>
      <c r="FJ16" s="2561"/>
      <c r="FK16" s="2561"/>
      <c r="FL16" s="2561"/>
      <c r="FM16" s="2561"/>
      <c r="FN16" s="2561"/>
      <c r="FO16" s="2561"/>
      <c r="FP16" s="2561"/>
      <c r="FQ16" s="2561"/>
      <c r="FR16" s="2561"/>
      <c r="FS16" s="2561"/>
      <c r="FT16" s="2561"/>
      <c r="FU16" s="2561"/>
      <c r="FV16" s="2561"/>
      <c r="FW16" s="2561"/>
      <c r="FX16" s="2561"/>
      <c r="FY16" s="2561"/>
      <c r="FZ16" s="2561"/>
      <c r="GA16" s="2561"/>
      <c r="GB16" s="2561"/>
      <c r="GC16" s="2561"/>
      <c r="GD16" s="2561"/>
      <c r="GE16" s="2561"/>
      <c r="GF16" s="2561"/>
      <c r="GG16" s="2561"/>
      <c r="GH16" s="2561"/>
      <c r="GI16" s="2561"/>
      <c r="GJ16" s="2561"/>
      <c r="GK16" s="2561"/>
      <c r="GL16" s="2561"/>
      <c r="GM16" s="2561"/>
      <c r="GN16" s="2561"/>
      <c r="GO16" s="2561"/>
      <c r="GP16" s="2561"/>
      <c r="GQ16" s="2561"/>
      <c r="GR16" s="2561"/>
      <c r="GS16" s="2561"/>
      <c r="GT16" s="2561"/>
      <c r="GU16" s="2561"/>
      <c r="GV16" s="2561"/>
      <c r="GW16" s="2561"/>
      <c r="GX16" s="2561"/>
      <c r="GY16" s="2561"/>
      <c r="GZ16" s="2561"/>
      <c r="HA16" s="2561"/>
      <c r="HB16" s="2561"/>
      <c r="HC16" s="2561"/>
      <c r="HD16" s="2561"/>
      <c r="HE16" s="2561"/>
      <c r="HF16" s="2561"/>
      <c r="HG16" s="2561"/>
      <c r="HH16" s="2561"/>
      <c r="HI16" s="2561"/>
      <c r="HJ16" s="2561"/>
      <c r="HK16" s="2561"/>
      <c r="HL16" s="2561"/>
      <c r="HM16" s="2561"/>
      <c r="HN16" s="2561"/>
      <c r="HO16" s="2561"/>
      <c r="HP16" s="2561"/>
      <c r="HQ16" s="2561"/>
      <c r="HR16" s="2561"/>
      <c r="HS16" s="2561"/>
      <c r="HT16" s="2561"/>
      <c r="HU16" s="2561"/>
      <c r="HV16" s="2561"/>
      <c r="HW16" s="2561"/>
      <c r="HX16" s="2561"/>
      <c r="HY16" s="2561"/>
      <c r="HZ16" s="2561"/>
      <c r="IA16" s="2561"/>
      <c r="IB16" s="2561"/>
      <c r="IC16" s="2561"/>
      <c r="ID16" s="2561"/>
      <c r="IE16" s="2561"/>
      <c r="IF16" s="2561"/>
      <c r="IG16" s="2561"/>
      <c r="IH16" s="2561"/>
      <c r="II16" s="2561"/>
      <c r="IJ16" s="2561"/>
      <c r="IK16" s="2561"/>
      <c r="IL16" s="2561"/>
      <c r="IM16" s="2561"/>
      <c r="IN16" s="2561"/>
      <c r="IO16" s="2561"/>
      <c r="IP16" s="2561"/>
      <c r="IQ16" s="2561"/>
      <c r="IR16" s="2561"/>
      <c r="IS16" s="2561"/>
      <c r="IT16" s="2561"/>
      <c r="IU16" s="2561"/>
      <c r="IV16" s="2561"/>
      <c r="IW16" s="2561"/>
      <c r="IX16" s="2561"/>
      <c r="IY16" s="2561"/>
      <c r="IZ16" s="2561"/>
      <c r="JA16" s="2561"/>
      <c r="JB16" s="2561"/>
      <c r="JC16" s="2561"/>
      <c r="JD16" s="2561"/>
      <c r="JE16" s="2561"/>
      <c r="JF16" s="2561">
        <f>JF7+JF13</f>
        <v>252</v>
      </c>
      <c r="JG16" s="2561"/>
      <c r="JH16" s="2561"/>
      <c r="JI16" s="2561"/>
      <c r="JJ16" s="2561"/>
      <c r="JK16" s="2561"/>
      <c r="JL16" s="2561"/>
      <c r="JM16" s="2561"/>
      <c r="JN16" s="2561"/>
      <c r="JO16" s="2561"/>
      <c r="JP16" s="2561"/>
      <c r="JQ16" s="2561"/>
      <c r="JR16" s="351"/>
    </row>
    <row r="17" spans="1:278" x14ac:dyDescent="0.25">
      <c r="A17" s="1367">
        <v>17</v>
      </c>
      <c r="B17" s="1411">
        <f t="shared" si="0"/>
        <v>14963</v>
      </c>
      <c r="C17" s="1435" t="s">
        <v>3888</v>
      </c>
      <c r="D17" s="1361" t="s">
        <v>3887</v>
      </c>
      <c r="E17" s="2561"/>
      <c r="F17" s="2561"/>
      <c r="G17" s="2561"/>
      <c r="H17" s="2561"/>
      <c r="I17" s="2561"/>
      <c r="J17" s="2561"/>
      <c r="K17" s="2561"/>
      <c r="L17" s="2561"/>
      <c r="M17" s="2561"/>
      <c r="N17" s="2561"/>
      <c r="O17" s="2561"/>
      <c r="P17" s="2561"/>
      <c r="Q17" s="2561"/>
      <c r="R17" s="2561"/>
      <c r="S17" s="2561"/>
      <c r="T17" s="2561"/>
      <c r="U17" s="2561"/>
      <c r="V17" s="2561"/>
      <c r="W17" s="2561"/>
      <c r="X17" s="2561"/>
      <c r="Y17" s="2561"/>
      <c r="Z17" s="2561"/>
      <c r="AA17" s="2561"/>
      <c r="AB17" s="2561"/>
      <c r="AC17" s="2561"/>
      <c r="AD17" s="2561"/>
      <c r="AE17" s="2561"/>
      <c r="AF17" s="2561"/>
      <c r="AG17" s="2561"/>
      <c r="AH17" s="2561"/>
      <c r="AI17" s="2561"/>
      <c r="AJ17" s="2561"/>
      <c r="AK17" s="2561"/>
      <c r="AL17" s="2561"/>
      <c r="AM17" s="2561"/>
      <c r="AN17" s="2561"/>
      <c r="AO17" s="2561"/>
      <c r="AP17" s="2561"/>
      <c r="AQ17" s="2561"/>
      <c r="AR17" s="2561"/>
      <c r="AS17" s="2561"/>
      <c r="AT17" s="2561"/>
      <c r="AU17" s="2561"/>
      <c r="AV17" s="2561"/>
      <c r="AW17" s="2561">
        <f>AW9+AW15</f>
        <v>400</v>
      </c>
      <c r="AX17" s="2561"/>
      <c r="AY17" s="2561"/>
      <c r="AZ17" s="2561"/>
      <c r="BA17" s="2561"/>
      <c r="BB17" s="2561">
        <f>BB9+BB15</f>
        <v>0</v>
      </c>
      <c r="BC17" s="2561">
        <f>BC9+BC15</f>
        <v>3562</v>
      </c>
      <c r="BD17" s="2561">
        <f>BD9+BD15</f>
        <v>3562</v>
      </c>
      <c r="BE17" s="2561"/>
      <c r="BF17" s="2561"/>
      <c r="BG17" s="2561"/>
      <c r="BH17" s="2561"/>
      <c r="BI17" s="2561"/>
      <c r="BJ17" s="2561">
        <f>BJ9+BJ15</f>
        <v>0</v>
      </c>
      <c r="BK17" s="2561"/>
      <c r="BL17" s="2561"/>
      <c r="BM17" s="2561"/>
      <c r="BN17" s="2561"/>
      <c r="BO17" s="2561"/>
      <c r="BP17" s="2561"/>
      <c r="BQ17" s="2561"/>
      <c r="BR17" s="2561"/>
      <c r="BS17" s="2561"/>
      <c r="BT17" s="2561"/>
      <c r="BU17" s="2561"/>
      <c r="BV17" s="2561"/>
      <c r="BW17" s="2561"/>
      <c r="BX17" s="2561"/>
      <c r="BY17" s="2561"/>
      <c r="BZ17" s="2561"/>
      <c r="CA17" s="2561"/>
      <c r="CB17" s="2561"/>
      <c r="CC17" s="2561"/>
      <c r="CD17" s="2561"/>
      <c r="CE17" s="2561"/>
      <c r="CF17" s="2561"/>
      <c r="CG17" s="2561"/>
      <c r="CH17" s="2561"/>
      <c r="CI17" s="2561"/>
      <c r="CJ17" s="1636">
        <f>CJ9+CJ15</f>
        <v>411</v>
      </c>
      <c r="CK17" s="2561"/>
      <c r="CL17" s="2561"/>
      <c r="CM17" s="2561"/>
      <c r="CN17" s="2561"/>
      <c r="CO17" s="2561"/>
      <c r="CP17" s="2561"/>
      <c r="CQ17" s="2561"/>
      <c r="CR17" s="2561"/>
      <c r="CS17" s="2561"/>
      <c r="CT17" s="2561">
        <f>CT9+CT15</f>
        <v>1263</v>
      </c>
      <c r="CU17" s="2561"/>
      <c r="CV17" s="2561"/>
      <c r="CW17" s="2561"/>
      <c r="CX17" s="2561"/>
      <c r="CY17" s="2561"/>
      <c r="CZ17" s="2561"/>
      <c r="DA17" s="2561"/>
      <c r="DB17" s="2561"/>
      <c r="DC17" s="2561"/>
      <c r="DD17" s="2561"/>
      <c r="DE17" s="2561"/>
      <c r="DF17" s="2561"/>
      <c r="DG17" s="2561"/>
      <c r="DH17" s="2561"/>
      <c r="DI17" s="1636"/>
      <c r="DJ17" s="2561"/>
      <c r="DK17" s="2561">
        <f>DK9+DK15</f>
        <v>0</v>
      </c>
      <c r="DL17" s="2561">
        <f>DL9+DL15</f>
        <v>0</v>
      </c>
      <c r="DM17" s="2561">
        <f>DM9+DM15</f>
        <v>3720</v>
      </c>
      <c r="DN17" s="2561"/>
      <c r="DO17" s="2561"/>
      <c r="DP17" s="2561"/>
      <c r="DQ17" s="2561"/>
      <c r="DR17" s="2561"/>
      <c r="DS17" s="2561"/>
      <c r="DT17" s="2561"/>
      <c r="DU17" s="2561"/>
      <c r="DV17" s="2561"/>
      <c r="DW17" s="1636">
        <f>DW9+DW15</f>
        <v>6877.54</v>
      </c>
      <c r="DX17" s="2561"/>
      <c r="DY17" s="2561"/>
      <c r="DZ17" s="2561"/>
      <c r="EA17" s="2561"/>
      <c r="EB17" s="2561"/>
      <c r="EC17" s="2561"/>
      <c r="ED17" s="2561"/>
      <c r="EE17" s="2561"/>
      <c r="EF17" s="2561"/>
      <c r="EG17" s="2561"/>
      <c r="EH17" s="2561"/>
      <c r="EI17" s="2561"/>
      <c r="EJ17" s="2561"/>
      <c r="EK17" s="2561"/>
      <c r="EL17" s="2561"/>
      <c r="EM17" s="1636">
        <f>EM9+EM15</f>
        <v>5434</v>
      </c>
      <c r="EN17" s="1636">
        <f>EN9+EN15</f>
        <v>1015</v>
      </c>
      <c r="EO17" s="1636">
        <v>7860</v>
      </c>
      <c r="EP17" s="2561"/>
      <c r="EQ17" s="1636">
        <f>EQ9+EQ15</f>
        <v>9155</v>
      </c>
      <c r="ER17" s="2561"/>
      <c r="ES17" s="2561"/>
      <c r="ET17" s="2561"/>
      <c r="EU17" s="2561"/>
      <c r="EV17" s="1636">
        <f t="shared" ref="EV17" si="1">EV9+EV15</f>
        <v>2951</v>
      </c>
      <c r="EW17" s="2561"/>
      <c r="EX17" s="2561">
        <f>EX9+EX15</f>
        <v>500</v>
      </c>
      <c r="EY17" s="2561"/>
      <c r="EZ17" s="2561">
        <f>EZ9+EZ15</f>
        <v>19765.88</v>
      </c>
      <c r="FA17" s="2561"/>
      <c r="FB17" s="2561"/>
      <c r="FC17" s="1636">
        <f>FC9+FC15</f>
        <v>19352</v>
      </c>
      <c r="FD17" s="2561"/>
      <c r="FE17" s="2561"/>
      <c r="FF17" s="1636">
        <f>FF9+FF15</f>
        <v>22184</v>
      </c>
      <c r="FG17" s="2561"/>
      <c r="FH17" s="2561"/>
      <c r="FI17" s="2561"/>
      <c r="FJ17" s="1636">
        <f>FJ9+FJ15</f>
        <v>49721.77</v>
      </c>
      <c r="FK17" s="1636">
        <f>FK9+FK15</f>
        <v>5244</v>
      </c>
      <c r="FL17" s="2561"/>
      <c r="FM17" s="2561"/>
      <c r="FN17" s="2561"/>
      <c r="FO17" s="1636">
        <f>FO5+FO9+FO15</f>
        <v>5367</v>
      </c>
      <c r="FP17" s="1636">
        <f>FP9+FP15</f>
        <v>14963</v>
      </c>
      <c r="FQ17" s="2561"/>
      <c r="FR17" s="2561"/>
      <c r="FS17" s="2561"/>
      <c r="FT17" s="2561"/>
      <c r="FU17" s="2561"/>
      <c r="FV17" s="2561"/>
      <c r="FW17" s="2561"/>
      <c r="FX17" s="2561"/>
      <c r="FY17" s="2561"/>
      <c r="FZ17" s="2561"/>
      <c r="GA17" s="2561"/>
      <c r="GB17" s="2561"/>
      <c r="GC17" s="2561"/>
      <c r="GD17" s="2561"/>
      <c r="GE17" s="2561"/>
      <c r="GF17" s="2561">
        <f>GF9+GF15</f>
        <v>3562</v>
      </c>
      <c r="GG17" s="2561"/>
      <c r="GH17" s="2561"/>
      <c r="GI17" s="2561"/>
      <c r="GJ17" s="2561"/>
      <c r="GK17" s="2561"/>
      <c r="GL17" s="2561"/>
      <c r="GM17" s="2561"/>
      <c r="GN17" s="2561"/>
      <c r="GO17" s="2561"/>
      <c r="GP17" s="2561"/>
      <c r="GQ17" s="2561"/>
      <c r="GR17" s="2561"/>
      <c r="GS17" s="2561"/>
      <c r="GT17" s="2561"/>
      <c r="GU17" s="2561"/>
      <c r="GV17" s="2561"/>
      <c r="GW17" s="2561"/>
      <c r="GX17" s="2561"/>
      <c r="GY17" s="2561"/>
      <c r="GZ17" s="2561"/>
      <c r="HA17" s="2561"/>
      <c r="HB17" s="2561"/>
      <c r="HC17" s="2561"/>
      <c r="HD17" s="2561"/>
      <c r="HE17" s="2561"/>
      <c r="HF17" s="2561"/>
      <c r="HG17" s="2561">
        <f>HG9+HG15</f>
        <v>19500</v>
      </c>
      <c r="HH17" s="2561">
        <f>HH9+HH15</f>
        <v>7456</v>
      </c>
      <c r="HI17" s="2561"/>
      <c r="HJ17" s="2561"/>
      <c r="HK17" s="2561"/>
      <c r="HL17" s="2561">
        <f>HL9+HL15</f>
        <v>201924</v>
      </c>
      <c r="HM17" s="2561"/>
      <c r="HN17" s="2561"/>
      <c r="HO17" s="2561"/>
      <c r="HP17" s="2561"/>
      <c r="HQ17" s="2561"/>
      <c r="HR17" s="2561"/>
      <c r="HS17" s="2561"/>
      <c r="HT17" s="2561"/>
      <c r="HU17" s="2561"/>
      <c r="HV17" s="2561"/>
      <c r="HW17" s="2561"/>
      <c r="HX17" s="2561"/>
      <c r="HY17" s="2561"/>
      <c r="HZ17" s="2561"/>
      <c r="IA17" s="2561">
        <f>IA9+IA15</f>
        <v>161</v>
      </c>
      <c r="IB17" s="2561">
        <f>IB9+IB15</f>
        <v>0</v>
      </c>
      <c r="IC17" s="2561">
        <f>IC9+IC15</f>
        <v>451</v>
      </c>
      <c r="ID17" s="2561"/>
      <c r="IE17" s="2561"/>
      <c r="IF17" s="2561">
        <f>IF9+IF15</f>
        <v>19048</v>
      </c>
      <c r="IG17" s="2561"/>
      <c r="IH17" s="2561">
        <f>IH9+IH15</f>
        <v>2703</v>
      </c>
      <c r="II17" s="1636">
        <f>II9+II15</f>
        <v>14904</v>
      </c>
      <c r="IJ17" s="2561"/>
      <c r="IK17" s="1636">
        <f t="shared" ref="IK17" si="2">IK9+IK15</f>
        <v>16650</v>
      </c>
      <c r="IL17" s="1636">
        <f>IL9+IL15</f>
        <v>20982</v>
      </c>
      <c r="IM17" s="2561"/>
      <c r="IN17" s="2561"/>
      <c r="IO17" s="2561"/>
      <c r="IP17" s="2561"/>
      <c r="IQ17" s="2561"/>
      <c r="IR17" s="2561"/>
      <c r="IS17" s="2561"/>
      <c r="IT17" s="2561"/>
      <c r="IU17" s="2561"/>
      <c r="IV17" s="2561"/>
      <c r="IW17" s="2561"/>
      <c r="IX17" s="2561"/>
      <c r="IY17" s="2561"/>
      <c r="IZ17" s="2561"/>
      <c r="JA17" s="2561"/>
      <c r="JB17" s="2561"/>
      <c r="JC17" s="2561"/>
      <c r="JD17" s="2561"/>
      <c r="JE17" s="2561">
        <f>JE9+JE15</f>
        <v>0</v>
      </c>
      <c r="JF17" s="2561">
        <f>JF9+JF15</f>
        <v>1263</v>
      </c>
      <c r="JG17" s="2561"/>
      <c r="JH17" s="2561">
        <f>JH9+JH15</f>
        <v>605</v>
      </c>
      <c r="JI17" s="2561"/>
      <c r="JJ17" s="2561">
        <f>JJ9+JJ15</f>
        <v>2415</v>
      </c>
      <c r="JK17" s="2561"/>
      <c r="JL17" s="2561"/>
      <c r="JM17" s="2561"/>
      <c r="JN17" s="2561"/>
      <c r="JO17" s="2561"/>
      <c r="JP17" s="2561"/>
      <c r="JQ17" s="2561">
        <f>JQ9+JQ15</f>
        <v>0</v>
      </c>
      <c r="JR17" s="351"/>
    </row>
    <row r="18" spans="1:278" x14ac:dyDescent="0.25">
      <c r="A18" s="1367">
        <v>18</v>
      </c>
      <c r="B18" s="1411" t="str">
        <f>IF(FOR_IND&gt;1,IF(HLOOKUP(FOR_IND-1,FOR_RANGE,A18)="","",HLOOKUP(FOR_IND-1,FOR_RANGE,A18)),"")</f>
        <v/>
      </c>
      <c r="C18" s="1644" t="s">
        <v>3889</v>
      </c>
      <c r="D18" s="1645" t="s">
        <v>3890</v>
      </c>
      <c r="E18" s="1641"/>
      <c r="F18" s="1641"/>
      <c r="G18" s="1641"/>
      <c r="H18" s="1641"/>
      <c r="I18" s="1641"/>
      <c r="J18" s="1641"/>
      <c r="K18" s="1641"/>
      <c r="L18" s="1641"/>
      <c r="M18" s="1641"/>
      <c r="N18" s="1641"/>
      <c r="O18" s="1641"/>
      <c r="P18" s="1641"/>
      <c r="Q18" s="1641"/>
      <c r="R18" s="1641"/>
      <c r="S18" s="1641"/>
      <c r="T18" s="1641"/>
      <c r="U18" s="1641"/>
      <c r="V18" s="1641"/>
      <c r="W18" s="1641"/>
      <c r="X18" s="1641"/>
      <c r="Y18" s="1641"/>
      <c r="Z18" s="1641"/>
      <c r="AA18" s="1641"/>
      <c r="AB18" s="1641"/>
      <c r="AC18" s="1641"/>
      <c r="AD18" s="1641"/>
      <c r="AE18" s="1641"/>
      <c r="AF18" s="1641"/>
      <c r="AG18" s="1641"/>
      <c r="AH18" s="1641"/>
      <c r="AI18" s="1641"/>
      <c r="AJ18" s="1641"/>
      <c r="AK18" s="1641"/>
      <c r="AL18" s="1641"/>
      <c r="AM18" s="1641"/>
      <c r="AN18" s="1641"/>
      <c r="AO18" s="1641"/>
      <c r="AP18" s="1641"/>
      <c r="AQ18" s="1641"/>
      <c r="AR18" s="1641"/>
      <c r="AS18" s="1641"/>
      <c r="AT18" s="1641"/>
      <c r="AU18" s="1641"/>
      <c r="AV18" s="1641"/>
      <c r="AW18" s="1641"/>
      <c r="AX18" s="1641"/>
      <c r="AY18" s="1641"/>
      <c r="AZ18" s="1641"/>
      <c r="BA18" s="1641"/>
      <c r="BB18" s="1641"/>
      <c r="BC18" s="1641"/>
      <c r="BD18" s="1641"/>
      <c r="BE18" s="1641"/>
      <c r="BF18" s="1641"/>
      <c r="BG18" s="1641"/>
      <c r="BH18" s="1641"/>
      <c r="BI18" s="1641"/>
      <c r="BJ18" s="1641"/>
      <c r="BK18" s="1641"/>
      <c r="BL18" s="1641"/>
      <c r="BM18" s="1641"/>
      <c r="BN18" s="1641"/>
      <c r="BO18" s="1641"/>
      <c r="BP18" s="1641"/>
      <c r="BQ18" s="1641"/>
      <c r="BR18" s="1641"/>
      <c r="BS18" s="1641"/>
      <c r="BT18" s="1641"/>
      <c r="BU18" s="1641"/>
      <c r="BV18" s="1641"/>
      <c r="BW18" s="1641"/>
      <c r="BX18" s="1641"/>
      <c r="BY18" s="1641"/>
      <c r="BZ18" s="1641"/>
      <c r="CA18" s="1641"/>
      <c r="CB18" s="1641"/>
      <c r="CC18" s="1641"/>
      <c r="CD18" s="1641"/>
      <c r="CE18" s="1641"/>
      <c r="CF18" s="1641"/>
      <c r="CG18" s="1641"/>
      <c r="CH18" s="1641"/>
      <c r="CI18" s="1641"/>
      <c r="CJ18" s="1641"/>
      <c r="CK18" s="1641"/>
      <c r="CL18" s="1641"/>
      <c r="CM18" s="1641"/>
      <c r="CN18" s="1641"/>
      <c r="CO18" s="1641"/>
      <c r="CP18" s="1641"/>
      <c r="CQ18" s="1641"/>
      <c r="CR18" s="1641"/>
      <c r="CS18" s="1641"/>
      <c r="CT18" s="1641"/>
      <c r="CU18" s="1641"/>
      <c r="CV18" s="1641"/>
      <c r="CW18" s="1641"/>
      <c r="CX18" s="1641"/>
      <c r="CY18" s="1641"/>
      <c r="CZ18" s="1641"/>
      <c r="DA18" s="1641"/>
      <c r="DB18" s="1641"/>
      <c r="DC18" s="1641"/>
      <c r="DD18" s="1641"/>
      <c r="DE18" s="1641"/>
      <c r="DF18" s="1641"/>
      <c r="DG18" s="1641"/>
      <c r="DH18" s="1641"/>
      <c r="DI18" s="1641"/>
      <c r="DJ18" s="1641"/>
      <c r="DK18" s="1641"/>
      <c r="DL18" s="1641"/>
      <c r="DM18" s="1641"/>
      <c r="DN18" s="1641"/>
      <c r="DO18" s="1641"/>
      <c r="DP18" s="1641"/>
      <c r="DQ18" s="1641"/>
      <c r="DR18" s="1641"/>
      <c r="DS18" s="1641"/>
      <c r="DT18" s="1641"/>
      <c r="DU18" s="1641"/>
      <c r="DV18" s="1641"/>
      <c r="DW18" s="1641"/>
      <c r="DX18" s="1641"/>
      <c r="DY18" s="1641"/>
      <c r="DZ18" s="1641"/>
      <c r="EA18" s="1641"/>
      <c r="EB18" s="1641"/>
      <c r="EC18" s="1641"/>
      <c r="ED18" s="1641"/>
      <c r="EE18" s="1641"/>
      <c r="EF18" s="1641"/>
      <c r="EG18" s="1641"/>
      <c r="EH18" s="1641"/>
      <c r="EI18" s="1641"/>
      <c r="EJ18" s="1641"/>
      <c r="EK18" s="1641"/>
      <c r="EL18" s="1641"/>
      <c r="EM18" s="1641"/>
      <c r="EN18" s="1641"/>
      <c r="EO18" s="1641"/>
      <c r="EP18" s="1641"/>
      <c r="EQ18" s="1641"/>
      <c r="ER18" s="1641"/>
      <c r="ES18" s="1641"/>
      <c r="ET18" s="1641"/>
      <c r="EU18" s="1641"/>
      <c r="EV18" s="1641"/>
      <c r="EW18" s="1641"/>
      <c r="EX18" s="1641"/>
      <c r="EY18" s="1641"/>
      <c r="EZ18" s="1641"/>
      <c r="FA18" s="1641"/>
      <c r="FB18" s="1641"/>
      <c r="FC18" s="1641"/>
      <c r="FD18" s="1641"/>
      <c r="FE18" s="1641"/>
      <c r="FF18" s="1641"/>
      <c r="FG18" s="1641"/>
      <c r="FH18" s="1641"/>
      <c r="FI18" s="1641"/>
      <c r="FJ18" s="1641"/>
      <c r="FK18" s="1641"/>
      <c r="FL18" s="1641"/>
      <c r="FM18" s="1641"/>
      <c r="FN18" s="1641"/>
      <c r="FO18" s="1641"/>
      <c r="FP18" s="1641"/>
      <c r="FQ18" s="1641"/>
      <c r="FR18" s="1641"/>
      <c r="FS18" s="1641"/>
      <c r="FT18" s="1641"/>
      <c r="FU18" s="1641"/>
      <c r="FV18" s="1641"/>
      <c r="FW18" s="1641"/>
      <c r="FX18" s="1641"/>
      <c r="FY18" s="1641"/>
      <c r="FZ18" s="1641"/>
      <c r="GA18" s="1641"/>
      <c r="GB18" s="1641"/>
      <c r="GC18" s="1641"/>
      <c r="GD18" s="1641"/>
      <c r="GE18" s="1641"/>
      <c r="GF18" s="1641"/>
      <c r="GG18" s="1641"/>
      <c r="GH18" s="1641"/>
      <c r="GI18" s="1641"/>
      <c r="GJ18" s="1641"/>
      <c r="GK18" s="1641"/>
      <c r="GL18" s="1641"/>
      <c r="GM18" s="1641"/>
      <c r="GN18" s="1641"/>
      <c r="GO18" s="1641"/>
      <c r="GP18" s="1641"/>
      <c r="GQ18" s="1641"/>
      <c r="GR18" s="1641"/>
      <c r="GS18" s="1641"/>
      <c r="GT18" s="1641"/>
      <c r="GU18" s="1641"/>
      <c r="GV18" s="1641"/>
      <c r="GW18" s="1641"/>
      <c r="GX18" s="1641"/>
      <c r="GY18" s="1641"/>
      <c r="GZ18" s="1641"/>
      <c r="HA18" s="1641"/>
      <c r="HB18" s="1641"/>
      <c r="HC18" s="1641"/>
      <c r="HD18" s="1641"/>
      <c r="HE18" s="1641"/>
      <c r="HF18" s="1641"/>
      <c r="HG18" s="2562">
        <v>18000</v>
      </c>
      <c r="HH18" s="1641"/>
      <c r="HI18" s="1641"/>
      <c r="HJ18" s="1641"/>
      <c r="HK18" s="1641"/>
      <c r="HL18" s="1641"/>
      <c r="HM18" s="1641"/>
      <c r="HN18" s="1641"/>
      <c r="HO18" s="1641"/>
      <c r="HP18" s="1641"/>
      <c r="HQ18" s="1641"/>
      <c r="HR18" s="1641"/>
      <c r="HS18" s="1641"/>
      <c r="HT18" s="1641"/>
      <c r="HU18" s="1641"/>
      <c r="HV18" s="1641"/>
      <c r="HW18" s="1641"/>
      <c r="HX18" s="1641"/>
      <c r="HY18" s="1641"/>
      <c r="HZ18" s="1641"/>
      <c r="IA18" s="1641"/>
      <c r="IB18" s="1641"/>
      <c r="IC18" s="1641"/>
      <c r="ID18" s="1641"/>
      <c r="IE18" s="1641"/>
      <c r="IF18" s="1641"/>
      <c r="IG18" s="1641"/>
      <c r="IH18" s="1641"/>
      <c r="II18" s="1641"/>
      <c r="IJ18" s="1641"/>
      <c r="IK18" s="1636">
        <v>16650</v>
      </c>
      <c r="IL18" s="1641"/>
      <c r="IM18" s="1641"/>
      <c r="IN18" s="1641"/>
      <c r="IO18" s="1641"/>
      <c r="IP18" s="1641"/>
      <c r="IQ18" s="1641"/>
      <c r="IR18" s="1641"/>
      <c r="IS18" s="1641"/>
      <c r="IT18" s="1641"/>
      <c r="IU18" s="1641"/>
      <c r="IV18" s="1641"/>
      <c r="IW18" s="1641"/>
      <c r="IX18" s="1641"/>
      <c r="IY18" s="1641"/>
      <c r="IZ18" s="1641"/>
      <c r="JA18" s="1641"/>
      <c r="JB18" s="1641"/>
      <c r="JC18" s="1641"/>
      <c r="JD18" s="1641"/>
      <c r="JE18" s="1641"/>
      <c r="JF18" s="1641"/>
      <c r="JG18" s="1641"/>
      <c r="JH18" s="2563"/>
      <c r="JI18" s="2563"/>
      <c r="JJ18" s="2563"/>
      <c r="JK18" s="2563"/>
      <c r="JL18" s="2563"/>
      <c r="JM18" s="2563"/>
      <c r="JN18" s="2563"/>
      <c r="JO18" s="2563"/>
      <c r="JP18" s="2563"/>
      <c r="JQ18" s="1640"/>
      <c r="JR18" s="351"/>
    </row>
    <row r="19" spans="1:278" x14ac:dyDescent="0.25">
      <c r="A19" s="1367">
        <v>19</v>
      </c>
      <c r="B19" s="1411" t="str">
        <f>IF(FOR_IND&gt;1,IF(HLOOKUP(FOR_IND-1,FOR_RANGE,A19)="","",HLOOKUP(FOR_IND-1,FOR_RANGE,A19)),"")</f>
        <v/>
      </c>
      <c r="C19" s="1435" t="s">
        <v>3891</v>
      </c>
      <c r="D19" s="1361" t="s">
        <v>3851</v>
      </c>
      <c r="E19" s="1639"/>
      <c r="F19" s="1639"/>
      <c r="G19" s="1639"/>
      <c r="H19" s="1639"/>
      <c r="I19" s="1639"/>
      <c r="J19" s="1639"/>
      <c r="K19" s="1639"/>
      <c r="L19" s="1639"/>
      <c r="M19" s="1639"/>
      <c r="N19" s="1639"/>
      <c r="O19" s="1639"/>
      <c r="P19" s="1639"/>
      <c r="Q19" s="1639"/>
      <c r="R19" s="1639"/>
      <c r="S19" s="1639"/>
      <c r="T19" s="1639"/>
      <c r="U19" s="1639"/>
      <c r="V19" s="1639"/>
      <c r="W19" s="1639"/>
      <c r="X19" s="1639"/>
      <c r="Y19" s="1639"/>
      <c r="Z19" s="1639"/>
      <c r="AA19" s="1639"/>
      <c r="AB19" s="1639"/>
      <c r="AC19" s="1639"/>
      <c r="AD19" s="1639"/>
      <c r="AE19" s="1639"/>
      <c r="AF19" s="1639"/>
      <c r="AG19" s="1639"/>
      <c r="AH19" s="1639"/>
      <c r="AI19" s="1639"/>
      <c r="AJ19" s="1639"/>
      <c r="AK19" s="1639"/>
      <c r="AL19" s="1639"/>
      <c r="AM19" s="1639"/>
      <c r="AN19" s="1639"/>
      <c r="AO19" s="1639"/>
      <c r="AP19" s="1639"/>
      <c r="AQ19" s="1639"/>
      <c r="AR19" s="1639"/>
      <c r="AS19" s="1639"/>
      <c r="AT19" s="1639"/>
      <c r="AU19" s="1639"/>
      <c r="AV19" s="1639"/>
      <c r="AW19" s="1639" t="s">
        <v>3852</v>
      </c>
      <c r="AX19" s="1639"/>
      <c r="AY19" s="1639"/>
      <c r="AZ19" s="1639"/>
      <c r="BA19" s="1639"/>
      <c r="BB19" s="1639"/>
      <c r="BC19" s="1639" t="s">
        <v>3892</v>
      </c>
      <c r="BD19" s="1639" t="s">
        <v>3892</v>
      </c>
      <c r="BE19" s="1639"/>
      <c r="BF19" s="1639"/>
      <c r="BG19" s="1639"/>
      <c r="BH19" s="1639"/>
      <c r="BI19" s="1639"/>
      <c r="BJ19" s="1639"/>
      <c r="BK19" s="1639"/>
      <c r="BL19" s="1639"/>
      <c r="BM19" s="1639"/>
      <c r="BN19" s="1639"/>
      <c r="BO19" s="1639"/>
      <c r="BP19" s="1639"/>
      <c r="BQ19" s="1639"/>
      <c r="BR19" s="1639"/>
      <c r="BS19" s="1639"/>
      <c r="BT19" s="1639"/>
      <c r="BU19" s="1639"/>
      <c r="BV19" s="1639"/>
      <c r="BW19" s="1639"/>
      <c r="BX19" s="1639"/>
      <c r="BY19" s="1639"/>
      <c r="BZ19" s="1639"/>
      <c r="CA19" s="1639"/>
      <c r="CB19" s="1639"/>
      <c r="CC19" s="1639"/>
      <c r="CD19" s="1639"/>
      <c r="CE19" s="1639"/>
      <c r="CF19" s="1639"/>
      <c r="CG19" s="1639"/>
      <c r="CH19" s="1639"/>
      <c r="CI19" s="1639"/>
      <c r="CJ19" s="1638" t="s">
        <v>3893</v>
      </c>
      <c r="CK19" s="1639"/>
      <c r="CL19" s="1639"/>
      <c r="CM19" s="1639"/>
      <c r="CN19" s="1639"/>
      <c r="CO19" s="1639"/>
      <c r="CP19" s="1639"/>
      <c r="CQ19" s="1639"/>
      <c r="CR19" s="1639"/>
      <c r="CS19" s="1639"/>
      <c r="CT19" s="1639" t="s">
        <v>3894</v>
      </c>
      <c r="CU19" s="1639"/>
      <c r="CV19" s="1639"/>
      <c r="CW19" s="1639"/>
      <c r="CX19" s="1639"/>
      <c r="CY19" s="1639"/>
      <c r="CZ19" s="1639"/>
      <c r="DA19" s="1639"/>
      <c r="DB19" s="1639"/>
      <c r="DC19" s="1639"/>
      <c r="DD19" s="1639"/>
      <c r="DE19" s="1639"/>
      <c r="DF19" s="1639"/>
      <c r="DG19" s="1639"/>
      <c r="DH19" s="1639"/>
      <c r="DI19" s="1638"/>
      <c r="DJ19" s="1639"/>
      <c r="DK19" s="1639"/>
      <c r="DL19" s="1639"/>
      <c r="DM19" s="1639" t="s">
        <v>3860</v>
      </c>
      <c r="DN19" s="1639"/>
      <c r="DO19" s="1639"/>
      <c r="DP19" s="1639" t="s">
        <v>3852</v>
      </c>
      <c r="DQ19" s="1639"/>
      <c r="DR19" s="1638" t="s">
        <v>3880</v>
      </c>
      <c r="DS19" s="1639"/>
      <c r="DT19" s="1639" t="s">
        <v>3852</v>
      </c>
      <c r="DU19" s="1639"/>
      <c r="DV19" s="1639"/>
      <c r="DW19" s="1638" t="s">
        <v>3895</v>
      </c>
      <c r="DX19" s="1639"/>
      <c r="DY19" s="1639"/>
      <c r="DZ19" s="1639"/>
      <c r="EA19" s="1639"/>
      <c r="EB19" s="1639"/>
      <c r="EC19" s="1639"/>
      <c r="ED19" s="1639"/>
      <c r="EE19" s="1639"/>
      <c r="EF19" s="1639"/>
      <c r="EG19" s="1639"/>
      <c r="EH19" s="1639"/>
      <c r="EI19" s="1639"/>
      <c r="EJ19" s="1639"/>
      <c r="EK19" s="1639"/>
      <c r="EL19" s="1639"/>
      <c r="EM19" s="1638" t="s">
        <v>3852</v>
      </c>
      <c r="EN19" s="1638" t="s">
        <v>3852</v>
      </c>
      <c r="EO19" s="1638" t="s">
        <v>3852</v>
      </c>
      <c r="EP19" s="1639"/>
      <c r="EQ19" s="1638" t="s">
        <v>3877</v>
      </c>
      <c r="ER19" s="1639"/>
      <c r="ES19" s="1638" t="s">
        <v>3862</v>
      </c>
      <c r="ET19" s="1639"/>
      <c r="EU19" s="1639"/>
      <c r="EV19" s="1638" t="s">
        <v>3852</v>
      </c>
      <c r="EW19" s="1639"/>
      <c r="EX19" s="1639" t="s">
        <v>3896</v>
      </c>
      <c r="EY19" s="1639"/>
      <c r="EZ19" s="1639"/>
      <c r="FA19" s="1639"/>
      <c r="FB19" s="1639" t="s">
        <v>3857</v>
      </c>
      <c r="FC19" s="1638" t="s">
        <v>3852</v>
      </c>
      <c r="FD19" s="1639"/>
      <c r="FE19" s="1639"/>
      <c r="FF19" s="1638" t="s">
        <v>3852</v>
      </c>
      <c r="FG19" s="1639"/>
      <c r="FH19" s="1639"/>
      <c r="FI19" s="1639"/>
      <c r="FJ19" s="1638" t="s">
        <v>3862</v>
      </c>
      <c r="FK19" s="1638" t="s">
        <v>3897</v>
      </c>
      <c r="FL19" s="1639"/>
      <c r="FM19" s="1639"/>
      <c r="FN19" s="1639"/>
      <c r="FO19" s="1638" t="s">
        <v>3898</v>
      </c>
      <c r="FP19" s="1639"/>
      <c r="FQ19" s="1639"/>
      <c r="FR19" s="1639"/>
      <c r="FS19" s="1639"/>
      <c r="FT19" s="1639"/>
      <c r="FU19" s="1639"/>
      <c r="FV19" s="1639"/>
      <c r="FW19" s="1639"/>
      <c r="FX19" s="1639"/>
      <c r="FY19" s="1639"/>
      <c r="FZ19" s="1639"/>
      <c r="GA19" s="1639"/>
      <c r="GB19" s="1639"/>
      <c r="GC19" s="1639"/>
      <c r="GD19" s="1639"/>
      <c r="GE19" s="1639"/>
      <c r="GF19" s="1639" t="s">
        <v>3892</v>
      </c>
      <c r="GG19" s="1639"/>
      <c r="GH19" s="1639"/>
      <c r="GI19" s="1639"/>
      <c r="GJ19" s="1639"/>
      <c r="GK19" s="1639"/>
      <c r="GL19" s="1639"/>
      <c r="GM19" s="1639"/>
      <c r="GN19" s="1639"/>
      <c r="GO19" s="1639"/>
      <c r="GP19" s="1639"/>
      <c r="GQ19" s="1639"/>
      <c r="GR19" s="1639"/>
      <c r="GS19" s="1639"/>
      <c r="GT19" s="1639"/>
      <c r="GU19" s="1639"/>
      <c r="GV19" s="1639"/>
      <c r="GW19" s="1639"/>
      <c r="GX19" s="1639"/>
      <c r="GY19" s="1639"/>
      <c r="GZ19" s="1639"/>
      <c r="HA19" s="1639"/>
      <c r="HB19" s="1639"/>
      <c r="HC19" s="1639"/>
      <c r="HD19" s="1639"/>
      <c r="HE19" s="1639"/>
      <c r="HF19" s="1639"/>
      <c r="HG19" s="1638" t="s">
        <v>3862</v>
      </c>
      <c r="HH19" s="1639" t="s">
        <v>3862</v>
      </c>
      <c r="HI19" s="1639"/>
      <c r="HJ19" s="1639"/>
      <c r="HK19" s="1639"/>
      <c r="HL19" s="1639"/>
      <c r="HM19" s="1639"/>
      <c r="HN19" s="1639"/>
      <c r="HO19" s="1639"/>
      <c r="HP19" s="1639" t="s">
        <v>3896</v>
      </c>
      <c r="HQ19" s="1639"/>
      <c r="HR19" s="1639"/>
      <c r="HS19" s="1639"/>
      <c r="HT19" s="1639"/>
      <c r="HU19" s="1639"/>
      <c r="HV19" s="1639"/>
      <c r="HW19" s="1639"/>
      <c r="HX19" s="1639"/>
      <c r="HY19" s="1639"/>
      <c r="HZ19" s="1639"/>
      <c r="IA19" s="1638" t="s">
        <v>3852</v>
      </c>
      <c r="IB19" s="1639"/>
      <c r="IC19" s="1639"/>
      <c r="ID19" s="1639"/>
      <c r="IE19" s="1639"/>
      <c r="IF19" s="1639" t="s">
        <v>3857</v>
      </c>
      <c r="IG19" s="1639"/>
      <c r="IH19" s="1639" t="s">
        <v>3857</v>
      </c>
      <c r="II19" s="1639"/>
      <c r="IJ19" s="1639"/>
      <c r="IK19" s="1638" t="s">
        <v>3855</v>
      </c>
      <c r="IL19" s="1639"/>
      <c r="IM19" s="1639"/>
      <c r="IN19" s="1639"/>
      <c r="IO19" s="1639"/>
      <c r="IP19" s="1641"/>
      <c r="IQ19" s="1641"/>
      <c r="IR19" s="1641"/>
      <c r="IS19" s="1641"/>
      <c r="IT19" s="1641"/>
      <c r="IU19" s="1641"/>
      <c r="IV19" s="1641"/>
      <c r="IW19" s="1641"/>
      <c r="IX19" s="1639"/>
      <c r="IY19" s="1639"/>
      <c r="IZ19" s="1639"/>
      <c r="JA19" s="1639"/>
      <c r="JB19" s="1639"/>
      <c r="JC19" s="1639"/>
      <c r="JD19" s="1639"/>
      <c r="JE19" s="1639"/>
      <c r="JF19" s="1639" t="s">
        <v>3894</v>
      </c>
      <c r="JG19" s="1639"/>
      <c r="JH19" s="1414" t="s">
        <v>3857</v>
      </c>
      <c r="JI19" s="1637"/>
      <c r="JJ19" s="1637"/>
      <c r="JK19" s="1637"/>
      <c r="JL19" s="1637"/>
      <c r="JM19" s="1637"/>
      <c r="JN19" s="1637"/>
      <c r="JO19" s="1637"/>
      <c r="JP19" s="1414" t="s">
        <v>3896</v>
      </c>
      <c r="JQ19" s="1640"/>
      <c r="JR19" s="351"/>
    </row>
    <row r="20" spans="1:278" x14ac:dyDescent="0.25">
      <c r="A20" s="1367">
        <v>20</v>
      </c>
      <c r="B20" s="1411" t="str">
        <f t="shared" si="0"/>
        <v/>
      </c>
      <c r="C20" s="1435" t="s">
        <v>3899</v>
      </c>
      <c r="D20" s="1361" t="s">
        <v>3867</v>
      </c>
      <c r="E20" s="1641"/>
      <c r="F20" s="1641"/>
      <c r="G20" s="1641"/>
      <c r="H20" s="1641"/>
      <c r="I20" s="1641"/>
      <c r="J20" s="1641"/>
      <c r="K20" s="1641"/>
      <c r="L20" s="1641"/>
      <c r="M20" s="1641"/>
      <c r="N20" s="1641"/>
      <c r="O20" s="1641"/>
      <c r="P20" s="1641"/>
      <c r="Q20" s="1641"/>
      <c r="R20" s="1641"/>
      <c r="S20" s="1641"/>
      <c r="T20" s="1641"/>
      <c r="U20" s="1641"/>
      <c r="V20" s="1641"/>
      <c r="W20" s="1641"/>
      <c r="X20" s="1641"/>
      <c r="Y20" s="1641"/>
      <c r="Z20" s="1641"/>
      <c r="AA20" s="1641"/>
      <c r="AB20" s="1641"/>
      <c r="AC20" s="1641"/>
      <c r="AD20" s="1641"/>
      <c r="AE20" s="1641"/>
      <c r="AF20" s="1641"/>
      <c r="AG20" s="1641"/>
      <c r="AH20" s="1641"/>
      <c r="AI20" s="1641"/>
      <c r="AJ20" s="1641"/>
      <c r="AK20" s="1641"/>
      <c r="AL20" s="1641"/>
      <c r="AM20" s="1641"/>
      <c r="AN20" s="1641"/>
      <c r="AO20" s="1641"/>
      <c r="AP20" s="1641"/>
      <c r="AQ20" s="1641"/>
      <c r="AR20" s="1641"/>
      <c r="AS20" s="1641"/>
      <c r="AT20" s="1641"/>
      <c r="AU20" s="1641"/>
      <c r="AV20" s="1641"/>
      <c r="AW20" s="1641">
        <v>1500</v>
      </c>
      <c r="AX20" s="1641"/>
      <c r="AY20" s="1641"/>
      <c r="AZ20" s="1641"/>
      <c r="BA20" s="1641"/>
      <c r="BB20" s="1641"/>
      <c r="BC20" s="1641">
        <v>2679</v>
      </c>
      <c r="BD20" s="1641">
        <v>2679</v>
      </c>
      <c r="BE20" s="1641"/>
      <c r="BF20" s="1641"/>
      <c r="BG20" s="1641"/>
      <c r="BH20" s="1641"/>
      <c r="BI20" s="1641"/>
      <c r="BJ20" s="1641"/>
      <c r="BK20" s="1641"/>
      <c r="BL20" s="1641"/>
      <c r="BM20" s="1641"/>
      <c r="BN20" s="1641"/>
      <c r="BO20" s="1641"/>
      <c r="BP20" s="1641"/>
      <c r="BQ20" s="1641"/>
      <c r="BR20" s="1641"/>
      <c r="BS20" s="1641"/>
      <c r="BT20" s="1641"/>
      <c r="BU20" s="1641"/>
      <c r="BV20" s="1641"/>
      <c r="BW20" s="1641"/>
      <c r="BX20" s="1641"/>
      <c r="BY20" s="1641"/>
      <c r="BZ20" s="1641"/>
      <c r="CA20" s="1641"/>
      <c r="CB20" s="1641"/>
      <c r="CC20" s="1641"/>
      <c r="CD20" s="1641"/>
      <c r="CE20" s="1641"/>
      <c r="CF20" s="1641"/>
      <c r="CG20" s="1641"/>
      <c r="CH20" s="1641"/>
      <c r="CI20" s="1641"/>
      <c r="CJ20" s="1636">
        <v>479</v>
      </c>
      <c r="CK20" s="1641"/>
      <c r="CL20" s="1641"/>
      <c r="CM20" s="1641"/>
      <c r="CN20" s="1641"/>
      <c r="CO20" s="1641"/>
      <c r="CP20" s="1641"/>
      <c r="CQ20" s="1641"/>
      <c r="CR20" s="1641"/>
      <c r="CS20" s="1641"/>
      <c r="CT20" s="1641">
        <v>422</v>
      </c>
      <c r="CU20" s="1641"/>
      <c r="CV20" s="1641"/>
      <c r="CW20" s="1641"/>
      <c r="CX20" s="1641"/>
      <c r="CY20" s="1641"/>
      <c r="CZ20" s="1641"/>
      <c r="DA20" s="1641"/>
      <c r="DB20" s="1641"/>
      <c r="DC20" s="1641"/>
      <c r="DD20" s="1641"/>
      <c r="DE20" s="1641"/>
      <c r="DF20" s="1641"/>
      <c r="DG20" s="1641"/>
      <c r="DH20" s="1641"/>
      <c r="DI20" s="1636"/>
      <c r="DJ20" s="1641"/>
      <c r="DK20" s="1641"/>
      <c r="DL20" s="1641"/>
      <c r="DM20" s="1641">
        <v>16200</v>
      </c>
      <c r="DN20" s="1641"/>
      <c r="DO20" s="1641"/>
      <c r="DP20" s="1641">
        <v>500</v>
      </c>
      <c r="DQ20" s="1641"/>
      <c r="DR20" s="1636">
        <v>76</v>
      </c>
      <c r="DS20" s="1641"/>
      <c r="DT20" s="1641">
        <v>500</v>
      </c>
      <c r="DU20" s="1641"/>
      <c r="DV20" s="1641"/>
      <c r="DW20" s="1636">
        <v>552.16</v>
      </c>
      <c r="DX20" s="1641"/>
      <c r="DY20" s="1641"/>
      <c r="DZ20" s="1641"/>
      <c r="EA20" s="1641"/>
      <c r="EB20" s="1641"/>
      <c r="EC20" s="1641"/>
      <c r="ED20" s="1641"/>
      <c r="EE20" s="1641"/>
      <c r="EF20" s="1641"/>
      <c r="EG20" s="1641"/>
      <c r="EH20" s="1641"/>
      <c r="EI20" s="1641"/>
      <c r="EJ20" s="1641"/>
      <c r="EK20" s="1641"/>
      <c r="EL20" s="1641"/>
      <c r="EM20" s="1636">
        <v>3805</v>
      </c>
      <c r="EN20" s="1636">
        <v>47</v>
      </c>
      <c r="EO20" s="1636">
        <v>4352.1899999999996</v>
      </c>
      <c r="EP20" s="1641"/>
      <c r="EQ20" s="1636">
        <v>1833</v>
      </c>
      <c r="ER20" s="1641"/>
      <c r="ES20" s="1636">
        <v>44.32</v>
      </c>
      <c r="ET20" s="1641"/>
      <c r="EU20" s="1641"/>
      <c r="EV20" s="1636">
        <v>4359</v>
      </c>
      <c r="EW20" s="1641"/>
      <c r="EX20" s="1641">
        <v>659</v>
      </c>
      <c r="EY20" s="1641"/>
      <c r="EZ20" s="1641"/>
      <c r="FA20" s="1641"/>
      <c r="FB20" s="1641">
        <v>129793</v>
      </c>
      <c r="FC20" s="1636">
        <v>2500</v>
      </c>
      <c r="FD20" s="1641"/>
      <c r="FE20" s="1641"/>
      <c r="FF20" s="1636">
        <v>30886</v>
      </c>
      <c r="FG20" s="1641"/>
      <c r="FH20" s="1641"/>
      <c r="FI20" s="1641"/>
      <c r="FJ20" s="1636">
        <v>5414</v>
      </c>
      <c r="FK20" s="1636">
        <v>108</v>
      </c>
      <c r="FL20" s="1641"/>
      <c r="FM20" s="1641"/>
      <c r="FN20" s="1641"/>
      <c r="FO20" s="1636">
        <v>606</v>
      </c>
      <c r="FP20" s="1641"/>
      <c r="FQ20" s="1641"/>
      <c r="FR20" s="1641"/>
      <c r="FS20" s="1641"/>
      <c r="FT20" s="1641"/>
      <c r="FU20" s="1641"/>
      <c r="FV20" s="1641"/>
      <c r="FW20" s="1641"/>
      <c r="FX20" s="1641"/>
      <c r="FY20" s="1641"/>
      <c r="FZ20" s="1641"/>
      <c r="GA20" s="1641"/>
      <c r="GB20" s="1641"/>
      <c r="GC20" s="1641"/>
      <c r="GD20" s="1641"/>
      <c r="GE20" s="1641"/>
      <c r="GF20" s="1641">
        <v>2679</v>
      </c>
      <c r="GG20" s="1641"/>
      <c r="GH20" s="1641"/>
      <c r="GI20" s="1641"/>
      <c r="GJ20" s="1641"/>
      <c r="GK20" s="1641"/>
      <c r="GL20" s="1641"/>
      <c r="GM20" s="1641"/>
      <c r="GN20" s="1641"/>
      <c r="GO20" s="1641"/>
      <c r="GP20" s="1641"/>
      <c r="GQ20" s="1641"/>
      <c r="GR20" s="1641"/>
      <c r="GS20" s="1641"/>
      <c r="GT20" s="1641"/>
      <c r="GU20" s="1641"/>
      <c r="GV20" s="1641"/>
      <c r="GW20" s="1641"/>
      <c r="GX20" s="1641"/>
      <c r="GY20" s="1641"/>
      <c r="GZ20" s="1641"/>
      <c r="HA20" s="1641"/>
      <c r="HB20" s="1641"/>
      <c r="HC20" s="1641"/>
      <c r="HD20" s="1641"/>
      <c r="HE20" s="1641"/>
      <c r="HF20" s="1641"/>
      <c r="HG20" s="1636">
        <v>500</v>
      </c>
      <c r="HH20" s="1641">
        <v>500</v>
      </c>
      <c r="HI20" s="1641"/>
      <c r="HJ20" s="1641"/>
      <c r="HK20" s="1641"/>
      <c r="HL20" s="1641"/>
      <c r="HM20" s="1641"/>
      <c r="HN20" s="1641"/>
      <c r="HO20" s="1641"/>
      <c r="HP20" s="1641">
        <v>659</v>
      </c>
      <c r="HQ20" s="1641"/>
      <c r="HR20" s="1641"/>
      <c r="HS20" s="1641"/>
      <c r="HT20" s="1641"/>
      <c r="HU20" s="1641"/>
      <c r="HV20" s="1641"/>
      <c r="HW20" s="1641"/>
      <c r="HX20" s="1641"/>
      <c r="HY20" s="1641"/>
      <c r="HZ20" s="1641"/>
      <c r="IA20" s="1636">
        <v>713</v>
      </c>
      <c r="IB20" s="1641"/>
      <c r="IC20" s="1641"/>
      <c r="ID20" s="1641"/>
      <c r="IE20" s="1641"/>
      <c r="IF20" s="1636">
        <v>22462</v>
      </c>
      <c r="IG20" s="1641"/>
      <c r="IH20" s="1641">
        <v>6332</v>
      </c>
      <c r="II20" s="1641"/>
      <c r="IJ20" s="1641"/>
      <c r="IK20" s="1636">
        <v>26115</v>
      </c>
      <c r="IL20" s="1641"/>
      <c r="IM20" s="1641"/>
      <c r="IN20" s="1641"/>
      <c r="IO20" s="1641"/>
      <c r="IP20" s="1641"/>
      <c r="IQ20" s="1641"/>
      <c r="IR20" s="1641"/>
      <c r="IS20" s="1641"/>
      <c r="IT20" s="1641"/>
      <c r="IU20" s="1641"/>
      <c r="IV20" s="1641"/>
      <c r="IW20" s="1641"/>
      <c r="IX20" s="1641"/>
      <c r="IY20" s="1641"/>
      <c r="IZ20" s="1641"/>
      <c r="JA20" s="1641"/>
      <c r="JB20" s="1641"/>
      <c r="JC20" s="1641"/>
      <c r="JD20" s="1641"/>
      <c r="JE20" s="1641"/>
      <c r="JF20" s="1641">
        <v>422</v>
      </c>
      <c r="JG20" s="1641"/>
      <c r="JH20" s="1637">
        <v>244</v>
      </c>
      <c r="JI20" s="1637"/>
      <c r="JJ20" s="1637"/>
      <c r="JK20" s="1637"/>
      <c r="JL20" s="1637"/>
      <c r="JM20" s="1637"/>
      <c r="JN20" s="1637"/>
      <c r="JO20" s="1637"/>
      <c r="JP20" s="1637">
        <v>17997</v>
      </c>
      <c r="JQ20" s="1640"/>
      <c r="JR20" s="351"/>
    </row>
    <row r="21" spans="1:278" x14ac:dyDescent="0.25">
      <c r="A21" s="1367">
        <v>21</v>
      </c>
      <c r="B21" s="1411" t="str">
        <f t="shared" si="0"/>
        <v/>
      </c>
      <c r="C21" s="1435" t="s">
        <v>3900</v>
      </c>
      <c r="D21" s="1361" t="s">
        <v>3869</v>
      </c>
      <c r="E21" s="1641"/>
      <c r="F21" s="1641"/>
      <c r="G21" s="1641"/>
      <c r="H21" s="1641"/>
      <c r="I21" s="1641"/>
      <c r="J21" s="1641"/>
      <c r="K21" s="1641"/>
      <c r="L21" s="1641"/>
      <c r="M21" s="1641"/>
      <c r="N21" s="1641"/>
      <c r="O21" s="1641"/>
      <c r="P21" s="1641"/>
      <c r="Q21" s="1641"/>
      <c r="R21" s="1641"/>
      <c r="S21" s="1641"/>
      <c r="T21" s="1641"/>
      <c r="U21" s="1641"/>
      <c r="V21" s="1641"/>
      <c r="W21" s="1641"/>
      <c r="X21" s="1641"/>
      <c r="Y21" s="1641"/>
      <c r="Z21" s="1641"/>
      <c r="AA21" s="1641"/>
      <c r="AB21" s="1641"/>
      <c r="AC21" s="1641"/>
      <c r="AD21" s="1641"/>
      <c r="AE21" s="1641"/>
      <c r="AF21" s="1641"/>
      <c r="AG21" s="1641"/>
      <c r="AH21" s="1641"/>
      <c r="AI21" s="1641"/>
      <c r="AJ21" s="1641"/>
      <c r="AK21" s="1641"/>
      <c r="AL21" s="1641"/>
      <c r="AM21" s="1641"/>
      <c r="AN21" s="1641"/>
      <c r="AO21" s="1641"/>
      <c r="AP21" s="1641"/>
      <c r="AQ21" s="1641"/>
      <c r="AR21" s="1641"/>
      <c r="AS21" s="1641"/>
      <c r="AT21" s="1641"/>
      <c r="AU21" s="1641"/>
      <c r="AV21" s="1641"/>
      <c r="AW21" s="1641">
        <v>225</v>
      </c>
      <c r="AX21" s="1641"/>
      <c r="AY21" s="1641"/>
      <c r="AZ21" s="1641"/>
      <c r="BA21" s="1641"/>
      <c r="BB21" s="1641"/>
      <c r="BC21" s="1641">
        <v>401</v>
      </c>
      <c r="BD21" s="1641">
        <v>401</v>
      </c>
      <c r="BE21" s="1641"/>
      <c r="BF21" s="1641"/>
      <c r="BG21" s="1641"/>
      <c r="BH21" s="1641"/>
      <c r="BI21" s="1641"/>
      <c r="BJ21" s="1641"/>
      <c r="BK21" s="1641"/>
      <c r="BL21" s="1641"/>
      <c r="BM21" s="1641"/>
      <c r="BN21" s="1641"/>
      <c r="BO21" s="1641"/>
      <c r="BP21" s="1641"/>
      <c r="BQ21" s="1641"/>
      <c r="BR21" s="1641"/>
      <c r="BS21" s="1641"/>
      <c r="BT21" s="1641"/>
      <c r="BU21" s="1641"/>
      <c r="BV21" s="1641"/>
      <c r="BW21" s="1641"/>
      <c r="BX21" s="1641"/>
      <c r="BY21" s="1641"/>
      <c r="BZ21" s="1641"/>
      <c r="CA21" s="1641"/>
      <c r="CB21" s="1641"/>
      <c r="CC21" s="1641"/>
      <c r="CD21" s="1641"/>
      <c r="CE21" s="1641"/>
      <c r="CF21" s="1641"/>
      <c r="CG21" s="1641"/>
      <c r="CH21" s="1641"/>
      <c r="CI21" s="1641"/>
      <c r="CJ21" s="1636">
        <v>72</v>
      </c>
      <c r="CK21" s="1641"/>
      <c r="CL21" s="1641"/>
      <c r="CM21" s="1641"/>
      <c r="CN21" s="1641"/>
      <c r="CO21" s="1641"/>
      <c r="CP21" s="1641"/>
      <c r="CQ21" s="1641"/>
      <c r="CR21" s="1641"/>
      <c r="CS21" s="1641"/>
      <c r="CT21" s="1641">
        <v>42</v>
      </c>
      <c r="CU21" s="1641"/>
      <c r="CV21" s="1641"/>
      <c r="CW21" s="1641"/>
      <c r="CX21" s="1641"/>
      <c r="CY21" s="1641"/>
      <c r="CZ21" s="1641"/>
      <c r="DA21" s="1641"/>
      <c r="DB21" s="1641"/>
      <c r="DC21" s="1641"/>
      <c r="DD21" s="1641"/>
      <c r="DE21" s="1641"/>
      <c r="DF21" s="1641"/>
      <c r="DG21" s="1641"/>
      <c r="DH21" s="1641"/>
      <c r="DI21" s="1636"/>
      <c r="DJ21" s="1641"/>
      <c r="DK21" s="1641"/>
      <c r="DL21" s="1641"/>
      <c r="DM21" s="1641">
        <v>2430</v>
      </c>
      <c r="DN21" s="1641"/>
      <c r="DO21" s="1641"/>
      <c r="DP21" s="1641">
        <v>75</v>
      </c>
      <c r="DQ21" s="1641"/>
      <c r="DR21" s="1636">
        <v>12</v>
      </c>
      <c r="DS21" s="1641"/>
      <c r="DT21" s="1641">
        <v>75</v>
      </c>
      <c r="DU21" s="1641"/>
      <c r="DV21" s="1641"/>
      <c r="DW21" s="1641"/>
      <c r="DX21" s="1641"/>
      <c r="DY21" s="1641"/>
      <c r="DZ21" s="1641"/>
      <c r="EA21" s="1641"/>
      <c r="EB21" s="1641"/>
      <c r="EC21" s="1641"/>
      <c r="ED21" s="1641"/>
      <c r="EE21" s="1641"/>
      <c r="EF21" s="1641"/>
      <c r="EG21" s="1641"/>
      <c r="EH21" s="1641"/>
      <c r="EI21" s="1641"/>
      <c r="EJ21" s="1641"/>
      <c r="EK21" s="1641"/>
      <c r="EL21" s="1641"/>
      <c r="EM21" s="1636">
        <v>571</v>
      </c>
      <c r="EN21" s="1636">
        <v>8</v>
      </c>
      <c r="EO21" s="1636"/>
      <c r="EP21" s="1641"/>
      <c r="EQ21" s="1636">
        <v>183</v>
      </c>
      <c r="ER21" s="1641"/>
      <c r="ES21" s="1641"/>
      <c r="ET21" s="1641"/>
      <c r="EU21" s="1641"/>
      <c r="EV21" s="1636">
        <v>960</v>
      </c>
      <c r="EW21" s="1641"/>
      <c r="EX21" s="1641">
        <v>98.85</v>
      </c>
      <c r="EY21" s="1641"/>
      <c r="EZ21" s="1641"/>
      <c r="FA21" s="1641"/>
      <c r="FB21" s="1641"/>
      <c r="FC21" s="1636">
        <v>305</v>
      </c>
      <c r="FD21" s="1641"/>
      <c r="FE21" s="1641"/>
      <c r="FF21" s="1636">
        <v>4121</v>
      </c>
      <c r="FG21" s="1641"/>
      <c r="FH21" s="1641"/>
      <c r="FI21" s="1641"/>
      <c r="FJ21" s="1641"/>
      <c r="FK21" s="1641"/>
      <c r="FL21" s="1641"/>
      <c r="FM21" s="1641"/>
      <c r="FN21" s="1641"/>
      <c r="FO21" s="1641"/>
      <c r="FP21" s="1641"/>
      <c r="FQ21" s="1641"/>
      <c r="FR21" s="1641"/>
      <c r="FS21" s="1641"/>
      <c r="FT21" s="1641"/>
      <c r="FU21" s="1641"/>
      <c r="FV21" s="1641"/>
      <c r="FW21" s="1641"/>
      <c r="FX21" s="1641"/>
      <c r="FY21" s="1641"/>
      <c r="FZ21" s="1641"/>
      <c r="GA21" s="1641"/>
      <c r="GB21" s="1641"/>
      <c r="GC21" s="1641"/>
      <c r="GD21" s="1641"/>
      <c r="GE21" s="1641"/>
      <c r="GF21" s="1641">
        <v>401</v>
      </c>
      <c r="GG21" s="1641"/>
      <c r="GH21" s="1641"/>
      <c r="GI21" s="1641"/>
      <c r="GJ21" s="1641"/>
      <c r="GK21" s="1641"/>
      <c r="GL21" s="1641"/>
      <c r="GM21" s="1641"/>
      <c r="GN21" s="1641"/>
      <c r="GO21" s="1641"/>
      <c r="GP21" s="1641"/>
      <c r="GQ21" s="1641"/>
      <c r="GR21" s="1641"/>
      <c r="GS21" s="1641"/>
      <c r="GT21" s="1641"/>
      <c r="GU21" s="1641"/>
      <c r="GV21" s="1641"/>
      <c r="GW21" s="1641"/>
      <c r="GX21" s="1641"/>
      <c r="GY21" s="1641"/>
      <c r="GZ21" s="1641"/>
      <c r="HA21" s="1641"/>
      <c r="HB21" s="1641"/>
      <c r="HC21" s="1641"/>
      <c r="HD21" s="1641"/>
      <c r="HE21" s="1641"/>
      <c r="HF21" s="1641"/>
      <c r="HG21" s="1636">
        <v>75</v>
      </c>
      <c r="HH21" s="1641">
        <v>75</v>
      </c>
      <c r="HI21" s="1641"/>
      <c r="HJ21" s="1641"/>
      <c r="HK21" s="1641"/>
      <c r="HL21" s="1641"/>
      <c r="HM21" s="1641"/>
      <c r="HN21" s="1641"/>
      <c r="HO21" s="1641"/>
      <c r="HP21" s="1641">
        <v>98.85</v>
      </c>
      <c r="HQ21" s="1641"/>
      <c r="HR21" s="1641"/>
      <c r="HS21" s="1641"/>
      <c r="HT21" s="1641"/>
      <c r="HU21" s="1641"/>
      <c r="HV21" s="1641"/>
      <c r="HW21" s="1641"/>
      <c r="HX21" s="1641"/>
      <c r="HY21" s="1641"/>
      <c r="HZ21" s="1641"/>
      <c r="IA21" s="1641"/>
      <c r="IB21" s="1641"/>
      <c r="IC21" s="1641"/>
      <c r="ID21" s="1641"/>
      <c r="IE21" s="1641"/>
      <c r="IF21" s="1641"/>
      <c r="IG21" s="1641"/>
      <c r="IH21" s="1641"/>
      <c r="II21" s="1641"/>
      <c r="IJ21" s="1641"/>
      <c r="IK21" s="1636">
        <v>7051</v>
      </c>
      <c r="IL21" s="1641"/>
      <c r="IM21" s="1641"/>
      <c r="IN21" s="1641"/>
      <c r="IO21" s="1641"/>
      <c r="IP21" s="1641"/>
      <c r="IQ21" s="1641"/>
      <c r="IR21" s="1641"/>
      <c r="IS21" s="1641"/>
      <c r="IT21" s="1641"/>
      <c r="IU21" s="1641"/>
      <c r="IV21" s="1641"/>
      <c r="IW21" s="1641"/>
      <c r="IX21" s="1641"/>
      <c r="IY21" s="1641"/>
      <c r="IZ21" s="1641"/>
      <c r="JA21" s="1641"/>
      <c r="JB21" s="1641"/>
      <c r="JC21" s="1641"/>
      <c r="JD21" s="1641"/>
      <c r="JE21" s="1641"/>
      <c r="JF21" s="1641">
        <v>42</v>
      </c>
      <c r="JG21" s="1641"/>
      <c r="JH21" s="1637"/>
      <c r="JI21" s="1637"/>
      <c r="JJ21" s="1637"/>
      <c r="JK21" s="1637"/>
      <c r="JL21" s="1637"/>
      <c r="JM21" s="1637"/>
      <c r="JN21" s="1637"/>
      <c r="JO21" s="1637"/>
      <c r="JP21" s="1637">
        <v>4499.25</v>
      </c>
      <c r="JQ21" s="1415"/>
      <c r="JR21" s="351"/>
    </row>
    <row r="22" spans="1:278" x14ac:dyDescent="0.25">
      <c r="A22" s="1367">
        <v>22</v>
      </c>
      <c r="B22" s="1411" t="str">
        <f t="shared" si="0"/>
        <v/>
      </c>
      <c r="C22" s="1435" t="s">
        <v>3901</v>
      </c>
      <c r="D22" s="1361" t="s">
        <v>3871</v>
      </c>
      <c r="E22" s="1641"/>
      <c r="F22" s="1641"/>
      <c r="G22" s="1641"/>
      <c r="H22" s="1641"/>
      <c r="I22" s="1641"/>
      <c r="J22" s="1641"/>
      <c r="K22" s="1641"/>
      <c r="L22" s="1641"/>
      <c r="M22" s="1641"/>
      <c r="N22" s="1641"/>
      <c r="O22" s="1641"/>
      <c r="P22" s="1641"/>
      <c r="Q22" s="1641"/>
      <c r="R22" s="1641"/>
      <c r="S22" s="1641"/>
      <c r="T22" s="1641"/>
      <c r="U22" s="1641"/>
      <c r="V22" s="1641"/>
      <c r="W22" s="1641"/>
      <c r="X22" s="1641"/>
      <c r="Y22" s="1641"/>
      <c r="Z22" s="1641"/>
      <c r="AA22" s="1641"/>
      <c r="AB22" s="1641"/>
      <c r="AC22" s="1641"/>
      <c r="AD22" s="1641"/>
      <c r="AE22" s="1641"/>
      <c r="AF22" s="1641"/>
      <c r="AG22" s="1641"/>
      <c r="AH22" s="1641"/>
      <c r="AI22" s="1641"/>
      <c r="AJ22" s="1641"/>
      <c r="AK22" s="1641"/>
      <c r="AL22" s="1641"/>
      <c r="AM22" s="1641"/>
      <c r="AN22" s="1641"/>
      <c r="AO22" s="1641"/>
      <c r="AP22" s="1641"/>
      <c r="AQ22" s="1641"/>
      <c r="AR22" s="1641"/>
      <c r="AS22" s="1641"/>
      <c r="AT22" s="1641"/>
      <c r="AU22" s="1641"/>
      <c r="AV22" s="1641"/>
      <c r="AW22" s="1641"/>
      <c r="AX22" s="1641"/>
      <c r="AY22" s="1641"/>
      <c r="AZ22" s="1641"/>
      <c r="BA22" s="1641"/>
      <c r="BB22" s="1641"/>
      <c r="BC22" s="1641"/>
      <c r="BD22" s="1641"/>
      <c r="BE22" s="1641"/>
      <c r="BF22" s="1641"/>
      <c r="BG22" s="1641"/>
      <c r="BH22" s="1641"/>
      <c r="BI22" s="1641"/>
      <c r="BJ22" s="1641"/>
      <c r="BK22" s="1641"/>
      <c r="BL22" s="1641"/>
      <c r="BM22" s="1641"/>
      <c r="BN22" s="1641"/>
      <c r="BO22" s="1641"/>
      <c r="BP22" s="1641"/>
      <c r="BQ22" s="1641"/>
      <c r="BR22" s="1641"/>
      <c r="BS22" s="1641"/>
      <c r="BT22" s="1641"/>
      <c r="BU22" s="1641"/>
      <c r="BV22" s="1641"/>
      <c r="BW22" s="1641"/>
      <c r="BX22" s="1641"/>
      <c r="BY22" s="1641"/>
      <c r="BZ22" s="1641"/>
      <c r="CA22" s="1641"/>
      <c r="CB22" s="1641"/>
      <c r="CC22" s="1641"/>
      <c r="CD22" s="1641"/>
      <c r="CE22" s="1641"/>
      <c r="CF22" s="1641"/>
      <c r="CG22" s="1641"/>
      <c r="CH22" s="1641"/>
      <c r="CI22" s="1641"/>
      <c r="CJ22" s="1641"/>
      <c r="CK22" s="1641"/>
      <c r="CL22" s="1641"/>
      <c r="CM22" s="1641"/>
      <c r="CN22" s="1641"/>
      <c r="CO22" s="1641"/>
      <c r="CP22" s="1641"/>
      <c r="CQ22" s="1641"/>
      <c r="CR22" s="1641"/>
      <c r="CS22" s="1641"/>
      <c r="CT22" s="1641"/>
      <c r="CU22" s="1641"/>
      <c r="CV22" s="1641"/>
      <c r="CW22" s="1641"/>
      <c r="CX22" s="1641"/>
      <c r="CY22" s="1641"/>
      <c r="CZ22" s="1641"/>
      <c r="DA22" s="1641"/>
      <c r="DB22" s="1641"/>
      <c r="DC22" s="1641"/>
      <c r="DD22" s="1641"/>
      <c r="DE22" s="1641"/>
      <c r="DF22" s="1641"/>
      <c r="DG22" s="1641"/>
      <c r="DH22" s="1641"/>
      <c r="DI22" s="1641"/>
      <c r="DJ22" s="1641"/>
      <c r="DK22" s="1641"/>
      <c r="DL22" s="1641"/>
      <c r="DM22" s="1641"/>
      <c r="DN22" s="1641"/>
      <c r="DO22" s="1641"/>
      <c r="DP22" s="1641"/>
      <c r="DQ22" s="1641"/>
      <c r="DR22" s="1641"/>
      <c r="DS22" s="1641"/>
      <c r="DT22" s="1641"/>
      <c r="DU22" s="1641"/>
      <c r="DV22" s="1641"/>
      <c r="DW22" s="1641"/>
      <c r="DX22" s="1641"/>
      <c r="DY22" s="1641"/>
      <c r="DZ22" s="1641"/>
      <c r="EA22" s="1641"/>
      <c r="EB22" s="1641"/>
      <c r="EC22" s="1641"/>
      <c r="ED22" s="1641"/>
      <c r="EE22" s="1641"/>
      <c r="EF22" s="1641"/>
      <c r="EG22" s="1641"/>
      <c r="EH22" s="1641"/>
      <c r="EI22" s="1641"/>
      <c r="EJ22" s="1641"/>
      <c r="EK22" s="1641"/>
      <c r="EL22" s="1641"/>
      <c r="EM22" s="1641"/>
      <c r="EN22" s="1641"/>
      <c r="EO22" s="1641"/>
      <c r="EP22" s="1641"/>
      <c r="EQ22" s="1641"/>
      <c r="ER22" s="1641"/>
      <c r="ES22" s="1641"/>
      <c r="ET22" s="1641"/>
      <c r="EU22" s="1641"/>
      <c r="EV22" s="1641"/>
      <c r="EW22" s="1641"/>
      <c r="EX22" s="1641"/>
      <c r="EY22" s="1641"/>
      <c r="EZ22" s="1641"/>
      <c r="FA22" s="1641"/>
      <c r="FB22" s="1641"/>
      <c r="FC22" s="1641"/>
      <c r="FD22" s="1641"/>
      <c r="FE22" s="1641"/>
      <c r="FF22" s="1641"/>
      <c r="FG22" s="1641"/>
      <c r="FH22" s="1641"/>
      <c r="FI22" s="1641"/>
      <c r="FJ22" s="1641"/>
      <c r="FK22" s="1641"/>
      <c r="FL22" s="1641"/>
      <c r="FM22" s="1641"/>
      <c r="FN22" s="1641"/>
      <c r="FO22" s="1641"/>
      <c r="FP22" s="1641"/>
      <c r="FQ22" s="1641"/>
      <c r="FR22" s="1641"/>
      <c r="FS22" s="1641"/>
      <c r="FT22" s="1641"/>
      <c r="FU22" s="1641"/>
      <c r="FV22" s="1641"/>
      <c r="FW22" s="1641"/>
      <c r="FX22" s="1641"/>
      <c r="FY22" s="1641"/>
      <c r="FZ22" s="1641"/>
      <c r="GA22" s="1641"/>
      <c r="GB22" s="1641"/>
      <c r="GC22" s="1641"/>
      <c r="GD22" s="1641"/>
      <c r="GE22" s="1641"/>
      <c r="GF22" s="1641"/>
      <c r="GG22" s="1641"/>
      <c r="GH22" s="1641"/>
      <c r="GI22" s="1641"/>
      <c r="GJ22" s="1641"/>
      <c r="GK22" s="1641"/>
      <c r="GL22" s="1641"/>
      <c r="GM22" s="1641"/>
      <c r="GN22" s="1641"/>
      <c r="GO22" s="1641"/>
      <c r="GP22" s="1641"/>
      <c r="GQ22" s="1641"/>
      <c r="GR22" s="1641"/>
      <c r="GS22" s="1641"/>
      <c r="GT22" s="1641"/>
      <c r="GU22" s="1641"/>
      <c r="GV22" s="1641"/>
      <c r="GW22" s="1641"/>
      <c r="GX22" s="1641"/>
      <c r="GY22" s="1641"/>
      <c r="GZ22" s="1641"/>
      <c r="HA22" s="1641"/>
      <c r="HB22" s="1641"/>
      <c r="HC22" s="1641"/>
      <c r="HD22" s="1641"/>
      <c r="HE22" s="1641"/>
      <c r="HF22" s="1641"/>
      <c r="HG22" s="1641"/>
      <c r="HH22" s="1641"/>
      <c r="HI22" s="1641"/>
      <c r="HJ22" s="1641"/>
      <c r="HK22" s="1641"/>
      <c r="HL22" s="1641"/>
      <c r="HM22" s="1641"/>
      <c r="HN22" s="1641"/>
      <c r="HO22" s="1641"/>
      <c r="HP22" s="1641"/>
      <c r="HQ22" s="1641"/>
      <c r="HR22" s="1641"/>
      <c r="HS22" s="1641"/>
      <c r="HT22" s="1641"/>
      <c r="HU22" s="1641"/>
      <c r="HV22" s="1641"/>
      <c r="HW22" s="1641"/>
      <c r="HX22" s="1641"/>
      <c r="HY22" s="1641"/>
      <c r="HZ22" s="1641"/>
      <c r="IA22" s="1641"/>
      <c r="IB22" s="1641"/>
      <c r="IC22" s="1641"/>
      <c r="ID22" s="1641"/>
      <c r="IE22" s="1641"/>
      <c r="IF22" s="1641"/>
      <c r="IG22" s="1641"/>
      <c r="IH22" s="1641"/>
      <c r="II22" s="1641"/>
      <c r="IJ22" s="1641"/>
      <c r="IK22" s="1641"/>
      <c r="IL22" s="1641"/>
      <c r="IM22" s="1641"/>
      <c r="IN22" s="1641"/>
      <c r="IO22" s="1641"/>
      <c r="IP22" s="1641"/>
      <c r="IQ22" s="1641"/>
      <c r="IR22" s="1641"/>
      <c r="IS22" s="1641"/>
      <c r="IT22" s="1641"/>
      <c r="IU22" s="1641"/>
      <c r="IV22" s="1641"/>
      <c r="IW22" s="1641"/>
      <c r="IX22" s="1641"/>
      <c r="IY22" s="1641"/>
      <c r="IZ22" s="1641"/>
      <c r="JA22" s="1641"/>
      <c r="JB22" s="1641"/>
      <c r="JC22" s="1641"/>
      <c r="JD22" s="1641"/>
      <c r="JE22" s="1641"/>
      <c r="JF22" s="1641"/>
      <c r="JG22" s="1641"/>
      <c r="JH22" s="1637"/>
      <c r="JI22" s="1637"/>
      <c r="JJ22" s="1637"/>
      <c r="JK22" s="1637"/>
      <c r="JL22" s="1637"/>
      <c r="JM22" s="1637"/>
      <c r="JN22" s="1637"/>
      <c r="JO22" s="1637"/>
      <c r="JP22" s="1637"/>
      <c r="JQ22" s="1643"/>
      <c r="JR22" s="351"/>
    </row>
    <row r="23" spans="1:278" x14ac:dyDescent="0.25">
      <c r="A23" s="1367">
        <v>23</v>
      </c>
      <c r="B23" s="1411" t="str">
        <f t="shared" si="0"/>
        <v/>
      </c>
      <c r="C23" s="1435" t="s">
        <v>3902</v>
      </c>
      <c r="D23" s="1361" t="s">
        <v>3873</v>
      </c>
      <c r="E23" s="1639"/>
      <c r="F23" s="1639"/>
      <c r="G23" s="1639"/>
      <c r="H23" s="1639"/>
      <c r="I23" s="1639"/>
      <c r="J23" s="1639"/>
      <c r="K23" s="1639"/>
      <c r="L23" s="1639"/>
      <c r="M23" s="1639"/>
      <c r="N23" s="1639"/>
      <c r="O23" s="1639"/>
      <c r="P23" s="1639"/>
      <c r="Q23" s="1639"/>
      <c r="R23" s="1639"/>
      <c r="S23" s="1639"/>
      <c r="T23" s="1639"/>
      <c r="U23" s="1639"/>
      <c r="V23" s="1639"/>
      <c r="W23" s="1639"/>
      <c r="X23" s="1639"/>
      <c r="Y23" s="1639"/>
      <c r="Z23" s="1639"/>
      <c r="AA23" s="1639"/>
      <c r="AB23" s="1639"/>
      <c r="AC23" s="1639"/>
      <c r="AD23" s="1639"/>
      <c r="AE23" s="1639"/>
      <c r="AF23" s="1639"/>
      <c r="AG23" s="1639"/>
      <c r="AH23" s="1639"/>
      <c r="AI23" s="1639"/>
      <c r="AJ23" s="1639"/>
      <c r="AK23" s="1639"/>
      <c r="AL23" s="1639"/>
      <c r="AM23" s="1639"/>
      <c r="AN23" s="1639"/>
      <c r="AO23" s="1639"/>
      <c r="AP23" s="1639"/>
      <c r="AQ23" s="1639"/>
      <c r="AR23" s="1639"/>
      <c r="AS23" s="1639"/>
      <c r="AT23" s="1639"/>
      <c r="AU23" s="1639"/>
      <c r="AV23" s="1639"/>
      <c r="AW23" s="1639"/>
      <c r="AX23" s="1639"/>
      <c r="AY23" s="1639"/>
      <c r="AZ23" s="1639"/>
      <c r="BA23" s="1639"/>
      <c r="BB23" s="1639"/>
      <c r="BC23" s="1639" t="s">
        <v>1707</v>
      </c>
      <c r="BD23" s="1639" t="s">
        <v>1707</v>
      </c>
      <c r="BE23" s="1639"/>
      <c r="BF23" s="1639"/>
      <c r="BG23" s="1639"/>
      <c r="BH23" s="1639"/>
      <c r="BI23" s="1639"/>
      <c r="BJ23" s="1639"/>
      <c r="BK23" s="1639"/>
      <c r="BL23" s="1639"/>
      <c r="BM23" s="1639"/>
      <c r="BN23" s="1639"/>
      <c r="BO23" s="1639"/>
      <c r="BP23" s="1639"/>
      <c r="BQ23" s="1639"/>
      <c r="BR23" s="1639"/>
      <c r="BS23" s="1639"/>
      <c r="BT23" s="1639"/>
      <c r="BU23" s="1639"/>
      <c r="BV23" s="1639"/>
      <c r="BW23" s="1639"/>
      <c r="BX23" s="1639"/>
      <c r="BY23" s="1639"/>
      <c r="BZ23" s="1639"/>
      <c r="CA23" s="1639"/>
      <c r="CB23" s="1639"/>
      <c r="CC23" s="1639"/>
      <c r="CD23" s="1639"/>
      <c r="CE23" s="1639"/>
      <c r="CF23" s="1639"/>
      <c r="CG23" s="1639"/>
      <c r="CH23" s="1639"/>
      <c r="CI23" s="1639"/>
      <c r="CJ23" s="1638" t="s">
        <v>1707</v>
      </c>
      <c r="CK23" s="1639"/>
      <c r="CL23" s="1639"/>
      <c r="CM23" s="1639"/>
      <c r="CN23" s="1639"/>
      <c r="CO23" s="1639"/>
      <c r="CP23" s="1639"/>
      <c r="CQ23" s="1639"/>
      <c r="CR23" s="1639"/>
      <c r="CS23" s="1639"/>
      <c r="CT23" s="1639" t="s">
        <v>1707</v>
      </c>
      <c r="CU23" s="1639"/>
      <c r="CV23" s="1639"/>
      <c r="CW23" s="1639"/>
      <c r="CX23" s="1639"/>
      <c r="CY23" s="1639"/>
      <c r="CZ23" s="1639"/>
      <c r="DA23" s="1639"/>
      <c r="DB23" s="1639"/>
      <c r="DC23" s="1639"/>
      <c r="DD23" s="1639"/>
      <c r="DE23" s="1639"/>
      <c r="DF23" s="1639"/>
      <c r="DG23" s="1639"/>
      <c r="DH23" s="1639"/>
      <c r="DI23" s="1638"/>
      <c r="DJ23" s="1639"/>
      <c r="DK23" s="1639"/>
      <c r="DL23" s="1639"/>
      <c r="DM23" s="1639"/>
      <c r="DN23" s="1639"/>
      <c r="DO23" s="1639"/>
      <c r="DP23" s="1639" t="s">
        <v>1707</v>
      </c>
      <c r="DQ23" s="1639"/>
      <c r="DR23" s="1638" t="s">
        <v>1707</v>
      </c>
      <c r="DS23" s="1639"/>
      <c r="DT23" s="1639" t="s">
        <v>1707</v>
      </c>
      <c r="DU23" s="1639"/>
      <c r="DV23" s="1639"/>
      <c r="DW23" s="1639"/>
      <c r="DX23" s="1639"/>
      <c r="DY23" s="1639"/>
      <c r="DZ23" s="1639"/>
      <c r="EA23" s="1639"/>
      <c r="EB23" s="1639"/>
      <c r="EC23" s="1639"/>
      <c r="ED23" s="1639"/>
      <c r="EE23" s="1639"/>
      <c r="EF23" s="1639"/>
      <c r="EG23" s="1639"/>
      <c r="EH23" s="1639"/>
      <c r="EI23" s="1639"/>
      <c r="EJ23" s="1639"/>
      <c r="EK23" s="1639"/>
      <c r="EL23" s="1639"/>
      <c r="EM23" s="1638" t="s">
        <v>1707</v>
      </c>
      <c r="EN23" s="1638" t="s">
        <v>1707</v>
      </c>
      <c r="EO23" s="1639"/>
      <c r="EP23" s="1639"/>
      <c r="EQ23" s="1638" t="s">
        <v>1707</v>
      </c>
      <c r="ER23" s="1639"/>
      <c r="ES23" s="1639"/>
      <c r="ET23" s="1639"/>
      <c r="EU23" s="1639"/>
      <c r="EV23" s="1638" t="s">
        <v>1707</v>
      </c>
      <c r="EW23" s="1639"/>
      <c r="EX23" s="1639" t="s">
        <v>1707</v>
      </c>
      <c r="EY23" s="1639"/>
      <c r="EZ23" s="1639"/>
      <c r="FA23" s="1639"/>
      <c r="FB23" s="1639"/>
      <c r="FC23" s="1638" t="s">
        <v>1707</v>
      </c>
      <c r="FD23" s="1639"/>
      <c r="FE23" s="1639"/>
      <c r="FF23" s="1638" t="s">
        <v>1707</v>
      </c>
      <c r="FG23" s="1639"/>
      <c r="FH23" s="1639"/>
      <c r="FI23" s="1639"/>
      <c r="FJ23" s="1639"/>
      <c r="FK23" s="1639"/>
      <c r="FL23" s="1639"/>
      <c r="FM23" s="1639"/>
      <c r="FN23" s="1639"/>
      <c r="FO23" s="1639"/>
      <c r="FP23" s="1639"/>
      <c r="FQ23" s="1639"/>
      <c r="FR23" s="1639"/>
      <c r="FS23" s="1639"/>
      <c r="FT23" s="1639"/>
      <c r="FU23" s="1639"/>
      <c r="FV23" s="1639"/>
      <c r="FW23" s="1639"/>
      <c r="FX23" s="1639"/>
      <c r="FY23" s="1639"/>
      <c r="FZ23" s="1639"/>
      <c r="GA23" s="1639"/>
      <c r="GB23" s="1639"/>
      <c r="GC23" s="1639"/>
      <c r="GD23" s="1639"/>
      <c r="GE23" s="1639"/>
      <c r="GF23" s="1639" t="s">
        <v>1707</v>
      </c>
      <c r="GG23" s="1639"/>
      <c r="GH23" s="1639"/>
      <c r="GI23" s="1639"/>
      <c r="GJ23" s="1639"/>
      <c r="GK23" s="1639"/>
      <c r="GL23" s="1639"/>
      <c r="GM23" s="1639"/>
      <c r="GN23" s="1639"/>
      <c r="GO23" s="1639"/>
      <c r="GP23" s="1639"/>
      <c r="GQ23" s="1639"/>
      <c r="GR23" s="1639"/>
      <c r="GS23" s="1639"/>
      <c r="GT23" s="1639"/>
      <c r="GU23" s="1639"/>
      <c r="GV23" s="1639"/>
      <c r="GW23" s="1639"/>
      <c r="GX23" s="1639"/>
      <c r="GY23" s="1639"/>
      <c r="GZ23" s="1639"/>
      <c r="HA23" s="1639"/>
      <c r="HB23" s="1639"/>
      <c r="HC23" s="1639"/>
      <c r="HD23" s="1639"/>
      <c r="HE23" s="1639"/>
      <c r="HF23" s="1639"/>
      <c r="HG23" s="1639"/>
      <c r="HH23" s="1639" t="s">
        <v>1707</v>
      </c>
      <c r="HI23" s="1639"/>
      <c r="HJ23" s="1639"/>
      <c r="HK23" s="1639"/>
      <c r="HL23" s="1639"/>
      <c r="HM23" s="1639"/>
      <c r="HN23" s="1639"/>
      <c r="HO23" s="1639"/>
      <c r="HP23" s="1639" t="s">
        <v>1707</v>
      </c>
      <c r="HQ23" s="1639"/>
      <c r="HR23" s="1639"/>
      <c r="HS23" s="1639"/>
      <c r="HT23" s="1639"/>
      <c r="HU23" s="1639"/>
      <c r="HV23" s="1639"/>
      <c r="HW23" s="1639"/>
      <c r="HX23" s="1639"/>
      <c r="HY23" s="1639"/>
      <c r="HZ23" s="1639"/>
      <c r="IA23" s="1638" t="s">
        <v>1707</v>
      </c>
      <c r="IB23" s="1639"/>
      <c r="IC23" s="1639"/>
      <c r="ID23" s="1639"/>
      <c r="IE23" s="1639"/>
      <c r="IF23" s="1639"/>
      <c r="IG23" s="1639"/>
      <c r="IH23" s="1639"/>
      <c r="II23" s="1639"/>
      <c r="IJ23" s="1639"/>
      <c r="IK23" s="1639"/>
      <c r="IL23" s="1639"/>
      <c r="IM23" s="1639"/>
      <c r="IN23" s="1639"/>
      <c r="IO23" s="1639"/>
      <c r="IP23" s="1641"/>
      <c r="IQ23" s="1641"/>
      <c r="IR23" s="1641"/>
      <c r="IS23" s="1641"/>
      <c r="IT23" s="1641"/>
      <c r="IU23" s="1641"/>
      <c r="IV23" s="1641"/>
      <c r="IW23" s="1641"/>
      <c r="IX23" s="1639"/>
      <c r="IY23" s="1639"/>
      <c r="IZ23" s="1639"/>
      <c r="JA23" s="1639"/>
      <c r="JB23" s="1639"/>
      <c r="JC23" s="1639"/>
      <c r="JD23" s="1639"/>
      <c r="JE23" s="1639"/>
      <c r="JF23" s="1639" t="s">
        <v>1707</v>
      </c>
      <c r="JG23" s="1639"/>
      <c r="JH23" s="1414"/>
      <c r="JI23" s="1637"/>
      <c r="JJ23" s="1637"/>
      <c r="JK23" s="1637"/>
      <c r="JL23" s="1637"/>
      <c r="JM23" s="1637"/>
      <c r="JN23" s="1637"/>
      <c r="JO23" s="1637"/>
      <c r="JP23" s="1414" t="s">
        <v>1707</v>
      </c>
      <c r="JQ23" s="1643"/>
      <c r="JR23" s="351"/>
    </row>
    <row r="24" spans="1:278" x14ac:dyDescent="0.25">
      <c r="A24" s="1367">
        <v>24</v>
      </c>
      <c r="B24" s="1411" t="str">
        <f t="shared" si="0"/>
        <v/>
      </c>
      <c r="C24" s="1435" t="s">
        <v>3903</v>
      </c>
      <c r="D24" s="1361" t="s">
        <v>3875</v>
      </c>
      <c r="E24" s="2561"/>
      <c r="F24" s="2561"/>
      <c r="G24" s="2561"/>
      <c r="H24" s="2561"/>
      <c r="I24" s="2561"/>
      <c r="J24" s="2561"/>
      <c r="K24" s="2561"/>
      <c r="L24" s="2561"/>
      <c r="M24" s="2561"/>
      <c r="N24" s="2561"/>
      <c r="O24" s="2561"/>
      <c r="P24" s="2561"/>
      <c r="Q24" s="2561"/>
      <c r="R24" s="2561"/>
      <c r="S24" s="2561"/>
      <c r="T24" s="2561"/>
      <c r="U24" s="2561"/>
      <c r="V24" s="2561"/>
      <c r="W24" s="2561"/>
      <c r="X24" s="2561"/>
      <c r="Y24" s="2561"/>
      <c r="Z24" s="2561"/>
      <c r="AA24" s="2561"/>
      <c r="AB24" s="2561"/>
      <c r="AC24" s="2561"/>
      <c r="AD24" s="2561"/>
      <c r="AE24" s="2561"/>
      <c r="AF24" s="2561"/>
      <c r="AG24" s="2561"/>
      <c r="AH24" s="2561"/>
      <c r="AI24" s="2561"/>
      <c r="AJ24" s="2561"/>
      <c r="AK24" s="2561"/>
      <c r="AL24" s="2561"/>
      <c r="AM24" s="2561"/>
      <c r="AN24" s="2561"/>
      <c r="AO24" s="2561"/>
      <c r="AP24" s="2561"/>
      <c r="AQ24" s="2561"/>
      <c r="AR24" s="2561"/>
      <c r="AS24" s="2561"/>
      <c r="AT24" s="2561"/>
      <c r="AU24" s="2561"/>
      <c r="AV24" s="2561"/>
      <c r="AW24" s="2561">
        <f>IF(AW23="Y",AW20,MAX(0,AW20-AW21))</f>
        <v>1275</v>
      </c>
      <c r="AX24" s="2561"/>
      <c r="AY24" s="2561"/>
      <c r="AZ24" s="2561"/>
      <c r="BA24" s="2561"/>
      <c r="BB24" s="2561">
        <f>IF(BB23="Y",BB20,MAX(0,BB20-BB21))</f>
        <v>0</v>
      </c>
      <c r="BC24" s="2561">
        <f>IF(BC23="Y",BC20,MAX(0,BC20-BC21))</f>
        <v>2679</v>
      </c>
      <c r="BD24" s="2561">
        <f>IF(BD23="Y",BD20,MAX(0,BD20-BD21))</f>
        <v>2679</v>
      </c>
      <c r="BE24" s="2561"/>
      <c r="BF24" s="2561"/>
      <c r="BG24" s="2561"/>
      <c r="BH24" s="2561"/>
      <c r="BI24" s="2561"/>
      <c r="BJ24" s="2561"/>
      <c r="BK24" s="2561"/>
      <c r="BL24" s="2561"/>
      <c r="BM24" s="2561"/>
      <c r="BN24" s="2561"/>
      <c r="BO24" s="2561"/>
      <c r="BP24" s="2561"/>
      <c r="BQ24" s="2561"/>
      <c r="BR24" s="2561"/>
      <c r="BS24" s="2561"/>
      <c r="BT24" s="2561"/>
      <c r="BU24" s="2561"/>
      <c r="BV24" s="2561"/>
      <c r="BW24" s="2561"/>
      <c r="BX24" s="2561"/>
      <c r="BY24" s="2561"/>
      <c r="BZ24" s="2561"/>
      <c r="CA24" s="2561"/>
      <c r="CB24" s="2561"/>
      <c r="CC24" s="2561"/>
      <c r="CD24" s="2561"/>
      <c r="CE24" s="2561"/>
      <c r="CF24" s="2561"/>
      <c r="CG24" s="2561"/>
      <c r="CH24" s="2561"/>
      <c r="CI24" s="2561"/>
      <c r="CJ24" s="1636">
        <f>IF(CJ23="Y",CJ20,MAX(0,CJ20-CJ21))</f>
        <v>479</v>
      </c>
      <c r="CK24" s="2561"/>
      <c r="CL24" s="2561"/>
      <c r="CM24" s="2561"/>
      <c r="CN24" s="2561"/>
      <c r="CO24" s="2561"/>
      <c r="CP24" s="2561"/>
      <c r="CQ24" s="2561"/>
      <c r="CR24" s="2561"/>
      <c r="CS24" s="2561"/>
      <c r="CT24" s="2561">
        <f>IF(CT23="Y",CT20,MAX(0,CT20-CT21))</f>
        <v>422</v>
      </c>
      <c r="CU24" s="2561"/>
      <c r="CV24" s="2561"/>
      <c r="CW24" s="2561"/>
      <c r="CX24" s="2561"/>
      <c r="CY24" s="2561"/>
      <c r="CZ24" s="2561"/>
      <c r="DA24" s="2561"/>
      <c r="DB24" s="2561"/>
      <c r="DC24" s="2561"/>
      <c r="DD24" s="2561"/>
      <c r="DE24" s="2561"/>
      <c r="DF24" s="2561"/>
      <c r="DG24" s="2561"/>
      <c r="DH24" s="2561"/>
      <c r="DI24" s="1636"/>
      <c r="DJ24" s="2561"/>
      <c r="DK24" s="2561"/>
      <c r="DL24" s="2561"/>
      <c r="DM24" s="2561">
        <f>IF(DM23="Y",DM20,MAX(0,DM20-DM21))</f>
        <v>13770</v>
      </c>
      <c r="DN24" s="2561"/>
      <c r="DO24" s="2561"/>
      <c r="DP24" s="2561">
        <f>IF(DP23="Y",DP20,MAX(0,DP20-DP21))</f>
        <v>500</v>
      </c>
      <c r="DQ24" s="2561"/>
      <c r="DR24" s="1636">
        <v>76</v>
      </c>
      <c r="DS24" s="2561"/>
      <c r="DT24" s="2561">
        <f>IF(DT23="Y",DT20,MAX(0,DT20-DT21))</f>
        <v>500</v>
      </c>
      <c r="DU24" s="2561"/>
      <c r="DV24" s="2561"/>
      <c r="DW24" s="1636">
        <v>552.16</v>
      </c>
      <c r="DX24" s="2561"/>
      <c r="DY24" s="2561"/>
      <c r="DZ24" s="2561"/>
      <c r="EA24" s="2561"/>
      <c r="EB24" s="2561"/>
      <c r="EC24" s="2561"/>
      <c r="ED24" s="2561"/>
      <c r="EE24" s="2561"/>
      <c r="EF24" s="2561"/>
      <c r="EG24" s="2561"/>
      <c r="EH24" s="2561"/>
      <c r="EI24" s="2561"/>
      <c r="EJ24" s="2561"/>
      <c r="EK24" s="2561"/>
      <c r="EL24" s="2561"/>
      <c r="EM24" s="1636">
        <v>3805</v>
      </c>
      <c r="EN24" s="1636">
        <v>47</v>
      </c>
      <c r="EO24" s="1636">
        <v>4352.1899999999996</v>
      </c>
      <c r="EP24" s="2561"/>
      <c r="EQ24" s="1636">
        <v>1833</v>
      </c>
      <c r="ER24" s="2561"/>
      <c r="ES24" s="1636">
        <v>44.32</v>
      </c>
      <c r="ET24" s="2561"/>
      <c r="EU24" s="2561"/>
      <c r="EV24" s="1636">
        <v>4359</v>
      </c>
      <c r="EW24" s="2561"/>
      <c r="EX24" s="2561">
        <f>IF(EX23="Y",EX20,MAX(0,EX20-EX21))</f>
        <v>659</v>
      </c>
      <c r="EY24" s="2561"/>
      <c r="EZ24" s="2561"/>
      <c r="FA24" s="2561"/>
      <c r="FB24" s="2561">
        <v>129793</v>
      </c>
      <c r="FC24" s="1636">
        <v>2500</v>
      </c>
      <c r="FD24" s="2561"/>
      <c r="FE24" s="2561"/>
      <c r="FF24" s="1636">
        <v>30886</v>
      </c>
      <c r="FG24" s="2561"/>
      <c r="FH24" s="2561"/>
      <c r="FI24" s="2561"/>
      <c r="FJ24" s="1636">
        <v>5414</v>
      </c>
      <c r="FK24" s="1636">
        <v>108</v>
      </c>
      <c r="FL24" s="2561"/>
      <c r="FM24" s="2561"/>
      <c r="FN24" s="2561"/>
      <c r="FO24" s="1636">
        <v>606</v>
      </c>
      <c r="FP24" s="2561"/>
      <c r="FQ24" s="2561"/>
      <c r="FR24" s="2561"/>
      <c r="FS24" s="2561"/>
      <c r="FT24" s="2561"/>
      <c r="FU24" s="2561"/>
      <c r="FV24" s="2561"/>
      <c r="FW24" s="2561"/>
      <c r="FX24" s="2561"/>
      <c r="FY24" s="2561"/>
      <c r="FZ24" s="2561"/>
      <c r="GA24" s="2561"/>
      <c r="GB24" s="2561"/>
      <c r="GC24" s="2561"/>
      <c r="GD24" s="2561"/>
      <c r="GE24" s="2561"/>
      <c r="GF24" s="2561">
        <f>IF(GF23="Y",GF20,MAX(0,GF20-GF21))</f>
        <v>2679</v>
      </c>
      <c r="GG24" s="2561"/>
      <c r="GH24" s="2561"/>
      <c r="GI24" s="2561"/>
      <c r="GJ24" s="2561"/>
      <c r="GK24" s="2561"/>
      <c r="GL24" s="2561"/>
      <c r="GM24" s="2561"/>
      <c r="GN24" s="2561"/>
      <c r="GO24" s="2561"/>
      <c r="GP24" s="2561"/>
      <c r="GQ24" s="2561"/>
      <c r="GR24" s="2561"/>
      <c r="GS24" s="2561"/>
      <c r="GT24" s="2561"/>
      <c r="GU24" s="2561"/>
      <c r="GV24" s="2561"/>
      <c r="GW24" s="2561"/>
      <c r="GX24" s="2561"/>
      <c r="GY24" s="2561"/>
      <c r="GZ24" s="2561"/>
      <c r="HA24" s="2561"/>
      <c r="HB24" s="2561"/>
      <c r="HC24" s="2561"/>
      <c r="HD24" s="2561"/>
      <c r="HE24" s="2561"/>
      <c r="HF24" s="2561"/>
      <c r="HG24" s="2561">
        <f>IF(HG23="Y",HG20,MAX(0,HG20-HG21))</f>
        <v>425</v>
      </c>
      <c r="HH24" s="2561">
        <f>IF(HH23="Y",HH20,MAX(0,HH20-HH21))</f>
        <v>500</v>
      </c>
      <c r="HI24" s="2561"/>
      <c r="HJ24" s="2561"/>
      <c r="HK24" s="2561"/>
      <c r="HL24" s="2561"/>
      <c r="HM24" s="2561"/>
      <c r="HN24" s="2561"/>
      <c r="HO24" s="2561"/>
      <c r="HP24" s="2561">
        <f>IF(HP23="Y",HP20,MAX(0,HP20-HP21))</f>
        <v>659</v>
      </c>
      <c r="HQ24" s="2561"/>
      <c r="HR24" s="2561"/>
      <c r="HS24" s="2561"/>
      <c r="HT24" s="2561"/>
      <c r="HU24" s="2561"/>
      <c r="HV24" s="2561"/>
      <c r="HW24" s="2561"/>
      <c r="HX24" s="2561"/>
      <c r="HY24" s="2561"/>
      <c r="HZ24" s="2561"/>
      <c r="IA24" s="1636">
        <v>713</v>
      </c>
      <c r="IB24" s="2561"/>
      <c r="IC24" s="2561"/>
      <c r="ID24" s="2561"/>
      <c r="IE24" s="2561"/>
      <c r="IF24" s="2561">
        <f>IF(IF23="Y",IF20,MAX(0,IF20-IF21))</f>
        <v>22462</v>
      </c>
      <c r="IG24" s="2561"/>
      <c r="IH24" s="2561">
        <f>IF(IH23="Y",IH20,MAX(0,IH20-IH21))</f>
        <v>6332</v>
      </c>
      <c r="II24" s="2561"/>
      <c r="IJ24" s="2561"/>
      <c r="IK24" s="2561">
        <f>IF(IK23="Y",IK20,MAX(0,IK20-IK21))</f>
        <v>19064</v>
      </c>
      <c r="IL24" s="2561"/>
      <c r="IM24" s="2561"/>
      <c r="IN24" s="2561"/>
      <c r="IO24" s="2561"/>
      <c r="IP24" s="2561"/>
      <c r="IQ24" s="2561"/>
      <c r="IR24" s="2561"/>
      <c r="IS24" s="2561"/>
      <c r="IT24" s="2561"/>
      <c r="IU24" s="2561"/>
      <c r="IV24" s="2561"/>
      <c r="IW24" s="2561"/>
      <c r="IX24" s="2561"/>
      <c r="IY24" s="2561"/>
      <c r="IZ24" s="2561"/>
      <c r="JA24" s="2561"/>
      <c r="JB24" s="2561"/>
      <c r="JC24" s="2561"/>
      <c r="JD24" s="2561"/>
      <c r="JE24" s="2561">
        <f>IF(JE23="Y",JE20,MAX(0,JE20-JE21))</f>
        <v>0</v>
      </c>
      <c r="JF24" s="2561">
        <f>IF(JF23="Y",JF20,MAX(0,JF20-JF21))</f>
        <v>422</v>
      </c>
      <c r="JG24" s="2561"/>
      <c r="JH24" s="2561">
        <v>244</v>
      </c>
      <c r="JI24" s="2561"/>
      <c r="JJ24" s="2561"/>
      <c r="JK24" s="2561"/>
      <c r="JL24" s="2561"/>
      <c r="JM24" s="2561"/>
      <c r="JN24" s="2561"/>
      <c r="JO24" s="2561"/>
      <c r="JP24" s="2561">
        <v>17997</v>
      </c>
      <c r="JQ24" s="2561"/>
      <c r="JR24" s="351"/>
    </row>
    <row r="25" spans="1:278" x14ac:dyDescent="0.25">
      <c r="A25" s="1367">
        <v>25</v>
      </c>
      <c r="B25" s="1411" t="str">
        <f t="shared" si="0"/>
        <v/>
      </c>
      <c r="C25" s="1435" t="s">
        <v>3904</v>
      </c>
      <c r="D25" s="1361" t="s">
        <v>3851</v>
      </c>
      <c r="E25" s="1639"/>
      <c r="F25" s="1639"/>
      <c r="G25" s="1639"/>
      <c r="H25" s="1639"/>
      <c r="I25" s="1639"/>
      <c r="J25" s="1639"/>
      <c r="K25" s="1639"/>
      <c r="L25" s="1639"/>
      <c r="M25" s="1639"/>
      <c r="N25" s="1639"/>
      <c r="O25" s="1639"/>
      <c r="P25" s="1639"/>
      <c r="Q25" s="1639"/>
      <c r="R25" s="1639"/>
      <c r="S25" s="1639"/>
      <c r="T25" s="1639"/>
      <c r="U25" s="1639"/>
      <c r="V25" s="1639"/>
      <c r="W25" s="1639"/>
      <c r="X25" s="1639"/>
      <c r="Y25" s="1639"/>
      <c r="Z25" s="1639"/>
      <c r="AA25" s="1639"/>
      <c r="AB25" s="1639"/>
      <c r="AC25" s="1639"/>
      <c r="AD25" s="1639"/>
      <c r="AE25" s="1639"/>
      <c r="AF25" s="1639"/>
      <c r="AG25" s="1639"/>
      <c r="AH25" s="1639"/>
      <c r="AI25" s="1639"/>
      <c r="AJ25" s="1639"/>
      <c r="AK25" s="1639"/>
      <c r="AL25" s="1639"/>
      <c r="AM25" s="1639"/>
      <c r="AN25" s="1639"/>
      <c r="AO25" s="1639"/>
      <c r="AP25" s="1639"/>
      <c r="AQ25" s="1639"/>
      <c r="AR25" s="1639"/>
      <c r="AS25" s="1639"/>
      <c r="AT25" s="1639"/>
      <c r="AU25" s="1639"/>
      <c r="AV25" s="1639"/>
      <c r="AW25" s="1639"/>
      <c r="AX25" s="1639"/>
      <c r="AY25" s="1639"/>
      <c r="AZ25" s="1639"/>
      <c r="BA25" s="1639"/>
      <c r="BB25" s="1639"/>
      <c r="BC25" s="1639"/>
      <c r="BD25" s="1639"/>
      <c r="BE25" s="1639"/>
      <c r="BF25" s="1639"/>
      <c r="BG25" s="1639"/>
      <c r="BH25" s="1639"/>
      <c r="BI25" s="1639"/>
      <c r="BJ25" s="1639"/>
      <c r="BK25" s="1639"/>
      <c r="BL25" s="1639"/>
      <c r="BM25" s="1639"/>
      <c r="BN25" s="1639"/>
      <c r="BO25" s="1639"/>
      <c r="BP25" s="1639"/>
      <c r="BQ25" s="1639"/>
      <c r="BR25" s="1639"/>
      <c r="BS25" s="1639"/>
      <c r="BT25" s="1639"/>
      <c r="BU25" s="1639"/>
      <c r="BV25" s="1639"/>
      <c r="BW25" s="1639"/>
      <c r="BX25" s="1639"/>
      <c r="BY25" s="1639"/>
      <c r="BZ25" s="1639"/>
      <c r="CA25" s="1639"/>
      <c r="CB25" s="1639"/>
      <c r="CC25" s="1639"/>
      <c r="CD25" s="1639"/>
      <c r="CE25" s="1639"/>
      <c r="CF25" s="1639"/>
      <c r="CG25" s="1639"/>
      <c r="CH25" s="1639"/>
      <c r="CI25" s="1639"/>
      <c r="CJ25" s="1638" t="s">
        <v>3862</v>
      </c>
      <c r="CK25" s="1639"/>
      <c r="CL25" s="1639"/>
      <c r="CM25" s="1639"/>
      <c r="CN25" s="1639"/>
      <c r="CO25" s="1639"/>
      <c r="CP25" s="1639"/>
      <c r="CQ25" s="1639"/>
      <c r="CR25" s="1639"/>
      <c r="CS25" s="1639"/>
      <c r="CT25" s="1639"/>
      <c r="CU25" s="1639"/>
      <c r="CV25" s="1639"/>
      <c r="CW25" s="1639"/>
      <c r="CX25" s="1639"/>
      <c r="CY25" s="1639"/>
      <c r="CZ25" s="1639"/>
      <c r="DA25" s="1639"/>
      <c r="DB25" s="1639"/>
      <c r="DC25" s="1639"/>
      <c r="DD25" s="1639"/>
      <c r="DE25" s="1639"/>
      <c r="DF25" s="1639"/>
      <c r="DG25" s="1639"/>
      <c r="DH25" s="1639"/>
      <c r="DI25" s="1639"/>
      <c r="DJ25" s="1639"/>
      <c r="DK25" s="1639"/>
      <c r="DL25" s="1639"/>
      <c r="DM25" s="1639"/>
      <c r="DN25" s="1639"/>
      <c r="DO25" s="1639"/>
      <c r="DP25" s="1639" t="s">
        <v>3852</v>
      </c>
      <c r="DQ25" s="1639"/>
      <c r="DR25" s="1638" t="s">
        <v>3853</v>
      </c>
      <c r="DS25" s="1639"/>
      <c r="DT25" s="1639" t="s">
        <v>3852</v>
      </c>
      <c r="DU25" s="1639"/>
      <c r="DV25" s="1639"/>
      <c r="DW25" s="1638" t="s">
        <v>3853</v>
      </c>
      <c r="DX25" s="1639"/>
      <c r="DY25" s="1639"/>
      <c r="DZ25" s="1639"/>
      <c r="EA25" s="1639"/>
      <c r="EB25" s="1639"/>
      <c r="EC25" s="1639"/>
      <c r="ED25" s="1639"/>
      <c r="EE25" s="1639"/>
      <c r="EF25" s="1639"/>
      <c r="EG25" s="1639"/>
      <c r="EH25" s="1639"/>
      <c r="EI25" s="1639"/>
      <c r="EJ25" s="1639"/>
      <c r="EK25" s="1639"/>
      <c r="EL25" s="1639"/>
      <c r="EM25" s="1638" t="s">
        <v>3905</v>
      </c>
      <c r="EN25" s="1638" t="s">
        <v>3853</v>
      </c>
      <c r="EO25" s="1639"/>
      <c r="EP25" s="1639"/>
      <c r="EQ25" s="1638" t="s">
        <v>3853</v>
      </c>
      <c r="ER25" s="1639"/>
      <c r="ES25" s="1638" t="s">
        <v>3857</v>
      </c>
      <c r="ET25" s="1639"/>
      <c r="EU25" s="1639"/>
      <c r="EV25" s="1638" t="s">
        <v>3852</v>
      </c>
      <c r="EW25" s="1639"/>
      <c r="EX25" s="1639"/>
      <c r="EY25" s="1639"/>
      <c r="EZ25" s="1639"/>
      <c r="FA25" s="1639"/>
      <c r="FB25" s="1639"/>
      <c r="FC25" s="1638" t="s">
        <v>3865</v>
      </c>
      <c r="FD25" s="1639"/>
      <c r="FE25" s="1639"/>
      <c r="FF25" s="1639"/>
      <c r="FG25" s="1639"/>
      <c r="FH25" s="1639"/>
      <c r="FI25" s="1639"/>
      <c r="FJ25" s="1638" t="s">
        <v>3865</v>
      </c>
      <c r="FK25" s="1639"/>
      <c r="FL25" s="1639"/>
      <c r="FM25" s="1639"/>
      <c r="FN25" s="1639"/>
      <c r="FO25" s="1639"/>
      <c r="FP25" s="1639"/>
      <c r="FQ25" s="1639"/>
      <c r="FR25" s="1639"/>
      <c r="FS25" s="1639"/>
      <c r="FT25" s="1639"/>
      <c r="FU25" s="1639"/>
      <c r="FV25" s="1639"/>
      <c r="FW25" s="1639"/>
      <c r="FX25" s="1639"/>
      <c r="FY25" s="1639"/>
      <c r="FZ25" s="1639"/>
      <c r="GA25" s="1639"/>
      <c r="GB25" s="1639"/>
      <c r="GC25" s="1639"/>
      <c r="GD25" s="1639"/>
      <c r="GE25" s="1639"/>
      <c r="GF25" s="1639"/>
      <c r="GG25" s="1639"/>
      <c r="GH25" s="1639"/>
      <c r="GI25" s="1639"/>
      <c r="GJ25" s="1639"/>
      <c r="GK25" s="1639"/>
      <c r="GL25" s="1639"/>
      <c r="GM25" s="1639"/>
      <c r="GN25" s="1639"/>
      <c r="GO25" s="1639"/>
      <c r="GP25" s="1639"/>
      <c r="GQ25" s="1639"/>
      <c r="GR25" s="1639"/>
      <c r="GS25" s="1639"/>
      <c r="GT25" s="1639"/>
      <c r="GU25" s="1639"/>
      <c r="GV25" s="1639"/>
      <c r="GW25" s="1639"/>
      <c r="GX25" s="1639"/>
      <c r="GY25" s="1639"/>
      <c r="GZ25" s="1639"/>
      <c r="HA25" s="1639"/>
      <c r="HB25" s="1639"/>
      <c r="HC25" s="1639"/>
      <c r="HD25" s="1639"/>
      <c r="HE25" s="1639"/>
      <c r="HF25" s="1639"/>
      <c r="HG25" s="1639"/>
      <c r="HH25" s="1639" t="s">
        <v>3880</v>
      </c>
      <c r="HI25" s="1639"/>
      <c r="HJ25" s="1639"/>
      <c r="HK25" s="1639"/>
      <c r="HL25" s="1639"/>
      <c r="HM25" s="1639"/>
      <c r="HN25" s="1639"/>
      <c r="HO25" s="1639"/>
      <c r="HP25" s="1639"/>
      <c r="HQ25" s="1639"/>
      <c r="HR25" s="1639"/>
      <c r="HS25" s="1639"/>
      <c r="HT25" s="1639"/>
      <c r="HU25" s="1639"/>
      <c r="HV25" s="1639"/>
      <c r="HW25" s="1639"/>
      <c r="HX25" s="1639"/>
      <c r="HY25" s="1639"/>
      <c r="HZ25" s="1639"/>
      <c r="IA25" s="1638" t="s">
        <v>3852</v>
      </c>
      <c r="IB25" s="1639"/>
      <c r="IC25" s="1639"/>
      <c r="ID25" s="1639"/>
      <c r="IE25" s="1639"/>
      <c r="IF25" s="1638" t="s">
        <v>3855</v>
      </c>
      <c r="IG25" s="1639"/>
      <c r="IH25" s="1639"/>
      <c r="II25" s="1639"/>
      <c r="IJ25" s="1639"/>
      <c r="IK25" s="1639"/>
      <c r="IL25" s="1639"/>
      <c r="IM25" s="1639"/>
      <c r="IN25" s="1639"/>
      <c r="IO25" s="1639"/>
      <c r="IP25" s="1414"/>
      <c r="IQ25" s="1414"/>
      <c r="IR25" s="1414"/>
      <c r="IS25" s="1414"/>
      <c r="IT25" s="1414"/>
      <c r="IU25" s="1414"/>
      <c r="IV25" s="1414"/>
      <c r="IW25" s="1414"/>
      <c r="IX25" s="1639"/>
      <c r="IY25" s="1639"/>
      <c r="IZ25" s="1639"/>
      <c r="JA25" s="1639"/>
      <c r="JB25" s="1639"/>
      <c r="JC25" s="1639"/>
      <c r="JD25" s="1639"/>
      <c r="JE25" s="1639"/>
      <c r="JF25" s="1639"/>
      <c r="JG25" s="1639"/>
      <c r="JH25" s="1414" t="s">
        <v>3879</v>
      </c>
      <c r="JI25" s="1414"/>
      <c r="JJ25" s="1414"/>
      <c r="JK25" s="1414"/>
      <c r="JL25" s="1414"/>
      <c r="JM25" s="1414"/>
      <c r="JN25" s="1414"/>
      <c r="JO25" s="1414"/>
      <c r="JP25" s="1414"/>
      <c r="JQ25" s="1415"/>
      <c r="JR25" s="351"/>
    </row>
    <row r="26" spans="1:278" x14ac:dyDescent="0.25">
      <c r="A26" s="1367">
        <v>26</v>
      </c>
      <c r="B26" s="1411" t="str">
        <f t="shared" si="0"/>
        <v/>
      </c>
      <c r="C26" s="1435" t="s">
        <v>3906</v>
      </c>
      <c r="D26" s="1361" t="s">
        <v>3867</v>
      </c>
      <c r="E26" s="1641"/>
      <c r="F26" s="1641"/>
      <c r="G26" s="1641"/>
      <c r="H26" s="1641"/>
      <c r="I26" s="1641"/>
      <c r="J26" s="1641"/>
      <c r="K26" s="1641"/>
      <c r="L26" s="1641"/>
      <c r="M26" s="1641"/>
      <c r="N26" s="1641"/>
      <c r="O26" s="1641"/>
      <c r="P26" s="1641"/>
      <c r="Q26" s="1641"/>
      <c r="R26" s="1641"/>
      <c r="S26" s="1641"/>
      <c r="T26" s="1641"/>
      <c r="U26" s="1641"/>
      <c r="V26" s="1641"/>
      <c r="W26" s="1641"/>
      <c r="X26" s="1641"/>
      <c r="Y26" s="1641"/>
      <c r="Z26" s="1641"/>
      <c r="AA26" s="1641"/>
      <c r="AB26" s="1641"/>
      <c r="AC26" s="1641"/>
      <c r="AD26" s="1641"/>
      <c r="AE26" s="1641"/>
      <c r="AF26" s="1641"/>
      <c r="AG26" s="1641"/>
      <c r="AH26" s="1641"/>
      <c r="AI26" s="1641"/>
      <c r="AJ26" s="1641"/>
      <c r="AK26" s="1641"/>
      <c r="AL26" s="1641"/>
      <c r="AM26" s="1641"/>
      <c r="AN26" s="1641"/>
      <c r="AO26" s="1641"/>
      <c r="AP26" s="1641"/>
      <c r="AQ26" s="1641"/>
      <c r="AR26" s="1641"/>
      <c r="AS26" s="1641"/>
      <c r="AT26" s="1641"/>
      <c r="AU26" s="1641"/>
      <c r="AV26" s="1641"/>
      <c r="AW26" s="1641"/>
      <c r="AX26" s="1641"/>
      <c r="AY26" s="1641"/>
      <c r="AZ26" s="1641"/>
      <c r="BA26" s="1641"/>
      <c r="BB26" s="1641"/>
      <c r="BC26" s="1641"/>
      <c r="BD26" s="1641"/>
      <c r="BE26" s="1641"/>
      <c r="BF26" s="1641"/>
      <c r="BG26" s="1641"/>
      <c r="BH26" s="1641"/>
      <c r="BI26" s="1641"/>
      <c r="BJ26" s="1641"/>
      <c r="BK26" s="1641"/>
      <c r="BL26" s="1641"/>
      <c r="BM26" s="1641"/>
      <c r="BN26" s="1641"/>
      <c r="BO26" s="1641"/>
      <c r="BP26" s="1641"/>
      <c r="BQ26" s="1641"/>
      <c r="BR26" s="1641"/>
      <c r="BS26" s="1641"/>
      <c r="BT26" s="1641"/>
      <c r="BU26" s="1641"/>
      <c r="BV26" s="1641"/>
      <c r="BW26" s="1641"/>
      <c r="BX26" s="1641"/>
      <c r="BY26" s="1641"/>
      <c r="BZ26" s="1641"/>
      <c r="CA26" s="1641"/>
      <c r="CB26" s="1641"/>
      <c r="CC26" s="1641"/>
      <c r="CD26" s="1641"/>
      <c r="CE26" s="1641"/>
      <c r="CF26" s="1641"/>
      <c r="CG26" s="1641"/>
      <c r="CH26" s="1641"/>
      <c r="CI26" s="1641"/>
      <c r="CJ26" s="1636">
        <v>36</v>
      </c>
      <c r="CK26" s="1641"/>
      <c r="CL26" s="1641"/>
      <c r="CM26" s="1641"/>
      <c r="CN26" s="1641"/>
      <c r="CO26" s="1641"/>
      <c r="CP26" s="1641"/>
      <c r="CQ26" s="1641"/>
      <c r="CR26" s="1641"/>
      <c r="CS26" s="1641"/>
      <c r="CT26" s="1641"/>
      <c r="CU26" s="1641"/>
      <c r="CV26" s="1641"/>
      <c r="CW26" s="1641"/>
      <c r="CX26" s="1641"/>
      <c r="CY26" s="1641"/>
      <c r="CZ26" s="1641"/>
      <c r="DA26" s="1641"/>
      <c r="DB26" s="1641"/>
      <c r="DC26" s="1641"/>
      <c r="DD26" s="1641"/>
      <c r="DE26" s="1641"/>
      <c r="DF26" s="1641"/>
      <c r="DG26" s="1641"/>
      <c r="DH26" s="1641"/>
      <c r="DI26" s="1641"/>
      <c r="DJ26" s="1641"/>
      <c r="DK26" s="1641"/>
      <c r="DL26" s="1641"/>
      <c r="DM26" s="1641"/>
      <c r="DN26" s="1641"/>
      <c r="DO26" s="1641"/>
      <c r="DP26" s="1641">
        <v>500</v>
      </c>
      <c r="DQ26" s="1641"/>
      <c r="DR26" s="1636">
        <v>100</v>
      </c>
      <c r="DS26" s="1641"/>
      <c r="DT26" s="1641">
        <v>500</v>
      </c>
      <c r="DU26" s="1641"/>
      <c r="DV26" s="1641"/>
      <c r="DW26" s="1636">
        <v>901.92</v>
      </c>
      <c r="DX26" s="1641"/>
      <c r="DY26" s="1641"/>
      <c r="DZ26" s="1641"/>
      <c r="EA26" s="1641"/>
      <c r="EB26" s="1641"/>
      <c r="EC26" s="1641"/>
      <c r="ED26" s="1641"/>
      <c r="EE26" s="1641"/>
      <c r="EF26" s="1641"/>
      <c r="EG26" s="1641"/>
      <c r="EH26" s="1641"/>
      <c r="EI26" s="1641"/>
      <c r="EJ26" s="1641"/>
      <c r="EK26" s="1641"/>
      <c r="EL26" s="1641"/>
      <c r="EM26" s="1636">
        <v>999</v>
      </c>
      <c r="EN26" s="1636">
        <v>75</v>
      </c>
      <c r="EO26" s="1641"/>
      <c r="EP26" s="1641"/>
      <c r="EQ26" s="1636">
        <v>8679</v>
      </c>
      <c r="ER26" s="1641"/>
      <c r="ES26" s="1636">
        <v>32.32</v>
      </c>
      <c r="ET26" s="1641"/>
      <c r="EU26" s="1641"/>
      <c r="EV26" s="1636">
        <v>60</v>
      </c>
      <c r="EW26" s="1641"/>
      <c r="EX26" s="1641"/>
      <c r="EY26" s="1641"/>
      <c r="EZ26" s="1641"/>
      <c r="FA26" s="1641"/>
      <c r="FB26" s="1641"/>
      <c r="FC26" s="1636">
        <v>3804</v>
      </c>
      <c r="FD26" s="1641"/>
      <c r="FE26" s="1641"/>
      <c r="FF26" s="1641"/>
      <c r="FG26" s="1641"/>
      <c r="FH26" s="1641"/>
      <c r="FI26" s="1641"/>
      <c r="FJ26" s="1636">
        <v>17735</v>
      </c>
      <c r="FK26" s="1641"/>
      <c r="FL26" s="1641"/>
      <c r="FM26" s="1641"/>
      <c r="FN26" s="1641"/>
      <c r="FO26" s="1641"/>
      <c r="FP26" s="1641"/>
      <c r="FQ26" s="1641"/>
      <c r="FR26" s="1641"/>
      <c r="FS26" s="1641"/>
      <c r="FT26" s="1641"/>
      <c r="FU26" s="1641"/>
      <c r="FV26" s="1641"/>
      <c r="FW26" s="1641"/>
      <c r="FX26" s="1641"/>
      <c r="FY26" s="1641"/>
      <c r="FZ26" s="1641"/>
      <c r="GA26" s="1641"/>
      <c r="GB26" s="1641"/>
      <c r="GC26" s="1641"/>
      <c r="GD26" s="1641"/>
      <c r="GE26" s="1641"/>
      <c r="GF26" s="1641"/>
      <c r="GG26" s="1641"/>
      <c r="GH26" s="1641"/>
      <c r="GI26" s="1641"/>
      <c r="GJ26" s="1641"/>
      <c r="GK26" s="1641"/>
      <c r="GL26" s="1641"/>
      <c r="GM26" s="1641"/>
      <c r="GN26" s="1641"/>
      <c r="GO26" s="1641"/>
      <c r="GP26" s="1641"/>
      <c r="GQ26" s="1641"/>
      <c r="GR26" s="1641"/>
      <c r="GS26" s="1641"/>
      <c r="GT26" s="1641"/>
      <c r="GU26" s="1641"/>
      <c r="GV26" s="1641"/>
      <c r="GW26" s="1641"/>
      <c r="GX26" s="1641"/>
      <c r="GY26" s="1641"/>
      <c r="GZ26" s="1641"/>
      <c r="HA26" s="1641"/>
      <c r="HB26" s="1641"/>
      <c r="HC26" s="1641"/>
      <c r="HD26" s="1641"/>
      <c r="HE26" s="1641"/>
      <c r="HF26" s="1641"/>
      <c r="HG26" s="1641"/>
      <c r="HH26" s="1641">
        <v>1000</v>
      </c>
      <c r="HI26" s="1641"/>
      <c r="HJ26" s="1641"/>
      <c r="HK26" s="1641"/>
      <c r="HL26" s="1641"/>
      <c r="HM26" s="1641"/>
      <c r="HN26" s="1641"/>
      <c r="HO26" s="1641"/>
      <c r="HP26" s="1641"/>
      <c r="HQ26" s="1641"/>
      <c r="HR26" s="1641"/>
      <c r="HS26" s="1641"/>
      <c r="HT26" s="1641"/>
      <c r="HU26" s="1641"/>
      <c r="HV26" s="1641"/>
      <c r="HW26" s="1641"/>
      <c r="HX26" s="1641"/>
      <c r="HY26" s="1641"/>
      <c r="HZ26" s="1641"/>
      <c r="IA26" s="1636">
        <v>1615</v>
      </c>
      <c r="IB26" s="1641"/>
      <c r="IC26" s="1641"/>
      <c r="ID26" s="1641"/>
      <c r="IE26" s="1641"/>
      <c r="IF26" s="1636">
        <v>61765.16</v>
      </c>
      <c r="IG26" s="1641"/>
      <c r="IH26" s="1641"/>
      <c r="II26" s="1641"/>
      <c r="IJ26" s="1641"/>
      <c r="IK26" s="1641"/>
      <c r="IL26" s="1641"/>
      <c r="IM26" s="1641"/>
      <c r="IN26" s="1641"/>
      <c r="IO26" s="1641"/>
      <c r="IP26" s="1637"/>
      <c r="IQ26" s="1637"/>
      <c r="IR26" s="1637"/>
      <c r="IS26" s="1637"/>
      <c r="IT26" s="1637"/>
      <c r="IU26" s="1637"/>
      <c r="IV26" s="1637"/>
      <c r="IW26" s="1637"/>
      <c r="IX26" s="1641"/>
      <c r="IY26" s="1641"/>
      <c r="IZ26" s="1641"/>
      <c r="JA26" s="1641"/>
      <c r="JB26" s="1641"/>
      <c r="JC26" s="1641"/>
      <c r="JD26" s="1641"/>
      <c r="JE26" s="1641"/>
      <c r="JF26" s="1641"/>
      <c r="JG26" s="1641"/>
      <c r="JH26" s="1637">
        <v>1700</v>
      </c>
      <c r="JI26" s="1637"/>
      <c r="JJ26" s="1637"/>
      <c r="JK26" s="1637"/>
      <c r="JL26" s="1637"/>
      <c r="JM26" s="1637"/>
      <c r="JN26" s="1637"/>
      <c r="JO26" s="1637"/>
      <c r="JP26" s="1637"/>
      <c r="JQ26" s="1640"/>
      <c r="JR26" s="351"/>
    </row>
    <row r="27" spans="1:278" x14ac:dyDescent="0.25">
      <c r="A27" s="1367">
        <v>27</v>
      </c>
      <c r="B27" s="1411" t="str">
        <f t="shared" si="0"/>
        <v/>
      </c>
      <c r="C27" s="1435" t="s">
        <v>3907</v>
      </c>
      <c r="D27" s="1361" t="s">
        <v>3869</v>
      </c>
      <c r="E27" s="1641"/>
      <c r="F27" s="1641"/>
      <c r="G27" s="1641"/>
      <c r="H27" s="1641"/>
      <c r="I27" s="1641"/>
      <c r="J27" s="1641"/>
      <c r="K27" s="1641"/>
      <c r="L27" s="1641"/>
      <c r="M27" s="1641"/>
      <c r="N27" s="1641"/>
      <c r="O27" s="1641"/>
      <c r="P27" s="1641"/>
      <c r="Q27" s="1641"/>
      <c r="R27" s="1641"/>
      <c r="S27" s="1641"/>
      <c r="T27" s="1641"/>
      <c r="U27" s="1641"/>
      <c r="V27" s="1641"/>
      <c r="W27" s="1641"/>
      <c r="X27" s="1641"/>
      <c r="Y27" s="1641"/>
      <c r="Z27" s="1641"/>
      <c r="AA27" s="1641"/>
      <c r="AB27" s="1641"/>
      <c r="AC27" s="1641"/>
      <c r="AD27" s="1641"/>
      <c r="AE27" s="1641"/>
      <c r="AF27" s="1641"/>
      <c r="AG27" s="1641"/>
      <c r="AH27" s="1641"/>
      <c r="AI27" s="1641"/>
      <c r="AJ27" s="1641"/>
      <c r="AK27" s="1641"/>
      <c r="AL27" s="1641"/>
      <c r="AM27" s="1641"/>
      <c r="AN27" s="1641"/>
      <c r="AO27" s="1641"/>
      <c r="AP27" s="1641"/>
      <c r="AQ27" s="1641"/>
      <c r="AR27" s="1641"/>
      <c r="AS27" s="1641"/>
      <c r="AT27" s="1641"/>
      <c r="AU27" s="1641"/>
      <c r="AV27" s="1641"/>
      <c r="AW27" s="1641"/>
      <c r="AX27" s="1641"/>
      <c r="AY27" s="1641"/>
      <c r="AZ27" s="1641"/>
      <c r="BA27" s="1641"/>
      <c r="BB27" s="1641"/>
      <c r="BC27" s="1641"/>
      <c r="BD27" s="1641"/>
      <c r="BE27" s="1641"/>
      <c r="BF27" s="1641"/>
      <c r="BG27" s="1641"/>
      <c r="BH27" s="1641"/>
      <c r="BI27" s="1641"/>
      <c r="BJ27" s="1641"/>
      <c r="BK27" s="1641"/>
      <c r="BL27" s="1641"/>
      <c r="BM27" s="1641"/>
      <c r="BN27" s="1641"/>
      <c r="BO27" s="1641"/>
      <c r="BP27" s="1641"/>
      <c r="BQ27" s="1641"/>
      <c r="BR27" s="1641"/>
      <c r="BS27" s="1641"/>
      <c r="BT27" s="1641"/>
      <c r="BU27" s="1641"/>
      <c r="BV27" s="1641"/>
      <c r="BW27" s="1641"/>
      <c r="BX27" s="1641"/>
      <c r="BY27" s="1641"/>
      <c r="BZ27" s="1641"/>
      <c r="CA27" s="1641"/>
      <c r="CB27" s="1641"/>
      <c r="CC27" s="1641"/>
      <c r="CD27" s="1641"/>
      <c r="CE27" s="1641"/>
      <c r="CF27" s="1641"/>
      <c r="CG27" s="1641"/>
      <c r="CH27" s="1641"/>
      <c r="CI27" s="1641"/>
      <c r="CJ27" s="1636">
        <v>6</v>
      </c>
      <c r="CK27" s="1641"/>
      <c r="CL27" s="1641"/>
      <c r="CM27" s="1641"/>
      <c r="CN27" s="1641"/>
      <c r="CO27" s="1641"/>
      <c r="CP27" s="1641"/>
      <c r="CQ27" s="1641"/>
      <c r="CR27" s="1641"/>
      <c r="CS27" s="1641"/>
      <c r="CT27" s="1641"/>
      <c r="CU27" s="1641"/>
      <c r="CV27" s="1641"/>
      <c r="CW27" s="1641"/>
      <c r="CX27" s="1641"/>
      <c r="CY27" s="1641"/>
      <c r="CZ27" s="1641"/>
      <c r="DA27" s="1641"/>
      <c r="DB27" s="1641"/>
      <c r="DC27" s="1641"/>
      <c r="DD27" s="1641"/>
      <c r="DE27" s="1641"/>
      <c r="DF27" s="1641"/>
      <c r="DG27" s="1641"/>
      <c r="DH27" s="1641"/>
      <c r="DI27" s="1641"/>
      <c r="DJ27" s="1641"/>
      <c r="DK27" s="1641"/>
      <c r="DL27" s="1641"/>
      <c r="DM27" s="1641"/>
      <c r="DN27" s="1641"/>
      <c r="DO27" s="1641"/>
      <c r="DP27" s="1641">
        <v>75</v>
      </c>
      <c r="DQ27" s="1641"/>
      <c r="DR27" s="1636">
        <v>26</v>
      </c>
      <c r="DS27" s="1641"/>
      <c r="DT27" s="1641">
        <v>75</v>
      </c>
      <c r="DU27" s="1641"/>
      <c r="DV27" s="1641"/>
      <c r="DW27" s="1636">
        <v>224.98</v>
      </c>
      <c r="DX27" s="1641"/>
      <c r="DY27" s="1641"/>
      <c r="DZ27" s="1641"/>
      <c r="EA27" s="1641"/>
      <c r="EB27" s="1641"/>
      <c r="EC27" s="1641"/>
      <c r="ED27" s="1641"/>
      <c r="EE27" s="1641"/>
      <c r="EF27" s="1641"/>
      <c r="EG27" s="1641"/>
      <c r="EH27" s="1641"/>
      <c r="EI27" s="1641"/>
      <c r="EJ27" s="1641"/>
      <c r="EK27" s="1641"/>
      <c r="EL27" s="1641"/>
      <c r="EM27" s="1636">
        <v>150</v>
      </c>
      <c r="EN27" s="1636">
        <v>12</v>
      </c>
      <c r="EO27" s="1641"/>
      <c r="EP27" s="1641"/>
      <c r="EQ27" s="1636">
        <v>1302</v>
      </c>
      <c r="ER27" s="1641"/>
      <c r="ES27" s="1641"/>
      <c r="ET27" s="1641"/>
      <c r="EU27" s="1641"/>
      <c r="EV27" s="1641"/>
      <c r="EW27" s="1641"/>
      <c r="EX27" s="1641"/>
      <c r="EY27" s="1641"/>
      <c r="EZ27" s="1641"/>
      <c r="FA27" s="1641"/>
      <c r="FB27" s="1641"/>
      <c r="FC27" s="1641"/>
      <c r="FD27" s="1641"/>
      <c r="FE27" s="1641"/>
      <c r="FF27" s="1641"/>
      <c r="FG27" s="1641"/>
      <c r="FH27" s="1641"/>
      <c r="FI27" s="1641"/>
      <c r="FJ27" s="1641"/>
      <c r="FK27" s="1641"/>
      <c r="FL27" s="1641"/>
      <c r="FM27" s="1641"/>
      <c r="FN27" s="1641"/>
      <c r="FO27" s="1641"/>
      <c r="FP27" s="1641"/>
      <c r="FQ27" s="1641"/>
      <c r="FR27" s="1641"/>
      <c r="FS27" s="1641"/>
      <c r="FT27" s="1641"/>
      <c r="FU27" s="1641"/>
      <c r="FV27" s="1641"/>
      <c r="FW27" s="1641"/>
      <c r="FX27" s="1641"/>
      <c r="FY27" s="1641"/>
      <c r="FZ27" s="1641"/>
      <c r="GA27" s="1641"/>
      <c r="GB27" s="1641"/>
      <c r="GC27" s="1641"/>
      <c r="GD27" s="1641"/>
      <c r="GE27" s="1641"/>
      <c r="GF27" s="1641"/>
      <c r="GG27" s="1641"/>
      <c r="GH27" s="1641"/>
      <c r="GI27" s="1641"/>
      <c r="GJ27" s="1641"/>
      <c r="GK27" s="1641"/>
      <c r="GL27" s="1641"/>
      <c r="GM27" s="1641"/>
      <c r="GN27" s="1641"/>
      <c r="GO27" s="1641"/>
      <c r="GP27" s="1641"/>
      <c r="GQ27" s="1641"/>
      <c r="GR27" s="1641"/>
      <c r="GS27" s="1641"/>
      <c r="GT27" s="1641"/>
      <c r="GU27" s="1641"/>
      <c r="GV27" s="1641"/>
      <c r="GW27" s="1641"/>
      <c r="GX27" s="1641"/>
      <c r="GY27" s="1641"/>
      <c r="GZ27" s="1641"/>
      <c r="HA27" s="1641"/>
      <c r="HB27" s="1641"/>
      <c r="HC27" s="1641"/>
      <c r="HD27" s="1641"/>
      <c r="HE27" s="1641"/>
      <c r="HF27" s="1641"/>
      <c r="HG27" s="1641"/>
      <c r="HH27" s="1641">
        <v>100</v>
      </c>
      <c r="HI27" s="1641"/>
      <c r="HJ27" s="1641"/>
      <c r="HK27" s="1641"/>
      <c r="HL27" s="1641"/>
      <c r="HM27" s="1641"/>
      <c r="HN27" s="1641"/>
      <c r="HO27" s="1641"/>
      <c r="HP27" s="1641"/>
      <c r="HQ27" s="1641"/>
      <c r="HR27" s="1641"/>
      <c r="HS27" s="1641"/>
      <c r="HT27" s="1641"/>
      <c r="HU27" s="1641"/>
      <c r="HV27" s="1641"/>
      <c r="HW27" s="1641"/>
      <c r="HX27" s="1641"/>
      <c r="HY27" s="1641"/>
      <c r="HZ27" s="1641"/>
      <c r="IA27" s="1636">
        <v>243</v>
      </c>
      <c r="IB27" s="1641"/>
      <c r="IC27" s="1641"/>
      <c r="ID27" s="1641"/>
      <c r="IE27" s="1641"/>
      <c r="IF27" s="1636">
        <v>16584</v>
      </c>
      <c r="IG27" s="1641"/>
      <c r="IH27" s="1641"/>
      <c r="II27" s="1641"/>
      <c r="IJ27" s="1641"/>
      <c r="IK27" s="1641"/>
      <c r="IL27" s="1641"/>
      <c r="IM27" s="1641"/>
      <c r="IN27" s="1641"/>
      <c r="IO27" s="1641"/>
      <c r="IP27" s="1637"/>
      <c r="IQ27" s="1637"/>
      <c r="IR27" s="1637"/>
      <c r="IS27" s="1637"/>
      <c r="IT27" s="1637"/>
      <c r="IU27" s="1637"/>
      <c r="IV27" s="1637"/>
      <c r="IW27" s="1637"/>
      <c r="IX27" s="1641"/>
      <c r="IY27" s="1641"/>
      <c r="IZ27" s="1641"/>
      <c r="JA27" s="1641"/>
      <c r="JB27" s="1641"/>
      <c r="JC27" s="1641"/>
      <c r="JD27" s="1641"/>
      <c r="JE27" s="1641"/>
      <c r="JF27" s="1641"/>
      <c r="JG27" s="1641"/>
      <c r="JH27" s="1637"/>
      <c r="JI27" s="1637"/>
      <c r="JJ27" s="1637"/>
      <c r="JK27" s="1637"/>
      <c r="JL27" s="1637"/>
      <c r="JM27" s="1637"/>
      <c r="JN27" s="1637"/>
      <c r="JO27" s="1637"/>
      <c r="JP27" s="1637"/>
      <c r="JQ27" s="1640"/>
      <c r="JR27" s="351"/>
    </row>
    <row r="28" spans="1:278" x14ac:dyDescent="0.25">
      <c r="A28" s="1367">
        <v>28</v>
      </c>
      <c r="B28" s="1411" t="str">
        <f t="shared" si="0"/>
        <v/>
      </c>
      <c r="C28" s="1435" t="s">
        <v>3908</v>
      </c>
      <c r="D28" s="1361" t="s">
        <v>3871</v>
      </c>
      <c r="E28" s="1641"/>
      <c r="F28" s="1641"/>
      <c r="G28" s="1641"/>
      <c r="H28" s="1641"/>
      <c r="I28" s="1641"/>
      <c r="J28" s="1641"/>
      <c r="K28" s="1641"/>
      <c r="L28" s="1641"/>
      <c r="M28" s="1641"/>
      <c r="N28" s="1641"/>
      <c r="O28" s="1641"/>
      <c r="P28" s="1641"/>
      <c r="Q28" s="1641"/>
      <c r="R28" s="1641"/>
      <c r="S28" s="1641"/>
      <c r="T28" s="1641"/>
      <c r="U28" s="1641"/>
      <c r="V28" s="1641"/>
      <c r="W28" s="1641"/>
      <c r="X28" s="1641"/>
      <c r="Y28" s="1641"/>
      <c r="Z28" s="1641"/>
      <c r="AA28" s="1641"/>
      <c r="AB28" s="1641"/>
      <c r="AC28" s="1641"/>
      <c r="AD28" s="1641"/>
      <c r="AE28" s="1641"/>
      <c r="AF28" s="1641"/>
      <c r="AG28" s="1641"/>
      <c r="AH28" s="1641"/>
      <c r="AI28" s="1641"/>
      <c r="AJ28" s="1641"/>
      <c r="AK28" s="1641"/>
      <c r="AL28" s="1641"/>
      <c r="AM28" s="1641"/>
      <c r="AN28" s="1641"/>
      <c r="AO28" s="1641"/>
      <c r="AP28" s="1641"/>
      <c r="AQ28" s="1641"/>
      <c r="AR28" s="1641"/>
      <c r="AS28" s="1641"/>
      <c r="AT28" s="1641"/>
      <c r="AU28" s="1641"/>
      <c r="AV28" s="1641"/>
      <c r="AW28" s="1641"/>
      <c r="AX28" s="1641"/>
      <c r="AY28" s="1641"/>
      <c r="AZ28" s="1641"/>
      <c r="BA28" s="1641"/>
      <c r="BB28" s="1641"/>
      <c r="BC28" s="1641"/>
      <c r="BD28" s="1641"/>
      <c r="BE28" s="1641"/>
      <c r="BF28" s="1641"/>
      <c r="BG28" s="1641"/>
      <c r="BH28" s="1641"/>
      <c r="BI28" s="1641"/>
      <c r="BJ28" s="1641"/>
      <c r="BK28" s="1641"/>
      <c r="BL28" s="1641"/>
      <c r="BM28" s="1641"/>
      <c r="BN28" s="1641"/>
      <c r="BO28" s="1641"/>
      <c r="BP28" s="1641"/>
      <c r="BQ28" s="1641"/>
      <c r="BR28" s="1641"/>
      <c r="BS28" s="1641"/>
      <c r="BT28" s="1641"/>
      <c r="BU28" s="1641"/>
      <c r="BV28" s="1641"/>
      <c r="BW28" s="1641"/>
      <c r="BX28" s="1641"/>
      <c r="BY28" s="1641"/>
      <c r="BZ28" s="1641"/>
      <c r="CA28" s="1641"/>
      <c r="CB28" s="1641"/>
      <c r="CC28" s="1641"/>
      <c r="CD28" s="1641"/>
      <c r="CE28" s="1641"/>
      <c r="CF28" s="1641"/>
      <c r="CG28" s="1641"/>
      <c r="CH28" s="1641"/>
      <c r="CI28" s="1641"/>
      <c r="CJ28" s="1641"/>
      <c r="CK28" s="1641"/>
      <c r="CL28" s="1641"/>
      <c r="CM28" s="1641"/>
      <c r="CN28" s="1641"/>
      <c r="CO28" s="1641"/>
      <c r="CP28" s="1641"/>
      <c r="CQ28" s="1641"/>
      <c r="CR28" s="1641"/>
      <c r="CS28" s="1641"/>
      <c r="CT28" s="1641"/>
      <c r="CU28" s="1641"/>
      <c r="CV28" s="1641"/>
      <c r="CW28" s="1641"/>
      <c r="CX28" s="1641"/>
      <c r="CY28" s="1641"/>
      <c r="CZ28" s="1641"/>
      <c r="DA28" s="1641"/>
      <c r="DB28" s="1641"/>
      <c r="DC28" s="1641"/>
      <c r="DD28" s="1641"/>
      <c r="DE28" s="1641"/>
      <c r="DF28" s="1641"/>
      <c r="DG28" s="1641"/>
      <c r="DH28" s="1641"/>
      <c r="DI28" s="1641"/>
      <c r="DJ28" s="1641"/>
      <c r="DK28" s="1641"/>
      <c r="DL28" s="1641"/>
      <c r="DM28" s="1641"/>
      <c r="DN28" s="1641"/>
      <c r="DO28" s="1641"/>
      <c r="DP28" s="1641"/>
      <c r="DQ28" s="1641"/>
      <c r="DR28" s="1641"/>
      <c r="DS28" s="1641"/>
      <c r="DT28" s="1641"/>
      <c r="DU28" s="1641"/>
      <c r="DV28" s="1641"/>
      <c r="DW28" s="1641"/>
      <c r="DX28" s="1641"/>
      <c r="DY28" s="1641"/>
      <c r="DZ28" s="1641"/>
      <c r="EA28" s="1641"/>
      <c r="EB28" s="1641"/>
      <c r="EC28" s="1641"/>
      <c r="ED28" s="1641"/>
      <c r="EE28" s="1641"/>
      <c r="EF28" s="1641"/>
      <c r="EG28" s="1641"/>
      <c r="EH28" s="1641"/>
      <c r="EI28" s="1641"/>
      <c r="EJ28" s="1641"/>
      <c r="EK28" s="1641"/>
      <c r="EL28" s="1641"/>
      <c r="EM28" s="1641"/>
      <c r="EN28" s="1641"/>
      <c r="EO28" s="1641"/>
      <c r="EP28" s="1641"/>
      <c r="EQ28" s="1641"/>
      <c r="ER28" s="1641"/>
      <c r="ES28" s="1641"/>
      <c r="ET28" s="1641"/>
      <c r="EU28" s="1641"/>
      <c r="EV28" s="1641"/>
      <c r="EW28" s="1641"/>
      <c r="EX28" s="1641"/>
      <c r="EY28" s="1641"/>
      <c r="EZ28" s="1641"/>
      <c r="FA28" s="1641"/>
      <c r="FB28" s="1641"/>
      <c r="FC28" s="1641"/>
      <c r="FD28" s="1641"/>
      <c r="FE28" s="1641"/>
      <c r="FF28" s="1641"/>
      <c r="FG28" s="1641"/>
      <c r="FH28" s="1641"/>
      <c r="FI28" s="1641"/>
      <c r="FJ28" s="1641"/>
      <c r="FK28" s="1641"/>
      <c r="FL28" s="1641"/>
      <c r="FM28" s="1641"/>
      <c r="FN28" s="1641"/>
      <c r="FO28" s="1641"/>
      <c r="FP28" s="1641"/>
      <c r="FQ28" s="1641"/>
      <c r="FR28" s="1641"/>
      <c r="FS28" s="1641"/>
      <c r="FT28" s="1641"/>
      <c r="FU28" s="1641"/>
      <c r="FV28" s="1641"/>
      <c r="FW28" s="1641"/>
      <c r="FX28" s="1641"/>
      <c r="FY28" s="1641"/>
      <c r="FZ28" s="1641"/>
      <c r="GA28" s="1641"/>
      <c r="GB28" s="1641"/>
      <c r="GC28" s="1641"/>
      <c r="GD28" s="1641"/>
      <c r="GE28" s="1641"/>
      <c r="GF28" s="1641"/>
      <c r="GG28" s="1641"/>
      <c r="GH28" s="1641"/>
      <c r="GI28" s="1641"/>
      <c r="GJ28" s="1641"/>
      <c r="GK28" s="1641"/>
      <c r="GL28" s="1641"/>
      <c r="GM28" s="1641"/>
      <c r="GN28" s="1641"/>
      <c r="GO28" s="1641"/>
      <c r="GP28" s="1641"/>
      <c r="GQ28" s="1641"/>
      <c r="GR28" s="1641"/>
      <c r="GS28" s="1641"/>
      <c r="GT28" s="1641"/>
      <c r="GU28" s="1641"/>
      <c r="GV28" s="1641"/>
      <c r="GW28" s="1641"/>
      <c r="GX28" s="1641"/>
      <c r="GY28" s="1641"/>
      <c r="GZ28" s="1641"/>
      <c r="HA28" s="1641"/>
      <c r="HB28" s="1641"/>
      <c r="HC28" s="1641"/>
      <c r="HD28" s="1641"/>
      <c r="HE28" s="1641"/>
      <c r="HF28" s="1641"/>
      <c r="HG28" s="1641"/>
      <c r="HH28" s="1641"/>
      <c r="HI28" s="1641"/>
      <c r="HJ28" s="1641"/>
      <c r="HK28" s="1641"/>
      <c r="HL28" s="1641"/>
      <c r="HM28" s="1641"/>
      <c r="HN28" s="1641"/>
      <c r="HO28" s="1641"/>
      <c r="HP28" s="1641"/>
      <c r="HQ28" s="1641"/>
      <c r="HR28" s="1641"/>
      <c r="HS28" s="1641"/>
      <c r="HT28" s="1641"/>
      <c r="HU28" s="1641"/>
      <c r="HV28" s="1641"/>
      <c r="HW28" s="1641"/>
      <c r="HX28" s="1641"/>
      <c r="HY28" s="1641"/>
      <c r="HZ28" s="1641"/>
      <c r="IA28" s="1641"/>
      <c r="IB28" s="1641"/>
      <c r="IC28" s="1641"/>
      <c r="ID28" s="1641"/>
      <c r="IE28" s="1641"/>
      <c r="IF28" s="1641"/>
      <c r="IG28" s="1641"/>
      <c r="IH28" s="1641"/>
      <c r="II28" s="1641"/>
      <c r="IJ28" s="1641"/>
      <c r="IK28" s="1641"/>
      <c r="IL28" s="1641"/>
      <c r="IM28" s="1641"/>
      <c r="IN28" s="1641"/>
      <c r="IO28" s="1641"/>
      <c r="IP28" s="1637"/>
      <c r="IQ28" s="1637"/>
      <c r="IR28" s="1637"/>
      <c r="IS28" s="1637"/>
      <c r="IT28" s="1637"/>
      <c r="IU28" s="1637"/>
      <c r="IV28" s="1637"/>
      <c r="IW28" s="1637"/>
      <c r="IX28" s="1641"/>
      <c r="IY28" s="1641"/>
      <c r="IZ28" s="1641"/>
      <c r="JA28" s="1641"/>
      <c r="JB28" s="1641"/>
      <c r="JC28" s="1641"/>
      <c r="JD28" s="1641"/>
      <c r="JE28" s="1641"/>
      <c r="JF28" s="1641"/>
      <c r="JG28" s="1641"/>
      <c r="JH28" s="1637"/>
      <c r="JI28" s="1637"/>
      <c r="JJ28" s="1637"/>
      <c r="JK28" s="1637"/>
      <c r="JL28" s="1637"/>
      <c r="JM28" s="1637"/>
      <c r="JN28" s="1637"/>
      <c r="JO28" s="1637"/>
      <c r="JP28" s="1637"/>
      <c r="JQ28" s="1640"/>
      <c r="JR28" s="351"/>
    </row>
    <row r="29" spans="1:278" x14ac:dyDescent="0.25">
      <c r="A29" s="1367">
        <v>29</v>
      </c>
      <c r="B29" s="1411" t="str">
        <f t="shared" si="0"/>
        <v/>
      </c>
      <c r="C29" s="1435" t="s">
        <v>3909</v>
      </c>
      <c r="D29" s="1361" t="s">
        <v>3873</v>
      </c>
      <c r="E29" s="1639"/>
      <c r="F29" s="1639"/>
      <c r="G29" s="1639"/>
      <c r="H29" s="1639"/>
      <c r="I29" s="1639"/>
      <c r="J29" s="1639"/>
      <c r="K29" s="1639"/>
      <c r="L29" s="1639"/>
      <c r="M29" s="1639"/>
      <c r="N29" s="1639"/>
      <c r="O29" s="1639"/>
      <c r="P29" s="1639"/>
      <c r="Q29" s="1639"/>
      <c r="R29" s="1639"/>
      <c r="S29" s="1639"/>
      <c r="T29" s="1639"/>
      <c r="U29" s="1639"/>
      <c r="V29" s="1639"/>
      <c r="W29" s="1639"/>
      <c r="X29" s="1639"/>
      <c r="Y29" s="1639"/>
      <c r="Z29" s="1639"/>
      <c r="AA29" s="1639"/>
      <c r="AB29" s="1639"/>
      <c r="AC29" s="1639"/>
      <c r="AD29" s="1639"/>
      <c r="AE29" s="1639"/>
      <c r="AF29" s="1639"/>
      <c r="AG29" s="1639"/>
      <c r="AH29" s="1639"/>
      <c r="AI29" s="1639"/>
      <c r="AJ29" s="1639"/>
      <c r="AK29" s="1639"/>
      <c r="AL29" s="1639"/>
      <c r="AM29" s="1639"/>
      <c r="AN29" s="1639"/>
      <c r="AO29" s="1639"/>
      <c r="AP29" s="1639"/>
      <c r="AQ29" s="1639"/>
      <c r="AR29" s="1639"/>
      <c r="AS29" s="1639"/>
      <c r="AT29" s="1639"/>
      <c r="AU29" s="1639"/>
      <c r="AV29" s="1639"/>
      <c r="AW29" s="1639"/>
      <c r="AX29" s="1639"/>
      <c r="AY29" s="1639"/>
      <c r="AZ29" s="1639"/>
      <c r="BA29" s="1639"/>
      <c r="BB29" s="1639"/>
      <c r="BC29" s="1639"/>
      <c r="BD29" s="1639"/>
      <c r="BE29" s="1639"/>
      <c r="BF29" s="1639"/>
      <c r="BG29" s="1639"/>
      <c r="BH29" s="1639"/>
      <c r="BI29" s="1639"/>
      <c r="BJ29" s="1639"/>
      <c r="BK29" s="1639"/>
      <c r="BL29" s="1639"/>
      <c r="BM29" s="1639"/>
      <c r="BN29" s="1639"/>
      <c r="BO29" s="1639"/>
      <c r="BP29" s="1639"/>
      <c r="BQ29" s="1639"/>
      <c r="BR29" s="1639"/>
      <c r="BS29" s="1639"/>
      <c r="BT29" s="1639"/>
      <c r="BU29" s="1639"/>
      <c r="BV29" s="1639"/>
      <c r="BW29" s="1639"/>
      <c r="BX29" s="1639"/>
      <c r="BY29" s="1639"/>
      <c r="BZ29" s="1639"/>
      <c r="CA29" s="1639"/>
      <c r="CB29" s="1639"/>
      <c r="CC29" s="1639"/>
      <c r="CD29" s="1639"/>
      <c r="CE29" s="1639"/>
      <c r="CF29" s="1639"/>
      <c r="CG29" s="1639"/>
      <c r="CH29" s="1639"/>
      <c r="CI29" s="1639"/>
      <c r="CJ29" s="1638" t="s">
        <v>1707</v>
      </c>
      <c r="CK29" s="1639"/>
      <c r="CL29" s="1639"/>
      <c r="CM29" s="1639"/>
      <c r="CN29" s="1639"/>
      <c r="CO29" s="1639"/>
      <c r="CP29" s="1639"/>
      <c r="CQ29" s="1639"/>
      <c r="CR29" s="1639"/>
      <c r="CS29" s="1639"/>
      <c r="CT29" s="1639"/>
      <c r="CU29" s="1639"/>
      <c r="CV29" s="1639"/>
      <c r="CW29" s="1639"/>
      <c r="CX29" s="1639"/>
      <c r="CY29" s="1639"/>
      <c r="CZ29" s="1639"/>
      <c r="DA29" s="1639"/>
      <c r="DB29" s="1639"/>
      <c r="DC29" s="1639"/>
      <c r="DD29" s="1639"/>
      <c r="DE29" s="1639"/>
      <c r="DF29" s="1639"/>
      <c r="DG29" s="1639"/>
      <c r="DH29" s="1639"/>
      <c r="DI29" s="1639"/>
      <c r="DJ29" s="1639"/>
      <c r="DK29" s="1639"/>
      <c r="DL29" s="1639"/>
      <c r="DM29" s="1639"/>
      <c r="DN29" s="1639"/>
      <c r="DO29" s="1639"/>
      <c r="DP29" s="1639" t="s">
        <v>1707</v>
      </c>
      <c r="DQ29" s="1639"/>
      <c r="DR29" s="1638" t="s">
        <v>1707</v>
      </c>
      <c r="DS29" s="1639"/>
      <c r="DT29" s="1639" t="s">
        <v>1707</v>
      </c>
      <c r="DU29" s="1639"/>
      <c r="DV29" s="1639"/>
      <c r="DW29" s="1638" t="s">
        <v>1707</v>
      </c>
      <c r="DX29" s="1639"/>
      <c r="DY29" s="1639"/>
      <c r="DZ29" s="1639"/>
      <c r="EA29" s="1639"/>
      <c r="EB29" s="1639"/>
      <c r="EC29" s="1639"/>
      <c r="ED29" s="1639"/>
      <c r="EE29" s="1639"/>
      <c r="EF29" s="1639"/>
      <c r="EG29" s="1639"/>
      <c r="EH29" s="1639"/>
      <c r="EI29" s="1639"/>
      <c r="EJ29" s="1639"/>
      <c r="EK29" s="1639"/>
      <c r="EL29" s="1639"/>
      <c r="EM29" s="1638" t="s">
        <v>1707</v>
      </c>
      <c r="EN29" s="1638" t="s">
        <v>1707</v>
      </c>
      <c r="EO29" s="1639"/>
      <c r="EP29" s="1639"/>
      <c r="EQ29" s="1638" t="s">
        <v>1707</v>
      </c>
      <c r="ER29" s="1639"/>
      <c r="ES29" s="1639"/>
      <c r="ET29" s="1639"/>
      <c r="EU29" s="1639"/>
      <c r="EV29" s="1639"/>
      <c r="EW29" s="1639"/>
      <c r="EX29" s="1639"/>
      <c r="EY29" s="1639"/>
      <c r="EZ29" s="1639"/>
      <c r="FA29" s="1639"/>
      <c r="FB29" s="1639"/>
      <c r="FC29" s="1639"/>
      <c r="FD29" s="1639"/>
      <c r="FE29" s="1639"/>
      <c r="FF29" s="1639"/>
      <c r="FG29" s="1639"/>
      <c r="FH29" s="1639"/>
      <c r="FI29" s="1639"/>
      <c r="FJ29" s="1639"/>
      <c r="FK29" s="1639"/>
      <c r="FL29" s="1639"/>
      <c r="FM29" s="1639"/>
      <c r="FN29" s="1639"/>
      <c r="FO29" s="1639"/>
      <c r="FP29" s="1639"/>
      <c r="FQ29" s="1639"/>
      <c r="FR29" s="1639"/>
      <c r="FS29" s="1639"/>
      <c r="FT29" s="1639"/>
      <c r="FU29" s="1639"/>
      <c r="FV29" s="1639"/>
      <c r="FW29" s="1639"/>
      <c r="FX29" s="1639"/>
      <c r="FY29" s="1639"/>
      <c r="FZ29" s="1639"/>
      <c r="GA29" s="1639"/>
      <c r="GB29" s="1639"/>
      <c r="GC29" s="1639"/>
      <c r="GD29" s="1639"/>
      <c r="GE29" s="1639"/>
      <c r="GF29" s="1639"/>
      <c r="GG29" s="1639"/>
      <c r="GH29" s="1639"/>
      <c r="GI29" s="1639"/>
      <c r="GJ29" s="1639"/>
      <c r="GK29" s="1639"/>
      <c r="GL29" s="1639"/>
      <c r="GM29" s="1639"/>
      <c r="GN29" s="1639"/>
      <c r="GO29" s="1639"/>
      <c r="GP29" s="1639"/>
      <c r="GQ29" s="1639"/>
      <c r="GR29" s="1639"/>
      <c r="GS29" s="1639"/>
      <c r="GT29" s="1639"/>
      <c r="GU29" s="1639"/>
      <c r="GV29" s="1639"/>
      <c r="GW29" s="1639"/>
      <c r="GX29" s="1639"/>
      <c r="GY29" s="1639"/>
      <c r="GZ29" s="1639"/>
      <c r="HA29" s="1639"/>
      <c r="HB29" s="1639"/>
      <c r="HC29" s="1639"/>
      <c r="HD29" s="1639"/>
      <c r="HE29" s="1639"/>
      <c r="HF29" s="1639"/>
      <c r="HG29" s="1639"/>
      <c r="HH29" s="1639" t="s">
        <v>1707</v>
      </c>
      <c r="HI29" s="1639"/>
      <c r="HJ29" s="1639"/>
      <c r="HK29" s="1639"/>
      <c r="HL29" s="1639"/>
      <c r="HM29" s="1639"/>
      <c r="HN29" s="1639"/>
      <c r="HO29" s="1639"/>
      <c r="HP29" s="1639"/>
      <c r="HQ29" s="1639"/>
      <c r="HR29" s="1639"/>
      <c r="HS29" s="1639"/>
      <c r="HT29" s="1639"/>
      <c r="HU29" s="1639"/>
      <c r="HV29" s="1639"/>
      <c r="HW29" s="1639"/>
      <c r="HX29" s="1639"/>
      <c r="HY29" s="1639"/>
      <c r="HZ29" s="1639"/>
      <c r="IA29" s="1638" t="s">
        <v>1707</v>
      </c>
      <c r="IB29" s="1639"/>
      <c r="IC29" s="1639"/>
      <c r="ID29" s="1639"/>
      <c r="IE29" s="1639"/>
      <c r="IF29" s="1638" t="s">
        <v>1707</v>
      </c>
      <c r="IG29" s="1639"/>
      <c r="IH29" s="1639"/>
      <c r="II29" s="1639"/>
      <c r="IJ29" s="1639"/>
      <c r="IK29" s="1639"/>
      <c r="IL29" s="1639"/>
      <c r="IM29" s="1639"/>
      <c r="IN29" s="1639"/>
      <c r="IO29" s="1639"/>
      <c r="IP29" s="1414"/>
      <c r="IQ29" s="1414"/>
      <c r="IR29" s="1414"/>
      <c r="IS29" s="1414"/>
      <c r="IT29" s="1414"/>
      <c r="IU29" s="1414"/>
      <c r="IV29" s="1414"/>
      <c r="IW29" s="1414"/>
      <c r="IX29" s="1639"/>
      <c r="IY29" s="1639"/>
      <c r="IZ29" s="1639"/>
      <c r="JA29" s="1639"/>
      <c r="JB29" s="1639"/>
      <c r="JC29" s="1639"/>
      <c r="JD29" s="1639"/>
      <c r="JE29" s="1639"/>
      <c r="JF29" s="1639"/>
      <c r="JG29" s="1639"/>
      <c r="JH29" s="1414"/>
      <c r="JI29" s="1414"/>
      <c r="JJ29" s="1414"/>
      <c r="JK29" s="1414"/>
      <c r="JL29" s="1414"/>
      <c r="JM29" s="1414"/>
      <c r="JN29" s="1414"/>
      <c r="JO29" s="1414"/>
      <c r="JP29" s="1414"/>
      <c r="JQ29" s="1415"/>
      <c r="JR29" s="351"/>
    </row>
    <row r="30" spans="1:278" x14ac:dyDescent="0.25">
      <c r="A30" s="1367">
        <v>30</v>
      </c>
      <c r="B30" s="1411" t="str">
        <f t="shared" si="0"/>
        <v/>
      </c>
      <c r="C30" s="1435" t="s">
        <v>3910</v>
      </c>
      <c r="D30" s="1361" t="s">
        <v>3875</v>
      </c>
      <c r="E30" s="2561"/>
      <c r="F30" s="2561"/>
      <c r="G30" s="2561"/>
      <c r="H30" s="2561"/>
      <c r="I30" s="2561"/>
      <c r="J30" s="2561"/>
      <c r="K30" s="2561"/>
      <c r="L30" s="2561"/>
      <c r="M30" s="2561"/>
      <c r="N30" s="2561"/>
      <c r="O30" s="2561"/>
      <c r="P30" s="2561"/>
      <c r="Q30" s="2561"/>
      <c r="R30" s="2561"/>
      <c r="S30" s="2561"/>
      <c r="T30" s="2561"/>
      <c r="U30" s="2561"/>
      <c r="V30" s="2561"/>
      <c r="W30" s="2561"/>
      <c r="X30" s="2561"/>
      <c r="Y30" s="2561"/>
      <c r="Z30" s="2561"/>
      <c r="AA30" s="2561"/>
      <c r="AB30" s="2561"/>
      <c r="AC30" s="2561"/>
      <c r="AD30" s="2561"/>
      <c r="AE30" s="2561"/>
      <c r="AF30" s="2561"/>
      <c r="AG30" s="2561"/>
      <c r="AH30" s="2561"/>
      <c r="AI30" s="2561"/>
      <c r="AJ30" s="2561"/>
      <c r="AK30" s="2561"/>
      <c r="AL30" s="2561"/>
      <c r="AM30" s="2561"/>
      <c r="AN30" s="2561"/>
      <c r="AO30" s="2561"/>
      <c r="AP30" s="2561"/>
      <c r="AQ30" s="2561"/>
      <c r="AR30" s="2561"/>
      <c r="AS30" s="2561"/>
      <c r="AT30" s="2561"/>
      <c r="AU30" s="2561"/>
      <c r="AV30" s="2561"/>
      <c r="AW30" s="2561"/>
      <c r="AX30" s="2561"/>
      <c r="AY30" s="2561"/>
      <c r="AZ30" s="2561"/>
      <c r="BA30" s="2561"/>
      <c r="BB30" s="2561"/>
      <c r="BC30" s="2561"/>
      <c r="BD30" s="2561"/>
      <c r="BE30" s="2561"/>
      <c r="BF30" s="2561"/>
      <c r="BG30" s="2561"/>
      <c r="BH30" s="2561"/>
      <c r="BI30" s="2561"/>
      <c r="BJ30" s="2561"/>
      <c r="BK30" s="2561"/>
      <c r="BL30" s="2561"/>
      <c r="BM30" s="2561"/>
      <c r="BN30" s="2561"/>
      <c r="BO30" s="2561"/>
      <c r="BP30" s="2561"/>
      <c r="BQ30" s="2561"/>
      <c r="BR30" s="2561"/>
      <c r="BS30" s="2561"/>
      <c r="BT30" s="2561"/>
      <c r="BU30" s="2561"/>
      <c r="BV30" s="2561"/>
      <c r="BW30" s="2561"/>
      <c r="BX30" s="2561"/>
      <c r="BY30" s="2561"/>
      <c r="BZ30" s="2561"/>
      <c r="CA30" s="2561"/>
      <c r="CB30" s="2561"/>
      <c r="CC30" s="2561"/>
      <c r="CD30" s="2561"/>
      <c r="CE30" s="2561"/>
      <c r="CF30" s="2561"/>
      <c r="CG30" s="2561"/>
      <c r="CH30" s="2561"/>
      <c r="CI30" s="2561"/>
      <c r="CJ30" s="1636">
        <v>36</v>
      </c>
      <c r="CK30" s="2561"/>
      <c r="CL30" s="2561"/>
      <c r="CM30" s="2561"/>
      <c r="CN30" s="2561"/>
      <c r="CO30" s="2561"/>
      <c r="CP30" s="2561"/>
      <c r="CQ30" s="2561"/>
      <c r="CR30" s="2561"/>
      <c r="CS30" s="2561"/>
      <c r="CT30" s="2561"/>
      <c r="CU30" s="2561"/>
      <c r="CV30" s="2561"/>
      <c r="CW30" s="2561"/>
      <c r="CX30" s="2561"/>
      <c r="CY30" s="2561"/>
      <c r="CZ30" s="2561"/>
      <c r="DA30" s="2561"/>
      <c r="DB30" s="2561"/>
      <c r="DC30" s="2561"/>
      <c r="DD30" s="2561"/>
      <c r="DE30" s="2561"/>
      <c r="DF30" s="2561"/>
      <c r="DG30" s="2561"/>
      <c r="DH30" s="2561"/>
      <c r="DI30" s="2561"/>
      <c r="DJ30" s="2561"/>
      <c r="DK30" s="2561"/>
      <c r="DL30" s="2561"/>
      <c r="DM30" s="2561"/>
      <c r="DN30" s="2561"/>
      <c r="DO30" s="2561"/>
      <c r="DP30" s="2561">
        <f>IF(DP29="Y",DP26,MAX(0,DP26-DP27))</f>
        <v>500</v>
      </c>
      <c r="DQ30" s="2561"/>
      <c r="DR30" s="1636">
        <v>100</v>
      </c>
      <c r="DS30" s="2561"/>
      <c r="DT30" s="2561">
        <f>IF(DT29="Y",DT26,MAX(0,DT26-DT27))</f>
        <v>500</v>
      </c>
      <c r="DU30" s="2561"/>
      <c r="DV30" s="2561"/>
      <c r="DW30" s="1636">
        <f t="shared" ref="DW30" si="3">IF(DW29="Y",DW26,MAX(0,DW26-DW27))</f>
        <v>901.92</v>
      </c>
      <c r="DX30" s="2561"/>
      <c r="DY30" s="2561"/>
      <c r="DZ30" s="2561"/>
      <c r="EA30" s="2561"/>
      <c r="EB30" s="2561"/>
      <c r="EC30" s="2561"/>
      <c r="ED30" s="2561"/>
      <c r="EE30" s="2561"/>
      <c r="EF30" s="2561"/>
      <c r="EG30" s="2561"/>
      <c r="EH30" s="2561"/>
      <c r="EI30" s="2561"/>
      <c r="EJ30" s="2561"/>
      <c r="EK30" s="2561"/>
      <c r="EL30" s="2561"/>
      <c r="EM30" s="1636">
        <v>999</v>
      </c>
      <c r="EN30" s="1636">
        <v>75</v>
      </c>
      <c r="EO30" s="2561"/>
      <c r="EP30" s="2561"/>
      <c r="EQ30" s="1636">
        <v>8679</v>
      </c>
      <c r="ER30" s="2561"/>
      <c r="ES30" s="1636">
        <v>32.32</v>
      </c>
      <c r="ET30" s="2561"/>
      <c r="EU30" s="2561"/>
      <c r="EV30" s="1636">
        <v>60</v>
      </c>
      <c r="EW30" s="2561"/>
      <c r="EX30" s="2561"/>
      <c r="EY30" s="2561"/>
      <c r="EZ30" s="2561"/>
      <c r="FA30" s="2561"/>
      <c r="FB30" s="2561"/>
      <c r="FC30" s="1636">
        <v>3804</v>
      </c>
      <c r="FD30" s="2561"/>
      <c r="FE30" s="2561"/>
      <c r="FF30" s="2561"/>
      <c r="FG30" s="2561"/>
      <c r="FH30" s="2561"/>
      <c r="FI30" s="2561"/>
      <c r="FJ30" s="1636">
        <v>17735</v>
      </c>
      <c r="FK30" s="2561"/>
      <c r="FL30" s="2561"/>
      <c r="FM30" s="2561"/>
      <c r="FN30" s="2561"/>
      <c r="FO30" s="2561"/>
      <c r="FP30" s="2561"/>
      <c r="FQ30" s="2561"/>
      <c r="FR30" s="2561"/>
      <c r="FS30" s="2561"/>
      <c r="FT30" s="2561"/>
      <c r="FU30" s="2561"/>
      <c r="FV30" s="2561"/>
      <c r="FW30" s="2561"/>
      <c r="FX30" s="2561"/>
      <c r="FY30" s="2561"/>
      <c r="FZ30" s="2561"/>
      <c r="GA30" s="2561"/>
      <c r="GB30" s="2561"/>
      <c r="GC30" s="2561"/>
      <c r="GD30" s="2561"/>
      <c r="GE30" s="2561"/>
      <c r="GF30" s="2561"/>
      <c r="GG30" s="2561"/>
      <c r="GH30" s="2561"/>
      <c r="GI30" s="2561"/>
      <c r="GJ30" s="2561"/>
      <c r="GK30" s="2561"/>
      <c r="GL30" s="2561"/>
      <c r="GM30" s="2561"/>
      <c r="GN30" s="2561"/>
      <c r="GO30" s="2561"/>
      <c r="GP30" s="2561"/>
      <c r="GQ30" s="2561"/>
      <c r="GR30" s="2561"/>
      <c r="GS30" s="2561"/>
      <c r="GT30" s="2561"/>
      <c r="GU30" s="2561"/>
      <c r="GV30" s="2561"/>
      <c r="GW30" s="2561"/>
      <c r="GX30" s="2561"/>
      <c r="GY30" s="2561"/>
      <c r="GZ30" s="2561"/>
      <c r="HA30" s="2561"/>
      <c r="HB30" s="2561"/>
      <c r="HC30" s="2561"/>
      <c r="HD30" s="2561"/>
      <c r="HE30" s="2561"/>
      <c r="HF30" s="2561"/>
      <c r="HG30" s="2561"/>
      <c r="HH30" s="2561">
        <f>IF(HH29="Y",HH26,MAX(0,HH26-HH27))</f>
        <v>1000</v>
      </c>
      <c r="HI30" s="2561"/>
      <c r="HJ30" s="2561"/>
      <c r="HK30" s="2561"/>
      <c r="HL30" s="2561"/>
      <c r="HM30" s="2561"/>
      <c r="HN30" s="2561"/>
      <c r="HO30" s="2561"/>
      <c r="HP30" s="2561"/>
      <c r="HQ30" s="2561"/>
      <c r="HR30" s="2561"/>
      <c r="HS30" s="2561"/>
      <c r="HT30" s="2561"/>
      <c r="HU30" s="2561"/>
      <c r="HV30" s="2561"/>
      <c r="HW30" s="2561"/>
      <c r="HX30" s="2561"/>
      <c r="HY30" s="2561"/>
      <c r="HZ30" s="2561"/>
      <c r="IA30" s="1636">
        <v>1615</v>
      </c>
      <c r="IB30" s="2561"/>
      <c r="IC30" s="2561"/>
      <c r="ID30" s="2561"/>
      <c r="IE30" s="2561"/>
      <c r="IF30" s="2561">
        <f>IF(IF29="Y",IF26,MAX(0,IF26-IF27))</f>
        <v>61765.16</v>
      </c>
      <c r="IG30" s="2561"/>
      <c r="IH30" s="2561"/>
      <c r="II30" s="2561"/>
      <c r="IJ30" s="2561"/>
      <c r="IK30" s="2561"/>
      <c r="IL30" s="2561"/>
      <c r="IM30" s="2561"/>
      <c r="IN30" s="2561"/>
      <c r="IO30" s="2561"/>
      <c r="IP30" s="2561"/>
      <c r="IQ30" s="2561"/>
      <c r="IR30" s="2561"/>
      <c r="IS30" s="2561"/>
      <c r="IT30" s="2561"/>
      <c r="IU30" s="2561"/>
      <c r="IV30" s="2561"/>
      <c r="IW30" s="2561"/>
      <c r="IX30" s="2561"/>
      <c r="IY30" s="2561"/>
      <c r="IZ30" s="2561"/>
      <c r="JA30" s="2561"/>
      <c r="JB30" s="2561"/>
      <c r="JC30" s="2561"/>
      <c r="JD30" s="2561"/>
      <c r="JE30" s="2561"/>
      <c r="JF30" s="2561"/>
      <c r="JG30" s="2561"/>
      <c r="JH30" s="2561">
        <v>1700</v>
      </c>
      <c r="JI30" s="2561"/>
      <c r="JJ30" s="2561"/>
      <c r="JK30" s="2561"/>
      <c r="JL30" s="2561"/>
      <c r="JM30" s="2561"/>
      <c r="JN30" s="2561"/>
      <c r="JO30" s="2561"/>
      <c r="JP30" s="2561"/>
      <c r="JQ30" s="2561"/>
      <c r="JR30" s="351"/>
    </row>
    <row r="31" spans="1:278" x14ac:dyDescent="0.25">
      <c r="A31" s="1367">
        <v>31</v>
      </c>
      <c r="B31" s="1411" t="str">
        <f t="shared" si="0"/>
        <v/>
      </c>
      <c r="C31" s="1435" t="s">
        <v>3911</v>
      </c>
      <c r="D31" s="1361" t="s">
        <v>3851</v>
      </c>
      <c r="E31" s="1639"/>
      <c r="F31" s="1639"/>
      <c r="G31" s="1639"/>
      <c r="H31" s="1639"/>
      <c r="I31" s="1639"/>
      <c r="J31" s="1639"/>
      <c r="K31" s="1639"/>
      <c r="L31" s="1639"/>
      <c r="M31" s="1639"/>
      <c r="N31" s="1639"/>
      <c r="O31" s="1639"/>
      <c r="P31" s="1639"/>
      <c r="Q31" s="1639"/>
      <c r="R31" s="1639"/>
      <c r="S31" s="1639"/>
      <c r="T31" s="1639"/>
      <c r="U31" s="1639"/>
      <c r="V31" s="1639"/>
      <c r="W31" s="1639"/>
      <c r="X31" s="1639"/>
      <c r="Y31" s="1639"/>
      <c r="Z31" s="1639"/>
      <c r="AA31" s="1639"/>
      <c r="AB31" s="1639"/>
      <c r="AC31" s="1639"/>
      <c r="AD31" s="1639"/>
      <c r="AE31" s="1639"/>
      <c r="AF31" s="1639"/>
      <c r="AG31" s="1639"/>
      <c r="AH31" s="1639"/>
      <c r="AI31" s="1639"/>
      <c r="AJ31" s="1639"/>
      <c r="AK31" s="1639"/>
      <c r="AL31" s="1639"/>
      <c r="AM31" s="1639"/>
      <c r="AN31" s="1639"/>
      <c r="AO31" s="1639"/>
      <c r="AP31" s="1639"/>
      <c r="AQ31" s="1639"/>
      <c r="AR31" s="1639"/>
      <c r="AS31" s="1639"/>
      <c r="AT31" s="1639"/>
      <c r="AU31" s="1639"/>
      <c r="AV31" s="1639"/>
      <c r="AW31" s="1639"/>
      <c r="AX31" s="1639"/>
      <c r="AY31" s="1639"/>
      <c r="AZ31" s="1639"/>
      <c r="BA31" s="1639"/>
      <c r="BB31" s="1639"/>
      <c r="BC31" s="1639"/>
      <c r="BD31" s="1639"/>
      <c r="BE31" s="1639"/>
      <c r="BF31" s="1639"/>
      <c r="BG31" s="1639"/>
      <c r="BH31" s="1639"/>
      <c r="BI31" s="1639"/>
      <c r="BJ31" s="1639"/>
      <c r="BK31" s="1639"/>
      <c r="BL31" s="1639"/>
      <c r="BM31" s="1639"/>
      <c r="BN31" s="1639"/>
      <c r="BO31" s="1639"/>
      <c r="BP31" s="1639"/>
      <c r="BQ31" s="1639"/>
      <c r="BR31" s="1639"/>
      <c r="BS31" s="1639"/>
      <c r="BT31" s="1639"/>
      <c r="BU31" s="1639"/>
      <c r="BV31" s="1639"/>
      <c r="BW31" s="1639"/>
      <c r="BX31" s="1639"/>
      <c r="BY31" s="1639"/>
      <c r="BZ31" s="1639"/>
      <c r="CA31" s="1639"/>
      <c r="CB31" s="1639"/>
      <c r="CC31" s="1639"/>
      <c r="CD31" s="1639"/>
      <c r="CE31" s="1639"/>
      <c r="CF31" s="1639"/>
      <c r="CG31" s="1639"/>
      <c r="CH31" s="1639"/>
      <c r="CI31" s="1639"/>
      <c r="CJ31" s="1639"/>
      <c r="CK31" s="1639"/>
      <c r="CL31" s="1639"/>
      <c r="CM31" s="1639"/>
      <c r="CN31" s="1639"/>
      <c r="CO31" s="1639"/>
      <c r="CP31" s="1639"/>
      <c r="CQ31" s="1639"/>
      <c r="CR31" s="1639"/>
      <c r="CS31" s="1639"/>
      <c r="CT31" s="1639"/>
      <c r="CU31" s="1639"/>
      <c r="CV31" s="1639"/>
      <c r="CW31" s="1639"/>
      <c r="CX31" s="1639"/>
      <c r="CY31" s="1639"/>
      <c r="CZ31" s="1639"/>
      <c r="DA31" s="1639"/>
      <c r="DB31" s="1639"/>
      <c r="DC31" s="1639"/>
      <c r="DD31" s="1639"/>
      <c r="DE31" s="1639"/>
      <c r="DF31" s="1639"/>
      <c r="DG31" s="1639"/>
      <c r="DH31" s="1639"/>
      <c r="DI31" s="1639"/>
      <c r="DJ31" s="1639"/>
      <c r="DK31" s="1639"/>
      <c r="DL31" s="1639"/>
      <c r="DM31" s="1639"/>
      <c r="DN31" s="1639"/>
      <c r="DO31" s="1639"/>
      <c r="DP31" s="1639" t="s">
        <v>3896</v>
      </c>
      <c r="DQ31" s="1639"/>
      <c r="DR31" s="1639"/>
      <c r="DS31" s="1639"/>
      <c r="DT31" s="1639" t="s">
        <v>3896</v>
      </c>
      <c r="DU31" s="1639"/>
      <c r="DV31" s="1639"/>
      <c r="DW31" s="1638" t="s">
        <v>3898</v>
      </c>
      <c r="DX31" s="1639"/>
      <c r="DY31" s="1639"/>
      <c r="DZ31" s="1639"/>
      <c r="EA31" s="1639"/>
      <c r="EB31" s="1639"/>
      <c r="EC31" s="1639"/>
      <c r="ED31" s="1639"/>
      <c r="EE31" s="1639"/>
      <c r="EF31" s="1639"/>
      <c r="EG31" s="1639"/>
      <c r="EH31" s="1639"/>
      <c r="EI31" s="1639"/>
      <c r="EJ31" s="1639"/>
      <c r="EK31" s="1639"/>
      <c r="EL31" s="1639"/>
      <c r="EM31" s="1638" t="s">
        <v>3855</v>
      </c>
      <c r="EN31" s="1638" t="s">
        <v>3862</v>
      </c>
      <c r="EO31" s="1639"/>
      <c r="EP31" s="1639"/>
      <c r="EQ31" s="1638" t="s">
        <v>3852</v>
      </c>
      <c r="ER31" s="1639"/>
      <c r="ES31" s="1638" t="s">
        <v>3879</v>
      </c>
      <c r="ET31" s="1639"/>
      <c r="EU31" s="1639"/>
      <c r="EV31" s="1639"/>
      <c r="EW31" s="1639"/>
      <c r="EX31" s="1639"/>
      <c r="EY31" s="1639"/>
      <c r="EZ31" s="1639"/>
      <c r="FA31" s="1639"/>
      <c r="FB31" s="1639"/>
      <c r="FC31" s="1639"/>
      <c r="FD31" s="1639"/>
      <c r="FE31" s="1639"/>
      <c r="FF31" s="1639"/>
      <c r="FG31" s="1639"/>
      <c r="FH31" s="1639"/>
      <c r="FI31" s="1639"/>
      <c r="FJ31" s="1638" t="s">
        <v>3893</v>
      </c>
      <c r="FK31" s="1639"/>
      <c r="FL31" s="1639"/>
      <c r="FM31" s="1639"/>
      <c r="FN31" s="1639"/>
      <c r="FO31" s="1639"/>
      <c r="FP31" s="1639"/>
      <c r="FQ31" s="1639"/>
      <c r="FR31" s="1639"/>
      <c r="FS31" s="1639"/>
      <c r="FT31" s="1639"/>
      <c r="FU31" s="1639"/>
      <c r="FV31" s="1639"/>
      <c r="FW31" s="1639"/>
      <c r="FX31" s="1639"/>
      <c r="FY31" s="1639"/>
      <c r="FZ31" s="1639"/>
      <c r="GA31" s="1639"/>
      <c r="GB31" s="1639"/>
      <c r="GC31" s="1639"/>
      <c r="GD31" s="1639"/>
      <c r="GE31" s="1639"/>
      <c r="GF31" s="1639"/>
      <c r="GG31" s="1639"/>
      <c r="GH31" s="1639"/>
      <c r="GI31" s="1639"/>
      <c r="GJ31" s="1639"/>
      <c r="GK31" s="1639"/>
      <c r="GL31" s="1639"/>
      <c r="GM31" s="1639"/>
      <c r="GN31" s="1639"/>
      <c r="GO31" s="1639"/>
      <c r="GP31" s="1639"/>
      <c r="GQ31" s="1639"/>
      <c r="GR31" s="1639"/>
      <c r="GS31" s="1639"/>
      <c r="GT31" s="1639"/>
      <c r="GU31" s="1639"/>
      <c r="GV31" s="1639"/>
      <c r="GW31" s="1639"/>
      <c r="GX31" s="1639"/>
      <c r="GY31" s="1639"/>
      <c r="GZ31" s="1639"/>
      <c r="HA31" s="1639"/>
      <c r="HB31" s="1639"/>
      <c r="HC31" s="1639"/>
      <c r="HD31" s="1639"/>
      <c r="HE31" s="1639"/>
      <c r="HF31" s="1639"/>
      <c r="HG31" s="1639"/>
      <c r="HH31" s="1639" t="s">
        <v>3880</v>
      </c>
      <c r="HI31" s="1639"/>
      <c r="HJ31" s="1639"/>
      <c r="HK31" s="1639"/>
      <c r="HL31" s="1639"/>
      <c r="HM31" s="1639"/>
      <c r="HN31" s="1639"/>
      <c r="HO31" s="1639"/>
      <c r="HP31" s="1639"/>
      <c r="HQ31" s="1639"/>
      <c r="HR31" s="1639"/>
      <c r="HS31" s="1639"/>
      <c r="HT31" s="1639"/>
      <c r="HU31" s="1639"/>
      <c r="HV31" s="1639"/>
      <c r="HW31" s="1639"/>
      <c r="HX31" s="1639"/>
      <c r="HY31" s="1639"/>
      <c r="HZ31" s="1639"/>
      <c r="IA31" s="1639"/>
      <c r="IB31" s="1639"/>
      <c r="IC31" s="1639"/>
      <c r="ID31" s="1639"/>
      <c r="IE31" s="1639"/>
      <c r="IF31" s="1639"/>
      <c r="IG31" s="1639"/>
      <c r="IH31" s="1639"/>
      <c r="II31" s="1639"/>
      <c r="IJ31" s="1639"/>
      <c r="IK31" s="1639"/>
      <c r="IL31" s="1639"/>
      <c r="IM31" s="1639"/>
      <c r="IN31" s="1639"/>
      <c r="IO31" s="1639"/>
      <c r="IP31" s="1414"/>
      <c r="IQ31" s="1414"/>
      <c r="IR31" s="1414"/>
      <c r="IS31" s="1414"/>
      <c r="IT31" s="1414"/>
      <c r="IU31" s="1414"/>
      <c r="IV31" s="1414"/>
      <c r="IW31" s="1414"/>
      <c r="IX31" s="1639"/>
      <c r="IY31" s="1639"/>
      <c r="IZ31" s="1639"/>
      <c r="JA31" s="1639"/>
      <c r="JB31" s="1639"/>
      <c r="JC31" s="1639"/>
      <c r="JD31" s="1639"/>
      <c r="JE31" s="1639"/>
      <c r="JF31" s="1639"/>
      <c r="JG31" s="1639"/>
      <c r="JH31" s="1414" t="s">
        <v>3862</v>
      </c>
      <c r="JI31" s="1414"/>
      <c r="JJ31" s="1414"/>
      <c r="JK31" s="1414"/>
      <c r="JL31" s="1414"/>
      <c r="JM31" s="1414"/>
      <c r="JN31" s="1414"/>
      <c r="JO31" s="1414"/>
      <c r="JP31" s="1414"/>
      <c r="JQ31" s="1415"/>
      <c r="JR31" s="351"/>
    </row>
    <row r="32" spans="1:278" x14ac:dyDescent="0.25">
      <c r="A32" s="1367">
        <v>32</v>
      </c>
      <c r="B32" s="1411" t="str">
        <f t="shared" si="0"/>
        <v/>
      </c>
      <c r="C32" s="1435" t="s">
        <v>3912</v>
      </c>
      <c r="D32" s="1361" t="s">
        <v>3867</v>
      </c>
      <c r="E32" s="1641"/>
      <c r="F32" s="1641"/>
      <c r="G32" s="1641"/>
      <c r="H32" s="1641"/>
      <c r="I32" s="1641"/>
      <c r="J32" s="1641"/>
      <c r="K32" s="1641"/>
      <c r="L32" s="1641"/>
      <c r="M32" s="1641"/>
      <c r="N32" s="1641"/>
      <c r="O32" s="1641"/>
      <c r="P32" s="1641"/>
      <c r="Q32" s="1641"/>
      <c r="R32" s="1641"/>
      <c r="S32" s="1641"/>
      <c r="T32" s="1641"/>
      <c r="U32" s="1641"/>
      <c r="V32" s="1641"/>
      <c r="W32" s="1641"/>
      <c r="X32" s="1641"/>
      <c r="Y32" s="1641"/>
      <c r="Z32" s="1641"/>
      <c r="AA32" s="1641"/>
      <c r="AB32" s="1641"/>
      <c r="AC32" s="1641"/>
      <c r="AD32" s="1641"/>
      <c r="AE32" s="1641"/>
      <c r="AF32" s="1641"/>
      <c r="AG32" s="1641"/>
      <c r="AH32" s="1641"/>
      <c r="AI32" s="1641"/>
      <c r="AJ32" s="1641"/>
      <c r="AK32" s="1641"/>
      <c r="AL32" s="1641"/>
      <c r="AM32" s="1641"/>
      <c r="AN32" s="1641"/>
      <c r="AO32" s="1641"/>
      <c r="AP32" s="1641"/>
      <c r="AQ32" s="1641"/>
      <c r="AR32" s="1641"/>
      <c r="AS32" s="1641"/>
      <c r="AT32" s="1641"/>
      <c r="AU32" s="1641"/>
      <c r="AV32" s="1641"/>
      <c r="AW32" s="1641"/>
      <c r="AX32" s="1641"/>
      <c r="AY32" s="1641"/>
      <c r="AZ32" s="1641"/>
      <c r="BA32" s="1641"/>
      <c r="BB32" s="1641"/>
      <c r="BC32" s="1641"/>
      <c r="BD32" s="1641"/>
      <c r="BE32" s="1641"/>
      <c r="BF32" s="1641"/>
      <c r="BG32" s="1641"/>
      <c r="BH32" s="1641"/>
      <c r="BI32" s="1641"/>
      <c r="BJ32" s="1641"/>
      <c r="BK32" s="1641"/>
      <c r="BL32" s="1641"/>
      <c r="BM32" s="1641"/>
      <c r="BN32" s="1641"/>
      <c r="BO32" s="1641"/>
      <c r="BP32" s="1641"/>
      <c r="BQ32" s="1641"/>
      <c r="BR32" s="1641"/>
      <c r="BS32" s="1641"/>
      <c r="BT32" s="1641"/>
      <c r="BU32" s="1641"/>
      <c r="BV32" s="1641"/>
      <c r="BW32" s="1641"/>
      <c r="BX32" s="1641"/>
      <c r="BY32" s="1641"/>
      <c r="BZ32" s="1641"/>
      <c r="CA32" s="1641"/>
      <c r="CB32" s="1641"/>
      <c r="CC32" s="1641"/>
      <c r="CD32" s="1641"/>
      <c r="CE32" s="1641"/>
      <c r="CF32" s="1641"/>
      <c r="CG32" s="1641"/>
      <c r="CH32" s="1641"/>
      <c r="CI32" s="1641"/>
      <c r="CJ32" s="1641"/>
      <c r="CK32" s="1641"/>
      <c r="CL32" s="1641"/>
      <c r="CM32" s="1641"/>
      <c r="CN32" s="1641"/>
      <c r="CO32" s="1641"/>
      <c r="CP32" s="1641"/>
      <c r="CQ32" s="1641"/>
      <c r="CR32" s="1641"/>
      <c r="CS32" s="1641"/>
      <c r="CT32" s="1641"/>
      <c r="CU32" s="1641"/>
      <c r="CV32" s="1641"/>
      <c r="CW32" s="1641"/>
      <c r="CX32" s="1641"/>
      <c r="CY32" s="1641"/>
      <c r="CZ32" s="1641"/>
      <c r="DA32" s="1641"/>
      <c r="DB32" s="1641"/>
      <c r="DC32" s="1641"/>
      <c r="DD32" s="1641"/>
      <c r="DE32" s="1641"/>
      <c r="DF32" s="1641"/>
      <c r="DG32" s="1641"/>
      <c r="DH32" s="1641"/>
      <c r="DI32" s="1641"/>
      <c r="DJ32" s="1641"/>
      <c r="DK32" s="1641"/>
      <c r="DL32" s="1641"/>
      <c r="DM32" s="1641"/>
      <c r="DN32" s="1641"/>
      <c r="DO32" s="1641"/>
      <c r="DP32" s="1641">
        <v>659</v>
      </c>
      <c r="DQ32" s="1641"/>
      <c r="DR32" s="1641"/>
      <c r="DS32" s="1641"/>
      <c r="DT32" s="1641">
        <v>659</v>
      </c>
      <c r="DU32" s="1641"/>
      <c r="DV32" s="1641"/>
      <c r="DW32" s="1636">
        <v>3776.96</v>
      </c>
      <c r="DX32" s="1641"/>
      <c r="DY32" s="1641"/>
      <c r="DZ32" s="1641"/>
      <c r="EA32" s="1641"/>
      <c r="EB32" s="1641"/>
      <c r="EC32" s="1641"/>
      <c r="ED32" s="1641"/>
      <c r="EE32" s="1641"/>
      <c r="EF32" s="1641"/>
      <c r="EG32" s="1641"/>
      <c r="EH32" s="1641"/>
      <c r="EI32" s="1641"/>
      <c r="EJ32" s="1641"/>
      <c r="EK32" s="1641"/>
      <c r="EL32" s="1641"/>
      <c r="EM32" s="1636">
        <v>469</v>
      </c>
      <c r="EN32" s="1636">
        <v>15</v>
      </c>
      <c r="EO32" s="1641"/>
      <c r="EP32" s="1641"/>
      <c r="EQ32" s="1636">
        <v>4375</v>
      </c>
      <c r="ER32" s="1641"/>
      <c r="ES32" s="1636">
        <v>39.369999999999997</v>
      </c>
      <c r="ET32" s="1641"/>
      <c r="EU32" s="1641"/>
      <c r="EV32" s="1641"/>
      <c r="EW32" s="1641"/>
      <c r="EX32" s="1641"/>
      <c r="EY32" s="1641"/>
      <c r="EZ32" s="1641"/>
      <c r="FA32" s="1641"/>
      <c r="FB32" s="1641"/>
      <c r="FC32" s="1641"/>
      <c r="FD32" s="1641"/>
      <c r="FE32" s="1641"/>
      <c r="FF32" s="1641"/>
      <c r="FG32" s="1641"/>
      <c r="FH32" s="1641"/>
      <c r="FI32" s="1641"/>
      <c r="FJ32" s="1636">
        <v>17234</v>
      </c>
      <c r="FK32" s="1641"/>
      <c r="FL32" s="1641"/>
      <c r="FM32" s="1641"/>
      <c r="FN32" s="1641"/>
      <c r="FO32" s="1641"/>
      <c r="FP32" s="1641"/>
      <c r="FQ32" s="1641"/>
      <c r="FR32" s="1641"/>
      <c r="FS32" s="1641"/>
      <c r="FT32" s="1641"/>
      <c r="FU32" s="1641"/>
      <c r="FV32" s="1641"/>
      <c r="FW32" s="1641"/>
      <c r="FX32" s="1641"/>
      <c r="FY32" s="1641"/>
      <c r="FZ32" s="1641"/>
      <c r="GA32" s="1641"/>
      <c r="GB32" s="1641"/>
      <c r="GC32" s="1641"/>
      <c r="GD32" s="1641"/>
      <c r="GE32" s="1641"/>
      <c r="GF32" s="1641"/>
      <c r="GG32" s="1641"/>
      <c r="GH32" s="1641"/>
      <c r="GI32" s="1641"/>
      <c r="GJ32" s="1641"/>
      <c r="GK32" s="1641"/>
      <c r="GL32" s="1641"/>
      <c r="GM32" s="1641"/>
      <c r="GN32" s="1641"/>
      <c r="GO32" s="1641"/>
      <c r="GP32" s="1641"/>
      <c r="GQ32" s="1641"/>
      <c r="GR32" s="1641"/>
      <c r="GS32" s="1641"/>
      <c r="GT32" s="1641"/>
      <c r="GU32" s="1641"/>
      <c r="GV32" s="1641"/>
      <c r="GW32" s="1641"/>
      <c r="GX32" s="1641"/>
      <c r="GY32" s="1641"/>
      <c r="GZ32" s="1641"/>
      <c r="HA32" s="1641"/>
      <c r="HB32" s="1641"/>
      <c r="HC32" s="1641"/>
      <c r="HD32" s="1641"/>
      <c r="HE32" s="1641"/>
      <c r="HF32" s="1641"/>
      <c r="HG32" s="1641"/>
      <c r="HH32" s="1641">
        <v>500</v>
      </c>
      <c r="HI32" s="1641"/>
      <c r="HJ32" s="1641"/>
      <c r="HK32" s="1641"/>
      <c r="HL32" s="1641"/>
      <c r="HM32" s="1641"/>
      <c r="HN32" s="1641"/>
      <c r="HO32" s="1641"/>
      <c r="HP32" s="1641"/>
      <c r="HQ32" s="1641"/>
      <c r="HR32" s="1641"/>
      <c r="HS32" s="1641"/>
      <c r="HT32" s="1641"/>
      <c r="HU32" s="1641"/>
      <c r="HV32" s="1641"/>
      <c r="HW32" s="1641"/>
      <c r="HX32" s="1641"/>
      <c r="HY32" s="1641"/>
      <c r="HZ32" s="1641"/>
      <c r="IA32" s="1641"/>
      <c r="IB32" s="1641"/>
      <c r="IC32" s="1641"/>
      <c r="ID32" s="1641"/>
      <c r="IE32" s="1641"/>
      <c r="IF32" s="1641"/>
      <c r="IG32" s="1641"/>
      <c r="IH32" s="1641"/>
      <c r="II32" s="1641"/>
      <c r="IJ32" s="1641"/>
      <c r="IK32" s="1641"/>
      <c r="IL32" s="1641"/>
      <c r="IM32" s="1641"/>
      <c r="IN32" s="1641"/>
      <c r="IO32" s="1641"/>
      <c r="IP32" s="1637"/>
      <c r="IQ32" s="1637"/>
      <c r="IR32" s="1637"/>
      <c r="IS32" s="1637"/>
      <c r="IT32" s="1637"/>
      <c r="IU32" s="1637"/>
      <c r="IV32" s="1637"/>
      <c r="IW32" s="1637"/>
      <c r="IX32" s="1641"/>
      <c r="IY32" s="1641"/>
      <c r="IZ32" s="1641"/>
      <c r="JA32" s="1641"/>
      <c r="JB32" s="1641"/>
      <c r="JC32" s="1641"/>
      <c r="JD32" s="1641"/>
      <c r="JE32" s="1641"/>
      <c r="JF32" s="1641"/>
      <c r="JG32" s="1641"/>
      <c r="JH32" s="1637">
        <v>468</v>
      </c>
      <c r="JI32" s="1637"/>
      <c r="JJ32" s="1637"/>
      <c r="JK32" s="1637"/>
      <c r="JL32" s="1637"/>
      <c r="JM32" s="1637"/>
      <c r="JN32" s="1637"/>
      <c r="JO32" s="1637"/>
      <c r="JP32" s="1637"/>
      <c r="JQ32" s="1640"/>
      <c r="JR32" s="351"/>
    </row>
    <row r="33" spans="1:278" x14ac:dyDescent="0.25">
      <c r="A33" s="1367">
        <v>33</v>
      </c>
      <c r="B33" s="1411" t="str">
        <f t="shared" si="0"/>
        <v/>
      </c>
      <c r="C33" s="1435" t="s">
        <v>3913</v>
      </c>
      <c r="D33" s="1361" t="s">
        <v>3869</v>
      </c>
      <c r="E33" s="1641"/>
      <c r="F33" s="1641"/>
      <c r="G33" s="1641"/>
      <c r="H33" s="1641"/>
      <c r="I33" s="1641"/>
      <c r="J33" s="1641"/>
      <c r="K33" s="1641"/>
      <c r="L33" s="1641"/>
      <c r="M33" s="1641"/>
      <c r="N33" s="1641"/>
      <c r="O33" s="1641"/>
      <c r="P33" s="1641"/>
      <c r="Q33" s="1641"/>
      <c r="R33" s="1641"/>
      <c r="S33" s="1641"/>
      <c r="T33" s="1641"/>
      <c r="U33" s="1641"/>
      <c r="V33" s="1641"/>
      <c r="W33" s="1641"/>
      <c r="X33" s="1641"/>
      <c r="Y33" s="1641"/>
      <c r="Z33" s="1641"/>
      <c r="AA33" s="1641"/>
      <c r="AB33" s="1641"/>
      <c r="AC33" s="1641"/>
      <c r="AD33" s="1641"/>
      <c r="AE33" s="1641"/>
      <c r="AF33" s="1641"/>
      <c r="AG33" s="1641"/>
      <c r="AH33" s="1641"/>
      <c r="AI33" s="1641"/>
      <c r="AJ33" s="1641"/>
      <c r="AK33" s="1641"/>
      <c r="AL33" s="1641"/>
      <c r="AM33" s="1641"/>
      <c r="AN33" s="1641"/>
      <c r="AO33" s="1641"/>
      <c r="AP33" s="1641"/>
      <c r="AQ33" s="1641"/>
      <c r="AR33" s="1641"/>
      <c r="AS33" s="1641"/>
      <c r="AT33" s="1641"/>
      <c r="AU33" s="1641"/>
      <c r="AV33" s="1641"/>
      <c r="AW33" s="1641"/>
      <c r="AX33" s="1641"/>
      <c r="AY33" s="1641"/>
      <c r="AZ33" s="1641"/>
      <c r="BA33" s="1641"/>
      <c r="BB33" s="1641"/>
      <c r="BC33" s="1641"/>
      <c r="BD33" s="1641"/>
      <c r="BE33" s="1641"/>
      <c r="BF33" s="1641"/>
      <c r="BG33" s="1641"/>
      <c r="BH33" s="1641"/>
      <c r="BI33" s="1641"/>
      <c r="BJ33" s="1641"/>
      <c r="BK33" s="1641"/>
      <c r="BL33" s="1641"/>
      <c r="BM33" s="1641"/>
      <c r="BN33" s="1641"/>
      <c r="BO33" s="1641"/>
      <c r="BP33" s="1641"/>
      <c r="BQ33" s="1641"/>
      <c r="BR33" s="1641"/>
      <c r="BS33" s="1641"/>
      <c r="BT33" s="1641"/>
      <c r="BU33" s="1641"/>
      <c r="BV33" s="1641"/>
      <c r="BW33" s="1641"/>
      <c r="BX33" s="1641"/>
      <c r="BY33" s="1641"/>
      <c r="BZ33" s="1641"/>
      <c r="CA33" s="1641"/>
      <c r="CB33" s="1641"/>
      <c r="CC33" s="1641"/>
      <c r="CD33" s="1641"/>
      <c r="CE33" s="1641"/>
      <c r="CF33" s="1641"/>
      <c r="CG33" s="1641"/>
      <c r="CH33" s="1641"/>
      <c r="CI33" s="1641"/>
      <c r="CJ33" s="1641"/>
      <c r="CK33" s="1641"/>
      <c r="CL33" s="1641"/>
      <c r="CM33" s="1641"/>
      <c r="CN33" s="1641"/>
      <c r="CO33" s="1641"/>
      <c r="CP33" s="1641"/>
      <c r="CQ33" s="1641"/>
      <c r="CR33" s="1641"/>
      <c r="CS33" s="1641"/>
      <c r="CT33" s="1641"/>
      <c r="CU33" s="1641"/>
      <c r="CV33" s="1641"/>
      <c r="CW33" s="1641"/>
      <c r="CX33" s="1641"/>
      <c r="CY33" s="1641"/>
      <c r="CZ33" s="1641"/>
      <c r="DA33" s="1641"/>
      <c r="DB33" s="1641"/>
      <c r="DC33" s="1641"/>
      <c r="DD33" s="1641"/>
      <c r="DE33" s="1641"/>
      <c r="DF33" s="1641"/>
      <c r="DG33" s="1641"/>
      <c r="DH33" s="1641"/>
      <c r="DI33" s="1641"/>
      <c r="DJ33" s="1641"/>
      <c r="DK33" s="1641"/>
      <c r="DL33" s="1641"/>
      <c r="DM33" s="1641"/>
      <c r="DN33" s="1641"/>
      <c r="DO33" s="1641"/>
      <c r="DP33" s="1641">
        <v>98.85</v>
      </c>
      <c r="DQ33" s="1641"/>
      <c r="DR33" s="1641"/>
      <c r="DS33" s="1641"/>
      <c r="DT33" s="1641">
        <v>98.85</v>
      </c>
      <c r="DU33" s="1641"/>
      <c r="DV33" s="1641"/>
      <c r="DW33" s="1641"/>
      <c r="DX33" s="1641"/>
      <c r="DY33" s="1641"/>
      <c r="DZ33" s="1641"/>
      <c r="EA33" s="1641"/>
      <c r="EB33" s="1641"/>
      <c r="EC33" s="1641"/>
      <c r="ED33" s="1641"/>
      <c r="EE33" s="1641"/>
      <c r="EF33" s="1641"/>
      <c r="EG33" s="1641"/>
      <c r="EH33" s="1641"/>
      <c r="EI33" s="1641"/>
      <c r="EJ33" s="1641"/>
      <c r="EK33" s="1641"/>
      <c r="EL33" s="1641"/>
      <c r="EM33" s="1636">
        <v>71</v>
      </c>
      <c r="EN33" s="1641"/>
      <c r="EO33" s="1641"/>
      <c r="EP33" s="1641"/>
      <c r="EQ33" s="1636">
        <v>3656</v>
      </c>
      <c r="ER33" s="1641"/>
      <c r="ES33" s="1641"/>
      <c r="ET33" s="1641"/>
      <c r="EU33" s="1641"/>
      <c r="EV33" s="1641"/>
      <c r="EW33" s="1641"/>
      <c r="EX33" s="1641"/>
      <c r="EY33" s="1641"/>
      <c r="EZ33" s="1641"/>
      <c r="FA33" s="1641"/>
      <c r="FB33" s="1641"/>
      <c r="FC33" s="1641"/>
      <c r="FD33" s="1641"/>
      <c r="FE33" s="1641"/>
      <c r="FF33" s="1641"/>
      <c r="FG33" s="1641"/>
      <c r="FH33" s="1641"/>
      <c r="FI33" s="1641"/>
      <c r="FJ33" s="1636">
        <v>4507</v>
      </c>
      <c r="FK33" s="1641"/>
      <c r="FL33" s="1641"/>
      <c r="FM33" s="1641"/>
      <c r="FN33" s="1641"/>
      <c r="FO33" s="1641"/>
      <c r="FP33" s="1641"/>
      <c r="FQ33" s="1641"/>
      <c r="FR33" s="1641"/>
      <c r="FS33" s="1641"/>
      <c r="FT33" s="1641"/>
      <c r="FU33" s="1641"/>
      <c r="FV33" s="1641"/>
      <c r="FW33" s="1641"/>
      <c r="FX33" s="1641"/>
      <c r="FY33" s="1641"/>
      <c r="FZ33" s="1641"/>
      <c r="GA33" s="1641"/>
      <c r="GB33" s="1641"/>
      <c r="GC33" s="1641"/>
      <c r="GD33" s="1641"/>
      <c r="GE33" s="1641"/>
      <c r="GF33" s="1641"/>
      <c r="GG33" s="1641"/>
      <c r="GH33" s="1641"/>
      <c r="GI33" s="1641"/>
      <c r="GJ33" s="1641"/>
      <c r="GK33" s="1641"/>
      <c r="GL33" s="1641"/>
      <c r="GM33" s="1641"/>
      <c r="GN33" s="1641"/>
      <c r="GO33" s="1641"/>
      <c r="GP33" s="1641"/>
      <c r="GQ33" s="1641"/>
      <c r="GR33" s="1641"/>
      <c r="GS33" s="1641"/>
      <c r="GT33" s="1641"/>
      <c r="GU33" s="1641"/>
      <c r="GV33" s="1641"/>
      <c r="GW33" s="1641"/>
      <c r="GX33" s="1641"/>
      <c r="GY33" s="1641"/>
      <c r="GZ33" s="1641"/>
      <c r="HA33" s="1641"/>
      <c r="HB33" s="1641"/>
      <c r="HC33" s="1641"/>
      <c r="HD33" s="1641"/>
      <c r="HE33" s="1641"/>
      <c r="HF33" s="1641"/>
      <c r="HG33" s="1641"/>
      <c r="HH33" s="1641">
        <v>50</v>
      </c>
      <c r="HI33" s="1641"/>
      <c r="HJ33" s="1641"/>
      <c r="HK33" s="1641"/>
      <c r="HL33" s="1641"/>
      <c r="HM33" s="1641"/>
      <c r="HN33" s="1641"/>
      <c r="HO33" s="1641"/>
      <c r="HP33" s="1641"/>
      <c r="HQ33" s="1641"/>
      <c r="HR33" s="1641"/>
      <c r="HS33" s="1641"/>
      <c r="HT33" s="1641"/>
      <c r="HU33" s="1641"/>
      <c r="HV33" s="1641"/>
      <c r="HW33" s="1641"/>
      <c r="HX33" s="1641"/>
      <c r="HY33" s="1641"/>
      <c r="HZ33" s="1641"/>
      <c r="IA33" s="1641"/>
      <c r="IB33" s="1641"/>
      <c r="IC33" s="1641"/>
      <c r="ID33" s="1641"/>
      <c r="IE33" s="1641"/>
      <c r="IF33" s="1641"/>
      <c r="IG33" s="1641"/>
      <c r="IH33" s="1641"/>
      <c r="II33" s="1641"/>
      <c r="IJ33" s="1641"/>
      <c r="IK33" s="1641"/>
      <c r="IL33" s="1641"/>
      <c r="IM33" s="1641"/>
      <c r="IN33" s="1641"/>
      <c r="IO33" s="1641"/>
      <c r="IP33" s="1637"/>
      <c r="IQ33" s="1637"/>
      <c r="IR33" s="1637"/>
      <c r="IS33" s="1637"/>
      <c r="IT33" s="1637"/>
      <c r="IU33" s="1637"/>
      <c r="IV33" s="1637"/>
      <c r="IW33" s="1637"/>
      <c r="IX33" s="1641"/>
      <c r="IY33" s="1641"/>
      <c r="IZ33" s="1641"/>
      <c r="JA33" s="1641"/>
      <c r="JB33" s="1641"/>
      <c r="JC33" s="1641"/>
      <c r="JD33" s="1641"/>
      <c r="JE33" s="1641"/>
      <c r="JF33" s="1641"/>
      <c r="JG33" s="1641"/>
      <c r="JH33" s="1637"/>
      <c r="JI33" s="1637"/>
      <c r="JJ33" s="1637"/>
      <c r="JK33" s="1637"/>
      <c r="JL33" s="1637"/>
      <c r="JM33" s="1637"/>
      <c r="JN33" s="1637"/>
      <c r="JO33" s="1637"/>
      <c r="JP33" s="1637"/>
      <c r="JQ33" s="1640"/>
      <c r="JR33" s="351"/>
    </row>
    <row r="34" spans="1:278" x14ac:dyDescent="0.25">
      <c r="A34" s="1367">
        <v>34</v>
      </c>
      <c r="B34" s="1411" t="str">
        <f t="shared" si="0"/>
        <v/>
      </c>
      <c r="C34" s="1435" t="s">
        <v>3914</v>
      </c>
      <c r="D34" s="1361" t="s">
        <v>3871</v>
      </c>
      <c r="E34" s="1641"/>
      <c r="F34" s="1641"/>
      <c r="G34" s="1641"/>
      <c r="H34" s="1641"/>
      <c r="I34" s="1641"/>
      <c r="J34" s="1641"/>
      <c r="K34" s="1641"/>
      <c r="L34" s="1641"/>
      <c r="M34" s="1641"/>
      <c r="N34" s="1641"/>
      <c r="O34" s="1641"/>
      <c r="P34" s="1641"/>
      <c r="Q34" s="1641"/>
      <c r="R34" s="1641"/>
      <c r="S34" s="1641"/>
      <c r="T34" s="1641"/>
      <c r="U34" s="1641"/>
      <c r="V34" s="1641"/>
      <c r="W34" s="1641"/>
      <c r="X34" s="1641"/>
      <c r="Y34" s="1641"/>
      <c r="Z34" s="1641"/>
      <c r="AA34" s="1641"/>
      <c r="AB34" s="1641"/>
      <c r="AC34" s="1641"/>
      <c r="AD34" s="1641"/>
      <c r="AE34" s="1641"/>
      <c r="AF34" s="1641"/>
      <c r="AG34" s="1641"/>
      <c r="AH34" s="1641"/>
      <c r="AI34" s="1641"/>
      <c r="AJ34" s="1641"/>
      <c r="AK34" s="1641"/>
      <c r="AL34" s="1641"/>
      <c r="AM34" s="1641"/>
      <c r="AN34" s="1641"/>
      <c r="AO34" s="1641"/>
      <c r="AP34" s="1641"/>
      <c r="AQ34" s="1641"/>
      <c r="AR34" s="1641"/>
      <c r="AS34" s="1641"/>
      <c r="AT34" s="1641"/>
      <c r="AU34" s="1641"/>
      <c r="AV34" s="1641"/>
      <c r="AW34" s="1641"/>
      <c r="AX34" s="1641"/>
      <c r="AY34" s="1641"/>
      <c r="AZ34" s="1641"/>
      <c r="BA34" s="1641"/>
      <c r="BB34" s="1641"/>
      <c r="BC34" s="1641"/>
      <c r="BD34" s="1641"/>
      <c r="BE34" s="1641"/>
      <c r="BF34" s="1641"/>
      <c r="BG34" s="1641"/>
      <c r="BH34" s="1641"/>
      <c r="BI34" s="1641"/>
      <c r="BJ34" s="1641"/>
      <c r="BK34" s="1641"/>
      <c r="BL34" s="1641"/>
      <c r="BM34" s="1641"/>
      <c r="BN34" s="1641"/>
      <c r="BO34" s="1641"/>
      <c r="BP34" s="1641"/>
      <c r="BQ34" s="1641"/>
      <c r="BR34" s="1641"/>
      <c r="BS34" s="1641"/>
      <c r="BT34" s="1641"/>
      <c r="BU34" s="1641"/>
      <c r="BV34" s="1641"/>
      <c r="BW34" s="1641"/>
      <c r="BX34" s="1641"/>
      <c r="BY34" s="1641"/>
      <c r="BZ34" s="1641"/>
      <c r="CA34" s="1641"/>
      <c r="CB34" s="1641"/>
      <c r="CC34" s="1641"/>
      <c r="CD34" s="1641"/>
      <c r="CE34" s="1641"/>
      <c r="CF34" s="1641"/>
      <c r="CG34" s="1641"/>
      <c r="CH34" s="1641"/>
      <c r="CI34" s="1641"/>
      <c r="CJ34" s="1641"/>
      <c r="CK34" s="1641"/>
      <c r="CL34" s="1641"/>
      <c r="CM34" s="1641"/>
      <c r="CN34" s="1641"/>
      <c r="CO34" s="1641"/>
      <c r="CP34" s="1641"/>
      <c r="CQ34" s="1641"/>
      <c r="CR34" s="1641"/>
      <c r="CS34" s="1641"/>
      <c r="CT34" s="1641"/>
      <c r="CU34" s="1641"/>
      <c r="CV34" s="1641"/>
      <c r="CW34" s="1641"/>
      <c r="CX34" s="1641"/>
      <c r="CY34" s="1641"/>
      <c r="CZ34" s="1641"/>
      <c r="DA34" s="1641"/>
      <c r="DB34" s="1641"/>
      <c r="DC34" s="1641"/>
      <c r="DD34" s="1641"/>
      <c r="DE34" s="1641"/>
      <c r="DF34" s="1641"/>
      <c r="DG34" s="1641"/>
      <c r="DH34" s="1641"/>
      <c r="DI34" s="1641"/>
      <c r="DJ34" s="1641"/>
      <c r="DK34" s="1641"/>
      <c r="DL34" s="1641"/>
      <c r="DM34" s="1641"/>
      <c r="DN34" s="1641"/>
      <c r="DO34" s="1641"/>
      <c r="DP34" s="1641"/>
      <c r="DQ34" s="1641"/>
      <c r="DR34" s="1641"/>
      <c r="DS34" s="1641"/>
      <c r="DT34" s="1641"/>
      <c r="DU34" s="1641"/>
      <c r="DV34" s="1641"/>
      <c r="DW34" s="1641"/>
      <c r="DX34" s="1641"/>
      <c r="DY34" s="1641"/>
      <c r="DZ34" s="1641"/>
      <c r="EA34" s="1641"/>
      <c r="EB34" s="1641"/>
      <c r="EC34" s="1641"/>
      <c r="ED34" s="1641"/>
      <c r="EE34" s="1641"/>
      <c r="EF34" s="1641"/>
      <c r="EG34" s="1641"/>
      <c r="EH34" s="1641"/>
      <c r="EI34" s="1641"/>
      <c r="EJ34" s="1641"/>
      <c r="EK34" s="1641"/>
      <c r="EL34" s="1641"/>
      <c r="EM34" s="1641"/>
      <c r="EN34" s="1641"/>
      <c r="EO34" s="1641"/>
      <c r="EP34" s="1641"/>
      <c r="EQ34" s="1641"/>
      <c r="ER34" s="1641"/>
      <c r="ES34" s="1641"/>
      <c r="ET34" s="1641"/>
      <c r="EU34" s="1641"/>
      <c r="EV34" s="1641"/>
      <c r="EW34" s="1641"/>
      <c r="EX34" s="1641"/>
      <c r="EY34" s="1641"/>
      <c r="EZ34" s="1641"/>
      <c r="FA34" s="1641"/>
      <c r="FB34" s="1641"/>
      <c r="FC34" s="1641"/>
      <c r="FD34" s="1641"/>
      <c r="FE34" s="1641"/>
      <c r="FF34" s="1641"/>
      <c r="FG34" s="1641"/>
      <c r="FH34" s="1641"/>
      <c r="FI34" s="1641"/>
      <c r="FJ34" s="1641"/>
      <c r="FK34" s="1641"/>
      <c r="FL34" s="1641"/>
      <c r="FM34" s="1641"/>
      <c r="FN34" s="1641"/>
      <c r="FO34" s="1641"/>
      <c r="FP34" s="1641"/>
      <c r="FQ34" s="1641"/>
      <c r="FR34" s="1641"/>
      <c r="FS34" s="1641"/>
      <c r="FT34" s="1641"/>
      <c r="FU34" s="1641"/>
      <c r="FV34" s="1641"/>
      <c r="FW34" s="1641"/>
      <c r="FX34" s="1641"/>
      <c r="FY34" s="1641"/>
      <c r="FZ34" s="1641"/>
      <c r="GA34" s="1641"/>
      <c r="GB34" s="1641"/>
      <c r="GC34" s="1641"/>
      <c r="GD34" s="1641"/>
      <c r="GE34" s="1641"/>
      <c r="GF34" s="1641"/>
      <c r="GG34" s="1641"/>
      <c r="GH34" s="1641"/>
      <c r="GI34" s="1641"/>
      <c r="GJ34" s="1641"/>
      <c r="GK34" s="1641"/>
      <c r="GL34" s="1641"/>
      <c r="GM34" s="1641"/>
      <c r="GN34" s="1641"/>
      <c r="GO34" s="1641"/>
      <c r="GP34" s="1641"/>
      <c r="GQ34" s="1641"/>
      <c r="GR34" s="1641"/>
      <c r="GS34" s="1641"/>
      <c r="GT34" s="1641"/>
      <c r="GU34" s="1641"/>
      <c r="GV34" s="1641"/>
      <c r="GW34" s="1641"/>
      <c r="GX34" s="1641"/>
      <c r="GY34" s="1641"/>
      <c r="GZ34" s="1641"/>
      <c r="HA34" s="1641"/>
      <c r="HB34" s="1641"/>
      <c r="HC34" s="1641"/>
      <c r="HD34" s="1641"/>
      <c r="HE34" s="1641"/>
      <c r="HF34" s="1641"/>
      <c r="HG34" s="1641"/>
      <c r="HH34" s="1641"/>
      <c r="HI34" s="1641"/>
      <c r="HJ34" s="1641"/>
      <c r="HK34" s="1641"/>
      <c r="HL34" s="1641"/>
      <c r="HM34" s="1641"/>
      <c r="HN34" s="1641"/>
      <c r="HO34" s="1641"/>
      <c r="HP34" s="1641"/>
      <c r="HQ34" s="1641"/>
      <c r="HR34" s="1641"/>
      <c r="HS34" s="1641"/>
      <c r="HT34" s="1641"/>
      <c r="HU34" s="1641"/>
      <c r="HV34" s="1641"/>
      <c r="HW34" s="1641"/>
      <c r="HX34" s="1641"/>
      <c r="HY34" s="1641"/>
      <c r="HZ34" s="1641"/>
      <c r="IA34" s="1641"/>
      <c r="IB34" s="1641"/>
      <c r="IC34" s="1641"/>
      <c r="ID34" s="1641"/>
      <c r="IE34" s="1641"/>
      <c r="IF34" s="1641"/>
      <c r="IG34" s="1641"/>
      <c r="IH34" s="1641"/>
      <c r="II34" s="1641"/>
      <c r="IJ34" s="1641"/>
      <c r="IK34" s="1641"/>
      <c r="IL34" s="1641"/>
      <c r="IM34" s="1641"/>
      <c r="IN34" s="1641"/>
      <c r="IO34" s="1641"/>
      <c r="IP34" s="1637"/>
      <c r="IQ34" s="1637"/>
      <c r="IR34" s="1637"/>
      <c r="IS34" s="1637"/>
      <c r="IT34" s="1637"/>
      <c r="IU34" s="1637"/>
      <c r="IV34" s="1637"/>
      <c r="IW34" s="1637"/>
      <c r="IX34" s="1641"/>
      <c r="IY34" s="1641"/>
      <c r="IZ34" s="1641"/>
      <c r="JA34" s="1641"/>
      <c r="JB34" s="1641"/>
      <c r="JC34" s="1641"/>
      <c r="JD34" s="1641"/>
      <c r="JE34" s="1641"/>
      <c r="JF34" s="1641"/>
      <c r="JG34" s="1641"/>
      <c r="JH34" s="1637"/>
      <c r="JI34" s="1637"/>
      <c r="JJ34" s="1637"/>
      <c r="JK34" s="1637"/>
      <c r="JL34" s="1637"/>
      <c r="JM34" s="1637"/>
      <c r="JN34" s="1637"/>
      <c r="JO34" s="1637"/>
      <c r="JP34" s="1637"/>
      <c r="JQ34" s="1640"/>
      <c r="JR34" s="351"/>
    </row>
    <row r="35" spans="1:278" x14ac:dyDescent="0.25">
      <c r="A35" s="1367">
        <v>35</v>
      </c>
      <c r="B35" s="1411" t="str">
        <f t="shared" si="0"/>
        <v/>
      </c>
      <c r="C35" s="1435" t="s">
        <v>3915</v>
      </c>
      <c r="D35" s="1361" t="s">
        <v>3873</v>
      </c>
      <c r="E35" s="1639"/>
      <c r="F35" s="1639"/>
      <c r="G35" s="1639"/>
      <c r="H35" s="1639"/>
      <c r="I35" s="1639"/>
      <c r="J35" s="1639"/>
      <c r="K35" s="1639"/>
      <c r="L35" s="1639"/>
      <c r="M35" s="1639"/>
      <c r="N35" s="1639"/>
      <c r="O35" s="1639"/>
      <c r="P35" s="1639"/>
      <c r="Q35" s="1639"/>
      <c r="R35" s="1639"/>
      <c r="S35" s="1639"/>
      <c r="T35" s="1639"/>
      <c r="U35" s="1639"/>
      <c r="V35" s="1639"/>
      <c r="W35" s="1639"/>
      <c r="X35" s="1639"/>
      <c r="Y35" s="1639"/>
      <c r="Z35" s="1639"/>
      <c r="AA35" s="1639"/>
      <c r="AB35" s="1639"/>
      <c r="AC35" s="1639"/>
      <c r="AD35" s="1639"/>
      <c r="AE35" s="1639"/>
      <c r="AF35" s="1639"/>
      <c r="AG35" s="1639"/>
      <c r="AH35" s="1639"/>
      <c r="AI35" s="1639"/>
      <c r="AJ35" s="1639"/>
      <c r="AK35" s="1639"/>
      <c r="AL35" s="1639"/>
      <c r="AM35" s="1639"/>
      <c r="AN35" s="1639"/>
      <c r="AO35" s="1639"/>
      <c r="AP35" s="1639"/>
      <c r="AQ35" s="1639"/>
      <c r="AR35" s="1639"/>
      <c r="AS35" s="1639"/>
      <c r="AT35" s="1639"/>
      <c r="AU35" s="1639"/>
      <c r="AV35" s="1639"/>
      <c r="AW35" s="1639"/>
      <c r="AX35" s="1639"/>
      <c r="AY35" s="1639"/>
      <c r="AZ35" s="1639"/>
      <c r="BA35" s="1639"/>
      <c r="BB35" s="1639"/>
      <c r="BC35" s="1639"/>
      <c r="BD35" s="1639"/>
      <c r="BE35" s="1639"/>
      <c r="BF35" s="1639"/>
      <c r="BG35" s="1639"/>
      <c r="BH35" s="1639"/>
      <c r="BI35" s="1639"/>
      <c r="BJ35" s="1639"/>
      <c r="BK35" s="1639"/>
      <c r="BL35" s="1639"/>
      <c r="BM35" s="1639"/>
      <c r="BN35" s="1639"/>
      <c r="BO35" s="1639"/>
      <c r="BP35" s="1639"/>
      <c r="BQ35" s="1639"/>
      <c r="BR35" s="1639"/>
      <c r="BS35" s="1639"/>
      <c r="BT35" s="1639"/>
      <c r="BU35" s="1639"/>
      <c r="BV35" s="1639"/>
      <c r="BW35" s="1639"/>
      <c r="BX35" s="1639"/>
      <c r="BY35" s="1639"/>
      <c r="BZ35" s="1639"/>
      <c r="CA35" s="1639"/>
      <c r="CB35" s="1639"/>
      <c r="CC35" s="1639"/>
      <c r="CD35" s="1639"/>
      <c r="CE35" s="1639"/>
      <c r="CF35" s="1639"/>
      <c r="CG35" s="1639"/>
      <c r="CH35" s="1639"/>
      <c r="CI35" s="1639"/>
      <c r="CJ35" s="1639"/>
      <c r="CK35" s="1639"/>
      <c r="CL35" s="1639"/>
      <c r="CM35" s="1639"/>
      <c r="CN35" s="1639"/>
      <c r="CO35" s="1639"/>
      <c r="CP35" s="1639"/>
      <c r="CQ35" s="1639"/>
      <c r="CR35" s="1639"/>
      <c r="CS35" s="1639"/>
      <c r="CT35" s="1639"/>
      <c r="CU35" s="1639"/>
      <c r="CV35" s="1639"/>
      <c r="CW35" s="1639"/>
      <c r="CX35" s="1639"/>
      <c r="CY35" s="1639"/>
      <c r="CZ35" s="1639"/>
      <c r="DA35" s="1639"/>
      <c r="DB35" s="1639"/>
      <c r="DC35" s="1639"/>
      <c r="DD35" s="1639"/>
      <c r="DE35" s="1639"/>
      <c r="DF35" s="1639"/>
      <c r="DG35" s="1639"/>
      <c r="DH35" s="1639"/>
      <c r="DI35" s="1639"/>
      <c r="DJ35" s="1639"/>
      <c r="DK35" s="1639"/>
      <c r="DL35" s="1639"/>
      <c r="DM35" s="1639"/>
      <c r="DN35" s="1639"/>
      <c r="DO35" s="1639"/>
      <c r="DP35" s="1639" t="s">
        <v>1707</v>
      </c>
      <c r="DQ35" s="1639"/>
      <c r="DR35" s="1639"/>
      <c r="DS35" s="1639"/>
      <c r="DT35" s="1639" t="s">
        <v>1707</v>
      </c>
      <c r="DU35" s="1639"/>
      <c r="DV35" s="1639"/>
      <c r="DW35" s="1639"/>
      <c r="DX35" s="1639"/>
      <c r="DY35" s="1639"/>
      <c r="DZ35" s="1639"/>
      <c r="EA35" s="1639"/>
      <c r="EB35" s="1639"/>
      <c r="EC35" s="1639"/>
      <c r="ED35" s="1639"/>
      <c r="EE35" s="1639"/>
      <c r="EF35" s="1639"/>
      <c r="EG35" s="1639"/>
      <c r="EH35" s="1639"/>
      <c r="EI35" s="1639"/>
      <c r="EJ35" s="1639"/>
      <c r="EK35" s="1639"/>
      <c r="EL35" s="1639"/>
      <c r="EM35" s="1638" t="s">
        <v>1707</v>
      </c>
      <c r="EN35" s="1639"/>
      <c r="EO35" s="1639"/>
      <c r="EP35" s="1639"/>
      <c r="EQ35" s="1638" t="s">
        <v>1707</v>
      </c>
      <c r="ER35" s="1639"/>
      <c r="ES35" s="1639"/>
      <c r="ET35" s="1639"/>
      <c r="EU35" s="1639"/>
      <c r="EV35" s="1639"/>
      <c r="EW35" s="1639"/>
      <c r="EX35" s="1639"/>
      <c r="EY35" s="1639"/>
      <c r="EZ35" s="1639"/>
      <c r="FA35" s="1639"/>
      <c r="FB35" s="1639"/>
      <c r="FC35" s="1639"/>
      <c r="FD35" s="1639"/>
      <c r="FE35" s="1639"/>
      <c r="FF35" s="1639"/>
      <c r="FG35" s="1639"/>
      <c r="FH35" s="1639"/>
      <c r="FI35" s="1639"/>
      <c r="FJ35" s="1638" t="s">
        <v>1707</v>
      </c>
      <c r="FK35" s="1639"/>
      <c r="FL35" s="1639"/>
      <c r="FM35" s="1639"/>
      <c r="FN35" s="1639"/>
      <c r="FO35" s="1639"/>
      <c r="FP35" s="1639"/>
      <c r="FQ35" s="1639"/>
      <c r="FR35" s="1639"/>
      <c r="FS35" s="1639"/>
      <c r="FT35" s="1639"/>
      <c r="FU35" s="1639"/>
      <c r="FV35" s="1639"/>
      <c r="FW35" s="1639"/>
      <c r="FX35" s="1639"/>
      <c r="FY35" s="1639"/>
      <c r="FZ35" s="1639"/>
      <c r="GA35" s="1639"/>
      <c r="GB35" s="1639"/>
      <c r="GC35" s="1639"/>
      <c r="GD35" s="1639"/>
      <c r="GE35" s="1639"/>
      <c r="GF35" s="1639"/>
      <c r="GG35" s="1639"/>
      <c r="GH35" s="1639"/>
      <c r="GI35" s="1639"/>
      <c r="GJ35" s="1639"/>
      <c r="GK35" s="1639"/>
      <c r="GL35" s="1639"/>
      <c r="GM35" s="1639"/>
      <c r="GN35" s="1639"/>
      <c r="GO35" s="1639"/>
      <c r="GP35" s="1639"/>
      <c r="GQ35" s="1639"/>
      <c r="GR35" s="1639"/>
      <c r="GS35" s="1639"/>
      <c r="GT35" s="1639"/>
      <c r="GU35" s="1639"/>
      <c r="GV35" s="1639"/>
      <c r="GW35" s="1639"/>
      <c r="GX35" s="1639"/>
      <c r="GY35" s="1639"/>
      <c r="GZ35" s="1639"/>
      <c r="HA35" s="1639"/>
      <c r="HB35" s="1639"/>
      <c r="HC35" s="1639"/>
      <c r="HD35" s="1639"/>
      <c r="HE35" s="1639"/>
      <c r="HF35" s="1639"/>
      <c r="HG35" s="1639"/>
      <c r="HH35" s="1639" t="s">
        <v>1707</v>
      </c>
      <c r="HI35" s="1639"/>
      <c r="HJ35" s="1639"/>
      <c r="HK35" s="1639"/>
      <c r="HL35" s="1639"/>
      <c r="HM35" s="1639"/>
      <c r="HN35" s="1639"/>
      <c r="HO35" s="1639"/>
      <c r="HP35" s="1639"/>
      <c r="HQ35" s="1639"/>
      <c r="HR35" s="1639"/>
      <c r="HS35" s="1639"/>
      <c r="HT35" s="1639"/>
      <c r="HU35" s="1639"/>
      <c r="HV35" s="1639"/>
      <c r="HW35" s="1639"/>
      <c r="HX35" s="1639"/>
      <c r="HY35" s="1639"/>
      <c r="HZ35" s="1639"/>
      <c r="IA35" s="1639"/>
      <c r="IB35" s="1639"/>
      <c r="IC35" s="1639"/>
      <c r="ID35" s="1639"/>
      <c r="IE35" s="1639"/>
      <c r="IF35" s="1639"/>
      <c r="IG35" s="1639"/>
      <c r="IH35" s="1639"/>
      <c r="II35" s="1639"/>
      <c r="IJ35" s="1639"/>
      <c r="IK35" s="1639"/>
      <c r="IL35" s="1639"/>
      <c r="IM35" s="1639"/>
      <c r="IN35" s="1639"/>
      <c r="IO35" s="1639"/>
      <c r="IP35" s="1414"/>
      <c r="IQ35" s="1414"/>
      <c r="IR35" s="1414"/>
      <c r="IS35" s="1414"/>
      <c r="IT35" s="1414"/>
      <c r="IU35" s="1414"/>
      <c r="IV35" s="1414"/>
      <c r="IW35" s="1414"/>
      <c r="IX35" s="1639"/>
      <c r="IY35" s="1639"/>
      <c r="IZ35" s="1639"/>
      <c r="JA35" s="1639"/>
      <c r="JB35" s="1639"/>
      <c r="JC35" s="1639"/>
      <c r="JD35" s="1639"/>
      <c r="JE35" s="1639"/>
      <c r="JF35" s="1639"/>
      <c r="JG35" s="1639"/>
      <c r="JH35" s="1414"/>
      <c r="JI35" s="1414"/>
      <c r="JJ35" s="1414"/>
      <c r="JK35" s="1414"/>
      <c r="JL35" s="1414"/>
      <c r="JM35" s="1414"/>
      <c r="JN35" s="1414"/>
      <c r="JO35" s="1414"/>
      <c r="JP35" s="1414"/>
      <c r="JQ35" s="1415"/>
      <c r="JR35" s="351"/>
    </row>
    <row r="36" spans="1:278" x14ac:dyDescent="0.25">
      <c r="A36" s="1367">
        <v>36</v>
      </c>
      <c r="B36" s="1411" t="str">
        <f t="shared" si="0"/>
        <v/>
      </c>
      <c r="C36" s="1435" t="s">
        <v>3916</v>
      </c>
      <c r="D36" s="1361" t="s">
        <v>3875</v>
      </c>
      <c r="E36" s="2561"/>
      <c r="F36" s="2561"/>
      <c r="G36" s="2561"/>
      <c r="H36" s="2561"/>
      <c r="I36" s="2561"/>
      <c r="J36" s="2561"/>
      <c r="K36" s="2561"/>
      <c r="L36" s="2561"/>
      <c r="M36" s="2561"/>
      <c r="N36" s="2561"/>
      <c r="O36" s="2561"/>
      <c r="P36" s="2561"/>
      <c r="Q36" s="2561"/>
      <c r="R36" s="2561"/>
      <c r="S36" s="2561"/>
      <c r="T36" s="2561"/>
      <c r="U36" s="2561"/>
      <c r="V36" s="2561"/>
      <c r="W36" s="2561"/>
      <c r="X36" s="2561"/>
      <c r="Y36" s="2561"/>
      <c r="Z36" s="2561"/>
      <c r="AA36" s="2561"/>
      <c r="AB36" s="2561"/>
      <c r="AC36" s="2561"/>
      <c r="AD36" s="2561"/>
      <c r="AE36" s="2561"/>
      <c r="AF36" s="2561"/>
      <c r="AG36" s="2561"/>
      <c r="AH36" s="2561"/>
      <c r="AI36" s="2561"/>
      <c r="AJ36" s="2561"/>
      <c r="AK36" s="2561"/>
      <c r="AL36" s="2561"/>
      <c r="AM36" s="2561"/>
      <c r="AN36" s="2561"/>
      <c r="AO36" s="2561"/>
      <c r="AP36" s="2561"/>
      <c r="AQ36" s="2561"/>
      <c r="AR36" s="2561"/>
      <c r="AS36" s="2561"/>
      <c r="AT36" s="2561"/>
      <c r="AU36" s="2561"/>
      <c r="AV36" s="2561"/>
      <c r="AW36" s="2561"/>
      <c r="AX36" s="2561"/>
      <c r="AY36" s="2561"/>
      <c r="AZ36" s="2561"/>
      <c r="BA36" s="2561"/>
      <c r="BB36" s="2561"/>
      <c r="BC36" s="2561"/>
      <c r="BD36" s="2561"/>
      <c r="BE36" s="2561"/>
      <c r="BF36" s="2561"/>
      <c r="BG36" s="2561"/>
      <c r="BH36" s="2561"/>
      <c r="BI36" s="2561"/>
      <c r="BJ36" s="2561"/>
      <c r="BK36" s="2561"/>
      <c r="BL36" s="2561"/>
      <c r="BM36" s="2561"/>
      <c r="BN36" s="2561"/>
      <c r="BO36" s="2561"/>
      <c r="BP36" s="2561"/>
      <c r="BQ36" s="2561"/>
      <c r="BR36" s="2561"/>
      <c r="BS36" s="2561"/>
      <c r="BT36" s="2561"/>
      <c r="BU36" s="2561"/>
      <c r="BV36" s="2561"/>
      <c r="BW36" s="2561"/>
      <c r="BX36" s="2561"/>
      <c r="BY36" s="2561"/>
      <c r="BZ36" s="2561"/>
      <c r="CA36" s="2561"/>
      <c r="CB36" s="2561"/>
      <c r="CC36" s="2561"/>
      <c r="CD36" s="2561"/>
      <c r="CE36" s="2561"/>
      <c r="CF36" s="2561"/>
      <c r="CG36" s="2561"/>
      <c r="CH36" s="2561"/>
      <c r="CI36" s="2561"/>
      <c r="CJ36" s="2561"/>
      <c r="CK36" s="2561"/>
      <c r="CL36" s="2561"/>
      <c r="CM36" s="2561"/>
      <c r="CN36" s="2561"/>
      <c r="CO36" s="2561"/>
      <c r="CP36" s="2561"/>
      <c r="CQ36" s="2561"/>
      <c r="CR36" s="2561"/>
      <c r="CS36" s="2561"/>
      <c r="CT36" s="2561"/>
      <c r="CU36" s="2561"/>
      <c r="CV36" s="2561"/>
      <c r="CW36" s="2561"/>
      <c r="CX36" s="2561"/>
      <c r="CY36" s="2561"/>
      <c r="CZ36" s="2561"/>
      <c r="DA36" s="2561"/>
      <c r="DB36" s="2561"/>
      <c r="DC36" s="2561"/>
      <c r="DD36" s="2561"/>
      <c r="DE36" s="2561"/>
      <c r="DF36" s="2561"/>
      <c r="DG36" s="2561"/>
      <c r="DH36" s="2561"/>
      <c r="DI36" s="2561"/>
      <c r="DJ36" s="2561"/>
      <c r="DK36" s="2561"/>
      <c r="DL36" s="2561"/>
      <c r="DM36" s="2561"/>
      <c r="DN36" s="2561"/>
      <c r="DO36" s="2561"/>
      <c r="DP36" s="2561">
        <f>IF(DP35="Y",DP32,MAX(0,DP32-DP33))</f>
        <v>659</v>
      </c>
      <c r="DQ36" s="2561"/>
      <c r="DR36" s="2561"/>
      <c r="DS36" s="2561"/>
      <c r="DT36" s="2561">
        <f>IF(DT35="Y",DT32,MAX(0,DT32-DT33))</f>
        <v>659</v>
      </c>
      <c r="DU36" s="2561"/>
      <c r="DV36" s="2561"/>
      <c r="DW36" s="1636">
        <v>3776.96</v>
      </c>
      <c r="DX36" s="2561"/>
      <c r="DY36" s="2561"/>
      <c r="DZ36" s="2561"/>
      <c r="EA36" s="2561"/>
      <c r="EB36" s="2561"/>
      <c r="EC36" s="2561"/>
      <c r="ED36" s="2561"/>
      <c r="EE36" s="2561"/>
      <c r="EF36" s="2561"/>
      <c r="EG36" s="2561"/>
      <c r="EH36" s="2561"/>
      <c r="EI36" s="2561"/>
      <c r="EJ36" s="2561"/>
      <c r="EK36" s="2561"/>
      <c r="EL36" s="2561"/>
      <c r="EM36" s="1636">
        <v>469</v>
      </c>
      <c r="EN36" s="1636">
        <v>15</v>
      </c>
      <c r="EO36" s="2561"/>
      <c r="EP36" s="2561"/>
      <c r="EQ36" s="1636">
        <v>4375</v>
      </c>
      <c r="ER36" s="2561"/>
      <c r="ES36" s="1636">
        <v>39.369999999999997</v>
      </c>
      <c r="ET36" s="2561"/>
      <c r="EU36" s="2561"/>
      <c r="EV36" s="2561"/>
      <c r="EW36" s="2561"/>
      <c r="EX36" s="2561"/>
      <c r="EY36" s="2561"/>
      <c r="EZ36" s="2561"/>
      <c r="FA36" s="2561"/>
      <c r="FB36" s="2561"/>
      <c r="FC36" s="2561"/>
      <c r="FD36" s="2561"/>
      <c r="FE36" s="2561"/>
      <c r="FF36" s="2561"/>
      <c r="FG36" s="2561"/>
      <c r="FH36" s="2561"/>
      <c r="FI36" s="2561"/>
      <c r="FJ36" s="1636">
        <v>17234</v>
      </c>
      <c r="FK36" s="2561"/>
      <c r="FL36" s="2561"/>
      <c r="FM36" s="2561"/>
      <c r="FN36" s="2561"/>
      <c r="FO36" s="2561"/>
      <c r="FP36" s="2561"/>
      <c r="FQ36" s="2561"/>
      <c r="FR36" s="2561"/>
      <c r="FS36" s="2561"/>
      <c r="FT36" s="2561"/>
      <c r="FU36" s="2561"/>
      <c r="FV36" s="2561"/>
      <c r="FW36" s="2561"/>
      <c r="FX36" s="2561"/>
      <c r="FY36" s="2561"/>
      <c r="FZ36" s="2561"/>
      <c r="GA36" s="2561"/>
      <c r="GB36" s="2561"/>
      <c r="GC36" s="2561"/>
      <c r="GD36" s="2561"/>
      <c r="GE36" s="2561"/>
      <c r="GF36" s="2561"/>
      <c r="GG36" s="2561"/>
      <c r="GH36" s="2561"/>
      <c r="GI36" s="2561"/>
      <c r="GJ36" s="2561"/>
      <c r="GK36" s="2561"/>
      <c r="GL36" s="2561"/>
      <c r="GM36" s="2561"/>
      <c r="GN36" s="2561"/>
      <c r="GO36" s="2561"/>
      <c r="GP36" s="2561"/>
      <c r="GQ36" s="2561"/>
      <c r="GR36" s="2561"/>
      <c r="GS36" s="2561"/>
      <c r="GT36" s="2561"/>
      <c r="GU36" s="2561"/>
      <c r="GV36" s="2561"/>
      <c r="GW36" s="2561"/>
      <c r="GX36" s="2561"/>
      <c r="GY36" s="2561"/>
      <c r="GZ36" s="2561"/>
      <c r="HA36" s="2561"/>
      <c r="HB36" s="2561"/>
      <c r="HC36" s="2561"/>
      <c r="HD36" s="2561"/>
      <c r="HE36" s="2561"/>
      <c r="HF36" s="2561"/>
      <c r="HG36" s="2561"/>
      <c r="HH36" s="2561">
        <f>IF(HH35="Y",HH32,MAX(0,HH32-HH33))</f>
        <v>500</v>
      </c>
      <c r="HI36" s="2561"/>
      <c r="HJ36" s="2561"/>
      <c r="HK36" s="2561"/>
      <c r="HL36" s="2561"/>
      <c r="HM36" s="2561"/>
      <c r="HN36" s="2561"/>
      <c r="HO36" s="2561"/>
      <c r="HP36" s="2561"/>
      <c r="HQ36" s="2561"/>
      <c r="HR36" s="2561"/>
      <c r="HS36" s="2561"/>
      <c r="HT36" s="2561"/>
      <c r="HU36" s="2561"/>
      <c r="HV36" s="2561"/>
      <c r="HW36" s="2561"/>
      <c r="HX36" s="2561"/>
      <c r="HY36" s="2561"/>
      <c r="HZ36" s="2561"/>
      <c r="IA36" s="2561"/>
      <c r="IB36" s="2561"/>
      <c r="IC36" s="2561"/>
      <c r="ID36" s="2561"/>
      <c r="IE36" s="2561"/>
      <c r="IF36" s="2561"/>
      <c r="IG36" s="2561"/>
      <c r="IH36" s="2561"/>
      <c r="II36" s="2561"/>
      <c r="IJ36" s="2561"/>
      <c r="IK36" s="2561"/>
      <c r="IL36" s="2561"/>
      <c r="IM36" s="2561"/>
      <c r="IN36" s="2561"/>
      <c r="IO36" s="2561"/>
      <c r="IP36" s="2561"/>
      <c r="IQ36" s="2561"/>
      <c r="IR36" s="2561"/>
      <c r="IS36" s="2561"/>
      <c r="IT36" s="2561"/>
      <c r="IU36" s="2561"/>
      <c r="IV36" s="2561"/>
      <c r="IW36" s="2561"/>
      <c r="IX36" s="2561"/>
      <c r="IY36" s="2561"/>
      <c r="IZ36" s="2561"/>
      <c r="JA36" s="2561"/>
      <c r="JB36" s="2561"/>
      <c r="JC36" s="2561"/>
      <c r="JD36" s="2561"/>
      <c r="JE36" s="2561"/>
      <c r="JF36" s="2561"/>
      <c r="JG36" s="2561"/>
      <c r="JH36" s="2561">
        <v>468</v>
      </c>
      <c r="JI36" s="2561"/>
      <c r="JJ36" s="2561"/>
      <c r="JK36" s="2561"/>
      <c r="JL36" s="2561"/>
      <c r="JM36" s="2561"/>
      <c r="JN36" s="2561"/>
      <c r="JO36" s="2561"/>
      <c r="JP36" s="2561"/>
      <c r="JQ36" s="2561"/>
      <c r="JR36" s="351"/>
    </row>
    <row r="37" spans="1:278" x14ac:dyDescent="0.25">
      <c r="A37" s="1367">
        <v>37</v>
      </c>
      <c r="B37" s="1411" t="str">
        <f t="shared" si="0"/>
        <v/>
      </c>
      <c r="C37" s="1435" t="s">
        <v>3917</v>
      </c>
      <c r="D37" s="1361" t="s">
        <v>3851</v>
      </c>
      <c r="E37" s="1639"/>
      <c r="F37" s="1639"/>
      <c r="G37" s="1639"/>
      <c r="H37" s="1639"/>
      <c r="I37" s="1639"/>
      <c r="J37" s="1639"/>
      <c r="K37" s="1639"/>
      <c r="L37" s="1639"/>
      <c r="M37" s="1639"/>
      <c r="N37" s="1639"/>
      <c r="O37" s="1639"/>
      <c r="P37" s="1639"/>
      <c r="Q37" s="1639"/>
      <c r="R37" s="1639"/>
      <c r="S37" s="1639"/>
      <c r="T37" s="1639"/>
      <c r="U37" s="1639"/>
      <c r="V37" s="1639"/>
      <c r="W37" s="1639"/>
      <c r="X37" s="1639"/>
      <c r="Y37" s="1639"/>
      <c r="Z37" s="1639"/>
      <c r="AA37" s="1639"/>
      <c r="AB37" s="1639"/>
      <c r="AC37" s="1639"/>
      <c r="AD37" s="1639"/>
      <c r="AE37" s="1639"/>
      <c r="AF37" s="1639"/>
      <c r="AG37" s="1639"/>
      <c r="AH37" s="1639"/>
      <c r="AI37" s="1639"/>
      <c r="AJ37" s="1639"/>
      <c r="AK37" s="1639"/>
      <c r="AL37" s="1639"/>
      <c r="AM37" s="1639"/>
      <c r="AN37" s="1639"/>
      <c r="AO37" s="1639"/>
      <c r="AP37" s="1639"/>
      <c r="AQ37" s="1639"/>
      <c r="AR37" s="1639"/>
      <c r="AS37" s="1639"/>
      <c r="AT37" s="1639"/>
      <c r="AU37" s="1639"/>
      <c r="AV37" s="1639"/>
      <c r="AW37" s="1639"/>
      <c r="AX37" s="1639"/>
      <c r="AY37" s="1639"/>
      <c r="AZ37" s="1639"/>
      <c r="BA37" s="1639"/>
      <c r="BB37" s="1639"/>
      <c r="BC37" s="1639"/>
      <c r="BD37" s="1639"/>
      <c r="BE37" s="1639"/>
      <c r="BF37" s="1639"/>
      <c r="BG37" s="1639"/>
      <c r="BH37" s="1639"/>
      <c r="BI37" s="1639"/>
      <c r="BJ37" s="1639"/>
      <c r="BK37" s="1639"/>
      <c r="BL37" s="1639"/>
      <c r="BM37" s="1639"/>
      <c r="BN37" s="1639"/>
      <c r="BO37" s="1639"/>
      <c r="BP37" s="1639"/>
      <c r="BQ37" s="1639"/>
      <c r="BR37" s="1639"/>
      <c r="BS37" s="1639"/>
      <c r="BT37" s="1639"/>
      <c r="BU37" s="1639"/>
      <c r="BV37" s="1639"/>
      <c r="BW37" s="1639"/>
      <c r="BX37" s="1639"/>
      <c r="BY37" s="1639"/>
      <c r="BZ37" s="1639"/>
      <c r="CA37" s="1639"/>
      <c r="CB37" s="1639"/>
      <c r="CC37" s="1639"/>
      <c r="CD37" s="1639"/>
      <c r="CE37" s="1639"/>
      <c r="CF37" s="1639"/>
      <c r="CG37" s="1639"/>
      <c r="CH37" s="1639"/>
      <c r="CI37" s="1639"/>
      <c r="CJ37" s="1639"/>
      <c r="CK37" s="1639"/>
      <c r="CL37" s="1639"/>
      <c r="CM37" s="1639"/>
      <c r="CN37" s="1639"/>
      <c r="CO37" s="1639"/>
      <c r="CP37" s="1639"/>
      <c r="CQ37" s="1639"/>
      <c r="CR37" s="1639"/>
      <c r="CS37" s="1639"/>
      <c r="CT37" s="1639"/>
      <c r="CU37" s="1639"/>
      <c r="CV37" s="1639"/>
      <c r="CW37" s="1639"/>
      <c r="CX37" s="1639"/>
      <c r="CY37" s="1639"/>
      <c r="CZ37" s="1639"/>
      <c r="DA37" s="1639"/>
      <c r="DB37" s="1639"/>
      <c r="DC37" s="1639"/>
      <c r="DD37" s="1639"/>
      <c r="DE37" s="1639"/>
      <c r="DF37" s="1639"/>
      <c r="DG37" s="1639"/>
      <c r="DH37" s="1639"/>
      <c r="DI37" s="1639"/>
      <c r="DJ37" s="1639"/>
      <c r="DK37" s="1639"/>
      <c r="DL37" s="1639"/>
      <c r="DM37" s="1639"/>
      <c r="DN37" s="1639"/>
      <c r="DO37" s="1639"/>
      <c r="DP37" s="1639" t="s">
        <v>3880</v>
      </c>
      <c r="DQ37" s="1639"/>
      <c r="DR37" s="1639"/>
      <c r="DS37" s="1639"/>
      <c r="DT37" s="1639" t="s">
        <v>3880</v>
      </c>
      <c r="DU37" s="1639"/>
      <c r="DV37" s="1639"/>
      <c r="DW37" s="1638" t="s">
        <v>3862</v>
      </c>
      <c r="DX37" s="1639"/>
      <c r="DY37" s="1639"/>
      <c r="DZ37" s="1639"/>
      <c r="EA37" s="1639"/>
      <c r="EB37" s="1639"/>
      <c r="EC37" s="1639"/>
      <c r="ED37" s="1639"/>
      <c r="EE37" s="1639"/>
      <c r="EF37" s="1639"/>
      <c r="EG37" s="1639"/>
      <c r="EH37" s="1639"/>
      <c r="EI37" s="1639"/>
      <c r="EJ37" s="1639"/>
      <c r="EK37" s="1639"/>
      <c r="EL37" s="1639"/>
      <c r="EM37" s="1638" t="s">
        <v>3918</v>
      </c>
      <c r="EN37" s="1638" t="s">
        <v>3857</v>
      </c>
      <c r="EO37" s="1639"/>
      <c r="EP37" s="1639"/>
      <c r="EQ37" s="1639"/>
      <c r="ER37" s="1639"/>
      <c r="ES37" s="1639"/>
      <c r="ET37" s="1639"/>
      <c r="EU37" s="1639"/>
      <c r="EV37" s="1639"/>
      <c r="EW37" s="1639"/>
      <c r="EX37" s="1639"/>
      <c r="EY37" s="1639"/>
      <c r="EZ37" s="1639"/>
      <c r="FA37" s="1639"/>
      <c r="FB37" s="1639"/>
      <c r="FC37" s="1639"/>
      <c r="FD37" s="1639"/>
      <c r="FE37" s="1639"/>
      <c r="FF37" s="1639"/>
      <c r="FG37" s="1639"/>
      <c r="FH37" s="1639"/>
      <c r="FI37" s="1639"/>
      <c r="FJ37" s="1638" t="s">
        <v>3852</v>
      </c>
      <c r="FK37" s="1639"/>
      <c r="FL37" s="1639"/>
      <c r="FM37" s="1639"/>
      <c r="FN37" s="1639"/>
      <c r="FO37" s="1639"/>
      <c r="FP37" s="1639"/>
      <c r="FQ37" s="1639"/>
      <c r="FR37" s="1639"/>
      <c r="FS37" s="1639"/>
      <c r="FT37" s="1639"/>
      <c r="FU37" s="1639"/>
      <c r="FV37" s="1639"/>
      <c r="FW37" s="1639"/>
      <c r="FX37" s="1639"/>
      <c r="FY37" s="1639"/>
      <c r="FZ37" s="1639"/>
      <c r="GA37" s="1639"/>
      <c r="GB37" s="1639"/>
      <c r="GC37" s="1639"/>
      <c r="GD37" s="1639"/>
      <c r="GE37" s="1639"/>
      <c r="GF37" s="1639"/>
      <c r="GG37" s="1639"/>
      <c r="GH37" s="1639"/>
      <c r="GI37" s="1639"/>
      <c r="GJ37" s="1639"/>
      <c r="GK37" s="1639"/>
      <c r="GL37" s="1639"/>
      <c r="GM37" s="1639"/>
      <c r="GN37" s="1639"/>
      <c r="GO37" s="1639"/>
      <c r="GP37" s="1639"/>
      <c r="GQ37" s="1639"/>
      <c r="GR37" s="1639"/>
      <c r="GS37" s="1639"/>
      <c r="GT37" s="1639"/>
      <c r="GU37" s="1639"/>
      <c r="GV37" s="1639"/>
      <c r="GW37" s="1639"/>
      <c r="GX37" s="1639"/>
      <c r="GY37" s="1639"/>
      <c r="GZ37" s="1639"/>
      <c r="HA37" s="1639"/>
      <c r="HB37" s="1639"/>
      <c r="HC37" s="1639"/>
      <c r="HD37" s="1639"/>
      <c r="HE37" s="1639"/>
      <c r="HF37" s="1639"/>
      <c r="HG37" s="1639"/>
      <c r="HH37" s="1639"/>
      <c r="HI37" s="1639"/>
      <c r="HJ37" s="1639"/>
      <c r="HK37" s="1639"/>
      <c r="HL37" s="1639"/>
      <c r="HM37" s="1639"/>
      <c r="HN37" s="1639"/>
      <c r="HO37" s="1639"/>
      <c r="HP37" s="1639"/>
      <c r="HQ37" s="1639"/>
      <c r="HR37" s="1639"/>
      <c r="HS37" s="1639"/>
      <c r="HT37" s="1639"/>
      <c r="HU37" s="1639"/>
      <c r="HV37" s="1639"/>
      <c r="HW37" s="1639"/>
      <c r="HX37" s="1639"/>
      <c r="HY37" s="1639"/>
      <c r="HZ37" s="1639"/>
      <c r="IA37" s="1639"/>
      <c r="IB37" s="1639"/>
      <c r="IC37" s="1639" t="s">
        <v>3855</v>
      </c>
      <c r="ID37" s="1639"/>
      <c r="IE37" s="1639"/>
      <c r="IF37" s="1639"/>
      <c r="IG37" s="1639"/>
      <c r="IH37" s="1639"/>
      <c r="II37" s="1639"/>
      <c r="IJ37" s="1639"/>
      <c r="IK37" s="1639"/>
      <c r="IL37" s="1639"/>
      <c r="IM37" s="1639"/>
      <c r="IN37" s="1639"/>
      <c r="IO37" s="1639"/>
      <c r="IP37" s="1414"/>
      <c r="IQ37" s="1414"/>
      <c r="IR37" s="1414"/>
      <c r="IS37" s="1414"/>
      <c r="IT37" s="1414"/>
      <c r="IU37" s="1414"/>
      <c r="IV37" s="1414"/>
      <c r="IW37" s="1414"/>
      <c r="IX37" s="1639"/>
      <c r="IY37" s="1639"/>
      <c r="IZ37" s="1639"/>
      <c r="JA37" s="1639"/>
      <c r="JB37" s="1639"/>
      <c r="JC37" s="1639"/>
      <c r="JD37" s="1639"/>
      <c r="JE37" s="1639"/>
      <c r="JF37" s="1639"/>
      <c r="JG37" s="1639"/>
      <c r="JH37" s="1414" t="s">
        <v>3862</v>
      </c>
      <c r="JI37" s="1414"/>
      <c r="JJ37" s="1414"/>
      <c r="JK37" s="1414"/>
      <c r="JL37" s="1414"/>
      <c r="JM37" s="1414"/>
      <c r="JN37" s="1414"/>
      <c r="JO37" s="1414"/>
      <c r="JP37" s="1414"/>
      <c r="JQ37" s="1415"/>
      <c r="JR37" s="351"/>
    </row>
    <row r="38" spans="1:278" x14ac:dyDescent="0.25">
      <c r="A38" s="1367">
        <v>38</v>
      </c>
      <c r="B38" s="1411" t="str">
        <f t="shared" si="0"/>
        <v/>
      </c>
      <c r="C38" s="1435" t="s">
        <v>3919</v>
      </c>
      <c r="D38" s="1361" t="s">
        <v>3867</v>
      </c>
      <c r="E38" s="1641"/>
      <c r="F38" s="1641"/>
      <c r="G38" s="1641"/>
      <c r="H38" s="1641"/>
      <c r="I38" s="1641"/>
      <c r="J38" s="1641"/>
      <c r="K38" s="1641"/>
      <c r="L38" s="1641"/>
      <c r="M38" s="1641"/>
      <c r="N38" s="1641"/>
      <c r="O38" s="1641"/>
      <c r="P38" s="1641"/>
      <c r="Q38" s="1641"/>
      <c r="R38" s="1641"/>
      <c r="S38" s="1641"/>
      <c r="T38" s="1641"/>
      <c r="U38" s="1641"/>
      <c r="V38" s="1641"/>
      <c r="W38" s="1641"/>
      <c r="X38" s="1641"/>
      <c r="Y38" s="1641"/>
      <c r="Z38" s="1641"/>
      <c r="AA38" s="1641"/>
      <c r="AB38" s="1641"/>
      <c r="AC38" s="1641"/>
      <c r="AD38" s="1641"/>
      <c r="AE38" s="1641"/>
      <c r="AF38" s="1641"/>
      <c r="AG38" s="1641"/>
      <c r="AH38" s="1641"/>
      <c r="AI38" s="1641"/>
      <c r="AJ38" s="1641"/>
      <c r="AK38" s="1641"/>
      <c r="AL38" s="1641"/>
      <c r="AM38" s="1641"/>
      <c r="AN38" s="1641"/>
      <c r="AO38" s="1641"/>
      <c r="AP38" s="1641"/>
      <c r="AQ38" s="1641"/>
      <c r="AR38" s="1641"/>
      <c r="AS38" s="1641"/>
      <c r="AT38" s="1641"/>
      <c r="AU38" s="1641"/>
      <c r="AV38" s="1641"/>
      <c r="AW38" s="1641"/>
      <c r="AX38" s="1641"/>
      <c r="AY38" s="1641"/>
      <c r="AZ38" s="1641"/>
      <c r="BA38" s="1641"/>
      <c r="BB38" s="1641"/>
      <c r="BC38" s="1641"/>
      <c r="BD38" s="1641"/>
      <c r="BE38" s="1641"/>
      <c r="BF38" s="1641"/>
      <c r="BG38" s="1641"/>
      <c r="BH38" s="1641"/>
      <c r="BI38" s="1641"/>
      <c r="BJ38" s="1641"/>
      <c r="BK38" s="1641"/>
      <c r="BL38" s="1641"/>
      <c r="BM38" s="1641"/>
      <c r="BN38" s="1641"/>
      <c r="BO38" s="1641"/>
      <c r="BP38" s="1641"/>
      <c r="BQ38" s="1641"/>
      <c r="BR38" s="1641"/>
      <c r="BS38" s="1641"/>
      <c r="BT38" s="1641"/>
      <c r="BU38" s="1641"/>
      <c r="BV38" s="1641"/>
      <c r="BW38" s="1641"/>
      <c r="BX38" s="1641"/>
      <c r="BY38" s="1641"/>
      <c r="BZ38" s="1641"/>
      <c r="CA38" s="1641"/>
      <c r="CB38" s="1641"/>
      <c r="CC38" s="1641"/>
      <c r="CD38" s="1641"/>
      <c r="CE38" s="1641"/>
      <c r="CF38" s="1641"/>
      <c r="CG38" s="1641"/>
      <c r="CH38" s="1641"/>
      <c r="CI38" s="1641"/>
      <c r="CJ38" s="1641"/>
      <c r="CK38" s="1641"/>
      <c r="CL38" s="1641"/>
      <c r="CM38" s="1641"/>
      <c r="CN38" s="1641"/>
      <c r="CO38" s="1641"/>
      <c r="CP38" s="1641"/>
      <c r="CQ38" s="1641"/>
      <c r="CR38" s="1641"/>
      <c r="CS38" s="1641"/>
      <c r="CT38" s="1641"/>
      <c r="CU38" s="1641"/>
      <c r="CV38" s="1641"/>
      <c r="CW38" s="1641"/>
      <c r="CX38" s="1641"/>
      <c r="CY38" s="1641"/>
      <c r="CZ38" s="1641"/>
      <c r="DA38" s="1641"/>
      <c r="DB38" s="1641"/>
      <c r="DC38" s="1641"/>
      <c r="DD38" s="1641"/>
      <c r="DE38" s="1641"/>
      <c r="DF38" s="1641"/>
      <c r="DG38" s="1641"/>
      <c r="DH38" s="1641"/>
      <c r="DI38" s="1641"/>
      <c r="DJ38" s="1641"/>
      <c r="DK38" s="1641"/>
      <c r="DL38" s="1641"/>
      <c r="DM38" s="1641"/>
      <c r="DN38" s="1641"/>
      <c r="DO38" s="1641"/>
      <c r="DP38" s="1641">
        <v>500</v>
      </c>
      <c r="DQ38" s="1641"/>
      <c r="DR38" s="1641"/>
      <c r="DS38" s="1641"/>
      <c r="DT38" s="1641">
        <v>500</v>
      </c>
      <c r="DU38" s="1641"/>
      <c r="DV38" s="1641"/>
      <c r="DW38" s="1636">
        <v>4938.22</v>
      </c>
      <c r="DX38" s="1641"/>
      <c r="DY38" s="1641"/>
      <c r="DZ38" s="1641"/>
      <c r="EA38" s="1641"/>
      <c r="EB38" s="1641"/>
      <c r="EC38" s="1641"/>
      <c r="ED38" s="1641"/>
      <c r="EE38" s="1641"/>
      <c r="EF38" s="1641"/>
      <c r="EG38" s="1641"/>
      <c r="EH38" s="1641"/>
      <c r="EI38" s="1641"/>
      <c r="EJ38" s="1641"/>
      <c r="EK38" s="1641"/>
      <c r="EL38" s="1641"/>
      <c r="EM38" s="1636">
        <v>170</v>
      </c>
      <c r="EN38" s="1636">
        <v>122</v>
      </c>
      <c r="EO38" s="1641"/>
      <c r="EP38" s="1641"/>
      <c r="EQ38" s="1641"/>
      <c r="ER38" s="1641"/>
      <c r="ES38" s="1641"/>
      <c r="ET38" s="1641"/>
      <c r="EU38" s="1641"/>
      <c r="EV38" s="1641"/>
      <c r="EW38" s="1641"/>
      <c r="EX38" s="1641"/>
      <c r="EY38" s="1641"/>
      <c r="EZ38" s="1641"/>
      <c r="FA38" s="1641"/>
      <c r="FB38" s="1641"/>
      <c r="FC38" s="1641"/>
      <c r="FD38" s="1641"/>
      <c r="FE38" s="1641"/>
      <c r="FF38" s="1641"/>
      <c r="FG38" s="1641"/>
      <c r="FH38" s="1641"/>
      <c r="FI38" s="1641"/>
      <c r="FJ38" s="1636">
        <v>26295</v>
      </c>
      <c r="FK38" s="1641"/>
      <c r="FL38" s="1641"/>
      <c r="FM38" s="1641"/>
      <c r="FN38" s="1641"/>
      <c r="FO38" s="1641"/>
      <c r="FP38" s="1641"/>
      <c r="FQ38" s="1641"/>
      <c r="FR38" s="1641"/>
      <c r="FS38" s="1641"/>
      <c r="FT38" s="1641"/>
      <c r="FU38" s="1641"/>
      <c r="FV38" s="1641"/>
      <c r="FW38" s="1641"/>
      <c r="FX38" s="1641"/>
      <c r="FY38" s="1641"/>
      <c r="FZ38" s="1641"/>
      <c r="GA38" s="1641"/>
      <c r="GB38" s="1641"/>
      <c r="GC38" s="1641"/>
      <c r="GD38" s="1641"/>
      <c r="GE38" s="1641"/>
      <c r="GF38" s="1641"/>
      <c r="GG38" s="1641"/>
      <c r="GH38" s="1641"/>
      <c r="GI38" s="1641"/>
      <c r="GJ38" s="1641"/>
      <c r="GK38" s="1641"/>
      <c r="GL38" s="1641"/>
      <c r="GM38" s="1641"/>
      <c r="GN38" s="1641"/>
      <c r="GO38" s="1641"/>
      <c r="GP38" s="1641"/>
      <c r="GQ38" s="1641"/>
      <c r="GR38" s="1641"/>
      <c r="GS38" s="1641"/>
      <c r="GT38" s="1641"/>
      <c r="GU38" s="1641"/>
      <c r="GV38" s="1641"/>
      <c r="GW38" s="1641"/>
      <c r="GX38" s="1641"/>
      <c r="GY38" s="1641"/>
      <c r="GZ38" s="1641"/>
      <c r="HA38" s="1641"/>
      <c r="HB38" s="1641"/>
      <c r="HC38" s="1641"/>
      <c r="HD38" s="1641"/>
      <c r="HE38" s="1641"/>
      <c r="HF38" s="1641"/>
      <c r="HG38" s="1641"/>
      <c r="HH38" s="1641"/>
      <c r="HI38" s="1641"/>
      <c r="HJ38" s="1641"/>
      <c r="HK38" s="1641"/>
      <c r="HL38" s="1641"/>
      <c r="HM38" s="1641"/>
      <c r="HN38" s="1641"/>
      <c r="HO38" s="1641"/>
      <c r="HP38" s="1641"/>
      <c r="HQ38" s="1641"/>
      <c r="HR38" s="1641"/>
      <c r="HS38" s="1641"/>
      <c r="HT38" s="1641"/>
      <c r="HU38" s="1641"/>
      <c r="HV38" s="1641"/>
      <c r="HW38" s="1641"/>
      <c r="HX38" s="1641"/>
      <c r="HY38" s="1641"/>
      <c r="HZ38" s="1641"/>
      <c r="IA38" s="1641"/>
      <c r="IB38" s="1641"/>
      <c r="IC38" s="1641">
        <v>14669</v>
      </c>
      <c r="ID38" s="1641"/>
      <c r="IE38" s="1641"/>
      <c r="IF38" s="1641"/>
      <c r="IG38" s="1641"/>
      <c r="IH38" s="1641"/>
      <c r="II38" s="1641"/>
      <c r="IJ38" s="1641"/>
      <c r="IK38" s="1641"/>
      <c r="IL38" s="1641"/>
      <c r="IM38" s="1641"/>
      <c r="IN38" s="1641"/>
      <c r="IO38" s="1641"/>
      <c r="IP38" s="1637"/>
      <c r="IQ38" s="1637"/>
      <c r="IR38" s="1637"/>
      <c r="IS38" s="1637"/>
      <c r="IT38" s="1637"/>
      <c r="IU38" s="1637"/>
      <c r="IV38" s="1637"/>
      <c r="IW38" s="1637"/>
      <c r="IX38" s="1641"/>
      <c r="IY38" s="1641"/>
      <c r="IZ38" s="1641"/>
      <c r="JA38" s="1641"/>
      <c r="JB38" s="1641"/>
      <c r="JC38" s="1641"/>
      <c r="JD38" s="1641"/>
      <c r="JE38" s="1641"/>
      <c r="JF38" s="1641"/>
      <c r="JG38" s="1641"/>
      <c r="JH38" s="1637">
        <v>1</v>
      </c>
      <c r="JI38" s="1637"/>
      <c r="JJ38" s="1637"/>
      <c r="JK38" s="1637"/>
      <c r="JL38" s="1637"/>
      <c r="JM38" s="1637"/>
      <c r="JN38" s="1637"/>
      <c r="JO38" s="1637"/>
      <c r="JP38" s="1637"/>
      <c r="JQ38" s="1640"/>
      <c r="JR38" s="351"/>
    </row>
    <row r="39" spans="1:278" x14ac:dyDescent="0.25">
      <c r="A39" s="1367">
        <v>39</v>
      </c>
      <c r="B39" s="1411" t="str">
        <f t="shared" si="0"/>
        <v/>
      </c>
      <c r="C39" s="1435" t="s">
        <v>3920</v>
      </c>
      <c r="D39" s="1361" t="s">
        <v>3869</v>
      </c>
      <c r="E39" s="1641"/>
      <c r="F39" s="1641"/>
      <c r="G39" s="1641"/>
      <c r="H39" s="1641"/>
      <c r="I39" s="1641"/>
      <c r="J39" s="1641"/>
      <c r="K39" s="1641"/>
      <c r="L39" s="1641"/>
      <c r="M39" s="1641"/>
      <c r="N39" s="1641"/>
      <c r="O39" s="1641"/>
      <c r="P39" s="1641"/>
      <c r="Q39" s="1641"/>
      <c r="R39" s="1641"/>
      <c r="S39" s="1641"/>
      <c r="T39" s="1641"/>
      <c r="U39" s="1641"/>
      <c r="V39" s="1641"/>
      <c r="W39" s="1641"/>
      <c r="X39" s="1641"/>
      <c r="Y39" s="1641"/>
      <c r="Z39" s="1641"/>
      <c r="AA39" s="1641"/>
      <c r="AB39" s="1641"/>
      <c r="AC39" s="1641"/>
      <c r="AD39" s="1641"/>
      <c r="AE39" s="1641"/>
      <c r="AF39" s="1641"/>
      <c r="AG39" s="1641"/>
      <c r="AH39" s="1641"/>
      <c r="AI39" s="1641"/>
      <c r="AJ39" s="1641"/>
      <c r="AK39" s="1641"/>
      <c r="AL39" s="1641"/>
      <c r="AM39" s="1641"/>
      <c r="AN39" s="1641"/>
      <c r="AO39" s="1641"/>
      <c r="AP39" s="1641"/>
      <c r="AQ39" s="1641"/>
      <c r="AR39" s="1641"/>
      <c r="AS39" s="1641"/>
      <c r="AT39" s="1641"/>
      <c r="AU39" s="1641"/>
      <c r="AV39" s="1641"/>
      <c r="AW39" s="1641"/>
      <c r="AX39" s="1641"/>
      <c r="AY39" s="1641"/>
      <c r="AZ39" s="1641"/>
      <c r="BA39" s="1641"/>
      <c r="BB39" s="1641"/>
      <c r="BC39" s="1641"/>
      <c r="BD39" s="1641"/>
      <c r="BE39" s="1641"/>
      <c r="BF39" s="1641"/>
      <c r="BG39" s="1641"/>
      <c r="BH39" s="1641"/>
      <c r="BI39" s="1641"/>
      <c r="BJ39" s="1641"/>
      <c r="BK39" s="1641"/>
      <c r="BL39" s="1641"/>
      <c r="BM39" s="1641"/>
      <c r="BN39" s="1641"/>
      <c r="BO39" s="1641"/>
      <c r="BP39" s="1641"/>
      <c r="BQ39" s="1641"/>
      <c r="BR39" s="1641"/>
      <c r="BS39" s="1641"/>
      <c r="BT39" s="1641"/>
      <c r="BU39" s="1641"/>
      <c r="BV39" s="1641"/>
      <c r="BW39" s="1641"/>
      <c r="BX39" s="1641"/>
      <c r="BY39" s="1641"/>
      <c r="BZ39" s="1641"/>
      <c r="CA39" s="1641"/>
      <c r="CB39" s="1641"/>
      <c r="CC39" s="1641"/>
      <c r="CD39" s="1641"/>
      <c r="CE39" s="1641"/>
      <c r="CF39" s="1641"/>
      <c r="CG39" s="1641"/>
      <c r="CH39" s="1641"/>
      <c r="CI39" s="1641"/>
      <c r="CJ39" s="1641"/>
      <c r="CK39" s="1641"/>
      <c r="CL39" s="1641"/>
      <c r="CM39" s="1641"/>
      <c r="CN39" s="1641"/>
      <c r="CO39" s="1641"/>
      <c r="CP39" s="1641"/>
      <c r="CQ39" s="1641"/>
      <c r="CR39" s="1641"/>
      <c r="CS39" s="1641"/>
      <c r="CT39" s="1641"/>
      <c r="CU39" s="1641"/>
      <c r="CV39" s="1641"/>
      <c r="CW39" s="1641"/>
      <c r="CX39" s="1641"/>
      <c r="CY39" s="1641"/>
      <c r="CZ39" s="1641"/>
      <c r="DA39" s="1641"/>
      <c r="DB39" s="1641"/>
      <c r="DC39" s="1641"/>
      <c r="DD39" s="1641"/>
      <c r="DE39" s="1641"/>
      <c r="DF39" s="1641"/>
      <c r="DG39" s="1641"/>
      <c r="DH39" s="1641"/>
      <c r="DI39" s="1641"/>
      <c r="DJ39" s="1641"/>
      <c r="DK39" s="1641"/>
      <c r="DL39" s="1641"/>
      <c r="DM39" s="1641"/>
      <c r="DN39" s="1641"/>
      <c r="DO39" s="1641"/>
      <c r="DP39" s="1641">
        <v>50</v>
      </c>
      <c r="DQ39" s="1641"/>
      <c r="DR39" s="1641"/>
      <c r="DS39" s="1641"/>
      <c r="DT39" s="1641">
        <v>50</v>
      </c>
      <c r="DU39" s="1641"/>
      <c r="DV39" s="1641"/>
      <c r="DW39" s="1636">
        <v>301.07</v>
      </c>
      <c r="DX39" s="1641"/>
      <c r="DY39" s="1641"/>
      <c r="DZ39" s="1641"/>
      <c r="EA39" s="1641"/>
      <c r="EB39" s="1641"/>
      <c r="EC39" s="1641"/>
      <c r="ED39" s="1641"/>
      <c r="EE39" s="1641"/>
      <c r="EF39" s="1641"/>
      <c r="EG39" s="1641"/>
      <c r="EH39" s="1641"/>
      <c r="EI39" s="1641"/>
      <c r="EJ39" s="1641"/>
      <c r="EK39" s="1641"/>
      <c r="EL39" s="1641"/>
      <c r="EM39" s="1636">
        <v>26</v>
      </c>
      <c r="EN39" s="1641"/>
      <c r="EO39" s="1641"/>
      <c r="EP39" s="1641"/>
      <c r="EQ39" s="1641"/>
      <c r="ER39" s="1641"/>
      <c r="ES39" s="1641"/>
      <c r="ET39" s="1641"/>
      <c r="EU39" s="1641"/>
      <c r="EV39" s="1641"/>
      <c r="EW39" s="1641"/>
      <c r="EX39" s="1641"/>
      <c r="EY39" s="1641"/>
      <c r="EZ39" s="1641"/>
      <c r="FA39" s="1641"/>
      <c r="FB39" s="1641"/>
      <c r="FC39" s="1641"/>
      <c r="FD39" s="1641"/>
      <c r="FE39" s="1641"/>
      <c r="FF39" s="1641"/>
      <c r="FG39" s="1641"/>
      <c r="FH39" s="1641"/>
      <c r="FI39" s="1641"/>
      <c r="FJ39" s="1636">
        <v>7866</v>
      </c>
      <c r="FK39" s="1641"/>
      <c r="FL39" s="1641"/>
      <c r="FM39" s="1641"/>
      <c r="FN39" s="1641"/>
      <c r="FO39" s="1641"/>
      <c r="FP39" s="1641"/>
      <c r="FQ39" s="1641"/>
      <c r="FR39" s="1641"/>
      <c r="FS39" s="1641"/>
      <c r="FT39" s="1641"/>
      <c r="FU39" s="1641"/>
      <c r="FV39" s="1641"/>
      <c r="FW39" s="1641"/>
      <c r="FX39" s="1641"/>
      <c r="FY39" s="1641"/>
      <c r="FZ39" s="1641"/>
      <c r="GA39" s="1641"/>
      <c r="GB39" s="1641"/>
      <c r="GC39" s="1641"/>
      <c r="GD39" s="1641"/>
      <c r="GE39" s="1641"/>
      <c r="GF39" s="1641"/>
      <c r="GG39" s="1641"/>
      <c r="GH39" s="1641"/>
      <c r="GI39" s="1641"/>
      <c r="GJ39" s="1641"/>
      <c r="GK39" s="1641"/>
      <c r="GL39" s="1641"/>
      <c r="GM39" s="1641"/>
      <c r="GN39" s="1641"/>
      <c r="GO39" s="1641"/>
      <c r="GP39" s="1641"/>
      <c r="GQ39" s="1641"/>
      <c r="GR39" s="1641"/>
      <c r="GS39" s="1641"/>
      <c r="GT39" s="1641"/>
      <c r="GU39" s="1641"/>
      <c r="GV39" s="1641"/>
      <c r="GW39" s="1641"/>
      <c r="GX39" s="1641"/>
      <c r="GY39" s="1641"/>
      <c r="GZ39" s="1641"/>
      <c r="HA39" s="1641"/>
      <c r="HB39" s="1641"/>
      <c r="HC39" s="1641"/>
      <c r="HD39" s="1641"/>
      <c r="HE39" s="1641"/>
      <c r="HF39" s="1641"/>
      <c r="HG39" s="1641"/>
      <c r="HH39" s="1641"/>
      <c r="HI39" s="1641"/>
      <c r="HJ39" s="1641"/>
      <c r="HK39" s="1641"/>
      <c r="HL39" s="1641"/>
      <c r="HM39" s="1641"/>
      <c r="HN39" s="1641"/>
      <c r="HO39" s="1641"/>
      <c r="HP39" s="1641"/>
      <c r="HQ39" s="1641"/>
      <c r="HR39" s="1641"/>
      <c r="HS39" s="1641"/>
      <c r="HT39" s="1641"/>
      <c r="HU39" s="1641"/>
      <c r="HV39" s="1641"/>
      <c r="HW39" s="1641"/>
      <c r="HX39" s="1641"/>
      <c r="HY39" s="1641"/>
      <c r="HZ39" s="1641"/>
      <c r="IA39" s="1641"/>
      <c r="IB39" s="1641"/>
      <c r="IC39" s="1641"/>
      <c r="ID39" s="1641"/>
      <c r="IE39" s="1641"/>
      <c r="IF39" s="1641"/>
      <c r="IG39" s="1641"/>
      <c r="IH39" s="1641"/>
      <c r="II39" s="1641"/>
      <c r="IJ39" s="1641"/>
      <c r="IK39" s="1641"/>
      <c r="IL39" s="1641"/>
      <c r="IM39" s="1641"/>
      <c r="IN39" s="1641"/>
      <c r="IO39" s="1641"/>
      <c r="IP39" s="1637"/>
      <c r="IQ39" s="1637"/>
      <c r="IR39" s="1637"/>
      <c r="IS39" s="1637"/>
      <c r="IT39" s="1637"/>
      <c r="IU39" s="1637"/>
      <c r="IV39" s="1637"/>
      <c r="IW39" s="1637"/>
      <c r="IX39" s="1641"/>
      <c r="IY39" s="1641"/>
      <c r="IZ39" s="1641"/>
      <c r="JA39" s="1641"/>
      <c r="JB39" s="1641"/>
      <c r="JC39" s="1641"/>
      <c r="JD39" s="1641"/>
      <c r="JE39" s="1641"/>
      <c r="JF39" s="1641"/>
      <c r="JG39" s="1641"/>
      <c r="JH39" s="1637"/>
      <c r="JI39" s="1637"/>
      <c r="JJ39" s="1637"/>
      <c r="JK39" s="1637"/>
      <c r="JL39" s="1637"/>
      <c r="JM39" s="1637"/>
      <c r="JN39" s="1637"/>
      <c r="JO39" s="1637"/>
      <c r="JP39" s="1637"/>
      <c r="JQ39" s="1640"/>
      <c r="JR39" s="351"/>
    </row>
    <row r="40" spans="1:278" x14ac:dyDescent="0.25">
      <c r="A40" s="1367">
        <v>40</v>
      </c>
      <c r="B40" s="1411" t="str">
        <f t="shared" si="0"/>
        <v/>
      </c>
      <c r="C40" s="1435" t="s">
        <v>3921</v>
      </c>
      <c r="D40" s="1361" t="s">
        <v>3871</v>
      </c>
      <c r="E40" s="1641"/>
      <c r="F40" s="1641"/>
      <c r="G40" s="1641"/>
      <c r="H40" s="1641"/>
      <c r="I40" s="1641"/>
      <c r="J40" s="1641"/>
      <c r="K40" s="1641"/>
      <c r="L40" s="1641"/>
      <c r="M40" s="1641"/>
      <c r="N40" s="1641"/>
      <c r="O40" s="1641"/>
      <c r="P40" s="1641"/>
      <c r="Q40" s="1641"/>
      <c r="R40" s="1641"/>
      <c r="S40" s="1641"/>
      <c r="T40" s="1641"/>
      <c r="U40" s="1641"/>
      <c r="V40" s="1641"/>
      <c r="W40" s="1641"/>
      <c r="X40" s="1641"/>
      <c r="Y40" s="1641"/>
      <c r="Z40" s="1641"/>
      <c r="AA40" s="1641"/>
      <c r="AB40" s="1641"/>
      <c r="AC40" s="1641"/>
      <c r="AD40" s="1641"/>
      <c r="AE40" s="1641"/>
      <c r="AF40" s="1641"/>
      <c r="AG40" s="1641"/>
      <c r="AH40" s="1641"/>
      <c r="AI40" s="1641"/>
      <c r="AJ40" s="1641"/>
      <c r="AK40" s="1641"/>
      <c r="AL40" s="1641"/>
      <c r="AM40" s="1641"/>
      <c r="AN40" s="1641"/>
      <c r="AO40" s="1641"/>
      <c r="AP40" s="1641"/>
      <c r="AQ40" s="1641"/>
      <c r="AR40" s="1641"/>
      <c r="AS40" s="1641"/>
      <c r="AT40" s="1641"/>
      <c r="AU40" s="1641"/>
      <c r="AV40" s="1641"/>
      <c r="AW40" s="1641"/>
      <c r="AX40" s="1641"/>
      <c r="AY40" s="1641"/>
      <c r="AZ40" s="1641"/>
      <c r="BA40" s="1641"/>
      <c r="BB40" s="1641"/>
      <c r="BC40" s="1641"/>
      <c r="BD40" s="1641"/>
      <c r="BE40" s="1641"/>
      <c r="BF40" s="1641"/>
      <c r="BG40" s="1641"/>
      <c r="BH40" s="1641"/>
      <c r="BI40" s="1641"/>
      <c r="BJ40" s="1641"/>
      <c r="BK40" s="1641"/>
      <c r="BL40" s="1641"/>
      <c r="BM40" s="1641"/>
      <c r="BN40" s="1641"/>
      <c r="BO40" s="1641"/>
      <c r="BP40" s="1641"/>
      <c r="BQ40" s="1641"/>
      <c r="BR40" s="1641"/>
      <c r="BS40" s="1641"/>
      <c r="BT40" s="1641"/>
      <c r="BU40" s="1641"/>
      <c r="BV40" s="1641"/>
      <c r="BW40" s="1641"/>
      <c r="BX40" s="1641"/>
      <c r="BY40" s="1641"/>
      <c r="BZ40" s="1641"/>
      <c r="CA40" s="1641"/>
      <c r="CB40" s="1641"/>
      <c r="CC40" s="1641"/>
      <c r="CD40" s="1641"/>
      <c r="CE40" s="1641"/>
      <c r="CF40" s="1641"/>
      <c r="CG40" s="1641"/>
      <c r="CH40" s="1641"/>
      <c r="CI40" s="1641"/>
      <c r="CJ40" s="1641"/>
      <c r="CK40" s="1641"/>
      <c r="CL40" s="1641"/>
      <c r="CM40" s="1641"/>
      <c r="CN40" s="1641"/>
      <c r="CO40" s="1641"/>
      <c r="CP40" s="1641"/>
      <c r="CQ40" s="1641"/>
      <c r="CR40" s="1641"/>
      <c r="CS40" s="1641"/>
      <c r="CT40" s="1641"/>
      <c r="CU40" s="1641"/>
      <c r="CV40" s="1641"/>
      <c r="CW40" s="1641"/>
      <c r="CX40" s="1641"/>
      <c r="CY40" s="1641"/>
      <c r="CZ40" s="1641"/>
      <c r="DA40" s="1641"/>
      <c r="DB40" s="1641"/>
      <c r="DC40" s="1641"/>
      <c r="DD40" s="1641"/>
      <c r="DE40" s="1641"/>
      <c r="DF40" s="1641"/>
      <c r="DG40" s="1641"/>
      <c r="DH40" s="1641"/>
      <c r="DI40" s="1641"/>
      <c r="DJ40" s="1641"/>
      <c r="DK40" s="1641"/>
      <c r="DL40" s="1641"/>
      <c r="DM40" s="1641"/>
      <c r="DN40" s="1641"/>
      <c r="DO40" s="1641"/>
      <c r="DP40" s="1641"/>
      <c r="DQ40" s="1641"/>
      <c r="DR40" s="1641"/>
      <c r="DS40" s="1641"/>
      <c r="DT40" s="1641"/>
      <c r="DU40" s="1641"/>
      <c r="DV40" s="1641"/>
      <c r="DW40" s="1641"/>
      <c r="DX40" s="1641"/>
      <c r="DY40" s="1641"/>
      <c r="DZ40" s="1641"/>
      <c r="EA40" s="1641"/>
      <c r="EB40" s="1641"/>
      <c r="EC40" s="1641"/>
      <c r="ED40" s="1641"/>
      <c r="EE40" s="1641"/>
      <c r="EF40" s="1641"/>
      <c r="EG40" s="1641"/>
      <c r="EH40" s="1641"/>
      <c r="EI40" s="1641"/>
      <c r="EJ40" s="1641"/>
      <c r="EK40" s="1641"/>
      <c r="EL40" s="1641"/>
      <c r="EM40" s="1641"/>
      <c r="EN40" s="1641"/>
      <c r="EO40" s="1641"/>
      <c r="EP40" s="1641"/>
      <c r="EQ40" s="1641"/>
      <c r="ER40" s="1641"/>
      <c r="ES40" s="1641"/>
      <c r="ET40" s="1641"/>
      <c r="EU40" s="1641"/>
      <c r="EV40" s="1641"/>
      <c r="EW40" s="1641"/>
      <c r="EX40" s="1641"/>
      <c r="EY40" s="1641"/>
      <c r="EZ40" s="1641"/>
      <c r="FA40" s="1641"/>
      <c r="FB40" s="1641"/>
      <c r="FC40" s="1641"/>
      <c r="FD40" s="1641"/>
      <c r="FE40" s="1641"/>
      <c r="FF40" s="1641"/>
      <c r="FG40" s="1641"/>
      <c r="FH40" s="1641"/>
      <c r="FI40" s="1641"/>
      <c r="FJ40" s="1641"/>
      <c r="FK40" s="1641"/>
      <c r="FL40" s="1641"/>
      <c r="FM40" s="1641"/>
      <c r="FN40" s="1641"/>
      <c r="FO40" s="1641"/>
      <c r="FP40" s="1641"/>
      <c r="FQ40" s="1641"/>
      <c r="FR40" s="1641"/>
      <c r="FS40" s="1641"/>
      <c r="FT40" s="1641"/>
      <c r="FU40" s="1641"/>
      <c r="FV40" s="1641"/>
      <c r="FW40" s="1641"/>
      <c r="FX40" s="1641"/>
      <c r="FY40" s="1641"/>
      <c r="FZ40" s="1641"/>
      <c r="GA40" s="1641"/>
      <c r="GB40" s="1641"/>
      <c r="GC40" s="1641"/>
      <c r="GD40" s="1641"/>
      <c r="GE40" s="1641"/>
      <c r="GF40" s="1641"/>
      <c r="GG40" s="1641"/>
      <c r="GH40" s="1641"/>
      <c r="GI40" s="1641"/>
      <c r="GJ40" s="1641"/>
      <c r="GK40" s="1641"/>
      <c r="GL40" s="1641"/>
      <c r="GM40" s="1641"/>
      <c r="GN40" s="1641"/>
      <c r="GO40" s="1641"/>
      <c r="GP40" s="1641"/>
      <c r="GQ40" s="1641"/>
      <c r="GR40" s="1641"/>
      <c r="GS40" s="1641"/>
      <c r="GT40" s="1641"/>
      <c r="GU40" s="1641"/>
      <c r="GV40" s="1641"/>
      <c r="GW40" s="1641"/>
      <c r="GX40" s="1641"/>
      <c r="GY40" s="1641"/>
      <c r="GZ40" s="1641"/>
      <c r="HA40" s="1641"/>
      <c r="HB40" s="1641"/>
      <c r="HC40" s="1641"/>
      <c r="HD40" s="1641"/>
      <c r="HE40" s="1641"/>
      <c r="HF40" s="1641"/>
      <c r="HG40" s="1641"/>
      <c r="HH40" s="1641"/>
      <c r="HI40" s="1641"/>
      <c r="HJ40" s="1641"/>
      <c r="HK40" s="1641"/>
      <c r="HL40" s="1641"/>
      <c r="HM40" s="1641"/>
      <c r="HN40" s="1641"/>
      <c r="HO40" s="1641"/>
      <c r="HP40" s="1641"/>
      <c r="HQ40" s="1641"/>
      <c r="HR40" s="1641"/>
      <c r="HS40" s="1641"/>
      <c r="HT40" s="1641"/>
      <c r="HU40" s="1641"/>
      <c r="HV40" s="1641"/>
      <c r="HW40" s="1641"/>
      <c r="HX40" s="1641"/>
      <c r="HY40" s="1641"/>
      <c r="HZ40" s="1641"/>
      <c r="IA40" s="1641"/>
      <c r="IB40" s="1641"/>
      <c r="IC40" s="1641"/>
      <c r="ID40" s="1641"/>
      <c r="IE40" s="1641"/>
      <c r="IF40" s="1641"/>
      <c r="IG40" s="1641"/>
      <c r="IH40" s="1641"/>
      <c r="II40" s="1641"/>
      <c r="IJ40" s="1641"/>
      <c r="IK40" s="1641"/>
      <c r="IL40" s="1641"/>
      <c r="IM40" s="1641"/>
      <c r="IN40" s="1641"/>
      <c r="IO40" s="1641"/>
      <c r="IP40" s="1637"/>
      <c r="IQ40" s="1637"/>
      <c r="IR40" s="1637"/>
      <c r="IS40" s="1637"/>
      <c r="IT40" s="1637"/>
      <c r="IU40" s="1637"/>
      <c r="IV40" s="1637"/>
      <c r="IW40" s="1637"/>
      <c r="IX40" s="1641"/>
      <c r="IY40" s="1641"/>
      <c r="IZ40" s="1641"/>
      <c r="JA40" s="1641"/>
      <c r="JB40" s="1641"/>
      <c r="JC40" s="1641"/>
      <c r="JD40" s="1641"/>
      <c r="JE40" s="1641"/>
      <c r="JF40" s="1641"/>
      <c r="JG40" s="1641"/>
      <c r="JH40" s="1637"/>
      <c r="JI40" s="1637"/>
      <c r="JJ40" s="1637"/>
      <c r="JK40" s="1637"/>
      <c r="JL40" s="1637"/>
      <c r="JM40" s="1637"/>
      <c r="JN40" s="1637"/>
      <c r="JO40" s="1637"/>
      <c r="JP40" s="1637"/>
      <c r="JQ40" s="1640"/>
      <c r="JR40" s="351"/>
    </row>
    <row r="41" spans="1:278" x14ac:dyDescent="0.25">
      <c r="A41" s="1367">
        <v>41</v>
      </c>
      <c r="B41" s="1411" t="str">
        <f t="shared" si="0"/>
        <v/>
      </c>
      <c r="C41" s="1435" t="s">
        <v>3922</v>
      </c>
      <c r="D41" s="1361" t="s">
        <v>3873</v>
      </c>
      <c r="E41" s="1639"/>
      <c r="F41" s="1639"/>
      <c r="G41" s="1639"/>
      <c r="H41" s="1639"/>
      <c r="I41" s="1639"/>
      <c r="J41" s="1639"/>
      <c r="K41" s="1639"/>
      <c r="L41" s="1639"/>
      <c r="M41" s="1639"/>
      <c r="N41" s="1639"/>
      <c r="O41" s="1639"/>
      <c r="P41" s="1639"/>
      <c r="Q41" s="1639"/>
      <c r="R41" s="1639"/>
      <c r="S41" s="1639"/>
      <c r="T41" s="1639"/>
      <c r="U41" s="1639"/>
      <c r="V41" s="1639"/>
      <c r="W41" s="1639"/>
      <c r="X41" s="1639"/>
      <c r="Y41" s="1639"/>
      <c r="Z41" s="1639"/>
      <c r="AA41" s="1639"/>
      <c r="AB41" s="1639"/>
      <c r="AC41" s="1639"/>
      <c r="AD41" s="1639"/>
      <c r="AE41" s="1639"/>
      <c r="AF41" s="1639"/>
      <c r="AG41" s="1639"/>
      <c r="AH41" s="1639"/>
      <c r="AI41" s="1639"/>
      <c r="AJ41" s="1639"/>
      <c r="AK41" s="1639"/>
      <c r="AL41" s="1639"/>
      <c r="AM41" s="1639"/>
      <c r="AN41" s="1639"/>
      <c r="AO41" s="1639"/>
      <c r="AP41" s="1639"/>
      <c r="AQ41" s="1639"/>
      <c r="AR41" s="1639"/>
      <c r="AS41" s="1639"/>
      <c r="AT41" s="1639"/>
      <c r="AU41" s="1639"/>
      <c r="AV41" s="1639"/>
      <c r="AW41" s="1639"/>
      <c r="AX41" s="1639"/>
      <c r="AY41" s="1639"/>
      <c r="AZ41" s="1639"/>
      <c r="BA41" s="1639"/>
      <c r="BB41" s="1639"/>
      <c r="BC41" s="1639"/>
      <c r="BD41" s="1639"/>
      <c r="BE41" s="1639"/>
      <c r="BF41" s="1639"/>
      <c r="BG41" s="1639"/>
      <c r="BH41" s="1639"/>
      <c r="BI41" s="1639"/>
      <c r="BJ41" s="1639"/>
      <c r="BK41" s="1639"/>
      <c r="BL41" s="1639"/>
      <c r="BM41" s="1639"/>
      <c r="BN41" s="1639"/>
      <c r="BO41" s="1639"/>
      <c r="BP41" s="1639"/>
      <c r="BQ41" s="1639"/>
      <c r="BR41" s="1639"/>
      <c r="BS41" s="1639"/>
      <c r="BT41" s="1639"/>
      <c r="BU41" s="1639"/>
      <c r="BV41" s="1639"/>
      <c r="BW41" s="1639"/>
      <c r="BX41" s="1639"/>
      <c r="BY41" s="1639"/>
      <c r="BZ41" s="1639"/>
      <c r="CA41" s="1639"/>
      <c r="CB41" s="1639"/>
      <c r="CC41" s="1639"/>
      <c r="CD41" s="1639"/>
      <c r="CE41" s="1639"/>
      <c r="CF41" s="1639"/>
      <c r="CG41" s="1639"/>
      <c r="CH41" s="1639"/>
      <c r="CI41" s="1639"/>
      <c r="CJ41" s="1639"/>
      <c r="CK41" s="1639"/>
      <c r="CL41" s="1639"/>
      <c r="CM41" s="1639"/>
      <c r="CN41" s="1639"/>
      <c r="CO41" s="1639"/>
      <c r="CP41" s="1639"/>
      <c r="CQ41" s="1639"/>
      <c r="CR41" s="1639"/>
      <c r="CS41" s="1639"/>
      <c r="CT41" s="1639"/>
      <c r="CU41" s="1639"/>
      <c r="CV41" s="1639"/>
      <c r="CW41" s="1639"/>
      <c r="CX41" s="1639"/>
      <c r="CY41" s="1639"/>
      <c r="CZ41" s="1639"/>
      <c r="DA41" s="1639"/>
      <c r="DB41" s="1639"/>
      <c r="DC41" s="1639"/>
      <c r="DD41" s="1639"/>
      <c r="DE41" s="1639"/>
      <c r="DF41" s="1639"/>
      <c r="DG41" s="1639"/>
      <c r="DH41" s="1639"/>
      <c r="DI41" s="1639"/>
      <c r="DJ41" s="1639"/>
      <c r="DK41" s="1639"/>
      <c r="DL41" s="1639"/>
      <c r="DM41" s="1639"/>
      <c r="DN41" s="1639"/>
      <c r="DO41" s="1639"/>
      <c r="DP41" s="1639" t="s">
        <v>1707</v>
      </c>
      <c r="DQ41" s="1639"/>
      <c r="DR41" s="1639"/>
      <c r="DS41" s="1639"/>
      <c r="DT41" s="1639" t="s">
        <v>1707</v>
      </c>
      <c r="DU41" s="1639"/>
      <c r="DV41" s="1639"/>
      <c r="DW41" s="1638" t="s">
        <v>1707</v>
      </c>
      <c r="DX41" s="1639"/>
      <c r="DY41" s="1639"/>
      <c r="DZ41" s="1639"/>
      <c r="EA41" s="1639"/>
      <c r="EB41" s="1639"/>
      <c r="EC41" s="1639"/>
      <c r="ED41" s="1639"/>
      <c r="EE41" s="1639"/>
      <c r="EF41" s="1639"/>
      <c r="EG41" s="1639"/>
      <c r="EH41" s="1639"/>
      <c r="EI41" s="1639"/>
      <c r="EJ41" s="1639"/>
      <c r="EK41" s="1639"/>
      <c r="EL41" s="1639"/>
      <c r="EM41" s="1638" t="s">
        <v>1707</v>
      </c>
      <c r="EN41" s="1639"/>
      <c r="EO41" s="1639"/>
      <c r="EP41" s="1639"/>
      <c r="EQ41" s="1639"/>
      <c r="ER41" s="1639"/>
      <c r="ES41" s="1639"/>
      <c r="ET41" s="1639"/>
      <c r="EU41" s="1639"/>
      <c r="EV41" s="1639"/>
      <c r="EW41" s="1639"/>
      <c r="EX41" s="1639"/>
      <c r="EY41" s="1639"/>
      <c r="EZ41" s="1639"/>
      <c r="FA41" s="1639"/>
      <c r="FB41" s="1639"/>
      <c r="FC41" s="1639"/>
      <c r="FD41" s="1639"/>
      <c r="FE41" s="1639"/>
      <c r="FF41" s="1639"/>
      <c r="FG41" s="1639"/>
      <c r="FH41" s="1639"/>
      <c r="FI41" s="1639"/>
      <c r="FJ41" s="1638" t="s">
        <v>1707</v>
      </c>
      <c r="FK41" s="1639"/>
      <c r="FL41" s="1639"/>
      <c r="FM41" s="1639"/>
      <c r="FN41" s="1639"/>
      <c r="FO41" s="1639"/>
      <c r="FP41" s="1639"/>
      <c r="FQ41" s="1639"/>
      <c r="FR41" s="1639"/>
      <c r="FS41" s="1639"/>
      <c r="FT41" s="1639"/>
      <c r="FU41" s="1639"/>
      <c r="FV41" s="1639"/>
      <c r="FW41" s="1639"/>
      <c r="FX41" s="1639"/>
      <c r="FY41" s="1639"/>
      <c r="FZ41" s="1639"/>
      <c r="GA41" s="1639"/>
      <c r="GB41" s="1639"/>
      <c r="GC41" s="1639"/>
      <c r="GD41" s="1639"/>
      <c r="GE41" s="1639"/>
      <c r="GF41" s="1639"/>
      <c r="GG41" s="1639"/>
      <c r="GH41" s="1639"/>
      <c r="GI41" s="1639"/>
      <c r="GJ41" s="1639"/>
      <c r="GK41" s="1639"/>
      <c r="GL41" s="1639"/>
      <c r="GM41" s="1639"/>
      <c r="GN41" s="1639"/>
      <c r="GO41" s="1639"/>
      <c r="GP41" s="1639"/>
      <c r="GQ41" s="1639"/>
      <c r="GR41" s="1639"/>
      <c r="GS41" s="1639"/>
      <c r="GT41" s="1639"/>
      <c r="GU41" s="1639"/>
      <c r="GV41" s="1639"/>
      <c r="GW41" s="1639"/>
      <c r="GX41" s="1639"/>
      <c r="GY41" s="1639"/>
      <c r="GZ41" s="1639"/>
      <c r="HA41" s="1639"/>
      <c r="HB41" s="1639"/>
      <c r="HC41" s="1639"/>
      <c r="HD41" s="1639"/>
      <c r="HE41" s="1639"/>
      <c r="HF41" s="1639"/>
      <c r="HG41" s="1639"/>
      <c r="HH41" s="1639"/>
      <c r="HI41" s="1639"/>
      <c r="HJ41" s="1639"/>
      <c r="HK41" s="1639"/>
      <c r="HL41" s="1639"/>
      <c r="HM41" s="1639"/>
      <c r="HN41" s="1639"/>
      <c r="HO41" s="1639"/>
      <c r="HP41" s="1639"/>
      <c r="HQ41" s="1639"/>
      <c r="HR41" s="1639"/>
      <c r="HS41" s="1639"/>
      <c r="HT41" s="1639"/>
      <c r="HU41" s="1639"/>
      <c r="HV41" s="1639"/>
      <c r="HW41" s="1639"/>
      <c r="HX41" s="1639"/>
      <c r="HY41" s="1639"/>
      <c r="HZ41" s="1639"/>
      <c r="IA41" s="1639"/>
      <c r="IB41" s="1639"/>
      <c r="IC41" s="1639"/>
      <c r="ID41" s="1639"/>
      <c r="IE41" s="1639"/>
      <c r="IF41" s="1639"/>
      <c r="IG41" s="1639"/>
      <c r="IH41" s="1639"/>
      <c r="II41" s="1639"/>
      <c r="IJ41" s="1639"/>
      <c r="IK41" s="1639"/>
      <c r="IL41" s="1639"/>
      <c r="IM41" s="1639"/>
      <c r="IN41" s="1639"/>
      <c r="IO41" s="1639"/>
      <c r="IP41" s="1414"/>
      <c r="IQ41" s="1414"/>
      <c r="IR41" s="1414"/>
      <c r="IS41" s="1414"/>
      <c r="IT41" s="1414"/>
      <c r="IU41" s="1414"/>
      <c r="IV41" s="1414"/>
      <c r="IW41" s="1414"/>
      <c r="IX41" s="1639"/>
      <c r="IY41" s="1639"/>
      <c r="IZ41" s="1639"/>
      <c r="JA41" s="1639"/>
      <c r="JB41" s="1639"/>
      <c r="JC41" s="1639"/>
      <c r="JD41" s="1639"/>
      <c r="JE41" s="1639"/>
      <c r="JF41" s="1639"/>
      <c r="JG41" s="1639"/>
      <c r="JH41" s="1414"/>
      <c r="JI41" s="1414"/>
      <c r="JJ41" s="1414"/>
      <c r="JK41" s="1414"/>
      <c r="JL41" s="1414"/>
      <c r="JM41" s="1414"/>
      <c r="JN41" s="1414"/>
      <c r="JO41" s="1414"/>
      <c r="JP41" s="1414"/>
      <c r="JQ41" s="1415"/>
      <c r="JR41" s="351"/>
    </row>
    <row r="42" spans="1:278" x14ac:dyDescent="0.25">
      <c r="A42" s="1367">
        <v>42</v>
      </c>
      <c r="B42" s="1411" t="str">
        <f t="shared" si="0"/>
        <v/>
      </c>
      <c r="C42" s="1435" t="s">
        <v>3923</v>
      </c>
      <c r="D42" s="1361" t="s">
        <v>3875</v>
      </c>
      <c r="E42" s="2561"/>
      <c r="F42" s="2561"/>
      <c r="G42" s="2561"/>
      <c r="H42" s="2561"/>
      <c r="I42" s="2561"/>
      <c r="J42" s="2561"/>
      <c r="K42" s="2561"/>
      <c r="L42" s="2561"/>
      <c r="M42" s="2561"/>
      <c r="N42" s="2561"/>
      <c r="O42" s="2561"/>
      <c r="P42" s="2561"/>
      <c r="Q42" s="2561"/>
      <c r="R42" s="2561"/>
      <c r="S42" s="2561"/>
      <c r="T42" s="2561"/>
      <c r="U42" s="2561"/>
      <c r="V42" s="2561"/>
      <c r="W42" s="2561"/>
      <c r="X42" s="2561"/>
      <c r="Y42" s="2561"/>
      <c r="Z42" s="2561"/>
      <c r="AA42" s="2561"/>
      <c r="AB42" s="2561"/>
      <c r="AC42" s="2561"/>
      <c r="AD42" s="2561"/>
      <c r="AE42" s="2561"/>
      <c r="AF42" s="2561"/>
      <c r="AG42" s="2561"/>
      <c r="AH42" s="2561"/>
      <c r="AI42" s="2561"/>
      <c r="AJ42" s="2561"/>
      <c r="AK42" s="2561"/>
      <c r="AL42" s="2561"/>
      <c r="AM42" s="2561"/>
      <c r="AN42" s="2561"/>
      <c r="AO42" s="2561"/>
      <c r="AP42" s="2561"/>
      <c r="AQ42" s="2561"/>
      <c r="AR42" s="2561"/>
      <c r="AS42" s="2561"/>
      <c r="AT42" s="2561"/>
      <c r="AU42" s="2561"/>
      <c r="AV42" s="2561"/>
      <c r="AW42" s="2561"/>
      <c r="AX42" s="2561"/>
      <c r="AY42" s="2561"/>
      <c r="AZ42" s="2561"/>
      <c r="BA42" s="2561"/>
      <c r="BB42" s="2561"/>
      <c r="BC42" s="2561"/>
      <c r="BD42" s="2561"/>
      <c r="BE42" s="2561"/>
      <c r="BF42" s="2561"/>
      <c r="BG42" s="2561"/>
      <c r="BH42" s="2561"/>
      <c r="BI42" s="2561"/>
      <c r="BJ42" s="2561"/>
      <c r="BK42" s="2561"/>
      <c r="BL42" s="2561"/>
      <c r="BM42" s="2561"/>
      <c r="BN42" s="2561"/>
      <c r="BO42" s="2561"/>
      <c r="BP42" s="2561"/>
      <c r="BQ42" s="2561"/>
      <c r="BR42" s="2561"/>
      <c r="BS42" s="2561"/>
      <c r="BT42" s="2561"/>
      <c r="BU42" s="2561"/>
      <c r="BV42" s="2561"/>
      <c r="BW42" s="2561"/>
      <c r="BX42" s="2561"/>
      <c r="BY42" s="2561"/>
      <c r="BZ42" s="2561"/>
      <c r="CA42" s="2561"/>
      <c r="CB42" s="2561"/>
      <c r="CC42" s="2561"/>
      <c r="CD42" s="2561"/>
      <c r="CE42" s="2561"/>
      <c r="CF42" s="2561"/>
      <c r="CG42" s="2561"/>
      <c r="CH42" s="2561"/>
      <c r="CI42" s="2561"/>
      <c r="CJ42" s="2561"/>
      <c r="CK42" s="2561"/>
      <c r="CL42" s="2561"/>
      <c r="CM42" s="2561"/>
      <c r="CN42" s="2561"/>
      <c r="CO42" s="2561"/>
      <c r="CP42" s="2561"/>
      <c r="CQ42" s="2561"/>
      <c r="CR42" s="2561"/>
      <c r="CS42" s="2561"/>
      <c r="CT42" s="2561"/>
      <c r="CU42" s="2561"/>
      <c r="CV42" s="2561"/>
      <c r="CW42" s="2561"/>
      <c r="CX42" s="2561"/>
      <c r="CY42" s="2561"/>
      <c r="CZ42" s="2561"/>
      <c r="DA42" s="2561"/>
      <c r="DB42" s="2561"/>
      <c r="DC42" s="2561"/>
      <c r="DD42" s="2561"/>
      <c r="DE42" s="2561"/>
      <c r="DF42" s="2561"/>
      <c r="DG42" s="2561"/>
      <c r="DH42" s="2561"/>
      <c r="DI42" s="2561"/>
      <c r="DJ42" s="2561"/>
      <c r="DK42" s="2561"/>
      <c r="DL42" s="2561"/>
      <c r="DM42" s="2561"/>
      <c r="DN42" s="2561"/>
      <c r="DO42" s="2561"/>
      <c r="DP42" s="2561">
        <f>IF(DP41="Y",DP38,MAX(0,DP38-DP39))</f>
        <v>500</v>
      </c>
      <c r="DQ42" s="2561"/>
      <c r="DR42" s="2561"/>
      <c r="DS42" s="2561"/>
      <c r="DT42" s="2561">
        <f>IF(DT41="Y",DT38,MAX(0,DT38-DT39))</f>
        <v>500</v>
      </c>
      <c r="DU42" s="2561"/>
      <c r="DV42" s="2561"/>
      <c r="DW42" s="1636">
        <f t="shared" ref="DW42" si="4">IF(DW41="Y",DW38,MAX(0,DW38-DW39))</f>
        <v>4938.22</v>
      </c>
      <c r="DX42" s="2561"/>
      <c r="DY42" s="2561"/>
      <c r="DZ42" s="2561"/>
      <c r="EA42" s="2561"/>
      <c r="EB42" s="2561"/>
      <c r="EC42" s="2561"/>
      <c r="ED42" s="2561"/>
      <c r="EE42" s="2561"/>
      <c r="EF42" s="2561"/>
      <c r="EG42" s="2561"/>
      <c r="EH42" s="2561"/>
      <c r="EI42" s="2561"/>
      <c r="EJ42" s="2561"/>
      <c r="EK42" s="2561"/>
      <c r="EL42" s="2561"/>
      <c r="EM42" s="1636">
        <v>170</v>
      </c>
      <c r="EN42" s="1636">
        <v>122</v>
      </c>
      <c r="EO42" s="2561"/>
      <c r="EP42" s="2561"/>
      <c r="EQ42" s="2561"/>
      <c r="ER42" s="2561"/>
      <c r="ES42" s="2561"/>
      <c r="ET42" s="2561"/>
      <c r="EU42" s="2561"/>
      <c r="EV42" s="2561"/>
      <c r="EW42" s="2561"/>
      <c r="EX42" s="2561"/>
      <c r="EY42" s="2561"/>
      <c r="EZ42" s="2561"/>
      <c r="FA42" s="2561"/>
      <c r="FB42" s="2561"/>
      <c r="FC42" s="2561"/>
      <c r="FD42" s="2561"/>
      <c r="FE42" s="2561"/>
      <c r="FF42" s="2561"/>
      <c r="FG42" s="2561"/>
      <c r="FH42" s="2561"/>
      <c r="FI42" s="2561"/>
      <c r="FJ42" s="1636">
        <v>26295</v>
      </c>
      <c r="FK42" s="2561"/>
      <c r="FL42" s="2561"/>
      <c r="FM42" s="2561"/>
      <c r="FN42" s="2561"/>
      <c r="FO42" s="2561"/>
      <c r="FP42" s="2561"/>
      <c r="FQ42" s="2561"/>
      <c r="FR42" s="2561"/>
      <c r="FS42" s="2561"/>
      <c r="FT42" s="2561"/>
      <c r="FU42" s="2561"/>
      <c r="FV42" s="2561"/>
      <c r="FW42" s="2561"/>
      <c r="FX42" s="2561"/>
      <c r="FY42" s="2561"/>
      <c r="FZ42" s="2561"/>
      <c r="GA42" s="2561"/>
      <c r="GB42" s="2561"/>
      <c r="GC42" s="2561"/>
      <c r="GD42" s="2561"/>
      <c r="GE42" s="2561"/>
      <c r="GF42" s="2561"/>
      <c r="GG42" s="2561"/>
      <c r="GH42" s="2561"/>
      <c r="GI42" s="2561"/>
      <c r="GJ42" s="2561"/>
      <c r="GK42" s="2561"/>
      <c r="GL42" s="2561"/>
      <c r="GM42" s="2561"/>
      <c r="GN42" s="2561"/>
      <c r="GO42" s="2561"/>
      <c r="GP42" s="2561"/>
      <c r="GQ42" s="2561"/>
      <c r="GR42" s="2561"/>
      <c r="GS42" s="2561"/>
      <c r="GT42" s="2561"/>
      <c r="GU42" s="2561"/>
      <c r="GV42" s="2561"/>
      <c r="GW42" s="2561"/>
      <c r="GX42" s="2561"/>
      <c r="GY42" s="2561"/>
      <c r="GZ42" s="2561"/>
      <c r="HA42" s="2561"/>
      <c r="HB42" s="2561"/>
      <c r="HC42" s="2561"/>
      <c r="HD42" s="2561"/>
      <c r="HE42" s="2561"/>
      <c r="HF42" s="2561"/>
      <c r="HG42" s="2561"/>
      <c r="HH42" s="2561"/>
      <c r="HI42" s="2561"/>
      <c r="HJ42" s="2561"/>
      <c r="HK42" s="2561"/>
      <c r="HL42" s="2561"/>
      <c r="HM42" s="2561"/>
      <c r="HN42" s="2561"/>
      <c r="HO42" s="2561"/>
      <c r="HP42" s="2561"/>
      <c r="HQ42" s="2561"/>
      <c r="HR42" s="2561"/>
      <c r="HS42" s="2561"/>
      <c r="HT42" s="2561"/>
      <c r="HU42" s="2561"/>
      <c r="HV42" s="2561"/>
      <c r="HW42" s="2561"/>
      <c r="HX42" s="2561"/>
      <c r="HY42" s="2561"/>
      <c r="HZ42" s="2561"/>
      <c r="IA42" s="2561"/>
      <c r="IB42" s="2561"/>
      <c r="IC42" s="2561">
        <f>IF(IC41="Y",IC38,MAX(0,IC38-IC39))</f>
        <v>14669</v>
      </c>
      <c r="ID42" s="2561"/>
      <c r="IE42" s="2561"/>
      <c r="IF42" s="2561"/>
      <c r="IG42" s="2561"/>
      <c r="IH42" s="2561"/>
      <c r="II42" s="2561"/>
      <c r="IJ42" s="2561"/>
      <c r="IK42" s="2561"/>
      <c r="IL42" s="2561"/>
      <c r="IM42" s="2561"/>
      <c r="IN42" s="2561"/>
      <c r="IO42" s="2561"/>
      <c r="IP42" s="2561"/>
      <c r="IQ42" s="2561"/>
      <c r="IR42" s="2561"/>
      <c r="IS42" s="2561"/>
      <c r="IT42" s="2561"/>
      <c r="IU42" s="2561"/>
      <c r="IV42" s="2561"/>
      <c r="IW42" s="2561"/>
      <c r="IX42" s="2561"/>
      <c r="IY42" s="2561"/>
      <c r="IZ42" s="2561"/>
      <c r="JA42" s="2561"/>
      <c r="JB42" s="2561"/>
      <c r="JC42" s="2561"/>
      <c r="JD42" s="2561"/>
      <c r="JE42" s="2561"/>
      <c r="JF42" s="2561"/>
      <c r="JG42" s="2561"/>
      <c r="JH42" s="2561">
        <v>1</v>
      </c>
      <c r="JI42" s="2561"/>
      <c r="JJ42" s="2561"/>
      <c r="JK42" s="2561"/>
      <c r="JL42" s="2561"/>
      <c r="JM42" s="2561"/>
      <c r="JN42" s="2561"/>
      <c r="JO42" s="2561"/>
      <c r="JP42" s="2561"/>
      <c r="JQ42" s="2561"/>
      <c r="JR42" s="351"/>
    </row>
    <row r="43" spans="1:278" x14ac:dyDescent="0.25">
      <c r="A43" s="1367">
        <v>43</v>
      </c>
      <c r="B43" s="1411" t="str">
        <f t="shared" si="0"/>
        <v/>
      </c>
      <c r="C43" s="1435" t="s">
        <v>3924</v>
      </c>
      <c r="D43" s="1361" t="s">
        <v>3851</v>
      </c>
      <c r="E43" s="1641"/>
      <c r="F43" s="1641"/>
      <c r="G43" s="1641"/>
      <c r="H43" s="1641"/>
      <c r="I43" s="1641"/>
      <c r="J43" s="1641"/>
      <c r="K43" s="1641"/>
      <c r="L43" s="1641"/>
      <c r="M43" s="1641"/>
      <c r="N43" s="1641"/>
      <c r="O43" s="1641"/>
      <c r="P43" s="1641"/>
      <c r="Q43" s="1641"/>
      <c r="R43" s="1641"/>
      <c r="S43" s="1641"/>
      <c r="T43" s="1641"/>
      <c r="U43" s="1641"/>
      <c r="V43" s="1641"/>
      <c r="W43" s="1641"/>
      <c r="X43" s="1641"/>
      <c r="Y43" s="1641"/>
      <c r="Z43" s="1641"/>
      <c r="AA43" s="1641"/>
      <c r="AB43" s="1641"/>
      <c r="AC43" s="1641"/>
      <c r="AD43" s="1641"/>
      <c r="AE43" s="1641"/>
      <c r="AF43" s="1641"/>
      <c r="AG43" s="1641"/>
      <c r="AH43" s="1641"/>
      <c r="AI43" s="1641"/>
      <c r="AJ43" s="1641"/>
      <c r="AK43" s="1641"/>
      <c r="AL43" s="1641"/>
      <c r="AM43" s="1641"/>
      <c r="AN43" s="1641"/>
      <c r="AO43" s="1641"/>
      <c r="AP43" s="1641"/>
      <c r="AQ43" s="1641"/>
      <c r="AR43" s="1641"/>
      <c r="AS43" s="1641"/>
      <c r="AT43" s="1641"/>
      <c r="AU43" s="1641"/>
      <c r="AV43" s="1641"/>
      <c r="AW43" s="1641"/>
      <c r="AX43" s="1641"/>
      <c r="AY43" s="1641"/>
      <c r="AZ43" s="1641"/>
      <c r="BA43" s="1641"/>
      <c r="BB43" s="1641"/>
      <c r="BC43" s="1641"/>
      <c r="BD43" s="1641"/>
      <c r="BE43" s="1641"/>
      <c r="BF43" s="1641"/>
      <c r="BG43" s="1641"/>
      <c r="BH43" s="1641"/>
      <c r="BI43" s="1641"/>
      <c r="BJ43" s="1641"/>
      <c r="BK43" s="1641"/>
      <c r="BL43" s="1641"/>
      <c r="BM43" s="1641"/>
      <c r="BN43" s="1641"/>
      <c r="BO43" s="1641"/>
      <c r="BP43" s="1641"/>
      <c r="BQ43" s="1641"/>
      <c r="BR43" s="1641"/>
      <c r="BS43" s="1641"/>
      <c r="BT43" s="1641"/>
      <c r="BU43" s="1641"/>
      <c r="BV43" s="1641"/>
      <c r="BW43" s="1641"/>
      <c r="BX43" s="1641"/>
      <c r="BY43" s="1641"/>
      <c r="BZ43" s="1641"/>
      <c r="CA43" s="1641"/>
      <c r="CB43" s="1641"/>
      <c r="CC43" s="1641"/>
      <c r="CD43" s="1641"/>
      <c r="CE43" s="1641"/>
      <c r="CF43" s="1641"/>
      <c r="CG43" s="1641"/>
      <c r="CH43" s="1641"/>
      <c r="CI43" s="1641"/>
      <c r="CJ43" s="1641"/>
      <c r="CK43" s="1641"/>
      <c r="CL43" s="1641"/>
      <c r="CM43" s="1641"/>
      <c r="CN43" s="1641"/>
      <c r="CO43" s="1641"/>
      <c r="CP43" s="1641"/>
      <c r="CQ43" s="1641"/>
      <c r="CR43" s="1641"/>
      <c r="CS43" s="1641"/>
      <c r="CT43" s="1641"/>
      <c r="CU43" s="1641"/>
      <c r="CV43" s="1641"/>
      <c r="CW43" s="1641"/>
      <c r="CX43" s="1641"/>
      <c r="CY43" s="1641"/>
      <c r="CZ43" s="1641"/>
      <c r="DA43" s="1641"/>
      <c r="DB43" s="1641"/>
      <c r="DC43" s="1641"/>
      <c r="DD43" s="1641"/>
      <c r="DE43" s="1641"/>
      <c r="DF43" s="1641"/>
      <c r="DG43" s="1641"/>
      <c r="DH43" s="1641"/>
      <c r="DI43" s="1641"/>
      <c r="DJ43" s="1641"/>
      <c r="DK43" s="1641"/>
      <c r="DL43" s="1641"/>
      <c r="DM43" s="1641"/>
      <c r="DN43" s="1641"/>
      <c r="DO43" s="1641"/>
      <c r="DP43" s="1641"/>
      <c r="DQ43" s="1641"/>
      <c r="DR43" s="1641"/>
      <c r="DS43" s="1641"/>
      <c r="DT43" s="1641"/>
      <c r="DU43" s="1641"/>
      <c r="DV43" s="1641"/>
      <c r="DW43" s="1636" t="s">
        <v>3852</v>
      </c>
      <c r="DX43" s="1641"/>
      <c r="DY43" s="1641"/>
      <c r="DZ43" s="1641"/>
      <c r="EA43" s="1641"/>
      <c r="EB43" s="1641"/>
      <c r="EC43" s="1641"/>
      <c r="ED43" s="1641"/>
      <c r="EE43" s="1641"/>
      <c r="EF43" s="1641"/>
      <c r="EG43" s="1641"/>
      <c r="EH43" s="1641"/>
      <c r="EI43" s="1641"/>
      <c r="EJ43" s="1641"/>
      <c r="EK43" s="1641"/>
      <c r="EL43" s="1641"/>
      <c r="EM43" s="1636" t="s">
        <v>3854</v>
      </c>
      <c r="EN43" s="1636" t="s">
        <v>3925</v>
      </c>
      <c r="EO43" s="1641"/>
      <c r="EP43" s="1641"/>
      <c r="EQ43" s="1641"/>
      <c r="ER43" s="1641"/>
      <c r="ES43" s="1641"/>
      <c r="ET43" s="1641"/>
      <c r="EU43" s="1641"/>
      <c r="EV43" s="1641"/>
      <c r="EW43" s="1641"/>
      <c r="EX43" s="1641"/>
      <c r="EY43" s="1641"/>
      <c r="EZ43" s="1641"/>
      <c r="FA43" s="1641"/>
      <c r="FB43" s="1641"/>
      <c r="FC43" s="1641"/>
      <c r="FD43" s="1641"/>
      <c r="FE43" s="1641"/>
      <c r="FF43" s="1641"/>
      <c r="FG43" s="1641"/>
      <c r="FH43" s="1641"/>
      <c r="FI43" s="1641"/>
      <c r="FJ43" s="1636" t="s">
        <v>3880</v>
      </c>
      <c r="FK43" s="1641"/>
      <c r="FL43" s="1641"/>
      <c r="FM43" s="1641"/>
      <c r="FN43" s="1641"/>
      <c r="FO43" s="1641"/>
      <c r="FP43" s="1641"/>
      <c r="FQ43" s="1641"/>
      <c r="FR43" s="1641"/>
      <c r="FS43" s="1641"/>
      <c r="FT43" s="1641"/>
      <c r="FU43" s="1641"/>
      <c r="FV43" s="1641"/>
      <c r="FW43" s="1641"/>
      <c r="FX43" s="1641"/>
      <c r="FY43" s="1641"/>
      <c r="FZ43" s="1641"/>
      <c r="GA43" s="1641"/>
      <c r="GB43" s="1641"/>
      <c r="GC43" s="1641"/>
      <c r="GD43" s="1641"/>
      <c r="GE43" s="1641"/>
      <c r="GF43" s="1641"/>
      <c r="GG43" s="1641"/>
      <c r="GH43" s="1641"/>
      <c r="GI43" s="1641"/>
      <c r="GJ43" s="1641"/>
      <c r="GK43" s="1641"/>
      <c r="GL43" s="1641"/>
      <c r="GM43" s="1641"/>
      <c r="GN43" s="1641"/>
      <c r="GO43" s="1641"/>
      <c r="GP43" s="1641"/>
      <c r="GQ43" s="1641"/>
      <c r="GR43" s="1641"/>
      <c r="GS43" s="1641"/>
      <c r="GT43" s="1641"/>
      <c r="GU43" s="1641"/>
      <c r="GV43" s="1641"/>
      <c r="GW43" s="1641"/>
      <c r="GX43" s="1641"/>
      <c r="GY43" s="1641"/>
      <c r="GZ43" s="1641"/>
      <c r="HA43" s="1641"/>
      <c r="HB43" s="1641"/>
      <c r="HC43" s="1641"/>
      <c r="HD43" s="1641"/>
      <c r="HE43" s="1641"/>
      <c r="HF43" s="1641"/>
      <c r="HG43" s="1641"/>
      <c r="HH43" s="1641"/>
      <c r="HI43" s="1641"/>
      <c r="HJ43" s="1641"/>
      <c r="HK43" s="1641"/>
      <c r="HL43" s="1641"/>
      <c r="HM43" s="1641"/>
      <c r="HN43" s="1641"/>
      <c r="HO43" s="1641"/>
      <c r="HP43" s="1641"/>
      <c r="HQ43" s="1641"/>
      <c r="HR43" s="1641"/>
      <c r="HS43" s="1641"/>
      <c r="HT43" s="1641"/>
      <c r="HU43" s="1641"/>
      <c r="HV43" s="1641"/>
      <c r="HW43" s="1641"/>
      <c r="HX43" s="1641"/>
      <c r="HY43" s="1641"/>
      <c r="HZ43" s="1641"/>
      <c r="IA43" s="1641"/>
      <c r="IB43" s="1641"/>
      <c r="IC43" s="1641"/>
      <c r="ID43" s="1641"/>
      <c r="IE43" s="1641"/>
      <c r="IF43" s="1641"/>
      <c r="IG43" s="1641"/>
      <c r="IH43" s="1641"/>
      <c r="II43" s="1641"/>
      <c r="IJ43" s="1641"/>
      <c r="IK43" s="1641"/>
      <c r="IL43" s="1641"/>
      <c r="IM43" s="1641"/>
      <c r="IN43" s="1641"/>
      <c r="IO43" s="1641"/>
      <c r="IP43" s="1414"/>
      <c r="IQ43" s="1414"/>
      <c r="IR43" s="1414"/>
      <c r="IS43" s="1414"/>
      <c r="IT43" s="1414"/>
      <c r="IU43" s="1414"/>
      <c r="IV43" s="1414"/>
      <c r="IW43" s="1414"/>
      <c r="IX43" s="1641"/>
      <c r="IY43" s="1641"/>
      <c r="IZ43" s="1641"/>
      <c r="JA43" s="1641"/>
      <c r="JB43" s="1641"/>
      <c r="JC43" s="1641"/>
      <c r="JD43" s="1641"/>
      <c r="JE43" s="1641"/>
      <c r="JF43" s="1641"/>
      <c r="JG43" s="1641"/>
      <c r="JH43" s="1414"/>
      <c r="JI43" s="1414"/>
      <c r="JJ43" s="1414"/>
      <c r="JK43" s="1414"/>
      <c r="JL43" s="1414"/>
      <c r="JM43" s="1414"/>
      <c r="JN43" s="1414"/>
      <c r="JO43" s="1414"/>
      <c r="JP43" s="1414"/>
      <c r="JQ43" s="1415"/>
      <c r="JR43" s="351"/>
    </row>
    <row r="44" spans="1:278" x14ac:dyDescent="0.25">
      <c r="A44" s="1367">
        <v>44</v>
      </c>
      <c r="B44" s="1411" t="str">
        <f t="shared" si="0"/>
        <v/>
      </c>
      <c r="C44" s="1435" t="s">
        <v>3926</v>
      </c>
      <c r="D44" s="1361" t="s">
        <v>3867</v>
      </c>
      <c r="E44" s="1641"/>
      <c r="F44" s="1641"/>
      <c r="G44" s="1641"/>
      <c r="H44" s="1641"/>
      <c r="I44" s="1641"/>
      <c r="J44" s="1641"/>
      <c r="K44" s="1641"/>
      <c r="L44" s="1641"/>
      <c r="M44" s="1641"/>
      <c r="N44" s="1641"/>
      <c r="O44" s="1641"/>
      <c r="P44" s="1641"/>
      <c r="Q44" s="1641"/>
      <c r="R44" s="1641"/>
      <c r="S44" s="1641"/>
      <c r="T44" s="1641"/>
      <c r="U44" s="1641"/>
      <c r="V44" s="1641"/>
      <c r="W44" s="1641"/>
      <c r="X44" s="1641"/>
      <c r="Y44" s="1641"/>
      <c r="Z44" s="1641"/>
      <c r="AA44" s="1641"/>
      <c r="AB44" s="1641"/>
      <c r="AC44" s="1641"/>
      <c r="AD44" s="1641"/>
      <c r="AE44" s="1641"/>
      <c r="AF44" s="1641"/>
      <c r="AG44" s="1641"/>
      <c r="AH44" s="1641"/>
      <c r="AI44" s="1641"/>
      <c r="AJ44" s="1641"/>
      <c r="AK44" s="1641"/>
      <c r="AL44" s="1641"/>
      <c r="AM44" s="1641"/>
      <c r="AN44" s="1641"/>
      <c r="AO44" s="1641"/>
      <c r="AP44" s="1641"/>
      <c r="AQ44" s="1641"/>
      <c r="AR44" s="1641"/>
      <c r="AS44" s="1641"/>
      <c r="AT44" s="1641"/>
      <c r="AU44" s="1641"/>
      <c r="AV44" s="1641"/>
      <c r="AW44" s="1641"/>
      <c r="AX44" s="1641"/>
      <c r="AY44" s="1641"/>
      <c r="AZ44" s="1641"/>
      <c r="BA44" s="1641"/>
      <c r="BB44" s="1641"/>
      <c r="BC44" s="1641"/>
      <c r="BD44" s="1641"/>
      <c r="BE44" s="1641"/>
      <c r="BF44" s="1641"/>
      <c r="BG44" s="1641"/>
      <c r="BH44" s="1641"/>
      <c r="BI44" s="1641"/>
      <c r="BJ44" s="1641"/>
      <c r="BK44" s="1641"/>
      <c r="BL44" s="1641"/>
      <c r="BM44" s="1641"/>
      <c r="BN44" s="1641"/>
      <c r="BO44" s="1641"/>
      <c r="BP44" s="1641"/>
      <c r="BQ44" s="1641"/>
      <c r="BR44" s="1641"/>
      <c r="BS44" s="1641"/>
      <c r="BT44" s="1641"/>
      <c r="BU44" s="1641"/>
      <c r="BV44" s="1641"/>
      <c r="BW44" s="1641"/>
      <c r="BX44" s="1641"/>
      <c r="BY44" s="1641"/>
      <c r="BZ44" s="1641"/>
      <c r="CA44" s="1641"/>
      <c r="CB44" s="1641"/>
      <c r="CC44" s="1641"/>
      <c r="CD44" s="1641"/>
      <c r="CE44" s="1641"/>
      <c r="CF44" s="1641"/>
      <c r="CG44" s="1641"/>
      <c r="CH44" s="1641"/>
      <c r="CI44" s="1641"/>
      <c r="CJ44" s="1641"/>
      <c r="CK44" s="1641"/>
      <c r="CL44" s="1641"/>
      <c r="CM44" s="1641"/>
      <c r="CN44" s="1641"/>
      <c r="CO44" s="1641"/>
      <c r="CP44" s="1641"/>
      <c r="CQ44" s="1641"/>
      <c r="CR44" s="1641"/>
      <c r="CS44" s="1641"/>
      <c r="CT44" s="1641"/>
      <c r="CU44" s="1641"/>
      <c r="CV44" s="1641"/>
      <c r="CW44" s="1641"/>
      <c r="CX44" s="1641"/>
      <c r="CY44" s="1641"/>
      <c r="CZ44" s="1641"/>
      <c r="DA44" s="1641"/>
      <c r="DB44" s="1641"/>
      <c r="DC44" s="1641"/>
      <c r="DD44" s="1641"/>
      <c r="DE44" s="1641"/>
      <c r="DF44" s="1641"/>
      <c r="DG44" s="1641"/>
      <c r="DH44" s="1641"/>
      <c r="DI44" s="1641"/>
      <c r="DJ44" s="1641"/>
      <c r="DK44" s="1641"/>
      <c r="DL44" s="1641"/>
      <c r="DM44" s="1641"/>
      <c r="DN44" s="1641"/>
      <c r="DO44" s="1641"/>
      <c r="DP44" s="1641"/>
      <c r="DQ44" s="1641"/>
      <c r="DR44" s="1641"/>
      <c r="DS44" s="1641"/>
      <c r="DT44" s="1641"/>
      <c r="DU44" s="1641"/>
      <c r="DV44" s="1641"/>
      <c r="DW44" s="1636">
        <v>9958.17</v>
      </c>
      <c r="DX44" s="1641"/>
      <c r="DY44" s="1641"/>
      <c r="DZ44" s="1641"/>
      <c r="EA44" s="1641"/>
      <c r="EB44" s="1641"/>
      <c r="EC44" s="1641"/>
      <c r="ED44" s="1641"/>
      <c r="EE44" s="1641"/>
      <c r="EF44" s="1641"/>
      <c r="EG44" s="1641"/>
      <c r="EH44" s="1641"/>
      <c r="EI44" s="1641"/>
      <c r="EJ44" s="1641"/>
      <c r="EK44" s="1641"/>
      <c r="EL44" s="1641"/>
      <c r="EM44" s="1636">
        <v>609</v>
      </c>
      <c r="EN44" s="1636">
        <v>667</v>
      </c>
      <c r="EO44" s="1641"/>
      <c r="EP44" s="1641"/>
      <c r="EQ44" s="1641"/>
      <c r="ER44" s="1641"/>
      <c r="ES44" s="1641"/>
      <c r="ET44" s="1641"/>
      <c r="EU44" s="1641"/>
      <c r="EV44" s="1641"/>
      <c r="EW44" s="1641"/>
      <c r="EX44" s="1641"/>
      <c r="EY44" s="1641"/>
      <c r="EZ44" s="1641"/>
      <c r="FA44" s="1641"/>
      <c r="FB44" s="1641"/>
      <c r="FC44" s="1641"/>
      <c r="FD44" s="1641"/>
      <c r="FE44" s="1641"/>
      <c r="FF44" s="1641"/>
      <c r="FG44" s="1641"/>
      <c r="FH44" s="1641"/>
      <c r="FI44" s="1641"/>
      <c r="FJ44" s="1636">
        <v>11495</v>
      </c>
      <c r="FK44" s="1641"/>
      <c r="FL44" s="1641"/>
      <c r="FM44" s="1641"/>
      <c r="FN44" s="1641"/>
      <c r="FO44" s="1641"/>
      <c r="FP44" s="1641"/>
      <c r="FQ44" s="1641"/>
      <c r="FR44" s="1641"/>
      <c r="FS44" s="1641"/>
      <c r="FT44" s="1641"/>
      <c r="FU44" s="1641"/>
      <c r="FV44" s="1641"/>
      <c r="FW44" s="1641"/>
      <c r="FX44" s="1641"/>
      <c r="FY44" s="1641"/>
      <c r="FZ44" s="1641"/>
      <c r="GA44" s="1641"/>
      <c r="GB44" s="1641"/>
      <c r="GC44" s="1641"/>
      <c r="GD44" s="1641"/>
      <c r="GE44" s="1641"/>
      <c r="GF44" s="1641"/>
      <c r="GG44" s="1641"/>
      <c r="GH44" s="1641"/>
      <c r="GI44" s="1641"/>
      <c r="GJ44" s="1641"/>
      <c r="GK44" s="1641"/>
      <c r="GL44" s="1641"/>
      <c r="GM44" s="1641"/>
      <c r="GN44" s="1641"/>
      <c r="GO44" s="1641"/>
      <c r="GP44" s="1641"/>
      <c r="GQ44" s="1641"/>
      <c r="GR44" s="1641"/>
      <c r="GS44" s="1641"/>
      <c r="GT44" s="1641"/>
      <c r="GU44" s="1641"/>
      <c r="GV44" s="1641"/>
      <c r="GW44" s="1641"/>
      <c r="GX44" s="1641"/>
      <c r="GY44" s="1641"/>
      <c r="GZ44" s="1641"/>
      <c r="HA44" s="1641"/>
      <c r="HB44" s="1641"/>
      <c r="HC44" s="1641"/>
      <c r="HD44" s="1641"/>
      <c r="HE44" s="1641"/>
      <c r="HF44" s="1641"/>
      <c r="HG44" s="1641"/>
      <c r="HH44" s="1641"/>
      <c r="HI44" s="1641"/>
      <c r="HJ44" s="1641"/>
      <c r="HK44" s="1641"/>
      <c r="HL44" s="1641"/>
      <c r="HM44" s="1641"/>
      <c r="HN44" s="1641"/>
      <c r="HO44" s="1641"/>
      <c r="HP44" s="1641"/>
      <c r="HQ44" s="1641"/>
      <c r="HR44" s="1641"/>
      <c r="HS44" s="1641"/>
      <c r="HT44" s="1641"/>
      <c r="HU44" s="1641"/>
      <c r="HV44" s="1641"/>
      <c r="HW44" s="1641"/>
      <c r="HX44" s="1641"/>
      <c r="HY44" s="1641"/>
      <c r="HZ44" s="1641"/>
      <c r="IA44" s="1641"/>
      <c r="IB44" s="1641"/>
      <c r="IC44" s="1641"/>
      <c r="ID44" s="1641"/>
      <c r="IE44" s="1641"/>
      <c r="IF44" s="1641"/>
      <c r="IG44" s="1641"/>
      <c r="IH44" s="1641"/>
      <c r="II44" s="1641"/>
      <c r="IJ44" s="1641"/>
      <c r="IK44" s="1641"/>
      <c r="IL44" s="1641"/>
      <c r="IM44" s="1641"/>
      <c r="IN44" s="1641"/>
      <c r="IO44" s="1641"/>
      <c r="IP44" s="1637"/>
      <c r="IQ44" s="1637"/>
      <c r="IR44" s="1637"/>
      <c r="IS44" s="1637"/>
      <c r="IT44" s="1637"/>
      <c r="IU44" s="1637"/>
      <c r="IV44" s="1637"/>
      <c r="IW44" s="1637"/>
      <c r="IX44" s="1641"/>
      <c r="IY44" s="1641"/>
      <c r="IZ44" s="1641"/>
      <c r="JA44" s="1641"/>
      <c r="JB44" s="1641"/>
      <c r="JC44" s="1641"/>
      <c r="JD44" s="1641"/>
      <c r="JE44" s="1641"/>
      <c r="JF44" s="1641"/>
      <c r="JG44" s="1641"/>
      <c r="JH44" s="1637"/>
      <c r="JI44" s="1637"/>
      <c r="JJ44" s="1637"/>
      <c r="JK44" s="1637"/>
      <c r="JL44" s="1637"/>
      <c r="JM44" s="1637"/>
      <c r="JN44" s="1637"/>
      <c r="JO44" s="1637"/>
      <c r="JP44" s="1637"/>
      <c r="JQ44" s="1640"/>
      <c r="JR44" s="351"/>
    </row>
    <row r="45" spans="1:278" x14ac:dyDescent="0.25">
      <c r="A45" s="1367">
        <v>45</v>
      </c>
      <c r="B45" s="1411" t="str">
        <f t="shared" si="0"/>
        <v/>
      </c>
      <c r="C45" s="1435" t="s">
        <v>3927</v>
      </c>
      <c r="D45" s="1361" t="s">
        <v>3869</v>
      </c>
      <c r="E45" s="1641"/>
      <c r="F45" s="1641"/>
      <c r="G45" s="1641"/>
      <c r="H45" s="1641"/>
      <c r="I45" s="1641"/>
      <c r="J45" s="1641"/>
      <c r="K45" s="1641"/>
      <c r="L45" s="1641"/>
      <c r="M45" s="1641"/>
      <c r="N45" s="1641"/>
      <c r="O45" s="1641"/>
      <c r="P45" s="1641"/>
      <c r="Q45" s="1641"/>
      <c r="R45" s="1641"/>
      <c r="S45" s="1641"/>
      <c r="T45" s="1641"/>
      <c r="U45" s="1641"/>
      <c r="V45" s="1641"/>
      <c r="W45" s="1641"/>
      <c r="X45" s="1641"/>
      <c r="Y45" s="1641"/>
      <c r="Z45" s="1641"/>
      <c r="AA45" s="1641"/>
      <c r="AB45" s="1641"/>
      <c r="AC45" s="1641"/>
      <c r="AD45" s="1641"/>
      <c r="AE45" s="1641"/>
      <c r="AF45" s="1641"/>
      <c r="AG45" s="1641"/>
      <c r="AH45" s="1641"/>
      <c r="AI45" s="1641"/>
      <c r="AJ45" s="1641"/>
      <c r="AK45" s="1641"/>
      <c r="AL45" s="1641"/>
      <c r="AM45" s="1641"/>
      <c r="AN45" s="1641"/>
      <c r="AO45" s="1641"/>
      <c r="AP45" s="1641"/>
      <c r="AQ45" s="1641"/>
      <c r="AR45" s="1641"/>
      <c r="AS45" s="1641"/>
      <c r="AT45" s="1641"/>
      <c r="AU45" s="1641"/>
      <c r="AV45" s="1641"/>
      <c r="AW45" s="1641"/>
      <c r="AX45" s="1641"/>
      <c r="AY45" s="1641"/>
      <c r="AZ45" s="1641"/>
      <c r="BA45" s="1641"/>
      <c r="BB45" s="1641"/>
      <c r="BC45" s="1641"/>
      <c r="BD45" s="1641"/>
      <c r="BE45" s="1641"/>
      <c r="BF45" s="1641"/>
      <c r="BG45" s="1641"/>
      <c r="BH45" s="1641"/>
      <c r="BI45" s="1641"/>
      <c r="BJ45" s="1641"/>
      <c r="BK45" s="1641"/>
      <c r="BL45" s="1641"/>
      <c r="BM45" s="1641"/>
      <c r="BN45" s="1641"/>
      <c r="BO45" s="1641"/>
      <c r="BP45" s="1641"/>
      <c r="BQ45" s="1641"/>
      <c r="BR45" s="1641"/>
      <c r="BS45" s="1641"/>
      <c r="BT45" s="1641"/>
      <c r="BU45" s="1641"/>
      <c r="BV45" s="1641"/>
      <c r="BW45" s="1641"/>
      <c r="BX45" s="1641"/>
      <c r="BY45" s="1641"/>
      <c r="BZ45" s="1641"/>
      <c r="CA45" s="1641"/>
      <c r="CB45" s="1641"/>
      <c r="CC45" s="1641"/>
      <c r="CD45" s="1641"/>
      <c r="CE45" s="1641"/>
      <c r="CF45" s="1641"/>
      <c r="CG45" s="1641"/>
      <c r="CH45" s="1641"/>
      <c r="CI45" s="1641"/>
      <c r="CJ45" s="1641"/>
      <c r="CK45" s="1641"/>
      <c r="CL45" s="1641"/>
      <c r="CM45" s="1641"/>
      <c r="CN45" s="1641"/>
      <c r="CO45" s="1641"/>
      <c r="CP45" s="1641"/>
      <c r="CQ45" s="1641"/>
      <c r="CR45" s="1641"/>
      <c r="CS45" s="1641"/>
      <c r="CT45" s="1641"/>
      <c r="CU45" s="1641"/>
      <c r="CV45" s="1641"/>
      <c r="CW45" s="1641"/>
      <c r="CX45" s="1641"/>
      <c r="CY45" s="1641"/>
      <c r="CZ45" s="1641"/>
      <c r="DA45" s="1641"/>
      <c r="DB45" s="1641"/>
      <c r="DC45" s="1641"/>
      <c r="DD45" s="1641"/>
      <c r="DE45" s="1641"/>
      <c r="DF45" s="1641"/>
      <c r="DG45" s="1641"/>
      <c r="DH45" s="1641"/>
      <c r="DI45" s="1641"/>
      <c r="DJ45" s="1641"/>
      <c r="DK45" s="1641"/>
      <c r="DL45" s="1641"/>
      <c r="DM45" s="1641"/>
      <c r="DN45" s="1641"/>
      <c r="DO45" s="1641"/>
      <c r="DP45" s="1641"/>
      <c r="DQ45" s="1641"/>
      <c r="DR45" s="1641"/>
      <c r="DS45" s="1641"/>
      <c r="DT45" s="1641"/>
      <c r="DU45" s="1641"/>
      <c r="DV45" s="1641"/>
      <c r="DW45" s="1641"/>
      <c r="DX45" s="1641"/>
      <c r="DY45" s="1641"/>
      <c r="DZ45" s="1641"/>
      <c r="EA45" s="1641"/>
      <c r="EB45" s="1641"/>
      <c r="EC45" s="1641"/>
      <c r="ED45" s="1641"/>
      <c r="EE45" s="1641"/>
      <c r="EF45" s="1641"/>
      <c r="EG45" s="1641"/>
      <c r="EH45" s="1641"/>
      <c r="EI45" s="1641"/>
      <c r="EJ45" s="1641"/>
      <c r="EK45" s="1641"/>
      <c r="EL45" s="1641"/>
      <c r="EM45" s="1636">
        <v>92</v>
      </c>
      <c r="EN45" s="1641"/>
      <c r="EO45" s="1641"/>
      <c r="EP45" s="1641"/>
      <c r="EQ45" s="1641"/>
      <c r="ER45" s="1641"/>
      <c r="ES45" s="1641"/>
      <c r="ET45" s="1641"/>
      <c r="EU45" s="1641"/>
      <c r="EV45" s="1641"/>
      <c r="EW45" s="1641"/>
      <c r="EX45" s="1641"/>
      <c r="EY45" s="1641"/>
      <c r="EZ45" s="1641"/>
      <c r="FA45" s="1641"/>
      <c r="FB45" s="1641"/>
      <c r="FC45" s="1641"/>
      <c r="FD45" s="1641"/>
      <c r="FE45" s="1641"/>
      <c r="FF45" s="1641"/>
      <c r="FG45" s="1641"/>
      <c r="FH45" s="1641"/>
      <c r="FI45" s="1641"/>
      <c r="FJ45" s="1636">
        <v>2612</v>
      </c>
      <c r="FK45" s="1641"/>
      <c r="FL45" s="1641"/>
      <c r="FM45" s="1641"/>
      <c r="FN45" s="1641"/>
      <c r="FO45" s="1641"/>
      <c r="FP45" s="1641"/>
      <c r="FQ45" s="1641"/>
      <c r="FR45" s="1641"/>
      <c r="FS45" s="1641"/>
      <c r="FT45" s="1641"/>
      <c r="FU45" s="1641"/>
      <c r="FV45" s="1641"/>
      <c r="FW45" s="1641"/>
      <c r="FX45" s="1641"/>
      <c r="FY45" s="1641"/>
      <c r="FZ45" s="1641"/>
      <c r="GA45" s="1641"/>
      <c r="GB45" s="1641"/>
      <c r="GC45" s="1641"/>
      <c r="GD45" s="1641"/>
      <c r="GE45" s="1641"/>
      <c r="GF45" s="1641"/>
      <c r="GG45" s="1641"/>
      <c r="GH45" s="1641"/>
      <c r="GI45" s="1641"/>
      <c r="GJ45" s="1641"/>
      <c r="GK45" s="1641"/>
      <c r="GL45" s="1641"/>
      <c r="GM45" s="1641"/>
      <c r="GN45" s="1641"/>
      <c r="GO45" s="1641"/>
      <c r="GP45" s="1641"/>
      <c r="GQ45" s="1641"/>
      <c r="GR45" s="1641"/>
      <c r="GS45" s="1641"/>
      <c r="GT45" s="1641"/>
      <c r="GU45" s="1641"/>
      <c r="GV45" s="1641"/>
      <c r="GW45" s="1641"/>
      <c r="GX45" s="1641"/>
      <c r="GY45" s="1641"/>
      <c r="GZ45" s="1641"/>
      <c r="HA45" s="1641"/>
      <c r="HB45" s="1641"/>
      <c r="HC45" s="1641"/>
      <c r="HD45" s="1641"/>
      <c r="HE45" s="1641"/>
      <c r="HF45" s="1641"/>
      <c r="HG45" s="1641"/>
      <c r="HH45" s="1641"/>
      <c r="HI45" s="1641"/>
      <c r="HJ45" s="1641"/>
      <c r="HK45" s="1641"/>
      <c r="HL45" s="1641"/>
      <c r="HM45" s="1641"/>
      <c r="HN45" s="1641"/>
      <c r="HO45" s="1641"/>
      <c r="HP45" s="1641"/>
      <c r="HQ45" s="1641"/>
      <c r="HR45" s="1641"/>
      <c r="HS45" s="1641"/>
      <c r="HT45" s="1641"/>
      <c r="HU45" s="1641"/>
      <c r="HV45" s="1641"/>
      <c r="HW45" s="1641"/>
      <c r="HX45" s="1641"/>
      <c r="HY45" s="1641"/>
      <c r="HZ45" s="1641"/>
      <c r="IA45" s="1641"/>
      <c r="IB45" s="1641"/>
      <c r="IC45" s="1641"/>
      <c r="ID45" s="1641"/>
      <c r="IE45" s="1641"/>
      <c r="IF45" s="1641"/>
      <c r="IG45" s="1641"/>
      <c r="IH45" s="1641"/>
      <c r="II45" s="1641"/>
      <c r="IJ45" s="1641"/>
      <c r="IK45" s="1641"/>
      <c r="IL45" s="1641"/>
      <c r="IM45" s="1641"/>
      <c r="IN45" s="1641"/>
      <c r="IO45" s="1641"/>
      <c r="IP45" s="1637"/>
      <c r="IQ45" s="1637"/>
      <c r="IR45" s="1637"/>
      <c r="IS45" s="1637"/>
      <c r="IT45" s="1637"/>
      <c r="IU45" s="1637"/>
      <c r="IV45" s="1637"/>
      <c r="IW45" s="1637"/>
      <c r="IX45" s="1641"/>
      <c r="IY45" s="1641"/>
      <c r="IZ45" s="1641"/>
      <c r="JA45" s="1641"/>
      <c r="JB45" s="1641"/>
      <c r="JC45" s="1641"/>
      <c r="JD45" s="1641"/>
      <c r="JE45" s="1641"/>
      <c r="JF45" s="1641"/>
      <c r="JG45" s="1641"/>
      <c r="JH45" s="1637"/>
      <c r="JI45" s="1637"/>
      <c r="JJ45" s="1637"/>
      <c r="JK45" s="1637"/>
      <c r="JL45" s="1637"/>
      <c r="JM45" s="1637"/>
      <c r="JN45" s="1637"/>
      <c r="JO45" s="1637"/>
      <c r="JP45" s="1637"/>
      <c r="JQ45" s="1640"/>
      <c r="JR45" s="351"/>
    </row>
    <row r="46" spans="1:278" x14ac:dyDescent="0.25">
      <c r="A46" s="1367">
        <v>46</v>
      </c>
      <c r="B46" s="1411" t="str">
        <f t="shared" si="0"/>
        <v/>
      </c>
      <c r="C46" s="1435" t="s">
        <v>3928</v>
      </c>
      <c r="D46" s="1361" t="s">
        <v>3871</v>
      </c>
      <c r="E46" s="1641"/>
      <c r="F46" s="1641"/>
      <c r="G46" s="1641"/>
      <c r="H46" s="1641"/>
      <c r="I46" s="1641"/>
      <c r="J46" s="1641"/>
      <c r="K46" s="1641"/>
      <c r="L46" s="1641"/>
      <c r="M46" s="1641"/>
      <c r="N46" s="1641"/>
      <c r="O46" s="1641"/>
      <c r="P46" s="1641"/>
      <c r="Q46" s="1641"/>
      <c r="R46" s="1641"/>
      <c r="S46" s="1641"/>
      <c r="T46" s="1641"/>
      <c r="U46" s="1641"/>
      <c r="V46" s="1641"/>
      <c r="W46" s="1641"/>
      <c r="X46" s="1641"/>
      <c r="Y46" s="1641"/>
      <c r="Z46" s="1641"/>
      <c r="AA46" s="1641"/>
      <c r="AB46" s="1641"/>
      <c r="AC46" s="1641"/>
      <c r="AD46" s="1641"/>
      <c r="AE46" s="1641"/>
      <c r="AF46" s="1641"/>
      <c r="AG46" s="1641"/>
      <c r="AH46" s="1641"/>
      <c r="AI46" s="1641"/>
      <c r="AJ46" s="1641"/>
      <c r="AK46" s="1641"/>
      <c r="AL46" s="1641"/>
      <c r="AM46" s="1641"/>
      <c r="AN46" s="1641"/>
      <c r="AO46" s="1641"/>
      <c r="AP46" s="1641"/>
      <c r="AQ46" s="1641"/>
      <c r="AR46" s="1641"/>
      <c r="AS46" s="1641"/>
      <c r="AT46" s="1641"/>
      <c r="AU46" s="1641"/>
      <c r="AV46" s="1641"/>
      <c r="AW46" s="1641"/>
      <c r="AX46" s="1641"/>
      <c r="AY46" s="1641"/>
      <c r="AZ46" s="1641"/>
      <c r="BA46" s="1641"/>
      <c r="BB46" s="1641"/>
      <c r="BC46" s="1641"/>
      <c r="BD46" s="1641"/>
      <c r="BE46" s="1641"/>
      <c r="BF46" s="1641"/>
      <c r="BG46" s="1641"/>
      <c r="BH46" s="1641"/>
      <c r="BI46" s="1641"/>
      <c r="BJ46" s="1641"/>
      <c r="BK46" s="1641"/>
      <c r="BL46" s="1641"/>
      <c r="BM46" s="1641"/>
      <c r="BN46" s="1641"/>
      <c r="BO46" s="1641"/>
      <c r="BP46" s="1641"/>
      <c r="BQ46" s="1641"/>
      <c r="BR46" s="1641"/>
      <c r="BS46" s="1641"/>
      <c r="BT46" s="1641"/>
      <c r="BU46" s="1641"/>
      <c r="BV46" s="1641"/>
      <c r="BW46" s="1641"/>
      <c r="BX46" s="1641"/>
      <c r="BY46" s="1641"/>
      <c r="BZ46" s="1641"/>
      <c r="CA46" s="1641"/>
      <c r="CB46" s="1641"/>
      <c r="CC46" s="1641"/>
      <c r="CD46" s="1641"/>
      <c r="CE46" s="1641"/>
      <c r="CF46" s="1641"/>
      <c r="CG46" s="1641"/>
      <c r="CH46" s="1641"/>
      <c r="CI46" s="1641"/>
      <c r="CJ46" s="1641"/>
      <c r="CK46" s="1641"/>
      <c r="CL46" s="1641"/>
      <c r="CM46" s="1641"/>
      <c r="CN46" s="1641"/>
      <c r="CO46" s="1641"/>
      <c r="CP46" s="1641"/>
      <c r="CQ46" s="1641"/>
      <c r="CR46" s="1641"/>
      <c r="CS46" s="1641"/>
      <c r="CT46" s="1641"/>
      <c r="CU46" s="1641"/>
      <c r="CV46" s="1641"/>
      <c r="CW46" s="1641"/>
      <c r="CX46" s="1641"/>
      <c r="CY46" s="1641"/>
      <c r="CZ46" s="1641"/>
      <c r="DA46" s="1641"/>
      <c r="DB46" s="1641"/>
      <c r="DC46" s="1641"/>
      <c r="DD46" s="1641"/>
      <c r="DE46" s="1641"/>
      <c r="DF46" s="1641"/>
      <c r="DG46" s="1641"/>
      <c r="DH46" s="1641"/>
      <c r="DI46" s="1641"/>
      <c r="DJ46" s="1641"/>
      <c r="DK46" s="1641"/>
      <c r="DL46" s="1641"/>
      <c r="DM46" s="1641"/>
      <c r="DN46" s="1641"/>
      <c r="DO46" s="1641"/>
      <c r="DP46" s="1641"/>
      <c r="DQ46" s="1641"/>
      <c r="DR46" s="1641"/>
      <c r="DS46" s="1641"/>
      <c r="DT46" s="1641"/>
      <c r="DU46" s="1641"/>
      <c r="DV46" s="1641"/>
      <c r="DW46" s="1636">
        <v>1470.68</v>
      </c>
      <c r="DX46" s="1641"/>
      <c r="DY46" s="1641"/>
      <c r="DZ46" s="1641"/>
      <c r="EA46" s="1641"/>
      <c r="EB46" s="1641"/>
      <c r="EC46" s="1641"/>
      <c r="ED46" s="1641"/>
      <c r="EE46" s="1641"/>
      <c r="EF46" s="1641"/>
      <c r="EG46" s="1641"/>
      <c r="EH46" s="1641"/>
      <c r="EI46" s="1641"/>
      <c r="EJ46" s="1641"/>
      <c r="EK46" s="1641"/>
      <c r="EL46" s="1641"/>
      <c r="EM46" s="1636"/>
      <c r="EN46" s="1641"/>
      <c r="EO46" s="1641"/>
      <c r="EP46" s="1641"/>
      <c r="EQ46" s="1641"/>
      <c r="ER46" s="1641"/>
      <c r="ES46" s="1641"/>
      <c r="ET46" s="1641"/>
      <c r="EU46" s="1641"/>
      <c r="EV46" s="1641"/>
      <c r="EW46" s="1641"/>
      <c r="EX46" s="1641"/>
      <c r="EY46" s="1641"/>
      <c r="EZ46" s="1641"/>
      <c r="FA46" s="1641"/>
      <c r="FB46" s="1641"/>
      <c r="FC46" s="1641"/>
      <c r="FD46" s="1641"/>
      <c r="FE46" s="1641"/>
      <c r="FF46" s="1641"/>
      <c r="FG46" s="1641"/>
      <c r="FH46" s="1641"/>
      <c r="FI46" s="1641"/>
      <c r="FJ46" s="1641"/>
      <c r="FK46" s="1641"/>
      <c r="FL46" s="1641"/>
      <c r="FM46" s="1641"/>
      <c r="FN46" s="1641"/>
      <c r="FO46" s="1641"/>
      <c r="FP46" s="1641"/>
      <c r="FQ46" s="1641"/>
      <c r="FR46" s="1641"/>
      <c r="FS46" s="1641"/>
      <c r="FT46" s="1641"/>
      <c r="FU46" s="1641"/>
      <c r="FV46" s="1641"/>
      <c r="FW46" s="1641"/>
      <c r="FX46" s="1641"/>
      <c r="FY46" s="1641"/>
      <c r="FZ46" s="1641"/>
      <c r="GA46" s="1641"/>
      <c r="GB46" s="1641"/>
      <c r="GC46" s="1641"/>
      <c r="GD46" s="1641"/>
      <c r="GE46" s="1641"/>
      <c r="GF46" s="1641"/>
      <c r="GG46" s="1641"/>
      <c r="GH46" s="1641"/>
      <c r="GI46" s="1641"/>
      <c r="GJ46" s="1641"/>
      <c r="GK46" s="1641"/>
      <c r="GL46" s="1641"/>
      <c r="GM46" s="1641"/>
      <c r="GN46" s="1641"/>
      <c r="GO46" s="1641"/>
      <c r="GP46" s="1641"/>
      <c r="GQ46" s="1641"/>
      <c r="GR46" s="1641"/>
      <c r="GS46" s="1641"/>
      <c r="GT46" s="1641"/>
      <c r="GU46" s="1641"/>
      <c r="GV46" s="1641"/>
      <c r="GW46" s="1641"/>
      <c r="GX46" s="1641"/>
      <c r="GY46" s="1641"/>
      <c r="GZ46" s="1641"/>
      <c r="HA46" s="1641"/>
      <c r="HB46" s="1641"/>
      <c r="HC46" s="1641"/>
      <c r="HD46" s="1641"/>
      <c r="HE46" s="1641"/>
      <c r="HF46" s="1641"/>
      <c r="HG46" s="1641"/>
      <c r="HH46" s="1641"/>
      <c r="HI46" s="1641"/>
      <c r="HJ46" s="1641"/>
      <c r="HK46" s="1641"/>
      <c r="HL46" s="1641"/>
      <c r="HM46" s="1641"/>
      <c r="HN46" s="1641"/>
      <c r="HO46" s="1641"/>
      <c r="HP46" s="1641"/>
      <c r="HQ46" s="1641"/>
      <c r="HR46" s="1641"/>
      <c r="HS46" s="1641"/>
      <c r="HT46" s="1641"/>
      <c r="HU46" s="1641"/>
      <c r="HV46" s="1641"/>
      <c r="HW46" s="1641"/>
      <c r="HX46" s="1641"/>
      <c r="HY46" s="1641"/>
      <c r="HZ46" s="1641"/>
      <c r="IA46" s="1641"/>
      <c r="IB46" s="1641"/>
      <c r="IC46" s="1641"/>
      <c r="ID46" s="1641"/>
      <c r="IE46" s="1641"/>
      <c r="IF46" s="1641"/>
      <c r="IG46" s="1641"/>
      <c r="IH46" s="1641"/>
      <c r="II46" s="1641"/>
      <c r="IJ46" s="1641"/>
      <c r="IK46" s="1641"/>
      <c r="IL46" s="1641"/>
      <c r="IM46" s="1641"/>
      <c r="IN46" s="1641"/>
      <c r="IO46" s="1641"/>
      <c r="IP46" s="1637"/>
      <c r="IQ46" s="1637"/>
      <c r="IR46" s="1637"/>
      <c r="IS46" s="1637"/>
      <c r="IT46" s="1637"/>
      <c r="IU46" s="1637"/>
      <c r="IV46" s="1637"/>
      <c r="IW46" s="1637"/>
      <c r="IX46" s="1641"/>
      <c r="IY46" s="1641"/>
      <c r="IZ46" s="1641"/>
      <c r="JA46" s="1641"/>
      <c r="JB46" s="1641"/>
      <c r="JC46" s="1641"/>
      <c r="JD46" s="1641"/>
      <c r="JE46" s="1641"/>
      <c r="JF46" s="1641"/>
      <c r="JG46" s="1641"/>
      <c r="JH46" s="1637"/>
      <c r="JI46" s="1637"/>
      <c r="JJ46" s="1637"/>
      <c r="JK46" s="1637"/>
      <c r="JL46" s="1637"/>
      <c r="JM46" s="1637"/>
      <c r="JN46" s="1637"/>
      <c r="JO46" s="1637"/>
      <c r="JP46" s="1637"/>
      <c r="JQ46" s="1640"/>
      <c r="JR46" s="351"/>
    </row>
    <row r="47" spans="1:278" x14ac:dyDescent="0.25">
      <c r="A47" s="1367">
        <v>47</v>
      </c>
      <c r="B47" s="1411" t="str">
        <f t="shared" si="0"/>
        <v/>
      </c>
      <c r="C47" s="1435" t="s">
        <v>3929</v>
      </c>
      <c r="D47" s="1361" t="s">
        <v>3873</v>
      </c>
      <c r="E47" s="1641"/>
      <c r="F47" s="1641"/>
      <c r="G47" s="1641"/>
      <c r="H47" s="1641"/>
      <c r="I47" s="1641"/>
      <c r="J47" s="1641"/>
      <c r="K47" s="1641"/>
      <c r="L47" s="1641"/>
      <c r="M47" s="1641"/>
      <c r="N47" s="1641"/>
      <c r="O47" s="1641"/>
      <c r="P47" s="1641"/>
      <c r="Q47" s="1641"/>
      <c r="R47" s="1641"/>
      <c r="S47" s="1641"/>
      <c r="T47" s="1641"/>
      <c r="U47" s="1641"/>
      <c r="V47" s="1641"/>
      <c r="W47" s="1641"/>
      <c r="X47" s="1641"/>
      <c r="Y47" s="1641"/>
      <c r="Z47" s="1641"/>
      <c r="AA47" s="1641"/>
      <c r="AB47" s="1641"/>
      <c r="AC47" s="1641"/>
      <c r="AD47" s="1641"/>
      <c r="AE47" s="1641"/>
      <c r="AF47" s="1641"/>
      <c r="AG47" s="1641"/>
      <c r="AH47" s="1641"/>
      <c r="AI47" s="1641"/>
      <c r="AJ47" s="1641"/>
      <c r="AK47" s="1641"/>
      <c r="AL47" s="1641"/>
      <c r="AM47" s="1641"/>
      <c r="AN47" s="1641"/>
      <c r="AO47" s="1641"/>
      <c r="AP47" s="1641"/>
      <c r="AQ47" s="1641"/>
      <c r="AR47" s="1641"/>
      <c r="AS47" s="1641"/>
      <c r="AT47" s="1641"/>
      <c r="AU47" s="1641"/>
      <c r="AV47" s="1641"/>
      <c r="AW47" s="1641"/>
      <c r="AX47" s="1641"/>
      <c r="AY47" s="1641"/>
      <c r="AZ47" s="1641"/>
      <c r="BA47" s="1641"/>
      <c r="BB47" s="1641"/>
      <c r="BC47" s="1641"/>
      <c r="BD47" s="1641"/>
      <c r="BE47" s="1641"/>
      <c r="BF47" s="1641"/>
      <c r="BG47" s="1641"/>
      <c r="BH47" s="1641"/>
      <c r="BI47" s="1641"/>
      <c r="BJ47" s="1641"/>
      <c r="BK47" s="1641"/>
      <c r="BL47" s="1641"/>
      <c r="BM47" s="1641"/>
      <c r="BN47" s="1641"/>
      <c r="BO47" s="1641"/>
      <c r="BP47" s="1641"/>
      <c r="BQ47" s="1641"/>
      <c r="BR47" s="1641"/>
      <c r="BS47" s="1641"/>
      <c r="BT47" s="1641"/>
      <c r="BU47" s="1641"/>
      <c r="BV47" s="1641"/>
      <c r="BW47" s="1641"/>
      <c r="BX47" s="1641"/>
      <c r="BY47" s="1641"/>
      <c r="BZ47" s="1641"/>
      <c r="CA47" s="1641"/>
      <c r="CB47" s="1641"/>
      <c r="CC47" s="1641"/>
      <c r="CD47" s="1641"/>
      <c r="CE47" s="1641"/>
      <c r="CF47" s="1641"/>
      <c r="CG47" s="1641"/>
      <c r="CH47" s="1641"/>
      <c r="CI47" s="1641"/>
      <c r="CJ47" s="1641"/>
      <c r="CK47" s="1641"/>
      <c r="CL47" s="1641"/>
      <c r="CM47" s="1641"/>
      <c r="CN47" s="1641"/>
      <c r="CO47" s="1641"/>
      <c r="CP47" s="1641"/>
      <c r="CQ47" s="1641"/>
      <c r="CR47" s="1641"/>
      <c r="CS47" s="1641"/>
      <c r="CT47" s="1641"/>
      <c r="CU47" s="1641"/>
      <c r="CV47" s="1641"/>
      <c r="CW47" s="1641"/>
      <c r="CX47" s="1641"/>
      <c r="CY47" s="1641"/>
      <c r="CZ47" s="1641"/>
      <c r="DA47" s="1641"/>
      <c r="DB47" s="1641"/>
      <c r="DC47" s="1641"/>
      <c r="DD47" s="1641"/>
      <c r="DE47" s="1641"/>
      <c r="DF47" s="1641"/>
      <c r="DG47" s="1641"/>
      <c r="DH47" s="1641"/>
      <c r="DI47" s="1641"/>
      <c r="DJ47" s="1641"/>
      <c r="DK47" s="1641"/>
      <c r="DL47" s="1641"/>
      <c r="DM47" s="1641"/>
      <c r="DN47" s="1641"/>
      <c r="DO47" s="1641"/>
      <c r="DP47" s="1641"/>
      <c r="DQ47" s="1641"/>
      <c r="DR47" s="1641"/>
      <c r="DS47" s="1641"/>
      <c r="DT47" s="1641"/>
      <c r="DU47" s="1641"/>
      <c r="DV47" s="1641"/>
      <c r="DW47" s="1636" t="s">
        <v>1707</v>
      </c>
      <c r="DX47" s="1641"/>
      <c r="DY47" s="1641"/>
      <c r="DZ47" s="1641"/>
      <c r="EA47" s="1641"/>
      <c r="EB47" s="1641"/>
      <c r="EC47" s="1641"/>
      <c r="ED47" s="1641"/>
      <c r="EE47" s="1641"/>
      <c r="EF47" s="1641"/>
      <c r="EG47" s="1641"/>
      <c r="EH47" s="1641"/>
      <c r="EI47" s="1641"/>
      <c r="EJ47" s="1641"/>
      <c r="EK47" s="1641"/>
      <c r="EL47" s="1641"/>
      <c r="EM47" s="1636" t="s">
        <v>1707</v>
      </c>
      <c r="EN47" s="1641"/>
      <c r="EO47" s="1641"/>
      <c r="EP47" s="1641"/>
      <c r="EQ47" s="1641"/>
      <c r="ER47" s="1641"/>
      <c r="ES47" s="1641"/>
      <c r="ET47" s="1641"/>
      <c r="EU47" s="1641"/>
      <c r="EV47" s="1641"/>
      <c r="EW47" s="1641"/>
      <c r="EX47" s="1641"/>
      <c r="EY47" s="1641"/>
      <c r="EZ47" s="1641"/>
      <c r="FA47" s="1641"/>
      <c r="FB47" s="1641"/>
      <c r="FC47" s="1641"/>
      <c r="FD47" s="1641"/>
      <c r="FE47" s="1641"/>
      <c r="FF47" s="1641"/>
      <c r="FG47" s="1641"/>
      <c r="FH47" s="1641"/>
      <c r="FI47" s="1641"/>
      <c r="FJ47" s="1636" t="s">
        <v>1707</v>
      </c>
      <c r="FK47" s="1641"/>
      <c r="FL47" s="1641"/>
      <c r="FM47" s="1641"/>
      <c r="FN47" s="1641"/>
      <c r="FO47" s="1641"/>
      <c r="FP47" s="1641"/>
      <c r="FQ47" s="1641"/>
      <c r="FR47" s="1641"/>
      <c r="FS47" s="1641"/>
      <c r="FT47" s="1641"/>
      <c r="FU47" s="1641"/>
      <c r="FV47" s="1641"/>
      <c r="FW47" s="1641"/>
      <c r="FX47" s="1641"/>
      <c r="FY47" s="1641"/>
      <c r="FZ47" s="1641"/>
      <c r="GA47" s="1641"/>
      <c r="GB47" s="1641"/>
      <c r="GC47" s="1641"/>
      <c r="GD47" s="1641"/>
      <c r="GE47" s="1641"/>
      <c r="GF47" s="1641"/>
      <c r="GG47" s="1641"/>
      <c r="GH47" s="1641"/>
      <c r="GI47" s="1641"/>
      <c r="GJ47" s="1641"/>
      <c r="GK47" s="1641"/>
      <c r="GL47" s="1641"/>
      <c r="GM47" s="1641"/>
      <c r="GN47" s="1641"/>
      <c r="GO47" s="1641"/>
      <c r="GP47" s="1641"/>
      <c r="GQ47" s="1641"/>
      <c r="GR47" s="1641"/>
      <c r="GS47" s="1641"/>
      <c r="GT47" s="1641"/>
      <c r="GU47" s="1641"/>
      <c r="GV47" s="1641"/>
      <c r="GW47" s="1641"/>
      <c r="GX47" s="1641"/>
      <c r="GY47" s="1641"/>
      <c r="GZ47" s="1641"/>
      <c r="HA47" s="1641"/>
      <c r="HB47" s="1641"/>
      <c r="HC47" s="1641"/>
      <c r="HD47" s="1641"/>
      <c r="HE47" s="1641"/>
      <c r="HF47" s="1641"/>
      <c r="HG47" s="1641"/>
      <c r="HH47" s="1641"/>
      <c r="HI47" s="1641"/>
      <c r="HJ47" s="1641"/>
      <c r="HK47" s="1641"/>
      <c r="HL47" s="1641"/>
      <c r="HM47" s="1641"/>
      <c r="HN47" s="1641"/>
      <c r="HO47" s="1641"/>
      <c r="HP47" s="1641"/>
      <c r="HQ47" s="1641"/>
      <c r="HR47" s="1641"/>
      <c r="HS47" s="1641"/>
      <c r="HT47" s="1641"/>
      <c r="HU47" s="1641"/>
      <c r="HV47" s="1641"/>
      <c r="HW47" s="1641"/>
      <c r="HX47" s="1641"/>
      <c r="HY47" s="1641"/>
      <c r="HZ47" s="1641"/>
      <c r="IA47" s="1641"/>
      <c r="IB47" s="1641"/>
      <c r="IC47" s="1641"/>
      <c r="ID47" s="1641"/>
      <c r="IE47" s="1641"/>
      <c r="IF47" s="1641"/>
      <c r="IG47" s="1641"/>
      <c r="IH47" s="1641"/>
      <c r="II47" s="1641"/>
      <c r="IJ47" s="1641"/>
      <c r="IK47" s="1641"/>
      <c r="IL47" s="1641"/>
      <c r="IM47" s="1641"/>
      <c r="IN47" s="1641"/>
      <c r="IO47" s="1641"/>
      <c r="IP47" s="1414"/>
      <c r="IQ47" s="1414"/>
      <c r="IR47" s="1414"/>
      <c r="IS47" s="1414"/>
      <c r="IT47" s="1414"/>
      <c r="IU47" s="1414"/>
      <c r="IV47" s="1414"/>
      <c r="IW47" s="1414"/>
      <c r="IX47" s="1641"/>
      <c r="IY47" s="1641"/>
      <c r="IZ47" s="1641"/>
      <c r="JA47" s="1641"/>
      <c r="JB47" s="1641"/>
      <c r="JC47" s="1641"/>
      <c r="JD47" s="1641"/>
      <c r="JE47" s="1641"/>
      <c r="JF47" s="1641"/>
      <c r="JG47" s="1641"/>
      <c r="JH47" s="1414"/>
      <c r="JI47" s="1414"/>
      <c r="JJ47" s="1414"/>
      <c r="JK47" s="1414"/>
      <c r="JL47" s="1414"/>
      <c r="JM47" s="1414"/>
      <c r="JN47" s="1414"/>
      <c r="JO47" s="1414"/>
      <c r="JP47" s="1414"/>
      <c r="JQ47" s="1415"/>
      <c r="JR47" s="351"/>
    </row>
    <row r="48" spans="1:278" x14ac:dyDescent="0.25">
      <c r="A48" s="1367">
        <v>48</v>
      </c>
      <c r="B48" s="1411" t="str">
        <f t="shared" si="0"/>
        <v/>
      </c>
      <c r="C48" s="1435" t="s">
        <v>3930</v>
      </c>
      <c r="D48" s="1361" t="s">
        <v>3875</v>
      </c>
      <c r="E48" s="1641"/>
      <c r="F48" s="1641"/>
      <c r="G48" s="1641"/>
      <c r="H48" s="1641"/>
      <c r="I48" s="1641"/>
      <c r="J48" s="1641"/>
      <c r="K48" s="1641"/>
      <c r="L48" s="1641"/>
      <c r="M48" s="1641"/>
      <c r="N48" s="1641"/>
      <c r="O48" s="1641"/>
      <c r="P48" s="1641"/>
      <c r="Q48" s="1641"/>
      <c r="R48" s="1641"/>
      <c r="S48" s="1641"/>
      <c r="T48" s="1641"/>
      <c r="U48" s="1641"/>
      <c r="V48" s="1641"/>
      <c r="W48" s="1641"/>
      <c r="X48" s="1641"/>
      <c r="Y48" s="1641"/>
      <c r="Z48" s="1641"/>
      <c r="AA48" s="1641"/>
      <c r="AB48" s="1641"/>
      <c r="AC48" s="1641"/>
      <c r="AD48" s="1641"/>
      <c r="AE48" s="1641"/>
      <c r="AF48" s="1641"/>
      <c r="AG48" s="1641"/>
      <c r="AH48" s="1641"/>
      <c r="AI48" s="1641"/>
      <c r="AJ48" s="1641"/>
      <c r="AK48" s="1641"/>
      <c r="AL48" s="1641"/>
      <c r="AM48" s="1641"/>
      <c r="AN48" s="1641"/>
      <c r="AO48" s="1641"/>
      <c r="AP48" s="1641"/>
      <c r="AQ48" s="1641"/>
      <c r="AR48" s="1641"/>
      <c r="AS48" s="1641"/>
      <c r="AT48" s="1641"/>
      <c r="AU48" s="1641"/>
      <c r="AV48" s="1641"/>
      <c r="AW48" s="1641"/>
      <c r="AX48" s="1641"/>
      <c r="AY48" s="1641"/>
      <c r="AZ48" s="1641"/>
      <c r="BA48" s="1641"/>
      <c r="BB48" s="1641"/>
      <c r="BC48" s="1641"/>
      <c r="BD48" s="1641"/>
      <c r="BE48" s="1641"/>
      <c r="BF48" s="1641"/>
      <c r="BG48" s="1641"/>
      <c r="BH48" s="1641"/>
      <c r="BI48" s="1641"/>
      <c r="BJ48" s="1641"/>
      <c r="BK48" s="1641"/>
      <c r="BL48" s="1641"/>
      <c r="BM48" s="1641"/>
      <c r="BN48" s="1641"/>
      <c r="BO48" s="1641"/>
      <c r="BP48" s="1641"/>
      <c r="BQ48" s="1641"/>
      <c r="BR48" s="1641"/>
      <c r="BS48" s="1641"/>
      <c r="BT48" s="1641"/>
      <c r="BU48" s="1641"/>
      <c r="BV48" s="1641"/>
      <c r="BW48" s="1641"/>
      <c r="BX48" s="1641"/>
      <c r="BY48" s="1641"/>
      <c r="BZ48" s="1641"/>
      <c r="CA48" s="1641"/>
      <c r="CB48" s="1641"/>
      <c r="CC48" s="1641"/>
      <c r="CD48" s="1641"/>
      <c r="CE48" s="1641"/>
      <c r="CF48" s="1641"/>
      <c r="CG48" s="1641"/>
      <c r="CH48" s="1641"/>
      <c r="CI48" s="1641"/>
      <c r="CJ48" s="1641"/>
      <c r="CK48" s="1641"/>
      <c r="CL48" s="1641"/>
      <c r="CM48" s="1641"/>
      <c r="CN48" s="1641"/>
      <c r="CO48" s="1641"/>
      <c r="CP48" s="1641"/>
      <c r="CQ48" s="1641"/>
      <c r="CR48" s="1641"/>
      <c r="CS48" s="1641"/>
      <c r="CT48" s="1641"/>
      <c r="CU48" s="1641"/>
      <c r="CV48" s="1641"/>
      <c r="CW48" s="1641"/>
      <c r="CX48" s="1641"/>
      <c r="CY48" s="1641"/>
      <c r="CZ48" s="1641"/>
      <c r="DA48" s="1641"/>
      <c r="DB48" s="1641"/>
      <c r="DC48" s="1641"/>
      <c r="DD48" s="1641"/>
      <c r="DE48" s="1641"/>
      <c r="DF48" s="1641"/>
      <c r="DG48" s="1641"/>
      <c r="DH48" s="1641"/>
      <c r="DI48" s="1641"/>
      <c r="DJ48" s="1641"/>
      <c r="DK48" s="1641"/>
      <c r="DL48" s="1641"/>
      <c r="DM48" s="1641"/>
      <c r="DN48" s="1641"/>
      <c r="DO48" s="1641"/>
      <c r="DP48" s="1641"/>
      <c r="DQ48" s="1641"/>
      <c r="DR48" s="1641"/>
      <c r="DS48" s="1641"/>
      <c r="DT48" s="1641"/>
      <c r="DU48" s="1641"/>
      <c r="DV48" s="1641"/>
      <c r="DW48" s="1636">
        <v>9958.17</v>
      </c>
      <c r="DX48" s="1641"/>
      <c r="DY48" s="1641"/>
      <c r="DZ48" s="1641"/>
      <c r="EA48" s="1641"/>
      <c r="EB48" s="1641"/>
      <c r="EC48" s="1641"/>
      <c r="ED48" s="1641"/>
      <c r="EE48" s="1641"/>
      <c r="EF48" s="1641"/>
      <c r="EG48" s="1641"/>
      <c r="EH48" s="1641"/>
      <c r="EI48" s="1641"/>
      <c r="EJ48" s="1641"/>
      <c r="EK48" s="1641"/>
      <c r="EL48" s="1641"/>
      <c r="EM48" s="1636">
        <v>609</v>
      </c>
      <c r="EN48" s="1636">
        <v>667</v>
      </c>
      <c r="EO48" s="1641"/>
      <c r="EP48" s="1641"/>
      <c r="EQ48" s="1641"/>
      <c r="ER48" s="1641"/>
      <c r="ES48" s="1641"/>
      <c r="ET48" s="1641"/>
      <c r="EU48" s="1641"/>
      <c r="EV48" s="1641"/>
      <c r="EW48" s="1641"/>
      <c r="EX48" s="1641"/>
      <c r="EY48" s="1641"/>
      <c r="EZ48" s="1641"/>
      <c r="FA48" s="1641"/>
      <c r="FB48" s="1641"/>
      <c r="FC48" s="1641"/>
      <c r="FD48" s="1641"/>
      <c r="FE48" s="1641"/>
      <c r="FF48" s="1641"/>
      <c r="FG48" s="1641"/>
      <c r="FH48" s="1641"/>
      <c r="FI48" s="1641"/>
      <c r="FJ48" s="1636">
        <v>11495</v>
      </c>
      <c r="FK48" s="1641"/>
      <c r="FL48" s="1641"/>
      <c r="FM48" s="1641"/>
      <c r="FN48" s="1641"/>
      <c r="FO48" s="1641"/>
      <c r="FP48" s="1641"/>
      <c r="FQ48" s="1641"/>
      <c r="FR48" s="1641"/>
      <c r="FS48" s="1641"/>
      <c r="FT48" s="1641"/>
      <c r="FU48" s="1641"/>
      <c r="FV48" s="1641"/>
      <c r="FW48" s="1641"/>
      <c r="FX48" s="1641"/>
      <c r="FY48" s="1641"/>
      <c r="FZ48" s="1641"/>
      <c r="GA48" s="1641"/>
      <c r="GB48" s="1641"/>
      <c r="GC48" s="1641"/>
      <c r="GD48" s="1641"/>
      <c r="GE48" s="1641"/>
      <c r="GF48" s="1641"/>
      <c r="GG48" s="1641"/>
      <c r="GH48" s="1641"/>
      <c r="GI48" s="1641"/>
      <c r="GJ48" s="1641"/>
      <c r="GK48" s="1641"/>
      <c r="GL48" s="1641"/>
      <c r="GM48" s="1641"/>
      <c r="GN48" s="1641"/>
      <c r="GO48" s="1641"/>
      <c r="GP48" s="1641"/>
      <c r="GQ48" s="1641"/>
      <c r="GR48" s="1641"/>
      <c r="GS48" s="1641"/>
      <c r="GT48" s="1641"/>
      <c r="GU48" s="1641"/>
      <c r="GV48" s="1641"/>
      <c r="GW48" s="1641"/>
      <c r="GX48" s="1641"/>
      <c r="GY48" s="1641"/>
      <c r="GZ48" s="1641"/>
      <c r="HA48" s="1641"/>
      <c r="HB48" s="1641"/>
      <c r="HC48" s="1641"/>
      <c r="HD48" s="1641"/>
      <c r="HE48" s="1641"/>
      <c r="HF48" s="1641"/>
      <c r="HG48" s="1641"/>
      <c r="HH48" s="1641"/>
      <c r="HI48" s="1641"/>
      <c r="HJ48" s="1641"/>
      <c r="HK48" s="1641"/>
      <c r="HL48" s="1641"/>
      <c r="HM48" s="1641"/>
      <c r="HN48" s="1641"/>
      <c r="HO48" s="1641"/>
      <c r="HP48" s="1641"/>
      <c r="HQ48" s="1641"/>
      <c r="HR48" s="1641"/>
      <c r="HS48" s="1641"/>
      <c r="HT48" s="1641"/>
      <c r="HU48" s="1641"/>
      <c r="HV48" s="1641"/>
      <c r="HW48" s="1641"/>
      <c r="HX48" s="1641"/>
      <c r="HY48" s="1641"/>
      <c r="HZ48" s="1641"/>
      <c r="IA48" s="1641"/>
      <c r="IB48" s="1641"/>
      <c r="IC48" s="1641"/>
      <c r="ID48" s="1641"/>
      <c r="IE48" s="1641"/>
      <c r="IF48" s="1641"/>
      <c r="IG48" s="1641"/>
      <c r="IH48" s="1641"/>
      <c r="II48" s="1641"/>
      <c r="IJ48" s="1641"/>
      <c r="IK48" s="1641"/>
      <c r="IL48" s="1641"/>
      <c r="IM48" s="1641"/>
      <c r="IN48" s="1641"/>
      <c r="IO48" s="1641"/>
      <c r="IP48" s="1642"/>
      <c r="IQ48" s="1642"/>
      <c r="IR48" s="1642"/>
      <c r="IS48" s="1642"/>
      <c r="IT48" s="1642"/>
      <c r="IU48" s="1642"/>
      <c r="IV48" s="1642"/>
      <c r="IW48" s="1642"/>
      <c r="IX48" s="1641"/>
      <c r="IY48" s="1641"/>
      <c r="IZ48" s="1641"/>
      <c r="JA48" s="1641"/>
      <c r="JB48" s="1641"/>
      <c r="JC48" s="1641"/>
      <c r="JD48" s="1641"/>
      <c r="JE48" s="1641"/>
      <c r="JF48" s="1641"/>
      <c r="JG48" s="1641"/>
      <c r="JH48" s="1642"/>
      <c r="JI48" s="1642"/>
      <c r="JJ48" s="1642"/>
      <c r="JK48" s="1642"/>
      <c r="JL48" s="1642"/>
      <c r="JM48" s="1642"/>
      <c r="JN48" s="1642"/>
      <c r="JO48" s="1642"/>
      <c r="JP48" s="1642"/>
      <c r="JQ48" s="1643"/>
      <c r="JR48" s="351"/>
    </row>
    <row r="49" spans="1:278" x14ac:dyDescent="0.25">
      <c r="A49" s="1367">
        <v>49</v>
      </c>
      <c r="B49" s="1411" t="str">
        <f t="shared" si="0"/>
        <v/>
      </c>
      <c r="C49" s="1435" t="s">
        <v>3931</v>
      </c>
      <c r="D49" s="1361" t="s">
        <v>3887</v>
      </c>
      <c r="E49" s="1641"/>
      <c r="F49" s="1641"/>
      <c r="G49" s="1641"/>
      <c r="H49" s="1641"/>
      <c r="I49" s="1641"/>
      <c r="J49" s="1641"/>
      <c r="K49" s="1641"/>
      <c r="L49" s="1641"/>
      <c r="M49" s="1641"/>
      <c r="N49" s="1641"/>
      <c r="O49" s="1641"/>
      <c r="P49" s="1641"/>
      <c r="Q49" s="1641"/>
      <c r="R49" s="1641"/>
      <c r="S49" s="1641"/>
      <c r="T49" s="1641"/>
      <c r="U49" s="1641"/>
      <c r="V49" s="1641"/>
      <c r="W49" s="1641"/>
      <c r="X49" s="1641"/>
      <c r="Y49" s="1641"/>
      <c r="Z49" s="1641"/>
      <c r="AA49" s="1641"/>
      <c r="AB49" s="1641"/>
      <c r="AC49" s="1641"/>
      <c r="AD49" s="1641"/>
      <c r="AE49" s="1641"/>
      <c r="AF49" s="1641"/>
      <c r="AG49" s="1641"/>
      <c r="AH49" s="1641"/>
      <c r="AI49" s="1641"/>
      <c r="AJ49" s="1641"/>
      <c r="AK49" s="1641"/>
      <c r="AL49" s="1641"/>
      <c r="AM49" s="1641"/>
      <c r="AN49" s="1641"/>
      <c r="AO49" s="1641"/>
      <c r="AP49" s="1641"/>
      <c r="AQ49" s="1641"/>
      <c r="AR49" s="1641"/>
      <c r="AS49" s="1641"/>
      <c r="AT49" s="1641"/>
      <c r="AU49" s="1641"/>
      <c r="AV49" s="1641"/>
      <c r="AW49" s="1641"/>
      <c r="AX49" s="1641"/>
      <c r="AY49" s="1641"/>
      <c r="AZ49" s="1641"/>
      <c r="BA49" s="1641"/>
      <c r="BB49" s="1641"/>
      <c r="BC49" s="1641"/>
      <c r="BD49" s="1641"/>
      <c r="BE49" s="1641"/>
      <c r="BF49" s="1641"/>
      <c r="BG49" s="1641"/>
      <c r="BH49" s="1641"/>
      <c r="BI49" s="1641"/>
      <c r="BJ49" s="1641"/>
      <c r="BK49" s="1641"/>
      <c r="BL49" s="1641"/>
      <c r="BM49" s="1641"/>
      <c r="BN49" s="1641"/>
      <c r="BO49" s="1641"/>
      <c r="BP49" s="1641"/>
      <c r="BQ49" s="1641"/>
      <c r="BR49" s="1641"/>
      <c r="BS49" s="1641"/>
      <c r="BT49" s="1641"/>
      <c r="BU49" s="1641"/>
      <c r="BV49" s="1641"/>
      <c r="BW49" s="1641"/>
      <c r="BX49" s="1641"/>
      <c r="BY49" s="1641"/>
      <c r="BZ49" s="1641"/>
      <c r="CA49" s="1641"/>
      <c r="CB49" s="1641"/>
      <c r="CC49" s="1641"/>
      <c r="CD49" s="1641"/>
      <c r="CE49" s="1641"/>
      <c r="CF49" s="1641"/>
      <c r="CG49" s="1641"/>
      <c r="CH49" s="1641"/>
      <c r="CI49" s="1641"/>
      <c r="CJ49" s="1641"/>
      <c r="CK49" s="1641"/>
      <c r="CL49" s="1641"/>
      <c r="CM49" s="1641"/>
      <c r="CN49" s="1641"/>
      <c r="CO49" s="1641"/>
      <c r="CP49" s="1641"/>
      <c r="CQ49" s="1641"/>
      <c r="CR49" s="1641"/>
      <c r="CS49" s="1641"/>
      <c r="CT49" s="1641"/>
      <c r="CU49" s="1641"/>
      <c r="CV49" s="1641"/>
      <c r="CW49" s="1641"/>
      <c r="CX49" s="1641"/>
      <c r="CY49" s="1641"/>
      <c r="CZ49" s="1641"/>
      <c r="DA49" s="1641"/>
      <c r="DB49" s="1641"/>
      <c r="DC49" s="1641"/>
      <c r="DD49" s="1641"/>
      <c r="DE49" s="1641"/>
      <c r="DF49" s="1641"/>
      <c r="DG49" s="1641"/>
      <c r="DH49" s="1641"/>
      <c r="DI49" s="1641"/>
      <c r="DJ49" s="1641"/>
      <c r="DK49" s="1641"/>
      <c r="DL49" s="1641"/>
      <c r="DM49" s="1641"/>
      <c r="DN49" s="1641"/>
      <c r="DO49" s="1641"/>
      <c r="DP49" s="1641"/>
      <c r="DQ49" s="1641"/>
      <c r="DR49" s="1641"/>
      <c r="DS49" s="1641"/>
      <c r="DT49" s="1641"/>
      <c r="DU49" s="1641"/>
      <c r="DV49" s="1641"/>
      <c r="DW49" s="1636">
        <v>1470.68</v>
      </c>
      <c r="DX49" s="1641"/>
      <c r="DY49" s="1641"/>
      <c r="DZ49" s="1641"/>
      <c r="EA49" s="1641"/>
      <c r="EB49" s="1641"/>
      <c r="EC49" s="1641"/>
      <c r="ED49" s="1641"/>
      <c r="EE49" s="1641"/>
      <c r="EF49" s="1641"/>
      <c r="EG49" s="1641"/>
      <c r="EH49" s="1641"/>
      <c r="EI49" s="1641"/>
      <c r="EJ49" s="1641"/>
      <c r="EK49" s="1641"/>
      <c r="EL49" s="1641"/>
      <c r="EM49" s="1641"/>
      <c r="EN49" s="1641"/>
      <c r="EO49" s="1641"/>
      <c r="EP49" s="1641"/>
      <c r="EQ49" s="1641"/>
      <c r="ER49" s="1641"/>
      <c r="ES49" s="1641"/>
      <c r="ET49" s="1641"/>
      <c r="EU49" s="1641"/>
      <c r="EV49" s="1641"/>
      <c r="EW49" s="1641"/>
      <c r="EX49" s="1641"/>
      <c r="EY49" s="1641"/>
      <c r="EZ49" s="1641"/>
      <c r="FA49" s="1641"/>
      <c r="FB49" s="1641"/>
      <c r="FC49" s="1641"/>
      <c r="FD49" s="1641"/>
      <c r="FE49" s="1641"/>
      <c r="FF49" s="1641"/>
      <c r="FG49" s="1641"/>
      <c r="FH49" s="1641"/>
      <c r="FI49" s="1641"/>
      <c r="FJ49" s="1641"/>
      <c r="FK49" s="1641"/>
      <c r="FL49" s="1641"/>
      <c r="FM49" s="1641"/>
      <c r="FN49" s="1641"/>
      <c r="FO49" s="1641"/>
      <c r="FP49" s="1641"/>
      <c r="FQ49" s="1641"/>
      <c r="FR49" s="1641"/>
      <c r="FS49" s="1641"/>
      <c r="FT49" s="1641"/>
      <c r="FU49" s="1641"/>
      <c r="FV49" s="1641"/>
      <c r="FW49" s="1641"/>
      <c r="FX49" s="1641"/>
      <c r="FY49" s="1641"/>
      <c r="FZ49" s="1641"/>
      <c r="GA49" s="1641"/>
      <c r="GB49" s="1641"/>
      <c r="GC49" s="1641"/>
      <c r="GD49" s="1641"/>
      <c r="GE49" s="1641"/>
      <c r="GF49" s="1641"/>
      <c r="GG49" s="1641"/>
      <c r="GH49" s="1641"/>
      <c r="GI49" s="1641"/>
      <c r="GJ49" s="1641"/>
      <c r="GK49" s="1641"/>
      <c r="GL49" s="1641"/>
      <c r="GM49" s="1641"/>
      <c r="GN49" s="1641"/>
      <c r="GO49" s="1641"/>
      <c r="GP49" s="1641"/>
      <c r="GQ49" s="1641"/>
      <c r="GR49" s="1641"/>
      <c r="GS49" s="1641"/>
      <c r="GT49" s="1641"/>
      <c r="GU49" s="1641"/>
      <c r="GV49" s="1641"/>
      <c r="GW49" s="1641"/>
      <c r="GX49" s="1641"/>
      <c r="GY49" s="1641"/>
      <c r="GZ49" s="1641"/>
      <c r="HA49" s="1641"/>
      <c r="HB49" s="1641"/>
      <c r="HC49" s="1641"/>
      <c r="HD49" s="1641"/>
      <c r="HE49" s="1641"/>
      <c r="HF49" s="1641"/>
      <c r="HG49" s="1641"/>
      <c r="HH49" s="1641"/>
      <c r="HI49" s="1641"/>
      <c r="HJ49" s="1641"/>
      <c r="HK49" s="1641"/>
      <c r="HL49" s="1641"/>
      <c r="HM49" s="1641"/>
      <c r="HN49" s="1641"/>
      <c r="HO49" s="1641"/>
      <c r="HP49" s="1641"/>
      <c r="HQ49" s="1641"/>
      <c r="HR49" s="1641"/>
      <c r="HS49" s="1641"/>
      <c r="HT49" s="1641"/>
      <c r="HU49" s="1641"/>
      <c r="HV49" s="1641"/>
      <c r="HW49" s="1641"/>
      <c r="HX49" s="1641"/>
      <c r="HY49" s="1641"/>
      <c r="HZ49" s="1641"/>
      <c r="IA49" s="1641"/>
      <c r="IB49" s="1641"/>
      <c r="IC49" s="1641"/>
      <c r="ID49" s="1641"/>
      <c r="IE49" s="1641"/>
      <c r="IF49" s="1641"/>
      <c r="IG49" s="1641"/>
      <c r="IH49" s="1641"/>
      <c r="II49" s="1641"/>
      <c r="IJ49" s="1641"/>
      <c r="IK49" s="1641"/>
      <c r="IL49" s="1641"/>
      <c r="IM49" s="1641"/>
      <c r="IN49" s="1641"/>
      <c r="IO49" s="1641"/>
      <c r="IP49" s="1642"/>
      <c r="IQ49" s="1642"/>
      <c r="IR49" s="1642"/>
      <c r="IS49" s="1642"/>
      <c r="IT49" s="1642"/>
      <c r="IU49" s="1642"/>
      <c r="IV49" s="1642"/>
      <c r="IW49" s="1642"/>
      <c r="IX49" s="1641"/>
      <c r="IY49" s="1641"/>
      <c r="IZ49" s="1641"/>
      <c r="JA49" s="1641"/>
      <c r="JB49" s="1641"/>
      <c r="JC49" s="1641"/>
      <c r="JD49" s="1641"/>
      <c r="JE49" s="1641"/>
      <c r="JF49" s="1641"/>
      <c r="JG49" s="1641"/>
      <c r="JH49" s="1642"/>
      <c r="JI49" s="1642"/>
      <c r="JJ49" s="1642"/>
      <c r="JK49" s="1642"/>
      <c r="JL49" s="1642"/>
      <c r="JM49" s="1642"/>
      <c r="JN49" s="1642"/>
      <c r="JO49" s="1642"/>
      <c r="JP49" s="1642"/>
      <c r="JQ49" s="1643"/>
      <c r="JR49" s="351"/>
    </row>
    <row r="50" spans="1:278" x14ac:dyDescent="0.25">
      <c r="A50" s="1367">
        <v>50</v>
      </c>
      <c r="B50" s="1411" t="str">
        <f t="shared" si="0"/>
        <v/>
      </c>
      <c r="C50" s="1435" t="s">
        <v>3932</v>
      </c>
      <c r="D50" s="1361" t="s">
        <v>3887</v>
      </c>
      <c r="E50" s="2561"/>
      <c r="F50" s="2561"/>
      <c r="G50" s="2561"/>
      <c r="H50" s="2561"/>
      <c r="I50" s="2561"/>
      <c r="J50" s="2561"/>
      <c r="K50" s="2561"/>
      <c r="L50" s="2561"/>
      <c r="M50" s="2561"/>
      <c r="N50" s="2561"/>
      <c r="O50" s="2561"/>
      <c r="P50" s="2561"/>
      <c r="Q50" s="2561"/>
      <c r="R50" s="2561"/>
      <c r="S50" s="2561"/>
      <c r="T50" s="2561"/>
      <c r="U50" s="2561"/>
      <c r="V50" s="2561"/>
      <c r="W50" s="2561"/>
      <c r="X50" s="2561"/>
      <c r="Y50" s="2561"/>
      <c r="Z50" s="2561"/>
      <c r="AA50" s="2561"/>
      <c r="AB50" s="2561"/>
      <c r="AC50" s="2561"/>
      <c r="AD50" s="2561"/>
      <c r="AE50" s="2561"/>
      <c r="AF50" s="2561"/>
      <c r="AG50" s="2561"/>
      <c r="AH50" s="2561"/>
      <c r="AI50" s="2561"/>
      <c r="AJ50" s="2561"/>
      <c r="AK50" s="2561"/>
      <c r="AL50" s="2561"/>
      <c r="AM50" s="2561"/>
      <c r="AN50" s="2561"/>
      <c r="AO50" s="2561"/>
      <c r="AP50" s="2561"/>
      <c r="AQ50" s="2561"/>
      <c r="AR50" s="2561"/>
      <c r="AS50" s="2561"/>
      <c r="AT50" s="2561"/>
      <c r="AU50" s="2561"/>
      <c r="AV50" s="2561"/>
      <c r="AW50" s="2561">
        <f>AW24+AW30+AW36+AW42+AW48</f>
        <v>1275</v>
      </c>
      <c r="AX50" s="2561"/>
      <c r="AY50" s="2561"/>
      <c r="AZ50" s="2561"/>
      <c r="BA50" s="2561"/>
      <c r="BB50" s="2561">
        <f>BB24+BB30+BB36+BB42+BB48</f>
        <v>0</v>
      </c>
      <c r="BC50" s="2561">
        <f>BC24+BC30+BC36+BC42+BC48</f>
        <v>2679</v>
      </c>
      <c r="BD50" s="2561">
        <f>BD24+BD30+BD36+BD42+BD48</f>
        <v>2679</v>
      </c>
      <c r="BE50" s="2561"/>
      <c r="BF50" s="2561"/>
      <c r="BG50" s="2561"/>
      <c r="BH50" s="2561"/>
      <c r="BI50" s="2561"/>
      <c r="BJ50" s="2561">
        <f>BJ24+BJ30+BJ36+BJ42+BJ48</f>
        <v>0</v>
      </c>
      <c r="BK50" s="2561"/>
      <c r="BL50" s="2561"/>
      <c r="BM50" s="2561"/>
      <c r="BN50" s="2561"/>
      <c r="BO50" s="2561"/>
      <c r="BP50" s="2561"/>
      <c r="BQ50" s="2561"/>
      <c r="BR50" s="2561"/>
      <c r="BS50" s="2561"/>
      <c r="BT50" s="2561"/>
      <c r="BU50" s="2561"/>
      <c r="BV50" s="2561"/>
      <c r="BW50" s="2561"/>
      <c r="BX50" s="2561"/>
      <c r="BY50" s="2561"/>
      <c r="BZ50" s="2561"/>
      <c r="CA50" s="2561"/>
      <c r="CB50" s="2561"/>
      <c r="CC50" s="2561"/>
      <c r="CD50" s="2561"/>
      <c r="CE50" s="2561"/>
      <c r="CF50" s="2561"/>
      <c r="CG50" s="2561"/>
      <c r="CH50" s="2561"/>
      <c r="CI50" s="2561"/>
      <c r="CJ50" s="1636">
        <f>CJ24+CJ30+CJ36+CJ42+CJ48</f>
        <v>515</v>
      </c>
      <c r="CK50" s="2561"/>
      <c r="CL50" s="2561"/>
      <c r="CM50" s="2561"/>
      <c r="CN50" s="2561"/>
      <c r="CO50" s="2561"/>
      <c r="CP50" s="2561"/>
      <c r="CQ50" s="2561"/>
      <c r="CR50" s="2561"/>
      <c r="CS50" s="2561"/>
      <c r="CT50" s="2561">
        <f>CT24+CT30+CT36+CT42+CT48</f>
        <v>422</v>
      </c>
      <c r="CU50" s="2561"/>
      <c r="CV50" s="2561"/>
      <c r="CW50" s="2561"/>
      <c r="CX50" s="2561"/>
      <c r="CY50" s="2561"/>
      <c r="CZ50" s="2561"/>
      <c r="DA50" s="2561"/>
      <c r="DB50" s="2561"/>
      <c r="DC50" s="2561"/>
      <c r="DD50" s="2561"/>
      <c r="DE50" s="2561"/>
      <c r="DF50" s="2561"/>
      <c r="DG50" s="2561"/>
      <c r="DH50" s="2561"/>
      <c r="DI50" s="2561"/>
      <c r="DJ50" s="2561"/>
      <c r="DK50" s="2561"/>
      <c r="DL50" s="2561"/>
      <c r="DM50" s="2561">
        <f>DM24+DM30+DM36+DM42+DM48</f>
        <v>13770</v>
      </c>
      <c r="DN50" s="2561"/>
      <c r="DO50" s="2561"/>
      <c r="DP50" s="2561">
        <f>DP24+DP30+DP36+DP42+DP48</f>
        <v>2159</v>
      </c>
      <c r="DQ50" s="2561"/>
      <c r="DR50" s="1636">
        <f>DR24+DR30+DR36+DR42+DR48</f>
        <v>176</v>
      </c>
      <c r="DS50" s="2561"/>
      <c r="DT50" s="2561">
        <f>DT24+DT30+DT36+DT42+DT48</f>
        <v>2159</v>
      </c>
      <c r="DU50" s="2561"/>
      <c r="DV50" s="2561"/>
      <c r="DW50" s="1636">
        <f>DW24+DW30+DW36+DW42+DW48</f>
        <v>20127.43</v>
      </c>
      <c r="DX50" s="2561"/>
      <c r="DY50" s="2561"/>
      <c r="DZ50" s="2561"/>
      <c r="EA50" s="2561"/>
      <c r="EB50" s="2561"/>
      <c r="EC50" s="2561"/>
      <c r="ED50" s="2561"/>
      <c r="EE50" s="2561"/>
      <c r="EF50" s="2561"/>
      <c r="EG50" s="2561"/>
      <c r="EH50" s="2561"/>
      <c r="EI50" s="2561"/>
      <c r="EJ50" s="2561"/>
      <c r="EK50" s="2561"/>
      <c r="EL50" s="2561"/>
      <c r="EM50" s="1636">
        <f t="shared" ref="EM50:EN50" si="5">EM24+EM30+EM36+EM42+EM48</f>
        <v>6052</v>
      </c>
      <c r="EN50" s="1636">
        <f t="shared" si="5"/>
        <v>926</v>
      </c>
      <c r="EO50" s="2561">
        <f>EO24+EO30+EO36+EO42+EO48</f>
        <v>4352.1899999999996</v>
      </c>
      <c r="EP50" s="2561"/>
      <c r="EQ50" s="2561">
        <f>EQ24+EQ30+EQ36+EQ42+EQ48</f>
        <v>14887</v>
      </c>
      <c r="ER50" s="2561"/>
      <c r="ES50" s="2561">
        <f>ES24+ES30+ES36+ES42+ES48</f>
        <v>116.00999999999999</v>
      </c>
      <c r="ET50" s="2561"/>
      <c r="EU50" s="2561"/>
      <c r="EV50" s="1636">
        <f>EV24+EV30+EV36+EV42+EV48</f>
        <v>4419</v>
      </c>
      <c r="EW50" s="2561">
        <f t="shared" ref="EW50" si="6">EW24+EW30+EW36+EW42+EW48</f>
        <v>0</v>
      </c>
      <c r="EX50" s="2561">
        <f>EX24+EX30+EX36+EX42+EX48</f>
        <v>659</v>
      </c>
      <c r="EY50" s="2561"/>
      <c r="EZ50" s="2561"/>
      <c r="FA50" s="2561"/>
      <c r="FB50" s="2561">
        <f>FB24+FB30+FB36+FB42+FB48</f>
        <v>129793</v>
      </c>
      <c r="FC50" s="1636">
        <f>FC24+FC30+FC36+FC42+FC48</f>
        <v>6304</v>
      </c>
      <c r="FD50" s="2561"/>
      <c r="FE50" s="2561"/>
      <c r="FF50" s="1636">
        <f>FF24+FF30+FF36+FF42+FF48</f>
        <v>30886</v>
      </c>
      <c r="FG50" s="2561"/>
      <c r="FH50" s="2561"/>
      <c r="FI50" s="2561"/>
      <c r="FJ50" s="1636">
        <f>FJ24+FJ30+FJ36+FJ42+FJ48</f>
        <v>78173</v>
      </c>
      <c r="FK50" s="1636">
        <f>FK24+FK30+FK36+FK42+FK48</f>
        <v>108</v>
      </c>
      <c r="FL50" s="2561"/>
      <c r="FM50" s="2561"/>
      <c r="FN50" s="2561"/>
      <c r="FO50" s="1636">
        <f>FO24+FO30+FO36+FO42+FO48</f>
        <v>606</v>
      </c>
      <c r="FP50" s="2561"/>
      <c r="FQ50" s="2561"/>
      <c r="FR50" s="2561"/>
      <c r="FS50" s="2561"/>
      <c r="FT50" s="2561"/>
      <c r="FU50" s="2561"/>
      <c r="FV50" s="2561"/>
      <c r="FW50" s="2561"/>
      <c r="FX50" s="2561"/>
      <c r="FY50" s="2561"/>
      <c r="FZ50" s="2561"/>
      <c r="GA50" s="2561"/>
      <c r="GB50" s="2561"/>
      <c r="GC50" s="2561"/>
      <c r="GD50" s="2561"/>
      <c r="GE50" s="2561"/>
      <c r="GF50" s="2561">
        <f>GF24+GF30+GF36+GF42+GF48</f>
        <v>2679</v>
      </c>
      <c r="GG50" s="2561"/>
      <c r="GH50" s="2561"/>
      <c r="GI50" s="2561"/>
      <c r="GJ50" s="2561"/>
      <c r="GK50" s="2561"/>
      <c r="GL50" s="2561"/>
      <c r="GM50" s="2561"/>
      <c r="GN50" s="2561"/>
      <c r="GO50" s="2561"/>
      <c r="GP50" s="2561"/>
      <c r="GQ50" s="2561"/>
      <c r="GR50" s="2561"/>
      <c r="GS50" s="2561"/>
      <c r="GT50" s="2561"/>
      <c r="GU50" s="2561"/>
      <c r="GV50" s="2561"/>
      <c r="GW50" s="2561"/>
      <c r="GX50" s="2561"/>
      <c r="GY50" s="2561"/>
      <c r="GZ50" s="2561"/>
      <c r="HA50" s="2561"/>
      <c r="HB50" s="2561"/>
      <c r="HC50" s="2561"/>
      <c r="HD50" s="2561"/>
      <c r="HE50" s="2561"/>
      <c r="HF50" s="2561"/>
      <c r="HG50" s="2561">
        <f>HG24+HG30+HG36+HG42+HG48</f>
        <v>425</v>
      </c>
      <c r="HH50" s="2561">
        <f>HH24+HH30+HH36+HH42+HH48</f>
        <v>2000</v>
      </c>
      <c r="HI50" s="2561"/>
      <c r="HJ50" s="2561"/>
      <c r="HK50" s="2561"/>
      <c r="HL50" s="2561"/>
      <c r="HM50" s="2561"/>
      <c r="HN50" s="2561"/>
      <c r="HO50" s="2561"/>
      <c r="HP50" s="2561">
        <f>HP24+HP30+HP36+HP42+HP48</f>
        <v>659</v>
      </c>
      <c r="HQ50" s="2561"/>
      <c r="HR50" s="2561"/>
      <c r="HS50" s="2561"/>
      <c r="HT50" s="2561"/>
      <c r="HU50" s="2561"/>
      <c r="HV50" s="2561"/>
      <c r="HW50" s="2561"/>
      <c r="HX50" s="2561"/>
      <c r="HY50" s="2561"/>
      <c r="HZ50" s="2561"/>
      <c r="IA50" s="1636">
        <f t="shared" ref="IA50" si="7">IA24+IA30+IA36+IA42+IA48</f>
        <v>2328</v>
      </c>
      <c r="IB50" s="2561"/>
      <c r="IC50" s="2561">
        <f>IC24+IC30+IC36+IC42+IC48</f>
        <v>14669</v>
      </c>
      <c r="ID50" s="2561">
        <f t="shared" ref="ID50:IE50" si="8">ID24+ID30+ID36+ID42+ID48</f>
        <v>0</v>
      </c>
      <c r="IE50" s="2561">
        <f t="shared" si="8"/>
        <v>0</v>
      </c>
      <c r="IF50" s="2561">
        <f>IF24+IF30+IF36+IF42+IF48</f>
        <v>84227.16</v>
      </c>
      <c r="IG50" s="2561">
        <f>IG24+IG30+IG36+IG42+IG48</f>
        <v>0</v>
      </c>
      <c r="IH50" s="2561">
        <f>IH24+IH30+IH36+IH42+IH48</f>
        <v>6332</v>
      </c>
      <c r="II50" s="2561"/>
      <c r="IJ50" s="2561"/>
      <c r="IK50" s="2561">
        <f t="shared" ref="IK50" si="9">IK24+IK30+IK36+IK42+IK48</f>
        <v>19064</v>
      </c>
      <c r="IL50" s="2561"/>
      <c r="IM50" s="2561"/>
      <c r="IN50" s="2561"/>
      <c r="IO50" s="2561"/>
      <c r="IP50" s="2561"/>
      <c r="IQ50" s="2561"/>
      <c r="IR50" s="2561"/>
      <c r="IS50" s="2561"/>
      <c r="IT50" s="2561"/>
      <c r="IU50" s="2561"/>
      <c r="IV50" s="2561"/>
      <c r="IW50" s="2561"/>
      <c r="IX50" s="2561"/>
      <c r="IY50" s="2561"/>
      <c r="IZ50" s="2561"/>
      <c r="JA50" s="2561"/>
      <c r="JB50" s="2561"/>
      <c r="JC50" s="2561"/>
      <c r="JD50" s="2561"/>
      <c r="JE50" s="2561">
        <f>JE24+JE30+JE36+JE42+JE48</f>
        <v>0</v>
      </c>
      <c r="JF50" s="2561">
        <f>JF24+JF30+JF36+JF42+JF48</f>
        <v>422</v>
      </c>
      <c r="JG50" s="2561"/>
      <c r="JH50" s="2561">
        <v>2413</v>
      </c>
      <c r="JI50" s="2561"/>
      <c r="JJ50" s="2561"/>
      <c r="JK50" s="2561"/>
      <c r="JL50" s="2561"/>
      <c r="JM50" s="2561"/>
      <c r="JN50" s="2561"/>
      <c r="JO50" s="2561"/>
      <c r="JP50" s="2561">
        <v>17997</v>
      </c>
      <c r="JQ50" s="2561"/>
      <c r="JR50" s="351"/>
    </row>
    <row r="51" spans="1:278" x14ac:dyDescent="0.25">
      <c r="A51" s="1367">
        <v>51</v>
      </c>
      <c r="B51" s="1411" t="str">
        <f>IF(FOR_IND&gt;1,IF(HLOOKUP(FOR_IND-1,FOR_RANGE,A51)="","",HLOOKUP(FOR_IND-1,FOR_RANGE,A51)),"")</f>
        <v/>
      </c>
      <c r="C51" s="1644" t="s">
        <v>3933</v>
      </c>
      <c r="D51" s="1645" t="s">
        <v>3890</v>
      </c>
      <c r="E51" s="1641"/>
      <c r="F51" s="1641"/>
      <c r="G51" s="1641"/>
      <c r="H51" s="1641"/>
      <c r="I51" s="1641"/>
      <c r="J51" s="1641"/>
      <c r="K51" s="1641"/>
      <c r="L51" s="1641"/>
      <c r="M51" s="1641"/>
      <c r="N51" s="1641"/>
      <c r="O51" s="1641"/>
      <c r="P51" s="1641"/>
      <c r="Q51" s="1641"/>
      <c r="R51" s="1641"/>
      <c r="S51" s="1641"/>
      <c r="T51" s="1641"/>
      <c r="U51" s="1641"/>
      <c r="V51" s="1641"/>
      <c r="W51" s="1641"/>
      <c r="X51" s="1641"/>
      <c r="Y51" s="1641"/>
      <c r="Z51" s="1641"/>
      <c r="AA51" s="1641"/>
      <c r="AB51" s="1641"/>
      <c r="AC51" s="1641"/>
      <c r="AD51" s="1641"/>
      <c r="AE51" s="1641"/>
      <c r="AF51" s="1641"/>
      <c r="AG51" s="1641"/>
      <c r="AH51" s="1641"/>
      <c r="AI51" s="1641"/>
      <c r="AJ51" s="1641"/>
      <c r="AK51" s="1641"/>
      <c r="AL51" s="1641"/>
      <c r="AM51" s="1641"/>
      <c r="AN51" s="1641"/>
      <c r="AO51" s="1641"/>
      <c r="AP51" s="1641"/>
      <c r="AQ51" s="1641"/>
      <c r="AR51" s="1641"/>
      <c r="AS51" s="1641"/>
      <c r="AT51" s="1641"/>
      <c r="AU51" s="1641"/>
      <c r="AV51" s="1641"/>
      <c r="AW51" s="1641"/>
      <c r="AX51" s="1641"/>
      <c r="AY51" s="1641"/>
      <c r="AZ51" s="1641"/>
      <c r="BA51" s="1641"/>
      <c r="BB51" s="1641"/>
      <c r="BC51" s="1641"/>
      <c r="BD51" s="1641"/>
      <c r="BE51" s="1641"/>
      <c r="BF51" s="1641"/>
      <c r="BG51" s="1641"/>
      <c r="BH51" s="1641"/>
      <c r="BI51" s="1641"/>
      <c r="BJ51" s="1641"/>
      <c r="BK51" s="1641"/>
      <c r="BL51" s="1641"/>
      <c r="BM51" s="1641"/>
      <c r="BN51" s="1641"/>
      <c r="BO51" s="1641"/>
      <c r="BP51" s="1641"/>
      <c r="BQ51" s="1641"/>
      <c r="BR51" s="1641"/>
      <c r="BS51" s="1641"/>
      <c r="BT51" s="1641"/>
      <c r="BU51" s="1641"/>
      <c r="BV51" s="1641"/>
      <c r="BW51" s="1641"/>
      <c r="BX51" s="1641"/>
      <c r="BY51" s="1641"/>
      <c r="BZ51" s="1641"/>
      <c r="CA51" s="1641"/>
      <c r="CB51" s="1641"/>
      <c r="CC51" s="1641"/>
      <c r="CD51" s="1641"/>
      <c r="CE51" s="1641"/>
      <c r="CF51" s="1641"/>
      <c r="CG51" s="1641"/>
      <c r="CH51" s="1641"/>
      <c r="CI51" s="1641"/>
      <c r="CJ51" s="1641"/>
      <c r="CK51" s="1641"/>
      <c r="CL51" s="1641"/>
      <c r="CM51" s="1641"/>
      <c r="CN51" s="1641"/>
      <c r="CO51" s="1641"/>
      <c r="CP51" s="1641"/>
      <c r="CQ51" s="1641"/>
      <c r="CR51" s="1641"/>
      <c r="CS51" s="1641"/>
      <c r="CT51" s="1641"/>
      <c r="CU51" s="1641"/>
      <c r="CV51" s="1641"/>
      <c r="CW51" s="1641"/>
      <c r="CX51" s="1641"/>
      <c r="CY51" s="1641"/>
      <c r="CZ51" s="1641"/>
      <c r="DA51" s="1641"/>
      <c r="DB51" s="1641"/>
      <c r="DC51" s="1641"/>
      <c r="DD51" s="1641"/>
      <c r="DE51" s="1641"/>
      <c r="DF51" s="1641"/>
      <c r="DG51" s="1641"/>
      <c r="DH51" s="1641"/>
      <c r="DI51" s="1641"/>
      <c r="DJ51" s="1641"/>
      <c r="DK51" s="1641"/>
      <c r="DL51" s="1641"/>
      <c r="DM51" s="1641"/>
      <c r="DN51" s="1641"/>
      <c r="DO51" s="1641"/>
      <c r="DP51" s="1641"/>
      <c r="DQ51" s="1641"/>
      <c r="DR51" s="1641"/>
      <c r="DS51" s="1641"/>
      <c r="DT51" s="1641"/>
      <c r="DU51" s="1641"/>
      <c r="DV51" s="1641"/>
      <c r="DW51" s="1641"/>
      <c r="DX51" s="1641"/>
      <c r="DY51" s="1641"/>
      <c r="DZ51" s="1641"/>
      <c r="EA51" s="1641"/>
      <c r="EB51" s="1641"/>
      <c r="EC51" s="1641"/>
      <c r="ED51" s="1641"/>
      <c r="EE51" s="1641"/>
      <c r="EF51" s="1641"/>
      <c r="EG51" s="1641"/>
      <c r="EH51" s="1641"/>
      <c r="EI51" s="1641"/>
      <c r="EJ51" s="1641"/>
      <c r="EK51" s="1641"/>
      <c r="EL51" s="1641"/>
      <c r="EM51" s="1641"/>
      <c r="EN51" s="1641"/>
      <c r="EO51" s="1641"/>
      <c r="EP51" s="1641"/>
      <c r="EQ51" s="1641"/>
      <c r="ER51" s="1641"/>
      <c r="ES51" s="1641"/>
      <c r="ET51" s="1641"/>
      <c r="EU51" s="1641"/>
      <c r="EV51" s="1641"/>
      <c r="EW51" s="1641"/>
      <c r="EX51" s="1641"/>
      <c r="EY51" s="1641"/>
      <c r="EZ51" s="1641"/>
      <c r="FA51" s="1641"/>
      <c r="FB51" s="1641"/>
      <c r="FC51" s="1641"/>
      <c r="FD51" s="1641"/>
      <c r="FE51" s="1641"/>
      <c r="FF51" s="1641"/>
      <c r="FG51" s="1641"/>
      <c r="FH51" s="1641"/>
      <c r="FI51" s="1641"/>
      <c r="FJ51" s="1641"/>
      <c r="FK51" s="1641"/>
      <c r="FL51" s="1641"/>
      <c r="FM51" s="1641"/>
      <c r="FN51" s="1641"/>
      <c r="FO51" s="1641"/>
      <c r="FP51" s="1641"/>
      <c r="FQ51" s="1641"/>
      <c r="FR51" s="1641"/>
      <c r="FS51" s="1641"/>
      <c r="FT51" s="1641"/>
      <c r="FU51" s="1641"/>
      <c r="FV51" s="1641"/>
      <c r="FW51" s="1641"/>
      <c r="FX51" s="1641"/>
      <c r="FY51" s="1641"/>
      <c r="FZ51" s="1641"/>
      <c r="GA51" s="1641"/>
      <c r="GB51" s="1641"/>
      <c r="GC51" s="1641"/>
      <c r="GD51" s="1641"/>
      <c r="GE51" s="1641"/>
      <c r="GF51" s="1641"/>
      <c r="GG51" s="1641"/>
      <c r="GH51" s="1641"/>
      <c r="GI51" s="1641"/>
      <c r="GJ51" s="1641"/>
      <c r="GK51" s="1641"/>
      <c r="GL51" s="1641"/>
      <c r="GM51" s="1641"/>
      <c r="GN51" s="1641"/>
      <c r="GO51" s="1641"/>
      <c r="GP51" s="1641"/>
      <c r="GQ51" s="1641"/>
      <c r="GR51" s="1641"/>
      <c r="GS51" s="1641"/>
      <c r="GT51" s="1641"/>
      <c r="GU51" s="1641"/>
      <c r="GV51" s="1641"/>
      <c r="GW51" s="1641"/>
      <c r="GX51" s="1641"/>
      <c r="GY51" s="1641"/>
      <c r="GZ51" s="1641"/>
      <c r="HA51" s="1641"/>
      <c r="HB51" s="1641"/>
      <c r="HC51" s="1641"/>
      <c r="HD51" s="1641"/>
      <c r="HE51" s="1641"/>
      <c r="HF51" s="1641"/>
      <c r="HG51" s="1636">
        <v>425</v>
      </c>
      <c r="HH51" s="1641"/>
      <c r="HI51" s="1641"/>
      <c r="HJ51" s="1641"/>
      <c r="HK51" s="1641"/>
      <c r="HL51" s="1641"/>
      <c r="HM51" s="1641"/>
      <c r="HN51" s="1641"/>
      <c r="HO51" s="1641"/>
      <c r="HP51" s="1641"/>
      <c r="HQ51" s="1641"/>
      <c r="HR51" s="1641"/>
      <c r="HS51" s="1641"/>
      <c r="HT51" s="1641"/>
      <c r="HU51" s="1641"/>
      <c r="HV51" s="1641"/>
      <c r="HW51" s="1641"/>
      <c r="HX51" s="1641"/>
      <c r="HY51" s="1641"/>
      <c r="HZ51" s="1641"/>
      <c r="IA51" s="1641"/>
      <c r="IB51" s="1641"/>
      <c r="IC51" s="1641"/>
      <c r="ID51" s="1641"/>
      <c r="IE51" s="1641"/>
      <c r="IF51" s="1641"/>
      <c r="IG51" s="1641"/>
      <c r="IH51" s="1641"/>
      <c r="II51" s="1641"/>
      <c r="IJ51" s="1641"/>
      <c r="IK51" s="1636">
        <v>19064</v>
      </c>
      <c r="IL51" s="1641"/>
      <c r="IM51" s="1641"/>
      <c r="IN51" s="1641"/>
      <c r="IO51" s="1641"/>
      <c r="IP51" s="2563"/>
      <c r="IQ51" s="2563"/>
      <c r="IR51" s="2563"/>
      <c r="IS51" s="2563"/>
      <c r="IT51" s="2563"/>
      <c r="IU51" s="2563"/>
      <c r="IV51" s="2563"/>
      <c r="IW51" s="2563"/>
      <c r="IX51" s="1641"/>
      <c r="IY51" s="1641"/>
      <c r="IZ51" s="1641"/>
      <c r="JA51" s="1641"/>
      <c r="JB51" s="1641"/>
      <c r="JC51" s="1641"/>
      <c r="JD51" s="1641"/>
      <c r="JE51" s="1641"/>
      <c r="JF51" s="1641"/>
      <c r="JG51" s="1641"/>
      <c r="JH51" s="2563"/>
      <c r="JI51" s="2563"/>
      <c r="JJ51" s="2563"/>
      <c r="JK51" s="2563"/>
      <c r="JL51" s="2563"/>
      <c r="JM51" s="2563"/>
      <c r="JN51" s="2563"/>
      <c r="JO51" s="2563"/>
      <c r="JP51" s="2563"/>
      <c r="JQ51" s="1643"/>
      <c r="JR51" s="351"/>
    </row>
    <row r="52" spans="1:278" x14ac:dyDescent="0.25">
      <c r="A52" s="1367">
        <v>52</v>
      </c>
      <c r="B52" s="1411" t="str">
        <f t="shared" si="0"/>
        <v/>
      </c>
      <c r="C52" s="1435" t="s">
        <v>3934</v>
      </c>
      <c r="D52" s="1361" t="s">
        <v>3851</v>
      </c>
      <c r="E52" s="1641"/>
      <c r="F52" s="1641"/>
      <c r="G52" s="1641"/>
      <c r="H52" s="1641"/>
      <c r="I52" s="1641"/>
      <c r="J52" s="1641"/>
      <c r="K52" s="1641"/>
      <c r="L52" s="1641"/>
      <c r="M52" s="1641"/>
      <c r="N52" s="1641"/>
      <c r="O52" s="1641"/>
      <c r="P52" s="1641"/>
      <c r="Q52" s="1641"/>
      <c r="R52" s="1641"/>
      <c r="S52" s="1641"/>
      <c r="T52" s="1641"/>
      <c r="U52" s="1641"/>
      <c r="V52" s="1641"/>
      <c r="W52" s="1641"/>
      <c r="X52" s="1641"/>
      <c r="Y52" s="1641"/>
      <c r="Z52" s="1641"/>
      <c r="AA52" s="1641"/>
      <c r="AB52" s="1641"/>
      <c r="AC52" s="1641"/>
      <c r="AD52" s="1641"/>
      <c r="AE52" s="1641"/>
      <c r="AF52" s="1641"/>
      <c r="AG52" s="1641"/>
      <c r="AH52" s="1641"/>
      <c r="AI52" s="1641"/>
      <c r="AJ52" s="1641"/>
      <c r="AK52" s="1641"/>
      <c r="AL52" s="1641"/>
      <c r="AM52" s="1641"/>
      <c r="AN52" s="1641"/>
      <c r="AO52" s="1641"/>
      <c r="AP52" s="1639"/>
      <c r="AQ52" s="1641"/>
      <c r="AR52" s="1641"/>
      <c r="AS52" s="1641"/>
      <c r="AT52" s="1641"/>
      <c r="AU52" s="1641"/>
      <c r="AV52" s="1641"/>
      <c r="AW52" s="1641"/>
      <c r="AX52" s="1641"/>
      <c r="AY52" s="1641"/>
      <c r="AZ52" s="1641"/>
      <c r="BA52" s="1641"/>
      <c r="BB52" s="1641"/>
      <c r="BC52" s="1641"/>
      <c r="BD52" s="1641"/>
      <c r="BE52" s="1641"/>
      <c r="BF52" s="1641"/>
      <c r="BG52" s="1641"/>
      <c r="BH52" s="1641"/>
      <c r="BI52" s="1641"/>
      <c r="BJ52" s="1641"/>
      <c r="BK52" s="1641"/>
      <c r="BL52" s="1641"/>
      <c r="BM52" s="1641"/>
      <c r="BN52" s="1641"/>
      <c r="BO52" s="1641"/>
      <c r="BP52" s="1641"/>
      <c r="BQ52" s="1641"/>
      <c r="BR52" s="1641"/>
      <c r="BS52" s="1641"/>
      <c r="BT52" s="1641"/>
      <c r="BU52" s="1641"/>
      <c r="BV52" s="1641"/>
      <c r="BW52" s="1641"/>
      <c r="BX52" s="1641"/>
      <c r="BY52" s="1641"/>
      <c r="BZ52" s="1641"/>
      <c r="CA52" s="1641"/>
      <c r="CB52" s="1641"/>
      <c r="CC52" s="1641"/>
      <c r="CD52" s="1641"/>
      <c r="CE52" s="1641"/>
      <c r="CF52" s="1641"/>
      <c r="CG52" s="1641"/>
      <c r="CH52" s="1641"/>
      <c r="CI52" s="1641"/>
      <c r="CJ52" s="1641"/>
      <c r="CK52" s="1641"/>
      <c r="CL52" s="1641"/>
      <c r="CM52" s="1641"/>
      <c r="CN52" s="1641"/>
      <c r="CO52" s="1641"/>
      <c r="CP52" s="1641"/>
      <c r="CQ52" s="1641"/>
      <c r="CR52" s="1641"/>
      <c r="CS52" s="1641"/>
      <c r="CT52" s="1641"/>
      <c r="CU52" s="1641"/>
      <c r="CV52" s="1641"/>
      <c r="CW52" s="1641"/>
      <c r="CX52" s="1641"/>
      <c r="CY52" s="1641"/>
      <c r="CZ52" s="1641"/>
      <c r="DA52" s="1641"/>
      <c r="DB52" s="1641"/>
      <c r="DC52" s="1641"/>
      <c r="DD52" s="1641"/>
      <c r="DE52" s="1641"/>
      <c r="DF52" s="1641"/>
      <c r="DG52" s="1641"/>
      <c r="DH52" s="1641"/>
      <c r="DI52" s="1641"/>
      <c r="DJ52" s="1641"/>
      <c r="DK52" s="1641"/>
      <c r="DL52" s="1641"/>
      <c r="DM52" s="1641"/>
      <c r="DN52" s="1641"/>
      <c r="DO52" s="1641"/>
      <c r="DP52" s="1641"/>
      <c r="DQ52" s="1641"/>
      <c r="DR52" s="1641"/>
      <c r="DS52" s="1641"/>
      <c r="DT52" s="1641"/>
      <c r="DU52" s="1641"/>
      <c r="DV52" s="1641"/>
      <c r="DW52" s="1641"/>
      <c r="DX52" s="1641"/>
      <c r="DY52" s="1641"/>
      <c r="DZ52" s="1641"/>
      <c r="EA52" s="1641"/>
      <c r="EB52" s="1641"/>
      <c r="EC52" s="1641"/>
      <c r="ED52" s="1641"/>
      <c r="EE52" s="1641"/>
      <c r="EF52" s="1641"/>
      <c r="EG52" s="1639" t="s">
        <v>3853</v>
      </c>
      <c r="EH52" s="1641"/>
      <c r="EI52" s="1641"/>
      <c r="EJ52" s="1641"/>
      <c r="EK52" s="1641"/>
      <c r="EL52" s="1641"/>
      <c r="EM52" s="1641"/>
      <c r="EN52" s="1641"/>
      <c r="EO52" s="1641"/>
      <c r="EP52" s="1641"/>
      <c r="EQ52" s="1641"/>
      <c r="ER52" s="1641"/>
      <c r="ES52" s="1641"/>
      <c r="ET52" s="1641"/>
      <c r="EU52" s="1641"/>
      <c r="EV52" s="1641"/>
      <c r="EW52" s="1641"/>
      <c r="EX52" s="1641"/>
      <c r="EY52" s="1641"/>
      <c r="EZ52" s="1641"/>
      <c r="FA52" s="1641"/>
      <c r="FB52" s="1641"/>
      <c r="FC52" s="1641"/>
      <c r="FD52" s="1641"/>
      <c r="FE52" s="1641"/>
      <c r="FF52" s="1641"/>
      <c r="FG52" s="1641"/>
      <c r="FH52" s="1641"/>
      <c r="FI52" s="1641"/>
      <c r="FJ52" s="1641"/>
      <c r="FK52" s="1641"/>
      <c r="FL52" s="1641"/>
      <c r="FM52" s="1641"/>
      <c r="FN52" s="1641"/>
      <c r="FO52" s="1641"/>
      <c r="FP52" s="1641"/>
      <c r="FQ52" s="1641"/>
      <c r="FR52" s="1641"/>
      <c r="FS52" s="1641"/>
      <c r="FT52" s="1641"/>
      <c r="FU52" s="1641"/>
      <c r="FV52" s="1641"/>
      <c r="FW52" s="1641"/>
      <c r="FX52" s="1641"/>
      <c r="FY52" s="1641"/>
      <c r="FZ52" s="1641"/>
      <c r="GA52" s="1641"/>
      <c r="GB52" s="1641"/>
      <c r="GC52" s="1641"/>
      <c r="GD52" s="1641"/>
      <c r="GE52" s="1641"/>
      <c r="GF52" s="1641"/>
      <c r="GG52" s="1641"/>
      <c r="GH52" s="1641"/>
      <c r="GI52" s="1641"/>
      <c r="GJ52" s="1641"/>
      <c r="GK52" s="1641"/>
      <c r="GL52" s="1641"/>
      <c r="GM52" s="1641"/>
      <c r="GN52" s="1641"/>
      <c r="GO52" s="1641"/>
      <c r="GP52" s="1641"/>
      <c r="GQ52" s="1641"/>
      <c r="GR52" s="1641"/>
      <c r="GS52" s="1641"/>
      <c r="GT52" s="1641"/>
      <c r="GU52" s="1641"/>
      <c r="GV52" s="1641"/>
      <c r="GW52" s="1641"/>
      <c r="GX52" s="1641"/>
      <c r="GY52" s="1641"/>
      <c r="GZ52" s="1641"/>
      <c r="HA52" s="1641"/>
      <c r="HB52" s="1641"/>
      <c r="HC52" s="1641"/>
      <c r="HD52" s="1641"/>
      <c r="HE52" s="1641"/>
      <c r="HF52" s="1641"/>
      <c r="HG52" s="1641"/>
      <c r="HH52" s="1641"/>
      <c r="HI52" s="1641"/>
      <c r="HJ52" s="1641"/>
      <c r="HK52" s="1641"/>
      <c r="HL52" s="1641"/>
      <c r="HM52" s="1641"/>
      <c r="HN52" s="1641"/>
      <c r="HO52" s="1641"/>
      <c r="HP52" s="1641"/>
      <c r="HQ52" s="1641"/>
      <c r="HR52" s="1641"/>
      <c r="HS52" s="1641"/>
      <c r="HT52" s="1641"/>
      <c r="HU52" s="1641"/>
      <c r="HV52" s="1641"/>
      <c r="HW52" s="1641"/>
      <c r="HX52" s="1641"/>
      <c r="HY52" s="1641"/>
      <c r="HZ52" s="1641"/>
      <c r="IA52" s="1641"/>
      <c r="IB52" s="1641"/>
      <c r="IC52" s="1641"/>
      <c r="ID52" s="1641"/>
      <c r="IE52" s="1641"/>
      <c r="IF52" s="1641"/>
      <c r="IG52" s="1641"/>
      <c r="IH52" s="1641"/>
      <c r="II52" s="1641"/>
      <c r="IJ52" s="1641"/>
      <c r="IK52" s="1641"/>
      <c r="IL52" s="1641"/>
      <c r="IM52" s="1641"/>
      <c r="IN52" s="1641"/>
      <c r="IO52" s="1641"/>
      <c r="IP52" s="1642"/>
      <c r="IQ52" s="1642"/>
      <c r="IR52" s="1642"/>
      <c r="IS52" s="1642"/>
      <c r="IT52" s="1642"/>
      <c r="IU52" s="1642"/>
      <c r="IV52" s="1642"/>
      <c r="IW52" s="1642"/>
      <c r="IX52" s="1641"/>
      <c r="IY52" s="1641"/>
      <c r="IZ52" s="1641"/>
      <c r="JA52" s="1641"/>
      <c r="JB52" s="1641"/>
      <c r="JC52" s="1641"/>
      <c r="JD52" s="1641"/>
      <c r="JE52" s="1639" t="s">
        <v>3853</v>
      </c>
      <c r="JF52" s="1641"/>
      <c r="JG52" s="1641"/>
      <c r="JH52" s="1642"/>
      <c r="JI52" s="1642"/>
      <c r="JJ52" s="1642"/>
      <c r="JK52" s="1642"/>
      <c r="JL52" s="1642"/>
      <c r="JM52" s="1642"/>
      <c r="JN52" s="1642"/>
      <c r="JO52" s="1642"/>
      <c r="JP52" s="1642"/>
      <c r="JQ52" s="1643"/>
      <c r="JR52" s="351"/>
    </row>
    <row r="53" spans="1:278" x14ac:dyDescent="0.25">
      <c r="A53" s="1367">
        <v>53</v>
      </c>
      <c r="B53" s="1411" t="str">
        <f t="shared" si="0"/>
        <v/>
      </c>
      <c r="C53" s="1435" t="s">
        <v>3935</v>
      </c>
      <c r="D53" s="1361" t="s">
        <v>3867</v>
      </c>
      <c r="E53" s="1641"/>
      <c r="F53" s="1641"/>
      <c r="G53" s="1641"/>
      <c r="H53" s="1641"/>
      <c r="I53" s="1641"/>
      <c r="J53" s="1641"/>
      <c r="K53" s="1641"/>
      <c r="L53" s="1641"/>
      <c r="M53" s="1641"/>
      <c r="N53" s="1641"/>
      <c r="O53" s="1641"/>
      <c r="P53" s="1641"/>
      <c r="Q53" s="1641"/>
      <c r="R53" s="1641"/>
      <c r="S53" s="1641"/>
      <c r="T53" s="1641"/>
      <c r="U53" s="1641"/>
      <c r="V53" s="1641"/>
      <c r="W53" s="1641"/>
      <c r="X53" s="1641"/>
      <c r="Y53" s="1641"/>
      <c r="Z53" s="1641"/>
      <c r="AA53" s="1641"/>
      <c r="AB53" s="1641"/>
      <c r="AC53" s="1641"/>
      <c r="AD53" s="1641"/>
      <c r="AE53" s="1641"/>
      <c r="AF53" s="1641"/>
      <c r="AG53" s="1641"/>
      <c r="AH53" s="1641"/>
      <c r="AI53" s="1641"/>
      <c r="AJ53" s="1641"/>
      <c r="AK53" s="1641"/>
      <c r="AL53" s="1641"/>
      <c r="AM53" s="1641"/>
      <c r="AN53" s="1641"/>
      <c r="AO53" s="1641"/>
      <c r="AP53" s="1641"/>
      <c r="AQ53" s="1641"/>
      <c r="AR53" s="1641"/>
      <c r="AS53" s="1641"/>
      <c r="AT53" s="1641"/>
      <c r="AU53" s="1641"/>
      <c r="AV53" s="1641"/>
      <c r="AW53" s="1641"/>
      <c r="AX53" s="1641"/>
      <c r="AY53" s="1641"/>
      <c r="AZ53" s="1641"/>
      <c r="BA53" s="1641"/>
      <c r="BB53" s="1641"/>
      <c r="BC53" s="1641"/>
      <c r="BD53" s="1641"/>
      <c r="BE53" s="1641"/>
      <c r="BF53" s="1641"/>
      <c r="BG53" s="1641"/>
      <c r="BH53" s="1641"/>
      <c r="BI53" s="1641"/>
      <c r="BJ53" s="1641"/>
      <c r="BK53" s="1641"/>
      <c r="BL53" s="1641"/>
      <c r="BM53" s="1641"/>
      <c r="BN53" s="1641"/>
      <c r="BO53" s="1641"/>
      <c r="BP53" s="1641"/>
      <c r="BQ53" s="1641"/>
      <c r="BR53" s="1641"/>
      <c r="BS53" s="1641"/>
      <c r="BT53" s="1641"/>
      <c r="BU53" s="1641"/>
      <c r="BV53" s="1641"/>
      <c r="BW53" s="1641"/>
      <c r="BX53" s="1641"/>
      <c r="BY53" s="1641"/>
      <c r="BZ53" s="1641"/>
      <c r="CA53" s="1641"/>
      <c r="CB53" s="1641"/>
      <c r="CC53" s="1641"/>
      <c r="CD53" s="1641"/>
      <c r="CE53" s="1641"/>
      <c r="CF53" s="1641"/>
      <c r="CG53" s="1641"/>
      <c r="CH53" s="1641"/>
      <c r="CI53" s="1641"/>
      <c r="CJ53" s="1641"/>
      <c r="CK53" s="1641"/>
      <c r="CL53" s="1641"/>
      <c r="CM53" s="1641"/>
      <c r="CN53" s="1641"/>
      <c r="CO53" s="1641"/>
      <c r="CP53" s="1641"/>
      <c r="CQ53" s="1641"/>
      <c r="CR53" s="1641"/>
      <c r="CS53" s="1641"/>
      <c r="CT53" s="1641"/>
      <c r="CU53" s="1641"/>
      <c r="CV53" s="1641"/>
      <c r="CW53" s="1641"/>
      <c r="CX53" s="1641"/>
      <c r="CY53" s="1641"/>
      <c r="CZ53" s="1641"/>
      <c r="DA53" s="1641"/>
      <c r="DB53" s="1641"/>
      <c r="DC53" s="1641"/>
      <c r="DD53" s="1641"/>
      <c r="DE53" s="1641"/>
      <c r="DF53" s="1641"/>
      <c r="DG53" s="1641"/>
      <c r="DH53" s="1641"/>
      <c r="DI53" s="1641"/>
      <c r="DJ53" s="1641"/>
      <c r="DK53" s="1641"/>
      <c r="DL53" s="1641"/>
      <c r="DM53" s="1641"/>
      <c r="DN53" s="1641"/>
      <c r="DO53" s="1641"/>
      <c r="DP53" s="1641"/>
      <c r="DQ53" s="1641"/>
      <c r="DR53" s="1641"/>
      <c r="DS53" s="1641"/>
      <c r="DT53" s="1641"/>
      <c r="DU53" s="1641"/>
      <c r="DV53" s="1641"/>
      <c r="DW53" s="1641"/>
      <c r="DX53" s="1641"/>
      <c r="DY53" s="1641"/>
      <c r="DZ53" s="1641"/>
      <c r="EA53" s="1641"/>
      <c r="EB53" s="1641"/>
      <c r="EC53" s="1641"/>
      <c r="ED53" s="1641"/>
      <c r="EE53" s="1641"/>
      <c r="EF53" s="1641"/>
      <c r="EG53" s="1641">
        <v>3562</v>
      </c>
      <c r="EH53" s="1641"/>
      <c r="EI53" s="1641"/>
      <c r="EJ53" s="1641"/>
      <c r="EK53" s="1641"/>
      <c r="EL53" s="1641"/>
      <c r="EM53" s="1641"/>
      <c r="EN53" s="1641"/>
      <c r="EO53" s="1641"/>
      <c r="EP53" s="1641"/>
      <c r="EQ53" s="1641"/>
      <c r="ER53" s="1641"/>
      <c r="ES53" s="1641"/>
      <c r="ET53" s="1641"/>
      <c r="EU53" s="1641"/>
      <c r="EV53" s="1641"/>
      <c r="EW53" s="1641"/>
      <c r="EX53" s="1641"/>
      <c r="EY53" s="1641"/>
      <c r="EZ53" s="1641"/>
      <c r="FA53" s="1641"/>
      <c r="FB53" s="1641"/>
      <c r="FC53" s="1641"/>
      <c r="FD53" s="1641"/>
      <c r="FE53" s="1641"/>
      <c r="FF53" s="1641"/>
      <c r="FG53" s="1641"/>
      <c r="FH53" s="1641"/>
      <c r="FI53" s="1641"/>
      <c r="FJ53" s="1641"/>
      <c r="FK53" s="1641"/>
      <c r="FL53" s="1641"/>
      <c r="FM53" s="1641"/>
      <c r="FN53" s="1641"/>
      <c r="FO53" s="1641"/>
      <c r="FP53" s="1641"/>
      <c r="FQ53" s="1641"/>
      <c r="FR53" s="1641"/>
      <c r="FS53" s="1641"/>
      <c r="FT53" s="1641"/>
      <c r="FU53" s="1641"/>
      <c r="FV53" s="1641"/>
      <c r="FW53" s="1641"/>
      <c r="FX53" s="1641"/>
      <c r="FY53" s="1641"/>
      <c r="FZ53" s="1641"/>
      <c r="GA53" s="1641"/>
      <c r="GB53" s="1641"/>
      <c r="GC53" s="1641"/>
      <c r="GD53" s="1641"/>
      <c r="GE53" s="1641"/>
      <c r="GF53" s="1641"/>
      <c r="GG53" s="1641"/>
      <c r="GH53" s="1641"/>
      <c r="GI53" s="1641"/>
      <c r="GJ53" s="1641"/>
      <c r="GK53" s="1641"/>
      <c r="GL53" s="1641"/>
      <c r="GM53" s="1641"/>
      <c r="GN53" s="1641"/>
      <c r="GO53" s="1641"/>
      <c r="GP53" s="1641"/>
      <c r="GQ53" s="1641"/>
      <c r="GR53" s="1641"/>
      <c r="GS53" s="1641"/>
      <c r="GT53" s="1641"/>
      <c r="GU53" s="1641"/>
      <c r="GV53" s="1641"/>
      <c r="GW53" s="1641"/>
      <c r="GX53" s="1641"/>
      <c r="GY53" s="1641"/>
      <c r="GZ53" s="1641"/>
      <c r="HA53" s="1641"/>
      <c r="HB53" s="1641"/>
      <c r="HC53" s="1641"/>
      <c r="HD53" s="1641"/>
      <c r="HE53" s="1641"/>
      <c r="HF53" s="1641"/>
      <c r="HG53" s="1641"/>
      <c r="HH53" s="1641"/>
      <c r="HI53" s="1641"/>
      <c r="HJ53" s="1641"/>
      <c r="HK53" s="1641"/>
      <c r="HL53" s="1641"/>
      <c r="HM53" s="1641"/>
      <c r="HN53" s="1641"/>
      <c r="HO53" s="1641"/>
      <c r="HP53" s="1641"/>
      <c r="HQ53" s="1641"/>
      <c r="HR53" s="1641"/>
      <c r="HS53" s="1641"/>
      <c r="HT53" s="1641"/>
      <c r="HU53" s="1641"/>
      <c r="HV53" s="1641"/>
      <c r="HW53" s="1641"/>
      <c r="HX53" s="1641"/>
      <c r="HY53" s="1641"/>
      <c r="HZ53" s="1641"/>
      <c r="IA53" s="1641"/>
      <c r="IB53" s="1641"/>
      <c r="IC53" s="1641"/>
      <c r="ID53" s="1641"/>
      <c r="IE53" s="1641"/>
      <c r="IF53" s="1641"/>
      <c r="IG53" s="1641"/>
      <c r="IH53" s="1641"/>
      <c r="II53" s="1641"/>
      <c r="IJ53" s="1641"/>
      <c r="IK53" s="1641"/>
      <c r="IL53" s="1641"/>
      <c r="IM53" s="1641"/>
      <c r="IN53" s="1641"/>
      <c r="IO53" s="1641"/>
      <c r="IP53" s="1642"/>
      <c r="IQ53" s="1642"/>
      <c r="IR53" s="1642"/>
      <c r="IS53" s="1642"/>
      <c r="IT53" s="1642"/>
      <c r="IU53" s="1642"/>
      <c r="IV53" s="1642"/>
      <c r="IW53" s="1642"/>
      <c r="IX53" s="1641"/>
      <c r="IY53" s="1641"/>
      <c r="IZ53" s="1641"/>
      <c r="JA53" s="1641"/>
      <c r="JB53" s="1641"/>
      <c r="JC53" s="1641"/>
      <c r="JD53" s="1641"/>
      <c r="JE53" s="1641">
        <v>3562</v>
      </c>
      <c r="JF53" s="1641"/>
      <c r="JG53" s="1641"/>
      <c r="JH53" s="1642"/>
      <c r="JI53" s="1642"/>
      <c r="JJ53" s="1642"/>
      <c r="JK53" s="1642"/>
      <c r="JL53" s="1642"/>
      <c r="JM53" s="1642"/>
      <c r="JN53" s="1642"/>
      <c r="JO53" s="1642"/>
      <c r="JP53" s="1642"/>
      <c r="JQ53" s="1643"/>
      <c r="JR53" s="351"/>
    </row>
    <row r="54" spans="1:278" x14ac:dyDescent="0.25">
      <c r="A54" s="1367">
        <v>54</v>
      </c>
      <c r="B54" s="1411" t="str">
        <f t="shared" si="0"/>
        <v/>
      </c>
      <c r="C54" s="1435" t="s">
        <v>3936</v>
      </c>
      <c r="D54" s="1361" t="s">
        <v>3869</v>
      </c>
      <c r="E54" s="1641"/>
      <c r="F54" s="1641"/>
      <c r="G54" s="1641"/>
      <c r="H54" s="1641"/>
      <c r="I54" s="1641"/>
      <c r="J54" s="1641"/>
      <c r="K54" s="1641"/>
      <c r="L54" s="1641"/>
      <c r="M54" s="1641"/>
      <c r="N54" s="1641"/>
      <c r="O54" s="1641"/>
      <c r="P54" s="1641"/>
      <c r="Q54" s="1641"/>
      <c r="R54" s="1641"/>
      <c r="S54" s="1641"/>
      <c r="T54" s="1641"/>
      <c r="U54" s="1641"/>
      <c r="V54" s="1641"/>
      <c r="W54" s="1641"/>
      <c r="X54" s="1641"/>
      <c r="Y54" s="1641"/>
      <c r="Z54" s="1641"/>
      <c r="AA54" s="1641"/>
      <c r="AB54" s="1641"/>
      <c r="AC54" s="1641"/>
      <c r="AD54" s="1641"/>
      <c r="AE54" s="1641"/>
      <c r="AF54" s="1641"/>
      <c r="AG54" s="1641"/>
      <c r="AH54" s="1641"/>
      <c r="AI54" s="1641"/>
      <c r="AJ54" s="1641"/>
      <c r="AK54" s="1641"/>
      <c r="AL54" s="1641"/>
      <c r="AM54" s="1641"/>
      <c r="AN54" s="1641"/>
      <c r="AO54" s="1641"/>
      <c r="AP54" s="1641"/>
      <c r="AQ54" s="1641"/>
      <c r="AR54" s="1641"/>
      <c r="AS54" s="1641"/>
      <c r="AT54" s="1641"/>
      <c r="AU54" s="1641"/>
      <c r="AV54" s="1641"/>
      <c r="AW54" s="1641"/>
      <c r="AX54" s="1641"/>
      <c r="AY54" s="1641"/>
      <c r="AZ54" s="1641"/>
      <c r="BA54" s="1641"/>
      <c r="BB54" s="1641"/>
      <c r="BC54" s="1641"/>
      <c r="BD54" s="1641"/>
      <c r="BE54" s="1641"/>
      <c r="BF54" s="1641"/>
      <c r="BG54" s="1641"/>
      <c r="BH54" s="1641"/>
      <c r="BI54" s="1641"/>
      <c r="BJ54" s="1641"/>
      <c r="BK54" s="1641"/>
      <c r="BL54" s="1641"/>
      <c r="BM54" s="1641"/>
      <c r="BN54" s="1641"/>
      <c r="BO54" s="1641"/>
      <c r="BP54" s="1641"/>
      <c r="BQ54" s="1641"/>
      <c r="BR54" s="1641"/>
      <c r="BS54" s="1641"/>
      <c r="BT54" s="1641"/>
      <c r="BU54" s="1641"/>
      <c r="BV54" s="1641"/>
      <c r="BW54" s="1641"/>
      <c r="BX54" s="1641"/>
      <c r="BY54" s="1641"/>
      <c r="BZ54" s="1641"/>
      <c r="CA54" s="1641"/>
      <c r="CB54" s="1641"/>
      <c r="CC54" s="1641"/>
      <c r="CD54" s="1641"/>
      <c r="CE54" s="1641"/>
      <c r="CF54" s="1641"/>
      <c r="CG54" s="1641"/>
      <c r="CH54" s="1641"/>
      <c r="CI54" s="1641"/>
      <c r="CJ54" s="1641"/>
      <c r="CK54" s="1641"/>
      <c r="CL54" s="1641"/>
      <c r="CM54" s="1641"/>
      <c r="CN54" s="1641"/>
      <c r="CO54" s="1641"/>
      <c r="CP54" s="1641"/>
      <c r="CQ54" s="1641"/>
      <c r="CR54" s="1641"/>
      <c r="CS54" s="1641"/>
      <c r="CT54" s="1641"/>
      <c r="CU54" s="1641"/>
      <c r="CV54" s="1641"/>
      <c r="CW54" s="1641"/>
      <c r="CX54" s="1641"/>
      <c r="CY54" s="1641"/>
      <c r="CZ54" s="1641"/>
      <c r="DA54" s="1641"/>
      <c r="DB54" s="1641"/>
      <c r="DC54" s="1641"/>
      <c r="DD54" s="1641"/>
      <c r="DE54" s="1641"/>
      <c r="DF54" s="1641"/>
      <c r="DG54" s="1641"/>
      <c r="DH54" s="1641"/>
      <c r="DI54" s="1641"/>
      <c r="DJ54" s="1641"/>
      <c r="DK54" s="1641"/>
      <c r="DL54" s="1641"/>
      <c r="DM54" s="1641"/>
      <c r="DN54" s="1641"/>
      <c r="DO54" s="1641"/>
      <c r="DP54" s="1641"/>
      <c r="DQ54" s="1641"/>
      <c r="DR54" s="1641"/>
      <c r="DS54" s="1641"/>
      <c r="DT54" s="1641"/>
      <c r="DU54" s="1641"/>
      <c r="DV54" s="1641"/>
      <c r="DW54" s="1641"/>
      <c r="DX54" s="1641"/>
      <c r="DY54" s="1641"/>
      <c r="DZ54" s="1641"/>
      <c r="EA54" s="1641"/>
      <c r="EB54" s="1641"/>
      <c r="EC54" s="1641"/>
      <c r="ED54" s="1641"/>
      <c r="EE54" s="1641"/>
      <c r="EF54" s="1641"/>
      <c r="EG54" s="1641">
        <v>356</v>
      </c>
      <c r="EH54" s="1641"/>
      <c r="EI54" s="1641"/>
      <c r="EJ54" s="1641"/>
      <c r="EK54" s="1641"/>
      <c r="EL54" s="1641"/>
      <c r="EM54" s="1641"/>
      <c r="EN54" s="1641"/>
      <c r="EO54" s="1641"/>
      <c r="EP54" s="1641"/>
      <c r="EQ54" s="1641"/>
      <c r="ER54" s="1641"/>
      <c r="ES54" s="1641"/>
      <c r="ET54" s="1641"/>
      <c r="EU54" s="1641"/>
      <c r="EV54" s="1641"/>
      <c r="EW54" s="1641"/>
      <c r="EX54" s="1641"/>
      <c r="EY54" s="1641"/>
      <c r="EZ54" s="1641"/>
      <c r="FA54" s="1641"/>
      <c r="FB54" s="1641"/>
      <c r="FC54" s="1641"/>
      <c r="FD54" s="1641"/>
      <c r="FE54" s="1641"/>
      <c r="FF54" s="1641"/>
      <c r="FG54" s="1641"/>
      <c r="FH54" s="1641"/>
      <c r="FI54" s="1641"/>
      <c r="FJ54" s="1641"/>
      <c r="FK54" s="1641"/>
      <c r="FL54" s="1641"/>
      <c r="FM54" s="1641"/>
      <c r="FN54" s="1641"/>
      <c r="FO54" s="1641"/>
      <c r="FP54" s="1641"/>
      <c r="FQ54" s="1641"/>
      <c r="FR54" s="1641"/>
      <c r="FS54" s="1641"/>
      <c r="FT54" s="1641"/>
      <c r="FU54" s="1641"/>
      <c r="FV54" s="1641"/>
      <c r="FW54" s="1641"/>
      <c r="FX54" s="1641"/>
      <c r="FY54" s="1641"/>
      <c r="FZ54" s="1641"/>
      <c r="GA54" s="1641"/>
      <c r="GB54" s="1641"/>
      <c r="GC54" s="1641"/>
      <c r="GD54" s="1641"/>
      <c r="GE54" s="1641"/>
      <c r="GF54" s="1641"/>
      <c r="GG54" s="1641"/>
      <c r="GH54" s="1641"/>
      <c r="GI54" s="1641"/>
      <c r="GJ54" s="1641"/>
      <c r="GK54" s="1641"/>
      <c r="GL54" s="1641"/>
      <c r="GM54" s="1641"/>
      <c r="GN54" s="1641"/>
      <c r="GO54" s="1641"/>
      <c r="GP54" s="1641"/>
      <c r="GQ54" s="1641"/>
      <c r="GR54" s="1641"/>
      <c r="GS54" s="1641"/>
      <c r="GT54" s="1641"/>
      <c r="GU54" s="1641"/>
      <c r="GV54" s="1641"/>
      <c r="GW54" s="1641"/>
      <c r="GX54" s="1641"/>
      <c r="GY54" s="1641"/>
      <c r="GZ54" s="1641"/>
      <c r="HA54" s="1641"/>
      <c r="HB54" s="1641"/>
      <c r="HC54" s="1641"/>
      <c r="HD54" s="1641"/>
      <c r="HE54" s="1641"/>
      <c r="HF54" s="1641"/>
      <c r="HG54" s="1641"/>
      <c r="HH54" s="1641"/>
      <c r="HI54" s="1641"/>
      <c r="HJ54" s="1641"/>
      <c r="HK54" s="1641"/>
      <c r="HL54" s="1641"/>
      <c r="HM54" s="1641"/>
      <c r="HN54" s="1641"/>
      <c r="HO54" s="1641"/>
      <c r="HP54" s="1641"/>
      <c r="HQ54" s="1641"/>
      <c r="HR54" s="1641"/>
      <c r="HS54" s="1641"/>
      <c r="HT54" s="1641"/>
      <c r="HU54" s="1641"/>
      <c r="HV54" s="1641"/>
      <c r="HW54" s="1641"/>
      <c r="HX54" s="1641"/>
      <c r="HY54" s="1641"/>
      <c r="HZ54" s="1641"/>
      <c r="IA54" s="1641"/>
      <c r="IB54" s="1641"/>
      <c r="IC54" s="1641"/>
      <c r="ID54" s="1641"/>
      <c r="IE54" s="1641"/>
      <c r="IF54" s="1641"/>
      <c r="IG54" s="1641"/>
      <c r="IH54" s="1641"/>
      <c r="II54" s="1641"/>
      <c r="IJ54" s="1641"/>
      <c r="IK54" s="1641"/>
      <c r="IL54" s="1641"/>
      <c r="IM54" s="1641"/>
      <c r="IN54" s="1641"/>
      <c r="IO54" s="1641"/>
      <c r="IP54" s="1642"/>
      <c r="IQ54" s="1642"/>
      <c r="IR54" s="1642"/>
      <c r="IS54" s="1642"/>
      <c r="IT54" s="1642"/>
      <c r="IU54" s="1642"/>
      <c r="IV54" s="1642"/>
      <c r="IW54" s="1642"/>
      <c r="IX54" s="1641"/>
      <c r="IY54" s="1641"/>
      <c r="IZ54" s="1641"/>
      <c r="JA54" s="1641"/>
      <c r="JB54" s="1641"/>
      <c r="JC54" s="1641"/>
      <c r="JD54" s="1641"/>
      <c r="JE54" s="1641">
        <v>356</v>
      </c>
      <c r="JF54" s="1641"/>
      <c r="JG54" s="1641"/>
      <c r="JH54" s="1642"/>
      <c r="JI54" s="1642"/>
      <c r="JJ54" s="1642"/>
      <c r="JK54" s="1642"/>
      <c r="JL54" s="1642"/>
      <c r="JM54" s="1642"/>
      <c r="JN54" s="1642"/>
      <c r="JO54" s="1642"/>
      <c r="JP54" s="1642"/>
      <c r="JQ54" s="1643"/>
      <c r="JR54" s="351"/>
    </row>
    <row r="55" spans="1:278" x14ac:dyDescent="0.25">
      <c r="A55" s="1367">
        <v>55</v>
      </c>
      <c r="B55" s="1411" t="str">
        <f t="shared" si="0"/>
        <v/>
      </c>
      <c r="C55" s="1435" t="s">
        <v>3937</v>
      </c>
      <c r="D55" s="1361" t="s">
        <v>3871</v>
      </c>
      <c r="E55" s="1641"/>
      <c r="F55" s="1641"/>
      <c r="G55" s="1641"/>
      <c r="H55" s="1641"/>
      <c r="I55" s="1641"/>
      <c r="J55" s="1641"/>
      <c r="K55" s="1641"/>
      <c r="L55" s="1641"/>
      <c r="M55" s="1641"/>
      <c r="N55" s="1641"/>
      <c r="O55" s="1641"/>
      <c r="P55" s="1641"/>
      <c r="Q55" s="1641"/>
      <c r="R55" s="1641"/>
      <c r="S55" s="1641"/>
      <c r="T55" s="1641"/>
      <c r="U55" s="1641"/>
      <c r="V55" s="1641"/>
      <c r="W55" s="1641"/>
      <c r="X55" s="1641"/>
      <c r="Y55" s="1641"/>
      <c r="Z55" s="1641"/>
      <c r="AA55" s="1641"/>
      <c r="AB55" s="1641"/>
      <c r="AC55" s="1641"/>
      <c r="AD55" s="1641"/>
      <c r="AE55" s="1641"/>
      <c r="AF55" s="1641"/>
      <c r="AG55" s="1641"/>
      <c r="AH55" s="1641"/>
      <c r="AI55" s="1641"/>
      <c r="AJ55" s="1641"/>
      <c r="AK55" s="1641"/>
      <c r="AL55" s="1641"/>
      <c r="AM55" s="1641"/>
      <c r="AN55" s="1641"/>
      <c r="AO55" s="1641"/>
      <c r="AP55" s="1641"/>
      <c r="AQ55" s="1641"/>
      <c r="AR55" s="1641"/>
      <c r="AS55" s="1641"/>
      <c r="AT55" s="1641"/>
      <c r="AU55" s="1641"/>
      <c r="AV55" s="1641"/>
      <c r="AW55" s="1641"/>
      <c r="AX55" s="1641"/>
      <c r="AY55" s="1641"/>
      <c r="AZ55" s="1641"/>
      <c r="BA55" s="1641"/>
      <c r="BB55" s="1641"/>
      <c r="BC55" s="1641"/>
      <c r="BD55" s="1641"/>
      <c r="BE55" s="1641"/>
      <c r="BF55" s="1641"/>
      <c r="BG55" s="1641"/>
      <c r="BH55" s="1641"/>
      <c r="BI55" s="1641"/>
      <c r="BJ55" s="1641"/>
      <c r="BK55" s="1641"/>
      <c r="BL55" s="1641"/>
      <c r="BM55" s="1641"/>
      <c r="BN55" s="1641"/>
      <c r="BO55" s="1641"/>
      <c r="BP55" s="1641"/>
      <c r="BQ55" s="1641"/>
      <c r="BR55" s="1641"/>
      <c r="BS55" s="1641"/>
      <c r="BT55" s="1641"/>
      <c r="BU55" s="1641"/>
      <c r="BV55" s="1641"/>
      <c r="BW55" s="1641"/>
      <c r="BX55" s="1641"/>
      <c r="BY55" s="1641"/>
      <c r="BZ55" s="1641"/>
      <c r="CA55" s="1641"/>
      <c r="CB55" s="1641"/>
      <c r="CC55" s="1641"/>
      <c r="CD55" s="1641"/>
      <c r="CE55" s="1641"/>
      <c r="CF55" s="1641"/>
      <c r="CG55" s="1641"/>
      <c r="CH55" s="1641"/>
      <c r="CI55" s="1641"/>
      <c r="CJ55" s="1641"/>
      <c r="CK55" s="1641"/>
      <c r="CL55" s="1641"/>
      <c r="CM55" s="1641"/>
      <c r="CN55" s="1641"/>
      <c r="CO55" s="1641"/>
      <c r="CP55" s="1641"/>
      <c r="CQ55" s="1641"/>
      <c r="CR55" s="1641"/>
      <c r="CS55" s="1641"/>
      <c r="CT55" s="1641"/>
      <c r="CU55" s="1641"/>
      <c r="CV55" s="1641"/>
      <c r="CW55" s="1641"/>
      <c r="CX55" s="1641"/>
      <c r="CY55" s="1641"/>
      <c r="CZ55" s="1641"/>
      <c r="DA55" s="1641"/>
      <c r="DB55" s="1641"/>
      <c r="DC55" s="1641"/>
      <c r="DD55" s="1641"/>
      <c r="DE55" s="1641"/>
      <c r="DF55" s="1641"/>
      <c r="DG55" s="1641"/>
      <c r="DH55" s="1641"/>
      <c r="DI55" s="1641"/>
      <c r="DJ55" s="1641"/>
      <c r="DK55" s="1641"/>
      <c r="DL55" s="1641"/>
      <c r="DM55" s="1641"/>
      <c r="DN55" s="1641"/>
      <c r="DO55" s="1641"/>
      <c r="DP55" s="1641"/>
      <c r="DQ55" s="1641"/>
      <c r="DR55" s="1641"/>
      <c r="DS55" s="1641"/>
      <c r="DT55" s="1641"/>
      <c r="DU55" s="1641"/>
      <c r="DV55" s="1641"/>
      <c r="DW55" s="1641"/>
      <c r="DX55" s="1641"/>
      <c r="DY55" s="1641"/>
      <c r="DZ55" s="1641"/>
      <c r="EA55" s="1641"/>
      <c r="EB55" s="1641"/>
      <c r="EC55" s="1641"/>
      <c r="ED55" s="1641"/>
      <c r="EE55" s="1641"/>
      <c r="EF55" s="1641"/>
      <c r="EG55" s="1641"/>
      <c r="EH55" s="1641"/>
      <c r="EI55" s="1641"/>
      <c r="EJ55" s="1641"/>
      <c r="EK55" s="1641"/>
      <c r="EL55" s="1641"/>
      <c r="EM55" s="1641"/>
      <c r="EN55" s="1641"/>
      <c r="EO55" s="1641"/>
      <c r="EP55" s="1641"/>
      <c r="EQ55" s="1641"/>
      <c r="ER55" s="1641"/>
      <c r="ES55" s="1641"/>
      <c r="ET55" s="1641"/>
      <c r="EU55" s="1641"/>
      <c r="EV55" s="1641"/>
      <c r="EW55" s="1641"/>
      <c r="EX55" s="1641"/>
      <c r="EY55" s="1641"/>
      <c r="EZ55" s="1641"/>
      <c r="FA55" s="1641"/>
      <c r="FB55" s="1641"/>
      <c r="FC55" s="1641"/>
      <c r="FD55" s="1641"/>
      <c r="FE55" s="1641"/>
      <c r="FF55" s="1641"/>
      <c r="FG55" s="1641"/>
      <c r="FH55" s="1641"/>
      <c r="FI55" s="1641"/>
      <c r="FJ55" s="1641"/>
      <c r="FK55" s="1641"/>
      <c r="FL55" s="1641"/>
      <c r="FM55" s="1641"/>
      <c r="FN55" s="1641"/>
      <c r="FO55" s="1641"/>
      <c r="FP55" s="1641"/>
      <c r="FQ55" s="1641"/>
      <c r="FR55" s="1641"/>
      <c r="FS55" s="1641"/>
      <c r="FT55" s="1641"/>
      <c r="FU55" s="1641"/>
      <c r="FV55" s="1641"/>
      <c r="FW55" s="1641"/>
      <c r="FX55" s="1641"/>
      <c r="FY55" s="1641"/>
      <c r="FZ55" s="1641"/>
      <c r="GA55" s="1641"/>
      <c r="GB55" s="1641"/>
      <c r="GC55" s="1641"/>
      <c r="GD55" s="1641"/>
      <c r="GE55" s="1641"/>
      <c r="GF55" s="1641"/>
      <c r="GG55" s="1641"/>
      <c r="GH55" s="1641"/>
      <c r="GI55" s="1641"/>
      <c r="GJ55" s="1641"/>
      <c r="GK55" s="1641"/>
      <c r="GL55" s="1641"/>
      <c r="GM55" s="1641"/>
      <c r="GN55" s="1641"/>
      <c r="GO55" s="1641"/>
      <c r="GP55" s="1641"/>
      <c r="GQ55" s="1641"/>
      <c r="GR55" s="1641"/>
      <c r="GS55" s="1641"/>
      <c r="GT55" s="1641"/>
      <c r="GU55" s="1641"/>
      <c r="GV55" s="1641"/>
      <c r="GW55" s="1641"/>
      <c r="GX55" s="1641"/>
      <c r="GY55" s="1641"/>
      <c r="GZ55" s="1641"/>
      <c r="HA55" s="1641"/>
      <c r="HB55" s="1641"/>
      <c r="HC55" s="1641"/>
      <c r="HD55" s="1641"/>
      <c r="HE55" s="1641"/>
      <c r="HF55" s="1641"/>
      <c r="HG55" s="1641"/>
      <c r="HH55" s="1641"/>
      <c r="HI55" s="1641"/>
      <c r="HJ55" s="1641"/>
      <c r="HK55" s="1641"/>
      <c r="HL55" s="1641"/>
      <c r="HM55" s="1641"/>
      <c r="HN55" s="1641"/>
      <c r="HO55" s="1641"/>
      <c r="HP55" s="1641"/>
      <c r="HQ55" s="1641"/>
      <c r="HR55" s="1641"/>
      <c r="HS55" s="1641"/>
      <c r="HT55" s="1641"/>
      <c r="HU55" s="1641"/>
      <c r="HV55" s="1641"/>
      <c r="HW55" s="1641"/>
      <c r="HX55" s="1641"/>
      <c r="HY55" s="1641"/>
      <c r="HZ55" s="1641"/>
      <c r="IA55" s="1641"/>
      <c r="IB55" s="1641"/>
      <c r="IC55" s="1641"/>
      <c r="ID55" s="1641"/>
      <c r="IE55" s="1641"/>
      <c r="IF55" s="1641"/>
      <c r="IG55" s="1641"/>
      <c r="IH55" s="1641"/>
      <c r="II55" s="1641"/>
      <c r="IJ55" s="1641"/>
      <c r="IK55" s="1641"/>
      <c r="IL55" s="1641"/>
      <c r="IM55" s="1641"/>
      <c r="IN55" s="1641"/>
      <c r="IO55" s="1641"/>
      <c r="IP55" s="1642"/>
      <c r="IQ55" s="1642"/>
      <c r="IR55" s="1642"/>
      <c r="IS55" s="1642"/>
      <c r="IT55" s="1642"/>
      <c r="IU55" s="1642"/>
      <c r="IV55" s="1642"/>
      <c r="IW55" s="1642"/>
      <c r="IX55" s="1641"/>
      <c r="IY55" s="1641"/>
      <c r="IZ55" s="1641"/>
      <c r="JA55" s="1641"/>
      <c r="JB55" s="1641"/>
      <c r="JC55" s="1641"/>
      <c r="JD55" s="1641"/>
      <c r="JE55" s="1641"/>
      <c r="JF55" s="1641"/>
      <c r="JG55" s="1641"/>
      <c r="JH55" s="1642"/>
      <c r="JI55" s="1642"/>
      <c r="JJ55" s="1642"/>
      <c r="JK55" s="1642"/>
      <c r="JL55" s="1642"/>
      <c r="JM55" s="1642"/>
      <c r="JN55" s="1642"/>
      <c r="JO55" s="1642"/>
      <c r="JP55" s="1642"/>
      <c r="JQ55" s="1643"/>
      <c r="JR55" s="351"/>
    </row>
    <row r="56" spans="1:278" x14ac:dyDescent="0.25">
      <c r="A56" s="1367">
        <v>56</v>
      </c>
      <c r="B56" s="1411" t="str">
        <f t="shared" si="0"/>
        <v/>
      </c>
      <c r="C56" s="1435" t="s">
        <v>3938</v>
      </c>
      <c r="D56" s="1361" t="s">
        <v>3873</v>
      </c>
      <c r="E56" s="1641"/>
      <c r="F56" s="1641"/>
      <c r="G56" s="1641"/>
      <c r="H56" s="1641"/>
      <c r="I56" s="1641"/>
      <c r="J56" s="1641"/>
      <c r="K56" s="1641"/>
      <c r="L56" s="1641"/>
      <c r="M56" s="1641"/>
      <c r="N56" s="1641"/>
      <c r="O56" s="1641"/>
      <c r="P56" s="1641"/>
      <c r="Q56" s="1641"/>
      <c r="R56" s="1641"/>
      <c r="S56" s="1641"/>
      <c r="T56" s="1641"/>
      <c r="U56" s="1641"/>
      <c r="V56" s="1641"/>
      <c r="W56" s="1641"/>
      <c r="X56" s="1641"/>
      <c r="Y56" s="1641"/>
      <c r="Z56" s="1641"/>
      <c r="AA56" s="1641"/>
      <c r="AB56" s="1641"/>
      <c r="AC56" s="1641"/>
      <c r="AD56" s="1641"/>
      <c r="AE56" s="1641"/>
      <c r="AF56" s="1641"/>
      <c r="AG56" s="1641"/>
      <c r="AH56" s="1641"/>
      <c r="AI56" s="1641"/>
      <c r="AJ56" s="1641"/>
      <c r="AK56" s="1641"/>
      <c r="AL56" s="1641"/>
      <c r="AM56" s="1641"/>
      <c r="AN56" s="1641"/>
      <c r="AO56" s="1641"/>
      <c r="AP56" s="1639"/>
      <c r="AQ56" s="1641"/>
      <c r="AR56" s="1641"/>
      <c r="AS56" s="1641"/>
      <c r="AT56" s="1641"/>
      <c r="AU56" s="1641"/>
      <c r="AV56" s="1641"/>
      <c r="AW56" s="1641"/>
      <c r="AX56" s="1641"/>
      <c r="AY56" s="1641"/>
      <c r="AZ56" s="1641"/>
      <c r="BA56" s="1641"/>
      <c r="BB56" s="1641"/>
      <c r="BC56" s="1641"/>
      <c r="BD56" s="1641"/>
      <c r="BE56" s="1641"/>
      <c r="BF56" s="1641"/>
      <c r="BG56" s="1641"/>
      <c r="BH56" s="1641"/>
      <c r="BI56" s="1641"/>
      <c r="BJ56" s="1641"/>
      <c r="BK56" s="1641"/>
      <c r="BL56" s="1641"/>
      <c r="BM56" s="1641"/>
      <c r="BN56" s="1641"/>
      <c r="BO56" s="1641"/>
      <c r="BP56" s="1641"/>
      <c r="BQ56" s="1641"/>
      <c r="BR56" s="1641"/>
      <c r="BS56" s="1641"/>
      <c r="BT56" s="1641"/>
      <c r="BU56" s="1641"/>
      <c r="BV56" s="1641"/>
      <c r="BW56" s="1641"/>
      <c r="BX56" s="1641"/>
      <c r="BY56" s="1641"/>
      <c r="BZ56" s="1641"/>
      <c r="CA56" s="1641"/>
      <c r="CB56" s="1641"/>
      <c r="CC56" s="1641"/>
      <c r="CD56" s="1641"/>
      <c r="CE56" s="1641"/>
      <c r="CF56" s="1641"/>
      <c r="CG56" s="1641"/>
      <c r="CH56" s="1641"/>
      <c r="CI56" s="1641"/>
      <c r="CJ56" s="1641"/>
      <c r="CK56" s="1641"/>
      <c r="CL56" s="1641"/>
      <c r="CM56" s="1641"/>
      <c r="CN56" s="1641"/>
      <c r="CO56" s="1641"/>
      <c r="CP56" s="1641"/>
      <c r="CQ56" s="1641"/>
      <c r="CR56" s="1641"/>
      <c r="CS56" s="1641"/>
      <c r="CT56" s="1641"/>
      <c r="CU56" s="1641"/>
      <c r="CV56" s="1641"/>
      <c r="CW56" s="1641"/>
      <c r="CX56" s="1641"/>
      <c r="CY56" s="1641"/>
      <c r="CZ56" s="1641"/>
      <c r="DA56" s="1641"/>
      <c r="DB56" s="1641"/>
      <c r="DC56" s="1641"/>
      <c r="DD56" s="1641"/>
      <c r="DE56" s="1641"/>
      <c r="DF56" s="1641"/>
      <c r="DG56" s="1641"/>
      <c r="DH56" s="1641"/>
      <c r="DI56" s="1641"/>
      <c r="DJ56" s="1641"/>
      <c r="DK56" s="1641"/>
      <c r="DL56" s="1641"/>
      <c r="DM56" s="1641"/>
      <c r="DN56" s="1641"/>
      <c r="DO56" s="1641"/>
      <c r="DP56" s="1641"/>
      <c r="DQ56" s="1641"/>
      <c r="DR56" s="1641"/>
      <c r="DS56" s="1641"/>
      <c r="DT56" s="1641"/>
      <c r="DU56" s="1641"/>
      <c r="DV56" s="1641"/>
      <c r="DW56" s="1641"/>
      <c r="DX56" s="1641"/>
      <c r="DY56" s="1641"/>
      <c r="DZ56" s="1641"/>
      <c r="EA56" s="1641"/>
      <c r="EB56" s="1641"/>
      <c r="EC56" s="1641"/>
      <c r="ED56" s="1641"/>
      <c r="EE56" s="1641"/>
      <c r="EF56" s="1641"/>
      <c r="EG56" s="1639" t="s">
        <v>1707</v>
      </c>
      <c r="EH56" s="1641"/>
      <c r="EI56" s="1641"/>
      <c r="EJ56" s="1641"/>
      <c r="EK56" s="1641"/>
      <c r="EL56" s="1641"/>
      <c r="EM56" s="1641"/>
      <c r="EN56" s="1641"/>
      <c r="EO56" s="1641"/>
      <c r="EP56" s="1641"/>
      <c r="EQ56" s="1641"/>
      <c r="ER56" s="1641"/>
      <c r="ES56" s="1641"/>
      <c r="ET56" s="1641"/>
      <c r="EU56" s="1641"/>
      <c r="EV56" s="1641"/>
      <c r="EW56" s="1641"/>
      <c r="EX56" s="1641"/>
      <c r="EY56" s="1641"/>
      <c r="EZ56" s="1641"/>
      <c r="FA56" s="1641"/>
      <c r="FB56" s="1641"/>
      <c r="FC56" s="1641"/>
      <c r="FD56" s="1641"/>
      <c r="FE56" s="1641"/>
      <c r="FF56" s="1641"/>
      <c r="FG56" s="1641"/>
      <c r="FH56" s="1641"/>
      <c r="FI56" s="1641"/>
      <c r="FJ56" s="1641"/>
      <c r="FK56" s="1641"/>
      <c r="FL56" s="1641"/>
      <c r="FM56" s="1641"/>
      <c r="FN56" s="1641"/>
      <c r="FO56" s="1641"/>
      <c r="FP56" s="1641"/>
      <c r="FQ56" s="1641"/>
      <c r="FR56" s="1641"/>
      <c r="FS56" s="1641"/>
      <c r="FT56" s="1641"/>
      <c r="FU56" s="1641"/>
      <c r="FV56" s="1641"/>
      <c r="FW56" s="1641"/>
      <c r="FX56" s="1641"/>
      <c r="FY56" s="1641"/>
      <c r="FZ56" s="1641"/>
      <c r="GA56" s="1641"/>
      <c r="GB56" s="1641"/>
      <c r="GC56" s="1641"/>
      <c r="GD56" s="1641"/>
      <c r="GE56" s="1641"/>
      <c r="GF56" s="1641"/>
      <c r="GG56" s="1641"/>
      <c r="GH56" s="1641"/>
      <c r="GI56" s="1641"/>
      <c r="GJ56" s="1641"/>
      <c r="GK56" s="1641"/>
      <c r="GL56" s="1641"/>
      <c r="GM56" s="1641"/>
      <c r="GN56" s="1641"/>
      <c r="GO56" s="1641"/>
      <c r="GP56" s="1641"/>
      <c r="GQ56" s="1641"/>
      <c r="GR56" s="1641"/>
      <c r="GS56" s="1641"/>
      <c r="GT56" s="1641"/>
      <c r="GU56" s="1641"/>
      <c r="GV56" s="1641"/>
      <c r="GW56" s="1641"/>
      <c r="GX56" s="1641"/>
      <c r="GY56" s="1641"/>
      <c r="GZ56" s="1641"/>
      <c r="HA56" s="1641"/>
      <c r="HB56" s="1641"/>
      <c r="HC56" s="1641"/>
      <c r="HD56" s="1641"/>
      <c r="HE56" s="1641"/>
      <c r="HF56" s="1641"/>
      <c r="HG56" s="1641"/>
      <c r="HH56" s="1641"/>
      <c r="HI56" s="1641"/>
      <c r="HJ56" s="1641"/>
      <c r="HK56" s="1641"/>
      <c r="HL56" s="1641"/>
      <c r="HM56" s="1641"/>
      <c r="HN56" s="1641"/>
      <c r="HO56" s="1641"/>
      <c r="HP56" s="1641"/>
      <c r="HQ56" s="1641"/>
      <c r="HR56" s="1641"/>
      <c r="HS56" s="1641"/>
      <c r="HT56" s="1641"/>
      <c r="HU56" s="1641"/>
      <c r="HV56" s="1641"/>
      <c r="HW56" s="1641"/>
      <c r="HX56" s="1641"/>
      <c r="HY56" s="1641"/>
      <c r="HZ56" s="1641"/>
      <c r="IA56" s="1641"/>
      <c r="IB56" s="1641"/>
      <c r="IC56" s="1641"/>
      <c r="ID56" s="1641"/>
      <c r="IE56" s="1641"/>
      <c r="IF56" s="1641"/>
      <c r="IG56" s="1641"/>
      <c r="IH56" s="1641"/>
      <c r="II56" s="1641"/>
      <c r="IJ56" s="1641"/>
      <c r="IK56" s="1641"/>
      <c r="IL56" s="1641"/>
      <c r="IM56" s="1641"/>
      <c r="IN56" s="1641"/>
      <c r="IO56" s="1641"/>
      <c r="IP56" s="1642"/>
      <c r="IQ56" s="1642"/>
      <c r="IR56" s="1642"/>
      <c r="IS56" s="1642"/>
      <c r="IT56" s="1642"/>
      <c r="IU56" s="1642"/>
      <c r="IV56" s="1642"/>
      <c r="IW56" s="1642"/>
      <c r="IX56" s="1641"/>
      <c r="IY56" s="1641"/>
      <c r="IZ56" s="1641"/>
      <c r="JA56" s="1641"/>
      <c r="JB56" s="1641"/>
      <c r="JC56" s="1641"/>
      <c r="JD56" s="1641"/>
      <c r="JE56" s="1639" t="s">
        <v>1707</v>
      </c>
      <c r="JF56" s="1641"/>
      <c r="JG56" s="1641"/>
      <c r="JH56" s="1642"/>
      <c r="JI56" s="1642"/>
      <c r="JJ56" s="1642"/>
      <c r="JK56" s="1642"/>
      <c r="JL56" s="1642"/>
      <c r="JM56" s="1642"/>
      <c r="JN56" s="1642"/>
      <c r="JO56" s="1642"/>
      <c r="JP56" s="1642"/>
      <c r="JQ56" s="1643"/>
      <c r="JR56" s="351"/>
    </row>
    <row r="57" spans="1:278" x14ac:dyDescent="0.25">
      <c r="A57" s="1367">
        <v>57</v>
      </c>
      <c r="B57" s="1411" t="str">
        <f t="shared" si="0"/>
        <v/>
      </c>
      <c r="C57" s="1435" t="s">
        <v>3939</v>
      </c>
      <c r="D57" s="1361" t="s">
        <v>3875</v>
      </c>
      <c r="E57" s="2561"/>
      <c r="F57" s="2561"/>
      <c r="G57" s="2561"/>
      <c r="H57" s="2561"/>
      <c r="I57" s="2561"/>
      <c r="J57" s="2561"/>
      <c r="K57" s="2561"/>
      <c r="L57" s="2561"/>
      <c r="M57" s="2561"/>
      <c r="N57" s="2561"/>
      <c r="O57" s="2561"/>
      <c r="P57" s="2561"/>
      <c r="Q57" s="2561"/>
      <c r="R57" s="2561"/>
      <c r="S57" s="2561"/>
      <c r="T57" s="2561"/>
      <c r="U57" s="2561"/>
      <c r="V57" s="2561"/>
      <c r="W57" s="2561"/>
      <c r="X57" s="2561"/>
      <c r="Y57" s="2561"/>
      <c r="Z57" s="2561"/>
      <c r="AA57" s="2561"/>
      <c r="AB57" s="2561"/>
      <c r="AC57" s="2561"/>
      <c r="AD57" s="2561"/>
      <c r="AE57" s="2561"/>
      <c r="AF57" s="2561"/>
      <c r="AG57" s="2561"/>
      <c r="AH57" s="2561"/>
      <c r="AI57" s="2561"/>
      <c r="AJ57" s="2561"/>
      <c r="AK57" s="2561"/>
      <c r="AL57" s="2561"/>
      <c r="AM57" s="2561"/>
      <c r="AN57" s="2561"/>
      <c r="AO57" s="2561"/>
      <c r="AP57" s="2561"/>
      <c r="AQ57" s="2561"/>
      <c r="AR57" s="2561"/>
      <c r="AS57" s="2561"/>
      <c r="AT57" s="2561"/>
      <c r="AU57" s="2561"/>
      <c r="AV57" s="2561"/>
      <c r="AW57" s="2561"/>
      <c r="AX57" s="2561"/>
      <c r="AY57" s="2561"/>
      <c r="AZ57" s="2561"/>
      <c r="BA57" s="2561"/>
      <c r="BB57" s="2561"/>
      <c r="BC57" s="2561"/>
      <c r="BD57" s="2561"/>
      <c r="BE57" s="2561"/>
      <c r="BF57" s="2561"/>
      <c r="BG57" s="2561"/>
      <c r="BH57" s="2561"/>
      <c r="BI57" s="2561"/>
      <c r="BJ57" s="2561"/>
      <c r="BK57" s="2561"/>
      <c r="BL57" s="2561"/>
      <c r="BM57" s="2561"/>
      <c r="BN57" s="2561"/>
      <c r="BO57" s="2561"/>
      <c r="BP57" s="2561"/>
      <c r="BQ57" s="2561"/>
      <c r="BR57" s="2561"/>
      <c r="BS57" s="2561"/>
      <c r="BT57" s="2561"/>
      <c r="BU57" s="2561"/>
      <c r="BV57" s="2561"/>
      <c r="BW57" s="2561"/>
      <c r="BX57" s="2561"/>
      <c r="BY57" s="2561"/>
      <c r="BZ57" s="2561"/>
      <c r="CA57" s="2561"/>
      <c r="CB57" s="2561"/>
      <c r="CC57" s="2561"/>
      <c r="CD57" s="2561"/>
      <c r="CE57" s="2561"/>
      <c r="CF57" s="2561"/>
      <c r="CG57" s="2561"/>
      <c r="CH57" s="2561"/>
      <c r="CI57" s="2561"/>
      <c r="CJ57" s="2561"/>
      <c r="CK57" s="2561"/>
      <c r="CL57" s="2561"/>
      <c r="CM57" s="2561"/>
      <c r="CN57" s="2561"/>
      <c r="CO57" s="2561"/>
      <c r="CP57" s="2561"/>
      <c r="CQ57" s="2561"/>
      <c r="CR57" s="2561"/>
      <c r="CS57" s="2561"/>
      <c r="CT57" s="2561"/>
      <c r="CU57" s="2561"/>
      <c r="CV57" s="2561"/>
      <c r="CW57" s="2561"/>
      <c r="CX57" s="2561"/>
      <c r="CY57" s="2561"/>
      <c r="CZ57" s="2561"/>
      <c r="DA57" s="2561"/>
      <c r="DB57" s="2561"/>
      <c r="DC57" s="2561"/>
      <c r="DD57" s="2561"/>
      <c r="DE57" s="2561"/>
      <c r="DF57" s="2561"/>
      <c r="DG57" s="2561"/>
      <c r="DH57" s="2561"/>
      <c r="DI57" s="2561"/>
      <c r="DJ57" s="2561"/>
      <c r="DK57" s="2561"/>
      <c r="DL57" s="2561"/>
      <c r="DM57" s="2561"/>
      <c r="DN57" s="2561"/>
      <c r="DO57" s="2561"/>
      <c r="DP57" s="2561"/>
      <c r="DQ57" s="2561"/>
      <c r="DR57" s="2561"/>
      <c r="DS57" s="2561"/>
      <c r="DT57" s="2561"/>
      <c r="DU57" s="2561"/>
      <c r="DV57" s="2561"/>
      <c r="DW57" s="2561"/>
      <c r="DX57" s="2561"/>
      <c r="DY57" s="2561"/>
      <c r="DZ57" s="2561"/>
      <c r="EA57" s="2561"/>
      <c r="EB57" s="2561"/>
      <c r="EC57" s="2561"/>
      <c r="ED57" s="2561"/>
      <c r="EE57" s="2561"/>
      <c r="EF57" s="2561"/>
      <c r="EG57" s="2561">
        <f>IF(EG56="Y",EG53,MAX(0,EG53-EG54))</f>
        <v>3562</v>
      </c>
      <c r="EH57" s="2561"/>
      <c r="EI57" s="2561"/>
      <c r="EJ57" s="2561"/>
      <c r="EK57" s="2561"/>
      <c r="EL57" s="2561"/>
      <c r="EM57" s="2561"/>
      <c r="EN57" s="2561"/>
      <c r="EO57" s="2561"/>
      <c r="EP57" s="2561"/>
      <c r="EQ57" s="2561"/>
      <c r="ER57" s="2561"/>
      <c r="ES57" s="2561"/>
      <c r="ET57" s="2561"/>
      <c r="EU57" s="2561"/>
      <c r="EV57" s="2561"/>
      <c r="EW57" s="2561"/>
      <c r="EX57" s="2561"/>
      <c r="EY57" s="2561"/>
      <c r="EZ57" s="2561"/>
      <c r="FA57" s="2561"/>
      <c r="FB57" s="2561"/>
      <c r="FC57" s="2561"/>
      <c r="FD57" s="2561"/>
      <c r="FE57" s="2561"/>
      <c r="FF57" s="2561"/>
      <c r="FG57" s="2561"/>
      <c r="FH57" s="2561"/>
      <c r="FI57" s="2561"/>
      <c r="FJ57" s="2561"/>
      <c r="FK57" s="2561"/>
      <c r="FL57" s="2561"/>
      <c r="FM57" s="2561"/>
      <c r="FN57" s="2561"/>
      <c r="FO57" s="2561"/>
      <c r="FP57" s="2561"/>
      <c r="FQ57" s="2561"/>
      <c r="FR57" s="2561"/>
      <c r="FS57" s="2561"/>
      <c r="FT57" s="2561"/>
      <c r="FU57" s="2561"/>
      <c r="FV57" s="2561"/>
      <c r="FW57" s="2561"/>
      <c r="FX57" s="2561"/>
      <c r="FY57" s="2561"/>
      <c r="FZ57" s="2561"/>
      <c r="GA57" s="2561"/>
      <c r="GB57" s="2561"/>
      <c r="GC57" s="2561"/>
      <c r="GD57" s="2561"/>
      <c r="GE57" s="2561"/>
      <c r="GF57" s="2561"/>
      <c r="GG57" s="2561"/>
      <c r="GH57" s="2561"/>
      <c r="GI57" s="2561"/>
      <c r="GJ57" s="2561"/>
      <c r="GK57" s="2561"/>
      <c r="GL57" s="2561"/>
      <c r="GM57" s="2561"/>
      <c r="GN57" s="2561"/>
      <c r="GO57" s="2561"/>
      <c r="GP57" s="2561"/>
      <c r="GQ57" s="2561"/>
      <c r="GR57" s="2561"/>
      <c r="GS57" s="2561"/>
      <c r="GT57" s="2561"/>
      <c r="GU57" s="2561"/>
      <c r="GV57" s="2561"/>
      <c r="GW57" s="2561"/>
      <c r="GX57" s="2561"/>
      <c r="GY57" s="2561"/>
      <c r="GZ57" s="2561"/>
      <c r="HA57" s="2561"/>
      <c r="HB57" s="2561"/>
      <c r="HC57" s="2561"/>
      <c r="HD57" s="2561"/>
      <c r="HE57" s="2561"/>
      <c r="HF57" s="2561"/>
      <c r="HG57" s="2561"/>
      <c r="HH57" s="2561"/>
      <c r="HI57" s="2561"/>
      <c r="HJ57" s="2561"/>
      <c r="HK57" s="2561"/>
      <c r="HL57" s="2561"/>
      <c r="HM57" s="2561"/>
      <c r="HN57" s="2561"/>
      <c r="HO57" s="2561"/>
      <c r="HP57" s="2561"/>
      <c r="HQ57" s="2561"/>
      <c r="HR57" s="2561"/>
      <c r="HS57" s="2561"/>
      <c r="HT57" s="2561"/>
      <c r="HU57" s="2561"/>
      <c r="HV57" s="2561"/>
      <c r="HW57" s="2561"/>
      <c r="HX57" s="2561"/>
      <c r="HY57" s="2561"/>
      <c r="HZ57" s="2561"/>
      <c r="IA57" s="2561"/>
      <c r="IB57" s="2561"/>
      <c r="IC57" s="2561"/>
      <c r="ID57" s="2561"/>
      <c r="IE57" s="2561"/>
      <c r="IF57" s="2561"/>
      <c r="IG57" s="2561"/>
      <c r="IH57" s="2561"/>
      <c r="II57" s="2561"/>
      <c r="IJ57" s="2561"/>
      <c r="IK57" s="2561"/>
      <c r="IL57" s="2561"/>
      <c r="IM57" s="2561"/>
      <c r="IN57" s="2561"/>
      <c r="IO57" s="2561"/>
      <c r="IP57" s="2561"/>
      <c r="IQ57" s="2561"/>
      <c r="IR57" s="2561"/>
      <c r="IS57" s="2561"/>
      <c r="IT57" s="2561"/>
      <c r="IU57" s="2561"/>
      <c r="IV57" s="2561"/>
      <c r="IW57" s="2561"/>
      <c r="IX57" s="2561"/>
      <c r="IY57" s="2561"/>
      <c r="IZ57" s="2561"/>
      <c r="JA57" s="2561"/>
      <c r="JB57" s="2561"/>
      <c r="JC57" s="2561"/>
      <c r="JD57" s="2561"/>
      <c r="JE57" s="2561">
        <f>IF(JE56="Y",JE53,MAX(0,JE53-JE54))</f>
        <v>3562</v>
      </c>
      <c r="JF57" s="2561"/>
      <c r="JG57" s="2561"/>
      <c r="JH57" s="2561"/>
      <c r="JI57" s="2561"/>
      <c r="JJ57" s="2561"/>
      <c r="JK57" s="2561"/>
      <c r="JL57" s="2561"/>
      <c r="JM57" s="2561"/>
      <c r="JN57" s="2561"/>
      <c r="JO57" s="2561"/>
      <c r="JP57" s="2561"/>
      <c r="JQ57" s="2561"/>
      <c r="JR57" s="351"/>
    </row>
    <row r="58" spans="1:278" x14ac:dyDescent="0.25">
      <c r="A58" s="1367">
        <v>58</v>
      </c>
      <c r="B58" s="1411" t="str">
        <f t="shared" si="0"/>
        <v/>
      </c>
      <c r="C58" s="1435" t="s">
        <v>3940</v>
      </c>
      <c r="D58" s="1361" t="s">
        <v>3887</v>
      </c>
      <c r="E58" s="1641"/>
      <c r="F58" s="1641"/>
      <c r="G58" s="1641"/>
      <c r="H58" s="1641"/>
      <c r="I58" s="1641"/>
      <c r="J58" s="1641"/>
      <c r="K58" s="1641"/>
      <c r="L58" s="1641"/>
      <c r="M58" s="1641"/>
      <c r="N58" s="1641"/>
      <c r="O58" s="1641"/>
      <c r="P58" s="1641"/>
      <c r="Q58" s="1641"/>
      <c r="R58" s="1641"/>
      <c r="S58" s="1641"/>
      <c r="T58" s="1641"/>
      <c r="U58" s="1641"/>
      <c r="V58" s="1641"/>
      <c r="W58" s="1641"/>
      <c r="X58" s="1641"/>
      <c r="Y58" s="1641"/>
      <c r="Z58" s="1641"/>
      <c r="AA58" s="1641"/>
      <c r="AB58" s="1641"/>
      <c r="AC58" s="1641"/>
      <c r="AD58" s="1641"/>
      <c r="AE58" s="1641"/>
      <c r="AF58" s="1641"/>
      <c r="AG58" s="1641"/>
      <c r="AH58" s="1641"/>
      <c r="AI58" s="1641"/>
      <c r="AJ58" s="1641"/>
      <c r="AK58" s="1641"/>
      <c r="AL58" s="1641"/>
      <c r="AM58" s="1641"/>
      <c r="AN58" s="1641"/>
      <c r="AO58" s="1641"/>
      <c r="AP58" s="1641"/>
      <c r="AQ58" s="1641"/>
      <c r="AR58" s="1641"/>
      <c r="AS58" s="1641"/>
      <c r="AT58" s="1641"/>
      <c r="AU58" s="1641"/>
      <c r="AV58" s="1641"/>
      <c r="AW58" s="1641"/>
      <c r="AX58" s="1641"/>
      <c r="AY58" s="1641"/>
      <c r="AZ58" s="1641"/>
      <c r="BA58" s="1641"/>
      <c r="BB58" s="1641"/>
      <c r="BC58" s="1641"/>
      <c r="BD58" s="1641"/>
      <c r="BE58" s="1641"/>
      <c r="BF58" s="1641"/>
      <c r="BG58" s="1641"/>
      <c r="BH58" s="1641"/>
      <c r="BI58" s="1641"/>
      <c r="BJ58" s="1641"/>
      <c r="BK58" s="1641"/>
      <c r="BL58" s="1641"/>
      <c r="BM58" s="1641"/>
      <c r="BN58" s="1641"/>
      <c r="BO58" s="1641"/>
      <c r="BP58" s="1641"/>
      <c r="BQ58" s="1641"/>
      <c r="BR58" s="1641"/>
      <c r="BS58" s="1641"/>
      <c r="BT58" s="1641"/>
      <c r="BU58" s="1641"/>
      <c r="BV58" s="1641"/>
      <c r="BW58" s="1641"/>
      <c r="BX58" s="1641"/>
      <c r="BY58" s="1641"/>
      <c r="BZ58" s="1641"/>
      <c r="CA58" s="1641"/>
      <c r="CB58" s="1641"/>
      <c r="CC58" s="1641"/>
      <c r="CD58" s="1641"/>
      <c r="CE58" s="1641"/>
      <c r="CF58" s="1641"/>
      <c r="CG58" s="1641"/>
      <c r="CH58" s="1641"/>
      <c r="CI58" s="1641"/>
      <c r="CJ58" s="1641"/>
      <c r="CK58" s="1641"/>
      <c r="CL58" s="1641"/>
      <c r="CM58" s="1641"/>
      <c r="CN58" s="1641"/>
      <c r="CO58" s="1641"/>
      <c r="CP58" s="1641"/>
      <c r="CQ58" s="1641"/>
      <c r="CR58" s="1641"/>
      <c r="CS58" s="1641"/>
      <c r="CT58" s="1641"/>
      <c r="CU58" s="1641"/>
      <c r="CV58" s="1641"/>
      <c r="CW58" s="1641"/>
      <c r="CX58" s="1641"/>
      <c r="CY58" s="1641"/>
      <c r="CZ58" s="1641"/>
      <c r="DA58" s="1641"/>
      <c r="DB58" s="1641"/>
      <c r="DC58" s="1641"/>
      <c r="DD58" s="1641"/>
      <c r="DE58" s="1641"/>
      <c r="DF58" s="1641"/>
      <c r="DG58" s="1641"/>
      <c r="DH58" s="1641"/>
      <c r="DI58" s="1641"/>
      <c r="DJ58" s="1641"/>
      <c r="DK58" s="1641"/>
      <c r="DL58" s="1641"/>
      <c r="DM58" s="1641"/>
      <c r="DN58" s="1641"/>
      <c r="DO58" s="1641"/>
      <c r="DP58" s="1641"/>
      <c r="DQ58" s="1641"/>
      <c r="DR58" s="1641"/>
      <c r="DS58" s="1641"/>
      <c r="DT58" s="1641"/>
      <c r="DU58" s="1641"/>
      <c r="DV58" s="1641"/>
      <c r="DW58" s="1641"/>
      <c r="DX58" s="1641"/>
      <c r="DY58" s="1641"/>
      <c r="DZ58" s="1641"/>
      <c r="EA58" s="1641"/>
      <c r="EB58" s="1641"/>
      <c r="EC58" s="1641"/>
      <c r="ED58" s="1641"/>
      <c r="EE58" s="1641"/>
      <c r="EF58" s="1641"/>
      <c r="EG58" s="1641"/>
      <c r="EH58" s="1641"/>
      <c r="EI58" s="1641"/>
      <c r="EJ58" s="1641"/>
      <c r="EK58" s="1641"/>
      <c r="EL58" s="1641"/>
      <c r="EM58" s="1641"/>
      <c r="EN58" s="1641"/>
      <c r="EO58" s="1641"/>
      <c r="EP58" s="1641"/>
      <c r="EQ58" s="1641"/>
      <c r="ER58" s="1641"/>
      <c r="ES58" s="1641"/>
      <c r="ET58" s="1641"/>
      <c r="EU58" s="1641"/>
      <c r="EV58" s="1641"/>
      <c r="EW58" s="1641"/>
      <c r="EX58" s="1641"/>
      <c r="EY58" s="1641"/>
      <c r="EZ58" s="1641"/>
      <c r="FA58" s="1641"/>
      <c r="FB58" s="1641"/>
      <c r="FC58" s="1641"/>
      <c r="FD58" s="1641"/>
      <c r="FE58" s="1641"/>
      <c r="FF58" s="1641"/>
      <c r="FG58" s="1641"/>
      <c r="FH58" s="1641"/>
      <c r="FI58" s="1641"/>
      <c r="FJ58" s="1641"/>
      <c r="FK58" s="1641"/>
      <c r="FL58" s="1641"/>
      <c r="FM58" s="1641"/>
      <c r="FN58" s="1641"/>
      <c r="FO58" s="1641"/>
      <c r="FP58" s="1641"/>
      <c r="FQ58" s="1641"/>
      <c r="FR58" s="1641"/>
      <c r="FS58" s="1641"/>
      <c r="FT58" s="1641"/>
      <c r="FU58" s="1641"/>
      <c r="FV58" s="1641"/>
      <c r="FW58" s="1641"/>
      <c r="FX58" s="1641"/>
      <c r="FY58" s="1641"/>
      <c r="FZ58" s="1641"/>
      <c r="GA58" s="1641"/>
      <c r="GB58" s="1641"/>
      <c r="GC58" s="1641"/>
      <c r="GD58" s="1641"/>
      <c r="GE58" s="1641"/>
      <c r="GF58" s="1641"/>
      <c r="GG58" s="1641"/>
      <c r="GH58" s="1641"/>
      <c r="GI58" s="1641"/>
      <c r="GJ58" s="1641"/>
      <c r="GK58" s="1641"/>
      <c r="GL58" s="1641"/>
      <c r="GM58" s="1641"/>
      <c r="GN58" s="1641"/>
      <c r="GO58" s="1641"/>
      <c r="GP58" s="1641"/>
      <c r="GQ58" s="1641"/>
      <c r="GR58" s="1641"/>
      <c r="GS58" s="1641"/>
      <c r="GT58" s="1641"/>
      <c r="GU58" s="1641"/>
      <c r="GV58" s="1641"/>
      <c r="GW58" s="1641"/>
      <c r="GX58" s="1641"/>
      <c r="GY58" s="1641"/>
      <c r="GZ58" s="1641"/>
      <c r="HA58" s="1641"/>
      <c r="HB58" s="1641"/>
      <c r="HC58" s="1641"/>
      <c r="HD58" s="1641"/>
      <c r="HE58" s="1641"/>
      <c r="HF58" s="1641"/>
      <c r="HG58" s="1641"/>
      <c r="HH58" s="1641"/>
      <c r="HI58" s="1641"/>
      <c r="HJ58" s="1641"/>
      <c r="HK58" s="1641"/>
      <c r="HL58" s="1641"/>
      <c r="HM58" s="1641"/>
      <c r="HN58" s="1641"/>
      <c r="HO58" s="1641"/>
      <c r="HP58" s="1641"/>
      <c r="HQ58" s="1641"/>
      <c r="HR58" s="1641"/>
      <c r="HS58" s="1641"/>
      <c r="HT58" s="1641"/>
      <c r="HU58" s="1641"/>
      <c r="HV58" s="1641"/>
      <c r="HW58" s="1641"/>
      <c r="HX58" s="1641"/>
      <c r="HY58" s="1641"/>
      <c r="HZ58" s="1641"/>
      <c r="IA58" s="1641"/>
      <c r="IB58" s="1641"/>
      <c r="IC58" s="1641"/>
      <c r="ID58" s="1641"/>
      <c r="IE58" s="1641"/>
      <c r="IF58" s="1641"/>
      <c r="IG58" s="1641"/>
      <c r="IH58" s="1641"/>
      <c r="II58" s="1641"/>
      <c r="IJ58" s="1641"/>
      <c r="IK58" s="1641"/>
      <c r="IL58" s="1641"/>
      <c r="IM58" s="1641"/>
      <c r="IN58" s="1641"/>
      <c r="IO58" s="1641"/>
      <c r="IP58" s="1642"/>
      <c r="IQ58" s="1642"/>
      <c r="IR58" s="1642"/>
      <c r="IS58" s="1642"/>
      <c r="IT58" s="1642"/>
      <c r="IU58" s="1642"/>
      <c r="IV58" s="1642"/>
      <c r="IW58" s="1642"/>
      <c r="IX58" s="1641"/>
      <c r="IY58" s="1641"/>
      <c r="IZ58" s="1641"/>
      <c r="JA58" s="1641"/>
      <c r="JB58" s="1641"/>
      <c r="JC58" s="1641"/>
      <c r="JD58" s="1641"/>
      <c r="JE58" s="1641"/>
      <c r="JF58" s="1641"/>
      <c r="JG58" s="1641"/>
      <c r="JH58" s="1642"/>
      <c r="JI58" s="1642"/>
      <c r="JJ58" s="1642"/>
      <c r="JK58" s="1642"/>
      <c r="JL58" s="1642"/>
      <c r="JM58" s="1642"/>
      <c r="JN58" s="1642"/>
      <c r="JO58" s="1642"/>
      <c r="JP58" s="1642"/>
      <c r="JQ58" s="1643"/>
      <c r="JR58" s="351"/>
    </row>
    <row r="59" spans="1:278" x14ac:dyDescent="0.25">
      <c r="A59" s="1367">
        <v>59</v>
      </c>
      <c r="B59" s="1411" t="str">
        <f t="shared" si="0"/>
        <v/>
      </c>
      <c r="C59" s="1435" t="s">
        <v>3941</v>
      </c>
      <c r="D59" s="1361" t="s">
        <v>3887</v>
      </c>
      <c r="E59" s="1641"/>
      <c r="F59" s="1641"/>
      <c r="G59" s="1641"/>
      <c r="H59" s="1641"/>
      <c r="I59" s="1641"/>
      <c r="J59" s="1641"/>
      <c r="K59" s="1641"/>
      <c r="L59" s="1641"/>
      <c r="M59" s="1641"/>
      <c r="N59" s="1641"/>
      <c r="O59" s="1641"/>
      <c r="P59" s="1641"/>
      <c r="Q59" s="1641"/>
      <c r="R59" s="1641"/>
      <c r="S59" s="1641"/>
      <c r="T59" s="1641"/>
      <c r="U59" s="1641"/>
      <c r="V59" s="1641"/>
      <c r="W59" s="1641"/>
      <c r="X59" s="1641"/>
      <c r="Y59" s="1641"/>
      <c r="Z59" s="1641"/>
      <c r="AA59" s="1641"/>
      <c r="AB59" s="1641"/>
      <c r="AC59" s="1641"/>
      <c r="AD59" s="1641"/>
      <c r="AE59" s="1641"/>
      <c r="AF59" s="1641"/>
      <c r="AG59" s="1641"/>
      <c r="AH59" s="1641"/>
      <c r="AI59" s="1641"/>
      <c r="AJ59" s="1641"/>
      <c r="AK59" s="1641"/>
      <c r="AL59" s="1641"/>
      <c r="AM59" s="1641"/>
      <c r="AN59" s="1641"/>
      <c r="AO59" s="1641"/>
      <c r="AP59" s="1641"/>
      <c r="AQ59" s="1641"/>
      <c r="AR59" s="1641"/>
      <c r="AS59" s="1641"/>
      <c r="AT59" s="1641"/>
      <c r="AU59" s="1641"/>
      <c r="AV59" s="1641"/>
      <c r="AW59" s="1641"/>
      <c r="AX59" s="1641"/>
      <c r="AY59" s="1641"/>
      <c r="AZ59" s="1641"/>
      <c r="BA59" s="1641"/>
      <c r="BB59" s="1641"/>
      <c r="BC59" s="1641"/>
      <c r="BD59" s="1641"/>
      <c r="BE59" s="1641"/>
      <c r="BF59" s="1641"/>
      <c r="BG59" s="1641"/>
      <c r="BH59" s="1641"/>
      <c r="BI59" s="1641"/>
      <c r="BJ59" s="1641"/>
      <c r="BK59" s="1641"/>
      <c r="BL59" s="1641"/>
      <c r="BM59" s="1641"/>
      <c r="BN59" s="1641"/>
      <c r="BO59" s="1641"/>
      <c r="BP59" s="1641"/>
      <c r="BQ59" s="1641"/>
      <c r="BR59" s="1641"/>
      <c r="BS59" s="1641"/>
      <c r="BT59" s="1641"/>
      <c r="BU59" s="1641"/>
      <c r="BV59" s="1641"/>
      <c r="BW59" s="1641"/>
      <c r="BX59" s="1641"/>
      <c r="BY59" s="1641"/>
      <c r="BZ59" s="1641"/>
      <c r="CA59" s="1641"/>
      <c r="CB59" s="1641"/>
      <c r="CC59" s="1641"/>
      <c r="CD59" s="1641"/>
      <c r="CE59" s="1641"/>
      <c r="CF59" s="1641"/>
      <c r="CG59" s="1641"/>
      <c r="CH59" s="1641"/>
      <c r="CI59" s="1641"/>
      <c r="CJ59" s="1641"/>
      <c r="CK59" s="1641"/>
      <c r="CL59" s="1641"/>
      <c r="CM59" s="1641"/>
      <c r="CN59" s="1641"/>
      <c r="CO59" s="1641"/>
      <c r="CP59" s="1641"/>
      <c r="CQ59" s="1641"/>
      <c r="CR59" s="1641"/>
      <c r="CS59" s="1641"/>
      <c r="CT59" s="1641"/>
      <c r="CU59" s="1641"/>
      <c r="CV59" s="1641"/>
      <c r="CW59" s="1641"/>
      <c r="CX59" s="1641"/>
      <c r="CY59" s="1641"/>
      <c r="CZ59" s="1641"/>
      <c r="DA59" s="1641"/>
      <c r="DB59" s="1641"/>
      <c r="DC59" s="1641"/>
      <c r="DD59" s="1641"/>
      <c r="DE59" s="1641"/>
      <c r="DF59" s="1641"/>
      <c r="DG59" s="1641"/>
      <c r="DH59" s="1641"/>
      <c r="DI59" s="1641"/>
      <c r="DJ59" s="1641"/>
      <c r="DK59" s="1641"/>
      <c r="DL59" s="1641"/>
      <c r="DM59" s="1641"/>
      <c r="DN59" s="1641"/>
      <c r="DO59" s="1641"/>
      <c r="DP59" s="1641"/>
      <c r="DQ59" s="1641"/>
      <c r="DR59" s="1641"/>
      <c r="DS59" s="1641"/>
      <c r="DT59" s="1641"/>
      <c r="DU59" s="1641"/>
      <c r="DV59" s="1641"/>
      <c r="DW59" s="1641"/>
      <c r="DX59" s="1641"/>
      <c r="DY59" s="1641"/>
      <c r="DZ59" s="1641"/>
      <c r="EA59" s="1641"/>
      <c r="EB59" s="1641"/>
      <c r="EC59" s="1641"/>
      <c r="ED59" s="1641"/>
      <c r="EE59" s="1641"/>
      <c r="EF59" s="1641"/>
      <c r="EG59" s="1641">
        <v>3562</v>
      </c>
      <c r="EH59" s="1641"/>
      <c r="EI59" s="1641"/>
      <c r="EJ59" s="1641"/>
      <c r="EK59" s="1641"/>
      <c r="EL59" s="1641"/>
      <c r="EM59" s="1641"/>
      <c r="EN59" s="1641"/>
      <c r="EO59" s="1641"/>
      <c r="EP59" s="1641"/>
      <c r="EQ59" s="1641"/>
      <c r="ER59" s="1641"/>
      <c r="ES59" s="1641"/>
      <c r="ET59" s="1641"/>
      <c r="EU59" s="1641"/>
      <c r="EV59" s="1641"/>
      <c r="EW59" s="1641"/>
      <c r="EX59" s="1641"/>
      <c r="EY59" s="1641"/>
      <c r="EZ59" s="1641"/>
      <c r="FA59" s="1641"/>
      <c r="FB59" s="1641"/>
      <c r="FC59" s="1641"/>
      <c r="FD59" s="1641"/>
      <c r="FE59" s="1641"/>
      <c r="FF59" s="1641"/>
      <c r="FG59" s="1641"/>
      <c r="FH59" s="1641"/>
      <c r="FI59" s="1641"/>
      <c r="FJ59" s="1641"/>
      <c r="FK59" s="1641"/>
      <c r="FL59" s="1641"/>
      <c r="FM59" s="1641"/>
      <c r="FN59" s="1641"/>
      <c r="FO59" s="1641"/>
      <c r="FP59" s="1641"/>
      <c r="FQ59" s="1641"/>
      <c r="FR59" s="1641"/>
      <c r="FS59" s="1641"/>
      <c r="FT59" s="1641"/>
      <c r="FU59" s="1641"/>
      <c r="FV59" s="1641"/>
      <c r="FW59" s="1641"/>
      <c r="FX59" s="1641"/>
      <c r="FY59" s="1641"/>
      <c r="FZ59" s="1641"/>
      <c r="GA59" s="1641"/>
      <c r="GB59" s="1641"/>
      <c r="GC59" s="1641"/>
      <c r="GD59" s="1641"/>
      <c r="GE59" s="1641"/>
      <c r="GF59" s="1641"/>
      <c r="GG59" s="1641"/>
      <c r="GH59" s="1641"/>
      <c r="GI59" s="1641"/>
      <c r="GJ59" s="1641"/>
      <c r="GK59" s="1641"/>
      <c r="GL59" s="1641"/>
      <c r="GM59" s="1641"/>
      <c r="GN59" s="1641"/>
      <c r="GO59" s="1641"/>
      <c r="GP59" s="1641"/>
      <c r="GQ59" s="1641"/>
      <c r="GR59" s="1641"/>
      <c r="GS59" s="1641"/>
      <c r="GT59" s="1641"/>
      <c r="GU59" s="1641"/>
      <c r="GV59" s="1641"/>
      <c r="GW59" s="1641"/>
      <c r="GX59" s="1641"/>
      <c r="GY59" s="1641"/>
      <c r="GZ59" s="1641"/>
      <c r="HA59" s="1641"/>
      <c r="HB59" s="1641"/>
      <c r="HC59" s="1641"/>
      <c r="HD59" s="1641"/>
      <c r="HE59" s="1641"/>
      <c r="HF59" s="1641"/>
      <c r="HG59" s="1641"/>
      <c r="HH59" s="1641"/>
      <c r="HI59" s="1641"/>
      <c r="HJ59" s="1641"/>
      <c r="HK59" s="1641"/>
      <c r="HL59" s="1641"/>
      <c r="HM59" s="1641"/>
      <c r="HN59" s="1641"/>
      <c r="HO59" s="1641"/>
      <c r="HP59" s="1641"/>
      <c r="HQ59" s="1641"/>
      <c r="HR59" s="1641"/>
      <c r="HS59" s="1641"/>
      <c r="HT59" s="1641"/>
      <c r="HU59" s="1641"/>
      <c r="HV59" s="1641"/>
      <c r="HW59" s="1641"/>
      <c r="HX59" s="1641"/>
      <c r="HY59" s="1641"/>
      <c r="HZ59" s="1641"/>
      <c r="IA59" s="1641"/>
      <c r="IB59" s="1641"/>
      <c r="IC59" s="1641"/>
      <c r="ID59" s="1641"/>
      <c r="IE59" s="1641"/>
      <c r="IF59" s="1641"/>
      <c r="IG59" s="1641"/>
      <c r="IH59" s="1641"/>
      <c r="II59" s="1641"/>
      <c r="IJ59" s="1641"/>
      <c r="IK59" s="1641"/>
      <c r="IL59" s="1641"/>
      <c r="IM59" s="1641"/>
      <c r="IN59" s="1641"/>
      <c r="IO59" s="1641"/>
      <c r="IP59" s="1642"/>
      <c r="IQ59" s="1642"/>
      <c r="IR59" s="1642"/>
      <c r="IS59" s="1642"/>
      <c r="IT59" s="1642"/>
      <c r="IU59" s="1642"/>
      <c r="IV59" s="1642"/>
      <c r="IW59" s="1642"/>
      <c r="IX59" s="1641"/>
      <c r="IY59" s="1641"/>
      <c r="IZ59" s="1641"/>
      <c r="JA59" s="1641"/>
      <c r="JB59" s="1641"/>
      <c r="JC59" s="1641"/>
      <c r="JD59" s="1641"/>
      <c r="JE59" s="1641">
        <v>3562</v>
      </c>
      <c r="JF59" s="1641"/>
      <c r="JG59" s="1641"/>
      <c r="JH59" s="1642"/>
      <c r="JI59" s="1642"/>
      <c r="JJ59" s="1642"/>
      <c r="JK59" s="1642"/>
      <c r="JL59" s="1642"/>
      <c r="JM59" s="1642"/>
      <c r="JN59" s="1642"/>
      <c r="JO59" s="1642"/>
      <c r="JP59" s="1642"/>
      <c r="JQ59" s="1643"/>
      <c r="JR59" s="351"/>
    </row>
    <row r="60" spans="1:278" x14ac:dyDescent="0.25">
      <c r="A60" s="1367">
        <v>60</v>
      </c>
      <c r="B60" s="1411" t="str">
        <f t="shared" si="0"/>
        <v/>
      </c>
      <c r="C60" s="1435" t="s">
        <v>3942</v>
      </c>
      <c r="D60" s="1361" t="s">
        <v>3851</v>
      </c>
      <c r="E60" s="1641"/>
      <c r="F60" s="1641"/>
      <c r="G60" s="1641"/>
      <c r="H60" s="1641"/>
      <c r="I60" s="1641"/>
      <c r="J60" s="1641"/>
      <c r="K60" s="1641"/>
      <c r="L60" s="1641"/>
      <c r="M60" s="1641"/>
      <c r="N60" s="1641"/>
      <c r="O60" s="1641"/>
      <c r="P60" s="1641"/>
      <c r="Q60" s="1641"/>
      <c r="R60" s="1641"/>
      <c r="S60" s="1641"/>
      <c r="T60" s="1641"/>
      <c r="U60" s="1641"/>
      <c r="V60" s="1641"/>
      <c r="W60" s="1641"/>
      <c r="X60" s="1641"/>
      <c r="Y60" s="1641"/>
      <c r="Z60" s="1641"/>
      <c r="AA60" s="1641"/>
      <c r="AB60" s="1641"/>
      <c r="AC60" s="1641"/>
      <c r="AD60" s="1641"/>
      <c r="AE60" s="1641"/>
      <c r="AF60" s="1641"/>
      <c r="AG60" s="1641"/>
      <c r="AH60" s="1641"/>
      <c r="AI60" s="1641"/>
      <c r="AJ60" s="1641"/>
      <c r="AK60" s="1641"/>
      <c r="AL60" s="1641"/>
      <c r="AM60" s="1641"/>
      <c r="AN60" s="1641"/>
      <c r="AO60" s="1641"/>
      <c r="AP60" s="1639"/>
      <c r="AQ60" s="1641"/>
      <c r="AR60" s="1641"/>
      <c r="AS60" s="1641"/>
      <c r="AT60" s="1641"/>
      <c r="AU60" s="1641"/>
      <c r="AV60" s="1641"/>
      <c r="AW60" s="1641"/>
      <c r="AX60" s="1641"/>
      <c r="AY60" s="1641"/>
      <c r="AZ60" s="1641"/>
      <c r="BA60" s="1641"/>
      <c r="BB60" s="1641"/>
      <c r="BC60" s="1641"/>
      <c r="BD60" s="1641"/>
      <c r="BE60" s="1641"/>
      <c r="BF60" s="1641"/>
      <c r="BG60" s="1641"/>
      <c r="BH60" s="1641"/>
      <c r="BI60" s="1641"/>
      <c r="BJ60" s="1641"/>
      <c r="BK60" s="1641"/>
      <c r="BL60" s="1641"/>
      <c r="BM60" s="1641"/>
      <c r="BN60" s="1641"/>
      <c r="BO60" s="1641"/>
      <c r="BP60" s="1641"/>
      <c r="BQ60" s="1641"/>
      <c r="BR60" s="1641"/>
      <c r="BS60" s="1641"/>
      <c r="BT60" s="1641"/>
      <c r="BU60" s="1641"/>
      <c r="BV60" s="1641"/>
      <c r="BW60" s="1641"/>
      <c r="BX60" s="1641"/>
      <c r="BY60" s="1641"/>
      <c r="BZ60" s="1641"/>
      <c r="CA60" s="1641"/>
      <c r="CB60" s="1641"/>
      <c r="CC60" s="1641"/>
      <c r="CD60" s="1641"/>
      <c r="CE60" s="1641"/>
      <c r="CF60" s="1641"/>
      <c r="CG60" s="1641"/>
      <c r="CH60" s="1641"/>
      <c r="CI60" s="1641"/>
      <c r="CJ60" s="1641"/>
      <c r="CK60" s="1641"/>
      <c r="CL60" s="1641"/>
      <c r="CM60" s="1641"/>
      <c r="CN60" s="1641"/>
      <c r="CO60" s="1641"/>
      <c r="CP60" s="1641"/>
      <c r="CQ60" s="1641"/>
      <c r="CR60" s="1641"/>
      <c r="CS60" s="1641"/>
      <c r="CT60" s="1641"/>
      <c r="CU60" s="1641"/>
      <c r="CV60" s="1641"/>
      <c r="CW60" s="1641"/>
      <c r="CX60" s="1641"/>
      <c r="CY60" s="1641"/>
      <c r="CZ60" s="1641"/>
      <c r="DA60" s="1641"/>
      <c r="DB60" s="1641"/>
      <c r="DC60" s="1641"/>
      <c r="DD60" s="1641"/>
      <c r="DE60" s="1641"/>
      <c r="DF60" s="1641"/>
      <c r="DG60" s="1641"/>
      <c r="DH60" s="1641"/>
      <c r="DI60" s="1641"/>
      <c r="DJ60" s="1641"/>
      <c r="DK60" s="1641"/>
      <c r="DL60" s="1641"/>
      <c r="DM60" s="1641"/>
      <c r="DN60" s="1641"/>
      <c r="DO60" s="1641"/>
      <c r="DP60" s="1641"/>
      <c r="DQ60" s="1641"/>
      <c r="DR60" s="1641"/>
      <c r="DS60" s="1641"/>
      <c r="DT60" s="1641"/>
      <c r="DU60" s="1641"/>
      <c r="DV60" s="1641"/>
      <c r="DW60" s="1641"/>
      <c r="DX60" s="1641"/>
      <c r="DY60" s="1641"/>
      <c r="DZ60" s="1641"/>
      <c r="EA60" s="1641"/>
      <c r="EB60" s="1641"/>
      <c r="EC60" s="1641"/>
      <c r="ED60" s="1641"/>
      <c r="EE60" s="1641"/>
      <c r="EF60" s="1641"/>
      <c r="EG60" s="1639" t="s">
        <v>3892</v>
      </c>
      <c r="EH60" s="1641"/>
      <c r="EI60" s="1641"/>
      <c r="EJ60" s="1641"/>
      <c r="EK60" s="1641"/>
      <c r="EL60" s="1641"/>
      <c r="EM60" s="1641"/>
      <c r="EN60" s="1641"/>
      <c r="EO60" s="1641"/>
      <c r="EP60" s="1641"/>
      <c r="EQ60" s="1641"/>
      <c r="ER60" s="1641"/>
      <c r="ES60" s="1641"/>
      <c r="ET60" s="1641"/>
      <c r="EU60" s="1641"/>
      <c r="EV60" s="1641"/>
      <c r="EW60" s="1641"/>
      <c r="EX60" s="1641"/>
      <c r="EY60" s="1641"/>
      <c r="EZ60" s="1641"/>
      <c r="FA60" s="1641"/>
      <c r="FB60" s="1641"/>
      <c r="FC60" s="1641"/>
      <c r="FD60" s="1641"/>
      <c r="FE60" s="1641"/>
      <c r="FF60" s="1641"/>
      <c r="FG60" s="1641"/>
      <c r="FH60" s="1641"/>
      <c r="FI60" s="1641"/>
      <c r="FJ60" s="1641"/>
      <c r="FK60" s="1641"/>
      <c r="FL60" s="1641"/>
      <c r="FM60" s="1641"/>
      <c r="FN60" s="1641"/>
      <c r="FO60" s="1641"/>
      <c r="FP60" s="1641"/>
      <c r="FQ60" s="1641"/>
      <c r="FR60" s="1641"/>
      <c r="FS60" s="1641"/>
      <c r="FT60" s="1641"/>
      <c r="FU60" s="1641"/>
      <c r="FV60" s="1641"/>
      <c r="FW60" s="1641"/>
      <c r="FX60" s="1641"/>
      <c r="FY60" s="1641"/>
      <c r="FZ60" s="1641"/>
      <c r="GA60" s="1641"/>
      <c r="GB60" s="1641"/>
      <c r="GC60" s="1641"/>
      <c r="GD60" s="1641"/>
      <c r="GE60" s="1641"/>
      <c r="GF60" s="1641"/>
      <c r="GG60" s="1641"/>
      <c r="GH60" s="1641"/>
      <c r="GI60" s="1641"/>
      <c r="GJ60" s="1641"/>
      <c r="GK60" s="1641"/>
      <c r="GL60" s="1641"/>
      <c r="GM60" s="1641"/>
      <c r="GN60" s="1641"/>
      <c r="GO60" s="1641"/>
      <c r="GP60" s="1641"/>
      <c r="GQ60" s="1641"/>
      <c r="GR60" s="1641"/>
      <c r="GS60" s="1641"/>
      <c r="GT60" s="1641"/>
      <c r="GU60" s="1641"/>
      <c r="GV60" s="1641"/>
      <c r="GW60" s="1641"/>
      <c r="GX60" s="1641"/>
      <c r="GY60" s="1641"/>
      <c r="GZ60" s="1641"/>
      <c r="HA60" s="1641"/>
      <c r="HB60" s="1641"/>
      <c r="HC60" s="1641"/>
      <c r="HD60" s="1641"/>
      <c r="HE60" s="1641"/>
      <c r="HF60" s="1641"/>
      <c r="HG60" s="1641"/>
      <c r="HH60" s="1641"/>
      <c r="HI60" s="1641"/>
      <c r="HJ60" s="1641"/>
      <c r="HK60" s="1641"/>
      <c r="HL60" s="1641"/>
      <c r="HM60" s="1641"/>
      <c r="HN60" s="1641"/>
      <c r="HO60" s="1641"/>
      <c r="HP60" s="1641"/>
      <c r="HQ60" s="1641"/>
      <c r="HR60" s="1641"/>
      <c r="HS60" s="1641"/>
      <c r="HT60" s="1641"/>
      <c r="HU60" s="1641"/>
      <c r="HV60" s="1641"/>
      <c r="HW60" s="1641"/>
      <c r="HX60" s="1641"/>
      <c r="HY60" s="1641"/>
      <c r="HZ60" s="1641"/>
      <c r="IA60" s="1641"/>
      <c r="IB60" s="1641"/>
      <c r="IC60" s="1641"/>
      <c r="ID60" s="1641"/>
      <c r="IE60" s="1641"/>
      <c r="IF60" s="1641"/>
      <c r="IG60" s="1641"/>
      <c r="IH60" s="1641"/>
      <c r="II60" s="1641"/>
      <c r="IJ60" s="1641"/>
      <c r="IK60" s="1641"/>
      <c r="IL60" s="1641"/>
      <c r="IM60" s="1641"/>
      <c r="IN60" s="1641"/>
      <c r="IO60" s="1641"/>
      <c r="IP60" s="1642"/>
      <c r="IQ60" s="1642"/>
      <c r="IR60" s="1642"/>
      <c r="IS60" s="1642"/>
      <c r="IT60" s="1642"/>
      <c r="IU60" s="1642"/>
      <c r="IV60" s="1642"/>
      <c r="IW60" s="1642"/>
      <c r="IX60" s="1641"/>
      <c r="IY60" s="1641"/>
      <c r="IZ60" s="1641"/>
      <c r="JA60" s="1641"/>
      <c r="JB60" s="1641"/>
      <c r="JC60" s="1641"/>
      <c r="JD60" s="1641"/>
      <c r="JE60" s="1639" t="s">
        <v>3892</v>
      </c>
      <c r="JF60" s="1641"/>
      <c r="JG60" s="1641"/>
      <c r="JH60" s="1642"/>
      <c r="JI60" s="1642"/>
      <c r="JJ60" s="1642"/>
      <c r="JK60" s="1642"/>
      <c r="JL60" s="1642"/>
      <c r="JM60" s="1642"/>
      <c r="JN60" s="1642"/>
      <c r="JO60" s="1642"/>
      <c r="JP60" s="1642"/>
      <c r="JQ60" s="1643"/>
      <c r="JR60" s="351"/>
    </row>
    <row r="61" spans="1:278" x14ac:dyDescent="0.25">
      <c r="A61" s="1367">
        <v>61</v>
      </c>
      <c r="B61" s="1411" t="str">
        <f t="shared" si="0"/>
        <v/>
      </c>
      <c r="C61" s="1435" t="s">
        <v>3943</v>
      </c>
      <c r="D61" s="1361" t="s">
        <v>3867</v>
      </c>
      <c r="E61" s="1641"/>
      <c r="F61" s="1641"/>
      <c r="G61" s="1641"/>
      <c r="H61" s="1641"/>
      <c r="I61" s="1641"/>
      <c r="J61" s="1641"/>
      <c r="K61" s="1641"/>
      <c r="L61" s="1641"/>
      <c r="M61" s="1641"/>
      <c r="N61" s="1641"/>
      <c r="O61" s="1641"/>
      <c r="P61" s="1641"/>
      <c r="Q61" s="1641"/>
      <c r="R61" s="1641"/>
      <c r="S61" s="1641"/>
      <c r="T61" s="1641"/>
      <c r="U61" s="1641"/>
      <c r="V61" s="1641"/>
      <c r="W61" s="1641"/>
      <c r="X61" s="1641"/>
      <c r="Y61" s="1641"/>
      <c r="Z61" s="1641"/>
      <c r="AA61" s="1641"/>
      <c r="AB61" s="1641"/>
      <c r="AC61" s="1641"/>
      <c r="AD61" s="1641"/>
      <c r="AE61" s="1641"/>
      <c r="AF61" s="1641"/>
      <c r="AG61" s="1641"/>
      <c r="AH61" s="1641"/>
      <c r="AI61" s="1641"/>
      <c r="AJ61" s="1641"/>
      <c r="AK61" s="1641"/>
      <c r="AL61" s="1641"/>
      <c r="AM61" s="1641"/>
      <c r="AN61" s="1641"/>
      <c r="AO61" s="1641"/>
      <c r="AP61" s="1641"/>
      <c r="AQ61" s="1641"/>
      <c r="AR61" s="1641"/>
      <c r="AS61" s="1641"/>
      <c r="AT61" s="1641"/>
      <c r="AU61" s="1641"/>
      <c r="AV61" s="1641"/>
      <c r="AW61" s="1641"/>
      <c r="AX61" s="1641"/>
      <c r="AY61" s="1641"/>
      <c r="AZ61" s="1641"/>
      <c r="BA61" s="1641"/>
      <c r="BB61" s="1641"/>
      <c r="BC61" s="1641"/>
      <c r="BD61" s="1641"/>
      <c r="BE61" s="1641"/>
      <c r="BF61" s="1641"/>
      <c r="BG61" s="1641"/>
      <c r="BH61" s="1641"/>
      <c r="BI61" s="1641"/>
      <c r="BJ61" s="1641"/>
      <c r="BK61" s="1641"/>
      <c r="BL61" s="1641"/>
      <c r="BM61" s="1641"/>
      <c r="BN61" s="1641"/>
      <c r="BO61" s="1641"/>
      <c r="BP61" s="1641"/>
      <c r="BQ61" s="1641"/>
      <c r="BR61" s="1641"/>
      <c r="BS61" s="1641"/>
      <c r="BT61" s="1641"/>
      <c r="BU61" s="1641"/>
      <c r="BV61" s="1641"/>
      <c r="BW61" s="1641"/>
      <c r="BX61" s="1641"/>
      <c r="BY61" s="1641"/>
      <c r="BZ61" s="1641"/>
      <c r="CA61" s="1641"/>
      <c r="CB61" s="1641"/>
      <c r="CC61" s="1641"/>
      <c r="CD61" s="1641"/>
      <c r="CE61" s="1641"/>
      <c r="CF61" s="1641"/>
      <c r="CG61" s="1641"/>
      <c r="CH61" s="1641"/>
      <c r="CI61" s="1641"/>
      <c r="CJ61" s="1641"/>
      <c r="CK61" s="1641"/>
      <c r="CL61" s="1641"/>
      <c r="CM61" s="1641"/>
      <c r="CN61" s="1641"/>
      <c r="CO61" s="1641"/>
      <c r="CP61" s="1641"/>
      <c r="CQ61" s="1641"/>
      <c r="CR61" s="1641"/>
      <c r="CS61" s="1641"/>
      <c r="CT61" s="1641"/>
      <c r="CU61" s="1641"/>
      <c r="CV61" s="1641"/>
      <c r="CW61" s="1641"/>
      <c r="CX61" s="1641"/>
      <c r="CY61" s="1641"/>
      <c r="CZ61" s="1641"/>
      <c r="DA61" s="1641"/>
      <c r="DB61" s="1641"/>
      <c r="DC61" s="1641"/>
      <c r="DD61" s="1641"/>
      <c r="DE61" s="1641"/>
      <c r="DF61" s="1641"/>
      <c r="DG61" s="1641"/>
      <c r="DH61" s="1641"/>
      <c r="DI61" s="1641"/>
      <c r="DJ61" s="1641"/>
      <c r="DK61" s="1641"/>
      <c r="DL61" s="1641"/>
      <c r="DM61" s="1641"/>
      <c r="DN61" s="1641"/>
      <c r="DO61" s="1641"/>
      <c r="DP61" s="1641"/>
      <c r="DQ61" s="1641"/>
      <c r="DR61" s="1641"/>
      <c r="DS61" s="1641"/>
      <c r="DT61" s="1641"/>
      <c r="DU61" s="1641"/>
      <c r="DV61" s="1641"/>
      <c r="DW61" s="1641"/>
      <c r="DX61" s="1641"/>
      <c r="DY61" s="1641"/>
      <c r="DZ61" s="1641"/>
      <c r="EA61" s="1641"/>
      <c r="EB61" s="1641"/>
      <c r="EC61" s="1641"/>
      <c r="ED61" s="1641"/>
      <c r="EE61" s="1641"/>
      <c r="EF61" s="1641"/>
      <c r="EG61" s="1641">
        <v>2679</v>
      </c>
      <c r="EH61" s="1641"/>
      <c r="EI61" s="1641"/>
      <c r="EJ61" s="1641"/>
      <c r="EK61" s="1641"/>
      <c r="EL61" s="1641"/>
      <c r="EM61" s="1641"/>
      <c r="EN61" s="1641"/>
      <c r="EO61" s="1641"/>
      <c r="EP61" s="1641"/>
      <c r="EQ61" s="1641"/>
      <c r="ER61" s="1641"/>
      <c r="ES61" s="1641"/>
      <c r="ET61" s="1641"/>
      <c r="EU61" s="1641"/>
      <c r="EV61" s="1641"/>
      <c r="EW61" s="1641"/>
      <c r="EX61" s="1641"/>
      <c r="EY61" s="1641"/>
      <c r="EZ61" s="1641"/>
      <c r="FA61" s="1641"/>
      <c r="FB61" s="1641"/>
      <c r="FC61" s="1641"/>
      <c r="FD61" s="1641"/>
      <c r="FE61" s="1641"/>
      <c r="FF61" s="1641"/>
      <c r="FG61" s="1641"/>
      <c r="FH61" s="1641"/>
      <c r="FI61" s="1641"/>
      <c r="FJ61" s="1641"/>
      <c r="FK61" s="1641"/>
      <c r="FL61" s="1641"/>
      <c r="FM61" s="1641"/>
      <c r="FN61" s="1641"/>
      <c r="FO61" s="1641"/>
      <c r="FP61" s="1641"/>
      <c r="FQ61" s="1641"/>
      <c r="FR61" s="1641"/>
      <c r="FS61" s="1641"/>
      <c r="FT61" s="1641"/>
      <c r="FU61" s="1641"/>
      <c r="FV61" s="1641"/>
      <c r="FW61" s="1641"/>
      <c r="FX61" s="1641"/>
      <c r="FY61" s="1641"/>
      <c r="FZ61" s="1641"/>
      <c r="GA61" s="1641"/>
      <c r="GB61" s="1641"/>
      <c r="GC61" s="1641"/>
      <c r="GD61" s="1641"/>
      <c r="GE61" s="1641"/>
      <c r="GF61" s="1641"/>
      <c r="GG61" s="1641"/>
      <c r="GH61" s="1641"/>
      <c r="GI61" s="1641"/>
      <c r="GJ61" s="1641"/>
      <c r="GK61" s="1641"/>
      <c r="GL61" s="1641"/>
      <c r="GM61" s="1641"/>
      <c r="GN61" s="1641"/>
      <c r="GO61" s="1641"/>
      <c r="GP61" s="1641"/>
      <c r="GQ61" s="1641"/>
      <c r="GR61" s="1641"/>
      <c r="GS61" s="1641"/>
      <c r="GT61" s="1641"/>
      <c r="GU61" s="1641"/>
      <c r="GV61" s="1641"/>
      <c r="GW61" s="1641"/>
      <c r="GX61" s="1641"/>
      <c r="GY61" s="1641"/>
      <c r="GZ61" s="1641"/>
      <c r="HA61" s="1641"/>
      <c r="HB61" s="1641"/>
      <c r="HC61" s="1641"/>
      <c r="HD61" s="1641"/>
      <c r="HE61" s="1641"/>
      <c r="HF61" s="1641"/>
      <c r="HG61" s="1641"/>
      <c r="HH61" s="1641"/>
      <c r="HI61" s="1641"/>
      <c r="HJ61" s="1641"/>
      <c r="HK61" s="1641"/>
      <c r="HL61" s="1641"/>
      <c r="HM61" s="1641"/>
      <c r="HN61" s="1641"/>
      <c r="HO61" s="1641"/>
      <c r="HP61" s="1641"/>
      <c r="HQ61" s="1641"/>
      <c r="HR61" s="1641"/>
      <c r="HS61" s="1641"/>
      <c r="HT61" s="1641"/>
      <c r="HU61" s="1641"/>
      <c r="HV61" s="1641"/>
      <c r="HW61" s="1641"/>
      <c r="HX61" s="1641"/>
      <c r="HY61" s="1641"/>
      <c r="HZ61" s="1641"/>
      <c r="IA61" s="1641"/>
      <c r="IB61" s="1641"/>
      <c r="IC61" s="1641"/>
      <c r="ID61" s="1641"/>
      <c r="IE61" s="1641"/>
      <c r="IF61" s="1641"/>
      <c r="IG61" s="1641"/>
      <c r="IH61" s="1641"/>
      <c r="II61" s="1641"/>
      <c r="IJ61" s="1641"/>
      <c r="IK61" s="1641"/>
      <c r="IL61" s="1641"/>
      <c r="IM61" s="1641"/>
      <c r="IN61" s="1641"/>
      <c r="IO61" s="1641"/>
      <c r="IP61" s="1642"/>
      <c r="IQ61" s="1642"/>
      <c r="IR61" s="1642"/>
      <c r="IS61" s="1642"/>
      <c r="IT61" s="1642"/>
      <c r="IU61" s="1642"/>
      <c r="IV61" s="1642"/>
      <c r="IW61" s="1642"/>
      <c r="IX61" s="1641"/>
      <c r="IY61" s="1641"/>
      <c r="IZ61" s="1641"/>
      <c r="JA61" s="1641"/>
      <c r="JB61" s="1641"/>
      <c r="JC61" s="1641"/>
      <c r="JD61" s="1641"/>
      <c r="JE61" s="1641">
        <v>2679</v>
      </c>
      <c r="JF61" s="1641"/>
      <c r="JG61" s="1641"/>
      <c r="JH61" s="1642"/>
      <c r="JI61" s="1642"/>
      <c r="JJ61" s="1642"/>
      <c r="JK61" s="1642"/>
      <c r="JL61" s="1642"/>
      <c r="JM61" s="1642"/>
      <c r="JN61" s="1642"/>
      <c r="JO61" s="1642"/>
      <c r="JP61" s="1642"/>
      <c r="JQ61" s="1643"/>
      <c r="JR61" s="351"/>
    </row>
    <row r="62" spans="1:278" x14ac:dyDescent="0.25">
      <c r="A62" s="1367">
        <v>62</v>
      </c>
      <c r="B62" s="1411" t="str">
        <f t="shared" si="0"/>
        <v/>
      </c>
      <c r="C62" s="1435" t="s">
        <v>3944</v>
      </c>
      <c r="D62" s="1361" t="s">
        <v>3869</v>
      </c>
      <c r="E62" s="1641"/>
      <c r="F62" s="1641"/>
      <c r="G62" s="1641"/>
      <c r="H62" s="1641"/>
      <c r="I62" s="1641"/>
      <c r="J62" s="1641"/>
      <c r="K62" s="1641"/>
      <c r="L62" s="1641"/>
      <c r="M62" s="1641"/>
      <c r="N62" s="1641"/>
      <c r="O62" s="1641"/>
      <c r="P62" s="1641"/>
      <c r="Q62" s="1641"/>
      <c r="R62" s="1641"/>
      <c r="S62" s="1641"/>
      <c r="T62" s="1641"/>
      <c r="U62" s="1641"/>
      <c r="V62" s="1641"/>
      <c r="W62" s="1641"/>
      <c r="X62" s="1641"/>
      <c r="Y62" s="1641"/>
      <c r="Z62" s="1641"/>
      <c r="AA62" s="1641"/>
      <c r="AB62" s="1641"/>
      <c r="AC62" s="1641"/>
      <c r="AD62" s="1641"/>
      <c r="AE62" s="1641"/>
      <c r="AF62" s="1641"/>
      <c r="AG62" s="1641"/>
      <c r="AH62" s="1641"/>
      <c r="AI62" s="1641"/>
      <c r="AJ62" s="1641"/>
      <c r="AK62" s="1641"/>
      <c r="AL62" s="1641"/>
      <c r="AM62" s="1641"/>
      <c r="AN62" s="1641"/>
      <c r="AO62" s="1641"/>
      <c r="AP62" s="1641"/>
      <c r="AQ62" s="1641"/>
      <c r="AR62" s="1641"/>
      <c r="AS62" s="1641"/>
      <c r="AT62" s="1641"/>
      <c r="AU62" s="1641"/>
      <c r="AV62" s="1641"/>
      <c r="AW62" s="1641"/>
      <c r="AX62" s="1641"/>
      <c r="AY62" s="1641"/>
      <c r="AZ62" s="1641"/>
      <c r="BA62" s="1641"/>
      <c r="BB62" s="1641"/>
      <c r="BC62" s="1641"/>
      <c r="BD62" s="1641"/>
      <c r="BE62" s="1641"/>
      <c r="BF62" s="1641"/>
      <c r="BG62" s="1641"/>
      <c r="BH62" s="1641"/>
      <c r="BI62" s="1641"/>
      <c r="BJ62" s="1641"/>
      <c r="BK62" s="1641"/>
      <c r="BL62" s="1641"/>
      <c r="BM62" s="1641"/>
      <c r="BN62" s="1641"/>
      <c r="BO62" s="1641"/>
      <c r="BP62" s="1641"/>
      <c r="BQ62" s="1641"/>
      <c r="BR62" s="1641"/>
      <c r="BS62" s="1641"/>
      <c r="BT62" s="1641"/>
      <c r="BU62" s="1641"/>
      <c r="BV62" s="1641"/>
      <c r="BW62" s="1641"/>
      <c r="BX62" s="1641"/>
      <c r="BY62" s="1641"/>
      <c r="BZ62" s="1641"/>
      <c r="CA62" s="1641"/>
      <c r="CB62" s="1641"/>
      <c r="CC62" s="1641"/>
      <c r="CD62" s="1641"/>
      <c r="CE62" s="1641"/>
      <c r="CF62" s="1641"/>
      <c r="CG62" s="1641"/>
      <c r="CH62" s="1641"/>
      <c r="CI62" s="1641"/>
      <c r="CJ62" s="1641"/>
      <c r="CK62" s="1641"/>
      <c r="CL62" s="1641"/>
      <c r="CM62" s="1641"/>
      <c r="CN62" s="1641"/>
      <c r="CO62" s="1641"/>
      <c r="CP62" s="1641"/>
      <c r="CQ62" s="1641"/>
      <c r="CR62" s="1641"/>
      <c r="CS62" s="1641"/>
      <c r="CT62" s="1641"/>
      <c r="CU62" s="1641"/>
      <c r="CV62" s="1641"/>
      <c r="CW62" s="1641"/>
      <c r="CX62" s="1641"/>
      <c r="CY62" s="1641"/>
      <c r="CZ62" s="1641"/>
      <c r="DA62" s="1641"/>
      <c r="DB62" s="1641"/>
      <c r="DC62" s="1641"/>
      <c r="DD62" s="1641"/>
      <c r="DE62" s="1641"/>
      <c r="DF62" s="1641"/>
      <c r="DG62" s="1641"/>
      <c r="DH62" s="1641"/>
      <c r="DI62" s="1641"/>
      <c r="DJ62" s="1641"/>
      <c r="DK62" s="1641"/>
      <c r="DL62" s="1641"/>
      <c r="DM62" s="1641"/>
      <c r="DN62" s="1641"/>
      <c r="DO62" s="1641"/>
      <c r="DP62" s="1641"/>
      <c r="DQ62" s="1641"/>
      <c r="DR62" s="1641"/>
      <c r="DS62" s="1641"/>
      <c r="DT62" s="1641"/>
      <c r="DU62" s="1641"/>
      <c r="DV62" s="1641"/>
      <c r="DW62" s="1641"/>
      <c r="DX62" s="1641"/>
      <c r="DY62" s="1641"/>
      <c r="DZ62" s="1641"/>
      <c r="EA62" s="1641"/>
      <c r="EB62" s="1641"/>
      <c r="EC62" s="1641"/>
      <c r="ED62" s="1641"/>
      <c r="EE62" s="1641"/>
      <c r="EF62" s="1641"/>
      <c r="EG62" s="2564">
        <v>401</v>
      </c>
      <c r="EH62" s="1641"/>
      <c r="EI62" s="1641"/>
      <c r="EJ62" s="1641"/>
      <c r="EK62" s="1641"/>
      <c r="EL62" s="1641"/>
      <c r="EM62" s="1641"/>
      <c r="EN62" s="1641"/>
      <c r="EO62" s="1641"/>
      <c r="EP62" s="1641"/>
      <c r="EQ62" s="1641"/>
      <c r="ER62" s="1641"/>
      <c r="ES62" s="1641"/>
      <c r="ET62" s="1641"/>
      <c r="EU62" s="1641"/>
      <c r="EV62" s="1641"/>
      <c r="EW62" s="1641"/>
      <c r="EX62" s="1641"/>
      <c r="EY62" s="1641"/>
      <c r="EZ62" s="1641"/>
      <c r="FA62" s="1641"/>
      <c r="FB62" s="1641"/>
      <c r="FC62" s="1641"/>
      <c r="FD62" s="1641"/>
      <c r="FE62" s="1641"/>
      <c r="FF62" s="1641"/>
      <c r="FG62" s="1641"/>
      <c r="FH62" s="1641"/>
      <c r="FI62" s="1641"/>
      <c r="FJ62" s="1641"/>
      <c r="FK62" s="1641"/>
      <c r="FL62" s="1641"/>
      <c r="FM62" s="1641"/>
      <c r="FN62" s="1641"/>
      <c r="FO62" s="1641"/>
      <c r="FP62" s="1641"/>
      <c r="FQ62" s="1641"/>
      <c r="FR62" s="1641"/>
      <c r="FS62" s="1641"/>
      <c r="FT62" s="1641"/>
      <c r="FU62" s="1641"/>
      <c r="FV62" s="1641"/>
      <c r="FW62" s="1641"/>
      <c r="FX62" s="1641"/>
      <c r="FY62" s="1641"/>
      <c r="FZ62" s="1641"/>
      <c r="GA62" s="1641"/>
      <c r="GB62" s="1641"/>
      <c r="GC62" s="1641"/>
      <c r="GD62" s="1641"/>
      <c r="GE62" s="1641"/>
      <c r="GF62" s="1641"/>
      <c r="GG62" s="1641"/>
      <c r="GH62" s="1641"/>
      <c r="GI62" s="1641"/>
      <c r="GJ62" s="1641"/>
      <c r="GK62" s="1641"/>
      <c r="GL62" s="1641"/>
      <c r="GM62" s="1641"/>
      <c r="GN62" s="1641"/>
      <c r="GO62" s="1641"/>
      <c r="GP62" s="1641"/>
      <c r="GQ62" s="1641"/>
      <c r="GR62" s="1641"/>
      <c r="GS62" s="1641"/>
      <c r="GT62" s="1641"/>
      <c r="GU62" s="1641"/>
      <c r="GV62" s="1641"/>
      <c r="GW62" s="1641"/>
      <c r="GX62" s="1641"/>
      <c r="GY62" s="1641"/>
      <c r="GZ62" s="1641"/>
      <c r="HA62" s="1641"/>
      <c r="HB62" s="1641"/>
      <c r="HC62" s="1641"/>
      <c r="HD62" s="1641"/>
      <c r="HE62" s="1641"/>
      <c r="HF62" s="1641"/>
      <c r="HG62" s="1641"/>
      <c r="HH62" s="1641"/>
      <c r="HI62" s="1641"/>
      <c r="HJ62" s="1641"/>
      <c r="HK62" s="1641"/>
      <c r="HL62" s="1641"/>
      <c r="HM62" s="1641"/>
      <c r="HN62" s="1641"/>
      <c r="HO62" s="1641"/>
      <c r="HP62" s="1641"/>
      <c r="HQ62" s="1641"/>
      <c r="HR62" s="1641"/>
      <c r="HS62" s="1641"/>
      <c r="HT62" s="1641"/>
      <c r="HU62" s="1641"/>
      <c r="HV62" s="1641"/>
      <c r="HW62" s="1641"/>
      <c r="HX62" s="1641"/>
      <c r="HY62" s="1641"/>
      <c r="HZ62" s="1641"/>
      <c r="IA62" s="1641"/>
      <c r="IB62" s="1641"/>
      <c r="IC62" s="1641"/>
      <c r="ID62" s="1641"/>
      <c r="IE62" s="1641"/>
      <c r="IF62" s="1641"/>
      <c r="IG62" s="1641"/>
      <c r="IH62" s="1641"/>
      <c r="II62" s="1641"/>
      <c r="IJ62" s="1641"/>
      <c r="IK62" s="1641"/>
      <c r="IL62" s="1641"/>
      <c r="IM62" s="1641"/>
      <c r="IN62" s="1641"/>
      <c r="IO62" s="1641"/>
      <c r="IP62" s="1642"/>
      <c r="IQ62" s="1642"/>
      <c r="IR62" s="1642"/>
      <c r="IS62" s="1642"/>
      <c r="IT62" s="1642"/>
      <c r="IU62" s="1642"/>
      <c r="IV62" s="1642"/>
      <c r="IW62" s="1642"/>
      <c r="IX62" s="1641"/>
      <c r="IY62" s="1641"/>
      <c r="IZ62" s="1641"/>
      <c r="JA62" s="1641"/>
      <c r="JB62" s="1641"/>
      <c r="JC62" s="1641"/>
      <c r="JD62" s="1641"/>
      <c r="JE62" s="1641">
        <v>401</v>
      </c>
      <c r="JF62" s="1641"/>
      <c r="JG62" s="1641"/>
      <c r="JH62" s="1642"/>
      <c r="JI62" s="1642"/>
      <c r="JJ62" s="1642"/>
      <c r="JK62" s="1642"/>
      <c r="JL62" s="1642"/>
      <c r="JM62" s="1642"/>
      <c r="JN62" s="1642"/>
      <c r="JO62" s="1642"/>
      <c r="JP62" s="1642"/>
      <c r="JQ62" s="1643"/>
      <c r="JR62" s="351"/>
    </row>
    <row r="63" spans="1:278" x14ac:dyDescent="0.25">
      <c r="A63" s="1367">
        <v>63</v>
      </c>
      <c r="B63" s="1411" t="str">
        <f t="shared" si="0"/>
        <v/>
      </c>
      <c r="C63" s="1435" t="s">
        <v>3945</v>
      </c>
      <c r="D63" s="1361" t="s">
        <v>3871</v>
      </c>
      <c r="E63" s="1641"/>
      <c r="F63" s="1641"/>
      <c r="G63" s="1641"/>
      <c r="H63" s="1641"/>
      <c r="I63" s="1641"/>
      <c r="J63" s="1641"/>
      <c r="K63" s="1641"/>
      <c r="L63" s="1641"/>
      <c r="M63" s="1641"/>
      <c r="N63" s="1641"/>
      <c r="O63" s="1641"/>
      <c r="P63" s="1641"/>
      <c r="Q63" s="1641"/>
      <c r="R63" s="1641"/>
      <c r="S63" s="1641"/>
      <c r="T63" s="1641"/>
      <c r="U63" s="1641"/>
      <c r="V63" s="1641"/>
      <c r="W63" s="1641"/>
      <c r="X63" s="1641"/>
      <c r="Y63" s="1641"/>
      <c r="Z63" s="1641"/>
      <c r="AA63" s="1641"/>
      <c r="AB63" s="1641"/>
      <c r="AC63" s="1641"/>
      <c r="AD63" s="1641"/>
      <c r="AE63" s="1641"/>
      <c r="AF63" s="1641"/>
      <c r="AG63" s="1641"/>
      <c r="AH63" s="1641"/>
      <c r="AI63" s="1641"/>
      <c r="AJ63" s="1641"/>
      <c r="AK63" s="1641"/>
      <c r="AL63" s="1641"/>
      <c r="AM63" s="1641"/>
      <c r="AN63" s="1641"/>
      <c r="AO63" s="1641"/>
      <c r="AP63" s="1641"/>
      <c r="AQ63" s="1641"/>
      <c r="AR63" s="1641"/>
      <c r="AS63" s="1641"/>
      <c r="AT63" s="1641"/>
      <c r="AU63" s="1641"/>
      <c r="AV63" s="1641"/>
      <c r="AW63" s="1641"/>
      <c r="AX63" s="1641"/>
      <c r="AY63" s="1641"/>
      <c r="AZ63" s="1641"/>
      <c r="BA63" s="1641"/>
      <c r="BB63" s="1641"/>
      <c r="BC63" s="1641"/>
      <c r="BD63" s="1641"/>
      <c r="BE63" s="1641"/>
      <c r="BF63" s="1641"/>
      <c r="BG63" s="1641"/>
      <c r="BH63" s="1641"/>
      <c r="BI63" s="1641"/>
      <c r="BJ63" s="1641"/>
      <c r="BK63" s="1641"/>
      <c r="BL63" s="1641"/>
      <c r="BM63" s="1641"/>
      <c r="BN63" s="1641"/>
      <c r="BO63" s="1641"/>
      <c r="BP63" s="1641"/>
      <c r="BQ63" s="1641"/>
      <c r="BR63" s="1641"/>
      <c r="BS63" s="1641"/>
      <c r="BT63" s="1641"/>
      <c r="BU63" s="1641"/>
      <c r="BV63" s="1641"/>
      <c r="BW63" s="1641"/>
      <c r="BX63" s="1641"/>
      <c r="BY63" s="1641"/>
      <c r="BZ63" s="1641"/>
      <c r="CA63" s="1641"/>
      <c r="CB63" s="1641"/>
      <c r="CC63" s="1641"/>
      <c r="CD63" s="1641"/>
      <c r="CE63" s="1641"/>
      <c r="CF63" s="1641"/>
      <c r="CG63" s="1641"/>
      <c r="CH63" s="1641"/>
      <c r="CI63" s="1641"/>
      <c r="CJ63" s="1641"/>
      <c r="CK63" s="1641"/>
      <c r="CL63" s="1641"/>
      <c r="CM63" s="1641"/>
      <c r="CN63" s="1641"/>
      <c r="CO63" s="1641"/>
      <c r="CP63" s="1641"/>
      <c r="CQ63" s="1641"/>
      <c r="CR63" s="1641"/>
      <c r="CS63" s="1641"/>
      <c r="CT63" s="1641"/>
      <c r="CU63" s="1641"/>
      <c r="CV63" s="1641"/>
      <c r="CW63" s="1641"/>
      <c r="CX63" s="1641"/>
      <c r="CY63" s="1641"/>
      <c r="CZ63" s="1641"/>
      <c r="DA63" s="1641"/>
      <c r="DB63" s="1641"/>
      <c r="DC63" s="1641"/>
      <c r="DD63" s="1641"/>
      <c r="DE63" s="1641"/>
      <c r="DF63" s="1641"/>
      <c r="DG63" s="1641"/>
      <c r="DH63" s="1641"/>
      <c r="DI63" s="1641"/>
      <c r="DJ63" s="1641"/>
      <c r="DK63" s="1641"/>
      <c r="DL63" s="1641"/>
      <c r="DM63" s="1641"/>
      <c r="DN63" s="1641"/>
      <c r="DO63" s="1641"/>
      <c r="DP63" s="1641"/>
      <c r="DQ63" s="1641"/>
      <c r="DR63" s="1641"/>
      <c r="DS63" s="1641"/>
      <c r="DT63" s="1641"/>
      <c r="DU63" s="1641"/>
      <c r="DV63" s="1641"/>
      <c r="DW63" s="1641"/>
      <c r="DX63" s="1641"/>
      <c r="DY63" s="1641"/>
      <c r="DZ63" s="1641"/>
      <c r="EA63" s="1641"/>
      <c r="EB63" s="1641"/>
      <c r="EC63" s="1641"/>
      <c r="ED63" s="1641"/>
      <c r="EE63" s="1641"/>
      <c r="EF63" s="1641"/>
      <c r="EG63" s="1641"/>
      <c r="EH63" s="1641"/>
      <c r="EI63" s="1641"/>
      <c r="EJ63" s="1641"/>
      <c r="EK63" s="1641"/>
      <c r="EL63" s="1641"/>
      <c r="EM63" s="1641"/>
      <c r="EN63" s="1641"/>
      <c r="EO63" s="1641"/>
      <c r="EP63" s="1641"/>
      <c r="EQ63" s="1641"/>
      <c r="ER63" s="1641"/>
      <c r="ES63" s="1641"/>
      <c r="ET63" s="1641"/>
      <c r="EU63" s="1641"/>
      <c r="EV63" s="1641"/>
      <c r="EW63" s="1641"/>
      <c r="EX63" s="1641"/>
      <c r="EY63" s="1641"/>
      <c r="EZ63" s="1641"/>
      <c r="FA63" s="1641"/>
      <c r="FB63" s="1641"/>
      <c r="FC63" s="1641"/>
      <c r="FD63" s="1641"/>
      <c r="FE63" s="1641"/>
      <c r="FF63" s="1641"/>
      <c r="FG63" s="1641"/>
      <c r="FH63" s="1641"/>
      <c r="FI63" s="1641"/>
      <c r="FJ63" s="1641"/>
      <c r="FK63" s="1641"/>
      <c r="FL63" s="1641"/>
      <c r="FM63" s="1641"/>
      <c r="FN63" s="1641"/>
      <c r="FO63" s="1641"/>
      <c r="FP63" s="1641"/>
      <c r="FQ63" s="1641"/>
      <c r="FR63" s="1641"/>
      <c r="FS63" s="1641"/>
      <c r="FT63" s="1641"/>
      <c r="FU63" s="1641"/>
      <c r="FV63" s="1641"/>
      <c r="FW63" s="1641"/>
      <c r="FX63" s="1641"/>
      <c r="FY63" s="1641"/>
      <c r="FZ63" s="1641"/>
      <c r="GA63" s="1641"/>
      <c r="GB63" s="1641"/>
      <c r="GC63" s="1641"/>
      <c r="GD63" s="1641"/>
      <c r="GE63" s="1641"/>
      <c r="GF63" s="1641"/>
      <c r="GG63" s="1641"/>
      <c r="GH63" s="1641"/>
      <c r="GI63" s="1641"/>
      <c r="GJ63" s="1641"/>
      <c r="GK63" s="1641"/>
      <c r="GL63" s="1641"/>
      <c r="GM63" s="1641"/>
      <c r="GN63" s="1641"/>
      <c r="GO63" s="1641"/>
      <c r="GP63" s="1641"/>
      <c r="GQ63" s="1641"/>
      <c r="GR63" s="1641"/>
      <c r="GS63" s="1641"/>
      <c r="GT63" s="1641"/>
      <c r="GU63" s="1641"/>
      <c r="GV63" s="1641"/>
      <c r="GW63" s="1641"/>
      <c r="GX63" s="1641"/>
      <c r="GY63" s="1641"/>
      <c r="GZ63" s="1641"/>
      <c r="HA63" s="1641"/>
      <c r="HB63" s="1641"/>
      <c r="HC63" s="1641"/>
      <c r="HD63" s="1641"/>
      <c r="HE63" s="1641"/>
      <c r="HF63" s="1641"/>
      <c r="HG63" s="1641"/>
      <c r="HH63" s="1641"/>
      <c r="HI63" s="1641"/>
      <c r="HJ63" s="1641"/>
      <c r="HK63" s="1641"/>
      <c r="HL63" s="1641"/>
      <c r="HM63" s="1641"/>
      <c r="HN63" s="1641"/>
      <c r="HO63" s="1641"/>
      <c r="HP63" s="1641"/>
      <c r="HQ63" s="1641"/>
      <c r="HR63" s="1641"/>
      <c r="HS63" s="1641"/>
      <c r="HT63" s="1641"/>
      <c r="HU63" s="1641"/>
      <c r="HV63" s="1641"/>
      <c r="HW63" s="1641"/>
      <c r="HX63" s="1641"/>
      <c r="HY63" s="1641"/>
      <c r="HZ63" s="1641"/>
      <c r="IA63" s="1641"/>
      <c r="IB63" s="1641"/>
      <c r="IC63" s="1641"/>
      <c r="ID63" s="1641"/>
      <c r="IE63" s="1641"/>
      <c r="IF63" s="1641"/>
      <c r="IG63" s="1641"/>
      <c r="IH63" s="1641"/>
      <c r="II63" s="1641"/>
      <c r="IJ63" s="1641"/>
      <c r="IK63" s="1641"/>
      <c r="IL63" s="1641"/>
      <c r="IM63" s="1641"/>
      <c r="IN63" s="1641"/>
      <c r="IO63" s="1641"/>
      <c r="IP63" s="1642"/>
      <c r="IQ63" s="1642"/>
      <c r="IR63" s="1642"/>
      <c r="IS63" s="1642"/>
      <c r="IT63" s="1642"/>
      <c r="IU63" s="1642"/>
      <c r="IV63" s="1642"/>
      <c r="IW63" s="1642"/>
      <c r="IX63" s="1641"/>
      <c r="IY63" s="1641"/>
      <c r="IZ63" s="1641"/>
      <c r="JA63" s="1641"/>
      <c r="JB63" s="1641"/>
      <c r="JC63" s="1641"/>
      <c r="JD63" s="1641"/>
      <c r="JE63" s="1641"/>
      <c r="JF63" s="1641"/>
      <c r="JG63" s="1641"/>
      <c r="JH63" s="1642"/>
      <c r="JI63" s="1642"/>
      <c r="JJ63" s="1642"/>
      <c r="JK63" s="1642"/>
      <c r="JL63" s="1642"/>
      <c r="JM63" s="1642"/>
      <c r="JN63" s="1642"/>
      <c r="JO63" s="1642"/>
      <c r="JP63" s="1642"/>
      <c r="JQ63" s="1643"/>
      <c r="JR63" s="351"/>
    </row>
    <row r="64" spans="1:278" x14ac:dyDescent="0.25">
      <c r="A64" s="1367">
        <v>64</v>
      </c>
      <c r="B64" s="1411" t="str">
        <f t="shared" si="0"/>
        <v/>
      </c>
      <c r="C64" s="1435" t="s">
        <v>3946</v>
      </c>
      <c r="D64" s="1361" t="s">
        <v>3873</v>
      </c>
      <c r="E64" s="1641"/>
      <c r="F64" s="1641"/>
      <c r="G64" s="1641"/>
      <c r="H64" s="1641"/>
      <c r="I64" s="1641"/>
      <c r="J64" s="1641"/>
      <c r="K64" s="1641"/>
      <c r="L64" s="1641"/>
      <c r="M64" s="1641"/>
      <c r="N64" s="1641"/>
      <c r="O64" s="1641"/>
      <c r="P64" s="1641"/>
      <c r="Q64" s="1641"/>
      <c r="R64" s="1641"/>
      <c r="S64" s="1641"/>
      <c r="T64" s="1641"/>
      <c r="U64" s="1641"/>
      <c r="V64" s="1641"/>
      <c r="W64" s="1641"/>
      <c r="X64" s="1641"/>
      <c r="Y64" s="1641"/>
      <c r="Z64" s="1641"/>
      <c r="AA64" s="1641"/>
      <c r="AB64" s="1641"/>
      <c r="AC64" s="1641"/>
      <c r="AD64" s="1641"/>
      <c r="AE64" s="1641"/>
      <c r="AF64" s="1641"/>
      <c r="AG64" s="1641"/>
      <c r="AH64" s="1641"/>
      <c r="AI64" s="1641"/>
      <c r="AJ64" s="1641"/>
      <c r="AK64" s="1641"/>
      <c r="AL64" s="1641"/>
      <c r="AM64" s="1641"/>
      <c r="AN64" s="1641"/>
      <c r="AO64" s="1641"/>
      <c r="AP64" s="1639"/>
      <c r="AQ64" s="1641"/>
      <c r="AR64" s="1641"/>
      <c r="AS64" s="1641"/>
      <c r="AT64" s="1641"/>
      <c r="AU64" s="1641"/>
      <c r="AV64" s="1641"/>
      <c r="AW64" s="1641"/>
      <c r="AX64" s="1641"/>
      <c r="AY64" s="1641"/>
      <c r="AZ64" s="1641"/>
      <c r="BA64" s="1641"/>
      <c r="BB64" s="1641"/>
      <c r="BC64" s="1641"/>
      <c r="BD64" s="1641"/>
      <c r="BE64" s="1641"/>
      <c r="BF64" s="1641"/>
      <c r="BG64" s="1641"/>
      <c r="BH64" s="1641"/>
      <c r="BI64" s="1641"/>
      <c r="BJ64" s="1641"/>
      <c r="BK64" s="1641"/>
      <c r="BL64" s="1641"/>
      <c r="BM64" s="1641"/>
      <c r="BN64" s="1641"/>
      <c r="BO64" s="1641"/>
      <c r="BP64" s="1641"/>
      <c r="BQ64" s="1641"/>
      <c r="BR64" s="1641"/>
      <c r="BS64" s="1641"/>
      <c r="BT64" s="1641"/>
      <c r="BU64" s="1641"/>
      <c r="BV64" s="1641"/>
      <c r="BW64" s="1641"/>
      <c r="BX64" s="1641"/>
      <c r="BY64" s="1641"/>
      <c r="BZ64" s="1641"/>
      <c r="CA64" s="1641"/>
      <c r="CB64" s="1641"/>
      <c r="CC64" s="1641"/>
      <c r="CD64" s="1641"/>
      <c r="CE64" s="1641"/>
      <c r="CF64" s="1641"/>
      <c r="CG64" s="1641"/>
      <c r="CH64" s="1641"/>
      <c r="CI64" s="1641"/>
      <c r="CJ64" s="1641"/>
      <c r="CK64" s="1641"/>
      <c r="CL64" s="1641"/>
      <c r="CM64" s="1641"/>
      <c r="CN64" s="1641"/>
      <c r="CO64" s="1641"/>
      <c r="CP64" s="1641"/>
      <c r="CQ64" s="1641"/>
      <c r="CR64" s="1641"/>
      <c r="CS64" s="1641"/>
      <c r="CT64" s="1641"/>
      <c r="CU64" s="1641"/>
      <c r="CV64" s="1641"/>
      <c r="CW64" s="1641"/>
      <c r="CX64" s="1641"/>
      <c r="CY64" s="1641"/>
      <c r="CZ64" s="1641"/>
      <c r="DA64" s="1641"/>
      <c r="DB64" s="1641"/>
      <c r="DC64" s="1641"/>
      <c r="DD64" s="1641"/>
      <c r="DE64" s="1641"/>
      <c r="DF64" s="1641"/>
      <c r="DG64" s="1641"/>
      <c r="DH64" s="1641"/>
      <c r="DI64" s="1641"/>
      <c r="DJ64" s="1641"/>
      <c r="DK64" s="1641"/>
      <c r="DL64" s="1641"/>
      <c r="DM64" s="1641"/>
      <c r="DN64" s="1641"/>
      <c r="DO64" s="1641"/>
      <c r="DP64" s="1641"/>
      <c r="DQ64" s="1641"/>
      <c r="DR64" s="1641"/>
      <c r="DS64" s="1641"/>
      <c r="DT64" s="1641"/>
      <c r="DU64" s="1641"/>
      <c r="DV64" s="1641"/>
      <c r="DW64" s="1641"/>
      <c r="DX64" s="1641"/>
      <c r="DY64" s="1641"/>
      <c r="DZ64" s="1641"/>
      <c r="EA64" s="1641"/>
      <c r="EB64" s="1641"/>
      <c r="EC64" s="1641"/>
      <c r="ED64" s="1641"/>
      <c r="EE64" s="1641"/>
      <c r="EF64" s="1641"/>
      <c r="EG64" s="1639" t="s">
        <v>1707</v>
      </c>
      <c r="EH64" s="1641"/>
      <c r="EI64" s="1641"/>
      <c r="EJ64" s="1641"/>
      <c r="EK64" s="1641"/>
      <c r="EL64" s="1641"/>
      <c r="EM64" s="1641"/>
      <c r="EN64" s="1641"/>
      <c r="EO64" s="1641"/>
      <c r="EP64" s="1641"/>
      <c r="EQ64" s="1641"/>
      <c r="ER64" s="1641"/>
      <c r="ES64" s="1641"/>
      <c r="ET64" s="1641"/>
      <c r="EU64" s="1641"/>
      <c r="EV64" s="1641"/>
      <c r="EW64" s="1641"/>
      <c r="EX64" s="1641"/>
      <c r="EY64" s="1641"/>
      <c r="EZ64" s="1641"/>
      <c r="FA64" s="1641"/>
      <c r="FB64" s="1641"/>
      <c r="FC64" s="1641"/>
      <c r="FD64" s="1641"/>
      <c r="FE64" s="1641"/>
      <c r="FF64" s="1641"/>
      <c r="FG64" s="1641"/>
      <c r="FH64" s="1641"/>
      <c r="FI64" s="1641"/>
      <c r="FJ64" s="1641"/>
      <c r="FK64" s="1641"/>
      <c r="FL64" s="1641"/>
      <c r="FM64" s="1641"/>
      <c r="FN64" s="1641"/>
      <c r="FO64" s="1641"/>
      <c r="FP64" s="1641"/>
      <c r="FQ64" s="1641"/>
      <c r="FR64" s="1641"/>
      <c r="FS64" s="1641"/>
      <c r="FT64" s="1641"/>
      <c r="FU64" s="1641"/>
      <c r="FV64" s="1641"/>
      <c r="FW64" s="1641"/>
      <c r="FX64" s="1641"/>
      <c r="FY64" s="1641"/>
      <c r="FZ64" s="1641"/>
      <c r="GA64" s="1641"/>
      <c r="GB64" s="1641"/>
      <c r="GC64" s="1641"/>
      <c r="GD64" s="1641"/>
      <c r="GE64" s="1641"/>
      <c r="GF64" s="1641"/>
      <c r="GG64" s="1641"/>
      <c r="GH64" s="1641"/>
      <c r="GI64" s="1641"/>
      <c r="GJ64" s="1641"/>
      <c r="GK64" s="1641"/>
      <c r="GL64" s="1641"/>
      <c r="GM64" s="1641"/>
      <c r="GN64" s="1641"/>
      <c r="GO64" s="1641"/>
      <c r="GP64" s="1641"/>
      <c r="GQ64" s="1641"/>
      <c r="GR64" s="1641"/>
      <c r="GS64" s="1641"/>
      <c r="GT64" s="1641"/>
      <c r="GU64" s="1641"/>
      <c r="GV64" s="1641"/>
      <c r="GW64" s="1641"/>
      <c r="GX64" s="1641"/>
      <c r="GY64" s="1641"/>
      <c r="GZ64" s="1641"/>
      <c r="HA64" s="1641"/>
      <c r="HB64" s="1641"/>
      <c r="HC64" s="1641"/>
      <c r="HD64" s="1641"/>
      <c r="HE64" s="1641"/>
      <c r="HF64" s="1641"/>
      <c r="HG64" s="1641"/>
      <c r="HH64" s="1641"/>
      <c r="HI64" s="1641"/>
      <c r="HJ64" s="1641"/>
      <c r="HK64" s="1641"/>
      <c r="HL64" s="1641"/>
      <c r="HM64" s="1641"/>
      <c r="HN64" s="1641"/>
      <c r="HO64" s="1641"/>
      <c r="HP64" s="1641"/>
      <c r="HQ64" s="1641"/>
      <c r="HR64" s="1641"/>
      <c r="HS64" s="1641"/>
      <c r="HT64" s="1641"/>
      <c r="HU64" s="1641"/>
      <c r="HV64" s="1641"/>
      <c r="HW64" s="1641"/>
      <c r="HX64" s="1641"/>
      <c r="HY64" s="1641"/>
      <c r="HZ64" s="1641"/>
      <c r="IA64" s="1641"/>
      <c r="IB64" s="1641"/>
      <c r="IC64" s="1641"/>
      <c r="ID64" s="1641"/>
      <c r="IE64" s="1641"/>
      <c r="IF64" s="1641"/>
      <c r="IG64" s="1641"/>
      <c r="IH64" s="1641"/>
      <c r="II64" s="1641"/>
      <c r="IJ64" s="1641"/>
      <c r="IK64" s="1641"/>
      <c r="IL64" s="1641"/>
      <c r="IM64" s="1641"/>
      <c r="IN64" s="1641"/>
      <c r="IO64" s="1641"/>
      <c r="IP64" s="1642"/>
      <c r="IQ64" s="1642"/>
      <c r="IR64" s="1642"/>
      <c r="IS64" s="1642"/>
      <c r="IT64" s="1642"/>
      <c r="IU64" s="1642"/>
      <c r="IV64" s="1642"/>
      <c r="IW64" s="1642"/>
      <c r="IX64" s="1641"/>
      <c r="IY64" s="1641"/>
      <c r="IZ64" s="1641"/>
      <c r="JA64" s="1641"/>
      <c r="JB64" s="1641"/>
      <c r="JC64" s="1641"/>
      <c r="JD64" s="1641"/>
      <c r="JE64" s="1639" t="s">
        <v>1707</v>
      </c>
      <c r="JF64" s="1641"/>
      <c r="JG64" s="1641"/>
      <c r="JH64" s="1642"/>
      <c r="JI64" s="1642"/>
      <c r="JJ64" s="1642"/>
      <c r="JK64" s="1642"/>
      <c r="JL64" s="1642"/>
      <c r="JM64" s="1642"/>
      <c r="JN64" s="1642"/>
      <c r="JO64" s="1642"/>
      <c r="JP64" s="1642"/>
      <c r="JQ64" s="1643"/>
      <c r="JR64" s="351"/>
    </row>
    <row r="65" spans="1:278" x14ac:dyDescent="0.25">
      <c r="A65" s="1367">
        <v>65</v>
      </c>
      <c r="B65" s="1411" t="str">
        <f t="shared" si="0"/>
        <v/>
      </c>
      <c r="C65" s="1435" t="s">
        <v>3947</v>
      </c>
      <c r="D65" s="1361" t="s">
        <v>3875</v>
      </c>
      <c r="E65" s="1641"/>
      <c r="F65" s="1641"/>
      <c r="G65" s="1641"/>
      <c r="H65" s="1641"/>
      <c r="I65" s="1641"/>
      <c r="J65" s="1641"/>
      <c r="K65" s="1641"/>
      <c r="L65" s="1641"/>
      <c r="M65" s="1641"/>
      <c r="N65" s="1641"/>
      <c r="O65" s="1641"/>
      <c r="P65" s="1641"/>
      <c r="Q65" s="1641"/>
      <c r="R65" s="1641"/>
      <c r="S65" s="1641"/>
      <c r="T65" s="1641"/>
      <c r="U65" s="1641"/>
      <c r="V65" s="1641"/>
      <c r="W65" s="1641"/>
      <c r="X65" s="1641"/>
      <c r="Y65" s="1641"/>
      <c r="Z65" s="1641"/>
      <c r="AA65" s="1641"/>
      <c r="AB65" s="1641"/>
      <c r="AC65" s="1641"/>
      <c r="AD65" s="1641"/>
      <c r="AE65" s="1641"/>
      <c r="AF65" s="1641"/>
      <c r="AG65" s="1641"/>
      <c r="AH65" s="1641"/>
      <c r="AI65" s="1641"/>
      <c r="AJ65" s="1641"/>
      <c r="AK65" s="1641"/>
      <c r="AL65" s="1641"/>
      <c r="AM65" s="1641"/>
      <c r="AN65" s="1641"/>
      <c r="AO65" s="1641"/>
      <c r="AP65" s="1641"/>
      <c r="AQ65" s="1641"/>
      <c r="AR65" s="1641"/>
      <c r="AS65" s="1641"/>
      <c r="AT65" s="1641"/>
      <c r="AU65" s="1641"/>
      <c r="AV65" s="1641"/>
      <c r="AW65" s="1641"/>
      <c r="AX65" s="1641"/>
      <c r="AY65" s="1641"/>
      <c r="AZ65" s="1641"/>
      <c r="BA65" s="1641"/>
      <c r="BB65" s="1641"/>
      <c r="BC65" s="1641"/>
      <c r="BD65" s="1641"/>
      <c r="BE65" s="1641"/>
      <c r="BF65" s="1641"/>
      <c r="BG65" s="1641"/>
      <c r="BH65" s="1641"/>
      <c r="BI65" s="1641"/>
      <c r="BJ65" s="1641"/>
      <c r="BK65" s="1641"/>
      <c r="BL65" s="1641"/>
      <c r="BM65" s="1641"/>
      <c r="BN65" s="1641"/>
      <c r="BO65" s="1641"/>
      <c r="BP65" s="1641"/>
      <c r="BQ65" s="1641"/>
      <c r="BR65" s="1641"/>
      <c r="BS65" s="1641"/>
      <c r="BT65" s="1641"/>
      <c r="BU65" s="1641"/>
      <c r="BV65" s="1641"/>
      <c r="BW65" s="1641"/>
      <c r="BX65" s="1641"/>
      <c r="BY65" s="1641"/>
      <c r="BZ65" s="1641"/>
      <c r="CA65" s="1641"/>
      <c r="CB65" s="1641"/>
      <c r="CC65" s="1641"/>
      <c r="CD65" s="1641"/>
      <c r="CE65" s="1641"/>
      <c r="CF65" s="1641"/>
      <c r="CG65" s="1641"/>
      <c r="CH65" s="1641"/>
      <c r="CI65" s="1641"/>
      <c r="CJ65" s="1641"/>
      <c r="CK65" s="1641"/>
      <c r="CL65" s="1641"/>
      <c r="CM65" s="1641"/>
      <c r="CN65" s="1641"/>
      <c r="CO65" s="1641"/>
      <c r="CP65" s="1641"/>
      <c r="CQ65" s="1641"/>
      <c r="CR65" s="1641"/>
      <c r="CS65" s="1641"/>
      <c r="CT65" s="1641"/>
      <c r="CU65" s="1641"/>
      <c r="CV65" s="1641"/>
      <c r="CW65" s="1641"/>
      <c r="CX65" s="1641"/>
      <c r="CY65" s="1641"/>
      <c r="CZ65" s="1641"/>
      <c r="DA65" s="1641"/>
      <c r="DB65" s="1641"/>
      <c r="DC65" s="1641"/>
      <c r="DD65" s="1641"/>
      <c r="DE65" s="1641"/>
      <c r="DF65" s="1641"/>
      <c r="DG65" s="1641"/>
      <c r="DH65" s="1641"/>
      <c r="DI65" s="1641"/>
      <c r="DJ65" s="1641"/>
      <c r="DK65" s="1641"/>
      <c r="DL65" s="1641"/>
      <c r="DM65" s="1641"/>
      <c r="DN65" s="1641"/>
      <c r="DO65" s="1641"/>
      <c r="DP65" s="1641"/>
      <c r="DQ65" s="1641"/>
      <c r="DR65" s="1641"/>
      <c r="DS65" s="1641"/>
      <c r="DT65" s="1641"/>
      <c r="DU65" s="1641"/>
      <c r="DV65" s="1641"/>
      <c r="DW65" s="1641"/>
      <c r="DX65" s="1641"/>
      <c r="DY65" s="1641"/>
      <c r="DZ65" s="1641"/>
      <c r="EA65" s="1641"/>
      <c r="EB65" s="1641"/>
      <c r="EC65" s="1641"/>
      <c r="ED65" s="1641"/>
      <c r="EE65" s="1641"/>
      <c r="EF65" s="1641"/>
      <c r="EG65" s="1641">
        <v>2679</v>
      </c>
      <c r="EH65" s="1641"/>
      <c r="EI65" s="1641"/>
      <c r="EJ65" s="1641"/>
      <c r="EK65" s="1641"/>
      <c r="EL65" s="1641"/>
      <c r="EM65" s="1641"/>
      <c r="EN65" s="1641"/>
      <c r="EO65" s="1641"/>
      <c r="EP65" s="1641"/>
      <c r="EQ65" s="1641"/>
      <c r="ER65" s="1641"/>
      <c r="ES65" s="1641"/>
      <c r="ET65" s="1641"/>
      <c r="EU65" s="1641"/>
      <c r="EV65" s="1641"/>
      <c r="EW65" s="1641"/>
      <c r="EX65" s="1641"/>
      <c r="EY65" s="1641"/>
      <c r="EZ65" s="1641"/>
      <c r="FA65" s="1641"/>
      <c r="FB65" s="1641"/>
      <c r="FC65" s="1641"/>
      <c r="FD65" s="1641"/>
      <c r="FE65" s="1641"/>
      <c r="FF65" s="1641"/>
      <c r="FG65" s="1641"/>
      <c r="FH65" s="1641"/>
      <c r="FI65" s="1641"/>
      <c r="FJ65" s="1641"/>
      <c r="FK65" s="1641"/>
      <c r="FL65" s="1641"/>
      <c r="FM65" s="1641"/>
      <c r="FN65" s="1641"/>
      <c r="FO65" s="1641"/>
      <c r="FP65" s="1641"/>
      <c r="FQ65" s="1641"/>
      <c r="FR65" s="1641"/>
      <c r="FS65" s="1641"/>
      <c r="FT65" s="1641"/>
      <c r="FU65" s="1641"/>
      <c r="FV65" s="1641"/>
      <c r="FW65" s="1641"/>
      <c r="FX65" s="1641"/>
      <c r="FY65" s="1641"/>
      <c r="FZ65" s="1641"/>
      <c r="GA65" s="1641"/>
      <c r="GB65" s="1641"/>
      <c r="GC65" s="1641"/>
      <c r="GD65" s="1641"/>
      <c r="GE65" s="1641"/>
      <c r="GF65" s="1641"/>
      <c r="GG65" s="1641"/>
      <c r="GH65" s="1641"/>
      <c r="GI65" s="1641"/>
      <c r="GJ65" s="1641"/>
      <c r="GK65" s="1641"/>
      <c r="GL65" s="1641"/>
      <c r="GM65" s="1641"/>
      <c r="GN65" s="1641"/>
      <c r="GO65" s="1641"/>
      <c r="GP65" s="1641"/>
      <c r="GQ65" s="1641"/>
      <c r="GR65" s="1641"/>
      <c r="GS65" s="1641"/>
      <c r="GT65" s="1641"/>
      <c r="GU65" s="1641"/>
      <c r="GV65" s="1641"/>
      <c r="GW65" s="1641"/>
      <c r="GX65" s="1641"/>
      <c r="GY65" s="1641"/>
      <c r="GZ65" s="1641"/>
      <c r="HA65" s="1641"/>
      <c r="HB65" s="1641"/>
      <c r="HC65" s="1641"/>
      <c r="HD65" s="1641"/>
      <c r="HE65" s="1641"/>
      <c r="HF65" s="1641"/>
      <c r="HG65" s="1641"/>
      <c r="HH65" s="1641"/>
      <c r="HI65" s="1641"/>
      <c r="HJ65" s="1641"/>
      <c r="HK65" s="1641"/>
      <c r="HL65" s="1641"/>
      <c r="HM65" s="1641"/>
      <c r="HN65" s="1641"/>
      <c r="HO65" s="1641"/>
      <c r="HP65" s="1641"/>
      <c r="HQ65" s="1641"/>
      <c r="HR65" s="1641"/>
      <c r="HS65" s="1641"/>
      <c r="HT65" s="1641"/>
      <c r="HU65" s="1641"/>
      <c r="HV65" s="1641"/>
      <c r="HW65" s="1641"/>
      <c r="HX65" s="1641"/>
      <c r="HY65" s="1641"/>
      <c r="HZ65" s="1641"/>
      <c r="IA65" s="1641"/>
      <c r="IB65" s="1641"/>
      <c r="IC65" s="1641"/>
      <c r="ID65" s="1641"/>
      <c r="IE65" s="1641"/>
      <c r="IF65" s="1641"/>
      <c r="IG65" s="1641"/>
      <c r="IH65" s="1641"/>
      <c r="II65" s="1641"/>
      <c r="IJ65" s="1641"/>
      <c r="IK65" s="1641"/>
      <c r="IL65" s="1641"/>
      <c r="IM65" s="1641"/>
      <c r="IN65" s="1641"/>
      <c r="IO65" s="1641"/>
      <c r="IP65" s="1642"/>
      <c r="IQ65" s="1642"/>
      <c r="IR65" s="1642"/>
      <c r="IS65" s="1642"/>
      <c r="IT65" s="1642"/>
      <c r="IU65" s="1642"/>
      <c r="IV65" s="1642"/>
      <c r="IW65" s="1642"/>
      <c r="IX65" s="1641"/>
      <c r="IY65" s="1641"/>
      <c r="IZ65" s="1641"/>
      <c r="JA65" s="1641"/>
      <c r="JB65" s="1641"/>
      <c r="JC65" s="1641"/>
      <c r="JD65" s="1641"/>
      <c r="JE65" s="1641">
        <v>2679</v>
      </c>
      <c r="JF65" s="1641"/>
      <c r="JG65" s="1641"/>
      <c r="JH65" s="1642"/>
      <c r="JI65" s="1642"/>
      <c r="JJ65" s="1642"/>
      <c r="JK65" s="1642"/>
      <c r="JL65" s="1642"/>
      <c r="JM65" s="1642"/>
      <c r="JN65" s="1642"/>
      <c r="JO65" s="1642"/>
      <c r="JP65" s="1642"/>
      <c r="JQ65" s="1643"/>
      <c r="JR65" s="351"/>
    </row>
    <row r="66" spans="1:278" x14ac:dyDescent="0.25">
      <c r="A66" s="1367">
        <v>66</v>
      </c>
      <c r="B66" s="1411" t="str">
        <f t="shared" si="0"/>
        <v/>
      </c>
      <c r="C66" s="1435" t="s">
        <v>3948</v>
      </c>
      <c r="D66" s="1361" t="s">
        <v>3887</v>
      </c>
      <c r="E66" s="1641"/>
      <c r="F66" s="1641"/>
      <c r="G66" s="1641"/>
      <c r="H66" s="1641"/>
      <c r="I66" s="1641"/>
      <c r="J66" s="1641"/>
      <c r="K66" s="1641"/>
      <c r="L66" s="1641"/>
      <c r="M66" s="1641"/>
      <c r="N66" s="1641"/>
      <c r="O66" s="1641"/>
      <c r="P66" s="1641"/>
      <c r="Q66" s="1641"/>
      <c r="R66" s="1641"/>
      <c r="S66" s="1641"/>
      <c r="T66" s="1641"/>
      <c r="U66" s="1641"/>
      <c r="V66" s="1641"/>
      <c r="W66" s="1641"/>
      <c r="X66" s="1641"/>
      <c r="Y66" s="1641"/>
      <c r="Z66" s="1641"/>
      <c r="AA66" s="1641"/>
      <c r="AB66" s="1641"/>
      <c r="AC66" s="1641"/>
      <c r="AD66" s="1641"/>
      <c r="AE66" s="1641"/>
      <c r="AF66" s="1641"/>
      <c r="AG66" s="1641"/>
      <c r="AH66" s="1641"/>
      <c r="AI66" s="1641"/>
      <c r="AJ66" s="1641"/>
      <c r="AK66" s="1641"/>
      <c r="AL66" s="1641"/>
      <c r="AM66" s="1641"/>
      <c r="AN66" s="1641"/>
      <c r="AO66" s="1641"/>
      <c r="AP66" s="1641"/>
      <c r="AQ66" s="1641"/>
      <c r="AR66" s="1641"/>
      <c r="AS66" s="1641"/>
      <c r="AT66" s="1641"/>
      <c r="AU66" s="1641"/>
      <c r="AV66" s="1641"/>
      <c r="AW66" s="1641"/>
      <c r="AX66" s="1641"/>
      <c r="AY66" s="1641"/>
      <c r="AZ66" s="1641"/>
      <c r="BA66" s="1641"/>
      <c r="BB66" s="1641"/>
      <c r="BC66" s="1641"/>
      <c r="BD66" s="1641"/>
      <c r="BE66" s="1641"/>
      <c r="BF66" s="1641"/>
      <c r="BG66" s="1641"/>
      <c r="BH66" s="1641"/>
      <c r="BI66" s="1641"/>
      <c r="BJ66" s="1641"/>
      <c r="BK66" s="1641"/>
      <c r="BL66" s="1641"/>
      <c r="BM66" s="1641"/>
      <c r="BN66" s="1641"/>
      <c r="BO66" s="1641"/>
      <c r="BP66" s="1641"/>
      <c r="BQ66" s="1641"/>
      <c r="BR66" s="1641"/>
      <c r="BS66" s="1641"/>
      <c r="BT66" s="1641"/>
      <c r="BU66" s="1641"/>
      <c r="BV66" s="1641"/>
      <c r="BW66" s="1641"/>
      <c r="BX66" s="1641"/>
      <c r="BY66" s="1641"/>
      <c r="BZ66" s="1641"/>
      <c r="CA66" s="1641"/>
      <c r="CB66" s="1641"/>
      <c r="CC66" s="1641"/>
      <c r="CD66" s="1641"/>
      <c r="CE66" s="1641"/>
      <c r="CF66" s="1641"/>
      <c r="CG66" s="1641"/>
      <c r="CH66" s="1641"/>
      <c r="CI66" s="1641"/>
      <c r="CJ66" s="1641"/>
      <c r="CK66" s="1641"/>
      <c r="CL66" s="1641"/>
      <c r="CM66" s="1641"/>
      <c r="CN66" s="1641"/>
      <c r="CO66" s="1641"/>
      <c r="CP66" s="1641"/>
      <c r="CQ66" s="1641"/>
      <c r="CR66" s="1641"/>
      <c r="CS66" s="1641"/>
      <c r="CT66" s="1641"/>
      <c r="CU66" s="1641"/>
      <c r="CV66" s="1641"/>
      <c r="CW66" s="1641"/>
      <c r="CX66" s="1641"/>
      <c r="CY66" s="1641"/>
      <c r="CZ66" s="1641"/>
      <c r="DA66" s="1641"/>
      <c r="DB66" s="1641"/>
      <c r="DC66" s="1641"/>
      <c r="DD66" s="1641"/>
      <c r="DE66" s="1641"/>
      <c r="DF66" s="1641"/>
      <c r="DG66" s="1641"/>
      <c r="DH66" s="1641"/>
      <c r="DI66" s="1641"/>
      <c r="DJ66" s="1641"/>
      <c r="DK66" s="1641"/>
      <c r="DL66" s="1641"/>
      <c r="DM66" s="1641"/>
      <c r="DN66" s="1641"/>
      <c r="DO66" s="1641"/>
      <c r="DP66" s="1641"/>
      <c r="DQ66" s="1641"/>
      <c r="DR66" s="1641"/>
      <c r="DS66" s="1641"/>
      <c r="DT66" s="1641"/>
      <c r="DU66" s="1641"/>
      <c r="DV66" s="1641"/>
      <c r="DW66" s="1641"/>
      <c r="DX66" s="1641"/>
      <c r="DY66" s="1641"/>
      <c r="DZ66" s="1641"/>
      <c r="EA66" s="1641"/>
      <c r="EB66" s="1641"/>
      <c r="EC66" s="1641"/>
      <c r="ED66" s="1641"/>
      <c r="EE66" s="1641"/>
      <c r="EF66" s="1641"/>
      <c r="EG66" s="1641"/>
      <c r="EH66" s="1641"/>
      <c r="EI66" s="1641"/>
      <c r="EJ66" s="1641"/>
      <c r="EK66" s="1641"/>
      <c r="EL66" s="1641"/>
      <c r="EM66" s="1641"/>
      <c r="EN66" s="1641"/>
      <c r="EO66" s="1641"/>
      <c r="EP66" s="1641"/>
      <c r="EQ66" s="1641"/>
      <c r="ER66" s="1641"/>
      <c r="ES66" s="1641"/>
      <c r="ET66" s="1641"/>
      <c r="EU66" s="1641"/>
      <c r="EV66" s="1641"/>
      <c r="EW66" s="1641"/>
      <c r="EX66" s="1641"/>
      <c r="EY66" s="1641"/>
      <c r="EZ66" s="1641"/>
      <c r="FA66" s="1641"/>
      <c r="FB66" s="1641"/>
      <c r="FC66" s="1641"/>
      <c r="FD66" s="1641"/>
      <c r="FE66" s="1641"/>
      <c r="FF66" s="1641"/>
      <c r="FG66" s="1641"/>
      <c r="FH66" s="1641"/>
      <c r="FI66" s="1641"/>
      <c r="FJ66" s="1641"/>
      <c r="FK66" s="1641"/>
      <c r="FL66" s="1641"/>
      <c r="FM66" s="1641"/>
      <c r="FN66" s="1641"/>
      <c r="FO66" s="1641"/>
      <c r="FP66" s="1641"/>
      <c r="FQ66" s="1641"/>
      <c r="FR66" s="1641"/>
      <c r="FS66" s="1641"/>
      <c r="FT66" s="1641"/>
      <c r="FU66" s="1641"/>
      <c r="FV66" s="1641"/>
      <c r="FW66" s="1641"/>
      <c r="FX66" s="1641"/>
      <c r="FY66" s="1641"/>
      <c r="FZ66" s="1641"/>
      <c r="GA66" s="1641"/>
      <c r="GB66" s="1641"/>
      <c r="GC66" s="1641"/>
      <c r="GD66" s="1641"/>
      <c r="GE66" s="1641"/>
      <c r="GF66" s="1641"/>
      <c r="GG66" s="1641"/>
      <c r="GH66" s="1641"/>
      <c r="GI66" s="1641"/>
      <c r="GJ66" s="1641"/>
      <c r="GK66" s="1641"/>
      <c r="GL66" s="1641"/>
      <c r="GM66" s="1641"/>
      <c r="GN66" s="1641"/>
      <c r="GO66" s="1641"/>
      <c r="GP66" s="1641"/>
      <c r="GQ66" s="1641"/>
      <c r="GR66" s="1641"/>
      <c r="GS66" s="1641"/>
      <c r="GT66" s="1641"/>
      <c r="GU66" s="1641"/>
      <c r="GV66" s="1641"/>
      <c r="GW66" s="1641"/>
      <c r="GX66" s="1641"/>
      <c r="GY66" s="1641"/>
      <c r="GZ66" s="1641"/>
      <c r="HA66" s="1641"/>
      <c r="HB66" s="1641"/>
      <c r="HC66" s="1641"/>
      <c r="HD66" s="1641"/>
      <c r="HE66" s="1641"/>
      <c r="HF66" s="1641"/>
      <c r="HG66" s="1641"/>
      <c r="HH66" s="1641"/>
      <c r="HI66" s="1641"/>
      <c r="HJ66" s="1641"/>
      <c r="HK66" s="1641"/>
      <c r="HL66" s="1641"/>
      <c r="HM66" s="1641"/>
      <c r="HN66" s="1641"/>
      <c r="HO66" s="1641"/>
      <c r="HP66" s="1641"/>
      <c r="HQ66" s="1641"/>
      <c r="HR66" s="1641"/>
      <c r="HS66" s="1641"/>
      <c r="HT66" s="1641"/>
      <c r="HU66" s="1641"/>
      <c r="HV66" s="1641"/>
      <c r="HW66" s="1641"/>
      <c r="HX66" s="1641"/>
      <c r="HY66" s="1641"/>
      <c r="HZ66" s="1641"/>
      <c r="IA66" s="1641"/>
      <c r="IB66" s="1641"/>
      <c r="IC66" s="1641"/>
      <c r="ID66" s="1641"/>
      <c r="IE66" s="1641"/>
      <c r="IF66" s="1641"/>
      <c r="IG66" s="1641"/>
      <c r="IH66" s="1641"/>
      <c r="II66" s="1641"/>
      <c r="IJ66" s="1641"/>
      <c r="IK66" s="1641"/>
      <c r="IL66" s="1641"/>
      <c r="IM66" s="1641"/>
      <c r="IN66" s="1641"/>
      <c r="IO66" s="1641"/>
      <c r="IP66" s="1642"/>
      <c r="IQ66" s="1642"/>
      <c r="IR66" s="1642"/>
      <c r="IS66" s="1642"/>
      <c r="IT66" s="1642"/>
      <c r="IU66" s="1642"/>
      <c r="IV66" s="1642"/>
      <c r="IW66" s="1642"/>
      <c r="IX66" s="1641"/>
      <c r="IY66" s="1641"/>
      <c r="IZ66" s="1641"/>
      <c r="JA66" s="1641"/>
      <c r="JB66" s="1641"/>
      <c r="JC66" s="1641"/>
      <c r="JD66" s="1641"/>
      <c r="JE66" s="1641"/>
      <c r="JF66" s="1641"/>
      <c r="JG66" s="1641"/>
      <c r="JH66" s="1642"/>
      <c r="JI66" s="1642"/>
      <c r="JJ66" s="1642"/>
      <c r="JK66" s="1642"/>
      <c r="JL66" s="1642"/>
      <c r="JM66" s="1642"/>
      <c r="JN66" s="1642"/>
      <c r="JO66" s="1642"/>
      <c r="JP66" s="1642"/>
      <c r="JQ66" s="1643"/>
      <c r="JR66" s="351"/>
    </row>
    <row r="67" spans="1:278" x14ac:dyDescent="0.25">
      <c r="A67" s="1367">
        <v>67</v>
      </c>
      <c r="B67" s="1411" t="str">
        <f t="shared" si="0"/>
        <v/>
      </c>
      <c r="C67" s="1435" t="s">
        <v>3949</v>
      </c>
      <c r="D67" s="1361" t="s">
        <v>3887</v>
      </c>
      <c r="E67" s="1641"/>
      <c r="F67" s="1641"/>
      <c r="G67" s="1641"/>
      <c r="H67" s="1641"/>
      <c r="I67" s="1641"/>
      <c r="J67" s="1641"/>
      <c r="K67" s="1641"/>
      <c r="L67" s="1641"/>
      <c r="M67" s="1641"/>
      <c r="N67" s="1641"/>
      <c r="O67" s="1641"/>
      <c r="P67" s="1641"/>
      <c r="Q67" s="1641"/>
      <c r="R67" s="1641"/>
      <c r="S67" s="1641"/>
      <c r="T67" s="1641"/>
      <c r="U67" s="1641"/>
      <c r="V67" s="1641"/>
      <c r="W67" s="1641"/>
      <c r="X67" s="1641"/>
      <c r="Y67" s="1641"/>
      <c r="Z67" s="1641"/>
      <c r="AA67" s="1641"/>
      <c r="AB67" s="1641"/>
      <c r="AC67" s="1641"/>
      <c r="AD67" s="1641"/>
      <c r="AE67" s="1641"/>
      <c r="AF67" s="1641"/>
      <c r="AG67" s="1641"/>
      <c r="AH67" s="1641"/>
      <c r="AI67" s="1641"/>
      <c r="AJ67" s="1641"/>
      <c r="AK67" s="1641"/>
      <c r="AL67" s="1641"/>
      <c r="AM67" s="1641"/>
      <c r="AN67" s="1641"/>
      <c r="AO67" s="1641"/>
      <c r="AP67" s="1641"/>
      <c r="AQ67" s="1641"/>
      <c r="AR67" s="1641"/>
      <c r="AS67" s="1641"/>
      <c r="AT67" s="1641"/>
      <c r="AU67" s="1641"/>
      <c r="AV67" s="1641"/>
      <c r="AW67" s="1641"/>
      <c r="AX67" s="1641"/>
      <c r="AY67" s="1641"/>
      <c r="AZ67" s="1641"/>
      <c r="BA67" s="1641"/>
      <c r="BB67" s="1641"/>
      <c r="BC67" s="1641"/>
      <c r="BD67" s="1641"/>
      <c r="BE67" s="1641"/>
      <c r="BF67" s="1641"/>
      <c r="BG67" s="1641"/>
      <c r="BH67" s="1641"/>
      <c r="BI67" s="1641"/>
      <c r="BJ67" s="1641"/>
      <c r="BK67" s="1641"/>
      <c r="BL67" s="1641"/>
      <c r="BM67" s="1641"/>
      <c r="BN67" s="1641"/>
      <c r="BO67" s="1641"/>
      <c r="BP67" s="1641"/>
      <c r="BQ67" s="1641"/>
      <c r="BR67" s="1641"/>
      <c r="BS67" s="1641"/>
      <c r="BT67" s="1641"/>
      <c r="BU67" s="1641"/>
      <c r="BV67" s="1641"/>
      <c r="BW67" s="1641"/>
      <c r="BX67" s="1641"/>
      <c r="BY67" s="1641"/>
      <c r="BZ67" s="1641"/>
      <c r="CA67" s="1641"/>
      <c r="CB67" s="1641"/>
      <c r="CC67" s="1641"/>
      <c r="CD67" s="1641"/>
      <c r="CE67" s="1641"/>
      <c r="CF67" s="1641"/>
      <c r="CG67" s="1641"/>
      <c r="CH67" s="1641"/>
      <c r="CI67" s="1641"/>
      <c r="CJ67" s="1641"/>
      <c r="CK67" s="1641"/>
      <c r="CL67" s="1641"/>
      <c r="CM67" s="1641"/>
      <c r="CN67" s="1641"/>
      <c r="CO67" s="1641"/>
      <c r="CP67" s="1641"/>
      <c r="CQ67" s="1641"/>
      <c r="CR67" s="1641"/>
      <c r="CS67" s="1641"/>
      <c r="CT67" s="1641"/>
      <c r="CU67" s="1641"/>
      <c r="CV67" s="1641"/>
      <c r="CW67" s="1641"/>
      <c r="CX67" s="1641"/>
      <c r="CY67" s="1641"/>
      <c r="CZ67" s="1641"/>
      <c r="DA67" s="1641"/>
      <c r="DB67" s="1641"/>
      <c r="DC67" s="1641"/>
      <c r="DD67" s="1641"/>
      <c r="DE67" s="1641"/>
      <c r="DF67" s="1641"/>
      <c r="DG67" s="1641"/>
      <c r="DH67" s="1641"/>
      <c r="DI67" s="1641"/>
      <c r="DJ67" s="1641"/>
      <c r="DK67" s="1641"/>
      <c r="DL67" s="1641"/>
      <c r="DM67" s="1641"/>
      <c r="DN67" s="1641"/>
      <c r="DO67" s="1641"/>
      <c r="DP67" s="1641"/>
      <c r="DQ67" s="1641"/>
      <c r="DR67" s="1641"/>
      <c r="DS67" s="1641"/>
      <c r="DT67" s="1641"/>
      <c r="DU67" s="1641"/>
      <c r="DV67" s="1641"/>
      <c r="DW67" s="1641"/>
      <c r="DX67" s="1641"/>
      <c r="DY67" s="1641"/>
      <c r="DZ67" s="1641"/>
      <c r="EA67" s="1641"/>
      <c r="EB67" s="1641"/>
      <c r="EC67" s="1641"/>
      <c r="ED67" s="1641"/>
      <c r="EE67" s="1641"/>
      <c r="EF67" s="1641"/>
      <c r="EG67" s="1641">
        <v>2679</v>
      </c>
      <c r="EH67" s="1641"/>
      <c r="EI67" s="1641"/>
      <c r="EJ67" s="1641"/>
      <c r="EK67" s="1641"/>
      <c r="EL67" s="1641"/>
      <c r="EM67" s="1641"/>
      <c r="EN67" s="1641"/>
      <c r="EO67" s="1641"/>
      <c r="EP67" s="1641"/>
      <c r="EQ67" s="1641"/>
      <c r="ER67" s="1641"/>
      <c r="ES67" s="1641"/>
      <c r="ET67" s="1641"/>
      <c r="EU67" s="1641"/>
      <c r="EV67" s="1641"/>
      <c r="EW67" s="1641"/>
      <c r="EX67" s="1641"/>
      <c r="EY67" s="1641"/>
      <c r="EZ67" s="1641"/>
      <c r="FA67" s="1641"/>
      <c r="FB67" s="1641"/>
      <c r="FC67" s="1641"/>
      <c r="FD67" s="1641"/>
      <c r="FE67" s="1641"/>
      <c r="FF67" s="1641"/>
      <c r="FG67" s="1641"/>
      <c r="FH67" s="1641"/>
      <c r="FI67" s="1641"/>
      <c r="FJ67" s="1641"/>
      <c r="FK67" s="1641"/>
      <c r="FL67" s="1641"/>
      <c r="FM67" s="1641"/>
      <c r="FN67" s="1641"/>
      <c r="FO67" s="1641"/>
      <c r="FP67" s="1641"/>
      <c r="FQ67" s="1641"/>
      <c r="FR67" s="1641"/>
      <c r="FS67" s="1641"/>
      <c r="FT67" s="1641"/>
      <c r="FU67" s="1641"/>
      <c r="FV67" s="1641"/>
      <c r="FW67" s="1641"/>
      <c r="FX67" s="1641"/>
      <c r="FY67" s="1641"/>
      <c r="FZ67" s="1641"/>
      <c r="GA67" s="1641"/>
      <c r="GB67" s="1641"/>
      <c r="GC67" s="1641"/>
      <c r="GD67" s="1641"/>
      <c r="GE67" s="1641"/>
      <c r="GF67" s="1641"/>
      <c r="GG67" s="1641"/>
      <c r="GH67" s="1641"/>
      <c r="GI67" s="1641"/>
      <c r="GJ67" s="1641"/>
      <c r="GK67" s="1641"/>
      <c r="GL67" s="1641"/>
      <c r="GM67" s="1641"/>
      <c r="GN67" s="1641"/>
      <c r="GO67" s="1641"/>
      <c r="GP67" s="1641"/>
      <c r="GQ67" s="1641"/>
      <c r="GR67" s="1641"/>
      <c r="GS67" s="1641"/>
      <c r="GT67" s="1641"/>
      <c r="GU67" s="1641"/>
      <c r="GV67" s="1641"/>
      <c r="GW67" s="1641"/>
      <c r="GX67" s="1641"/>
      <c r="GY67" s="1641"/>
      <c r="GZ67" s="1641"/>
      <c r="HA67" s="1641"/>
      <c r="HB67" s="1641"/>
      <c r="HC67" s="1641"/>
      <c r="HD67" s="1641"/>
      <c r="HE67" s="1641"/>
      <c r="HF67" s="1641"/>
      <c r="HG67" s="1641"/>
      <c r="HH67" s="1641"/>
      <c r="HI67" s="1641"/>
      <c r="HJ67" s="1641"/>
      <c r="HK67" s="1641"/>
      <c r="HL67" s="1641"/>
      <c r="HM67" s="1641"/>
      <c r="HN67" s="1641"/>
      <c r="HO67" s="1641"/>
      <c r="HP67" s="1641"/>
      <c r="HQ67" s="1641"/>
      <c r="HR67" s="1641"/>
      <c r="HS67" s="1641"/>
      <c r="HT67" s="1641"/>
      <c r="HU67" s="1641"/>
      <c r="HV67" s="1641"/>
      <c r="HW67" s="1641"/>
      <c r="HX67" s="1641"/>
      <c r="HY67" s="1641"/>
      <c r="HZ67" s="1641"/>
      <c r="IA67" s="1641"/>
      <c r="IB67" s="1641"/>
      <c r="IC67" s="1641"/>
      <c r="ID67" s="1641"/>
      <c r="IE67" s="1641"/>
      <c r="IF67" s="1641"/>
      <c r="IG67" s="1641"/>
      <c r="IH67" s="1641"/>
      <c r="II67" s="1641"/>
      <c r="IJ67" s="1641"/>
      <c r="IK67" s="1641"/>
      <c r="IL67" s="1641"/>
      <c r="IM67" s="1641"/>
      <c r="IN67" s="1641"/>
      <c r="IO67" s="1641"/>
      <c r="IP67" s="1642"/>
      <c r="IQ67" s="1642"/>
      <c r="IR67" s="1642"/>
      <c r="IS67" s="1642"/>
      <c r="IT67" s="1642"/>
      <c r="IU67" s="1642"/>
      <c r="IV67" s="1642"/>
      <c r="IW67" s="1642"/>
      <c r="IX67" s="1641"/>
      <c r="IY67" s="1641"/>
      <c r="IZ67" s="1641"/>
      <c r="JA67" s="1641"/>
      <c r="JB67" s="1641"/>
      <c r="JC67" s="1641"/>
      <c r="JD67" s="1641"/>
      <c r="JE67" s="1641">
        <v>2679</v>
      </c>
      <c r="JF67" s="1641"/>
      <c r="JG67" s="1641"/>
      <c r="JH67" s="1642"/>
      <c r="JI67" s="1642"/>
      <c r="JJ67" s="1642"/>
      <c r="JK67" s="1642"/>
      <c r="JL67" s="1642"/>
      <c r="JM67" s="1642"/>
      <c r="JN67" s="1642"/>
      <c r="JO67" s="1642"/>
      <c r="JP67" s="1642"/>
      <c r="JQ67" s="1643"/>
      <c r="JR67" s="351"/>
    </row>
    <row r="68" spans="1:278" x14ac:dyDescent="0.25">
      <c r="A68" s="1367">
        <v>68</v>
      </c>
      <c r="B68" s="1411" t="str">
        <f t="shared" si="0"/>
        <v/>
      </c>
      <c r="C68" s="1435" t="s">
        <v>3950</v>
      </c>
      <c r="D68" s="1361" t="s">
        <v>3951</v>
      </c>
      <c r="E68" s="1641"/>
      <c r="F68" s="1641"/>
      <c r="G68" s="1641"/>
      <c r="H68" s="1641"/>
      <c r="I68" s="1641"/>
      <c r="J68" s="1641"/>
      <c r="K68" s="1641"/>
      <c r="L68" s="1641"/>
      <c r="M68" s="1641"/>
      <c r="N68" s="1641"/>
      <c r="O68" s="1641"/>
      <c r="P68" s="1641"/>
      <c r="Q68" s="1641"/>
      <c r="R68" s="1641"/>
      <c r="S68" s="1641"/>
      <c r="T68" s="1641"/>
      <c r="U68" s="1641"/>
      <c r="V68" s="1641"/>
      <c r="W68" s="1641"/>
      <c r="X68" s="1641"/>
      <c r="Y68" s="1641"/>
      <c r="Z68" s="1641"/>
      <c r="AA68" s="1641"/>
      <c r="AB68" s="1641"/>
      <c r="AC68" s="1641"/>
      <c r="AD68" s="1641"/>
      <c r="AE68" s="1641"/>
      <c r="AF68" s="1641"/>
      <c r="AG68" s="1641"/>
      <c r="AH68" s="1641"/>
      <c r="AI68" s="1641"/>
      <c r="AJ68" s="1641"/>
      <c r="AK68" s="1641"/>
      <c r="AL68" s="1641"/>
      <c r="AM68" s="1641"/>
      <c r="AN68" s="1641"/>
      <c r="AO68" s="1641"/>
      <c r="AP68" s="1641"/>
      <c r="AQ68" s="1641"/>
      <c r="AR68" s="1641"/>
      <c r="AS68" s="1641"/>
      <c r="AT68" s="1641"/>
      <c r="AU68" s="1641"/>
      <c r="AV68" s="1641"/>
      <c r="AW68" s="1641"/>
      <c r="AX68" s="1641"/>
      <c r="AY68" s="1641"/>
      <c r="AZ68" s="1641"/>
      <c r="BA68" s="1641"/>
      <c r="BB68" s="1641"/>
      <c r="BC68" s="1641"/>
      <c r="BD68" s="1641"/>
      <c r="BE68" s="1641"/>
      <c r="BF68" s="1641"/>
      <c r="BG68" s="1641"/>
      <c r="BH68" s="1641"/>
      <c r="BI68" s="1641"/>
      <c r="BJ68" s="1641"/>
      <c r="BK68" s="1641"/>
      <c r="BL68" s="1641"/>
      <c r="BM68" s="1641"/>
      <c r="BN68" s="1641"/>
      <c r="BO68" s="1641"/>
      <c r="BP68" s="1641"/>
      <c r="BQ68" s="1641"/>
      <c r="BR68" s="1641"/>
      <c r="BS68" s="1641"/>
      <c r="BT68" s="1641"/>
      <c r="BU68" s="1641"/>
      <c r="BV68" s="1641"/>
      <c r="BW68" s="1641"/>
      <c r="BX68" s="1641"/>
      <c r="BY68" s="1641"/>
      <c r="BZ68" s="1641"/>
      <c r="CA68" s="1641"/>
      <c r="CB68" s="1641"/>
      <c r="CC68" s="1641"/>
      <c r="CD68" s="1641"/>
      <c r="CE68" s="1641"/>
      <c r="CF68" s="1641"/>
      <c r="CG68" s="1641"/>
      <c r="CH68" s="1641"/>
      <c r="CI68" s="1641"/>
      <c r="CJ68" s="1641"/>
      <c r="CK68" s="1641"/>
      <c r="CL68" s="1641"/>
      <c r="CM68" s="1641"/>
      <c r="CN68" s="1641"/>
      <c r="CO68" s="1641"/>
      <c r="CP68" s="1641"/>
      <c r="CQ68" s="1641"/>
      <c r="CR68" s="1641"/>
      <c r="CS68" s="1641"/>
      <c r="CT68" s="1641"/>
      <c r="CU68" s="1641"/>
      <c r="CV68" s="1641"/>
      <c r="CW68" s="1641"/>
      <c r="CX68" s="1641"/>
      <c r="CY68" s="1641"/>
      <c r="CZ68" s="1641"/>
      <c r="DA68" s="1641"/>
      <c r="DB68" s="1641"/>
      <c r="DC68" s="1641"/>
      <c r="DD68" s="1641"/>
      <c r="DE68" s="1641"/>
      <c r="DF68" s="1641"/>
      <c r="DG68" s="1641"/>
      <c r="DH68" s="1641"/>
      <c r="DI68" s="1641"/>
      <c r="DJ68" s="1641"/>
      <c r="DK68" s="1641"/>
      <c r="DL68" s="1641"/>
      <c r="DM68" s="1641"/>
      <c r="DN68" s="1641"/>
      <c r="DO68" s="1641"/>
      <c r="DP68" s="1641"/>
      <c r="DQ68" s="1641"/>
      <c r="DR68" s="1641"/>
      <c r="DS68" s="1641"/>
      <c r="DT68" s="1641"/>
      <c r="DU68" s="1641"/>
      <c r="DV68" s="1641"/>
      <c r="DW68" s="1641"/>
      <c r="DX68" s="1641"/>
      <c r="DY68" s="1641"/>
      <c r="DZ68" s="1641"/>
      <c r="EA68" s="1641"/>
      <c r="EB68" s="1641"/>
      <c r="EC68" s="1641"/>
      <c r="ED68" s="1641"/>
      <c r="EE68" s="1641"/>
      <c r="EF68" s="1641"/>
      <c r="EG68" s="1641">
        <v>2600</v>
      </c>
      <c r="EH68" s="1641"/>
      <c r="EI68" s="1641"/>
      <c r="EJ68" s="1641"/>
      <c r="EK68" s="1641"/>
      <c r="EL68" s="1641"/>
      <c r="EM68" s="1641"/>
      <c r="EN68" s="1641"/>
      <c r="EO68" s="1641"/>
      <c r="EP68" s="1641"/>
      <c r="EQ68" s="1641"/>
      <c r="ER68" s="1641"/>
      <c r="ES68" s="1641"/>
      <c r="ET68" s="1641"/>
      <c r="EU68" s="1641"/>
      <c r="EV68" s="1641"/>
      <c r="EW68" s="1641"/>
      <c r="EX68" s="1641"/>
      <c r="EY68" s="1641"/>
      <c r="EZ68" s="1641"/>
      <c r="FA68" s="1641"/>
      <c r="FB68" s="1641"/>
      <c r="FC68" s="1641"/>
      <c r="FD68" s="1641"/>
      <c r="FE68" s="1641"/>
      <c r="FF68" s="1641"/>
      <c r="FG68" s="1641"/>
      <c r="FH68" s="1641"/>
      <c r="FI68" s="1641"/>
      <c r="FJ68" s="1641"/>
      <c r="FK68" s="1641"/>
      <c r="FL68" s="1641"/>
      <c r="FM68" s="1641"/>
      <c r="FN68" s="1641"/>
      <c r="FO68" s="1641"/>
      <c r="FP68" s="1641"/>
      <c r="FQ68" s="1641"/>
      <c r="FR68" s="1641"/>
      <c r="FS68" s="1641"/>
      <c r="FT68" s="1641"/>
      <c r="FU68" s="1641"/>
      <c r="FV68" s="1641"/>
      <c r="FW68" s="1641"/>
      <c r="FX68" s="1641"/>
      <c r="FY68" s="1641"/>
      <c r="FZ68" s="1641"/>
      <c r="GA68" s="1641"/>
      <c r="GB68" s="1641"/>
      <c r="GC68" s="1641"/>
      <c r="GD68" s="1641"/>
      <c r="GE68" s="1641"/>
      <c r="GF68" s="1641"/>
      <c r="GG68" s="1641"/>
      <c r="GH68" s="1641"/>
      <c r="GI68" s="1641"/>
      <c r="GJ68" s="1641"/>
      <c r="GK68" s="1641"/>
      <c r="GL68" s="1641"/>
      <c r="GM68" s="1641"/>
      <c r="GN68" s="1641"/>
      <c r="GO68" s="1641"/>
      <c r="GP68" s="1641"/>
      <c r="GQ68" s="1641"/>
      <c r="GR68" s="1641"/>
      <c r="GS68" s="1641"/>
      <c r="GT68" s="1641"/>
      <c r="GU68" s="1641"/>
      <c r="GV68" s="1641"/>
      <c r="GW68" s="1641"/>
      <c r="GX68" s="1641"/>
      <c r="GY68" s="1641"/>
      <c r="GZ68" s="1641"/>
      <c r="HA68" s="1641"/>
      <c r="HB68" s="1641"/>
      <c r="HC68" s="1641"/>
      <c r="HD68" s="1641"/>
      <c r="HE68" s="1641"/>
      <c r="HF68" s="1641"/>
      <c r="HG68" s="1641"/>
      <c r="HH68" s="1641"/>
      <c r="HI68" s="1641"/>
      <c r="HJ68" s="1641"/>
      <c r="HK68" s="1641"/>
      <c r="HL68" s="1641"/>
      <c r="HM68" s="1641"/>
      <c r="HN68" s="1641"/>
      <c r="HO68" s="1641"/>
      <c r="HP68" s="1641"/>
      <c r="HQ68" s="1641"/>
      <c r="HR68" s="1641"/>
      <c r="HS68" s="1641"/>
      <c r="HT68" s="1641"/>
      <c r="HU68" s="1641"/>
      <c r="HV68" s="1641"/>
      <c r="HW68" s="1641"/>
      <c r="HX68" s="1641"/>
      <c r="HY68" s="1641"/>
      <c r="HZ68" s="1641"/>
      <c r="IA68" s="1641"/>
      <c r="IB68" s="1641"/>
      <c r="IC68" s="1641"/>
      <c r="ID68" s="1641"/>
      <c r="IE68" s="1641"/>
      <c r="IF68" s="1641"/>
      <c r="IG68" s="1641"/>
      <c r="IH68" s="1641"/>
      <c r="II68" s="1641"/>
      <c r="IJ68" s="1641"/>
      <c r="IK68" s="1641"/>
      <c r="IL68" s="1641"/>
      <c r="IM68" s="1641"/>
      <c r="IN68" s="1641"/>
      <c r="IO68" s="1641"/>
      <c r="IP68" s="1642"/>
      <c r="IQ68" s="1642"/>
      <c r="IR68" s="1642"/>
      <c r="IS68" s="1642"/>
      <c r="IT68" s="1642"/>
      <c r="IU68" s="1642"/>
      <c r="IV68" s="1642"/>
      <c r="IW68" s="1642"/>
      <c r="IX68" s="1641"/>
      <c r="IY68" s="1641"/>
      <c r="IZ68" s="1641"/>
      <c r="JA68" s="1641"/>
      <c r="JB68" s="1641"/>
      <c r="JC68" s="1641"/>
      <c r="JD68" s="1641"/>
      <c r="JE68" s="1641">
        <v>679</v>
      </c>
      <c r="JF68" s="1641"/>
      <c r="JG68" s="1641"/>
      <c r="JH68" s="1642"/>
      <c r="JI68" s="1642"/>
      <c r="JJ68" s="1642"/>
      <c r="JK68" s="1642"/>
      <c r="JL68" s="1642"/>
      <c r="JM68" s="1642"/>
      <c r="JN68" s="1642"/>
      <c r="JO68" s="1642"/>
      <c r="JP68" s="1642"/>
      <c r="JQ68" s="1643"/>
      <c r="JR68" s="351"/>
    </row>
    <row r="69" spans="1:278" x14ac:dyDescent="0.25">
      <c r="A69" s="1367">
        <v>69</v>
      </c>
      <c r="B69" s="1411" t="str">
        <f t="shared" si="0"/>
        <v/>
      </c>
      <c r="C69" s="1435" t="s">
        <v>3952</v>
      </c>
      <c r="D69" s="1361" t="s">
        <v>3851</v>
      </c>
      <c r="E69" s="1639"/>
      <c r="F69" s="1639"/>
      <c r="G69" s="1639"/>
      <c r="H69" s="1639"/>
      <c r="I69" s="1639"/>
      <c r="J69" s="1639"/>
      <c r="K69" s="1639"/>
      <c r="L69" s="1639"/>
      <c r="M69" s="1639"/>
      <c r="N69" s="1639"/>
      <c r="O69" s="1639"/>
      <c r="P69" s="1639"/>
      <c r="Q69" s="1639"/>
      <c r="R69" s="1639"/>
      <c r="S69" s="1639"/>
      <c r="T69" s="1639"/>
      <c r="U69" s="1639"/>
      <c r="V69" s="1639"/>
      <c r="W69" s="1639"/>
      <c r="X69" s="1639"/>
      <c r="Y69" s="1639"/>
      <c r="Z69" s="1639"/>
      <c r="AA69" s="1639"/>
      <c r="AB69" s="1639"/>
      <c r="AC69" s="1639"/>
      <c r="AD69" s="1639"/>
      <c r="AE69" s="1639"/>
      <c r="AF69" s="1639"/>
      <c r="AG69" s="1639"/>
      <c r="AH69" s="1639"/>
      <c r="AI69" s="1639"/>
      <c r="AJ69" s="1639"/>
      <c r="AK69" s="1639"/>
      <c r="AL69" s="1639"/>
      <c r="AM69" s="1639"/>
      <c r="AN69" s="1639"/>
      <c r="AO69" s="1639"/>
      <c r="AP69" s="1639"/>
      <c r="AQ69" s="1639"/>
      <c r="AR69" s="1639"/>
      <c r="AS69" s="1639"/>
      <c r="AT69" s="1639"/>
      <c r="AU69" s="1639"/>
      <c r="AV69" s="1639"/>
      <c r="AW69" s="1639"/>
      <c r="AX69" s="1639"/>
      <c r="AY69" s="1639"/>
      <c r="AZ69" s="1639"/>
      <c r="BA69" s="1639"/>
      <c r="BB69" s="1639"/>
      <c r="BC69" s="1639" t="s">
        <v>3853</v>
      </c>
      <c r="BD69" s="1639" t="s">
        <v>3853</v>
      </c>
      <c r="BE69" s="1639"/>
      <c r="BF69" s="1639"/>
      <c r="BG69" s="1639"/>
      <c r="BH69" s="1639"/>
      <c r="BI69" s="1639"/>
      <c r="BJ69" s="1639"/>
      <c r="BK69" s="1639"/>
      <c r="BL69" s="1639"/>
      <c r="BM69" s="1639"/>
      <c r="BN69" s="1639"/>
      <c r="BO69" s="1639"/>
      <c r="BP69" s="1639"/>
      <c r="BQ69" s="1639"/>
      <c r="BR69" s="1639"/>
      <c r="BS69" s="1639"/>
      <c r="BT69" s="1639"/>
      <c r="BU69" s="1639"/>
      <c r="BV69" s="1639"/>
      <c r="BW69" s="1639"/>
      <c r="BX69" s="1639"/>
      <c r="BY69" s="1639"/>
      <c r="BZ69" s="1639"/>
      <c r="CA69" s="1639"/>
      <c r="CB69" s="1639"/>
      <c r="CC69" s="1639"/>
      <c r="CD69" s="1639"/>
      <c r="CE69" s="1639"/>
      <c r="CF69" s="1639"/>
      <c r="CG69" s="1639"/>
      <c r="CH69" s="1639"/>
      <c r="CI69" s="1639"/>
      <c r="CJ69" s="1639"/>
      <c r="CK69" s="1639"/>
      <c r="CL69" s="1639"/>
      <c r="CM69" s="1639"/>
      <c r="CN69" s="1639"/>
      <c r="CO69" s="1639"/>
      <c r="CP69" s="1639"/>
      <c r="CQ69" s="1639"/>
      <c r="CR69" s="1639"/>
      <c r="CS69" s="1639"/>
      <c r="CT69" s="1639"/>
      <c r="CU69" s="1639"/>
      <c r="CV69" s="1639"/>
      <c r="CW69" s="1639"/>
      <c r="CX69" s="1639"/>
      <c r="CY69" s="1639"/>
      <c r="CZ69" s="1639"/>
      <c r="DA69" s="1639"/>
      <c r="DB69" s="1639"/>
      <c r="DC69" s="1639"/>
      <c r="DD69" s="1639"/>
      <c r="DE69" s="1639"/>
      <c r="DF69" s="1639"/>
      <c r="DG69" s="1639"/>
      <c r="DH69" s="1639"/>
      <c r="DI69" s="1639"/>
      <c r="DJ69" s="1639"/>
      <c r="DK69" s="1639"/>
      <c r="DL69" s="1639"/>
      <c r="DM69" s="1639" t="s">
        <v>3854</v>
      </c>
      <c r="DN69" s="1639"/>
      <c r="DO69" s="1639"/>
      <c r="DP69" s="1639"/>
      <c r="DQ69" s="1639"/>
      <c r="DR69" s="1639"/>
      <c r="DS69" s="1639"/>
      <c r="DT69" s="1639"/>
      <c r="DU69" s="1639"/>
      <c r="DV69" s="1639"/>
      <c r="DW69" s="1639"/>
      <c r="DX69" s="1639"/>
      <c r="DY69" s="1639"/>
      <c r="DZ69" s="1639"/>
      <c r="EA69" s="1639"/>
      <c r="EB69" s="1639"/>
      <c r="EC69" s="1639"/>
      <c r="ED69" s="1639"/>
      <c r="EE69" s="1639"/>
      <c r="EF69" s="1639"/>
      <c r="EG69" s="1639"/>
      <c r="EH69" s="1639"/>
      <c r="EI69" s="1639"/>
      <c r="EJ69" s="1639"/>
      <c r="EK69" s="1639"/>
      <c r="EL69" s="1639"/>
      <c r="EM69" s="1639"/>
      <c r="EN69" s="1639"/>
      <c r="EO69" s="1639" t="s">
        <v>3854</v>
      </c>
      <c r="EP69" s="1639"/>
      <c r="EQ69" s="1639"/>
      <c r="ER69" s="1639"/>
      <c r="ES69" s="1639"/>
      <c r="ET69" s="1639"/>
      <c r="EU69" s="1639"/>
      <c r="EV69" s="1639"/>
      <c r="EW69" s="1639"/>
      <c r="EX69" s="1639" t="s">
        <v>3860</v>
      </c>
      <c r="EY69" s="1639"/>
      <c r="EZ69" s="1639"/>
      <c r="FA69" s="1639"/>
      <c r="FB69" s="1639"/>
      <c r="FC69" s="1639"/>
      <c r="FD69" s="1639"/>
      <c r="FE69" s="1639"/>
      <c r="FF69" s="1639"/>
      <c r="FG69" s="1639"/>
      <c r="FH69" s="1639"/>
      <c r="FI69" s="1639"/>
      <c r="FJ69" s="1639"/>
      <c r="FK69" s="1639"/>
      <c r="FL69" s="1639"/>
      <c r="FM69" s="1639"/>
      <c r="FN69" s="1639"/>
      <c r="FO69" s="1639"/>
      <c r="FP69" s="1639"/>
      <c r="FQ69" s="1639"/>
      <c r="FR69" s="1639"/>
      <c r="FS69" s="1639"/>
      <c r="FT69" s="1639"/>
      <c r="FU69" s="1639"/>
      <c r="FV69" s="1639"/>
      <c r="FW69" s="1639"/>
      <c r="FX69" s="1639"/>
      <c r="FY69" s="1639"/>
      <c r="FZ69" s="1639"/>
      <c r="GA69" s="1639"/>
      <c r="GB69" s="1639"/>
      <c r="GC69" s="1639"/>
      <c r="GD69" s="1639"/>
      <c r="GE69" s="1639"/>
      <c r="GF69" s="1639" t="s">
        <v>3853</v>
      </c>
      <c r="GG69" s="1639"/>
      <c r="GH69" s="1639"/>
      <c r="GI69" s="1639"/>
      <c r="GJ69" s="1639"/>
      <c r="GK69" s="1639"/>
      <c r="GL69" s="1639"/>
      <c r="GM69" s="1639"/>
      <c r="GN69" s="1639"/>
      <c r="GO69" s="1639"/>
      <c r="GP69" s="1639"/>
      <c r="GQ69" s="1639"/>
      <c r="GR69" s="1639"/>
      <c r="GS69" s="1639"/>
      <c r="GT69" s="1639"/>
      <c r="GU69" s="1639"/>
      <c r="GV69" s="1639"/>
      <c r="GW69" s="1639"/>
      <c r="GX69" s="1639"/>
      <c r="GY69" s="1639"/>
      <c r="GZ69" s="1639"/>
      <c r="HA69" s="1639"/>
      <c r="HB69" s="1639"/>
      <c r="HC69" s="1639"/>
      <c r="HD69" s="1639"/>
      <c r="HE69" s="1639"/>
      <c r="HF69" s="1639"/>
      <c r="HG69" s="1638" t="s">
        <v>3953</v>
      </c>
      <c r="HH69" s="1639"/>
      <c r="HI69" s="1639"/>
      <c r="HJ69" s="1639" t="s">
        <v>3953</v>
      </c>
      <c r="HK69" s="1639" t="s">
        <v>3852</v>
      </c>
      <c r="HL69" s="1639" t="s">
        <v>3852</v>
      </c>
      <c r="HM69" s="1639" t="s">
        <v>3852</v>
      </c>
      <c r="HN69" s="1639"/>
      <c r="HO69" s="1639"/>
      <c r="HP69" s="1639" t="s">
        <v>3860</v>
      </c>
      <c r="HQ69" s="1639"/>
      <c r="HR69" s="1639"/>
      <c r="HS69" s="1639"/>
      <c r="HT69" s="1639"/>
      <c r="HU69" s="1639"/>
      <c r="HV69" s="1639"/>
      <c r="HW69" s="1639"/>
      <c r="HX69" s="1639"/>
      <c r="HY69" s="1639"/>
      <c r="HZ69" s="1639"/>
      <c r="IA69" s="1639"/>
      <c r="IB69" s="1639"/>
      <c r="IC69" s="1639"/>
      <c r="ID69" s="1639"/>
      <c r="IE69" s="1639"/>
      <c r="IF69" s="1639"/>
      <c r="IG69" s="1639"/>
      <c r="IH69" s="1639"/>
      <c r="II69" s="1639"/>
      <c r="IJ69" s="1639"/>
      <c r="IK69" s="1639"/>
      <c r="IL69" s="1639"/>
      <c r="IM69" s="1639"/>
      <c r="IN69" s="1639"/>
      <c r="IO69" s="1639"/>
      <c r="IP69" s="1358"/>
      <c r="IQ69" s="1358"/>
      <c r="IR69" s="1358"/>
      <c r="IS69" s="1358"/>
      <c r="IT69" s="1358"/>
      <c r="IU69" s="1358"/>
      <c r="IV69" s="1358"/>
      <c r="IW69" s="1358"/>
      <c r="IX69" s="1639"/>
      <c r="IY69" s="1639"/>
      <c r="IZ69" s="1639"/>
      <c r="JA69" s="1639"/>
      <c r="JB69" s="1639"/>
      <c r="JC69" s="1639"/>
      <c r="JD69" s="1639"/>
      <c r="JE69" s="1639" t="s">
        <v>3853</v>
      </c>
      <c r="JF69" s="1639"/>
      <c r="JG69" s="1639"/>
      <c r="JH69" s="1358"/>
      <c r="JI69" s="1358"/>
      <c r="JJ69" s="1358"/>
      <c r="JK69" s="1358"/>
      <c r="JL69" s="1358"/>
      <c r="JM69" s="1358"/>
      <c r="JN69" s="1358"/>
      <c r="JO69" s="1358"/>
      <c r="JP69" s="1358"/>
      <c r="JQ69" s="1364"/>
      <c r="JR69" s="351"/>
    </row>
    <row r="70" spans="1:278" x14ac:dyDescent="0.25">
      <c r="A70" s="1367">
        <v>70</v>
      </c>
      <c r="B70" s="1411" t="str">
        <f t="shared" si="0"/>
        <v/>
      </c>
      <c r="C70" s="1435" t="s">
        <v>3954</v>
      </c>
      <c r="D70" s="1361" t="s">
        <v>3867</v>
      </c>
      <c r="E70" s="1641"/>
      <c r="F70" s="1641"/>
      <c r="G70" s="1641"/>
      <c r="H70" s="1641"/>
      <c r="I70" s="1641"/>
      <c r="J70" s="1641"/>
      <c r="K70" s="1641"/>
      <c r="L70" s="1641"/>
      <c r="M70" s="1641"/>
      <c r="N70" s="1641"/>
      <c r="O70" s="1641"/>
      <c r="P70" s="1641"/>
      <c r="Q70" s="1641"/>
      <c r="R70" s="1641"/>
      <c r="S70" s="1641"/>
      <c r="T70" s="1641"/>
      <c r="U70" s="1641"/>
      <c r="V70" s="1641"/>
      <c r="W70" s="1641"/>
      <c r="X70" s="1641"/>
      <c r="Y70" s="1641"/>
      <c r="Z70" s="1641"/>
      <c r="AA70" s="1641"/>
      <c r="AB70" s="1641"/>
      <c r="AC70" s="1641"/>
      <c r="AD70" s="1641"/>
      <c r="AE70" s="1641"/>
      <c r="AF70" s="1641"/>
      <c r="AG70" s="1641"/>
      <c r="AH70" s="1641"/>
      <c r="AI70" s="1641"/>
      <c r="AJ70" s="1641"/>
      <c r="AK70" s="1641"/>
      <c r="AL70" s="1641"/>
      <c r="AM70" s="1641"/>
      <c r="AN70" s="1641"/>
      <c r="AO70" s="1641"/>
      <c r="AP70" s="1641"/>
      <c r="AQ70" s="1641"/>
      <c r="AR70" s="1641"/>
      <c r="AS70" s="1641"/>
      <c r="AT70" s="1641"/>
      <c r="AU70" s="1641"/>
      <c r="AV70" s="1641"/>
      <c r="AW70" s="1641"/>
      <c r="AX70" s="1641"/>
      <c r="AY70" s="1641"/>
      <c r="AZ70" s="1641"/>
      <c r="BA70" s="1641"/>
      <c r="BB70" s="1641"/>
      <c r="BC70" s="1641">
        <v>6741</v>
      </c>
      <c r="BD70" s="1641">
        <v>6741</v>
      </c>
      <c r="BE70" s="1641"/>
      <c r="BF70" s="1641"/>
      <c r="BG70" s="1641"/>
      <c r="BH70" s="1641"/>
      <c r="BI70" s="1641"/>
      <c r="BJ70" s="1641"/>
      <c r="BK70" s="1641"/>
      <c r="BL70" s="1641"/>
      <c r="BM70" s="1641"/>
      <c r="BN70" s="1641"/>
      <c r="BO70" s="1641"/>
      <c r="BP70" s="1641"/>
      <c r="BQ70" s="1641"/>
      <c r="BR70" s="1641"/>
      <c r="BS70" s="1641"/>
      <c r="BT70" s="1641"/>
      <c r="BU70" s="1641"/>
      <c r="BV70" s="1641"/>
      <c r="BW70" s="1641"/>
      <c r="BX70" s="1641"/>
      <c r="BY70" s="1641"/>
      <c r="BZ70" s="1641"/>
      <c r="CA70" s="1641"/>
      <c r="CB70" s="1641"/>
      <c r="CC70" s="1641"/>
      <c r="CD70" s="1641"/>
      <c r="CE70" s="1641"/>
      <c r="CF70" s="1641"/>
      <c r="CG70" s="1641"/>
      <c r="CH70" s="1641"/>
      <c r="CI70" s="1641"/>
      <c r="CJ70" s="1641"/>
      <c r="CK70" s="1641"/>
      <c r="CL70" s="1641"/>
      <c r="CM70" s="1641"/>
      <c r="CN70" s="1641"/>
      <c r="CO70" s="1641"/>
      <c r="CP70" s="1641"/>
      <c r="CQ70" s="1641"/>
      <c r="CR70" s="1641"/>
      <c r="CS70" s="1641"/>
      <c r="CT70" s="1641"/>
      <c r="CU70" s="1641"/>
      <c r="CV70" s="1641"/>
      <c r="CW70" s="1641"/>
      <c r="CX70" s="1641"/>
      <c r="CY70" s="1641"/>
      <c r="CZ70" s="1641"/>
      <c r="DA70" s="1641"/>
      <c r="DB70" s="1641"/>
      <c r="DC70" s="1641"/>
      <c r="DD70" s="1641"/>
      <c r="DE70" s="1641"/>
      <c r="DF70" s="1641"/>
      <c r="DG70" s="1641"/>
      <c r="DH70" s="1641"/>
      <c r="DI70" s="1641"/>
      <c r="DJ70" s="1641"/>
      <c r="DK70" s="1641"/>
      <c r="DL70" s="1641"/>
      <c r="DM70" s="1641">
        <v>4620</v>
      </c>
      <c r="DN70" s="1641"/>
      <c r="DO70" s="1641"/>
      <c r="DP70" s="1641"/>
      <c r="DQ70" s="1641"/>
      <c r="DR70" s="1641"/>
      <c r="DS70" s="1641"/>
      <c r="DT70" s="1641"/>
      <c r="DU70" s="1641"/>
      <c r="DV70" s="1641"/>
      <c r="DW70" s="1641"/>
      <c r="DX70" s="1641"/>
      <c r="DY70" s="1641"/>
      <c r="DZ70" s="1641"/>
      <c r="EA70" s="1641"/>
      <c r="EB70" s="1641"/>
      <c r="EC70" s="1641"/>
      <c r="ED70" s="1641"/>
      <c r="EE70" s="1641"/>
      <c r="EF70" s="1641"/>
      <c r="EG70" s="1641"/>
      <c r="EH70" s="1641"/>
      <c r="EI70" s="1641"/>
      <c r="EJ70" s="1641"/>
      <c r="EK70" s="1641"/>
      <c r="EL70" s="1641"/>
      <c r="EM70" s="1641"/>
      <c r="EN70" s="1641"/>
      <c r="EO70" s="1641">
        <v>4620</v>
      </c>
      <c r="EP70" s="1641"/>
      <c r="EQ70" s="1641"/>
      <c r="ER70" s="1641"/>
      <c r="ES70" s="1641"/>
      <c r="ET70" s="1641"/>
      <c r="EU70" s="1641"/>
      <c r="EV70" s="1641"/>
      <c r="EW70" s="1641"/>
      <c r="EX70" s="1641">
        <v>1360</v>
      </c>
      <c r="EY70" s="1641"/>
      <c r="EZ70" s="1641"/>
      <c r="FA70" s="1641"/>
      <c r="FB70" s="1641"/>
      <c r="FC70" s="1641"/>
      <c r="FD70" s="1641"/>
      <c r="FE70" s="1641"/>
      <c r="FF70" s="1641"/>
      <c r="FG70" s="1641"/>
      <c r="FH70" s="1641"/>
      <c r="FI70" s="1641"/>
      <c r="FJ70" s="1641"/>
      <c r="FK70" s="1641"/>
      <c r="FL70" s="1641"/>
      <c r="FM70" s="1641"/>
      <c r="FN70" s="1641"/>
      <c r="FO70" s="1641"/>
      <c r="FP70" s="1641"/>
      <c r="FQ70" s="1641"/>
      <c r="FR70" s="1641"/>
      <c r="FS70" s="1641"/>
      <c r="FT70" s="1641"/>
      <c r="FU70" s="1641"/>
      <c r="FV70" s="1641"/>
      <c r="FW70" s="1641"/>
      <c r="FX70" s="1641"/>
      <c r="FY70" s="1641"/>
      <c r="FZ70" s="1641"/>
      <c r="GA70" s="1641"/>
      <c r="GB70" s="1641"/>
      <c r="GC70" s="1641"/>
      <c r="GD70" s="1641"/>
      <c r="GE70" s="1641"/>
      <c r="GF70" s="1641">
        <v>6741</v>
      </c>
      <c r="GG70" s="1641"/>
      <c r="GH70" s="1641"/>
      <c r="GI70" s="1641"/>
      <c r="GJ70" s="1641"/>
      <c r="GK70" s="1641"/>
      <c r="GL70" s="1641"/>
      <c r="GM70" s="1641"/>
      <c r="GN70" s="1641"/>
      <c r="GO70" s="1641"/>
      <c r="GP70" s="1641"/>
      <c r="GQ70" s="1641"/>
      <c r="GR70" s="1641"/>
      <c r="GS70" s="1641"/>
      <c r="GT70" s="1641"/>
      <c r="GU70" s="1641"/>
      <c r="GV70" s="1641"/>
      <c r="GW70" s="1641"/>
      <c r="GX70" s="1641"/>
      <c r="GY70" s="1641"/>
      <c r="GZ70" s="1641"/>
      <c r="HA70" s="1641"/>
      <c r="HB70" s="1641"/>
      <c r="HC70" s="1641"/>
      <c r="HD70" s="1641"/>
      <c r="HE70" s="1641"/>
      <c r="HF70" s="1641"/>
      <c r="HG70" s="1636">
        <v>68700</v>
      </c>
      <c r="HH70" s="1641"/>
      <c r="HI70" s="1641"/>
      <c r="HJ70" s="1641">
        <v>106754</v>
      </c>
      <c r="HK70" s="1641">
        <v>131762</v>
      </c>
      <c r="HL70" s="1641">
        <v>131762</v>
      </c>
      <c r="HM70" s="1641">
        <v>131762</v>
      </c>
      <c r="HN70" s="1641"/>
      <c r="HO70" s="1641"/>
      <c r="HP70" s="1641">
        <v>1360</v>
      </c>
      <c r="HQ70" s="1641"/>
      <c r="HR70" s="1641"/>
      <c r="HS70" s="1641"/>
      <c r="HT70" s="1641"/>
      <c r="HU70" s="1641"/>
      <c r="HV70" s="1641"/>
      <c r="HW70" s="1641"/>
      <c r="HX70" s="1641"/>
      <c r="HY70" s="1641"/>
      <c r="HZ70" s="1641"/>
      <c r="IA70" s="1641"/>
      <c r="IB70" s="1641"/>
      <c r="IC70" s="1641"/>
      <c r="ID70" s="1641"/>
      <c r="IE70" s="1641"/>
      <c r="IF70" s="1641"/>
      <c r="IG70" s="1641"/>
      <c r="IH70" s="1641"/>
      <c r="II70" s="1641"/>
      <c r="IJ70" s="1641"/>
      <c r="IK70" s="1641"/>
      <c r="IL70" s="1641"/>
      <c r="IM70" s="1641"/>
      <c r="IN70" s="1641"/>
      <c r="IO70" s="1641"/>
      <c r="IP70" s="1642"/>
      <c r="IQ70" s="1642"/>
      <c r="IR70" s="1642"/>
      <c r="IS70" s="1642"/>
      <c r="IT70" s="1642"/>
      <c r="IU70" s="1642"/>
      <c r="IV70" s="1642"/>
      <c r="IW70" s="1642"/>
      <c r="IX70" s="1641"/>
      <c r="IY70" s="1641"/>
      <c r="IZ70" s="1641"/>
      <c r="JA70" s="1641"/>
      <c r="JB70" s="1641"/>
      <c r="JC70" s="1641"/>
      <c r="JD70" s="1641"/>
      <c r="JE70" s="1641">
        <v>6741</v>
      </c>
      <c r="JF70" s="1641"/>
      <c r="JG70" s="1641"/>
      <c r="JH70" s="1642"/>
      <c r="JI70" s="1642"/>
      <c r="JJ70" s="1642"/>
      <c r="JK70" s="1642"/>
      <c r="JL70" s="1642"/>
      <c r="JM70" s="1642"/>
      <c r="JN70" s="1642"/>
      <c r="JO70" s="1642"/>
      <c r="JP70" s="1642"/>
      <c r="JQ70" s="1643"/>
      <c r="JR70" s="351"/>
    </row>
    <row r="71" spans="1:278" x14ac:dyDescent="0.25">
      <c r="A71" s="1367">
        <v>71</v>
      </c>
      <c r="B71" s="1411" t="str">
        <f t="shared" si="0"/>
        <v/>
      </c>
      <c r="C71" s="1435" t="s">
        <v>3955</v>
      </c>
      <c r="D71" s="1361" t="s">
        <v>3869</v>
      </c>
      <c r="E71" s="1641"/>
      <c r="F71" s="1641"/>
      <c r="G71" s="1641"/>
      <c r="H71" s="1641"/>
      <c r="I71" s="1641"/>
      <c r="J71" s="1641"/>
      <c r="K71" s="1641"/>
      <c r="L71" s="1641"/>
      <c r="M71" s="1641"/>
      <c r="N71" s="1641"/>
      <c r="O71" s="1641"/>
      <c r="P71" s="1641"/>
      <c r="Q71" s="1641"/>
      <c r="R71" s="1641"/>
      <c r="S71" s="1641"/>
      <c r="T71" s="1641"/>
      <c r="U71" s="1641"/>
      <c r="V71" s="1641"/>
      <c r="W71" s="1641"/>
      <c r="X71" s="1641"/>
      <c r="Y71" s="1641"/>
      <c r="Z71" s="1641"/>
      <c r="AA71" s="1641"/>
      <c r="AB71" s="1641"/>
      <c r="AC71" s="1641"/>
      <c r="AD71" s="1641"/>
      <c r="AE71" s="1641"/>
      <c r="AF71" s="1641"/>
      <c r="AG71" s="1641"/>
      <c r="AH71" s="1641"/>
      <c r="AI71" s="1641"/>
      <c r="AJ71" s="1641"/>
      <c r="AK71" s="1641"/>
      <c r="AL71" s="1641"/>
      <c r="AM71" s="1641"/>
      <c r="AN71" s="1641"/>
      <c r="AO71" s="1641"/>
      <c r="AP71" s="1641"/>
      <c r="AQ71" s="1641"/>
      <c r="AR71" s="1641"/>
      <c r="AS71" s="1641"/>
      <c r="AT71" s="1641"/>
      <c r="AU71" s="1641"/>
      <c r="AV71" s="1641"/>
      <c r="AW71" s="1641"/>
      <c r="AX71" s="1641"/>
      <c r="AY71" s="1641"/>
      <c r="AZ71" s="1641"/>
      <c r="BA71" s="1641"/>
      <c r="BB71" s="1641"/>
      <c r="BC71" s="1641">
        <v>1685</v>
      </c>
      <c r="BD71" s="1641">
        <v>1685</v>
      </c>
      <c r="BE71" s="1641"/>
      <c r="BF71" s="1641"/>
      <c r="BG71" s="1641"/>
      <c r="BH71" s="1641"/>
      <c r="BI71" s="1641"/>
      <c r="BJ71" s="1641"/>
      <c r="BK71" s="1641"/>
      <c r="BL71" s="1641"/>
      <c r="BM71" s="1641"/>
      <c r="BN71" s="1641"/>
      <c r="BO71" s="1641"/>
      <c r="BP71" s="1641"/>
      <c r="BQ71" s="1641"/>
      <c r="BR71" s="1641"/>
      <c r="BS71" s="1641"/>
      <c r="BT71" s="1641"/>
      <c r="BU71" s="1641"/>
      <c r="BV71" s="1641"/>
      <c r="BW71" s="1641"/>
      <c r="BX71" s="1641"/>
      <c r="BY71" s="1641"/>
      <c r="BZ71" s="1641"/>
      <c r="CA71" s="1641"/>
      <c r="CB71" s="1641"/>
      <c r="CC71" s="1641"/>
      <c r="CD71" s="1641"/>
      <c r="CE71" s="1641"/>
      <c r="CF71" s="1641"/>
      <c r="CG71" s="1641"/>
      <c r="CH71" s="1641"/>
      <c r="CI71" s="1641"/>
      <c r="CJ71" s="1641"/>
      <c r="CK71" s="1641"/>
      <c r="CL71" s="1641"/>
      <c r="CM71" s="1641"/>
      <c r="CN71" s="1641"/>
      <c r="CO71" s="1641"/>
      <c r="CP71" s="1641"/>
      <c r="CQ71" s="1641"/>
      <c r="CR71" s="1641"/>
      <c r="CS71" s="1641"/>
      <c r="CT71" s="1641"/>
      <c r="CU71" s="1641"/>
      <c r="CV71" s="1641"/>
      <c r="CW71" s="1641"/>
      <c r="CX71" s="1641"/>
      <c r="CY71" s="1641"/>
      <c r="CZ71" s="1641"/>
      <c r="DA71" s="1641"/>
      <c r="DB71" s="1641"/>
      <c r="DC71" s="1641"/>
      <c r="DD71" s="1641"/>
      <c r="DE71" s="1641"/>
      <c r="DF71" s="1641"/>
      <c r="DG71" s="1641"/>
      <c r="DH71" s="1641"/>
      <c r="DI71" s="1641"/>
      <c r="DJ71" s="1641"/>
      <c r="DK71" s="1641"/>
      <c r="DL71" s="1641"/>
      <c r="DM71" s="1641"/>
      <c r="DN71" s="1641"/>
      <c r="DO71" s="1641"/>
      <c r="DP71" s="1641"/>
      <c r="DQ71" s="1641"/>
      <c r="DR71" s="1641"/>
      <c r="DS71" s="1641"/>
      <c r="DT71" s="1641"/>
      <c r="DU71" s="1641"/>
      <c r="DV71" s="1641"/>
      <c r="DW71" s="1641"/>
      <c r="DX71" s="1641"/>
      <c r="DY71" s="1641"/>
      <c r="DZ71" s="1641"/>
      <c r="EA71" s="1641"/>
      <c r="EB71" s="1641"/>
      <c r="EC71" s="1641"/>
      <c r="ED71" s="1641"/>
      <c r="EE71" s="1641"/>
      <c r="EF71" s="1641"/>
      <c r="EG71" s="1641"/>
      <c r="EH71" s="1641"/>
      <c r="EI71" s="1641"/>
      <c r="EJ71" s="1641"/>
      <c r="EK71" s="1641"/>
      <c r="EL71" s="1641"/>
      <c r="EM71" s="1641"/>
      <c r="EN71" s="1641"/>
      <c r="EO71" s="1641"/>
      <c r="EP71" s="1641"/>
      <c r="EQ71" s="1641"/>
      <c r="ER71" s="1641"/>
      <c r="ES71" s="1641"/>
      <c r="ET71" s="1641"/>
      <c r="EU71" s="1641"/>
      <c r="EV71" s="1641"/>
      <c r="EW71" s="1641"/>
      <c r="EX71" s="1641">
        <v>340</v>
      </c>
      <c r="EY71" s="1641"/>
      <c r="EZ71" s="1641"/>
      <c r="FA71" s="1641"/>
      <c r="FB71" s="1641"/>
      <c r="FC71" s="1641"/>
      <c r="FD71" s="1641"/>
      <c r="FE71" s="1641"/>
      <c r="FF71" s="1641"/>
      <c r="FG71" s="1641"/>
      <c r="FH71" s="1641"/>
      <c r="FI71" s="1641"/>
      <c r="FJ71" s="1641"/>
      <c r="FK71" s="1641"/>
      <c r="FL71" s="1641"/>
      <c r="FM71" s="1641"/>
      <c r="FN71" s="1641"/>
      <c r="FO71" s="1641"/>
      <c r="FP71" s="1641"/>
      <c r="FQ71" s="1641"/>
      <c r="FR71" s="1641"/>
      <c r="FS71" s="1641"/>
      <c r="FT71" s="1641"/>
      <c r="FU71" s="1641"/>
      <c r="FV71" s="1641"/>
      <c r="FW71" s="1641"/>
      <c r="FX71" s="1641"/>
      <c r="FY71" s="1641"/>
      <c r="FZ71" s="1641"/>
      <c r="GA71" s="1641"/>
      <c r="GB71" s="1641"/>
      <c r="GC71" s="1641"/>
      <c r="GD71" s="1641"/>
      <c r="GE71" s="1641"/>
      <c r="GF71" s="1641">
        <v>1685</v>
      </c>
      <c r="GG71" s="1641"/>
      <c r="GH71" s="1641"/>
      <c r="GI71" s="1641"/>
      <c r="GJ71" s="1641"/>
      <c r="GK71" s="1641"/>
      <c r="GL71" s="1641"/>
      <c r="GM71" s="1641"/>
      <c r="GN71" s="1641"/>
      <c r="GO71" s="1641"/>
      <c r="GP71" s="1641"/>
      <c r="GQ71" s="1641"/>
      <c r="GR71" s="1641"/>
      <c r="GS71" s="1641"/>
      <c r="GT71" s="1641"/>
      <c r="GU71" s="1641"/>
      <c r="GV71" s="1641"/>
      <c r="GW71" s="1641"/>
      <c r="GX71" s="1641"/>
      <c r="GY71" s="1641"/>
      <c r="GZ71" s="1641"/>
      <c r="HA71" s="1641"/>
      <c r="HB71" s="1641"/>
      <c r="HC71" s="1641"/>
      <c r="HD71" s="1641"/>
      <c r="HE71" s="1641"/>
      <c r="HF71" s="1641"/>
      <c r="HG71" s="1636">
        <v>14427</v>
      </c>
      <c r="HH71" s="1641"/>
      <c r="HI71" s="1641"/>
      <c r="HJ71" s="1641">
        <v>23158</v>
      </c>
      <c r="HK71" s="1641">
        <v>35299</v>
      </c>
      <c r="HL71" s="1641">
        <v>35299</v>
      </c>
      <c r="HM71" s="1641">
        <v>35299</v>
      </c>
      <c r="HN71" s="1641"/>
      <c r="HO71" s="1641"/>
      <c r="HP71" s="1641">
        <v>340</v>
      </c>
      <c r="HQ71" s="1641"/>
      <c r="HR71" s="1641"/>
      <c r="HS71" s="1641"/>
      <c r="HT71" s="1641"/>
      <c r="HU71" s="1641"/>
      <c r="HV71" s="1641"/>
      <c r="HW71" s="1641"/>
      <c r="HX71" s="1641"/>
      <c r="HY71" s="1641"/>
      <c r="HZ71" s="1641"/>
      <c r="IA71" s="1641"/>
      <c r="IB71" s="1641"/>
      <c r="IC71" s="1641"/>
      <c r="ID71" s="1641"/>
      <c r="IE71" s="1641"/>
      <c r="IF71" s="1641"/>
      <c r="IG71" s="1641"/>
      <c r="IH71" s="1641"/>
      <c r="II71" s="1641"/>
      <c r="IJ71" s="1641"/>
      <c r="IK71" s="1641"/>
      <c r="IL71" s="1641"/>
      <c r="IM71" s="1641"/>
      <c r="IN71" s="1641"/>
      <c r="IO71" s="1641"/>
      <c r="IP71" s="1642"/>
      <c r="IQ71" s="1642"/>
      <c r="IR71" s="1642"/>
      <c r="IS71" s="1642"/>
      <c r="IT71" s="1642"/>
      <c r="IU71" s="1642"/>
      <c r="IV71" s="1642"/>
      <c r="IW71" s="1642"/>
      <c r="IX71" s="1641"/>
      <c r="IY71" s="1641"/>
      <c r="IZ71" s="1641"/>
      <c r="JA71" s="1641"/>
      <c r="JB71" s="1641"/>
      <c r="JC71" s="1641"/>
      <c r="JD71" s="1641"/>
      <c r="JE71" s="1641">
        <v>1685</v>
      </c>
      <c r="JF71" s="1641"/>
      <c r="JG71" s="1641"/>
      <c r="JH71" s="1642"/>
      <c r="JI71" s="1642"/>
      <c r="JJ71" s="1642"/>
      <c r="JK71" s="1642"/>
      <c r="JL71" s="1642"/>
      <c r="JM71" s="1642"/>
      <c r="JN71" s="1642"/>
      <c r="JO71" s="1642"/>
      <c r="JP71" s="1642"/>
      <c r="JQ71" s="1643"/>
      <c r="JR71" s="351"/>
    </row>
    <row r="72" spans="1:278" x14ac:dyDescent="0.25">
      <c r="A72" s="1367">
        <v>72</v>
      </c>
      <c r="B72" s="1411" t="str">
        <f t="shared" si="0"/>
        <v/>
      </c>
      <c r="C72" s="1435" t="s">
        <v>3956</v>
      </c>
      <c r="D72" s="1361" t="s">
        <v>3871</v>
      </c>
      <c r="E72" s="1641"/>
      <c r="F72" s="1641"/>
      <c r="G72" s="1641"/>
      <c r="H72" s="1641"/>
      <c r="I72" s="1641"/>
      <c r="J72" s="1641"/>
      <c r="K72" s="1641"/>
      <c r="L72" s="1641"/>
      <c r="M72" s="1641"/>
      <c r="N72" s="1641"/>
      <c r="O72" s="1641"/>
      <c r="P72" s="1641"/>
      <c r="Q72" s="1641"/>
      <c r="R72" s="1641"/>
      <c r="S72" s="1641"/>
      <c r="T72" s="1641"/>
      <c r="U72" s="1641"/>
      <c r="V72" s="1641"/>
      <c r="W72" s="1641"/>
      <c r="X72" s="1641"/>
      <c r="Y72" s="1641"/>
      <c r="Z72" s="1641"/>
      <c r="AA72" s="1641"/>
      <c r="AB72" s="1641"/>
      <c r="AC72" s="1641"/>
      <c r="AD72" s="1641"/>
      <c r="AE72" s="1641"/>
      <c r="AF72" s="1641"/>
      <c r="AG72" s="1641"/>
      <c r="AH72" s="1641"/>
      <c r="AI72" s="1641"/>
      <c r="AJ72" s="1641"/>
      <c r="AK72" s="1641"/>
      <c r="AL72" s="1641"/>
      <c r="AM72" s="1641"/>
      <c r="AN72" s="1641"/>
      <c r="AO72" s="1641"/>
      <c r="AP72" s="1641"/>
      <c r="AQ72" s="1641"/>
      <c r="AR72" s="1641"/>
      <c r="AS72" s="1641"/>
      <c r="AT72" s="1641"/>
      <c r="AU72" s="1641"/>
      <c r="AV72" s="1641"/>
      <c r="AW72" s="1641"/>
      <c r="AX72" s="1641"/>
      <c r="AY72" s="1641"/>
      <c r="AZ72" s="1641"/>
      <c r="BA72" s="1641"/>
      <c r="BB72" s="1641"/>
      <c r="BC72" s="1641"/>
      <c r="BD72" s="1641"/>
      <c r="BE72" s="1641"/>
      <c r="BF72" s="1641"/>
      <c r="BG72" s="1641"/>
      <c r="BH72" s="1641"/>
      <c r="BI72" s="1641"/>
      <c r="BJ72" s="1641"/>
      <c r="BK72" s="1641"/>
      <c r="BL72" s="1641"/>
      <c r="BM72" s="1641"/>
      <c r="BN72" s="1641"/>
      <c r="BO72" s="1641"/>
      <c r="BP72" s="1641"/>
      <c r="BQ72" s="1641"/>
      <c r="BR72" s="1641"/>
      <c r="BS72" s="1641"/>
      <c r="BT72" s="1641"/>
      <c r="BU72" s="1641"/>
      <c r="BV72" s="1641"/>
      <c r="BW72" s="1641"/>
      <c r="BX72" s="1641"/>
      <c r="BY72" s="1641"/>
      <c r="BZ72" s="1641"/>
      <c r="CA72" s="1641"/>
      <c r="CB72" s="1641"/>
      <c r="CC72" s="1641"/>
      <c r="CD72" s="1641"/>
      <c r="CE72" s="1641"/>
      <c r="CF72" s="1641"/>
      <c r="CG72" s="1641"/>
      <c r="CH72" s="1641"/>
      <c r="CI72" s="1641"/>
      <c r="CJ72" s="1641"/>
      <c r="CK72" s="1641"/>
      <c r="CL72" s="1641"/>
      <c r="CM72" s="1641"/>
      <c r="CN72" s="1641"/>
      <c r="CO72" s="1641"/>
      <c r="CP72" s="1641"/>
      <c r="CQ72" s="1641"/>
      <c r="CR72" s="1641"/>
      <c r="CS72" s="1641"/>
      <c r="CT72" s="1641"/>
      <c r="CU72" s="1641"/>
      <c r="CV72" s="1641"/>
      <c r="CW72" s="1641"/>
      <c r="CX72" s="1641"/>
      <c r="CY72" s="1641"/>
      <c r="CZ72" s="1641"/>
      <c r="DA72" s="1641"/>
      <c r="DB72" s="1641"/>
      <c r="DC72" s="1641"/>
      <c r="DD72" s="1641"/>
      <c r="DE72" s="1641"/>
      <c r="DF72" s="1641"/>
      <c r="DG72" s="1641"/>
      <c r="DH72" s="1641"/>
      <c r="DI72" s="1641"/>
      <c r="DJ72" s="1641"/>
      <c r="DK72" s="1641"/>
      <c r="DL72" s="1641"/>
      <c r="DM72" s="1641"/>
      <c r="DN72" s="1641"/>
      <c r="DO72" s="1641"/>
      <c r="DP72" s="1641"/>
      <c r="DQ72" s="1641"/>
      <c r="DR72" s="1641"/>
      <c r="DS72" s="1641"/>
      <c r="DT72" s="1641"/>
      <c r="DU72" s="1641"/>
      <c r="DV72" s="1641"/>
      <c r="DW72" s="1641"/>
      <c r="DX72" s="1641"/>
      <c r="DY72" s="1641"/>
      <c r="DZ72" s="1641"/>
      <c r="EA72" s="1641"/>
      <c r="EB72" s="1641"/>
      <c r="EC72" s="1641"/>
      <c r="ED72" s="1641"/>
      <c r="EE72" s="1641"/>
      <c r="EF72" s="1641"/>
      <c r="EG72" s="1641"/>
      <c r="EH72" s="1641"/>
      <c r="EI72" s="1641"/>
      <c r="EJ72" s="1641"/>
      <c r="EK72" s="1641"/>
      <c r="EL72" s="1641"/>
      <c r="EM72" s="1641"/>
      <c r="EN72" s="1641"/>
      <c r="EO72" s="1641"/>
      <c r="EP72" s="1641"/>
      <c r="EQ72" s="1641"/>
      <c r="ER72" s="1641"/>
      <c r="ES72" s="1641"/>
      <c r="ET72" s="1641"/>
      <c r="EU72" s="1641"/>
      <c r="EV72" s="1641"/>
      <c r="EW72" s="1641"/>
      <c r="EX72" s="1641"/>
      <c r="EY72" s="1641"/>
      <c r="EZ72" s="1641"/>
      <c r="FA72" s="1641"/>
      <c r="FB72" s="1641"/>
      <c r="FC72" s="1641"/>
      <c r="FD72" s="1641"/>
      <c r="FE72" s="1641"/>
      <c r="FF72" s="1641"/>
      <c r="FG72" s="1641"/>
      <c r="FH72" s="1641"/>
      <c r="FI72" s="1641"/>
      <c r="FJ72" s="1641"/>
      <c r="FK72" s="1641"/>
      <c r="FL72" s="1641"/>
      <c r="FM72" s="1641"/>
      <c r="FN72" s="1641"/>
      <c r="FO72" s="1641"/>
      <c r="FP72" s="1641"/>
      <c r="FQ72" s="1641"/>
      <c r="FR72" s="1641"/>
      <c r="FS72" s="1641"/>
      <c r="FT72" s="1641"/>
      <c r="FU72" s="1641"/>
      <c r="FV72" s="1641"/>
      <c r="FW72" s="1641"/>
      <c r="FX72" s="1641"/>
      <c r="FY72" s="1641"/>
      <c r="FZ72" s="1641"/>
      <c r="GA72" s="1641"/>
      <c r="GB72" s="1641"/>
      <c r="GC72" s="1641"/>
      <c r="GD72" s="1641"/>
      <c r="GE72" s="1641"/>
      <c r="GF72" s="1641"/>
      <c r="GG72" s="1641"/>
      <c r="GH72" s="1641"/>
      <c r="GI72" s="1641"/>
      <c r="GJ72" s="1641"/>
      <c r="GK72" s="1641"/>
      <c r="GL72" s="1641"/>
      <c r="GM72" s="1641"/>
      <c r="GN72" s="1641"/>
      <c r="GO72" s="1641"/>
      <c r="GP72" s="1641"/>
      <c r="GQ72" s="1641"/>
      <c r="GR72" s="1641"/>
      <c r="GS72" s="1641"/>
      <c r="GT72" s="1641"/>
      <c r="GU72" s="1641"/>
      <c r="GV72" s="1641"/>
      <c r="GW72" s="1641"/>
      <c r="GX72" s="1641"/>
      <c r="GY72" s="1641"/>
      <c r="GZ72" s="1641"/>
      <c r="HA72" s="1641"/>
      <c r="HB72" s="1641"/>
      <c r="HC72" s="1641"/>
      <c r="HD72" s="1641"/>
      <c r="HE72" s="1641"/>
      <c r="HF72" s="1641"/>
      <c r="HG72" s="1641"/>
      <c r="HH72" s="1641"/>
      <c r="HI72" s="1641"/>
      <c r="HJ72" s="1641"/>
      <c r="HK72" s="1641"/>
      <c r="HL72" s="1641"/>
      <c r="HM72" s="1641"/>
      <c r="HN72" s="1641"/>
      <c r="HO72" s="1641"/>
      <c r="HP72" s="1641"/>
      <c r="HQ72" s="1641"/>
      <c r="HR72" s="1641"/>
      <c r="HS72" s="1641"/>
      <c r="HT72" s="1641"/>
      <c r="HU72" s="1641"/>
      <c r="HV72" s="1641"/>
      <c r="HW72" s="1641"/>
      <c r="HX72" s="1641"/>
      <c r="HY72" s="1641"/>
      <c r="HZ72" s="1641"/>
      <c r="IA72" s="1641"/>
      <c r="IB72" s="1641"/>
      <c r="IC72" s="1641"/>
      <c r="ID72" s="1641"/>
      <c r="IE72" s="1641"/>
      <c r="IF72" s="1641"/>
      <c r="IG72" s="1641"/>
      <c r="IH72" s="1641"/>
      <c r="II72" s="1641"/>
      <c r="IJ72" s="1641"/>
      <c r="IK72" s="1641"/>
      <c r="IL72" s="1641"/>
      <c r="IM72" s="1641"/>
      <c r="IN72" s="1641"/>
      <c r="IO72" s="1641"/>
      <c r="IP72" s="1642"/>
      <c r="IQ72" s="1642"/>
      <c r="IR72" s="1642"/>
      <c r="IS72" s="1642"/>
      <c r="IT72" s="1642"/>
      <c r="IU72" s="1642"/>
      <c r="IV72" s="1642"/>
      <c r="IW72" s="1642"/>
      <c r="IX72" s="1641"/>
      <c r="IY72" s="1641"/>
      <c r="IZ72" s="1641"/>
      <c r="JA72" s="1641"/>
      <c r="JB72" s="1641"/>
      <c r="JC72" s="1641"/>
      <c r="JD72" s="1641"/>
      <c r="JE72" s="1641"/>
      <c r="JF72" s="1641"/>
      <c r="JG72" s="1641"/>
      <c r="JH72" s="1642"/>
      <c r="JI72" s="1642"/>
      <c r="JJ72" s="1642"/>
      <c r="JK72" s="1642"/>
      <c r="JL72" s="1642"/>
      <c r="JM72" s="1642"/>
      <c r="JN72" s="1642"/>
      <c r="JO72" s="1642"/>
      <c r="JP72" s="1642"/>
      <c r="JQ72" s="1643"/>
      <c r="JR72" s="351"/>
    </row>
    <row r="73" spans="1:278" x14ac:dyDescent="0.25">
      <c r="A73" s="1367">
        <v>73</v>
      </c>
      <c r="B73" s="1411" t="str">
        <f t="shared" si="0"/>
        <v/>
      </c>
      <c r="C73" s="1435" t="s">
        <v>3957</v>
      </c>
      <c r="D73" s="1361" t="s">
        <v>3873</v>
      </c>
      <c r="E73" s="1639"/>
      <c r="F73" s="1639"/>
      <c r="G73" s="1639"/>
      <c r="H73" s="1639"/>
      <c r="I73" s="1639"/>
      <c r="J73" s="1639"/>
      <c r="K73" s="1639"/>
      <c r="L73" s="1639"/>
      <c r="M73" s="1639"/>
      <c r="N73" s="1639"/>
      <c r="O73" s="1639"/>
      <c r="P73" s="1639"/>
      <c r="Q73" s="1639"/>
      <c r="R73" s="1639"/>
      <c r="S73" s="1639"/>
      <c r="T73" s="1639"/>
      <c r="U73" s="1639"/>
      <c r="V73" s="1639"/>
      <c r="W73" s="1639"/>
      <c r="X73" s="1639"/>
      <c r="Y73" s="1639"/>
      <c r="Z73" s="1639"/>
      <c r="AA73" s="1639"/>
      <c r="AB73" s="1639"/>
      <c r="AC73" s="1639"/>
      <c r="AD73" s="1639"/>
      <c r="AE73" s="1639"/>
      <c r="AF73" s="1639"/>
      <c r="AG73" s="1639"/>
      <c r="AH73" s="1639"/>
      <c r="AI73" s="1639"/>
      <c r="AJ73" s="1639"/>
      <c r="AK73" s="1639"/>
      <c r="AL73" s="1639"/>
      <c r="AM73" s="1639"/>
      <c r="AN73" s="1639"/>
      <c r="AO73" s="1639"/>
      <c r="AP73" s="1639"/>
      <c r="AQ73" s="1639"/>
      <c r="AR73" s="1639"/>
      <c r="AS73" s="1639"/>
      <c r="AT73" s="1639"/>
      <c r="AU73" s="1639"/>
      <c r="AV73" s="1639"/>
      <c r="AW73" s="1639"/>
      <c r="AX73" s="1639"/>
      <c r="AY73" s="1639"/>
      <c r="AZ73" s="1639"/>
      <c r="BA73" s="1639"/>
      <c r="BB73" s="1639"/>
      <c r="BC73" s="1639" t="s">
        <v>1707</v>
      </c>
      <c r="BD73" s="1639" t="s">
        <v>1707</v>
      </c>
      <c r="BE73" s="1639"/>
      <c r="BF73" s="1639"/>
      <c r="BG73" s="1639"/>
      <c r="BH73" s="1639"/>
      <c r="BI73" s="1639"/>
      <c r="BJ73" s="1639"/>
      <c r="BK73" s="1639"/>
      <c r="BL73" s="1639"/>
      <c r="BM73" s="1639"/>
      <c r="BN73" s="1639"/>
      <c r="BO73" s="1639"/>
      <c r="BP73" s="1639"/>
      <c r="BQ73" s="1639"/>
      <c r="BR73" s="1639"/>
      <c r="BS73" s="1639"/>
      <c r="BT73" s="1639"/>
      <c r="BU73" s="1639"/>
      <c r="BV73" s="1639"/>
      <c r="BW73" s="1639"/>
      <c r="BX73" s="1639"/>
      <c r="BY73" s="1639"/>
      <c r="BZ73" s="1639"/>
      <c r="CA73" s="1639"/>
      <c r="CB73" s="1639"/>
      <c r="CC73" s="1639"/>
      <c r="CD73" s="1639"/>
      <c r="CE73" s="1639"/>
      <c r="CF73" s="1639"/>
      <c r="CG73" s="1639"/>
      <c r="CH73" s="1639"/>
      <c r="CI73" s="1639"/>
      <c r="CJ73" s="1639"/>
      <c r="CK73" s="1639"/>
      <c r="CL73" s="1639"/>
      <c r="CM73" s="1639"/>
      <c r="CN73" s="1639"/>
      <c r="CO73" s="1639"/>
      <c r="CP73" s="1639"/>
      <c r="CQ73" s="1639"/>
      <c r="CR73" s="1639"/>
      <c r="CS73" s="1639"/>
      <c r="CT73" s="1639"/>
      <c r="CU73" s="1639"/>
      <c r="CV73" s="1639"/>
      <c r="CW73" s="1639"/>
      <c r="CX73" s="1639"/>
      <c r="CY73" s="1639"/>
      <c r="CZ73" s="1639"/>
      <c r="DA73" s="1639"/>
      <c r="DB73" s="1639"/>
      <c r="DC73" s="1639"/>
      <c r="DD73" s="1639"/>
      <c r="DE73" s="1639"/>
      <c r="DF73" s="1639"/>
      <c r="DG73" s="1639"/>
      <c r="DH73" s="1639"/>
      <c r="DI73" s="1639"/>
      <c r="DJ73" s="1639"/>
      <c r="DK73" s="1639"/>
      <c r="DL73" s="1639"/>
      <c r="DM73" s="1639"/>
      <c r="DN73" s="1639"/>
      <c r="DO73" s="1639"/>
      <c r="DP73" s="1639"/>
      <c r="DQ73" s="1639"/>
      <c r="DR73" s="1639"/>
      <c r="DS73" s="1639"/>
      <c r="DT73" s="1639"/>
      <c r="DU73" s="1639"/>
      <c r="DV73" s="1639"/>
      <c r="DW73" s="1639"/>
      <c r="DX73" s="1639"/>
      <c r="DY73" s="1639"/>
      <c r="DZ73" s="1639"/>
      <c r="EA73" s="1639"/>
      <c r="EB73" s="1639"/>
      <c r="EC73" s="1639"/>
      <c r="ED73" s="1639"/>
      <c r="EE73" s="1639"/>
      <c r="EF73" s="1639"/>
      <c r="EG73" s="1639"/>
      <c r="EH73" s="1639"/>
      <c r="EI73" s="1639"/>
      <c r="EJ73" s="1639"/>
      <c r="EK73" s="1639"/>
      <c r="EL73" s="1639"/>
      <c r="EM73" s="1639"/>
      <c r="EN73" s="1639"/>
      <c r="EO73" s="1639"/>
      <c r="EP73" s="1639"/>
      <c r="EQ73" s="1639"/>
      <c r="ER73" s="1639"/>
      <c r="ES73" s="1639"/>
      <c r="ET73" s="1639"/>
      <c r="EU73" s="1639"/>
      <c r="EV73" s="1639"/>
      <c r="EW73" s="1639"/>
      <c r="EX73" s="1639" t="s">
        <v>1707</v>
      </c>
      <c r="EY73" s="1639"/>
      <c r="EZ73" s="1639"/>
      <c r="FA73" s="1639"/>
      <c r="FB73" s="1639"/>
      <c r="FC73" s="1639"/>
      <c r="FD73" s="1639"/>
      <c r="FE73" s="1639"/>
      <c r="FF73" s="1639"/>
      <c r="FG73" s="1639"/>
      <c r="FH73" s="1639"/>
      <c r="FI73" s="1639"/>
      <c r="FJ73" s="1639"/>
      <c r="FK73" s="1639"/>
      <c r="FL73" s="1639"/>
      <c r="FM73" s="1639"/>
      <c r="FN73" s="1639"/>
      <c r="FO73" s="1639"/>
      <c r="FP73" s="1639"/>
      <c r="FQ73" s="1639"/>
      <c r="FR73" s="1639"/>
      <c r="FS73" s="1639"/>
      <c r="FT73" s="1639"/>
      <c r="FU73" s="1639"/>
      <c r="FV73" s="1639"/>
      <c r="FW73" s="1639"/>
      <c r="FX73" s="1639"/>
      <c r="FY73" s="1639"/>
      <c r="FZ73" s="1639"/>
      <c r="GA73" s="1639"/>
      <c r="GB73" s="1639"/>
      <c r="GC73" s="1639"/>
      <c r="GD73" s="1639"/>
      <c r="GE73" s="1639"/>
      <c r="GF73" s="1639" t="s">
        <v>1707</v>
      </c>
      <c r="GG73" s="1639"/>
      <c r="GH73" s="1639"/>
      <c r="GI73" s="1639"/>
      <c r="GJ73" s="1639"/>
      <c r="GK73" s="1639"/>
      <c r="GL73" s="1639"/>
      <c r="GM73" s="1639"/>
      <c r="GN73" s="1639"/>
      <c r="GO73" s="1639"/>
      <c r="GP73" s="1639"/>
      <c r="GQ73" s="1639"/>
      <c r="GR73" s="1639"/>
      <c r="GS73" s="1639"/>
      <c r="GT73" s="1639"/>
      <c r="GU73" s="1639"/>
      <c r="GV73" s="1639"/>
      <c r="GW73" s="1639"/>
      <c r="GX73" s="1639"/>
      <c r="GY73" s="1639"/>
      <c r="GZ73" s="1639"/>
      <c r="HA73" s="1639"/>
      <c r="HB73" s="1639"/>
      <c r="HC73" s="1639"/>
      <c r="HD73" s="1639"/>
      <c r="HE73" s="1639"/>
      <c r="HF73" s="1639"/>
      <c r="HG73" s="1639"/>
      <c r="HH73" s="1639"/>
      <c r="HI73" s="1639"/>
      <c r="HJ73" s="1639" t="s">
        <v>1707</v>
      </c>
      <c r="HK73" s="1639" t="s">
        <v>1707</v>
      </c>
      <c r="HL73" s="1639" t="s">
        <v>1707</v>
      </c>
      <c r="HM73" s="1639" t="s">
        <v>1707</v>
      </c>
      <c r="HN73" s="1639"/>
      <c r="HO73" s="1639"/>
      <c r="HP73" s="1639" t="s">
        <v>1707</v>
      </c>
      <c r="HQ73" s="1639"/>
      <c r="HR73" s="1639"/>
      <c r="HS73" s="1639"/>
      <c r="HT73" s="1639"/>
      <c r="HU73" s="1639"/>
      <c r="HV73" s="1639"/>
      <c r="HW73" s="1639"/>
      <c r="HX73" s="1639"/>
      <c r="HY73" s="1639"/>
      <c r="HZ73" s="1639"/>
      <c r="IA73" s="1639"/>
      <c r="IB73" s="1639"/>
      <c r="IC73" s="1639"/>
      <c r="ID73" s="1639"/>
      <c r="IE73" s="1639"/>
      <c r="IF73" s="1639"/>
      <c r="IG73" s="1639"/>
      <c r="IH73" s="1639"/>
      <c r="II73" s="1639"/>
      <c r="IJ73" s="1639"/>
      <c r="IK73" s="1639"/>
      <c r="IL73" s="1639"/>
      <c r="IM73" s="1639"/>
      <c r="IN73" s="1639"/>
      <c r="IO73" s="1639"/>
      <c r="IP73" s="1358"/>
      <c r="IQ73" s="1358"/>
      <c r="IR73" s="1358"/>
      <c r="IS73" s="1358"/>
      <c r="IT73" s="1358"/>
      <c r="IU73" s="1358"/>
      <c r="IV73" s="1358"/>
      <c r="IW73" s="1358"/>
      <c r="IX73" s="1639"/>
      <c r="IY73" s="1639"/>
      <c r="IZ73" s="1639"/>
      <c r="JA73" s="1639"/>
      <c r="JB73" s="1639"/>
      <c r="JC73" s="1639"/>
      <c r="JD73" s="1639"/>
      <c r="JE73" s="1639" t="s">
        <v>1707</v>
      </c>
      <c r="JF73" s="1639"/>
      <c r="JG73" s="1639"/>
      <c r="JH73" s="1358"/>
      <c r="JI73" s="1358"/>
      <c r="JJ73" s="1358"/>
      <c r="JK73" s="1358"/>
      <c r="JL73" s="1358"/>
      <c r="JM73" s="1358"/>
      <c r="JN73" s="1358"/>
      <c r="JO73" s="1358"/>
      <c r="JP73" s="1358"/>
      <c r="JQ73" s="1364"/>
      <c r="JR73" s="351"/>
    </row>
    <row r="74" spans="1:278" x14ac:dyDescent="0.25">
      <c r="A74" s="1367">
        <v>74</v>
      </c>
      <c r="B74" s="1411" t="str">
        <f t="shared" si="0"/>
        <v/>
      </c>
      <c r="C74" s="1435" t="s">
        <v>3958</v>
      </c>
      <c r="D74" s="1361" t="s">
        <v>3875</v>
      </c>
      <c r="E74" s="2561"/>
      <c r="F74" s="2561"/>
      <c r="G74" s="2561"/>
      <c r="H74" s="2561"/>
      <c r="I74" s="2561"/>
      <c r="J74" s="2561"/>
      <c r="K74" s="2561"/>
      <c r="L74" s="2561"/>
      <c r="M74" s="2561"/>
      <c r="N74" s="2561"/>
      <c r="O74" s="2561"/>
      <c r="P74" s="2561"/>
      <c r="Q74" s="2561"/>
      <c r="R74" s="2561"/>
      <c r="S74" s="2561"/>
      <c r="T74" s="2561"/>
      <c r="U74" s="2561"/>
      <c r="V74" s="2561"/>
      <c r="W74" s="2561"/>
      <c r="X74" s="2561"/>
      <c r="Y74" s="2561"/>
      <c r="Z74" s="2561"/>
      <c r="AA74" s="2561"/>
      <c r="AB74" s="2561"/>
      <c r="AC74" s="2561"/>
      <c r="AD74" s="2561"/>
      <c r="AE74" s="2561"/>
      <c r="AF74" s="2561"/>
      <c r="AG74" s="2561"/>
      <c r="AH74" s="2561"/>
      <c r="AI74" s="2561"/>
      <c r="AJ74" s="2561"/>
      <c r="AK74" s="2561"/>
      <c r="AL74" s="2561"/>
      <c r="AM74" s="2561"/>
      <c r="AN74" s="2561"/>
      <c r="AO74" s="2561"/>
      <c r="AP74" s="2561"/>
      <c r="AQ74" s="2561"/>
      <c r="AR74" s="2561"/>
      <c r="AS74" s="2561"/>
      <c r="AT74" s="2561"/>
      <c r="AU74" s="2561"/>
      <c r="AV74" s="2561"/>
      <c r="AW74" s="2561"/>
      <c r="AX74" s="2561"/>
      <c r="AY74" s="2561"/>
      <c r="AZ74" s="2561"/>
      <c r="BA74" s="2561"/>
      <c r="BB74" s="2561"/>
      <c r="BC74" s="2561">
        <f>IF(BC73="Y",BC70,MAX(0,BC70-BC71))</f>
        <v>6741</v>
      </c>
      <c r="BD74" s="2561">
        <f>IF(BD73="Y",BD70,MAX(0,BD70-BD71))</f>
        <v>6741</v>
      </c>
      <c r="BE74" s="2561"/>
      <c r="BF74" s="2561"/>
      <c r="BG74" s="2561"/>
      <c r="BH74" s="2561"/>
      <c r="BI74" s="2561"/>
      <c r="BJ74" s="2561"/>
      <c r="BK74" s="2561"/>
      <c r="BL74" s="2561"/>
      <c r="BM74" s="2561"/>
      <c r="BN74" s="2561"/>
      <c r="BO74" s="2561"/>
      <c r="BP74" s="2561"/>
      <c r="BQ74" s="2561"/>
      <c r="BR74" s="2561"/>
      <c r="BS74" s="2561"/>
      <c r="BT74" s="2561"/>
      <c r="BU74" s="2561"/>
      <c r="BV74" s="2561"/>
      <c r="BW74" s="2561"/>
      <c r="BX74" s="2561"/>
      <c r="BY74" s="2561"/>
      <c r="BZ74" s="2561"/>
      <c r="CA74" s="2561"/>
      <c r="CB74" s="2561"/>
      <c r="CC74" s="2561"/>
      <c r="CD74" s="2561"/>
      <c r="CE74" s="2561"/>
      <c r="CF74" s="2561"/>
      <c r="CG74" s="2561"/>
      <c r="CH74" s="2561"/>
      <c r="CI74" s="2561"/>
      <c r="CJ74" s="2561"/>
      <c r="CK74" s="2561"/>
      <c r="CL74" s="2561"/>
      <c r="CM74" s="2561"/>
      <c r="CN74" s="2561"/>
      <c r="CO74" s="2561"/>
      <c r="CP74" s="2561"/>
      <c r="CQ74" s="2561"/>
      <c r="CR74" s="2561"/>
      <c r="CS74" s="2561"/>
      <c r="CT74" s="2561"/>
      <c r="CU74" s="2561"/>
      <c r="CV74" s="2561"/>
      <c r="CW74" s="2561"/>
      <c r="CX74" s="2561"/>
      <c r="CY74" s="2561"/>
      <c r="CZ74" s="2561"/>
      <c r="DA74" s="2561"/>
      <c r="DB74" s="2561"/>
      <c r="DC74" s="2561"/>
      <c r="DD74" s="2561"/>
      <c r="DE74" s="2561"/>
      <c r="DF74" s="2561"/>
      <c r="DG74" s="2561"/>
      <c r="DH74" s="2561"/>
      <c r="DI74" s="2561"/>
      <c r="DJ74" s="2561"/>
      <c r="DK74" s="2561"/>
      <c r="DL74" s="2561"/>
      <c r="DM74" s="2561">
        <f>IF(DM73="Y",DM70,MAX(0,DM70-DM71))</f>
        <v>4620</v>
      </c>
      <c r="DN74" s="2561"/>
      <c r="DO74" s="2561"/>
      <c r="DP74" s="2561"/>
      <c r="DQ74" s="2561"/>
      <c r="DR74" s="2561"/>
      <c r="DS74" s="2561"/>
      <c r="DT74" s="2561"/>
      <c r="DU74" s="2561"/>
      <c r="DV74" s="2561"/>
      <c r="DW74" s="2561"/>
      <c r="DX74" s="2561"/>
      <c r="DY74" s="2561"/>
      <c r="DZ74" s="2561"/>
      <c r="EA74" s="2561"/>
      <c r="EB74" s="2561"/>
      <c r="EC74" s="2561"/>
      <c r="ED74" s="2561"/>
      <c r="EE74" s="2561"/>
      <c r="EF74" s="2561"/>
      <c r="EG74" s="2561"/>
      <c r="EH74" s="2561"/>
      <c r="EI74" s="2561"/>
      <c r="EJ74" s="2561"/>
      <c r="EK74" s="2561"/>
      <c r="EL74" s="2561"/>
      <c r="EM74" s="2561"/>
      <c r="EN74" s="2561"/>
      <c r="EO74" s="2561">
        <f>IF(EO73="Y",EO70,MAX(0,EO70-EO71))</f>
        <v>4620</v>
      </c>
      <c r="EP74" s="2561"/>
      <c r="EQ74" s="2561"/>
      <c r="ER74" s="2561"/>
      <c r="ES74" s="2561"/>
      <c r="ET74" s="2561"/>
      <c r="EU74" s="2561"/>
      <c r="EV74" s="2561"/>
      <c r="EW74" s="2561"/>
      <c r="EX74" s="2561">
        <f>IF(EX73="Y",EX70,MAX(0,EX70-EX71))</f>
        <v>1360</v>
      </c>
      <c r="EY74" s="2561"/>
      <c r="EZ74" s="2561"/>
      <c r="FA74" s="2561"/>
      <c r="FB74" s="2561"/>
      <c r="FC74" s="2561"/>
      <c r="FD74" s="2561"/>
      <c r="FE74" s="2561"/>
      <c r="FF74" s="2561"/>
      <c r="FG74" s="2561"/>
      <c r="FH74" s="2561"/>
      <c r="FI74" s="2561"/>
      <c r="FJ74" s="2561"/>
      <c r="FK74" s="2561"/>
      <c r="FL74" s="2561"/>
      <c r="FM74" s="2561"/>
      <c r="FN74" s="2561"/>
      <c r="FO74" s="2561"/>
      <c r="FP74" s="2561"/>
      <c r="FQ74" s="2561"/>
      <c r="FR74" s="2561"/>
      <c r="FS74" s="2561"/>
      <c r="FT74" s="2561"/>
      <c r="FU74" s="2561"/>
      <c r="FV74" s="2561"/>
      <c r="FW74" s="2561"/>
      <c r="FX74" s="2561"/>
      <c r="FY74" s="2561"/>
      <c r="FZ74" s="2561"/>
      <c r="GA74" s="2561"/>
      <c r="GB74" s="2561"/>
      <c r="GC74" s="2561"/>
      <c r="GD74" s="2561"/>
      <c r="GE74" s="2561"/>
      <c r="GF74" s="2561">
        <f>IF(GF73="Y",GF70,MAX(0,GF70-GF71))</f>
        <v>6741</v>
      </c>
      <c r="GG74" s="2561"/>
      <c r="GH74" s="2561"/>
      <c r="GI74" s="2561"/>
      <c r="GJ74" s="2561"/>
      <c r="GK74" s="2561"/>
      <c r="GL74" s="2561"/>
      <c r="GM74" s="2561"/>
      <c r="GN74" s="2561"/>
      <c r="GO74" s="2561"/>
      <c r="GP74" s="2561"/>
      <c r="GQ74" s="2561"/>
      <c r="GR74" s="2561"/>
      <c r="GS74" s="2561"/>
      <c r="GT74" s="2561"/>
      <c r="GU74" s="2561"/>
      <c r="GV74" s="2561"/>
      <c r="GW74" s="2561"/>
      <c r="GX74" s="2561"/>
      <c r="GY74" s="2561"/>
      <c r="GZ74" s="2561"/>
      <c r="HA74" s="2561"/>
      <c r="HB74" s="2561"/>
      <c r="HC74" s="2561"/>
      <c r="HD74" s="2561"/>
      <c r="HE74" s="2561"/>
      <c r="HF74" s="2561"/>
      <c r="HG74" s="2561">
        <f t="shared" ref="HG74" si="10">IF(HG73="Y",HG70,MAX(0,HG70-HG71))</f>
        <v>54273</v>
      </c>
      <c r="HH74" s="2561"/>
      <c r="HI74" s="2561"/>
      <c r="HJ74" s="2561">
        <f>IF(HJ73="Y",HJ70,MAX(0,HJ70-HJ71))</f>
        <v>106754</v>
      </c>
      <c r="HK74" s="2561">
        <f>IF(HK73="Y",HK70,MAX(0,HK70-HK71))</f>
        <v>131762</v>
      </c>
      <c r="HL74" s="2561">
        <f>IF(HL73="Y",HL70,MAX(0,HL70-HL71))</f>
        <v>131762</v>
      </c>
      <c r="HM74" s="2561">
        <f>IF(HM73="Y",HM70,MAX(0,HM70-HM71))</f>
        <v>131762</v>
      </c>
      <c r="HN74" s="2561"/>
      <c r="HO74" s="2561"/>
      <c r="HP74" s="2561">
        <f>IF(HP73="Y",HP70,MAX(0,HP70-HP71))</f>
        <v>1360</v>
      </c>
      <c r="HQ74" s="2561"/>
      <c r="HR74" s="2561"/>
      <c r="HS74" s="2561"/>
      <c r="HT74" s="2561"/>
      <c r="HU74" s="2561"/>
      <c r="HV74" s="2561"/>
      <c r="HW74" s="2561"/>
      <c r="HX74" s="2561"/>
      <c r="HY74" s="2561"/>
      <c r="HZ74" s="2561"/>
      <c r="IA74" s="2561"/>
      <c r="IB74" s="2561"/>
      <c r="IC74" s="2561"/>
      <c r="ID74" s="2561"/>
      <c r="IE74" s="2561"/>
      <c r="IF74" s="2561"/>
      <c r="IG74" s="2561"/>
      <c r="IH74" s="2561"/>
      <c r="II74" s="2561"/>
      <c r="IJ74" s="2561"/>
      <c r="IK74" s="2561"/>
      <c r="IL74" s="2561"/>
      <c r="IM74" s="2561"/>
      <c r="IN74" s="2561"/>
      <c r="IO74" s="2561"/>
      <c r="IP74" s="2561"/>
      <c r="IQ74" s="2561"/>
      <c r="IR74" s="2561"/>
      <c r="IS74" s="2561"/>
      <c r="IT74" s="2561"/>
      <c r="IU74" s="2561"/>
      <c r="IV74" s="2561"/>
      <c r="IW74" s="2561"/>
      <c r="IX74" s="2561"/>
      <c r="IY74" s="2561"/>
      <c r="IZ74" s="2561"/>
      <c r="JA74" s="2561"/>
      <c r="JB74" s="2561"/>
      <c r="JC74" s="2561"/>
      <c r="JD74" s="2561"/>
      <c r="JE74" s="2561">
        <f>IF(JE73="Y",JE70,MAX(0,JE70-JE71))</f>
        <v>6741</v>
      </c>
      <c r="JF74" s="2561"/>
      <c r="JG74" s="2561"/>
      <c r="JH74" s="2561"/>
      <c r="JI74" s="2561"/>
      <c r="JJ74" s="2561"/>
      <c r="JK74" s="2561"/>
      <c r="JL74" s="2561"/>
      <c r="JM74" s="2561"/>
      <c r="JN74" s="2561"/>
      <c r="JO74" s="2561"/>
      <c r="JP74" s="2561"/>
      <c r="JQ74" s="2561"/>
      <c r="JR74" s="351"/>
    </row>
    <row r="75" spans="1:278" x14ac:dyDescent="0.25">
      <c r="A75" s="1367">
        <v>75</v>
      </c>
      <c r="B75" s="1411" t="str">
        <f t="shared" si="0"/>
        <v/>
      </c>
      <c r="C75" s="1435" t="s">
        <v>3959</v>
      </c>
      <c r="D75" s="1361" t="s">
        <v>3887</v>
      </c>
      <c r="E75" s="1641"/>
      <c r="F75" s="1641"/>
      <c r="G75" s="1641"/>
      <c r="H75" s="1641"/>
      <c r="I75" s="1641"/>
      <c r="J75" s="1641"/>
      <c r="K75" s="1641"/>
      <c r="L75" s="1641"/>
      <c r="M75" s="1641"/>
      <c r="N75" s="1641"/>
      <c r="O75" s="1641"/>
      <c r="P75" s="1641"/>
      <c r="Q75" s="1641"/>
      <c r="R75" s="1641"/>
      <c r="S75" s="1641"/>
      <c r="T75" s="1641"/>
      <c r="U75" s="1641"/>
      <c r="V75" s="1641"/>
      <c r="W75" s="1641"/>
      <c r="X75" s="1641"/>
      <c r="Y75" s="1641"/>
      <c r="Z75" s="1641"/>
      <c r="AA75" s="1641"/>
      <c r="AB75" s="1641"/>
      <c r="AC75" s="1641"/>
      <c r="AD75" s="1641"/>
      <c r="AE75" s="1641"/>
      <c r="AF75" s="1641"/>
      <c r="AG75" s="1641"/>
      <c r="AH75" s="1641"/>
      <c r="AI75" s="1641"/>
      <c r="AJ75" s="1641"/>
      <c r="AK75" s="1641"/>
      <c r="AL75" s="1641"/>
      <c r="AM75" s="1641"/>
      <c r="AN75" s="1641"/>
      <c r="AO75" s="1641"/>
      <c r="AP75" s="1641"/>
      <c r="AQ75" s="1641"/>
      <c r="AR75" s="1641"/>
      <c r="AS75" s="1641"/>
      <c r="AT75" s="1641"/>
      <c r="AU75" s="1641"/>
      <c r="AV75" s="1641"/>
      <c r="AW75" s="1641"/>
      <c r="AX75" s="1641"/>
      <c r="AY75" s="1641"/>
      <c r="AZ75" s="1641"/>
      <c r="BA75" s="1641"/>
      <c r="BB75" s="1641"/>
      <c r="BC75" s="1641"/>
      <c r="BD75" s="1641"/>
      <c r="BE75" s="1641"/>
      <c r="BF75" s="1641"/>
      <c r="BG75" s="1641"/>
      <c r="BH75" s="1641"/>
      <c r="BI75" s="1641"/>
      <c r="BJ75" s="1641"/>
      <c r="BK75" s="1641"/>
      <c r="BL75" s="1641"/>
      <c r="BM75" s="1641"/>
      <c r="BN75" s="1641"/>
      <c r="BO75" s="1641"/>
      <c r="BP75" s="1641"/>
      <c r="BQ75" s="1641"/>
      <c r="BR75" s="1641"/>
      <c r="BS75" s="1641"/>
      <c r="BT75" s="1641"/>
      <c r="BU75" s="1641"/>
      <c r="BV75" s="1641"/>
      <c r="BW75" s="1641"/>
      <c r="BX75" s="1641"/>
      <c r="BY75" s="1641"/>
      <c r="BZ75" s="1641"/>
      <c r="CA75" s="1641"/>
      <c r="CB75" s="1641"/>
      <c r="CC75" s="1641"/>
      <c r="CD75" s="1641"/>
      <c r="CE75" s="1641"/>
      <c r="CF75" s="1641"/>
      <c r="CG75" s="1641"/>
      <c r="CH75" s="1641"/>
      <c r="CI75" s="1641"/>
      <c r="CJ75" s="1641"/>
      <c r="CK75" s="1641"/>
      <c r="CL75" s="1641"/>
      <c r="CM75" s="1641"/>
      <c r="CN75" s="1641"/>
      <c r="CO75" s="1641"/>
      <c r="CP75" s="1641"/>
      <c r="CQ75" s="1641"/>
      <c r="CR75" s="1641"/>
      <c r="CS75" s="1641"/>
      <c r="CT75" s="1641"/>
      <c r="CU75" s="1641"/>
      <c r="CV75" s="1641"/>
      <c r="CW75" s="1641"/>
      <c r="CX75" s="1641"/>
      <c r="CY75" s="1641"/>
      <c r="CZ75" s="1641"/>
      <c r="DA75" s="1641"/>
      <c r="DB75" s="1641"/>
      <c r="DC75" s="1641"/>
      <c r="DD75" s="1641"/>
      <c r="DE75" s="1641"/>
      <c r="DF75" s="1641"/>
      <c r="DG75" s="1641"/>
      <c r="DH75" s="1641"/>
      <c r="DI75" s="1641"/>
      <c r="DJ75" s="1641"/>
      <c r="DK75" s="1641"/>
      <c r="DL75" s="1641"/>
      <c r="DM75" s="1641"/>
      <c r="DN75" s="1641"/>
      <c r="DO75" s="1641"/>
      <c r="DP75" s="1641"/>
      <c r="DQ75" s="1641"/>
      <c r="DR75" s="1641"/>
      <c r="DS75" s="1641"/>
      <c r="DT75" s="1641"/>
      <c r="DU75" s="1641"/>
      <c r="DV75" s="1641"/>
      <c r="DW75" s="1641"/>
      <c r="DX75" s="1641"/>
      <c r="DY75" s="1641"/>
      <c r="DZ75" s="1641"/>
      <c r="EA75" s="1641"/>
      <c r="EB75" s="1641"/>
      <c r="EC75" s="1641"/>
      <c r="ED75" s="1641"/>
      <c r="EE75" s="1641"/>
      <c r="EF75" s="1641"/>
      <c r="EG75" s="1641"/>
      <c r="EH75" s="1641"/>
      <c r="EI75" s="1641"/>
      <c r="EJ75" s="1641"/>
      <c r="EK75" s="1641"/>
      <c r="EL75" s="1641"/>
      <c r="EM75" s="1641"/>
      <c r="EN75" s="1641"/>
      <c r="EO75" s="1641"/>
      <c r="EP75" s="1641"/>
      <c r="EQ75" s="1641"/>
      <c r="ER75" s="1641"/>
      <c r="ES75" s="1641"/>
      <c r="ET75" s="1641"/>
      <c r="EU75" s="1641"/>
      <c r="EV75" s="1641"/>
      <c r="EW75" s="1641"/>
      <c r="EX75" s="1641"/>
      <c r="EY75" s="1641"/>
      <c r="EZ75" s="1641"/>
      <c r="FA75" s="1641"/>
      <c r="FB75" s="1641"/>
      <c r="FC75" s="1641"/>
      <c r="FD75" s="1641"/>
      <c r="FE75" s="1641"/>
      <c r="FF75" s="1641"/>
      <c r="FG75" s="1641"/>
      <c r="FH75" s="1641"/>
      <c r="FI75" s="1641"/>
      <c r="FJ75" s="1641"/>
      <c r="FK75" s="1641"/>
      <c r="FL75" s="1641"/>
      <c r="FM75" s="1641"/>
      <c r="FN75" s="1641"/>
      <c r="FO75" s="1641"/>
      <c r="FP75" s="1641"/>
      <c r="FQ75" s="1641"/>
      <c r="FR75" s="1641"/>
      <c r="FS75" s="1641"/>
      <c r="FT75" s="1641"/>
      <c r="FU75" s="1641"/>
      <c r="FV75" s="1641"/>
      <c r="FW75" s="1641"/>
      <c r="FX75" s="1641"/>
      <c r="FY75" s="1641"/>
      <c r="FZ75" s="1641"/>
      <c r="GA75" s="1641"/>
      <c r="GB75" s="1641"/>
      <c r="GC75" s="1641"/>
      <c r="GD75" s="1641"/>
      <c r="GE75" s="1641"/>
      <c r="GF75" s="1641"/>
      <c r="GG75" s="1641"/>
      <c r="GH75" s="1641"/>
      <c r="GI75" s="1641"/>
      <c r="GJ75" s="1641"/>
      <c r="GK75" s="1641"/>
      <c r="GL75" s="1641"/>
      <c r="GM75" s="1641"/>
      <c r="GN75" s="1641"/>
      <c r="GO75" s="1641"/>
      <c r="GP75" s="1641"/>
      <c r="GQ75" s="1641"/>
      <c r="GR75" s="1641"/>
      <c r="GS75" s="1641"/>
      <c r="GT75" s="1641"/>
      <c r="GU75" s="1641"/>
      <c r="GV75" s="1641"/>
      <c r="GW75" s="1641"/>
      <c r="GX75" s="1641"/>
      <c r="GY75" s="1641"/>
      <c r="GZ75" s="1641"/>
      <c r="HA75" s="1641"/>
      <c r="HB75" s="1641"/>
      <c r="HC75" s="1641"/>
      <c r="HD75" s="1641"/>
      <c r="HE75" s="1641"/>
      <c r="HF75" s="1641"/>
      <c r="HG75" s="1641"/>
      <c r="HH75" s="1641"/>
      <c r="HI75" s="1641"/>
      <c r="HJ75" s="1641"/>
      <c r="HK75" s="1641"/>
      <c r="HL75" s="1641"/>
      <c r="HM75" s="1641"/>
      <c r="HN75" s="1641"/>
      <c r="HO75" s="1641"/>
      <c r="HP75" s="1641"/>
      <c r="HQ75" s="1641"/>
      <c r="HR75" s="1641"/>
      <c r="HS75" s="1641"/>
      <c r="HT75" s="1641"/>
      <c r="HU75" s="1641"/>
      <c r="HV75" s="1641"/>
      <c r="HW75" s="1641"/>
      <c r="HX75" s="1641"/>
      <c r="HY75" s="1641"/>
      <c r="HZ75" s="1641"/>
      <c r="IA75" s="1641"/>
      <c r="IB75" s="1641"/>
      <c r="IC75" s="1641"/>
      <c r="ID75" s="1641"/>
      <c r="IE75" s="1641"/>
      <c r="IF75" s="1641"/>
      <c r="IG75" s="1641"/>
      <c r="IH75" s="1641"/>
      <c r="II75" s="1641"/>
      <c r="IJ75" s="1641"/>
      <c r="IK75" s="1641"/>
      <c r="IL75" s="1641"/>
      <c r="IM75" s="1641"/>
      <c r="IN75" s="1641"/>
      <c r="IO75" s="1641"/>
      <c r="IP75" s="1641"/>
      <c r="IQ75" s="1641"/>
      <c r="IR75" s="1641"/>
      <c r="IS75" s="1641"/>
      <c r="IT75" s="1641"/>
      <c r="IU75" s="1641"/>
      <c r="IV75" s="1641"/>
      <c r="IW75" s="1641"/>
      <c r="IX75" s="1641"/>
      <c r="IY75" s="1641"/>
      <c r="IZ75" s="1641"/>
      <c r="JA75" s="1641"/>
      <c r="JB75" s="1641"/>
      <c r="JC75" s="1641"/>
      <c r="JD75" s="1641"/>
      <c r="JE75" s="1641"/>
      <c r="JF75" s="1641"/>
      <c r="JG75" s="1641"/>
      <c r="JH75" s="1642"/>
      <c r="JI75" s="1642"/>
      <c r="JJ75" s="1642"/>
      <c r="JK75" s="1642"/>
      <c r="JL75" s="1642"/>
      <c r="JM75" s="1642"/>
      <c r="JN75" s="1642"/>
      <c r="JO75" s="1642"/>
      <c r="JP75" s="1642"/>
      <c r="JQ75" s="1643"/>
      <c r="JR75" s="351"/>
    </row>
    <row r="76" spans="1:278" x14ac:dyDescent="0.25">
      <c r="A76" s="1367">
        <v>76</v>
      </c>
      <c r="B76" s="1411" t="str">
        <f t="shared" ref="B76:B95" si="11">IF(FOR_IND&gt;1,IF(HLOOKUP(FOR_IND-1,FOR_RANGE,A76)="","",HLOOKUP(FOR_IND-1,FOR_RANGE,A76)),"")</f>
        <v/>
      </c>
      <c r="C76" s="1435" t="s">
        <v>3960</v>
      </c>
      <c r="D76" s="1361" t="s">
        <v>3887</v>
      </c>
      <c r="E76" s="2561"/>
      <c r="F76" s="2561"/>
      <c r="G76" s="2561"/>
      <c r="H76" s="2561"/>
      <c r="I76" s="2561"/>
      <c r="J76" s="2561"/>
      <c r="K76" s="2561"/>
      <c r="L76" s="2561"/>
      <c r="M76" s="2561"/>
      <c r="N76" s="2561"/>
      <c r="O76" s="2561"/>
      <c r="P76" s="2561"/>
      <c r="Q76" s="2561"/>
      <c r="R76" s="2561"/>
      <c r="S76" s="2561"/>
      <c r="T76" s="2561"/>
      <c r="U76" s="2561"/>
      <c r="V76" s="2561"/>
      <c r="W76" s="2561"/>
      <c r="X76" s="2561"/>
      <c r="Y76" s="2561"/>
      <c r="Z76" s="2561"/>
      <c r="AA76" s="2561"/>
      <c r="AB76" s="2561"/>
      <c r="AC76" s="2561"/>
      <c r="AD76" s="2561"/>
      <c r="AE76" s="2561"/>
      <c r="AF76" s="2561"/>
      <c r="AG76" s="2561"/>
      <c r="AH76" s="2561"/>
      <c r="AI76" s="2561"/>
      <c r="AJ76" s="2561"/>
      <c r="AK76" s="2561"/>
      <c r="AL76" s="2561"/>
      <c r="AM76" s="2561"/>
      <c r="AN76" s="2561"/>
      <c r="AO76" s="2561"/>
      <c r="AP76" s="2561"/>
      <c r="AQ76" s="2561"/>
      <c r="AR76" s="2561"/>
      <c r="AS76" s="2561"/>
      <c r="AT76" s="2561"/>
      <c r="AU76" s="2561"/>
      <c r="AV76" s="2561"/>
      <c r="AW76" s="2561"/>
      <c r="AX76" s="2561"/>
      <c r="AY76" s="2561"/>
      <c r="AZ76" s="2561"/>
      <c r="BA76" s="2561"/>
      <c r="BB76" s="2561"/>
      <c r="BC76" s="2561">
        <f>BC74</f>
        <v>6741</v>
      </c>
      <c r="BD76" s="2561">
        <f>BD74</f>
        <v>6741</v>
      </c>
      <c r="BE76" s="2561"/>
      <c r="BF76" s="2561"/>
      <c r="BG76" s="2561"/>
      <c r="BH76" s="2561"/>
      <c r="BI76" s="2561"/>
      <c r="BJ76" s="2561"/>
      <c r="BK76" s="2561"/>
      <c r="BL76" s="2561"/>
      <c r="BM76" s="2561"/>
      <c r="BN76" s="2561"/>
      <c r="BO76" s="2561"/>
      <c r="BP76" s="2561"/>
      <c r="BQ76" s="2561"/>
      <c r="BR76" s="2561"/>
      <c r="BS76" s="2561"/>
      <c r="BT76" s="2561"/>
      <c r="BU76" s="2561"/>
      <c r="BV76" s="2561"/>
      <c r="BW76" s="2561"/>
      <c r="BX76" s="2561"/>
      <c r="BY76" s="2561"/>
      <c r="BZ76" s="2561"/>
      <c r="CA76" s="2561"/>
      <c r="CB76" s="2561"/>
      <c r="CC76" s="2561"/>
      <c r="CD76" s="2561"/>
      <c r="CE76" s="2561"/>
      <c r="CF76" s="2561"/>
      <c r="CG76" s="2561"/>
      <c r="CH76" s="2561"/>
      <c r="CI76" s="2561"/>
      <c r="CJ76" s="2561"/>
      <c r="CK76" s="2561"/>
      <c r="CL76" s="2561"/>
      <c r="CM76" s="2561"/>
      <c r="CN76" s="2561"/>
      <c r="CO76" s="2561"/>
      <c r="CP76" s="2561"/>
      <c r="CQ76" s="2561"/>
      <c r="CR76" s="2561"/>
      <c r="CS76" s="2561"/>
      <c r="CT76" s="2561"/>
      <c r="CU76" s="2561"/>
      <c r="CV76" s="2561"/>
      <c r="CW76" s="2561"/>
      <c r="CX76" s="2561"/>
      <c r="CY76" s="2561"/>
      <c r="CZ76" s="2561"/>
      <c r="DA76" s="2561"/>
      <c r="DB76" s="2561"/>
      <c r="DC76" s="2561"/>
      <c r="DD76" s="2561"/>
      <c r="DE76" s="2561"/>
      <c r="DF76" s="2561"/>
      <c r="DG76" s="2561"/>
      <c r="DH76" s="2561"/>
      <c r="DI76" s="2561"/>
      <c r="DJ76" s="2561"/>
      <c r="DK76" s="2561"/>
      <c r="DL76" s="2561"/>
      <c r="DM76" s="2561">
        <f>DM74</f>
        <v>4620</v>
      </c>
      <c r="DN76" s="2561"/>
      <c r="DO76" s="2561"/>
      <c r="DP76" s="2561"/>
      <c r="DQ76" s="2561"/>
      <c r="DR76" s="2561"/>
      <c r="DS76" s="2561"/>
      <c r="DT76" s="2561"/>
      <c r="DU76" s="2561"/>
      <c r="DV76" s="2561"/>
      <c r="DW76" s="2561"/>
      <c r="DX76" s="2561"/>
      <c r="DY76" s="2561"/>
      <c r="DZ76" s="2561"/>
      <c r="EA76" s="2561"/>
      <c r="EB76" s="2561"/>
      <c r="EC76" s="2561"/>
      <c r="ED76" s="2561"/>
      <c r="EE76" s="2561"/>
      <c r="EF76" s="2561"/>
      <c r="EG76" s="2561"/>
      <c r="EH76" s="2561"/>
      <c r="EI76" s="2561"/>
      <c r="EJ76" s="2561"/>
      <c r="EK76" s="2561"/>
      <c r="EL76" s="2561"/>
      <c r="EM76" s="2561"/>
      <c r="EN76" s="2561"/>
      <c r="EO76" s="2561">
        <f>EO74</f>
        <v>4620</v>
      </c>
      <c r="EP76" s="2561"/>
      <c r="EQ76" s="2561"/>
      <c r="ER76" s="2561"/>
      <c r="ES76" s="2561"/>
      <c r="ET76" s="2561"/>
      <c r="EU76" s="2561"/>
      <c r="EV76" s="2561"/>
      <c r="EW76" s="2561"/>
      <c r="EX76" s="2561">
        <f>EX74</f>
        <v>1360</v>
      </c>
      <c r="EY76" s="2561"/>
      <c r="EZ76" s="2561"/>
      <c r="FA76" s="2561"/>
      <c r="FB76" s="2561"/>
      <c r="FC76" s="2561"/>
      <c r="FD76" s="2561"/>
      <c r="FE76" s="2561"/>
      <c r="FF76" s="2561"/>
      <c r="FG76" s="2561"/>
      <c r="FH76" s="2561"/>
      <c r="FI76" s="2561"/>
      <c r="FJ76" s="2561"/>
      <c r="FK76" s="2561"/>
      <c r="FL76" s="2561"/>
      <c r="FM76" s="2561"/>
      <c r="FN76" s="2561"/>
      <c r="FO76" s="2561"/>
      <c r="FP76" s="2561"/>
      <c r="FQ76" s="2561"/>
      <c r="FR76" s="2561"/>
      <c r="FS76" s="2561"/>
      <c r="FT76" s="2561"/>
      <c r="FU76" s="2561"/>
      <c r="FV76" s="2561"/>
      <c r="FW76" s="2561"/>
      <c r="FX76" s="2561"/>
      <c r="FY76" s="2561"/>
      <c r="FZ76" s="2561"/>
      <c r="GA76" s="2561"/>
      <c r="GB76" s="2561"/>
      <c r="GC76" s="2561"/>
      <c r="GD76" s="2561"/>
      <c r="GE76" s="2561"/>
      <c r="GF76" s="2561">
        <f>GF74</f>
        <v>6741</v>
      </c>
      <c r="GG76" s="2561"/>
      <c r="GH76" s="2561"/>
      <c r="GI76" s="2561"/>
      <c r="GJ76" s="2561"/>
      <c r="GK76" s="2561"/>
      <c r="GL76" s="2561"/>
      <c r="GM76" s="2561"/>
      <c r="GN76" s="2561"/>
      <c r="GO76" s="2561"/>
      <c r="GP76" s="2561"/>
      <c r="GQ76" s="2561"/>
      <c r="GR76" s="2561"/>
      <c r="GS76" s="2561"/>
      <c r="GT76" s="2561"/>
      <c r="GU76" s="2561"/>
      <c r="GV76" s="2561"/>
      <c r="GW76" s="2561"/>
      <c r="GX76" s="2561"/>
      <c r="GY76" s="2561"/>
      <c r="GZ76" s="2561"/>
      <c r="HA76" s="2561"/>
      <c r="HB76" s="2561"/>
      <c r="HC76" s="2561"/>
      <c r="HD76" s="2561"/>
      <c r="HE76" s="2561"/>
      <c r="HF76" s="2561"/>
      <c r="HG76" s="2561">
        <f t="shared" ref="HG76" si="12">HG74</f>
        <v>54273</v>
      </c>
      <c r="HH76" s="2561"/>
      <c r="HI76" s="2561"/>
      <c r="HJ76" s="2561">
        <f>HJ74</f>
        <v>106754</v>
      </c>
      <c r="HK76" s="2561">
        <f>HK74</f>
        <v>131762</v>
      </c>
      <c r="HL76" s="2561">
        <f>HL74</f>
        <v>131762</v>
      </c>
      <c r="HM76" s="2561">
        <f>HM74</f>
        <v>131762</v>
      </c>
      <c r="HN76" s="2561"/>
      <c r="HO76" s="2561"/>
      <c r="HP76" s="2561">
        <f>HP74</f>
        <v>1360</v>
      </c>
      <c r="HQ76" s="2561"/>
      <c r="HR76" s="2561"/>
      <c r="HS76" s="2561"/>
      <c r="HT76" s="2561"/>
      <c r="HU76" s="2561"/>
      <c r="HV76" s="2561"/>
      <c r="HW76" s="2561"/>
      <c r="HX76" s="2561"/>
      <c r="HY76" s="2561"/>
      <c r="HZ76" s="2561"/>
      <c r="IA76" s="2561"/>
      <c r="IB76" s="2561"/>
      <c r="IC76" s="2561"/>
      <c r="ID76" s="2561"/>
      <c r="IE76" s="2561"/>
      <c r="IF76" s="2561"/>
      <c r="IG76" s="2561"/>
      <c r="IH76" s="2561"/>
      <c r="II76" s="2561"/>
      <c r="IJ76" s="2561"/>
      <c r="IK76" s="2561"/>
      <c r="IL76" s="2561"/>
      <c r="IM76" s="2561"/>
      <c r="IN76" s="2561"/>
      <c r="IO76" s="2561"/>
      <c r="IP76" s="2561"/>
      <c r="IQ76" s="2561"/>
      <c r="IR76" s="2561"/>
      <c r="IS76" s="2561"/>
      <c r="IT76" s="2561"/>
      <c r="IU76" s="2561"/>
      <c r="IV76" s="2561"/>
      <c r="IW76" s="2561"/>
      <c r="IX76" s="2561"/>
      <c r="IY76" s="2561"/>
      <c r="IZ76" s="2561"/>
      <c r="JA76" s="2561"/>
      <c r="JB76" s="2561"/>
      <c r="JC76" s="2561"/>
      <c r="JD76" s="2561"/>
      <c r="JE76" s="2561">
        <f>JE74</f>
        <v>6741</v>
      </c>
      <c r="JF76" s="2561"/>
      <c r="JG76" s="2561"/>
      <c r="JH76" s="2561"/>
      <c r="JI76" s="2561"/>
      <c r="JJ76" s="2561"/>
      <c r="JK76" s="2561"/>
      <c r="JL76" s="2561"/>
      <c r="JM76" s="2561"/>
      <c r="JN76" s="2561"/>
      <c r="JO76" s="2561"/>
      <c r="JP76" s="2561"/>
      <c r="JQ76" s="2561"/>
      <c r="JR76" s="351"/>
    </row>
    <row r="77" spans="1:278" x14ac:dyDescent="0.25">
      <c r="A77" s="1367">
        <v>77</v>
      </c>
      <c r="B77" s="1411" t="str">
        <f t="shared" si="11"/>
        <v/>
      </c>
      <c r="C77" s="1644" t="s">
        <v>3961</v>
      </c>
      <c r="D77" s="1645" t="s">
        <v>3890</v>
      </c>
      <c r="E77" s="1641"/>
      <c r="F77" s="1641"/>
      <c r="G77" s="1641"/>
      <c r="H77" s="1641"/>
      <c r="I77" s="1641"/>
      <c r="J77" s="1641"/>
      <c r="K77" s="1641"/>
      <c r="L77" s="1641"/>
      <c r="M77" s="1641"/>
      <c r="N77" s="1641"/>
      <c r="O77" s="1641"/>
      <c r="P77" s="1641"/>
      <c r="Q77" s="1641"/>
      <c r="R77" s="1641"/>
      <c r="S77" s="1641"/>
      <c r="T77" s="1641"/>
      <c r="U77" s="1641"/>
      <c r="V77" s="1641"/>
      <c r="W77" s="1641"/>
      <c r="X77" s="1641"/>
      <c r="Y77" s="1641"/>
      <c r="Z77" s="1641"/>
      <c r="AA77" s="1641"/>
      <c r="AB77" s="1641"/>
      <c r="AC77" s="1641"/>
      <c r="AD77" s="1641"/>
      <c r="AE77" s="1641"/>
      <c r="AF77" s="1641"/>
      <c r="AG77" s="1641"/>
      <c r="AH77" s="1641"/>
      <c r="AI77" s="1641"/>
      <c r="AJ77" s="1641"/>
      <c r="AK77" s="1641"/>
      <c r="AL77" s="1641"/>
      <c r="AM77" s="1641"/>
      <c r="AN77" s="1641"/>
      <c r="AO77" s="1641"/>
      <c r="AP77" s="1641"/>
      <c r="AQ77" s="1641"/>
      <c r="AR77" s="1641"/>
      <c r="AS77" s="1641"/>
      <c r="AT77" s="1641"/>
      <c r="AU77" s="1641"/>
      <c r="AV77" s="1641"/>
      <c r="AW77" s="1641"/>
      <c r="AX77" s="1641"/>
      <c r="AY77" s="1641"/>
      <c r="AZ77" s="1641"/>
      <c r="BA77" s="1641"/>
      <c r="BB77" s="1641"/>
      <c r="BC77" s="1641"/>
      <c r="BD77" s="1641"/>
      <c r="BE77" s="1641"/>
      <c r="BF77" s="1641"/>
      <c r="BG77" s="1641"/>
      <c r="BH77" s="1641"/>
      <c r="BI77" s="1641"/>
      <c r="BJ77" s="1641"/>
      <c r="BK77" s="1641"/>
      <c r="BL77" s="1641"/>
      <c r="BM77" s="1641"/>
      <c r="BN77" s="1641"/>
      <c r="BO77" s="1641"/>
      <c r="BP77" s="1641"/>
      <c r="BQ77" s="1641"/>
      <c r="BR77" s="1641"/>
      <c r="BS77" s="1641"/>
      <c r="BT77" s="1641"/>
      <c r="BU77" s="1641"/>
      <c r="BV77" s="1641"/>
      <c r="BW77" s="1641"/>
      <c r="BX77" s="1641"/>
      <c r="BY77" s="1641"/>
      <c r="BZ77" s="1641"/>
      <c r="CA77" s="1641"/>
      <c r="CB77" s="1641"/>
      <c r="CC77" s="1641"/>
      <c r="CD77" s="1641"/>
      <c r="CE77" s="1641"/>
      <c r="CF77" s="1641"/>
      <c r="CG77" s="1641"/>
      <c r="CH77" s="1641"/>
      <c r="CI77" s="1641"/>
      <c r="CJ77" s="1641"/>
      <c r="CK77" s="1641"/>
      <c r="CL77" s="1641"/>
      <c r="CM77" s="1641"/>
      <c r="CN77" s="1641"/>
      <c r="CO77" s="1641"/>
      <c r="CP77" s="1641"/>
      <c r="CQ77" s="1641"/>
      <c r="CR77" s="1641"/>
      <c r="CS77" s="1641"/>
      <c r="CT77" s="1641"/>
      <c r="CU77" s="1641"/>
      <c r="CV77" s="1641"/>
      <c r="CW77" s="1641"/>
      <c r="CX77" s="1641"/>
      <c r="CY77" s="1641"/>
      <c r="CZ77" s="1641"/>
      <c r="DA77" s="1641"/>
      <c r="DB77" s="1641"/>
      <c r="DC77" s="1641"/>
      <c r="DD77" s="1641"/>
      <c r="DE77" s="1641"/>
      <c r="DF77" s="1641"/>
      <c r="DG77" s="1641"/>
      <c r="DH77" s="1641"/>
      <c r="DI77" s="1641"/>
      <c r="DJ77" s="1641"/>
      <c r="DK77" s="1641"/>
      <c r="DL77" s="1641"/>
      <c r="DM77" s="1641"/>
      <c r="DN77" s="1641"/>
      <c r="DO77" s="1641"/>
      <c r="DP77" s="1641"/>
      <c r="DQ77" s="1641"/>
      <c r="DR77" s="1641"/>
      <c r="DS77" s="1641"/>
      <c r="DT77" s="1641"/>
      <c r="DU77" s="1641"/>
      <c r="DV77" s="1641"/>
      <c r="DW77" s="1641"/>
      <c r="DX77" s="1641"/>
      <c r="DY77" s="1641"/>
      <c r="DZ77" s="1641"/>
      <c r="EA77" s="1641"/>
      <c r="EB77" s="1641"/>
      <c r="EC77" s="1641"/>
      <c r="ED77" s="1641"/>
      <c r="EE77" s="1641"/>
      <c r="EF77" s="1641"/>
      <c r="EG77" s="1641"/>
      <c r="EH77" s="1641"/>
      <c r="EI77" s="1641"/>
      <c r="EJ77" s="1641"/>
      <c r="EK77" s="1641"/>
      <c r="EL77" s="1641"/>
      <c r="EM77" s="1641"/>
      <c r="EN77" s="1641"/>
      <c r="EO77" s="1641"/>
      <c r="EP77" s="1641"/>
      <c r="EQ77" s="1641"/>
      <c r="ER77" s="1641"/>
      <c r="ES77" s="1641"/>
      <c r="ET77" s="1641"/>
      <c r="EU77" s="1641"/>
      <c r="EV77" s="1641"/>
      <c r="EW77" s="1641"/>
      <c r="EX77" s="1641"/>
      <c r="EY77" s="1641"/>
      <c r="EZ77" s="1641"/>
      <c r="FA77" s="1641"/>
      <c r="FB77" s="1641"/>
      <c r="FC77" s="1641"/>
      <c r="FD77" s="1641"/>
      <c r="FE77" s="1641"/>
      <c r="FF77" s="1641"/>
      <c r="FG77" s="1641"/>
      <c r="FH77" s="1641"/>
      <c r="FI77" s="1641"/>
      <c r="FJ77" s="1641"/>
      <c r="FK77" s="1641"/>
      <c r="FL77" s="1641"/>
      <c r="FM77" s="1641"/>
      <c r="FN77" s="1641"/>
      <c r="FO77" s="1641"/>
      <c r="FP77" s="1641"/>
      <c r="FQ77" s="1641"/>
      <c r="FR77" s="1641"/>
      <c r="FS77" s="1641"/>
      <c r="FT77" s="1641"/>
      <c r="FU77" s="1641"/>
      <c r="FV77" s="1641"/>
      <c r="FW77" s="1641"/>
      <c r="FX77" s="1641"/>
      <c r="FY77" s="1641"/>
      <c r="FZ77" s="1641"/>
      <c r="GA77" s="1641"/>
      <c r="GB77" s="1641"/>
      <c r="GC77" s="1641"/>
      <c r="GD77" s="1641"/>
      <c r="GE77" s="1641"/>
      <c r="GF77" s="1641"/>
      <c r="GG77" s="1641"/>
      <c r="GH77" s="1641"/>
      <c r="GI77" s="1641"/>
      <c r="GJ77" s="1641"/>
      <c r="GK77" s="1641"/>
      <c r="GL77" s="1641"/>
      <c r="GM77" s="1641"/>
      <c r="GN77" s="1641"/>
      <c r="GO77" s="1641"/>
      <c r="GP77" s="1641"/>
      <c r="GQ77" s="1641"/>
      <c r="GR77" s="1641"/>
      <c r="GS77" s="1641"/>
      <c r="GT77" s="1641"/>
      <c r="GU77" s="1641"/>
      <c r="GV77" s="1641"/>
      <c r="GW77" s="1641"/>
      <c r="GX77" s="1641"/>
      <c r="GY77" s="1641"/>
      <c r="GZ77" s="1641"/>
      <c r="HA77" s="1641"/>
      <c r="HB77" s="1641"/>
      <c r="HC77" s="1641"/>
      <c r="HD77" s="1641"/>
      <c r="HE77" s="1641"/>
      <c r="HF77" s="1641"/>
      <c r="HG77" s="1636">
        <v>54273</v>
      </c>
      <c r="HH77" s="1641"/>
      <c r="HI77" s="1641"/>
      <c r="HJ77" s="1641"/>
      <c r="HK77" s="1641"/>
      <c r="HL77" s="1641"/>
      <c r="HM77" s="1641"/>
      <c r="HN77" s="1641"/>
      <c r="HO77" s="1641"/>
      <c r="HP77" s="1641"/>
      <c r="HQ77" s="1641"/>
      <c r="HR77" s="1641"/>
      <c r="HS77" s="1641"/>
      <c r="HT77" s="1641"/>
      <c r="HU77" s="1641"/>
      <c r="HV77" s="1641"/>
      <c r="HW77" s="1641"/>
      <c r="HX77" s="1641"/>
      <c r="HY77" s="1641"/>
      <c r="HZ77" s="1641"/>
      <c r="IA77" s="1641"/>
      <c r="IB77" s="1641"/>
      <c r="IC77" s="1641"/>
      <c r="ID77" s="1641"/>
      <c r="IE77" s="1641"/>
      <c r="IF77" s="1641"/>
      <c r="IG77" s="1641"/>
      <c r="IH77" s="1641"/>
      <c r="II77" s="1641"/>
      <c r="IJ77" s="1641"/>
      <c r="IK77" s="1641"/>
      <c r="IL77" s="1641"/>
      <c r="IM77" s="1641"/>
      <c r="IN77" s="1641"/>
      <c r="IO77" s="1641"/>
      <c r="IP77" s="2563"/>
      <c r="IQ77" s="2563"/>
      <c r="IR77" s="2563"/>
      <c r="IS77" s="2563"/>
      <c r="IT77" s="2563"/>
      <c r="IU77" s="2563"/>
      <c r="IV77" s="2563"/>
      <c r="IW77" s="2563"/>
      <c r="IX77" s="1641"/>
      <c r="IY77" s="1641"/>
      <c r="IZ77" s="1641"/>
      <c r="JA77" s="1641"/>
      <c r="JB77" s="1641"/>
      <c r="JC77" s="1641"/>
      <c r="JD77" s="1641"/>
      <c r="JE77" s="1641"/>
      <c r="JF77" s="1641"/>
      <c r="JG77" s="1641"/>
      <c r="JH77" s="2563"/>
      <c r="JI77" s="2563"/>
      <c r="JJ77" s="2563"/>
      <c r="JK77" s="2563"/>
      <c r="JL77" s="2563"/>
      <c r="JM77" s="2563"/>
      <c r="JN77" s="2563"/>
      <c r="JO77" s="2563"/>
      <c r="JP77" s="2563"/>
      <c r="JQ77" s="1415"/>
      <c r="JR77" s="351"/>
    </row>
    <row r="78" spans="1:278" x14ac:dyDescent="0.25">
      <c r="A78" s="1367">
        <v>78</v>
      </c>
      <c r="B78" s="1411" t="str">
        <f t="shared" si="11"/>
        <v/>
      </c>
      <c r="C78" s="1435" t="s">
        <v>3962</v>
      </c>
      <c r="D78" s="1361" t="s">
        <v>3851</v>
      </c>
      <c r="E78" s="1641"/>
      <c r="F78" s="1641"/>
      <c r="G78" s="1641"/>
      <c r="H78" s="1641"/>
      <c r="I78" s="1641"/>
      <c r="J78" s="1641"/>
      <c r="K78" s="1641"/>
      <c r="L78" s="1641"/>
      <c r="M78" s="1641"/>
      <c r="N78" s="1641"/>
      <c r="O78" s="1641"/>
      <c r="P78" s="1641"/>
      <c r="Q78" s="1641"/>
      <c r="R78" s="1641"/>
      <c r="S78" s="1641"/>
      <c r="T78" s="1641"/>
      <c r="U78" s="1641"/>
      <c r="V78" s="1641"/>
      <c r="W78" s="1641"/>
      <c r="X78" s="1641"/>
      <c r="Y78" s="1641"/>
      <c r="Z78" s="1641"/>
      <c r="AA78" s="1641"/>
      <c r="AB78" s="1641"/>
      <c r="AC78" s="1641"/>
      <c r="AD78" s="1641"/>
      <c r="AE78" s="1641"/>
      <c r="AF78" s="1641"/>
      <c r="AG78" s="1641"/>
      <c r="AH78" s="1641"/>
      <c r="AI78" s="1641"/>
      <c r="AJ78" s="1641"/>
      <c r="AK78" s="1641"/>
      <c r="AL78" s="1641"/>
      <c r="AM78" s="1641"/>
      <c r="AN78" s="1641"/>
      <c r="AO78" s="1641"/>
      <c r="AP78" s="1641"/>
      <c r="AQ78" s="1641"/>
      <c r="AR78" s="1641"/>
      <c r="AS78" s="1641"/>
      <c r="AT78" s="1641"/>
      <c r="AU78" s="1641"/>
      <c r="AV78" s="1641"/>
      <c r="AW78" s="1641"/>
      <c r="AX78" s="1641"/>
      <c r="AY78" s="1641"/>
      <c r="AZ78" s="1641"/>
      <c r="BA78" s="1641"/>
      <c r="BB78" s="1641"/>
      <c r="BC78" s="1641"/>
      <c r="BD78" s="1641"/>
      <c r="BE78" s="1641"/>
      <c r="BF78" s="1641"/>
      <c r="BG78" s="1641"/>
      <c r="BH78" s="1641"/>
      <c r="BI78" s="1641"/>
      <c r="BJ78" s="1641"/>
      <c r="BK78" s="1641"/>
      <c r="BL78" s="1641"/>
      <c r="BM78" s="1641"/>
      <c r="BN78" s="1641"/>
      <c r="BO78" s="1641"/>
      <c r="BP78" s="1641"/>
      <c r="BQ78" s="1641"/>
      <c r="BR78" s="1641"/>
      <c r="BS78" s="1641"/>
      <c r="BT78" s="1641"/>
      <c r="BU78" s="1641"/>
      <c r="BV78" s="1641"/>
      <c r="BW78" s="1641"/>
      <c r="BX78" s="1641"/>
      <c r="BY78" s="1641"/>
      <c r="BZ78" s="1641"/>
      <c r="CA78" s="1641"/>
      <c r="CB78" s="1641"/>
      <c r="CC78" s="1641"/>
      <c r="CD78" s="1641"/>
      <c r="CE78" s="1641"/>
      <c r="CF78" s="1641"/>
      <c r="CG78" s="1641"/>
      <c r="CH78" s="1641"/>
      <c r="CI78" s="1641"/>
      <c r="CJ78" s="1636"/>
      <c r="CK78" s="1641"/>
      <c r="CL78" s="1641"/>
      <c r="CM78" s="1641"/>
      <c r="CN78" s="1641"/>
      <c r="CO78" s="1641"/>
      <c r="CP78" s="1641"/>
      <c r="CQ78" s="1641"/>
      <c r="CR78" s="1641"/>
      <c r="CS78" s="1641"/>
      <c r="CT78" s="1641"/>
      <c r="CU78" s="1641"/>
      <c r="CV78" s="1641"/>
      <c r="CW78" s="1641"/>
      <c r="CX78" s="1641"/>
      <c r="CY78" s="1641"/>
      <c r="CZ78" s="1641"/>
      <c r="DA78" s="1641"/>
      <c r="DB78" s="1641"/>
      <c r="DC78" s="1641"/>
      <c r="DD78" s="1641"/>
      <c r="DE78" s="1641"/>
      <c r="DF78" s="1641"/>
      <c r="DG78" s="1641"/>
      <c r="DH78" s="1641"/>
      <c r="DI78" s="1641"/>
      <c r="DJ78" s="1641"/>
      <c r="DK78" s="1641"/>
      <c r="DL78" s="1641"/>
      <c r="DM78" s="1641" t="s">
        <v>3854</v>
      </c>
      <c r="DN78" s="1641"/>
      <c r="DO78" s="1641"/>
      <c r="DP78" s="1641"/>
      <c r="DQ78" s="1641"/>
      <c r="DR78" s="1641"/>
      <c r="DS78" s="1641"/>
      <c r="DT78" s="1641"/>
      <c r="DU78" s="1641"/>
      <c r="DV78" s="1641"/>
      <c r="DW78" s="1641"/>
      <c r="DX78" s="1641"/>
      <c r="DY78" s="1641"/>
      <c r="DZ78" s="1641"/>
      <c r="EA78" s="1641"/>
      <c r="EB78" s="1641"/>
      <c r="EC78" s="1641"/>
      <c r="ED78" s="1641"/>
      <c r="EE78" s="1641"/>
      <c r="EF78" s="1641"/>
      <c r="EG78" s="1641"/>
      <c r="EH78" s="1641"/>
      <c r="EI78" s="1641"/>
      <c r="EJ78" s="1641"/>
      <c r="EK78" s="1641"/>
      <c r="EL78" s="1641"/>
      <c r="EM78" s="1641"/>
      <c r="EN78" s="1641"/>
      <c r="EO78" s="1641" t="s">
        <v>3854</v>
      </c>
      <c r="EP78" s="1641"/>
      <c r="EQ78" s="1641"/>
      <c r="ER78" s="1641"/>
      <c r="ES78" s="1641"/>
      <c r="ET78" s="1641"/>
      <c r="EU78" s="1641"/>
      <c r="EV78" s="1641"/>
      <c r="EW78" s="1641"/>
      <c r="EX78" s="1641" t="s">
        <v>3963</v>
      </c>
      <c r="EY78" s="1641"/>
      <c r="EZ78" s="1641"/>
      <c r="FA78" s="1641"/>
      <c r="FB78" s="1641"/>
      <c r="FC78" s="1641"/>
      <c r="FD78" s="1641"/>
      <c r="FE78" s="1641"/>
      <c r="FF78" s="1641"/>
      <c r="FG78" s="1641"/>
      <c r="FH78" s="1641"/>
      <c r="FI78" s="1641"/>
      <c r="FJ78" s="1641"/>
      <c r="FK78" s="1641"/>
      <c r="FL78" s="1641"/>
      <c r="FM78" s="1641"/>
      <c r="FN78" s="1641"/>
      <c r="FO78" s="1641"/>
      <c r="FP78" s="1641"/>
      <c r="FQ78" s="1641"/>
      <c r="FR78" s="1641"/>
      <c r="FS78" s="1641"/>
      <c r="FT78" s="1641"/>
      <c r="FU78" s="1641"/>
      <c r="FV78" s="1641"/>
      <c r="FW78" s="1641"/>
      <c r="FX78" s="1641"/>
      <c r="FY78" s="1641"/>
      <c r="FZ78" s="1641"/>
      <c r="GA78" s="1641"/>
      <c r="GB78" s="1641"/>
      <c r="GC78" s="1641"/>
      <c r="GD78" s="1641"/>
      <c r="GE78" s="1641"/>
      <c r="GF78" s="1641"/>
      <c r="GG78" s="1641"/>
      <c r="GH78" s="1641"/>
      <c r="GI78" s="1641"/>
      <c r="GJ78" s="1641"/>
      <c r="GK78" s="1641"/>
      <c r="GL78" s="1641"/>
      <c r="GM78" s="1641"/>
      <c r="GN78" s="1641"/>
      <c r="GO78" s="1641"/>
      <c r="GP78" s="1641"/>
      <c r="GQ78" s="1641"/>
      <c r="GR78" s="1641"/>
      <c r="GS78" s="1641"/>
      <c r="GT78" s="1641"/>
      <c r="GU78" s="1641"/>
      <c r="GV78" s="1641"/>
      <c r="GW78" s="1641"/>
      <c r="GX78" s="1641"/>
      <c r="GY78" s="1641"/>
      <c r="GZ78" s="1641"/>
      <c r="HA78" s="1641"/>
      <c r="HB78" s="1641"/>
      <c r="HC78" s="1641"/>
      <c r="HD78" s="1641"/>
      <c r="HE78" s="1641"/>
      <c r="HF78" s="1641"/>
      <c r="HG78" s="1641"/>
      <c r="HH78" s="1641"/>
      <c r="HI78" s="1641"/>
      <c r="HJ78" s="1641"/>
      <c r="HK78" s="1641"/>
      <c r="HL78" s="1641"/>
      <c r="HM78" s="1641"/>
      <c r="HN78" s="1641"/>
      <c r="HO78" s="1641"/>
      <c r="HP78" s="1641" t="s">
        <v>3963</v>
      </c>
      <c r="HQ78" s="1641"/>
      <c r="HR78" s="1641"/>
      <c r="HS78" s="1641"/>
      <c r="HT78" s="1641"/>
      <c r="HU78" s="1641"/>
      <c r="HV78" s="1641"/>
      <c r="HW78" s="1641"/>
      <c r="HX78" s="1641"/>
      <c r="HY78" s="1641"/>
      <c r="HZ78" s="1641"/>
      <c r="IA78" s="1641"/>
      <c r="IB78" s="1641"/>
      <c r="IC78" s="1641"/>
      <c r="ID78" s="1641"/>
      <c r="IE78" s="1641"/>
      <c r="IF78" s="1641"/>
      <c r="IG78" s="1641"/>
      <c r="IH78" s="1641"/>
      <c r="II78" s="1641"/>
      <c r="IJ78" s="1641"/>
      <c r="IK78" s="1641"/>
      <c r="IL78" s="1641"/>
      <c r="IM78" s="1641"/>
      <c r="IN78" s="1641"/>
      <c r="IO78" s="1641"/>
      <c r="IP78" s="1414"/>
      <c r="IQ78" s="1414"/>
      <c r="IR78" s="1414"/>
      <c r="IS78" s="1414"/>
      <c r="IT78" s="1414"/>
      <c r="IU78" s="1414"/>
      <c r="IV78" s="1414"/>
      <c r="IW78" s="1414"/>
      <c r="IX78" s="1641"/>
      <c r="IY78" s="1641"/>
      <c r="IZ78" s="1641"/>
      <c r="JA78" s="1641"/>
      <c r="JB78" s="1641"/>
      <c r="JC78" s="1641"/>
      <c r="JD78" s="1641"/>
      <c r="JE78" s="1641"/>
      <c r="JF78" s="1641"/>
      <c r="JG78" s="1641"/>
      <c r="JH78" s="1414"/>
      <c r="JI78" s="1414"/>
      <c r="JJ78" s="1414"/>
      <c r="JK78" s="1414"/>
      <c r="JL78" s="1414"/>
      <c r="JM78" s="1414"/>
      <c r="JN78" s="1414"/>
      <c r="JO78" s="1414"/>
      <c r="JP78" s="1414"/>
      <c r="JQ78" s="1415"/>
      <c r="JR78" s="351"/>
    </row>
    <row r="79" spans="1:278" x14ac:dyDescent="0.25">
      <c r="A79" s="1367">
        <v>79</v>
      </c>
      <c r="B79" s="1411" t="str">
        <f t="shared" si="11"/>
        <v/>
      </c>
      <c r="C79" s="1435" t="s">
        <v>3964</v>
      </c>
      <c r="D79" s="1361" t="s">
        <v>3867</v>
      </c>
      <c r="E79" s="1641"/>
      <c r="F79" s="1641"/>
      <c r="G79" s="1641"/>
      <c r="H79" s="1641"/>
      <c r="I79" s="1641"/>
      <c r="J79" s="1641"/>
      <c r="K79" s="1641"/>
      <c r="L79" s="1641"/>
      <c r="M79" s="1641"/>
      <c r="N79" s="1641"/>
      <c r="O79" s="1641"/>
      <c r="P79" s="1641"/>
      <c r="Q79" s="1641"/>
      <c r="R79" s="1641"/>
      <c r="S79" s="1641"/>
      <c r="T79" s="1641"/>
      <c r="U79" s="1641"/>
      <c r="V79" s="1641"/>
      <c r="W79" s="1641"/>
      <c r="X79" s="1641"/>
      <c r="Y79" s="1641"/>
      <c r="Z79" s="1641"/>
      <c r="AA79" s="1641"/>
      <c r="AB79" s="1641"/>
      <c r="AC79" s="1641"/>
      <c r="AD79" s="1641"/>
      <c r="AE79" s="1641"/>
      <c r="AF79" s="1641"/>
      <c r="AG79" s="1641"/>
      <c r="AH79" s="1641"/>
      <c r="AI79" s="1641"/>
      <c r="AJ79" s="1641"/>
      <c r="AK79" s="1641"/>
      <c r="AL79" s="1641"/>
      <c r="AM79" s="1641"/>
      <c r="AN79" s="1641"/>
      <c r="AO79" s="1641"/>
      <c r="AP79" s="1641"/>
      <c r="AQ79" s="1641"/>
      <c r="AR79" s="1641"/>
      <c r="AS79" s="1641"/>
      <c r="AT79" s="1641"/>
      <c r="AU79" s="1641"/>
      <c r="AV79" s="1641"/>
      <c r="AW79" s="1641"/>
      <c r="AX79" s="1641"/>
      <c r="AY79" s="1641"/>
      <c r="AZ79" s="1641"/>
      <c r="BA79" s="1641"/>
      <c r="BB79" s="1641"/>
      <c r="BC79" s="1641"/>
      <c r="BD79" s="1641"/>
      <c r="BE79" s="1641"/>
      <c r="BF79" s="1641"/>
      <c r="BG79" s="1641"/>
      <c r="BH79" s="1641"/>
      <c r="BI79" s="1641"/>
      <c r="BJ79" s="1641"/>
      <c r="BK79" s="1641"/>
      <c r="BL79" s="1641"/>
      <c r="BM79" s="1641"/>
      <c r="BN79" s="1641"/>
      <c r="BO79" s="1641"/>
      <c r="BP79" s="1641"/>
      <c r="BQ79" s="1641"/>
      <c r="BR79" s="1641"/>
      <c r="BS79" s="1641"/>
      <c r="BT79" s="1641"/>
      <c r="BU79" s="1641"/>
      <c r="BV79" s="1641"/>
      <c r="BW79" s="1641"/>
      <c r="BX79" s="1641"/>
      <c r="BY79" s="1641"/>
      <c r="BZ79" s="1641"/>
      <c r="CA79" s="1641"/>
      <c r="CB79" s="1641"/>
      <c r="CC79" s="1641"/>
      <c r="CD79" s="1641"/>
      <c r="CE79" s="1641"/>
      <c r="CF79" s="1641"/>
      <c r="CG79" s="1641"/>
      <c r="CH79" s="1641"/>
      <c r="CI79" s="1641"/>
      <c r="CJ79" s="1636"/>
      <c r="CK79" s="1641"/>
      <c r="CL79" s="1641"/>
      <c r="CM79" s="1641"/>
      <c r="CN79" s="1641"/>
      <c r="CO79" s="1641"/>
      <c r="CP79" s="1641"/>
      <c r="CQ79" s="1641"/>
      <c r="CR79" s="1641"/>
      <c r="CS79" s="1641"/>
      <c r="CT79" s="1641"/>
      <c r="CU79" s="1641"/>
      <c r="CV79" s="1641"/>
      <c r="CW79" s="1641"/>
      <c r="CX79" s="1641"/>
      <c r="CY79" s="1641"/>
      <c r="CZ79" s="1641"/>
      <c r="DA79" s="1641"/>
      <c r="DB79" s="1641"/>
      <c r="DC79" s="1641"/>
      <c r="DD79" s="1641"/>
      <c r="DE79" s="1641"/>
      <c r="DF79" s="1641"/>
      <c r="DG79" s="1641"/>
      <c r="DH79" s="1641"/>
      <c r="DI79" s="1641"/>
      <c r="DJ79" s="1641"/>
      <c r="DK79" s="1641"/>
      <c r="DL79" s="1641"/>
      <c r="DM79" s="1641">
        <v>1263</v>
      </c>
      <c r="DN79" s="1641"/>
      <c r="DO79" s="1641"/>
      <c r="DP79" s="1641"/>
      <c r="DQ79" s="1641"/>
      <c r="DR79" s="1641"/>
      <c r="DS79" s="1641"/>
      <c r="DT79" s="1641"/>
      <c r="DU79" s="1641"/>
      <c r="DV79" s="1641"/>
      <c r="DW79" s="1641"/>
      <c r="DX79" s="1641"/>
      <c r="DY79" s="1641"/>
      <c r="DZ79" s="1641"/>
      <c r="EA79" s="1641"/>
      <c r="EB79" s="1641"/>
      <c r="EC79" s="1641"/>
      <c r="ED79" s="1641"/>
      <c r="EE79" s="1641"/>
      <c r="EF79" s="1641"/>
      <c r="EG79" s="1641"/>
      <c r="EH79" s="1641"/>
      <c r="EI79" s="1641"/>
      <c r="EJ79" s="1641"/>
      <c r="EK79" s="1641"/>
      <c r="EL79" s="1641"/>
      <c r="EM79" s="1641"/>
      <c r="EN79" s="1641"/>
      <c r="EO79" s="1641">
        <v>1263</v>
      </c>
      <c r="EP79" s="1641"/>
      <c r="EQ79" s="1641"/>
      <c r="ER79" s="1641"/>
      <c r="ES79" s="1641"/>
      <c r="ET79" s="1641"/>
      <c r="EU79" s="1641"/>
      <c r="EV79" s="1641"/>
      <c r="EW79" s="1641"/>
      <c r="EX79" s="1641">
        <v>3620</v>
      </c>
      <c r="EY79" s="1641"/>
      <c r="EZ79" s="1641"/>
      <c r="FA79" s="1641"/>
      <c r="FB79" s="1641"/>
      <c r="FC79" s="1641"/>
      <c r="FD79" s="1641"/>
      <c r="FE79" s="1641"/>
      <c r="FF79" s="1641"/>
      <c r="FG79" s="1641"/>
      <c r="FH79" s="1641"/>
      <c r="FI79" s="1641"/>
      <c r="FJ79" s="1641"/>
      <c r="FK79" s="1641"/>
      <c r="FL79" s="1641"/>
      <c r="FM79" s="1641"/>
      <c r="FN79" s="1641"/>
      <c r="FO79" s="1641"/>
      <c r="FP79" s="1641"/>
      <c r="FQ79" s="1641"/>
      <c r="FR79" s="1641"/>
      <c r="FS79" s="1641"/>
      <c r="FT79" s="1641"/>
      <c r="FU79" s="1641"/>
      <c r="FV79" s="1641"/>
      <c r="FW79" s="1641"/>
      <c r="FX79" s="1641"/>
      <c r="FY79" s="1641"/>
      <c r="FZ79" s="1641"/>
      <c r="GA79" s="1641"/>
      <c r="GB79" s="1641"/>
      <c r="GC79" s="1641"/>
      <c r="GD79" s="1641"/>
      <c r="GE79" s="1641"/>
      <c r="GF79" s="1641"/>
      <c r="GG79" s="1641"/>
      <c r="GH79" s="1641"/>
      <c r="GI79" s="1641"/>
      <c r="GJ79" s="1641"/>
      <c r="GK79" s="1641"/>
      <c r="GL79" s="1641"/>
      <c r="GM79" s="1641"/>
      <c r="GN79" s="1641"/>
      <c r="GO79" s="1641"/>
      <c r="GP79" s="1641"/>
      <c r="GQ79" s="1641"/>
      <c r="GR79" s="1641"/>
      <c r="GS79" s="1641"/>
      <c r="GT79" s="1641"/>
      <c r="GU79" s="1641"/>
      <c r="GV79" s="1641"/>
      <c r="GW79" s="1641"/>
      <c r="GX79" s="1641"/>
      <c r="GY79" s="1641"/>
      <c r="GZ79" s="1641"/>
      <c r="HA79" s="1641"/>
      <c r="HB79" s="1641"/>
      <c r="HC79" s="1641"/>
      <c r="HD79" s="1641"/>
      <c r="HE79" s="1641"/>
      <c r="HF79" s="1641"/>
      <c r="HG79" s="1641"/>
      <c r="HH79" s="1641"/>
      <c r="HI79" s="1641"/>
      <c r="HJ79" s="1641"/>
      <c r="HK79" s="1641"/>
      <c r="HL79" s="1641"/>
      <c r="HM79" s="1641"/>
      <c r="HN79" s="1641"/>
      <c r="HO79" s="1641"/>
      <c r="HP79" s="1641">
        <v>3620</v>
      </c>
      <c r="HQ79" s="1641"/>
      <c r="HR79" s="1641"/>
      <c r="HS79" s="1641"/>
      <c r="HT79" s="1641"/>
      <c r="HU79" s="1641"/>
      <c r="HV79" s="1641"/>
      <c r="HW79" s="1641"/>
      <c r="HX79" s="1641"/>
      <c r="HY79" s="1641"/>
      <c r="HZ79" s="1641"/>
      <c r="IA79" s="1641"/>
      <c r="IB79" s="1641"/>
      <c r="IC79" s="1641"/>
      <c r="ID79" s="1641"/>
      <c r="IE79" s="1641"/>
      <c r="IF79" s="1641"/>
      <c r="IG79" s="1641"/>
      <c r="IH79" s="1641"/>
      <c r="II79" s="1641"/>
      <c r="IJ79" s="1641"/>
      <c r="IK79" s="1641"/>
      <c r="IL79" s="1641"/>
      <c r="IM79" s="1641"/>
      <c r="IN79" s="1641"/>
      <c r="IO79" s="1641"/>
      <c r="IP79" s="1414"/>
      <c r="IQ79" s="1414"/>
      <c r="IR79" s="1414"/>
      <c r="IS79" s="1414"/>
      <c r="IT79" s="1414"/>
      <c r="IU79" s="1414"/>
      <c r="IV79" s="1414"/>
      <c r="IW79" s="1414"/>
      <c r="IX79" s="1641"/>
      <c r="IY79" s="1641"/>
      <c r="IZ79" s="1641"/>
      <c r="JA79" s="1641"/>
      <c r="JB79" s="1641"/>
      <c r="JC79" s="1641"/>
      <c r="JD79" s="1641"/>
      <c r="JE79" s="1641"/>
      <c r="JF79" s="1641"/>
      <c r="JG79" s="1641"/>
      <c r="JH79" s="1414"/>
      <c r="JI79" s="1414"/>
      <c r="JJ79" s="1414"/>
      <c r="JK79" s="1414"/>
      <c r="JL79" s="1414"/>
      <c r="JM79" s="1414"/>
      <c r="JN79" s="1414"/>
      <c r="JO79" s="1414"/>
      <c r="JP79" s="1414"/>
      <c r="JQ79" s="1415"/>
      <c r="JR79" s="351"/>
    </row>
    <row r="80" spans="1:278" x14ac:dyDescent="0.25">
      <c r="A80" s="1367">
        <v>80</v>
      </c>
      <c r="B80" s="1411" t="str">
        <f t="shared" si="11"/>
        <v/>
      </c>
      <c r="C80" s="1435" t="s">
        <v>3965</v>
      </c>
      <c r="D80" s="1361" t="s">
        <v>3869</v>
      </c>
      <c r="E80" s="1641"/>
      <c r="F80" s="1641"/>
      <c r="G80" s="1641"/>
      <c r="H80" s="1641"/>
      <c r="I80" s="1641"/>
      <c r="J80" s="1641"/>
      <c r="K80" s="1641"/>
      <c r="L80" s="1641"/>
      <c r="M80" s="1641"/>
      <c r="N80" s="1641"/>
      <c r="O80" s="1641"/>
      <c r="P80" s="1641"/>
      <c r="Q80" s="1641"/>
      <c r="R80" s="1641"/>
      <c r="S80" s="1641"/>
      <c r="T80" s="1641"/>
      <c r="U80" s="1641"/>
      <c r="V80" s="1641"/>
      <c r="W80" s="1641"/>
      <c r="X80" s="1641"/>
      <c r="Y80" s="1641"/>
      <c r="Z80" s="1641"/>
      <c r="AA80" s="1641"/>
      <c r="AB80" s="1641"/>
      <c r="AC80" s="1641"/>
      <c r="AD80" s="1641"/>
      <c r="AE80" s="1641"/>
      <c r="AF80" s="1641"/>
      <c r="AG80" s="1641"/>
      <c r="AH80" s="1641"/>
      <c r="AI80" s="1641"/>
      <c r="AJ80" s="1641"/>
      <c r="AK80" s="1641"/>
      <c r="AL80" s="1641"/>
      <c r="AM80" s="1641"/>
      <c r="AN80" s="1641"/>
      <c r="AO80" s="1641"/>
      <c r="AP80" s="1641"/>
      <c r="AQ80" s="1641"/>
      <c r="AR80" s="1641"/>
      <c r="AS80" s="1641"/>
      <c r="AT80" s="1641"/>
      <c r="AU80" s="1641"/>
      <c r="AV80" s="1641"/>
      <c r="AW80" s="1641"/>
      <c r="AX80" s="1641"/>
      <c r="AY80" s="1641"/>
      <c r="AZ80" s="1641"/>
      <c r="BA80" s="1641"/>
      <c r="BB80" s="1641"/>
      <c r="BC80" s="1641"/>
      <c r="BD80" s="1641"/>
      <c r="BE80" s="1641"/>
      <c r="BF80" s="1641"/>
      <c r="BG80" s="1641"/>
      <c r="BH80" s="1641"/>
      <c r="BI80" s="1641"/>
      <c r="BJ80" s="1641"/>
      <c r="BK80" s="1641"/>
      <c r="BL80" s="1641"/>
      <c r="BM80" s="1641"/>
      <c r="BN80" s="1641"/>
      <c r="BO80" s="1641"/>
      <c r="BP80" s="1641"/>
      <c r="BQ80" s="1641"/>
      <c r="BR80" s="1641"/>
      <c r="BS80" s="1641"/>
      <c r="BT80" s="1641"/>
      <c r="BU80" s="1641"/>
      <c r="BV80" s="1641"/>
      <c r="BW80" s="1641"/>
      <c r="BX80" s="1641"/>
      <c r="BY80" s="1641"/>
      <c r="BZ80" s="1641"/>
      <c r="CA80" s="1641"/>
      <c r="CB80" s="1641"/>
      <c r="CC80" s="1641"/>
      <c r="CD80" s="1641"/>
      <c r="CE80" s="1641"/>
      <c r="CF80" s="1641"/>
      <c r="CG80" s="1641"/>
      <c r="CH80" s="1641"/>
      <c r="CI80" s="1641"/>
      <c r="CJ80" s="1636"/>
      <c r="CK80" s="1641"/>
      <c r="CL80" s="1641"/>
      <c r="CM80" s="1641"/>
      <c r="CN80" s="1641"/>
      <c r="CO80" s="1641"/>
      <c r="CP80" s="1641"/>
      <c r="CQ80" s="1641"/>
      <c r="CR80" s="1641"/>
      <c r="CS80" s="1641"/>
      <c r="CT80" s="1641"/>
      <c r="CU80" s="1641"/>
      <c r="CV80" s="1641"/>
      <c r="CW80" s="1641"/>
      <c r="CX80" s="1641"/>
      <c r="CY80" s="1641"/>
      <c r="CZ80" s="1641"/>
      <c r="DA80" s="1641"/>
      <c r="DB80" s="1641"/>
      <c r="DC80" s="1641"/>
      <c r="DD80" s="1641"/>
      <c r="DE80" s="1641"/>
      <c r="DF80" s="1641"/>
      <c r="DG80" s="1641"/>
      <c r="DH80" s="1641"/>
      <c r="DI80" s="1641"/>
      <c r="DJ80" s="1641"/>
      <c r="DK80" s="1641"/>
      <c r="DL80" s="1641"/>
      <c r="DM80" s="1641">
        <v>189</v>
      </c>
      <c r="DN80" s="1641"/>
      <c r="DO80" s="1641"/>
      <c r="DP80" s="1641"/>
      <c r="DQ80" s="1641"/>
      <c r="DR80" s="1641"/>
      <c r="DS80" s="1641"/>
      <c r="DT80" s="1641"/>
      <c r="DU80" s="1641"/>
      <c r="DV80" s="1641"/>
      <c r="DW80" s="1641"/>
      <c r="DX80" s="1641"/>
      <c r="DY80" s="1641"/>
      <c r="DZ80" s="1641"/>
      <c r="EA80" s="1641"/>
      <c r="EB80" s="1641"/>
      <c r="EC80" s="1641"/>
      <c r="ED80" s="1641"/>
      <c r="EE80" s="1641"/>
      <c r="EF80" s="1641"/>
      <c r="EG80" s="1641"/>
      <c r="EH80" s="1641"/>
      <c r="EI80" s="1641"/>
      <c r="EJ80" s="1641"/>
      <c r="EK80" s="1641"/>
      <c r="EL80" s="1641"/>
      <c r="EM80" s="1641"/>
      <c r="EN80" s="1641"/>
      <c r="EO80" s="1641">
        <v>189</v>
      </c>
      <c r="EP80" s="1641"/>
      <c r="EQ80" s="1641"/>
      <c r="ER80" s="1641"/>
      <c r="ES80" s="1641"/>
      <c r="ET80" s="1641"/>
      <c r="EU80" s="1641"/>
      <c r="EV80" s="1641"/>
      <c r="EW80" s="1641"/>
      <c r="EX80" s="1641">
        <v>724</v>
      </c>
      <c r="EY80" s="1641"/>
      <c r="EZ80" s="1641"/>
      <c r="FA80" s="1641"/>
      <c r="FB80" s="1641"/>
      <c r="FC80" s="1641"/>
      <c r="FD80" s="1641"/>
      <c r="FE80" s="1641"/>
      <c r="FF80" s="1641"/>
      <c r="FG80" s="1641"/>
      <c r="FH80" s="1641"/>
      <c r="FI80" s="1641"/>
      <c r="FJ80" s="1641"/>
      <c r="FK80" s="1641"/>
      <c r="FL80" s="1641"/>
      <c r="FM80" s="1641"/>
      <c r="FN80" s="1641"/>
      <c r="FO80" s="1641"/>
      <c r="FP80" s="1641"/>
      <c r="FQ80" s="1641"/>
      <c r="FR80" s="1641"/>
      <c r="FS80" s="1641"/>
      <c r="FT80" s="1641"/>
      <c r="FU80" s="1641"/>
      <c r="FV80" s="1641"/>
      <c r="FW80" s="1641"/>
      <c r="FX80" s="1641"/>
      <c r="FY80" s="1641"/>
      <c r="FZ80" s="1641"/>
      <c r="GA80" s="1641"/>
      <c r="GB80" s="1641"/>
      <c r="GC80" s="1641"/>
      <c r="GD80" s="1641"/>
      <c r="GE80" s="1641"/>
      <c r="GF80" s="1641"/>
      <c r="GG80" s="1641"/>
      <c r="GH80" s="1641"/>
      <c r="GI80" s="1641"/>
      <c r="GJ80" s="1641"/>
      <c r="GK80" s="1641"/>
      <c r="GL80" s="1641"/>
      <c r="GM80" s="1641"/>
      <c r="GN80" s="1641"/>
      <c r="GO80" s="1641"/>
      <c r="GP80" s="1641"/>
      <c r="GQ80" s="1641"/>
      <c r="GR80" s="1641"/>
      <c r="GS80" s="1641"/>
      <c r="GT80" s="1641"/>
      <c r="GU80" s="1641"/>
      <c r="GV80" s="1641"/>
      <c r="GW80" s="1641"/>
      <c r="GX80" s="1641"/>
      <c r="GY80" s="1641"/>
      <c r="GZ80" s="1641"/>
      <c r="HA80" s="1641"/>
      <c r="HB80" s="1641"/>
      <c r="HC80" s="1641"/>
      <c r="HD80" s="1641"/>
      <c r="HE80" s="1641"/>
      <c r="HF80" s="1641"/>
      <c r="HG80" s="1641"/>
      <c r="HH80" s="1641"/>
      <c r="HI80" s="1641"/>
      <c r="HJ80" s="1641"/>
      <c r="HK80" s="1641"/>
      <c r="HL80" s="1641"/>
      <c r="HM80" s="1641"/>
      <c r="HN80" s="1641"/>
      <c r="HO80" s="1641"/>
      <c r="HP80" s="1641">
        <v>724</v>
      </c>
      <c r="HQ80" s="1641"/>
      <c r="HR80" s="1641"/>
      <c r="HS80" s="1641"/>
      <c r="HT80" s="1641"/>
      <c r="HU80" s="1641"/>
      <c r="HV80" s="1641"/>
      <c r="HW80" s="1641"/>
      <c r="HX80" s="1641"/>
      <c r="HY80" s="1641"/>
      <c r="HZ80" s="1641"/>
      <c r="IA80" s="1641"/>
      <c r="IB80" s="1641"/>
      <c r="IC80" s="1641"/>
      <c r="ID80" s="1641"/>
      <c r="IE80" s="1641"/>
      <c r="IF80" s="1641"/>
      <c r="IG80" s="1641"/>
      <c r="IH80" s="1641"/>
      <c r="II80" s="1641"/>
      <c r="IJ80" s="1641"/>
      <c r="IK80" s="1641"/>
      <c r="IL80" s="1641"/>
      <c r="IM80" s="1641"/>
      <c r="IN80" s="1641"/>
      <c r="IO80" s="1641"/>
      <c r="IP80" s="1414"/>
      <c r="IQ80" s="1414"/>
      <c r="IR80" s="1414"/>
      <c r="IS80" s="1414"/>
      <c r="IT80" s="1414"/>
      <c r="IU80" s="1414"/>
      <c r="IV80" s="1414"/>
      <c r="IW80" s="1414"/>
      <c r="IX80" s="1641"/>
      <c r="IY80" s="1641"/>
      <c r="IZ80" s="1641"/>
      <c r="JA80" s="1641"/>
      <c r="JB80" s="1641"/>
      <c r="JC80" s="1641"/>
      <c r="JD80" s="1641"/>
      <c r="JE80" s="1641"/>
      <c r="JF80" s="1641"/>
      <c r="JG80" s="1641"/>
      <c r="JH80" s="1414"/>
      <c r="JI80" s="1414"/>
      <c r="JJ80" s="1414"/>
      <c r="JK80" s="1414"/>
      <c r="JL80" s="1414"/>
      <c r="JM80" s="1414"/>
      <c r="JN80" s="1414"/>
      <c r="JO80" s="1414"/>
      <c r="JP80" s="1414"/>
      <c r="JQ80" s="1415"/>
      <c r="JR80" s="351"/>
    </row>
    <row r="81" spans="1:278" x14ac:dyDescent="0.25">
      <c r="A81" s="1367">
        <v>81</v>
      </c>
      <c r="B81" s="1411" t="str">
        <f t="shared" si="11"/>
        <v/>
      </c>
      <c r="C81" s="1435" t="s">
        <v>3966</v>
      </c>
      <c r="D81" s="1361" t="s">
        <v>3871</v>
      </c>
      <c r="E81" s="1641"/>
      <c r="F81" s="1641"/>
      <c r="G81" s="1641"/>
      <c r="H81" s="1641"/>
      <c r="I81" s="1641"/>
      <c r="J81" s="1641"/>
      <c r="K81" s="1641"/>
      <c r="L81" s="1641"/>
      <c r="M81" s="1641"/>
      <c r="N81" s="1641"/>
      <c r="O81" s="1641"/>
      <c r="P81" s="1641"/>
      <c r="Q81" s="1641"/>
      <c r="R81" s="1641"/>
      <c r="S81" s="1641"/>
      <c r="T81" s="1641"/>
      <c r="U81" s="1641"/>
      <c r="V81" s="1641"/>
      <c r="W81" s="1641"/>
      <c r="X81" s="1641"/>
      <c r="Y81" s="1641"/>
      <c r="Z81" s="1641"/>
      <c r="AA81" s="1641"/>
      <c r="AB81" s="1641"/>
      <c r="AC81" s="1641"/>
      <c r="AD81" s="1641"/>
      <c r="AE81" s="1641"/>
      <c r="AF81" s="1641"/>
      <c r="AG81" s="1641"/>
      <c r="AH81" s="1641"/>
      <c r="AI81" s="1641"/>
      <c r="AJ81" s="1641"/>
      <c r="AK81" s="1641"/>
      <c r="AL81" s="1641"/>
      <c r="AM81" s="1641"/>
      <c r="AN81" s="1641"/>
      <c r="AO81" s="1641"/>
      <c r="AP81" s="1641"/>
      <c r="AQ81" s="1641"/>
      <c r="AR81" s="1641"/>
      <c r="AS81" s="1641"/>
      <c r="AT81" s="1641"/>
      <c r="AU81" s="1641"/>
      <c r="AV81" s="1641"/>
      <c r="AW81" s="1641"/>
      <c r="AX81" s="1641"/>
      <c r="AY81" s="1641"/>
      <c r="AZ81" s="1641"/>
      <c r="BA81" s="1641"/>
      <c r="BB81" s="1641"/>
      <c r="BC81" s="1641"/>
      <c r="BD81" s="1641"/>
      <c r="BE81" s="1641"/>
      <c r="BF81" s="1641"/>
      <c r="BG81" s="1641"/>
      <c r="BH81" s="1641"/>
      <c r="BI81" s="1641"/>
      <c r="BJ81" s="1641"/>
      <c r="BK81" s="1641"/>
      <c r="BL81" s="1641"/>
      <c r="BM81" s="1641"/>
      <c r="BN81" s="1641"/>
      <c r="BO81" s="1641"/>
      <c r="BP81" s="1641"/>
      <c r="BQ81" s="1641"/>
      <c r="BR81" s="1641"/>
      <c r="BS81" s="1641"/>
      <c r="BT81" s="1641"/>
      <c r="BU81" s="1641"/>
      <c r="BV81" s="1641"/>
      <c r="BW81" s="1641"/>
      <c r="BX81" s="1641"/>
      <c r="BY81" s="1641"/>
      <c r="BZ81" s="1641"/>
      <c r="CA81" s="1641"/>
      <c r="CB81" s="1641"/>
      <c r="CC81" s="1641"/>
      <c r="CD81" s="1641"/>
      <c r="CE81" s="1641"/>
      <c r="CF81" s="1641"/>
      <c r="CG81" s="1641"/>
      <c r="CH81" s="1641"/>
      <c r="CI81" s="1641"/>
      <c r="CJ81" s="1641"/>
      <c r="CK81" s="1641"/>
      <c r="CL81" s="1641"/>
      <c r="CM81" s="1641"/>
      <c r="CN81" s="1641"/>
      <c r="CO81" s="1641"/>
      <c r="CP81" s="1641"/>
      <c r="CQ81" s="1641"/>
      <c r="CR81" s="1641"/>
      <c r="CS81" s="1641"/>
      <c r="CT81" s="1641"/>
      <c r="CU81" s="1641"/>
      <c r="CV81" s="1641"/>
      <c r="CW81" s="1641"/>
      <c r="CX81" s="1641"/>
      <c r="CY81" s="1641"/>
      <c r="CZ81" s="1641"/>
      <c r="DA81" s="1641"/>
      <c r="DB81" s="1641"/>
      <c r="DC81" s="1641"/>
      <c r="DD81" s="1641"/>
      <c r="DE81" s="1641"/>
      <c r="DF81" s="1641"/>
      <c r="DG81" s="1641"/>
      <c r="DH81" s="1641"/>
      <c r="DI81" s="1641"/>
      <c r="DJ81" s="1641"/>
      <c r="DK81" s="1641"/>
      <c r="DL81" s="1641"/>
      <c r="DM81" s="1641"/>
      <c r="DN81" s="1641"/>
      <c r="DO81" s="1641"/>
      <c r="DP81" s="1641"/>
      <c r="DQ81" s="1641"/>
      <c r="DR81" s="1641"/>
      <c r="DS81" s="1641"/>
      <c r="DT81" s="1641"/>
      <c r="DU81" s="1641"/>
      <c r="DV81" s="1641"/>
      <c r="DW81" s="1641"/>
      <c r="DX81" s="1641"/>
      <c r="DY81" s="1641"/>
      <c r="DZ81" s="1641"/>
      <c r="EA81" s="1641"/>
      <c r="EB81" s="1641"/>
      <c r="EC81" s="1641"/>
      <c r="ED81" s="1641"/>
      <c r="EE81" s="1641"/>
      <c r="EF81" s="1641"/>
      <c r="EG81" s="1641"/>
      <c r="EH81" s="1641"/>
      <c r="EI81" s="1641"/>
      <c r="EJ81" s="1641"/>
      <c r="EK81" s="1641"/>
      <c r="EL81" s="1641"/>
      <c r="EM81" s="1641"/>
      <c r="EN81" s="1641"/>
      <c r="EO81" s="1641"/>
      <c r="EP81" s="1641"/>
      <c r="EQ81" s="1641"/>
      <c r="ER81" s="1641"/>
      <c r="ES81" s="1641"/>
      <c r="ET81" s="1641"/>
      <c r="EU81" s="1641"/>
      <c r="EV81" s="1641"/>
      <c r="EW81" s="1641"/>
      <c r="EX81" s="1641"/>
      <c r="EY81" s="1641"/>
      <c r="EZ81" s="1641"/>
      <c r="FA81" s="1641"/>
      <c r="FB81" s="1641"/>
      <c r="FC81" s="1641"/>
      <c r="FD81" s="1641"/>
      <c r="FE81" s="1641"/>
      <c r="FF81" s="1641"/>
      <c r="FG81" s="1641"/>
      <c r="FH81" s="1641"/>
      <c r="FI81" s="1641"/>
      <c r="FJ81" s="1641"/>
      <c r="FK81" s="1641"/>
      <c r="FL81" s="1641"/>
      <c r="FM81" s="1641"/>
      <c r="FN81" s="1641"/>
      <c r="FO81" s="1641"/>
      <c r="FP81" s="1641"/>
      <c r="FQ81" s="1641"/>
      <c r="FR81" s="1641"/>
      <c r="FS81" s="1641"/>
      <c r="FT81" s="1641"/>
      <c r="FU81" s="1641"/>
      <c r="FV81" s="1641"/>
      <c r="FW81" s="1641"/>
      <c r="FX81" s="1641"/>
      <c r="FY81" s="1641"/>
      <c r="FZ81" s="1641"/>
      <c r="GA81" s="1641"/>
      <c r="GB81" s="1641"/>
      <c r="GC81" s="1641"/>
      <c r="GD81" s="1641"/>
      <c r="GE81" s="1641"/>
      <c r="GF81" s="1641"/>
      <c r="GG81" s="1641"/>
      <c r="GH81" s="1641"/>
      <c r="GI81" s="1641"/>
      <c r="GJ81" s="1641"/>
      <c r="GK81" s="1641"/>
      <c r="GL81" s="1641"/>
      <c r="GM81" s="1641"/>
      <c r="GN81" s="1641"/>
      <c r="GO81" s="1641"/>
      <c r="GP81" s="1641"/>
      <c r="GQ81" s="1641"/>
      <c r="GR81" s="1641"/>
      <c r="GS81" s="1641"/>
      <c r="GT81" s="1641"/>
      <c r="GU81" s="1641"/>
      <c r="GV81" s="1641"/>
      <c r="GW81" s="1641"/>
      <c r="GX81" s="1641"/>
      <c r="GY81" s="1641"/>
      <c r="GZ81" s="1641"/>
      <c r="HA81" s="1641"/>
      <c r="HB81" s="1641"/>
      <c r="HC81" s="1641"/>
      <c r="HD81" s="1641"/>
      <c r="HE81" s="1641"/>
      <c r="HF81" s="1641"/>
      <c r="HG81" s="1641"/>
      <c r="HH81" s="1641"/>
      <c r="HI81" s="1641"/>
      <c r="HJ81" s="1641"/>
      <c r="HK81" s="1641"/>
      <c r="HL81" s="1641"/>
      <c r="HM81" s="1641"/>
      <c r="HN81" s="1641"/>
      <c r="HO81" s="1641"/>
      <c r="HP81" s="1641"/>
      <c r="HQ81" s="1641"/>
      <c r="HR81" s="1641"/>
      <c r="HS81" s="1641"/>
      <c r="HT81" s="1641"/>
      <c r="HU81" s="1641"/>
      <c r="HV81" s="1641"/>
      <c r="HW81" s="1641"/>
      <c r="HX81" s="1641"/>
      <c r="HY81" s="1641"/>
      <c r="HZ81" s="1641"/>
      <c r="IA81" s="1641"/>
      <c r="IB81" s="1641"/>
      <c r="IC81" s="1641"/>
      <c r="ID81" s="1641"/>
      <c r="IE81" s="1641"/>
      <c r="IF81" s="1641"/>
      <c r="IG81" s="1641"/>
      <c r="IH81" s="1641"/>
      <c r="II81" s="1641"/>
      <c r="IJ81" s="1641"/>
      <c r="IK81" s="1641"/>
      <c r="IL81" s="1641"/>
      <c r="IM81" s="1641"/>
      <c r="IN81" s="1641"/>
      <c r="IO81" s="1641"/>
      <c r="IP81" s="1414"/>
      <c r="IQ81" s="1414"/>
      <c r="IR81" s="1414"/>
      <c r="IS81" s="1414"/>
      <c r="IT81" s="1414"/>
      <c r="IU81" s="1414"/>
      <c r="IV81" s="1414"/>
      <c r="IW81" s="1414"/>
      <c r="IX81" s="1641"/>
      <c r="IY81" s="1641"/>
      <c r="IZ81" s="1641"/>
      <c r="JA81" s="1641"/>
      <c r="JB81" s="1641"/>
      <c r="JC81" s="1641"/>
      <c r="JD81" s="1641"/>
      <c r="JE81" s="1641"/>
      <c r="JF81" s="1641"/>
      <c r="JG81" s="1641"/>
      <c r="JH81" s="1414"/>
      <c r="JI81" s="1414"/>
      <c r="JJ81" s="1414"/>
      <c r="JK81" s="1414"/>
      <c r="JL81" s="1414"/>
      <c r="JM81" s="1414"/>
      <c r="JN81" s="1414"/>
      <c r="JO81" s="1414"/>
      <c r="JP81" s="1414"/>
      <c r="JQ81" s="1415"/>
      <c r="JR81" s="351"/>
    </row>
    <row r="82" spans="1:278" x14ac:dyDescent="0.25">
      <c r="A82" s="1367">
        <v>82</v>
      </c>
      <c r="B82" s="1411" t="str">
        <f t="shared" si="11"/>
        <v/>
      </c>
      <c r="C82" s="1435" t="s">
        <v>3967</v>
      </c>
      <c r="D82" s="1361" t="s">
        <v>3873</v>
      </c>
      <c r="E82" s="1639"/>
      <c r="F82" s="1639"/>
      <c r="G82" s="1639"/>
      <c r="H82" s="1639"/>
      <c r="I82" s="1639"/>
      <c r="J82" s="1639"/>
      <c r="K82" s="1639"/>
      <c r="L82" s="1639"/>
      <c r="M82" s="1639"/>
      <c r="N82" s="1639"/>
      <c r="O82" s="1639"/>
      <c r="P82" s="1639"/>
      <c r="Q82" s="1639"/>
      <c r="R82" s="1639"/>
      <c r="S82" s="1639"/>
      <c r="T82" s="1639"/>
      <c r="U82" s="1639"/>
      <c r="V82" s="1639"/>
      <c r="W82" s="1639"/>
      <c r="X82" s="1639"/>
      <c r="Y82" s="1639"/>
      <c r="Z82" s="1639"/>
      <c r="AA82" s="1639"/>
      <c r="AB82" s="1639"/>
      <c r="AC82" s="1639"/>
      <c r="AD82" s="1639"/>
      <c r="AE82" s="1639"/>
      <c r="AF82" s="1639"/>
      <c r="AG82" s="1639"/>
      <c r="AH82" s="1639"/>
      <c r="AI82" s="1639"/>
      <c r="AJ82" s="1639"/>
      <c r="AK82" s="1639"/>
      <c r="AL82" s="1639"/>
      <c r="AM82" s="1639"/>
      <c r="AN82" s="1639"/>
      <c r="AO82" s="1639"/>
      <c r="AP82" s="1639"/>
      <c r="AQ82" s="1639"/>
      <c r="AR82" s="1639"/>
      <c r="AS82" s="1639"/>
      <c r="AT82" s="1639"/>
      <c r="AU82" s="1639"/>
      <c r="AV82" s="1639"/>
      <c r="AW82" s="1639"/>
      <c r="AX82" s="1639"/>
      <c r="AY82" s="1639"/>
      <c r="AZ82" s="1639"/>
      <c r="BA82" s="1639"/>
      <c r="BB82" s="1639"/>
      <c r="BC82" s="1639"/>
      <c r="BD82" s="1639"/>
      <c r="BE82" s="1639"/>
      <c r="BF82" s="1639"/>
      <c r="BG82" s="1639"/>
      <c r="BH82" s="1639"/>
      <c r="BI82" s="1639"/>
      <c r="BJ82" s="1639"/>
      <c r="BK82" s="1639"/>
      <c r="BL82" s="1639"/>
      <c r="BM82" s="1639"/>
      <c r="BN82" s="1639"/>
      <c r="BO82" s="1639"/>
      <c r="BP82" s="1639"/>
      <c r="BQ82" s="1639"/>
      <c r="BR82" s="1639"/>
      <c r="BS82" s="1639"/>
      <c r="BT82" s="1639"/>
      <c r="BU82" s="1639"/>
      <c r="BV82" s="1639"/>
      <c r="BW82" s="1639"/>
      <c r="BX82" s="1639"/>
      <c r="BY82" s="1639"/>
      <c r="BZ82" s="1639"/>
      <c r="CA82" s="1639"/>
      <c r="CB82" s="1639"/>
      <c r="CC82" s="1639"/>
      <c r="CD82" s="1639"/>
      <c r="CE82" s="1639"/>
      <c r="CF82" s="1639"/>
      <c r="CG82" s="1639"/>
      <c r="CH82" s="1639"/>
      <c r="CI82" s="1639"/>
      <c r="CJ82" s="1639"/>
      <c r="CK82" s="1639"/>
      <c r="CL82" s="1639"/>
      <c r="CM82" s="1639"/>
      <c r="CN82" s="1639"/>
      <c r="CO82" s="1639"/>
      <c r="CP82" s="1639"/>
      <c r="CQ82" s="1639"/>
      <c r="CR82" s="1639"/>
      <c r="CS82" s="1639"/>
      <c r="CT82" s="1639"/>
      <c r="CU82" s="1639"/>
      <c r="CV82" s="1639"/>
      <c r="CW82" s="1639"/>
      <c r="CX82" s="1639"/>
      <c r="CY82" s="1639"/>
      <c r="CZ82" s="1639"/>
      <c r="DA82" s="1639"/>
      <c r="DB82" s="1639"/>
      <c r="DC82" s="1639"/>
      <c r="DD82" s="1639"/>
      <c r="DE82" s="1639"/>
      <c r="DF82" s="1639"/>
      <c r="DG82" s="1639"/>
      <c r="DH82" s="1639"/>
      <c r="DI82" s="1639"/>
      <c r="DJ82" s="1639"/>
      <c r="DK82" s="1639"/>
      <c r="DL82" s="1639"/>
      <c r="DM82" s="1639"/>
      <c r="DN82" s="1639"/>
      <c r="DO82" s="1639"/>
      <c r="DP82" s="1639"/>
      <c r="DQ82" s="1639"/>
      <c r="DR82" s="1639"/>
      <c r="DS82" s="1639"/>
      <c r="DT82" s="1639"/>
      <c r="DU82" s="1639"/>
      <c r="DV82" s="1639"/>
      <c r="DW82" s="1639"/>
      <c r="DX82" s="1639"/>
      <c r="DY82" s="1639"/>
      <c r="DZ82" s="1639"/>
      <c r="EA82" s="1639"/>
      <c r="EB82" s="1639"/>
      <c r="EC82" s="1639"/>
      <c r="ED82" s="1639"/>
      <c r="EE82" s="1639"/>
      <c r="EF82" s="1639"/>
      <c r="EG82" s="1639"/>
      <c r="EH82" s="1639"/>
      <c r="EI82" s="1639"/>
      <c r="EJ82" s="1639"/>
      <c r="EK82" s="1639"/>
      <c r="EL82" s="1639"/>
      <c r="EM82" s="1639"/>
      <c r="EN82" s="1639"/>
      <c r="EO82" s="1639"/>
      <c r="EP82" s="1639"/>
      <c r="EQ82" s="1639"/>
      <c r="ER82" s="1639"/>
      <c r="ES82" s="1639"/>
      <c r="ET82" s="1639"/>
      <c r="EU82" s="1639"/>
      <c r="EV82" s="1639"/>
      <c r="EW82" s="1639"/>
      <c r="EX82" s="1639" t="s">
        <v>1707</v>
      </c>
      <c r="EY82" s="1639"/>
      <c r="EZ82" s="1639"/>
      <c r="FA82" s="1639"/>
      <c r="FB82" s="1639"/>
      <c r="FC82" s="1639"/>
      <c r="FD82" s="1639"/>
      <c r="FE82" s="1639"/>
      <c r="FF82" s="1639"/>
      <c r="FG82" s="1639"/>
      <c r="FH82" s="1639"/>
      <c r="FI82" s="1639"/>
      <c r="FJ82" s="1639"/>
      <c r="FK82" s="1639"/>
      <c r="FL82" s="1639"/>
      <c r="FM82" s="1639"/>
      <c r="FN82" s="1639"/>
      <c r="FO82" s="1639"/>
      <c r="FP82" s="1639"/>
      <c r="FQ82" s="1639"/>
      <c r="FR82" s="1639"/>
      <c r="FS82" s="1639"/>
      <c r="FT82" s="1639"/>
      <c r="FU82" s="1639"/>
      <c r="FV82" s="1639"/>
      <c r="FW82" s="1639"/>
      <c r="FX82" s="1639"/>
      <c r="FY82" s="1639"/>
      <c r="FZ82" s="1639"/>
      <c r="GA82" s="1639"/>
      <c r="GB82" s="1639"/>
      <c r="GC82" s="1639"/>
      <c r="GD82" s="1639"/>
      <c r="GE82" s="1639"/>
      <c r="GF82" s="1639"/>
      <c r="GG82" s="1639"/>
      <c r="GH82" s="1639"/>
      <c r="GI82" s="1639"/>
      <c r="GJ82" s="1639"/>
      <c r="GK82" s="1639"/>
      <c r="GL82" s="1639"/>
      <c r="GM82" s="1639"/>
      <c r="GN82" s="1639"/>
      <c r="GO82" s="1639"/>
      <c r="GP82" s="1639"/>
      <c r="GQ82" s="1639"/>
      <c r="GR82" s="1639"/>
      <c r="GS82" s="1639"/>
      <c r="GT82" s="1639"/>
      <c r="GU82" s="1639"/>
      <c r="GV82" s="1639"/>
      <c r="GW82" s="1639"/>
      <c r="GX82" s="1639"/>
      <c r="GY82" s="1639"/>
      <c r="GZ82" s="1639"/>
      <c r="HA82" s="1639"/>
      <c r="HB82" s="1639"/>
      <c r="HC82" s="1639"/>
      <c r="HD82" s="1639"/>
      <c r="HE82" s="1639"/>
      <c r="HF82" s="1639"/>
      <c r="HG82" s="1639"/>
      <c r="HH82" s="1639"/>
      <c r="HI82" s="1639"/>
      <c r="HJ82" s="1639"/>
      <c r="HK82" s="1639"/>
      <c r="HL82" s="1639"/>
      <c r="HM82" s="1639"/>
      <c r="HN82" s="1639"/>
      <c r="HO82" s="1639"/>
      <c r="HP82" s="1639" t="s">
        <v>1707</v>
      </c>
      <c r="HQ82" s="1639"/>
      <c r="HR82" s="1639"/>
      <c r="HS82" s="1639"/>
      <c r="HT82" s="1639"/>
      <c r="HU82" s="1639"/>
      <c r="HV82" s="1639"/>
      <c r="HW82" s="1639"/>
      <c r="HX82" s="1639"/>
      <c r="HY82" s="1639"/>
      <c r="HZ82" s="1639"/>
      <c r="IA82" s="1639"/>
      <c r="IB82" s="1639"/>
      <c r="IC82" s="1639"/>
      <c r="ID82" s="1639"/>
      <c r="IE82" s="1639"/>
      <c r="IF82" s="1639"/>
      <c r="IG82" s="1639"/>
      <c r="IH82" s="1639"/>
      <c r="II82" s="1639"/>
      <c r="IJ82" s="1639"/>
      <c r="IK82" s="1639"/>
      <c r="IL82" s="1639"/>
      <c r="IM82" s="1639"/>
      <c r="IN82" s="1639"/>
      <c r="IO82" s="1639"/>
      <c r="IP82" s="1414"/>
      <c r="IQ82" s="1414"/>
      <c r="IR82" s="1414"/>
      <c r="IS82" s="1414"/>
      <c r="IT82" s="1414"/>
      <c r="IU82" s="1414"/>
      <c r="IV82" s="1414"/>
      <c r="IW82" s="1414"/>
      <c r="IX82" s="1639"/>
      <c r="IY82" s="1639"/>
      <c r="IZ82" s="1639"/>
      <c r="JA82" s="1639"/>
      <c r="JB82" s="1639"/>
      <c r="JC82" s="1639"/>
      <c r="JD82" s="1639"/>
      <c r="JE82" s="1639"/>
      <c r="JF82" s="1639"/>
      <c r="JG82" s="1639"/>
      <c r="JH82" s="1414"/>
      <c r="JI82" s="1414"/>
      <c r="JJ82" s="1414"/>
      <c r="JK82" s="1414"/>
      <c r="JL82" s="1414"/>
      <c r="JM82" s="1414"/>
      <c r="JN82" s="1414"/>
      <c r="JO82" s="1414"/>
      <c r="JP82" s="1414"/>
      <c r="JQ82" s="1415"/>
      <c r="JR82" s="351"/>
    </row>
    <row r="83" spans="1:278" x14ac:dyDescent="0.25">
      <c r="A83" s="1367">
        <v>83</v>
      </c>
      <c r="B83" s="1411" t="str">
        <f t="shared" si="11"/>
        <v/>
      </c>
      <c r="C83" s="1435" t="s">
        <v>3968</v>
      </c>
      <c r="D83" s="1361" t="s">
        <v>3875</v>
      </c>
      <c r="E83" s="2561"/>
      <c r="F83" s="2561"/>
      <c r="G83" s="2561"/>
      <c r="H83" s="2561"/>
      <c r="I83" s="2561"/>
      <c r="J83" s="2561"/>
      <c r="K83" s="2561"/>
      <c r="L83" s="2561"/>
      <c r="M83" s="2561"/>
      <c r="N83" s="2561"/>
      <c r="O83" s="2561"/>
      <c r="P83" s="2561"/>
      <c r="Q83" s="2561"/>
      <c r="R83" s="2561"/>
      <c r="S83" s="2561"/>
      <c r="T83" s="2561"/>
      <c r="U83" s="2561"/>
      <c r="V83" s="2561"/>
      <c r="W83" s="2561"/>
      <c r="X83" s="2561"/>
      <c r="Y83" s="2561"/>
      <c r="Z83" s="2561"/>
      <c r="AA83" s="2561"/>
      <c r="AB83" s="2561"/>
      <c r="AC83" s="2561"/>
      <c r="AD83" s="2561"/>
      <c r="AE83" s="2561"/>
      <c r="AF83" s="2561"/>
      <c r="AG83" s="2561"/>
      <c r="AH83" s="2561"/>
      <c r="AI83" s="2561"/>
      <c r="AJ83" s="2561"/>
      <c r="AK83" s="2561"/>
      <c r="AL83" s="2561"/>
      <c r="AM83" s="2561"/>
      <c r="AN83" s="2561"/>
      <c r="AO83" s="2561"/>
      <c r="AP83" s="2561"/>
      <c r="AQ83" s="2561"/>
      <c r="AR83" s="2561"/>
      <c r="AS83" s="2561"/>
      <c r="AT83" s="2561"/>
      <c r="AU83" s="2561"/>
      <c r="AV83" s="2561"/>
      <c r="AW83" s="2561"/>
      <c r="AX83" s="2561"/>
      <c r="AY83" s="2561"/>
      <c r="AZ83" s="2561"/>
      <c r="BA83" s="2561"/>
      <c r="BB83" s="2561"/>
      <c r="BC83" s="2561"/>
      <c r="BD83" s="2561"/>
      <c r="BE83" s="2561"/>
      <c r="BF83" s="2561"/>
      <c r="BG83" s="2561"/>
      <c r="BH83" s="2561"/>
      <c r="BI83" s="2561"/>
      <c r="BJ83" s="2561"/>
      <c r="BK83" s="2561"/>
      <c r="BL83" s="2561"/>
      <c r="BM83" s="2561"/>
      <c r="BN83" s="2561"/>
      <c r="BO83" s="2561"/>
      <c r="BP83" s="2561"/>
      <c r="BQ83" s="2561"/>
      <c r="BR83" s="2561"/>
      <c r="BS83" s="2561"/>
      <c r="BT83" s="2561"/>
      <c r="BU83" s="2561"/>
      <c r="BV83" s="2561"/>
      <c r="BW83" s="2561"/>
      <c r="BX83" s="2561"/>
      <c r="BY83" s="2561"/>
      <c r="BZ83" s="2561"/>
      <c r="CA83" s="2561"/>
      <c r="CB83" s="2561"/>
      <c r="CC83" s="2561"/>
      <c r="CD83" s="2561"/>
      <c r="CE83" s="2561"/>
      <c r="CF83" s="2561"/>
      <c r="CG83" s="2561"/>
      <c r="CH83" s="2561"/>
      <c r="CI83" s="2561"/>
      <c r="CJ83" s="1636"/>
      <c r="CK83" s="2561"/>
      <c r="CL83" s="2561"/>
      <c r="CM83" s="2561"/>
      <c r="CN83" s="2561"/>
      <c r="CO83" s="2561"/>
      <c r="CP83" s="2561"/>
      <c r="CQ83" s="2561"/>
      <c r="CR83" s="2561"/>
      <c r="CS83" s="2561"/>
      <c r="CT83" s="2561"/>
      <c r="CU83" s="2561"/>
      <c r="CV83" s="2561"/>
      <c r="CW83" s="2561"/>
      <c r="CX83" s="2561"/>
      <c r="CY83" s="2561"/>
      <c r="CZ83" s="2561"/>
      <c r="DA83" s="2561"/>
      <c r="DB83" s="2561"/>
      <c r="DC83" s="2561"/>
      <c r="DD83" s="2561"/>
      <c r="DE83" s="2561"/>
      <c r="DF83" s="2561"/>
      <c r="DG83" s="2561"/>
      <c r="DH83" s="2561"/>
      <c r="DI83" s="2561"/>
      <c r="DJ83" s="2561"/>
      <c r="DK83" s="2561"/>
      <c r="DL83" s="2561"/>
      <c r="DM83" s="2561">
        <f>IF(DM82="Y",DM79,MAX(0,DM79-DM80))</f>
        <v>1074</v>
      </c>
      <c r="DN83" s="2561"/>
      <c r="DO83" s="2561"/>
      <c r="DP83" s="2561"/>
      <c r="DQ83" s="2561"/>
      <c r="DR83" s="2561"/>
      <c r="DS83" s="2561"/>
      <c r="DT83" s="2561"/>
      <c r="DU83" s="2561"/>
      <c r="DV83" s="2561"/>
      <c r="DW83" s="2561"/>
      <c r="DX83" s="2561"/>
      <c r="DY83" s="2561"/>
      <c r="DZ83" s="2561"/>
      <c r="EA83" s="2561"/>
      <c r="EB83" s="2561"/>
      <c r="EC83" s="2561"/>
      <c r="ED83" s="2561"/>
      <c r="EE83" s="2561"/>
      <c r="EF83" s="2561"/>
      <c r="EG83" s="2561"/>
      <c r="EH83" s="2561"/>
      <c r="EI83" s="2561"/>
      <c r="EJ83" s="2561"/>
      <c r="EK83" s="2561"/>
      <c r="EL83" s="2561"/>
      <c r="EM83" s="2561"/>
      <c r="EN83" s="2561"/>
      <c r="EO83" s="2561">
        <f>IF(EO82="Y",EO79,MAX(0,EO79-EO80))</f>
        <v>1074</v>
      </c>
      <c r="EP83" s="2561"/>
      <c r="EQ83" s="2561"/>
      <c r="ER83" s="2561"/>
      <c r="ES83" s="2561"/>
      <c r="ET83" s="2561"/>
      <c r="EU83" s="2561"/>
      <c r="EV83" s="2561"/>
      <c r="EW83" s="2561"/>
      <c r="EX83" s="2561">
        <f>IF(EX82="Y",EX79,MAX(0,EX79-EX80))</f>
        <v>3620</v>
      </c>
      <c r="EY83" s="2561"/>
      <c r="EZ83" s="2561"/>
      <c r="FA83" s="2561"/>
      <c r="FB83" s="2561"/>
      <c r="FC83" s="2561"/>
      <c r="FD83" s="2561"/>
      <c r="FE83" s="2561"/>
      <c r="FF83" s="2561"/>
      <c r="FG83" s="2561"/>
      <c r="FH83" s="2561"/>
      <c r="FI83" s="2561"/>
      <c r="FJ83" s="2561"/>
      <c r="FK83" s="2561"/>
      <c r="FL83" s="2561"/>
      <c r="FM83" s="2561"/>
      <c r="FN83" s="2561"/>
      <c r="FO83" s="2561"/>
      <c r="FP83" s="2561"/>
      <c r="FQ83" s="2561"/>
      <c r="FR83" s="2561"/>
      <c r="FS83" s="2561"/>
      <c r="FT83" s="2561"/>
      <c r="FU83" s="2561"/>
      <c r="FV83" s="2561"/>
      <c r="FW83" s="2561"/>
      <c r="FX83" s="2561"/>
      <c r="FY83" s="2561"/>
      <c r="FZ83" s="2561"/>
      <c r="GA83" s="2561"/>
      <c r="GB83" s="2561"/>
      <c r="GC83" s="2561"/>
      <c r="GD83" s="2561"/>
      <c r="GE83" s="2561"/>
      <c r="GF83" s="2561"/>
      <c r="GG83" s="2561"/>
      <c r="GH83" s="2561"/>
      <c r="GI83" s="2561"/>
      <c r="GJ83" s="2561"/>
      <c r="GK83" s="2561"/>
      <c r="GL83" s="2561"/>
      <c r="GM83" s="2561"/>
      <c r="GN83" s="2561"/>
      <c r="GO83" s="2561"/>
      <c r="GP83" s="2561"/>
      <c r="GQ83" s="2561"/>
      <c r="GR83" s="2561"/>
      <c r="GS83" s="2561"/>
      <c r="GT83" s="2561"/>
      <c r="GU83" s="2561"/>
      <c r="GV83" s="2561"/>
      <c r="GW83" s="2561"/>
      <c r="GX83" s="2561"/>
      <c r="GY83" s="2561"/>
      <c r="GZ83" s="2561"/>
      <c r="HA83" s="2561"/>
      <c r="HB83" s="2561"/>
      <c r="HC83" s="2561"/>
      <c r="HD83" s="2561"/>
      <c r="HE83" s="2561"/>
      <c r="HF83" s="2561"/>
      <c r="HG83" s="2561"/>
      <c r="HH83" s="2561"/>
      <c r="HI83" s="2561"/>
      <c r="HJ83" s="2561"/>
      <c r="HK83" s="2561"/>
      <c r="HL83" s="2561"/>
      <c r="HM83" s="2561"/>
      <c r="HN83" s="2561"/>
      <c r="HO83" s="2561"/>
      <c r="HP83" s="2561">
        <f>IF(HP82="Y",HP79,MAX(0,HP79-HP80))</f>
        <v>3620</v>
      </c>
      <c r="HQ83" s="2561"/>
      <c r="HR83" s="2561"/>
      <c r="HS83" s="2561"/>
      <c r="HT83" s="2561"/>
      <c r="HU83" s="2561"/>
      <c r="HV83" s="2561"/>
      <c r="HW83" s="2561"/>
      <c r="HX83" s="2561"/>
      <c r="HY83" s="2561"/>
      <c r="HZ83" s="2561"/>
      <c r="IA83" s="2561"/>
      <c r="IB83" s="2561"/>
      <c r="IC83" s="2561"/>
      <c r="ID83" s="2561"/>
      <c r="IE83" s="2561"/>
      <c r="IF83" s="2561"/>
      <c r="IG83" s="2561"/>
      <c r="IH83" s="2561"/>
      <c r="II83" s="2561"/>
      <c r="IJ83" s="2561"/>
      <c r="IK83" s="2561"/>
      <c r="IL83" s="2561"/>
      <c r="IM83" s="2561"/>
      <c r="IN83" s="2561"/>
      <c r="IO83" s="2561"/>
      <c r="IP83" s="2561"/>
      <c r="IQ83" s="2561"/>
      <c r="IR83" s="2561"/>
      <c r="IS83" s="2561"/>
      <c r="IT83" s="2561"/>
      <c r="IU83" s="2561"/>
      <c r="IV83" s="2561"/>
      <c r="IW83" s="2561"/>
      <c r="IX83" s="2561"/>
      <c r="IY83" s="2561"/>
      <c r="IZ83" s="2561"/>
      <c r="JA83" s="2561"/>
      <c r="JB83" s="2561"/>
      <c r="JC83" s="2561"/>
      <c r="JD83" s="2561"/>
      <c r="JE83" s="2561"/>
      <c r="JF83" s="2561"/>
      <c r="JG83" s="2561"/>
      <c r="JH83" s="2561"/>
      <c r="JI83" s="2561"/>
      <c r="JJ83" s="2561"/>
      <c r="JK83" s="2561"/>
      <c r="JL83" s="2561"/>
      <c r="JM83" s="2561"/>
      <c r="JN83" s="2561"/>
      <c r="JO83" s="2561"/>
      <c r="JP83" s="2561"/>
      <c r="JQ83" s="2561"/>
      <c r="JR83" s="351"/>
    </row>
    <row r="84" spans="1:278" x14ac:dyDescent="0.25">
      <c r="A84" s="1367">
        <v>84</v>
      </c>
      <c r="B84" s="1411" t="str">
        <f t="shared" si="11"/>
        <v/>
      </c>
      <c r="C84" s="1435" t="s">
        <v>3969</v>
      </c>
      <c r="D84" s="1361" t="s">
        <v>3970</v>
      </c>
      <c r="E84" s="1641"/>
      <c r="F84" s="1641"/>
      <c r="G84" s="1641"/>
      <c r="H84" s="1641"/>
      <c r="I84" s="1641"/>
      <c r="J84" s="1641"/>
      <c r="K84" s="1641"/>
      <c r="L84" s="1641"/>
      <c r="M84" s="1641"/>
      <c r="N84" s="1641"/>
      <c r="O84" s="1641"/>
      <c r="P84" s="1641"/>
      <c r="Q84" s="1641"/>
      <c r="R84" s="1641"/>
      <c r="S84" s="1641"/>
      <c r="T84" s="1641"/>
      <c r="U84" s="1641"/>
      <c r="V84" s="1641"/>
      <c r="W84" s="1641"/>
      <c r="X84" s="1641"/>
      <c r="Y84" s="1641"/>
      <c r="Z84" s="1641"/>
      <c r="AA84" s="1641"/>
      <c r="AB84" s="1641"/>
      <c r="AC84" s="1641"/>
      <c r="AD84" s="1641"/>
      <c r="AE84" s="1641"/>
      <c r="AF84" s="1641"/>
      <c r="AG84" s="1641"/>
      <c r="AH84" s="1641"/>
      <c r="AI84" s="1641"/>
      <c r="AJ84" s="1641"/>
      <c r="AK84" s="1641"/>
      <c r="AL84" s="1641"/>
      <c r="AM84" s="1641"/>
      <c r="AN84" s="1641"/>
      <c r="AO84" s="1641"/>
      <c r="AP84" s="1641"/>
      <c r="AQ84" s="1641"/>
      <c r="AR84" s="1641"/>
      <c r="AS84" s="1641"/>
      <c r="AT84" s="1641"/>
      <c r="AU84" s="1641"/>
      <c r="AV84" s="1641"/>
      <c r="AW84" s="1641"/>
      <c r="AX84" s="1641"/>
      <c r="AY84" s="1641"/>
      <c r="AZ84" s="1641"/>
      <c r="BA84" s="1641"/>
      <c r="BB84" s="1641"/>
      <c r="BC84" s="1641"/>
      <c r="BD84" s="1641"/>
      <c r="BE84" s="1641"/>
      <c r="BF84" s="1641"/>
      <c r="BG84" s="1641"/>
      <c r="BH84" s="1641"/>
      <c r="BI84" s="1641"/>
      <c r="BJ84" s="1641"/>
      <c r="BK84" s="1641"/>
      <c r="BL84" s="1641"/>
      <c r="BM84" s="1641"/>
      <c r="BN84" s="1641"/>
      <c r="BO84" s="1641"/>
      <c r="BP84" s="1641"/>
      <c r="BQ84" s="1641"/>
      <c r="BR84" s="1641"/>
      <c r="BS84" s="1641"/>
      <c r="BT84" s="1641"/>
      <c r="BU84" s="1641"/>
      <c r="BV84" s="1641"/>
      <c r="BW84" s="1641"/>
      <c r="BX84" s="1641"/>
      <c r="BY84" s="1641"/>
      <c r="BZ84" s="1641"/>
      <c r="CA84" s="1641"/>
      <c r="CB84" s="1641"/>
      <c r="CC84" s="1641"/>
      <c r="CD84" s="1641"/>
      <c r="CE84" s="1641"/>
      <c r="CF84" s="1641"/>
      <c r="CG84" s="1641"/>
      <c r="CH84" s="1641"/>
      <c r="CI84" s="1641"/>
      <c r="CJ84" s="1641"/>
      <c r="CK84" s="1641"/>
      <c r="CL84" s="1641"/>
      <c r="CM84" s="1641"/>
      <c r="CN84" s="1641"/>
      <c r="CO84" s="1641"/>
      <c r="CP84" s="1641"/>
      <c r="CQ84" s="1641"/>
      <c r="CR84" s="1641"/>
      <c r="CS84" s="1641"/>
      <c r="CT84" s="1641"/>
      <c r="CU84" s="1641"/>
      <c r="CV84" s="1641"/>
      <c r="CW84" s="1641"/>
      <c r="CX84" s="1641"/>
      <c r="CY84" s="1641"/>
      <c r="CZ84" s="1641"/>
      <c r="DA84" s="1641"/>
      <c r="DB84" s="1641"/>
      <c r="DC84" s="1641"/>
      <c r="DD84" s="1641"/>
      <c r="DE84" s="1641"/>
      <c r="DF84" s="1641"/>
      <c r="DG84" s="1641"/>
      <c r="DH84" s="1641"/>
      <c r="DI84" s="1641"/>
      <c r="DJ84" s="1641"/>
      <c r="DK84" s="1641"/>
      <c r="DL84" s="1641"/>
      <c r="DM84" s="1641"/>
      <c r="DN84" s="1641"/>
      <c r="DO84" s="1641"/>
      <c r="DP84" s="1641"/>
      <c r="DQ84" s="1641"/>
      <c r="DR84" s="1641"/>
      <c r="DS84" s="1641"/>
      <c r="DT84" s="1641"/>
      <c r="DU84" s="1641"/>
      <c r="DV84" s="1641"/>
      <c r="DW84" s="1641"/>
      <c r="DX84" s="1641"/>
      <c r="DY84" s="1641"/>
      <c r="DZ84" s="1641"/>
      <c r="EA84" s="1641"/>
      <c r="EB84" s="1641"/>
      <c r="EC84" s="1641"/>
      <c r="ED84" s="1641"/>
      <c r="EE84" s="1641"/>
      <c r="EF84" s="1641"/>
      <c r="EG84" s="1641"/>
      <c r="EH84" s="1641"/>
      <c r="EI84" s="1641"/>
      <c r="EJ84" s="1641"/>
      <c r="EK84" s="1641"/>
      <c r="EL84" s="1641"/>
      <c r="EM84" s="1641"/>
      <c r="EN84" s="1641"/>
      <c r="EO84" s="1641"/>
      <c r="EP84" s="1641"/>
      <c r="EQ84" s="1641"/>
      <c r="ER84" s="1641"/>
      <c r="ES84" s="1641"/>
      <c r="ET84" s="1641"/>
      <c r="EU84" s="1641"/>
      <c r="EV84" s="1641"/>
      <c r="EW84" s="1641"/>
      <c r="EX84" s="1641"/>
      <c r="EY84" s="1641"/>
      <c r="EZ84" s="1641"/>
      <c r="FA84" s="1641"/>
      <c r="FB84" s="1641"/>
      <c r="FC84" s="1641"/>
      <c r="FD84" s="1641"/>
      <c r="FE84" s="1641"/>
      <c r="FF84" s="1641"/>
      <c r="FG84" s="1641"/>
      <c r="FH84" s="1641"/>
      <c r="FI84" s="1641"/>
      <c r="FJ84" s="1641"/>
      <c r="FK84" s="1641"/>
      <c r="FL84" s="1641"/>
      <c r="FM84" s="1641"/>
      <c r="FN84" s="1641"/>
      <c r="FO84" s="1641"/>
      <c r="FP84" s="1641"/>
      <c r="FQ84" s="1641"/>
      <c r="FR84" s="1641"/>
      <c r="FS84" s="1641"/>
      <c r="FT84" s="1641"/>
      <c r="FU84" s="1641"/>
      <c r="FV84" s="1641"/>
      <c r="FW84" s="1641"/>
      <c r="FX84" s="1641"/>
      <c r="FY84" s="1641"/>
      <c r="FZ84" s="1641"/>
      <c r="GA84" s="1641"/>
      <c r="GB84" s="1641"/>
      <c r="GC84" s="1641"/>
      <c r="GD84" s="1641"/>
      <c r="GE84" s="1641"/>
      <c r="GF84" s="1641"/>
      <c r="GG84" s="1641"/>
      <c r="GH84" s="1641"/>
      <c r="GI84" s="1641"/>
      <c r="GJ84" s="1641"/>
      <c r="GK84" s="1641"/>
      <c r="GL84" s="1641"/>
      <c r="GM84" s="1641"/>
      <c r="GN84" s="1641"/>
      <c r="GO84" s="1641"/>
      <c r="GP84" s="1641"/>
      <c r="GQ84" s="1641"/>
      <c r="GR84" s="1641"/>
      <c r="GS84" s="1641"/>
      <c r="GT84" s="1641"/>
      <c r="GU84" s="1641"/>
      <c r="GV84" s="1641"/>
      <c r="GW84" s="1641"/>
      <c r="GX84" s="1641"/>
      <c r="GY84" s="1641"/>
      <c r="GZ84" s="1641"/>
      <c r="HA84" s="1641"/>
      <c r="HB84" s="1641"/>
      <c r="HC84" s="1641"/>
      <c r="HD84" s="1641"/>
      <c r="HE84" s="1641"/>
      <c r="HF84" s="1641"/>
      <c r="HG84" s="1641"/>
      <c r="HH84" s="1641"/>
      <c r="HI84" s="1641"/>
      <c r="HJ84" s="1641"/>
      <c r="HK84" s="1641"/>
      <c r="HL84" s="1641"/>
      <c r="HM84" s="1641"/>
      <c r="HN84" s="1641"/>
      <c r="HO84" s="1641"/>
      <c r="HP84" s="1641"/>
      <c r="HQ84" s="1641"/>
      <c r="HR84" s="1641"/>
      <c r="HS84" s="1641"/>
      <c r="HT84" s="1641"/>
      <c r="HU84" s="1641"/>
      <c r="HV84" s="1641"/>
      <c r="HW84" s="1641"/>
      <c r="HX84" s="1641"/>
      <c r="HY84" s="1641"/>
      <c r="HZ84" s="1641"/>
      <c r="IA84" s="1641"/>
      <c r="IB84" s="1641"/>
      <c r="IC84" s="1641"/>
      <c r="ID84" s="1641"/>
      <c r="IE84" s="1641"/>
      <c r="IF84" s="1641"/>
      <c r="IG84" s="1641"/>
      <c r="IH84" s="1641"/>
      <c r="II84" s="1641"/>
      <c r="IJ84" s="1641"/>
      <c r="IK84" s="1641"/>
      <c r="IL84" s="1641"/>
      <c r="IM84" s="1641"/>
      <c r="IN84" s="1641"/>
      <c r="IO84" s="1641"/>
      <c r="IP84" s="1642"/>
      <c r="IQ84" s="1642"/>
      <c r="IR84" s="1642"/>
      <c r="IS84" s="1642"/>
      <c r="IT84" s="1642"/>
      <c r="IU84" s="1642"/>
      <c r="IV84" s="1642"/>
      <c r="IW84" s="1642"/>
      <c r="IX84" s="1641"/>
      <c r="IY84" s="1641"/>
      <c r="IZ84" s="1641"/>
      <c r="JA84" s="1641"/>
      <c r="JB84" s="1641"/>
      <c r="JC84" s="1641"/>
      <c r="JD84" s="1641"/>
      <c r="JE84" s="1641"/>
      <c r="JF84" s="1641"/>
      <c r="JG84" s="1641"/>
      <c r="JH84" s="1642"/>
      <c r="JI84" s="1642"/>
      <c r="JJ84" s="1642"/>
      <c r="JK84" s="1642"/>
      <c r="JL84" s="1642"/>
      <c r="JM84" s="1642"/>
      <c r="JN84" s="1642"/>
      <c r="JO84" s="1642"/>
      <c r="JP84" s="1642"/>
      <c r="JQ84" s="1643"/>
      <c r="JR84" s="351"/>
    </row>
    <row r="85" spans="1:278" x14ac:dyDescent="0.25">
      <c r="A85" s="1367">
        <v>85</v>
      </c>
      <c r="B85" s="1411" t="str">
        <f t="shared" si="11"/>
        <v/>
      </c>
      <c r="C85" s="1435" t="s">
        <v>3971</v>
      </c>
      <c r="D85" s="1361" t="s">
        <v>3970</v>
      </c>
      <c r="E85" s="2561"/>
      <c r="F85" s="2561"/>
      <c r="G85" s="2561"/>
      <c r="H85" s="2561"/>
      <c r="I85" s="2561"/>
      <c r="J85" s="2561"/>
      <c r="K85" s="2561"/>
      <c r="L85" s="2561"/>
      <c r="M85" s="2561"/>
      <c r="N85" s="2561"/>
      <c r="O85" s="2561"/>
      <c r="P85" s="2561"/>
      <c r="Q85" s="2561"/>
      <c r="R85" s="2561"/>
      <c r="S85" s="2561"/>
      <c r="T85" s="2561"/>
      <c r="U85" s="2561"/>
      <c r="V85" s="2561"/>
      <c r="W85" s="2561"/>
      <c r="X85" s="2561"/>
      <c r="Y85" s="2561"/>
      <c r="Z85" s="2561"/>
      <c r="AA85" s="2561"/>
      <c r="AB85" s="2561"/>
      <c r="AC85" s="2561"/>
      <c r="AD85" s="2561"/>
      <c r="AE85" s="2561"/>
      <c r="AF85" s="2561"/>
      <c r="AG85" s="2561"/>
      <c r="AH85" s="2561"/>
      <c r="AI85" s="2561"/>
      <c r="AJ85" s="2561"/>
      <c r="AK85" s="2561"/>
      <c r="AL85" s="2561"/>
      <c r="AM85" s="2561"/>
      <c r="AN85" s="2561"/>
      <c r="AO85" s="2561"/>
      <c r="AP85" s="2561"/>
      <c r="AQ85" s="2561"/>
      <c r="AR85" s="2561"/>
      <c r="AS85" s="2561"/>
      <c r="AT85" s="2561"/>
      <c r="AU85" s="2561"/>
      <c r="AV85" s="2561"/>
      <c r="AW85" s="2561"/>
      <c r="AX85" s="2561"/>
      <c r="AY85" s="2561"/>
      <c r="AZ85" s="2561"/>
      <c r="BA85" s="2561"/>
      <c r="BB85" s="2561"/>
      <c r="BC85" s="2561"/>
      <c r="BD85" s="2561"/>
      <c r="BE85" s="2561"/>
      <c r="BF85" s="2561"/>
      <c r="BG85" s="2561"/>
      <c r="BH85" s="2561"/>
      <c r="BI85" s="2561"/>
      <c r="BJ85" s="2561"/>
      <c r="BK85" s="2561"/>
      <c r="BL85" s="2561"/>
      <c r="BM85" s="2561"/>
      <c r="BN85" s="2561"/>
      <c r="BO85" s="2561"/>
      <c r="BP85" s="2561"/>
      <c r="BQ85" s="2561"/>
      <c r="BR85" s="2561"/>
      <c r="BS85" s="2561"/>
      <c r="BT85" s="2561"/>
      <c r="BU85" s="2561"/>
      <c r="BV85" s="2561"/>
      <c r="BW85" s="2561"/>
      <c r="BX85" s="2561"/>
      <c r="BY85" s="2561"/>
      <c r="BZ85" s="2561"/>
      <c r="CA85" s="2561"/>
      <c r="CB85" s="2561"/>
      <c r="CC85" s="2561"/>
      <c r="CD85" s="2561"/>
      <c r="CE85" s="2561"/>
      <c r="CF85" s="2561"/>
      <c r="CG85" s="2561"/>
      <c r="CH85" s="2561"/>
      <c r="CI85" s="2561"/>
      <c r="CJ85" s="1636"/>
      <c r="CK85" s="2561"/>
      <c r="CL85" s="2561"/>
      <c r="CM85" s="2561"/>
      <c r="CN85" s="2561"/>
      <c r="CO85" s="2561"/>
      <c r="CP85" s="2561"/>
      <c r="CQ85" s="2561"/>
      <c r="CR85" s="2561"/>
      <c r="CS85" s="2561"/>
      <c r="CT85" s="2561"/>
      <c r="CU85" s="2561"/>
      <c r="CV85" s="2561"/>
      <c r="CW85" s="2561"/>
      <c r="CX85" s="2561"/>
      <c r="CY85" s="2561"/>
      <c r="CZ85" s="2561"/>
      <c r="DA85" s="2561"/>
      <c r="DB85" s="2561"/>
      <c r="DC85" s="2561"/>
      <c r="DD85" s="2561"/>
      <c r="DE85" s="2561"/>
      <c r="DF85" s="2561"/>
      <c r="DG85" s="2561"/>
      <c r="DH85" s="2561"/>
      <c r="DI85" s="2561"/>
      <c r="DJ85" s="2561"/>
      <c r="DK85" s="2561"/>
      <c r="DL85" s="2561"/>
      <c r="DM85" s="2561">
        <f>DM83</f>
        <v>1074</v>
      </c>
      <c r="DN85" s="2561"/>
      <c r="DO85" s="2561"/>
      <c r="DP85" s="2561"/>
      <c r="DQ85" s="2561"/>
      <c r="DR85" s="2561"/>
      <c r="DS85" s="2561"/>
      <c r="DT85" s="2561"/>
      <c r="DU85" s="2561"/>
      <c r="DV85" s="2561"/>
      <c r="DW85" s="2561"/>
      <c r="DX85" s="2561"/>
      <c r="DY85" s="2561"/>
      <c r="DZ85" s="2561"/>
      <c r="EA85" s="2561"/>
      <c r="EB85" s="2561"/>
      <c r="EC85" s="2561"/>
      <c r="ED85" s="2561"/>
      <c r="EE85" s="2561"/>
      <c r="EF85" s="2561"/>
      <c r="EG85" s="2561"/>
      <c r="EH85" s="2561"/>
      <c r="EI85" s="2561"/>
      <c r="EJ85" s="2561"/>
      <c r="EK85" s="2561"/>
      <c r="EL85" s="2561"/>
      <c r="EM85" s="2561"/>
      <c r="EN85" s="2561"/>
      <c r="EO85" s="2561">
        <f>EO83</f>
        <v>1074</v>
      </c>
      <c r="EP85" s="2561"/>
      <c r="EQ85" s="2561"/>
      <c r="ER85" s="2561"/>
      <c r="ES85" s="2561"/>
      <c r="ET85" s="2561"/>
      <c r="EU85" s="2561"/>
      <c r="EV85" s="2561"/>
      <c r="EW85" s="2561"/>
      <c r="EX85" s="2561">
        <f>EX83</f>
        <v>3620</v>
      </c>
      <c r="EY85" s="2561"/>
      <c r="EZ85" s="2561"/>
      <c r="FA85" s="2561"/>
      <c r="FB85" s="2561"/>
      <c r="FC85" s="2561"/>
      <c r="FD85" s="2561"/>
      <c r="FE85" s="2561"/>
      <c r="FF85" s="2561"/>
      <c r="FG85" s="2561"/>
      <c r="FH85" s="2561"/>
      <c r="FI85" s="2561"/>
      <c r="FJ85" s="2561"/>
      <c r="FK85" s="2561"/>
      <c r="FL85" s="2561"/>
      <c r="FM85" s="2561"/>
      <c r="FN85" s="2561"/>
      <c r="FO85" s="2561"/>
      <c r="FP85" s="2561"/>
      <c r="FQ85" s="2561"/>
      <c r="FR85" s="2561"/>
      <c r="FS85" s="2561"/>
      <c r="FT85" s="2561"/>
      <c r="FU85" s="2561"/>
      <c r="FV85" s="2561"/>
      <c r="FW85" s="2561"/>
      <c r="FX85" s="2561"/>
      <c r="FY85" s="2561"/>
      <c r="FZ85" s="2561"/>
      <c r="GA85" s="2561"/>
      <c r="GB85" s="2561"/>
      <c r="GC85" s="2561"/>
      <c r="GD85" s="2561"/>
      <c r="GE85" s="2561"/>
      <c r="GF85" s="2561"/>
      <c r="GG85" s="2561"/>
      <c r="GH85" s="2561"/>
      <c r="GI85" s="2561"/>
      <c r="GJ85" s="2561"/>
      <c r="GK85" s="2561"/>
      <c r="GL85" s="2561"/>
      <c r="GM85" s="2561"/>
      <c r="GN85" s="2561"/>
      <c r="GO85" s="2561"/>
      <c r="GP85" s="2561"/>
      <c r="GQ85" s="2561"/>
      <c r="GR85" s="2561"/>
      <c r="GS85" s="2561"/>
      <c r="GT85" s="2561"/>
      <c r="GU85" s="2561"/>
      <c r="GV85" s="2561"/>
      <c r="GW85" s="2561"/>
      <c r="GX85" s="2561"/>
      <c r="GY85" s="2561"/>
      <c r="GZ85" s="2561"/>
      <c r="HA85" s="2561"/>
      <c r="HB85" s="2561"/>
      <c r="HC85" s="2561"/>
      <c r="HD85" s="2561"/>
      <c r="HE85" s="2561"/>
      <c r="HF85" s="2561"/>
      <c r="HG85" s="2561"/>
      <c r="HH85" s="2561"/>
      <c r="HI85" s="2561"/>
      <c r="HJ85" s="2561"/>
      <c r="HK85" s="2561"/>
      <c r="HL85" s="2561"/>
      <c r="HM85" s="2561"/>
      <c r="HN85" s="2561"/>
      <c r="HO85" s="2561"/>
      <c r="HP85" s="2561">
        <f>HP83</f>
        <v>3620</v>
      </c>
      <c r="HQ85" s="2561"/>
      <c r="HR85" s="2561"/>
      <c r="HS85" s="2561"/>
      <c r="HT85" s="2561"/>
      <c r="HU85" s="2561"/>
      <c r="HV85" s="2561"/>
      <c r="HW85" s="2561"/>
      <c r="HX85" s="2561"/>
      <c r="HY85" s="2561"/>
      <c r="HZ85" s="2561"/>
      <c r="IA85" s="2561"/>
      <c r="IB85" s="2561"/>
      <c r="IC85" s="2561"/>
      <c r="ID85" s="2561"/>
      <c r="IE85" s="2561"/>
      <c r="IF85" s="2561"/>
      <c r="IG85" s="2561"/>
      <c r="IH85" s="2561"/>
      <c r="II85" s="2561"/>
      <c r="IJ85" s="2561"/>
      <c r="IK85" s="2561"/>
      <c r="IL85" s="2561"/>
      <c r="IM85" s="2561"/>
      <c r="IN85" s="2561"/>
      <c r="IO85" s="2561"/>
      <c r="IP85" s="2561"/>
      <c r="IQ85" s="2561"/>
      <c r="IR85" s="2561"/>
      <c r="IS85" s="2561"/>
      <c r="IT85" s="2561"/>
      <c r="IU85" s="2561"/>
      <c r="IV85" s="2561"/>
      <c r="IW85" s="2561"/>
      <c r="IX85" s="2561"/>
      <c r="IY85" s="2561"/>
      <c r="IZ85" s="2561"/>
      <c r="JA85" s="2561"/>
      <c r="JB85" s="2561"/>
      <c r="JC85" s="2561"/>
      <c r="JD85" s="2561"/>
      <c r="JE85" s="2561"/>
      <c r="JF85" s="2561"/>
      <c r="JG85" s="2561"/>
      <c r="JH85" s="2561"/>
      <c r="JI85" s="2561"/>
      <c r="JJ85" s="2561"/>
      <c r="JK85" s="2561"/>
      <c r="JL85" s="2561"/>
      <c r="JM85" s="2561"/>
      <c r="JN85" s="2561"/>
      <c r="JO85" s="2561"/>
      <c r="JP85" s="2561"/>
      <c r="JQ85" s="2561"/>
      <c r="JR85" s="351"/>
    </row>
    <row r="86" spans="1:278" x14ac:dyDescent="0.25">
      <c r="A86" s="1367">
        <v>86</v>
      </c>
      <c r="B86" s="1411" t="str">
        <f t="shared" si="11"/>
        <v/>
      </c>
      <c r="C86" s="1644" t="s">
        <v>3972</v>
      </c>
      <c r="D86" s="1645" t="s">
        <v>3890</v>
      </c>
      <c r="E86" s="1641"/>
      <c r="F86" s="1641"/>
      <c r="G86" s="1641"/>
      <c r="H86" s="1641"/>
      <c r="I86" s="1641"/>
      <c r="J86" s="1641"/>
      <c r="K86" s="1641"/>
      <c r="L86" s="1641"/>
      <c r="M86" s="1641"/>
      <c r="N86" s="1641"/>
      <c r="O86" s="1641"/>
      <c r="P86" s="1641"/>
      <c r="Q86" s="1641"/>
      <c r="R86" s="1641"/>
      <c r="S86" s="1641"/>
      <c r="T86" s="1641"/>
      <c r="U86" s="1641"/>
      <c r="V86" s="1641"/>
      <c r="W86" s="1641"/>
      <c r="X86" s="1641"/>
      <c r="Y86" s="1641"/>
      <c r="Z86" s="1641"/>
      <c r="AA86" s="1641"/>
      <c r="AB86" s="1641"/>
      <c r="AC86" s="1641"/>
      <c r="AD86" s="1641"/>
      <c r="AE86" s="1641"/>
      <c r="AF86" s="1641"/>
      <c r="AG86" s="1641"/>
      <c r="AH86" s="1641"/>
      <c r="AI86" s="1641"/>
      <c r="AJ86" s="1641"/>
      <c r="AK86" s="1641"/>
      <c r="AL86" s="1641"/>
      <c r="AM86" s="1641"/>
      <c r="AN86" s="1641"/>
      <c r="AO86" s="1641"/>
      <c r="AP86" s="1641"/>
      <c r="AQ86" s="1641"/>
      <c r="AR86" s="1641"/>
      <c r="AS86" s="1641"/>
      <c r="AT86" s="1641"/>
      <c r="AU86" s="1641"/>
      <c r="AV86" s="1641"/>
      <c r="AW86" s="1641"/>
      <c r="AX86" s="1641"/>
      <c r="AY86" s="1641"/>
      <c r="AZ86" s="1641"/>
      <c r="BA86" s="1641"/>
      <c r="BB86" s="1641"/>
      <c r="BC86" s="1641"/>
      <c r="BD86" s="1641"/>
      <c r="BE86" s="1641"/>
      <c r="BF86" s="1641"/>
      <c r="BG86" s="1641"/>
      <c r="BH86" s="1641"/>
      <c r="BI86" s="1641"/>
      <c r="BJ86" s="1641"/>
      <c r="BK86" s="1641"/>
      <c r="BL86" s="1641"/>
      <c r="BM86" s="1641"/>
      <c r="BN86" s="1641"/>
      <c r="BO86" s="1641"/>
      <c r="BP86" s="1641"/>
      <c r="BQ86" s="1641"/>
      <c r="BR86" s="1641"/>
      <c r="BS86" s="1641"/>
      <c r="BT86" s="1641"/>
      <c r="BU86" s="1641"/>
      <c r="BV86" s="1641"/>
      <c r="BW86" s="1641"/>
      <c r="BX86" s="1641"/>
      <c r="BY86" s="1641"/>
      <c r="BZ86" s="1641"/>
      <c r="CA86" s="1641"/>
      <c r="CB86" s="1641"/>
      <c r="CC86" s="1641"/>
      <c r="CD86" s="1641"/>
      <c r="CE86" s="1641"/>
      <c r="CF86" s="1641"/>
      <c r="CG86" s="1641"/>
      <c r="CH86" s="1641"/>
      <c r="CI86" s="1641"/>
      <c r="CJ86" s="1641"/>
      <c r="CK86" s="1641"/>
      <c r="CL86" s="1641"/>
      <c r="CM86" s="1641"/>
      <c r="CN86" s="1641"/>
      <c r="CO86" s="1641"/>
      <c r="CP86" s="1641"/>
      <c r="CQ86" s="1641"/>
      <c r="CR86" s="1641"/>
      <c r="CS86" s="1641"/>
      <c r="CT86" s="1641"/>
      <c r="CU86" s="1641"/>
      <c r="CV86" s="1641"/>
      <c r="CW86" s="1641"/>
      <c r="CX86" s="1641"/>
      <c r="CY86" s="1641"/>
      <c r="CZ86" s="1641"/>
      <c r="DA86" s="1641"/>
      <c r="DB86" s="1641"/>
      <c r="DC86" s="1641"/>
      <c r="DD86" s="1641"/>
      <c r="DE86" s="1641"/>
      <c r="DF86" s="1641"/>
      <c r="DG86" s="1641"/>
      <c r="DH86" s="1641"/>
      <c r="DI86" s="1641"/>
      <c r="DJ86" s="1641"/>
      <c r="DK86" s="1641"/>
      <c r="DL86" s="1641"/>
      <c r="DM86" s="1641"/>
      <c r="DN86" s="1641"/>
      <c r="DO86" s="1641"/>
      <c r="DP86" s="1641"/>
      <c r="DQ86" s="1641"/>
      <c r="DR86" s="1641"/>
      <c r="DS86" s="1641"/>
      <c r="DT86" s="1641"/>
      <c r="DU86" s="1641"/>
      <c r="DV86" s="1641"/>
      <c r="DW86" s="1641"/>
      <c r="DX86" s="1641"/>
      <c r="DY86" s="1641"/>
      <c r="DZ86" s="1641"/>
      <c r="EA86" s="1641"/>
      <c r="EB86" s="1641"/>
      <c r="EC86" s="1641"/>
      <c r="ED86" s="1641"/>
      <c r="EE86" s="1641"/>
      <c r="EF86" s="1641"/>
      <c r="EG86" s="1641"/>
      <c r="EH86" s="1641"/>
      <c r="EI86" s="1641"/>
      <c r="EJ86" s="1641"/>
      <c r="EK86" s="1641"/>
      <c r="EL86" s="1641"/>
      <c r="EM86" s="1641"/>
      <c r="EN86" s="1641"/>
      <c r="EO86" s="1641"/>
      <c r="EP86" s="1641"/>
      <c r="EQ86" s="1641"/>
      <c r="ER86" s="1641"/>
      <c r="ES86" s="1641"/>
      <c r="ET86" s="1641"/>
      <c r="EU86" s="1641"/>
      <c r="EV86" s="1641"/>
      <c r="EW86" s="1641"/>
      <c r="EX86" s="1641"/>
      <c r="EY86" s="1641"/>
      <c r="EZ86" s="1641"/>
      <c r="FA86" s="1641"/>
      <c r="FB86" s="1641"/>
      <c r="FC86" s="1641"/>
      <c r="FD86" s="1641"/>
      <c r="FE86" s="1641"/>
      <c r="FF86" s="1641"/>
      <c r="FG86" s="1641"/>
      <c r="FH86" s="1641"/>
      <c r="FI86" s="1641"/>
      <c r="FJ86" s="1641"/>
      <c r="FK86" s="1641"/>
      <c r="FL86" s="1641"/>
      <c r="FM86" s="1641"/>
      <c r="FN86" s="1641"/>
      <c r="FO86" s="1641"/>
      <c r="FP86" s="1641"/>
      <c r="FQ86" s="1641"/>
      <c r="FR86" s="1641"/>
      <c r="FS86" s="1641"/>
      <c r="FT86" s="1641"/>
      <c r="FU86" s="1641"/>
      <c r="FV86" s="1641"/>
      <c r="FW86" s="1641"/>
      <c r="FX86" s="1641"/>
      <c r="FY86" s="1641"/>
      <c r="FZ86" s="1641"/>
      <c r="GA86" s="1641"/>
      <c r="GB86" s="1641"/>
      <c r="GC86" s="1641"/>
      <c r="GD86" s="1641"/>
      <c r="GE86" s="1641"/>
      <c r="GF86" s="1641"/>
      <c r="GG86" s="1641"/>
      <c r="GH86" s="1641"/>
      <c r="GI86" s="1641"/>
      <c r="GJ86" s="1641"/>
      <c r="GK86" s="1641"/>
      <c r="GL86" s="1641"/>
      <c r="GM86" s="1641"/>
      <c r="GN86" s="1641"/>
      <c r="GO86" s="1641"/>
      <c r="GP86" s="1641"/>
      <c r="GQ86" s="1641"/>
      <c r="GR86" s="1641"/>
      <c r="GS86" s="1641"/>
      <c r="GT86" s="1641"/>
      <c r="GU86" s="1641"/>
      <c r="GV86" s="1641"/>
      <c r="GW86" s="1641"/>
      <c r="GX86" s="1641"/>
      <c r="GY86" s="1641"/>
      <c r="GZ86" s="1641"/>
      <c r="HA86" s="1641"/>
      <c r="HB86" s="1641"/>
      <c r="HC86" s="1641"/>
      <c r="HD86" s="1641"/>
      <c r="HE86" s="1641"/>
      <c r="HF86" s="1641"/>
      <c r="HG86" s="1641"/>
      <c r="HH86" s="1641"/>
      <c r="HI86" s="1641"/>
      <c r="HJ86" s="1641"/>
      <c r="HK86" s="1641"/>
      <c r="HL86" s="1641"/>
      <c r="HM86" s="1641"/>
      <c r="HN86" s="1641"/>
      <c r="HO86" s="1641"/>
      <c r="HP86" s="1641"/>
      <c r="HQ86" s="1641"/>
      <c r="HR86" s="1641"/>
      <c r="HS86" s="1641"/>
      <c r="HT86" s="1641"/>
      <c r="HU86" s="1641"/>
      <c r="HV86" s="1641"/>
      <c r="HW86" s="1641"/>
      <c r="HX86" s="1641"/>
      <c r="HY86" s="1641"/>
      <c r="HZ86" s="1641"/>
      <c r="IA86" s="1641"/>
      <c r="IB86" s="1641"/>
      <c r="IC86" s="1641"/>
      <c r="ID86" s="1641"/>
      <c r="IE86" s="1641"/>
      <c r="IF86" s="1641"/>
      <c r="IG86" s="1641"/>
      <c r="IH86" s="1641"/>
      <c r="II86" s="1641"/>
      <c r="IJ86" s="1641"/>
      <c r="IK86" s="1641"/>
      <c r="IL86" s="1641"/>
      <c r="IM86" s="1641"/>
      <c r="IN86" s="1641"/>
      <c r="IO86" s="1641"/>
      <c r="IP86" s="2563"/>
      <c r="IQ86" s="2563"/>
      <c r="IR86" s="2563"/>
      <c r="IS86" s="2563"/>
      <c r="IT86" s="2563"/>
      <c r="IU86" s="2563"/>
      <c r="IV86" s="2563"/>
      <c r="IW86" s="2563"/>
      <c r="IX86" s="1641"/>
      <c r="IY86" s="1641"/>
      <c r="IZ86" s="1641"/>
      <c r="JA86" s="1641"/>
      <c r="JB86" s="1641"/>
      <c r="JC86" s="1641"/>
      <c r="JD86" s="1641"/>
      <c r="JE86" s="1641"/>
      <c r="JF86" s="1641"/>
      <c r="JG86" s="1641"/>
      <c r="JH86" s="2563"/>
      <c r="JI86" s="2563"/>
      <c r="JJ86" s="2563"/>
      <c r="JK86" s="2563"/>
      <c r="JL86" s="2563"/>
      <c r="JM86" s="2563"/>
      <c r="JN86" s="2563"/>
      <c r="JO86" s="2563"/>
      <c r="JP86" s="2563"/>
      <c r="JQ86" s="1415"/>
      <c r="JR86" s="351"/>
    </row>
    <row r="87" spans="1:278" x14ac:dyDescent="0.25">
      <c r="A87" s="1367">
        <v>87</v>
      </c>
      <c r="B87" s="1411" t="str">
        <f t="shared" si="11"/>
        <v/>
      </c>
      <c r="C87" s="1435" t="s">
        <v>3973</v>
      </c>
      <c r="D87" s="1361" t="s">
        <v>3851</v>
      </c>
      <c r="E87" s="1639"/>
      <c r="F87" s="1639"/>
      <c r="G87" s="1639"/>
      <c r="H87" s="1639"/>
      <c r="I87" s="1639"/>
      <c r="J87" s="1639"/>
      <c r="K87" s="1639"/>
      <c r="L87" s="1639"/>
      <c r="M87" s="1639"/>
      <c r="N87" s="1639"/>
      <c r="O87" s="1639"/>
      <c r="P87" s="1639"/>
      <c r="Q87" s="1639"/>
      <c r="R87" s="1639"/>
      <c r="S87" s="1639"/>
      <c r="T87" s="1639"/>
      <c r="U87" s="1639"/>
      <c r="V87" s="1639"/>
      <c r="W87" s="1639"/>
      <c r="X87" s="1639"/>
      <c r="Y87" s="1639"/>
      <c r="Z87" s="1639"/>
      <c r="AA87" s="1639"/>
      <c r="AB87" s="1639"/>
      <c r="AC87" s="1639"/>
      <c r="AD87" s="1639"/>
      <c r="AE87" s="1639"/>
      <c r="AF87" s="1639"/>
      <c r="AG87" s="1639"/>
      <c r="AH87" s="1639"/>
      <c r="AI87" s="1639"/>
      <c r="AJ87" s="1639"/>
      <c r="AK87" s="1639"/>
      <c r="AL87" s="1639"/>
      <c r="AM87" s="1639"/>
      <c r="AN87" s="1639"/>
      <c r="AO87" s="1639"/>
      <c r="AP87" s="1639"/>
      <c r="AQ87" s="1639"/>
      <c r="AR87" s="1639"/>
      <c r="AS87" s="1639"/>
      <c r="AT87" s="1639"/>
      <c r="AU87" s="1639"/>
      <c r="AV87" s="1639"/>
      <c r="AW87" s="1639"/>
      <c r="AX87" s="1639"/>
      <c r="AY87" s="1639"/>
      <c r="AZ87" s="1639"/>
      <c r="BA87" s="1639"/>
      <c r="BB87" s="1639"/>
      <c r="BC87" s="1639"/>
      <c r="BD87" s="1639"/>
      <c r="BE87" s="1639"/>
      <c r="BF87" s="1639"/>
      <c r="BG87" s="1639"/>
      <c r="BH87" s="1639"/>
      <c r="BI87" s="1639"/>
      <c r="BJ87" s="1639"/>
      <c r="BK87" s="1639"/>
      <c r="BL87" s="1639"/>
      <c r="BM87" s="1639"/>
      <c r="BN87" s="1639"/>
      <c r="BO87" s="1639"/>
      <c r="BP87" s="1639"/>
      <c r="BQ87" s="1639"/>
      <c r="BR87" s="1639"/>
      <c r="BS87" s="1639"/>
      <c r="BT87" s="1639"/>
      <c r="BU87" s="1639"/>
      <c r="BV87" s="1639"/>
      <c r="BW87" s="1639"/>
      <c r="BX87" s="1639"/>
      <c r="BY87" s="1639"/>
      <c r="BZ87" s="1639"/>
      <c r="CA87" s="1639"/>
      <c r="CB87" s="1639"/>
      <c r="CC87" s="1639"/>
      <c r="CD87" s="1639"/>
      <c r="CE87" s="1639"/>
      <c r="CF87" s="1639"/>
      <c r="CG87" s="1639"/>
      <c r="CH87" s="1639"/>
      <c r="CI87" s="1639"/>
      <c r="CJ87" s="1638"/>
      <c r="CK87" s="1639"/>
      <c r="CL87" s="1639"/>
      <c r="CM87" s="1639"/>
      <c r="CN87" s="1639"/>
      <c r="CO87" s="1639"/>
      <c r="CP87" s="1639"/>
      <c r="CQ87" s="1639"/>
      <c r="CR87" s="1639"/>
      <c r="CS87" s="1639"/>
      <c r="CT87" s="1639"/>
      <c r="CU87" s="1639"/>
      <c r="CV87" s="1639"/>
      <c r="CW87" s="1639"/>
      <c r="CX87" s="1639"/>
      <c r="CY87" s="1639"/>
      <c r="CZ87" s="1639"/>
      <c r="DA87" s="1639"/>
      <c r="DB87" s="1639"/>
      <c r="DC87" s="1639"/>
      <c r="DD87" s="1639"/>
      <c r="DE87" s="1639"/>
      <c r="DF87" s="1639"/>
      <c r="DG87" s="1639"/>
      <c r="DH87" s="1639"/>
      <c r="DI87" s="1639"/>
      <c r="DJ87" s="1639"/>
      <c r="DK87" s="1639"/>
      <c r="DL87" s="1639"/>
      <c r="DM87" s="1639" t="s">
        <v>3854</v>
      </c>
      <c r="DN87" s="1639"/>
      <c r="DO87" s="1639"/>
      <c r="DP87" s="1639"/>
      <c r="DQ87" s="1639"/>
      <c r="DR87" s="1639"/>
      <c r="DS87" s="1639"/>
      <c r="DT87" s="1639"/>
      <c r="DU87" s="1639"/>
      <c r="DV87" s="1639"/>
      <c r="DW87" s="1639"/>
      <c r="DX87" s="1639"/>
      <c r="DY87" s="1639"/>
      <c r="DZ87" s="1639"/>
      <c r="EA87" s="1639"/>
      <c r="EB87" s="1639"/>
      <c r="EC87" s="1639"/>
      <c r="ED87" s="1639"/>
      <c r="EE87" s="1639"/>
      <c r="EF87" s="1639"/>
      <c r="EG87" s="1639"/>
      <c r="EH87" s="1639"/>
      <c r="EI87" s="1639"/>
      <c r="EJ87" s="1639"/>
      <c r="EK87" s="1639"/>
      <c r="EL87" s="1639"/>
      <c r="EM87" s="1639"/>
      <c r="EN87" s="1639"/>
      <c r="EO87" s="1639" t="s">
        <v>3854</v>
      </c>
      <c r="EP87" s="1639"/>
      <c r="EQ87" s="1639"/>
      <c r="ER87" s="1639"/>
      <c r="ES87" s="1639"/>
      <c r="ET87" s="1639"/>
      <c r="EU87" s="1639"/>
      <c r="EV87" s="1639"/>
      <c r="EW87" s="1639"/>
      <c r="EX87" s="1639"/>
      <c r="EY87" s="1639"/>
      <c r="EZ87" s="1639"/>
      <c r="FA87" s="1639"/>
      <c r="FB87" s="1639"/>
      <c r="FC87" s="1639"/>
      <c r="FD87" s="1639"/>
      <c r="FE87" s="1639"/>
      <c r="FF87" s="1639"/>
      <c r="FG87" s="1639"/>
      <c r="FH87" s="1639"/>
      <c r="FI87" s="1639"/>
      <c r="FJ87" s="1639"/>
      <c r="FK87" s="1639"/>
      <c r="FL87" s="1639"/>
      <c r="FM87" s="1639"/>
      <c r="FN87" s="1639"/>
      <c r="FO87" s="1639"/>
      <c r="FP87" s="1639"/>
      <c r="FQ87" s="1639"/>
      <c r="FR87" s="1639"/>
      <c r="FS87" s="1639"/>
      <c r="FT87" s="1639"/>
      <c r="FU87" s="1639"/>
      <c r="FV87" s="1639"/>
      <c r="FW87" s="1639"/>
      <c r="FX87" s="1639"/>
      <c r="FY87" s="1639"/>
      <c r="FZ87" s="1639"/>
      <c r="GA87" s="1639"/>
      <c r="GB87" s="1639"/>
      <c r="GC87" s="1639"/>
      <c r="GD87" s="1639"/>
      <c r="GE87" s="1639"/>
      <c r="GF87" s="1639"/>
      <c r="GG87" s="1639"/>
      <c r="GH87" s="1639"/>
      <c r="GI87" s="1639"/>
      <c r="GJ87" s="1639"/>
      <c r="GK87" s="1639"/>
      <c r="GL87" s="1639"/>
      <c r="GM87" s="1639"/>
      <c r="GN87" s="1639"/>
      <c r="GO87" s="1639"/>
      <c r="GP87" s="1639"/>
      <c r="GQ87" s="1639"/>
      <c r="GR87" s="1639"/>
      <c r="GS87" s="1639"/>
      <c r="GT87" s="1639"/>
      <c r="GU87" s="1639"/>
      <c r="GV87" s="1639"/>
      <c r="GW87" s="1639"/>
      <c r="GX87" s="1639"/>
      <c r="GY87" s="1639"/>
      <c r="GZ87" s="1639"/>
      <c r="HA87" s="1639"/>
      <c r="HB87" s="1639"/>
      <c r="HC87" s="1639"/>
      <c r="HD87" s="1639"/>
      <c r="HE87" s="1639"/>
      <c r="HF87" s="1639"/>
      <c r="HG87" s="1639"/>
      <c r="HH87" s="1639"/>
      <c r="HI87" s="1639"/>
      <c r="HJ87" s="1639"/>
      <c r="HK87" s="1639"/>
      <c r="HL87" s="1639"/>
      <c r="HM87" s="1639"/>
      <c r="HN87" s="1639"/>
      <c r="HO87" s="1639"/>
      <c r="HP87" s="1639"/>
      <c r="HQ87" s="1639"/>
      <c r="HR87" s="1639"/>
      <c r="HS87" s="1639"/>
      <c r="HT87" s="1639"/>
      <c r="HU87" s="1639"/>
      <c r="HV87" s="1639"/>
      <c r="HW87" s="1639"/>
      <c r="HX87" s="1639"/>
      <c r="HY87" s="1639"/>
      <c r="HZ87" s="1639"/>
      <c r="IA87" s="1639"/>
      <c r="IB87" s="1639"/>
      <c r="IC87" s="1639"/>
      <c r="ID87" s="1639"/>
      <c r="IE87" s="1639"/>
      <c r="IF87" s="1639"/>
      <c r="IG87" s="1639"/>
      <c r="IH87" s="1639"/>
      <c r="II87" s="1639"/>
      <c r="IJ87" s="1639"/>
      <c r="IK87" s="1639"/>
      <c r="IL87" s="1639"/>
      <c r="IM87" s="1639"/>
      <c r="IN87" s="1639"/>
      <c r="IO87" s="1639"/>
      <c r="IP87" s="1414"/>
      <c r="IQ87" s="1414"/>
      <c r="IR87" s="1414"/>
      <c r="IS87" s="1414"/>
      <c r="IT87" s="1414"/>
      <c r="IU87" s="1414"/>
      <c r="IV87" s="1414"/>
      <c r="IW87" s="1414"/>
      <c r="IX87" s="1639"/>
      <c r="IY87" s="1639"/>
      <c r="IZ87" s="1639"/>
      <c r="JA87" s="1639"/>
      <c r="JB87" s="1639"/>
      <c r="JC87" s="1639"/>
      <c r="JD87" s="1639"/>
      <c r="JE87" s="1639"/>
      <c r="JF87" s="1639"/>
      <c r="JG87" s="1639"/>
      <c r="JH87" s="1414"/>
      <c r="JI87" s="1414"/>
      <c r="JJ87" s="1414"/>
      <c r="JK87" s="1414"/>
      <c r="JL87" s="1414"/>
      <c r="JM87" s="1414"/>
      <c r="JN87" s="1414"/>
      <c r="JO87" s="1414"/>
      <c r="JP87" s="1414"/>
      <c r="JQ87" s="1415"/>
      <c r="JR87" s="351"/>
    </row>
    <row r="88" spans="1:278" x14ac:dyDescent="0.25">
      <c r="A88" s="1367">
        <v>88</v>
      </c>
      <c r="B88" s="1411" t="str">
        <f t="shared" si="11"/>
        <v/>
      </c>
      <c r="C88" s="1435" t="s">
        <v>3974</v>
      </c>
      <c r="D88" s="1361" t="s">
        <v>3867</v>
      </c>
      <c r="E88" s="1641"/>
      <c r="F88" s="1641"/>
      <c r="G88" s="1641"/>
      <c r="H88" s="1641"/>
      <c r="I88" s="1641"/>
      <c r="J88" s="1641"/>
      <c r="K88" s="1641"/>
      <c r="L88" s="1641"/>
      <c r="M88" s="1641"/>
      <c r="N88" s="1641"/>
      <c r="O88" s="1641"/>
      <c r="P88" s="1641"/>
      <c r="Q88" s="1641"/>
      <c r="R88" s="1641"/>
      <c r="S88" s="1641"/>
      <c r="T88" s="1641"/>
      <c r="U88" s="1641"/>
      <c r="V88" s="1641"/>
      <c r="W88" s="1641"/>
      <c r="X88" s="1641"/>
      <c r="Y88" s="1641"/>
      <c r="Z88" s="1641"/>
      <c r="AA88" s="1641"/>
      <c r="AB88" s="1641"/>
      <c r="AC88" s="1641"/>
      <c r="AD88" s="1641"/>
      <c r="AE88" s="1641"/>
      <c r="AF88" s="1641"/>
      <c r="AG88" s="1641"/>
      <c r="AH88" s="1641"/>
      <c r="AI88" s="1641"/>
      <c r="AJ88" s="1641"/>
      <c r="AK88" s="1641"/>
      <c r="AL88" s="1641"/>
      <c r="AM88" s="1641"/>
      <c r="AN88" s="1641"/>
      <c r="AO88" s="1641"/>
      <c r="AP88" s="1641"/>
      <c r="AQ88" s="1641"/>
      <c r="AR88" s="1641"/>
      <c r="AS88" s="1641"/>
      <c r="AT88" s="1641"/>
      <c r="AU88" s="1641"/>
      <c r="AV88" s="1641"/>
      <c r="AW88" s="1641"/>
      <c r="AX88" s="1641"/>
      <c r="AY88" s="1641"/>
      <c r="AZ88" s="1641"/>
      <c r="BA88" s="1641"/>
      <c r="BB88" s="1641"/>
      <c r="BC88" s="1641"/>
      <c r="BD88" s="1641"/>
      <c r="BE88" s="1641"/>
      <c r="BF88" s="1641"/>
      <c r="BG88" s="1641"/>
      <c r="BH88" s="1641"/>
      <c r="BI88" s="1641"/>
      <c r="BJ88" s="1641"/>
      <c r="BK88" s="1641"/>
      <c r="BL88" s="1641"/>
      <c r="BM88" s="1641"/>
      <c r="BN88" s="1641"/>
      <c r="BO88" s="1641"/>
      <c r="BP88" s="1641"/>
      <c r="BQ88" s="1641"/>
      <c r="BR88" s="1641"/>
      <c r="BS88" s="1641"/>
      <c r="BT88" s="1641"/>
      <c r="BU88" s="1641"/>
      <c r="BV88" s="1641"/>
      <c r="BW88" s="1641"/>
      <c r="BX88" s="1641"/>
      <c r="BY88" s="1641"/>
      <c r="BZ88" s="1641"/>
      <c r="CA88" s="1641"/>
      <c r="CB88" s="1641"/>
      <c r="CC88" s="1641"/>
      <c r="CD88" s="1641"/>
      <c r="CE88" s="1641"/>
      <c r="CF88" s="1641"/>
      <c r="CG88" s="1641"/>
      <c r="CH88" s="1641"/>
      <c r="CI88" s="1641"/>
      <c r="CJ88" s="1636"/>
      <c r="CK88" s="1641"/>
      <c r="CL88" s="1641"/>
      <c r="CM88" s="1641"/>
      <c r="CN88" s="1641"/>
      <c r="CO88" s="1641"/>
      <c r="CP88" s="1641"/>
      <c r="CQ88" s="1641"/>
      <c r="CR88" s="1641"/>
      <c r="CS88" s="1641"/>
      <c r="CT88" s="1641"/>
      <c r="CU88" s="1641"/>
      <c r="CV88" s="1641"/>
      <c r="CW88" s="1641"/>
      <c r="CX88" s="1641"/>
      <c r="CY88" s="1641"/>
      <c r="CZ88" s="1641"/>
      <c r="DA88" s="1641"/>
      <c r="DB88" s="1641"/>
      <c r="DC88" s="1641"/>
      <c r="DD88" s="1641"/>
      <c r="DE88" s="1641"/>
      <c r="DF88" s="1641"/>
      <c r="DG88" s="1641"/>
      <c r="DH88" s="1641"/>
      <c r="DI88" s="1641"/>
      <c r="DJ88" s="1641"/>
      <c r="DK88" s="1641"/>
      <c r="DL88" s="1641"/>
      <c r="DM88" s="1641">
        <v>6921</v>
      </c>
      <c r="DN88" s="1641"/>
      <c r="DO88" s="1641"/>
      <c r="DP88" s="1641"/>
      <c r="DQ88" s="1641"/>
      <c r="DR88" s="1641"/>
      <c r="DS88" s="1641"/>
      <c r="DT88" s="1641"/>
      <c r="DU88" s="1641"/>
      <c r="DV88" s="1641"/>
      <c r="DW88" s="1641"/>
      <c r="DX88" s="1641"/>
      <c r="DY88" s="1641"/>
      <c r="DZ88" s="1641"/>
      <c r="EA88" s="1641"/>
      <c r="EB88" s="1641"/>
      <c r="EC88" s="1641"/>
      <c r="ED88" s="1641"/>
      <c r="EE88" s="1641"/>
      <c r="EF88" s="1641"/>
      <c r="EG88" s="1641"/>
      <c r="EH88" s="1641"/>
      <c r="EI88" s="1641"/>
      <c r="EJ88" s="1641"/>
      <c r="EK88" s="1641"/>
      <c r="EL88" s="1641"/>
      <c r="EM88" s="1641"/>
      <c r="EN88" s="1641"/>
      <c r="EO88" s="1641">
        <v>6921</v>
      </c>
      <c r="EP88" s="1641"/>
      <c r="EQ88" s="1641"/>
      <c r="ER88" s="1641"/>
      <c r="ES88" s="1641"/>
      <c r="ET88" s="1641"/>
      <c r="EU88" s="1641"/>
      <c r="EV88" s="1641"/>
      <c r="EW88" s="1641"/>
      <c r="EX88" s="1641"/>
      <c r="EY88" s="1641"/>
      <c r="EZ88" s="1641"/>
      <c r="FA88" s="1641"/>
      <c r="FB88" s="1641"/>
      <c r="FC88" s="1641"/>
      <c r="FD88" s="1641"/>
      <c r="FE88" s="1641"/>
      <c r="FF88" s="1641"/>
      <c r="FG88" s="1641"/>
      <c r="FH88" s="1641"/>
      <c r="FI88" s="1641"/>
      <c r="FJ88" s="1641"/>
      <c r="FK88" s="1641"/>
      <c r="FL88" s="1641"/>
      <c r="FM88" s="1641"/>
      <c r="FN88" s="1641"/>
      <c r="FO88" s="1641"/>
      <c r="FP88" s="1641"/>
      <c r="FQ88" s="1641"/>
      <c r="FR88" s="1641"/>
      <c r="FS88" s="1641"/>
      <c r="FT88" s="1641"/>
      <c r="FU88" s="1641"/>
      <c r="FV88" s="1641"/>
      <c r="FW88" s="1641"/>
      <c r="FX88" s="1641"/>
      <c r="FY88" s="1641"/>
      <c r="FZ88" s="1641"/>
      <c r="GA88" s="1641"/>
      <c r="GB88" s="1641"/>
      <c r="GC88" s="1641"/>
      <c r="GD88" s="1641"/>
      <c r="GE88" s="1641"/>
      <c r="GF88" s="1641"/>
      <c r="GG88" s="1641"/>
      <c r="GH88" s="1641"/>
      <c r="GI88" s="1641"/>
      <c r="GJ88" s="1641"/>
      <c r="GK88" s="1641"/>
      <c r="GL88" s="1641"/>
      <c r="GM88" s="1641"/>
      <c r="GN88" s="1641"/>
      <c r="GO88" s="1641"/>
      <c r="GP88" s="1641"/>
      <c r="GQ88" s="1641"/>
      <c r="GR88" s="1641"/>
      <c r="GS88" s="1641"/>
      <c r="GT88" s="1641"/>
      <c r="GU88" s="1641"/>
      <c r="GV88" s="1641"/>
      <c r="GW88" s="1641"/>
      <c r="GX88" s="1641"/>
      <c r="GY88" s="1641"/>
      <c r="GZ88" s="1641"/>
      <c r="HA88" s="1641"/>
      <c r="HB88" s="1641"/>
      <c r="HC88" s="1641"/>
      <c r="HD88" s="1641"/>
      <c r="HE88" s="1641"/>
      <c r="HF88" s="1641"/>
      <c r="HG88" s="1641"/>
      <c r="HH88" s="1641"/>
      <c r="HI88" s="1641"/>
      <c r="HJ88" s="1641"/>
      <c r="HK88" s="1641"/>
      <c r="HL88" s="1641"/>
      <c r="HM88" s="1641"/>
      <c r="HN88" s="1641"/>
      <c r="HO88" s="1641"/>
      <c r="HP88" s="1641"/>
      <c r="HQ88" s="1641"/>
      <c r="HR88" s="1641"/>
      <c r="HS88" s="1641"/>
      <c r="HT88" s="1641"/>
      <c r="HU88" s="1641"/>
      <c r="HV88" s="1641"/>
      <c r="HW88" s="1641"/>
      <c r="HX88" s="1641"/>
      <c r="HY88" s="1641"/>
      <c r="HZ88" s="1641"/>
      <c r="IA88" s="1641"/>
      <c r="IB88" s="1641"/>
      <c r="IC88" s="1641"/>
      <c r="ID88" s="1641"/>
      <c r="IE88" s="1641"/>
      <c r="IF88" s="1641"/>
      <c r="IG88" s="1641"/>
      <c r="IH88" s="1641"/>
      <c r="II88" s="1641"/>
      <c r="IJ88" s="1641"/>
      <c r="IK88" s="1641"/>
      <c r="IL88" s="1641"/>
      <c r="IM88" s="1641"/>
      <c r="IN88" s="1641"/>
      <c r="IO88" s="1641"/>
      <c r="IP88" s="1414"/>
      <c r="IQ88" s="1414"/>
      <c r="IR88" s="1414"/>
      <c r="IS88" s="1414"/>
      <c r="IT88" s="1414"/>
      <c r="IU88" s="1414"/>
      <c r="IV88" s="1414"/>
      <c r="IW88" s="1414"/>
      <c r="IX88" s="1641"/>
      <c r="IY88" s="1641"/>
      <c r="IZ88" s="1641"/>
      <c r="JA88" s="1641"/>
      <c r="JB88" s="1641"/>
      <c r="JC88" s="1641"/>
      <c r="JD88" s="1641"/>
      <c r="JE88" s="1641"/>
      <c r="JF88" s="1641"/>
      <c r="JG88" s="1641"/>
      <c r="JH88" s="1414"/>
      <c r="JI88" s="1414"/>
      <c r="JJ88" s="1414"/>
      <c r="JK88" s="1414"/>
      <c r="JL88" s="1414"/>
      <c r="JM88" s="1414"/>
      <c r="JN88" s="1414"/>
      <c r="JO88" s="1414"/>
      <c r="JP88" s="1414"/>
      <c r="JQ88" s="1415"/>
      <c r="JR88" s="351"/>
    </row>
    <row r="89" spans="1:278" x14ac:dyDescent="0.25">
      <c r="A89" s="1367">
        <v>89</v>
      </c>
      <c r="B89" s="1411" t="str">
        <f t="shared" si="11"/>
        <v/>
      </c>
      <c r="C89" s="1435" t="s">
        <v>3975</v>
      </c>
      <c r="D89" s="1361" t="s">
        <v>3869</v>
      </c>
      <c r="E89" s="1641"/>
      <c r="F89" s="1641"/>
      <c r="G89" s="1641"/>
      <c r="H89" s="1641"/>
      <c r="I89" s="1641"/>
      <c r="J89" s="1641"/>
      <c r="K89" s="1641"/>
      <c r="L89" s="1641"/>
      <c r="M89" s="1641"/>
      <c r="N89" s="1641"/>
      <c r="O89" s="1641"/>
      <c r="P89" s="1641"/>
      <c r="Q89" s="1641"/>
      <c r="R89" s="1641"/>
      <c r="S89" s="1641"/>
      <c r="T89" s="1641"/>
      <c r="U89" s="1641"/>
      <c r="V89" s="1641"/>
      <c r="W89" s="1641"/>
      <c r="X89" s="1641"/>
      <c r="Y89" s="1641"/>
      <c r="Z89" s="1641"/>
      <c r="AA89" s="1641"/>
      <c r="AB89" s="1641"/>
      <c r="AC89" s="1641"/>
      <c r="AD89" s="1641"/>
      <c r="AE89" s="1641"/>
      <c r="AF89" s="1641"/>
      <c r="AG89" s="1641"/>
      <c r="AH89" s="1641"/>
      <c r="AI89" s="1641"/>
      <c r="AJ89" s="1641"/>
      <c r="AK89" s="1641"/>
      <c r="AL89" s="1641"/>
      <c r="AM89" s="1641"/>
      <c r="AN89" s="1641"/>
      <c r="AO89" s="1641"/>
      <c r="AP89" s="1641"/>
      <c r="AQ89" s="1641"/>
      <c r="AR89" s="1641"/>
      <c r="AS89" s="1641"/>
      <c r="AT89" s="1641"/>
      <c r="AU89" s="1641"/>
      <c r="AV89" s="1641"/>
      <c r="AW89" s="1641"/>
      <c r="AX89" s="1641"/>
      <c r="AY89" s="1641"/>
      <c r="AZ89" s="1641"/>
      <c r="BA89" s="1641"/>
      <c r="BB89" s="1641"/>
      <c r="BC89" s="1641"/>
      <c r="BD89" s="1641"/>
      <c r="BE89" s="1641"/>
      <c r="BF89" s="1641"/>
      <c r="BG89" s="1641"/>
      <c r="BH89" s="1641"/>
      <c r="BI89" s="1641"/>
      <c r="BJ89" s="1641"/>
      <c r="BK89" s="1641"/>
      <c r="BL89" s="1641"/>
      <c r="BM89" s="1641"/>
      <c r="BN89" s="1641"/>
      <c r="BO89" s="1641"/>
      <c r="BP89" s="1641"/>
      <c r="BQ89" s="1641"/>
      <c r="BR89" s="1641"/>
      <c r="BS89" s="1641"/>
      <c r="BT89" s="1641"/>
      <c r="BU89" s="1641"/>
      <c r="BV89" s="1641"/>
      <c r="BW89" s="1641"/>
      <c r="BX89" s="1641"/>
      <c r="BY89" s="1641"/>
      <c r="BZ89" s="1641"/>
      <c r="CA89" s="1641"/>
      <c r="CB89" s="1641"/>
      <c r="CC89" s="1641"/>
      <c r="CD89" s="1641"/>
      <c r="CE89" s="1641"/>
      <c r="CF89" s="1641"/>
      <c r="CG89" s="1641"/>
      <c r="CH89" s="1641"/>
      <c r="CI89" s="1641"/>
      <c r="CJ89" s="1636"/>
      <c r="CK89" s="1641"/>
      <c r="CL89" s="1641"/>
      <c r="CM89" s="1641"/>
      <c r="CN89" s="1641"/>
      <c r="CO89" s="1641"/>
      <c r="CP89" s="1641"/>
      <c r="CQ89" s="1641"/>
      <c r="CR89" s="1641"/>
      <c r="CS89" s="1641"/>
      <c r="CT89" s="1641"/>
      <c r="CU89" s="1641"/>
      <c r="CV89" s="1641"/>
      <c r="CW89" s="1641"/>
      <c r="CX89" s="1641"/>
      <c r="CY89" s="1641"/>
      <c r="CZ89" s="1641"/>
      <c r="DA89" s="1641"/>
      <c r="DB89" s="1641"/>
      <c r="DC89" s="1641"/>
      <c r="DD89" s="1641"/>
      <c r="DE89" s="1641"/>
      <c r="DF89" s="1641"/>
      <c r="DG89" s="1641"/>
      <c r="DH89" s="1641"/>
      <c r="DI89" s="1641"/>
      <c r="DJ89" s="1641"/>
      <c r="DK89" s="1641"/>
      <c r="DL89" s="1641"/>
      <c r="DM89" s="1641">
        <v>2076</v>
      </c>
      <c r="DN89" s="1641"/>
      <c r="DO89" s="1641"/>
      <c r="DP89" s="1641"/>
      <c r="DQ89" s="1641"/>
      <c r="DR89" s="1641"/>
      <c r="DS89" s="1641"/>
      <c r="DT89" s="1641"/>
      <c r="DU89" s="1641"/>
      <c r="DV89" s="1641"/>
      <c r="DW89" s="1641"/>
      <c r="DX89" s="1641"/>
      <c r="DY89" s="1641"/>
      <c r="DZ89" s="1641"/>
      <c r="EA89" s="1641"/>
      <c r="EB89" s="1641"/>
      <c r="EC89" s="1641"/>
      <c r="ED89" s="1641"/>
      <c r="EE89" s="1641"/>
      <c r="EF89" s="1641"/>
      <c r="EG89" s="1641"/>
      <c r="EH89" s="1641"/>
      <c r="EI89" s="1641"/>
      <c r="EJ89" s="1641"/>
      <c r="EK89" s="1641"/>
      <c r="EL89" s="1641"/>
      <c r="EM89" s="1641"/>
      <c r="EN89" s="1641"/>
      <c r="EO89" s="1641">
        <v>2076</v>
      </c>
      <c r="EP89" s="1641"/>
      <c r="EQ89" s="1641"/>
      <c r="ER89" s="1641"/>
      <c r="ES89" s="1641"/>
      <c r="ET89" s="1641"/>
      <c r="EU89" s="1641"/>
      <c r="EV89" s="1641"/>
      <c r="EW89" s="1641"/>
      <c r="EX89" s="1641"/>
      <c r="EY89" s="1641"/>
      <c r="EZ89" s="1641"/>
      <c r="FA89" s="1641"/>
      <c r="FB89" s="1641"/>
      <c r="FC89" s="1641"/>
      <c r="FD89" s="1641"/>
      <c r="FE89" s="1641"/>
      <c r="FF89" s="1641"/>
      <c r="FG89" s="1641"/>
      <c r="FH89" s="1641"/>
      <c r="FI89" s="1641"/>
      <c r="FJ89" s="1641"/>
      <c r="FK89" s="1641"/>
      <c r="FL89" s="1641"/>
      <c r="FM89" s="1641"/>
      <c r="FN89" s="1641"/>
      <c r="FO89" s="1641"/>
      <c r="FP89" s="1641"/>
      <c r="FQ89" s="1641"/>
      <c r="FR89" s="1641"/>
      <c r="FS89" s="1641"/>
      <c r="FT89" s="1641"/>
      <c r="FU89" s="1641"/>
      <c r="FV89" s="1641"/>
      <c r="FW89" s="1641"/>
      <c r="FX89" s="1641"/>
      <c r="FY89" s="1641"/>
      <c r="FZ89" s="1641"/>
      <c r="GA89" s="1641"/>
      <c r="GB89" s="1641"/>
      <c r="GC89" s="1641"/>
      <c r="GD89" s="1641"/>
      <c r="GE89" s="1641"/>
      <c r="GF89" s="1641"/>
      <c r="GG89" s="1641"/>
      <c r="GH89" s="1641"/>
      <c r="GI89" s="1641"/>
      <c r="GJ89" s="1641"/>
      <c r="GK89" s="1641"/>
      <c r="GL89" s="1641"/>
      <c r="GM89" s="1641"/>
      <c r="GN89" s="1641"/>
      <c r="GO89" s="1641"/>
      <c r="GP89" s="1641"/>
      <c r="GQ89" s="1641"/>
      <c r="GR89" s="1641"/>
      <c r="GS89" s="1641"/>
      <c r="GT89" s="1641"/>
      <c r="GU89" s="1641"/>
      <c r="GV89" s="1641"/>
      <c r="GW89" s="1641"/>
      <c r="GX89" s="1641"/>
      <c r="GY89" s="1641"/>
      <c r="GZ89" s="1641"/>
      <c r="HA89" s="1641"/>
      <c r="HB89" s="1641"/>
      <c r="HC89" s="1641"/>
      <c r="HD89" s="1641"/>
      <c r="HE89" s="1641"/>
      <c r="HF89" s="1641"/>
      <c r="HG89" s="1641"/>
      <c r="HH89" s="1641"/>
      <c r="HI89" s="1641"/>
      <c r="HJ89" s="1641"/>
      <c r="HK89" s="1641"/>
      <c r="HL89" s="1641"/>
      <c r="HM89" s="1641"/>
      <c r="HN89" s="1641"/>
      <c r="HO89" s="1641"/>
      <c r="HP89" s="1641"/>
      <c r="HQ89" s="1641"/>
      <c r="HR89" s="1641"/>
      <c r="HS89" s="1641"/>
      <c r="HT89" s="1641"/>
      <c r="HU89" s="1641"/>
      <c r="HV89" s="1641"/>
      <c r="HW89" s="1641"/>
      <c r="HX89" s="1641"/>
      <c r="HY89" s="1641"/>
      <c r="HZ89" s="1641"/>
      <c r="IA89" s="1641"/>
      <c r="IB89" s="1641"/>
      <c r="IC89" s="1641"/>
      <c r="ID89" s="1641"/>
      <c r="IE89" s="1641"/>
      <c r="IF89" s="1641"/>
      <c r="IG89" s="1641"/>
      <c r="IH89" s="1641"/>
      <c r="II89" s="1641"/>
      <c r="IJ89" s="1641"/>
      <c r="IK89" s="1641"/>
      <c r="IL89" s="1641"/>
      <c r="IM89" s="1641"/>
      <c r="IN89" s="1641"/>
      <c r="IO89" s="1641"/>
      <c r="IP89" s="1414"/>
      <c r="IQ89" s="1414"/>
      <c r="IR89" s="1414"/>
      <c r="IS89" s="1414"/>
      <c r="IT89" s="1414"/>
      <c r="IU89" s="1414"/>
      <c r="IV89" s="1414"/>
      <c r="IW89" s="1414"/>
      <c r="IX89" s="1641"/>
      <c r="IY89" s="1641"/>
      <c r="IZ89" s="1641"/>
      <c r="JA89" s="1641"/>
      <c r="JB89" s="1641"/>
      <c r="JC89" s="1641"/>
      <c r="JD89" s="1641"/>
      <c r="JE89" s="1641"/>
      <c r="JF89" s="1641"/>
      <c r="JG89" s="1641"/>
      <c r="JH89" s="1414"/>
      <c r="JI89" s="1414"/>
      <c r="JJ89" s="1414"/>
      <c r="JK89" s="1414"/>
      <c r="JL89" s="1414"/>
      <c r="JM89" s="1414"/>
      <c r="JN89" s="1414"/>
      <c r="JO89" s="1414"/>
      <c r="JP89" s="1414"/>
      <c r="JQ89" s="1415"/>
      <c r="JR89" s="351"/>
    </row>
    <row r="90" spans="1:278" x14ac:dyDescent="0.25">
      <c r="A90" s="1367">
        <v>90</v>
      </c>
      <c r="B90" s="1411" t="str">
        <f t="shared" si="11"/>
        <v/>
      </c>
      <c r="C90" s="1435" t="s">
        <v>3976</v>
      </c>
      <c r="D90" s="1361" t="s">
        <v>3871</v>
      </c>
      <c r="E90" s="1641"/>
      <c r="F90" s="1641"/>
      <c r="G90" s="1641"/>
      <c r="H90" s="1641"/>
      <c r="I90" s="1641"/>
      <c r="J90" s="1641"/>
      <c r="K90" s="1641"/>
      <c r="L90" s="1641"/>
      <c r="M90" s="1641"/>
      <c r="N90" s="1641"/>
      <c r="O90" s="1641"/>
      <c r="P90" s="1641"/>
      <c r="Q90" s="1641"/>
      <c r="R90" s="1641"/>
      <c r="S90" s="1641"/>
      <c r="T90" s="1641"/>
      <c r="U90" s="1641"/>
      <c r="V90" s="1641"/>
      <c r="W90" s="1641"/>
      <c r="X90" s="1641"/>
      <c r="Y90" s="1641"/>
      <c r="Z90" s="1641"/>
      <c r="AA90" s="1641"/>
      <c r="AB90" s="1641"/>
      <c r="AC90" s="1641"/>
      <c r="AD90" s="1641"/>
      <c r="AE90" s="1641"/>
      <c r="AF90" s="1641"/>
      <c r="AG90" s="1641"/>
      <c r="AH90" s="1641"/>
      <c r="AI90" s="1641"/>
      <c r="AJ90" s="1641"/>
      <c r="AK90" s="1641"/>
      <c r="AL90" s="1641"/>
      <c r="AM90" s="1641"/>
      <c r="AN90" s="1641"/>
      <c r="AO90" s="1641"/>
      <c r="AP90" s="1641"/>
      <c r="AQ90" s="1641"/>
      <c r="AR90" s="1641"/>
      <c r="AS90" s="1641"/>
      <c r="AT90" s="1641"/>
      <c r="AU90" s="1641"/>
      <c r="AV90" s="1641"/>
      <c r="AW90" s="1641"/>
      <c r="AX90" s="1641"/>
      <c r="AY90" s="1641"/>
      <c r="AZ90" s="1641"/>
      <c r="BA90" s="1641"/>
      <c r="BB90" s="1641"/>
      <c r="BC90" s="1641"/>
      <c r="BD90" s="1641"/>
      <c r="BE90" s="1641"/>
      <c r="BF90" s="1641"/>
      <c r="BG90" s="1641"/>
      <c r="BH90" s="1641"/>
      <c r="BI90" s="1641"/>
      <c r="BJ90" s="1641"/>
      <c r="BK90" s="1641"/>
      <c r="BL90" s="1641"/>
      <c r="BM90" s="1641"/>
      <c r="BN90" s="1641"/>
      <c r="BO90" s="1641"/>
      <c r="BP90" s="1641"/>
      <c r="BQ90" s="1641"/>
      <c r="BR90" s="1641"/>
      <c r="BS90" s="1641"/>
      <c r="BT90" s="1641"/>
      <c r="BU90" s="1641"/>
      <c r="BV90" s="1641"/>
      <c r="BW90" s="1641"/>
      <c r="BX90" s="1641"/>
      <c r="BY90" s="1641"/>
      <c r="BZ90" s="1641"/>
      <c r="CA90" s="1641"/>
      <c r="CB90" s="1641"/>
      <c r="CC90" s="1641"/>
      <c r="CD90" s="1641"/>
      <c r="CE90" s="1641"/>
      <c r="CF90" s="1641"/>
      <c r="CG90" s="1641"/>
      <c r="CH90" s="1641"/>
      <c r="CI90" s="1641"/>
      <c r="CJ90" s="1641"/>
      <c r="CK90" s="1641"/>
      <c r="CL90" s="1641"/>
      <c r="CM90" s="1641"/>
      <c r="CN90" s="1641"/>
      <c r="CO90" s="1641"/>
      <c r="CP90" s="1641"/>
      <c r="CQ90" s="1641"/>
      <c r="CR90" s="1641"/>
      <c r="CS90" s="1641"/>
      <c r="CT90" s="1641"/>
      <c r="CU90" s="1641"/>
      <c r="CV90" s="1641"/>
      <c r="CW90" s="1641"/>
      <c r="CX90" s="1641"/>
      <c r="CY90" s="1641"/>
      <c r="CZ90" s="1641"/>
      <c r="DA90" s="1641"/>
      <c r="DB90" s="1641"/>
      <c r="DC90" s="1641"/>
      <c r="DD90" s="1641"/>
      <c r="DE90" s="1641"/>
      <c r="DF90" s="1641"/>
      <c r="DG90" s="1641"/>
      <c r="DH90" s="1641"/>
      <c r="DI90" s="1641"/>
      <c r="DJ90" s="1641"/>
      <c r="DK90" s="1641"/>
      <c r="DL90" s="1641"/>
      <c r="DM90" s="1641"/>
      <c r="DN90" s="1641"/>
      <c r="DO90" s="1641"/>
      <c r="DP90" s="1641"/>
      <c r="DQ90" s="1641"/>
      <c r="DR90" s="1641"/>
      <c r="DS90" s="1641"/>
      <c r="DT90" s="1641"/>
      <c r="DU90" s="1641"/>
      <c r="DV90" s="1641"/>
      <c r="DW90" s="1641"/>
      <c r="DX90" s="1641"/>
      <c r="DY90" s="1641"/>
      <c r="DZ90" s="1641"/>
      <c r="EA90" s="1641"/>
      <c r="EB90" s="1641"/>
      <c r="EC90" s="1641"/>
      <c r="ED90" s="1641"/>
      <c r="EE90" s="1641"/>
      <c r="EF90" s="1641"/>
      <c r="EG90" s="1641"/>
      <c r="EH90" s="1641"/>
      <c r="EI90" s="1641"/>
      <c r="EJ90" s="1641"/>
      <c r="EK90" s="1641"/>
      <c r="EL90" s="1641"/>
      <c r="EM90" s="1641"/>
      <c r="EN90" s="1641"/>
      <c r="EO90" s="1641"/>
      <c r="EP90" s="1641"/>
      <c r="EQ90" s="1641"/>
      <c r="ER90" s="1641"/>
      <c r="ES90" s="1641"/>
      <c r="ET90" s="1641"/>
      <c r="EU90" s="1641"/>
      <c r="EV90" s="1641"/>
      <c r="EW90" s="1641"/>
      <c r="EX90" s="1641"/>
      <c r="EY90" s="1641"/>
      <c r="EZ90" s="1641"/>
      <c r="FA90" s="1641"/>
      <c r="FB90" s="1641"/>
      <c r="FC90" s="1641"/>
      <c r="FD90" s="1641"/>
      <c r="FE90" s="1641"/>
      <c r="FF90" s="1641"/>
      <c r="FG90" s="1641"/>
      <c r="FH90" s="1641"/>
      <c r="FI90" s="1641"/>
      <c r="FJ90" s="1641"/>
      <c r="FK90" s="1641"/>
      <c r="FL90" s="1641"/>
      <c r="FM90" s="1641"/>
      <c r="FN90" s="1641"/>
      <c r="FO90" s="1641"/>
      <c r="FP90" s="1641"/>
      <c r="FQ90" s="1641"/>
      <c r="FR90" s="1641"/>
      <c r="FS90" s="1641"/>
      <c r="FT90" s="1641"/>
      <c r="FU90" s="1641"/>
      <c r="FV90" s="1641"/>
      <c r="FW90" s="1641"/>
      <c r="FX90" s="1641"/>
      <c r="FY90" s="1641"/>
      <c r="FZ90" s="1641"/>
      <c r="GA90" s="1641"/>
      <c r="GB90" s="1641"/>
      <c r="GC90" s="1641"/>
      <c r="GD90" s="1641"/>
      <c r="GE90" s="1641"/>
      <c r="GF90" s="1641"/>
      <c r="GG90" s="1641"/>
      <c r="GH90" s="1641"/>
      <c r="GI90" s="1641"/>
      <c r="GJ90" s="1641"/>
      <c r="GK90" s="1641"/>
      <c r="GL90" s="1641"/>
      <c r="GM90" s="1641"/>
      <c r="GN90" s="1641"/>
      <c r="GO90" s="1641"/>
      <c r="GP90" s="1641"/>
      <c r="GQ90" s="1641"/>
      <c r="GR90" s="1641"/>
      <c r="GS90" s="1641"/>
      <c r="GT90" s="1641"/>
      <c r="GU90" s="1641"/>
      <c r="GV90" s="1641"/>
      <c r="GW90" s="1641"/>
      <c r="GX90" s="1641"/>
      <c r="GY90" s="1641"/>
      <c r="GZ90" s="1641"/>
      <c r="HA90" s="1641"/>
      <c r="HB90" s="1641"/>
      <c r="HC90" s="1641"/>
      <c r="HD90" s="1641"/>
      <c r="HE90" s="1641"/>
      <c r="HF90" s="1641"/>
      <c r="HG90" s="1641"/>
      <c r="HH90" s="1641"/>
      <c r="HI90" s="1641"/>
      <c r="HJ90" s="1641"/>
      <c r="HK90" s="1641"/>
      <c r="HL90" s="1641"/>
      <c r="HM90" s="1641"/>
      <c r="HN90" s="1641"/>
      <c r="HO90" s="1641"/>
      <c r="HP90" s="1641"/>
      <c r="HQ90" s="1641"/>
      <c r="HR90" s="1641"/>
      <c r="HS90" s="1641"/>
      <c r="HT90" s="1641"/>
      <c r="HU90" s="1641"/>
      <c r="HV90" s="1641"/>
      <c r="HW90" s="1641"/>
      <c r="HX90" s="1641"/>
      <c r="HY90" s="1641"/>
      <c r="HZ90" s="1641"/>
      <c r="IA90" s="1641"/>
      <c r="IB90" s="1641"/>
      <c r="IC90" s="1641"/>
      <c r="ID90" s="1641"/>
      <c r="IE90" s="1641"/>
      <c r="IF90" s="1641"/>
      <c r="IG90" s="1641"/>
      <c r="IH90" s="1641"/>
      <c r="II90" s="1641"/>
      <c r="IJ90" s="1641"/>
      <c r="IK90" s="1641"/>
      <c r="IL90" s="1641"/>
      <c r="IM90" s="1641"/>
      <c r="IN90" s="1641"/>
      <c r="IO90" s="1641"/>
      <c r="IP90" s="1414"/>
      <c r="IQ90" s="1414"/>
      <c r="IR90" s="1414"/>
      <c r="IS90" s="1414"/>
      <c r="IT90" s="1414"/>
      <c r="IU90" s="1414"/>
      <c r="IV90" s="1414"/>
      <c r="IW90" s="1414"/>
      <c r="IX90" s="1641"/>
      <c r="IY90" s="1641"/>
      <c r="IZ90" s="1641"/>
      <c r="JA90" s="1641"/>
      <c r="JB90" s="1641"/>
      <c r="JC90" s="1641"/>
      <c r="JD90" s="1641"/>
      <c r="JE90" s="1641"/>
      <c r="JF90" s="1641"/>
      <c r="JG90" s="1641"/>
      <c r="JH90" s="1414"/>
      <c r="JI90" s="1414"/>
      <c r="JJ90" s="1414"/>
      <c r="JK90" s="1414"/>
      <c r="JL90" s="1414"/>
      <c r="JM90" s="1414"/>
      <c r="JN90" s="1414"/>
      <c r="JO90" s="1414"/>
      <c r="JP90" s="1414"/>
      <c r="JQ90" s="1415"/>
      <c r="JR90" s="351"/>
    </row>
    <row r="91" spans="1:278" x14ac:dyDescent="0.25">
      <c r="A91" s="1367">
        <v>91</v>
      </c>
      <c r="B91" s="1411" t="str">
        <f t="shared" si="11"/>
        <v/>
      </c>
      <c r="C91" s="1435" t="s">
        <v>3977</v>
      </c>
      <c r="D91" s="1361" t="s">
        <v>3873</v>
      </c>
      <c r="E91" s="1641"/>
      <c r="F91" s="1641"/>
      <c r="G91" s="1641"/>
      <c r="H91" s="1641"/>
      <c r="I91" s="1641"/>
      <c r="J91" s="1641"/>
      <c r="K91" s="1641"/>
      <c r="L91" s="1641"/>
      <c r="M91" s="1641"/>
      <c r="N91" s="1641"/>
      <c r="O91" s="1641"/>
      <c r="P91" s="1641"/>
      <c r="Q91" s="1641"/>
      <c r="R91" s="1641"/>
      <c r="S91" s="1641"/>
      <c r="T91" s="1641"/>
      <c r="U91" s="1641"/>
      <c r="V91" s="1641"/>
      <c r="W91" s="1641"/>
      <c r="X91" s="1641"/>
      <c r="Y91" s="1641"/>
      <c r="Z91" s="1641"/>
      <c r="AA91" s="1641"/>
      <c r="AB91" s="1641"/>
      <c r="AC91" s="1641"/>
      <c r="AD91" s="1641"/>
      <c r="AE91" s="1641"/>
      <c r="AF91" s="1641"/>
      <c r="AG91" s="1641"/>
      <c r="AH91" s="1641"/>
      <c r="AI91" s="1641"/>
      <c r="AJ91" s="1641"/>
      <c r="AK91" s="1641"/>
      <c r="AL91" s="1641"/>
      <c r="AM91" s="1641"/>
      <c r="AN91" s="1641"/>
      <c r="AO91" s="1641"/>
      <c r="AP91" s="1641"/>
      <c r="AQ91" s="1641"/>
      <c r="AR91" s="1641"/>
      <c r="AS91" s="1641"/>
      <c r="AT91" s="1641"/>
      <c r="AU91" s="1641"/>
      <c r="AV91" s="1641"/>
      <c r="AW91" s="1641"/>
      <c r="AX91" s="1641"/>
      <c r="AY91" s="1641"/>
      <c r="AZ91" s="1641"/>
      <c r="BA91" s="1641"/>
      <c r="BB91" s="1641"/>
      <c r="BC91" s="1641"/>
      <c r="BD91" s="1641"/>
      <c r="BE91" s="1641"/>
      <c r="BF91" s="1641"/>
      <c r="BG91" s="1641"/>
      <c r="BH91" s="1641"/>
      <c r="BI91" s="1641"/>
      <c r="BJ91" s="1641"/>
      <c r="BK91" s="1641"/>
      <c r="BL91" s="1641"/>
      <c r="BM91" s="1641"/>
      <c r="BN91" s="1641"/>
      <c r="BO91" s="1641"/>
      <c r="BP91" s="1641"/>
      <c r="BQ91" s="1641"/>
      <c r="BR91" s="1641"/>
      <c r="BS91" s="1641"/>
      <c r="BT91" s="1641"/>
      <c r="BU91" s="1641"/>
      <c r="BV91" s="1641"/>
      <c r="BW91" s="1641"/>
      <c r="BX91" s="1641"/>
      <c r="BY91" s="1641"/>
      <c r="BZ91" s="1641"/>
      <c r="CA91" s="1641"/>
      <c r="CB91" s="1641"/>
      <c r="CC91" s="1641"/>
      <c r="CD91" s="1641"/>
      <c r="CE91" s="1641"/>
      <c r="CF91" s="1641"/>
      <c r="CG91" s="1641"/>
      <c r="CH91" s="1641"/>
      <c r="CI91" s="1641"/>
      <c r="CJ91" s="1641"/>
      <c r="CK91" s="1641"/>
      <c r="CL91" s="1641"/>
      <c r="CM91" s="1641"/>
      <c r="CN91" s="1641"/>
      <c r="CO91" s="1641"/>
      <c r="CP91" s="1641"/>
      <c r="CQ91" s="1641"/>
      <c r="CR91" s="1641"/>
      <c r="CS91" s="1641"/>
      <c r="CT91" s="1641"/>
      <c r="CU91" s="1641"/>
      <c r="CV91" s="1641"/>
      <c r="CW91" s="1641"/>
      <c r="CX91" s="1641"/>
      <c r="CY91" s="1641"/>
      <c r="CZ91" s="1641"/>
      <c r="DA91" s="1641"/>
      <c r="DB91" s="1641"/>
      <c r="DC91" s="1641"/>
      <c r="DD91" s="1641"/>
      <c r="DE91" s="1641"/>
      <c r="DF91" s="1641"/>
      <c r="DG91" s="1641"/>
      <c r="DH91" s="1641"/>
      <c r="DI91" s="1641"/>
      <c r="DJ91" s="1641"/>
      <c r="DK91" s="1641"/>
      <c r="DL91" s="1641"/>
      <c r="DM91" s="1641"/>
      <c r="DN91" s="1641"/>
      <c r="DO91" s="1641"/>
      <c r="DP91" s="1641"/>
      <c r="DQ91" s="1641"/>
      <c r="DR91" s="1641"/>
      <c r="DS91" s="1641"/>
      <c r="DT91" s="1641"/>
      <c r="DU91" s="1641"/>
      <c r="DV91" s="1641"/>
      <c r="DW91" s="1641"/>
      <c r="DX91" s="1641"/>
      <c r="DY91" s="1641"/>
      <c r="DZ91" s="1641"/>
      <c r="EA91" s="1641"/>
      <c r="EB91" s="1641"/>
      <c r="EC91" s="1641"/>
      <c r="ED91" s="1641"/>
      <c r="EE91" s="1641"/>
      <c r="EF91" s="1641"/>
      <c r="EG91" s="1641"/>
      <c r="EH91" s="1641"/>
      <c r="EI91" s="1641"/>
      <c r="EJ91" s="1641"/>
      <c r="EK91" s="1641"/>
      <c r="EL91" s="1641"/>
      <c r="EM91" s="1641"/>
      <c r="EN91" s="1641"/>
      <c r="EO91" s="1641"/>
      <c r="EP91" s="1641"/>
      <c r="EQ91" s="1641"/>
      <c r="ER91" s="1641"/>
      <c r="ES91" s="1641"/>
      <c r="ET91" s="1641"/>
      <c r="EU91" s="1641"/>
      <c r="EV91" s="1641"/>
      <c r="EW91" s="1641"/>
      <c r="EX91" s="1641"/>
      <c r="EY91" s="1641"/>
      <c r="EZ91" s="1641"/>
      <c r="FA91" s="1641"/>
      <c r="FB91" s="1641"/>
      <c r="FC91" s="1641"/>
      <c r="FD91" s="1641"/>
      <c r="FE91" s="1641"/>
      <c r="FF91" s="1641"/>
      <c r="FG91" s="1641"/>
      <c r="FH91" s="1641"/>
      <c r="FI91" s="1641"/>
      <c r="FJ91" s="1641"/>
      <c r="FK91" s="1641"/>
      <c r="FL91" s="1641"/>
      <c r="FM91" s="1641"/>
      <c r="FN91" s="1641"/>
      <c r="FO91" s="1641"/>
      <c r="FP91" s="1641"/>
      <c r="FQ91" s="1641"/>
      <c r="FR91" s="1641"/>
      <c r="FS91" s="1641"/>
      <c r="FT91" s="1641"/>
      <c r="FU91" s="1641"/>
      <c r="FV91" s="1641"/>
      <c r="FW91" s="1641"/>
      <c r="FX91" s="1641"/>
      <c r="FY91" s="1641"/>
      <c r="FZ91" s="1641"/>
      <c r="GA91" s="1641"/>
      <c r="GB91" s="1641"/>
      <c r="GC91" s="1641"/>
      <c r="GD91" s="1641"/>
      <c r="GE91" s="1641"/>
      <c r="GF91" s="1641"/>
      <c r="GG91" s="1641"/>
      <c r="GH91" s="1641"/>
      <c r="GI91" s="1641"/>
      <c r="GJ91" s="1641"/>
      <c r="GK91" s="1641"/>
      <c r="GL91" s="1641"/>
      <c r="GM91" s="1641"/>
      <c r="GN91" s="1641"/>
      <c r="GO91" s="1641"/>
      <c r="GP91" s="1641"/>
      <c r="GQ91" s="1641"/>
      <c r="GR91" s="1641"/>
      <c r="GS91" s="1641"/>
      <c r="GT91" s="1641"/>
      <c r="GU91" s="1641"/>
      <c r="GV91" s="1641"/>
      <c r="GW91" s="1641"/>
      <c r="GX91" s="1641"/>
      <c r="GY91" s="1641"/>
      <c r="GZ91" s="1641"/>
      <c r="HA91" s="1641"/>
      <c r="HB91" s="1641"/>
      <c r="HC91" s="1641"/>
      <c r="HD91" s="1641"/>
      <c r="HE91" s="1641"/>
      <c r="HF91" s="1641"/>
      <c r="HG91" s="1641"/>
      <c r="HH91" s="1641"/>
      <c r="HI91" s="1641"/>
      <c r="HJ91" s="1641"/>
      <c r="HK91" s="1641"/>
      <c r="HL91" s="1641"/>
      <c r="HM91" s="1641"/>
      <c r="HN91" s="1641"/>
      <c r="HO91" s="1641"/>
      <c r="HP91" s="1641"/>
      <c r="HQ91" s="1641"/>
      <c r="HR91" s="1641"/>
      <c r="HS91" s="1641"/>
      <c r="HT91" s="1641"/>
      <c r="HU91" s="1641"/>
      <c r="HV91" s="1641"/>
      <c r="HW91" s="1641"/>
      <c r="HX91" s="1641"/>
      <c r="HY91" s="1641"/>
      <c r="HZ91" s="1641"/>
      <c r="IA91" s="1641"/>
      <c r="IB91" s="1641"/>
      <c r="IC91" s="1641"/>
      <c r="ID91" s="1641"/>
      <c r="IE91" s="1641"/>
      <c r="IF91" s="1641"/>
      <c r="IG91" s="1641"/>
      <c r="IH91" s="1641"/>
      <c r="II91" s="1641"/>
      <c r="IJ91" s="1641"/>
      <c r="IK91" s="1641"/>
      <c r="IL91" s="1641"/>
      <c r="IM91" s="1641"/>
      <c r="IN91" s="1641"/>
      <c r="IO91" s="1641"/>
      <c r="IP91" s="1414"/>
      <c r="IQ91" s="1414"/>
      <c r="IR91" s="1414"/>
      <c r="IS91" s="1414"/>
      <c r="IT91" s="1414"/>
      <c r="IU91" s="1414"/>
      <c r="IV91" s="1414"/>
      <c r="IW91" s="1414"/>
      <c r="IX91" s="1641"/>
      <c r="IY91" s="1641"/>
      <c r="IZ91" s="1641"/>
      <c r="JA91" s="1641"/>
      <c r="JB91" s="1641"/>
      <c r="JC91" s="1641"/>
      <c r="JD91" s="1641"/>
      <c r="JE91" s="1641"/>
      <c r="JF91" s="1641"/>
      <c r="JG91" s="1641"/>
      <c r="JH91" s="1414"/>
      <c r="JI91" s="1414"/>
      <c r="JJ91" s="1414"/>
      <c r="JK91" s="1414"/>
      <c r="JL91" s="1414"/>
      <c r="JM91" s="1414"/>
      <c r="JN91" s="1414"/>
      <c r="JO91" s="1414"/>
      <c r="JP91" s="1414"/>
      <c r="JQ91" s="1415"/>
      <c r="JR91" s="351"/>
    </row>
    <row r="92" spans="1:278" x14ac:dyDescent="0.25">
      <c r="A92" s="1367">
        <v>92</v>
      </c>
      <c r="B92" s="1411" t="str">
        <f t="shared" si="11"/>
        <v/>
      </c>
      <c r="C92" s="1435" t="s">
        <v>3978</v>
      </c>
      <c r="D92" s="1361" t="s">
        <v>3875</v>
      </c>
      <c r="E92" s="2561"/>
      <c r="F92" s="2561"/>
      <c r="G92" s="2561"/>
      <c r="H92" s="2561"/>
      <c r="I92" s="2561"/>
      <c r="J92" s="2561"/>
      <c r="K92" s="2561"/>
      <c r="L92" s="2561"/>
      <c r="M92" s="2561"/>
      <c r="N92" s="2561"/>
      <c r="O92" s="2561"/>
      <c r="P92" s="2561"/>
      <c r="Q92" s="2561"/>
      <c r="R92" s="2561"/>
      <c r="S92" s="2561"/>
      <c r="T92" s="2561"/>
      <c r="U92" s="2561"/>
      <c r="V92" s="2561"/>
      <c r="W92" s="2561"/>
      <c r="X92" s="2561"/>
      <c r="Y92" s="2561"/>
      <c r="Z92" s="2561"/>
      <c r="AA92" s="2561"/>
      <c r="AB92" s="2561"/>
      <c r="AC92" s="2561"/>
      <c r="AD92" s="2561"/>
      <c r="AE92" s="2561"/>
      <c r="AF92" s="2561"/>
      <c r="AG92" s="2561"/>
      <c r="AH92" s="2561"/>
      <c r="AI92" s="2561"/>
      <c r="AJ92" s="2561"/>
      <c r="AK92" s="2561"/>
      <c r="AL92" s="2561"/>
      <c r="AM92" s="2561"/>
      <c r="AN92" s="2561"/>
      <c r="AO92" s="2561"/>
      <c r="AP92" s="2561"/>
      <c r="AQ92" s="2561"/>
      <c r="AR92" s="2561"/>
      <c r="AS92" s="2561"/>
      <c r="AT92" s="2561"/>
      <c r="AU92" s="2561"/>
      <c r="AV92" s="2561"/>
      <c r="AW92" s="2561"/>
      <c r="AX92" s="2561"/>
      <c r="AY92" s="2561"/>
      <c r="AZ92" s="2561"/>
      <c r="BA92" s="2561"/>
      <c r="BB92" s="2561"/>
      <c r="BC92" s="2561"/>
      <c r="BD92" s="2561"/>
      <c r="BE92" s="2561"/>
      <c r="BF92" s="2561"/>
      <c r="BG92" s="2561"/>
      <c r="BH92" s="2561"/>
      <c r="BI92" s="2561"/>
      <c r="BJ92" s="2561"/>
      <c r="BK92" s="2561"/>
      <c r="BL92" s="2561"/>
      <c r="BM92" s="2561"/>
      <c r="BN92" s="2561"/>
      <c r="BO92" s="2561"/>
      <c r="BP92" s="2561"/>
      <c r="BQ92" s="2561"/>
      <c r="BR92" s="2561"/>
      <c r="BS92" s="2561"/>
      <c r="BT92" s="2561"/>
      <c r="BU92" s="2561"/>
      <c r="BV92" s="2561"/>
      <c r="BW92" s="2561"/>
      <c r="BX92" s="2561"/>
      <c r="BY92" s="2561"/>
      <c r="BZ92" s="2561"/>
      <c r="CA92" s="2561"/>
      <c r="CB92" s="2561"/>
      <c r="CC92" s="2561"/>
      <c r="CD92" s="2561"/>
      <c r="CE92" s="2561"/>
      <c r="CF92" s="2561"/>
      <c r="CG92" s="2561"/>
      <c r="CH92" s="2561"/>
      <c r="CI92" s="2561"/>
      <c r="CJ92" s="1636"/>
      <c r="CK92" s="2561"/>
      <c r="CL92" s="2561"/>
      <c r="CM92" s="2561"/>
      <c r="CN92" s="2561"/>
      <c r="CO92" s="2561"/>
      <c r="CP92" s="2561"/>
      <c r="CQ92" s="2561"/>
      <c r="CR92" s="2561"/>
      <c r="CS92" s="2561"/>
      <c r="CT92" s="2561"/>
      <c r="CU92" s="2561"/>
      <c r="CV92" s="2561"/>
      <c r="CW92" s="2561"/>
      <c r="CX92" s="2561"/>
      <c r="CY92" s="2561"/>
      <c r="CZ92" s="2561"/>
      <c r="DA92" s="2561"/>
      <c r="DB92" s="2561"/>
      <c r="DC92" s="2561"/>
      <c r="DD92" s="2561"/>
      <c r="DE92" s="2561"/>
      <c r="DF92" s="2561"/>
      <c r="DG92" s="2561"/>
      <c r="DH92" s="2561"/>
      <c r="DI92" s="2561"/>
      <c r="DJ92" s="2561"/>
      <c r="DK92" s="2561"/>
      <c r="DL92" s="2561"/>
      <c r="DM92" s="2561">
        <f>IF(DM91="Y",DM88,MAX(0,DM88-DM89))</f>
        <v>4845</v>
      </c>
      <c r="DN92" s="2561"/>
      <c r="DO92" s="2561"/>
      <c r="DP92" s="2561"/>
      <c r="DQ92" s="2561"/>
      <c r="DR92" s="2561"/>
      <c r="DS92" s="2561"/>
      <c r="DT92" s="2561"/>
      <c r="DU92" s="2561"/>
      <c r="DV92" s="2561"/>
      <c r="DW92" s="2561"/>
      <c r="DX92" s="2561"/>
      <c r="DY92" s="2561"/>
      <c r="DZ92" s="2561"/>
      <c r="EA92" s="2561"/>
      <c r="EB92" s="2561"/>
      <c r="EC92" s="2561"/>
      <c r="ED92" s="2561"/>
      <c r="EE92" s="2561"/>
      <c r="EF92" s="2561"/>
      <c r="EG92" s="2561"/>
      <c r="EH92" s="2561"/>
      <c r="EI92" s="2561"/>
      <c r="EJ92" s="2561"/>
      <c r="EK92" s="2561"/>
      <c r="EL92" s="2561"/>
      <c r="EM92" s="2561"/>
      <c r="EN92" s="2561"/>
      <c r="EO92" s="2561">
        <f>IF(EO91="Y",EO88,MAX(0,EO88-EO89))</f>
        <v>4845</v>
      </c>
      <c r="EP92" s="2561"/>
      <c r="EQ92" s="2561"/>
      <c r="ER92" s="2561"/>
      <c r="ES92" s="2561"/>
      <c r="ET92" s="2561"/>
      <c r="EU92" s="2561"/>
      <c r="EV92" s="2561"/>
      <c r="EW92" s="2561"/>
      <c r="EX92" s="2561"/>
      <c r="EY92" s="2561"/>
      <c r="EZ92" s="2561"/>
      <c r="FA92" s="2561"/>
      <c r="FB92" s="2561"/>
      <c r="FC92" s="2561"/>
      <c r="FD92" s="2561"/>
      <c r="FE92" s="2561"/>
      <c r="FF92" s="2561"/>
      <c r="FG92" s="2561"/>
      <c r="FH92" s="2561"/>
      <c r="FI92" s="2561"/>
      <c r="FJ92" s="2561"/>
      <c r="FK92" s="2561"/>
      <c r="FL92" s="2561"/>
      <c r="FM92" s="2561"/>
      <c r="FN92" s="2561"/>
      <c r="FO92" s="2561"/>
      <c r="FP92" s="2561"/>
      <c r="FQ92" s="2561"/>
      <c r="FR92" s="2561"/>
      <c r="FS92" s="2561"/>
      <c r="FT92" s="2561"/>
      <c r="FU92" s="2561"/>
      <c r="FV92" s="2561"/>
      <c r="FW92" s="2561"/>
      <c r="FX92" s="2561"/>
      <c r="FY92" s="2561"/>
      <c r="FZ92" s="2561"/>
      <c r="GA92" s="2561"/>
      <c r="GB92" s="2561"/>
      <c r="GC92" s="2561"/>
      <c r="GD92" s="2561"/>
      <c r="GE92" s="2561"/>
      <c r="GF92" s="2561"/>
      <c r="GG92" s="2561"/>
      <c r="GH92" s="2561"/>
      <c r="GI92" s="2561"/>
      <c r="GJ92" s="2561"/>
      <c r="GK92" s="2561"/>
      <c r="GL92" s="2561"/>
      <c r="GM92" s="2561"/>
      <c r="GN92" s="2561"/>
      <c r="GO92" s="2561"/>
      <c r="GP92" s="2561"/>
      <c r="GQ92" s="2561"/>
      <c r="GR92" s="2561"/>
      <c r="GS92" s="2561"/>
      <c r="GT92" s="2561"/>
      <c r="GU92" s="2561"/>
      <c r="GV92" s="2561"/>
      <c r="GW92" s="2561"/>
      <c r="GX92" s="2561"/>
      <c r="GY92" s="2561"/>
      <c r="GZ92" s="2561"/>
      <c r="HA92" s="2561"/>
      <c r="HB92" s="2561"/>
      <c r="HC92" s="2561"/>
      <c r="HD92" s="2561"/>
      <c r="HE92" s="2561"/>
      <c r="HF92" s="2561"/>
      <c r="HG92" s="2561"/>
      <c r="HH92" s="2561"/>
      <c r="HI92" s="2561"/>
      <c r="HJ92" s="2561"/>
      <c r="HK92" s="2561"/>
      <c r="HL92" s="2561"/>
      <c r="HM92" s="2561"/>
      <c r="HN92" s="2561"/>
      <c r="HO92" s="2561"/>
      <c r="HP92" s="2561"/>
      <c r="HQ92" s="2561"/>
      <c r="HR92" s="2561"/>
      <c r="HS92" s="2561"/>
      <c r="HT92" s="2561"/>
      <c r="HU92" s="2561"/>
      <c r="HV92" s="2561"/>
      <c r="HW92" s="2561"/>
      <c r="HX92" s="2561"/>
      <c r="HY92" s="2561"/>
      <c r="HZ92" s="2561"/>
      <c r="IA92" s="2561"/>
      <c r="IB92" s="2561"/>
      <c r="IC92" s="2561"/>
      <c r="ID92" s="2561"/>
      <c r="IE92" s="2561"/>
      <c r="IF92" s="2561"/>
      <c r="IG92" s="2561"/>
      <c r="IH92" s="2561"/>
      <c r="II92" s="2561"/>
      <c r="IJ92" s="2561"/>
      <c r="IK92" s="2561"/>
      <c r="IL92" s="2561"/>
      <c r="IM92" s="2561"/>
      <c r="IN92" s="2561"/>
      <c r="IO92" s="2561"/>
      <c r="IP92" s="2561"/>
      <c r="IQ92" s="2561"/>
      <c r="IR92" s="2561"/>
      <c r="IS92" s="2561"/>
      <c r="IT92" s="2561"/>
      <c r="IU92" s="2561"/>
      <c r="IV92" s="2561"/>
      <c r="IW92" s="2561"/>
      <c r="IX92" s="2561"/>
      <c r="IY92" s="2561"/>
      <c r="IZ92" s="2561"/>
      <c r="JA92" s="2561"/>
      <c r="JB92" s="2561"/>
      <c r="JC92" s="2561"/>
      <c r="JD92" s="2561"/>
      <c r="JE92" s="2561"/>
      <c r="JF92" s="2561"/>
      <c r="JG92" s="2561"/>
      <c r="JH92" s="2561"/>
      <c r="JI92" s="2561"/>
      <c r="JJ92" s="2561"/>
      <c r="JK92" s="2561"/>
      <c r="JL92" s="2561"/>
      <c r="JM92" s="2561"/>
      <c r="JN92" s="2561"/>
      <c r="JO92" s="2561"/>
      <c r="JP92" s="2561"/>
      <c r="JQ92" s="2561"/>
      <c r="JR92" s="351"/>
    </row>
    <row r="93" spans="1:278" x14ac:dyDescent="0.25">
      <c r="A93" s="1367">
        <v>93</v>
      </c>
      <c r="B93" s="1411" t="str">
        <f t="shared" si="11"/>
        <v/>
      </c>
      <c r="C93" s="1435" t="s">
        <v>3979</v>
      </c>
      <c r="D93" s="1361" t="s">
        <v>3970</v>
      </c>
      <c r="E93" s="1641"/>
      <c r="F93" s="1641"/>
      <c r="G93" s="1641"/>
      <c r="H93" s="1641"/>
      <c r="I93" s="1641"/>
      <c r="J93" s="1641"/>
      <c r="K93" s="1641"/>
      <c r="L93" s="1641"/>
      <c r="M93" s="1641"/>
      <c r="N93" s="1641"/>
      <c r="O93" s="1641"/>
      <c r="P93" s="1641"/>
      <c r="Q93" s="1641"/>
      <c r="R93" s="1641"/>
      <c r="S93" s="1641"/>
      <c r="T93" s="1641"/>
      <c r="U93" s="1641"/>
      <c r="V93" s="1641"/>
      <c r="W93" s="1641"/>
      <c r="X93" s="1641"/>
      <c r="Y93" s="1641"/>
      <c r="Z93" s="1641"/>
      <c r="AA93" s="1641"/>
      <c r="AB93" s="1641"/>
      <c r="AC93" s="1641"/>
      <c r="AD93" s="1641"/>
      <c r="AE93" s="1641"/>
      <c r="AF93" s="1641"/>
      <c r="AG93" s="1641"/>
      <c r="AH93" s="1641"/>
      <c r="AI93" s="1641"/>
      <c r="AJ93" s="1641"/>
      <c r="AK93" s="1641"/>
      <c r="AL93" s="1641"/>
      <c r="AM93" s="1641"/>
      <c r="AN93" s="1641"/>
      <c r="AO93" s="1641"/>
      <c r="AP93" s="1641"/>
      <c r="AQ93" s="1641"/>
      <c r="AR93" s="1641"/>
      <c r="AS93" s="1641"/>
      <c r="AT93" s="1641"/>
      <c r="AU93" s="1641"/>
      <c r="AV93" s="1641"/>
      <c r="AW93" s="1641"/>
      <c r="AX93" s="1641"/>
      <c r="AY93" s="1641"/>
      <c r="AZ93" s="1641"/>
      <c r="BA93" s="1641"/>
      <c r="BB93" s="1641"/>
      <c r="BC93" s="1641"/>
      <c r="BD93" s="1641"/>
      <c r="BE93" s="1641"/>
      <c r="BF93" s="1641"/>
      <c r="BG93" s="1641"/>
      <c r="BH93" s="1641"/>
      <c r="BI93" s="1641"/>
      <c r="BJ93" s="1641"/>
      <c r="BK93" s="1641"/>
      <c r="BL93" s="1641"/>
      <c r="BM93" s="1641"/>
      <c r="BN93" s="1641"/>
      <c r="BO93" s="1641"/>
      <c r="BP93" s="1641"/>
      <c r="BQ93" s="1641"/>
      <c r="BR93" s="1641"/>
      <c r="BS93" s="1641"/>
      <c r="BT93" s="1641"/>
      <c r="BU93" s="1641"/>
      <c r="BV93" s="1641"/>
      <c r="BW93" s="1641"/>
      <c r="BX93" s="1641"/>
      <c r="BY93" s="1641"/>
      <c r="BZ93" s="1641"/>
      <c r="CA93" s="1641"/>
      <c r="CB93" s="1641"/>
      <c r="CC93" s="1641"/>
      <c r="CD93" s="1641"/>
      <c r="CE93" s="1641"/>
      <c r="CF93" s="1641"/>
      <c r="CG93" s="1641"/>
      <c r="CH93" s="1641"/>
      <c r="CI93" s="1641"/>
      <c r="CJ93" s="1641"/>
      <c r="CK93" s="1641"/>
      <c r="CL93" s="1641"/>
      <c r="CM93" s="1641"/>
      <c r="CN93" s="1641"/>
      <c r="CO93" s="1641"/>
      <c r="CP93" s="1641"/>
      <c r="CQ93" s="1641"/>
      <c r="CR93" s="1641"/>
      <c r="CS93" s="1641"/>
      <c r="CT93" s="1641"/>
      <c r="CU93" s="1641"/>
      <c r="CV93" s="1641"/>
      <c r="CW93" s="1641"/>
      <c r="CX93" s="1641"/>
      <c r="CY93" s="1641"/>
      <c r="CZ93" s="1641"/>
      <c r="DA93" s="1641"/>
      <c r="DB93" s="1641"/>
      <c r="DC93" s="1641"/>
      <c r="DD93" s="1641"/>
      <c r="DE93" s="1641"/>
      <c r="DF93" s="1641"/>
      <c r="DG93" s="1641"/>
      <c r="DH93" s="1641"/>
      <c r="DI93" s="1641"/>
      <c r="DJ93" s="1641"/>
      <c r="DK93" s="1641"/>
      <c r="DL93" s="1641"/>
      <c r="DM93" s="1641"/>
      <c r="DN93" s="1641"/>
      <c r="DO93" s="1641"/>
      <c r="DP93" s="1641"/>
      <c r="DQ93" s="1641"/>
      <c r="DR93" s="1641"/>
      <c r="DS93" s="1641"/>
      <c r="DT93" s="1641"/>
      <c r="DU93" s="1641"/>
      <c r="DV93" s="1641"/>
      <c r="DW93" s="1641"/>
      <c r="DX93" s="1641"/>
      <c r="DY93" s="1641"/>
      <c r="DZ93" s="1641"/>
      <c r="EA93" s="1641"/>
      <c r="EB93" s="1641"/>
      <c r="EC93" s="1641"/>
      <c r="ED93" s="1641"/>
      <c r="EE93" s="1641"/>
      <c r="EF93" s="1641"/>
      <c r="EG93" s="1641"/>
      <c r="EH93" s="1641"/>
      <c r="EI93" s="1641"/>
      <c r="EJ93" s="1641"/>
      <c r="EK93" s="1641"/>
      <c r="EL93" s="1641"/>
      <c r="EM93" s="1641"/>
      <c r="EN93" s="1641"/>
      <c r="EO93" s="1641"/>
      <c r="EP93" s="1641"/>
      <c r="EQ93" s="1641"/>
      <c r="ER93" s="1641"/>
      <c r="ES93" s="1641"/>
      <c r="ET93" s="1641"/>
      <c r="EU93" s="1641"/>
      <c r="EV93" s="1641"/>
      <c r="EW93" s="1641"/>
      <c r="EX93" s="1641"/>
      <c r="EY93" s="1641"/>
      <c r="EZ93" s="1641"/>
      <c r="FA93" s="1641"/>
      <c r="FB93" s="1641"/>
      <c r="FC93" s="1641"/>
      <c r="FD93" s="1641"/>
      <c r="FE93" s="1641"/>
      <c r="FF93" s="1641"/>
      <c r="FG93" s="1641"/>
      <c r="FH93" s="1641"/>
      <c r="FI93" s="1641"/>
      <c r="FJ93" s="1641"/>
      <c r="FK93" s="1641"/>
      <c r="FL93" s="1641"/>
      <c r="FM93" s="1641"/>
      <c r="FN93" s="1641"/>
      <c r="FO93" s="1641"/>
      <c r="FP93" s="1641"/>
      <c r="FQ93" s="1641"/>
      <c r="FR93" s="1641"/>
      <c r="FS93" s="1641"/>
      <c r="FT93" s="1641"/>
      <c r="FU93" s="1641"/>
      <c r="FV93" s="1641"/>
      <c r="FW93" s="1641"/>
      <c r="FX93" s="1641"/>
      <c r="FY93" s="1641"/>
      <c r="FZ93" s="1641"/>
      <c r="GA93" s="1641"/>
      <c r="GB93" s="1641"/>
      <c r="GC93" s="1641"/>
      <c r="GD93" s="1641"/>
      <c r="GE93" s="1641"/>
      <c r="GF93" s="1641"/>
      <c r="GG93" s="1641"/>
      <c r="GH93" s="1641"/>
      <c r="GI93" s="1641"/>
      <c r="GJ93" s="1641"/>
      <c r="GK93" s="1641"/>
      <c r="GL93" s="1641"/>
      <c r="GM93" s="1641"/>
      <c r="GN93" s="1641"/>
      <c r="GO93" s="1641"/>
      <c r="GP93" s="1641"/>
      <c r="GQ93" s="1641"/>
      <c r="GR93" s="1641"/>
      <c r="GS93" s="1641"/>
      <c r="GT93" s="1641"/>
      <c r="GU93" s="1641"/>
      <c r="GV93" s="1641"/>
      <c r="GW93" s="1641"/>
      <c r="GX93" s="1641"/>
      <c r="GY93" s="1641"/>
      <c r="GZ93" s="1641"/>
      <c r="HA93" s="1641"/>
      <c r="HB93" s="1641"/>
      <c r="HC93" s="1641"/>
      <c r="HD93" s="1641"/>
      <c r="HE93" s="1641"/>
      <c r="HF93" s="1641"/>
      <c r="HG93" s="1641"/>
      <c r="HH93" s="1641"/>
      <c r="HI93" s="1641"/>
      <c r="HJ93" s="1641"/>
      <c r="HK93" s="1641"/>
      <c r="HL93" s="1641"/>
      <c r="HM93" s="1641"/>
      <c r="HN93" s="1641"/>
      <c r="HO93" s="1641"/>
      <c r="HP93" s="1641"/>
      <c r="HQ93" s="1641"/>
      <c r="HR93" s="1641"/>
      <c r="HS93" s="1641"/>
      <c r="HT93" s="1641"/>
      <c r="HU93" s="1641"/>
      <c r="HV93" s="1641"/>
      <c r="HW93" s="1641"/>
      <c r="HX93" s="1641"/>
      <c r="HY93" s="1641"/>
      <c r="HZ93" s="1641"/>
      <c r="IA93" s="1641"/>
      <c r="IB93" s="1641"/>
      <c r="IC93" s="1641"/>
      <c r="ID93" s="1641"/>
      <c r="IE93" s="1641"/>
      <c r="IF93" s="1641"/>
      <c r="IG93" s="1641"/>
      <c r="IH93" s="1641"/>
      <c r="II93" s="1641"/>
      <c r="IJ93" s="1641"/>
      <c r="IK93" s="1641"/>
      <c r="IL93" s="1641"/>
      <c r="IM93" s="1641"/>
      <c r="IN93" s="1641"/>
      <c r="IO93" s="1641"/>
      <c r="IP93" s="1641"/>
      <c r="IQ93" s="1641"/>
      <c r="IR93" s="1641"/>
      <c r="IS93" s="1641"/>
      <c r="IT93" s="1641"/>
      <c r="IU93" s="1641"/>
      <c r="IV93" s="1641"/>
      <c r="IW93" s="1641"/>
      <c r="IX93" s="1641"/>
      <c r="IY93" s="1641"/>
      <c r="IZ93" s="1641"/>
      <c r="JA93" s="1641"/>
      <c r="JB93" s="1641"/>
      <c r="JC93" s="1641"/>
      <c r="JD93" s="1641"/>
      <c r="JE93" s="1641"/>
      <c r="JF93" s="1641"/>
      <c r="JG93" s="1641"/>
      <c r="JH93" s="1641"/>
      <c r="JI93" s="1641"/>
      <c r="JJ93" s="1641"/>
      <c r="JK93" s="1641"/>
      <c r="JL93" s="1641"/>
      <c r="JM93" s="1641"/>
      <c r="JN93" s="1641"/>
      <c r="JO93" s="1641"/>
      <c r="JP93" s="1641"/>
      <c r="JQ93" s="1641"/>
      <c r="JR93" s="351"/>
    </row>
    <row r="94" spans="1:278" x14ac:dyDescent="0.25">
      <c r="A94" s="1367">
        <v>94</v>
      </c>
      <c r="B94" s="1411" t="str">
        <f t="shared" si="11"/>
        <v/>
      </c>
      <c r="C94" s="1435" t="s">
        <v>3980</v>
      </c>
      <c r="D94" s="1361" t="s">
        <v>3970</v>
      </c>
      <c r="E94" s="2561"/>
      <c r="F94" s="2561"/>
      <c r="G94" s="2561"/>
      <c r="H94" s="2561"/>
      <c r="I94" s="2561"/>
      <c r="J94" s="2561"/>
      <c r="K94" s="2561"/>
      <c r="L94" s="2561"/>
      <c r="M94" s="2561"/>
      <c r="N94" s="2561"/>
      <c r="O94" s="2561"/>
      <c r="P94" s="2561"/>
      <c r="Q94" s="2561"/>
      <c r="R94" s="2561"/>
      <c r="S94" s="2561"/>
      <c r="T94" s="2561"/>
      <c r="U94" s="2561"/>
      <c r="V94" s="2561"/>
      <c r="W94" s="2561"/>
      <c r="X94" s="2561"/>
      <c r="Y94" s="2561"/>
      <c r="Z94" s="2561"/>
      <c r="AA94" s="2561"/>
      <c r="AB94" s="2561"/>
      <c r="AC94" s="2561"/>
      <c r="AD94" s="2561"/>
      <c r="AE94" s="2561"/>
      <c r="AF94" s="2561"/>
      <c r="AG94" s="2561"/>
      <c r="AH94" s="2561"/>
      <c r="AI94" s="2561"/>
      <c r="AJ94" s="2561"/>
      <c r="AK94" s="2561"/>
      <c r="AL94" s="2561"/>
      <c r="AM94" s="2561"/>
      <c r="AN94" s="2561"/>
      <c r="AO94" s="2561"/>
      <c r="AP94" s="2561"/>
      <c r="AQ94" s="2561"/>
      <c r="AR94" s="2561"/>
      <c r="AS94" s="2561"/>
      <c r="AT94" s="2561"/>
      <c r="AU94" s="2561"/>
      <c r="AV94" s="2561"/>
      <c r="AW94" s="2561"/>
      <c r="AX94" s="2561"/>
      <c r="AY94" s="2561"/>
      <c r="AZ94" s="2561"/>
      <c r="BA94" s="2561"/>
      <c r="BB94" s="2561"/>
      <c r="BC94" s="2561"/>
      <c r="BD94" s="2561"/>
      <c r="BE94" s="2561"/>
      <c r="BF94" s="2561"/>
      <c r="BG94" s="2561"/>
      <c r="BH94" s="2561"/>
      <c r="BI94" s="2561"/>
      <c r="BJ94" s="2561"/>
      <c r="BK94" s="2561"/>
      <c r="BL94" s="2561"/>
      <c r="BM94" s="2561"/>
      <c r="BN94" s="2561"/>
      <c r="BO94" s="2561"/>
      <c r="BP94" s="2561"/>
      <c r="BQ94" s="2561"/>
      <c r="BR94" s="2561"/>
      <c r="BS94" s="2561"/>
      <c r="BT94" s="2561"/>
      <c r="BU94" s="2561"/>
      <c r="BV94" s="2561"/>
      <c r="BW94" s="2561"/>
      <c r="BX94" s="2561"/>
      <c r="BY94" s="2561"/>
      <c r="BZ94" s="2561"/>
      <c r="CA94" s="2561"/>
      <c r="CB94" s="2561"/>
      <c r="CC94" s="2561"/>
      <c r="CD94" s="2561"/>
      <c r="CE94" s="2561"/>
      <c r="CF94" s="2561"/>
      <c r="CG94" s="2561"/>
      <c r="CH94" s="2561"/>
      <c r="CI94" s="2561"/>
      <c r="CJ94" s="1636"/>
      <c r="CK94" s="2561"/>
      <c r="CL94" s="2561"/>
      <c r="CM94" s="2561"/>
      <c r="CN94" s="2561"/>
      <c r="CO94" s="2561"/>
      <c r="CP94" s="2561"/>
      <c r="CQ94" s="2561"/>
      <c r="CR94" s="2561"/>
      <c r="CS94" s="2561"/>
      <c r="CT94" s="2561"/>
      <c r="CU94" s="2561"/>
      <c r="CV94" s="2561"/>
      <c r="CW94" s="2561"/>
      <c r="CX94" s="2561"/>
      <c r="CY94" s="2561"/>
      <c r="CZ94" s="2561"/>
      <c r="DA94" s="2561"/>
      <c r="DB94" s="2561"/>
      <c r="DC94" s="2561"/>
      <c r="DD94" s="2561"/>
      <c r="DE94" s="2561"/>
      <c r="DF94" s="2561"/>
      <c r="DG94" s="2561"/>
      <c r="DH94" s="2561"/>
      <c r="DI94" s="2561"/>
      <c r="DJ94" s="2561"/>
      <c r="DK94" s="2561"/>
      <c r="DL94" s="2561"/>
      <c r="DM94" s="2561">
        <f>DM92</f>
        <v>4845</v>
      </c>
      <c r="DN94" s="2561"/>
      <c r="DO94" s="2561"/>
      <c r="DP94" s="2561"/>
      <c r="DQ94" s="2561"/>
      <c r="DR94" s="2561"/>
      <c r="DS94" s="2561"/>
      <c r="DT94" s="2561"/>
      <c r="DU94" s="2561"/>
      <c r="DV94" s="2561"/>
      <c r="DW94" s="2561"/>
      <c r="DX94" s="2561"/>
      <c r="DY94" s="2561"/>
      <c r="DZ94" s="2561"/>
      <c r="EA94" s="2561"/>
      <c r="EB94" s="2561"/>
      <c r="EC94" s="2561"/>
      <c r="ED94" s="2561"/>
      <c r="EE94" s="2561"/>
      <c r="EF94" s="2561"/>
      <c r="EG94" s="2561"/>
      <c r="EH94" s="2561"/>
      <c r="EI94" s="2561"/>
      <c r="EJ94" s="2561"/>
      <c r="EK94" s="2561"/>
      <c r="EL94" s="2561"/>
      <c r="EM94" s="2561"/>
      <c r="EN94" s="2561"/>
      <c r="EO94" s="2561">
        <f>EO92</f>
        <v>4845</v>
      </c>
      <c r="EP94" s="2561"/>
      <c r="EQ94" s="2561"/>
      <c r="ER94" s="2561"/>
      <c r="ES94" s="2561"/>
      <c r="ET94" s="2561"/>
      <c r="EU94" s="2561"/>
      <c r="EV94" s="2561"/>
      <c r="EW94" s="2561"/>
      <c r="EX94" s="2561"/>
      <c r="EY94" s="2561"/>
      <c r="EZ94" s="2561"/>
      <c r="FA94" s="2561"/>
      <c r="FB94" s="2561"/>
      <c r="FC94" s="2561"/>
      <c r="FD94" s="2561"/>
      <c r="FE94" s="2561"/>
      <c r="FF94" s="2561"/>
      <c r="FG94" s="2561"/>
      <c r="FH94" s="2561"/>
      <c r="FI94" s="2561"/>
      <c r="FJ94" s="2561"/>
      <c r="FK94" s="2561"/>
      <c r="FL94" s="2561"/>
      <c r="FM94" s="2561"/>
      <c r="FN94" s="2561"/>
      <c r="FO94" s="2561"/>
      <c r="FP94" s="2561"/>
      <c r="FQ94" s="2561"/>
      <c r="FR94" s="2561"/>
      <c r="FS94" s="2561"/>
      <c r="FT94" s="2561"/>
      <c r="FU94" s="2561"/>
      <c r="FV94" s="2561"/>
      <c r="FW94" s="2561"/>
      <c r="FX94" s="2561"/>
      <c r="FY94" s="2561"/>
      <c r="FZ94" s="2561"/>
      <c r="GA94" s="2561"/>
      <c r="GB94" s="2561"/>
      <c r="GC94" s="2561"/>
      <c r="GD94" s="2561"/>
      <c r="GE94" s="2561"/>
      <c r="GF94" s="2561"/>
      <c r="GG94" s="2561"/>
      <c r="GH94" s="2561"/>
      <c r="GI94" s="2561"/>
      <c r="GJ94" s="2561"/>
      <c r="GK94" s="2561"/>
      <c r="GL94" s="2561"/>
      <c r="GM94" s="2561"/>
      <c r="GN94" s="2561"/>
      <c r="GO94" s="2561"/>
      <c r="GP94" s="2561"/>
      <c r="GQ94" s="2561"/>
      <c r="GR94" s="2561"/>
      <c r="GS94" s="2561"/>
      <c r="GT94" s="2561"/>
      <c r="GU94" s="2561"/>
      <c r="GV94" s="2561"/>
      <c r="GW94" s="2561"/>
      <c r="GX94" s="2561"/>
      <c r="GY94" s="2561"/>
      <c r="GZ94" s="2561"/>
      <c r="HA94" s="2561"/>
      <c r="HB94" s="2561"/>
      <c r="HC94" s="2561"/>
      <c r="HD94" s="2561"/>
      <c r="HE94" s="2561"/>
      <c r="HF94" s="2561"/>
      <c r="HG94" s="2561"/>
      <c r="HH94" s="2561"/>
      <c r="HI94" s="2561"/>
      <c r="HJ94" s="2561"/>
      <c r="HK94" s="2561"/>
      <c r="HL94" s="2561"/>
      <c r="HM94" s="2561"/>
      <c r="HN94" s="2561"/>
      <c r="HO94" s="2561"/>
      <c r="HP94" s="2561"/>
      <c r="HQ94" s="2561"/>
      <c r="HR94" s="2561"/>
      <c r="HS94" s="2561"/>
      <c r="HT94" s="2561"/>
      <c r="HU94" s="2561"/>
      <c r="HV94" s="2561"/>
      <c r="HW94" s="2561"/>
      <c r="HX94" s="2561"/>
      <c r="HY94" s="2561"/>
      <c r="HZ94" s="2561"/>
      <c r="IA94" s="2561"/>
      <c r="IB94" s="2561"/>
      <c r="IC94" s="2561"/>
      <c r="ID94" s="2561"/>
      <c r="IE94" s="2561"/>
      <c r="IF94" s="2561"/>
      <c r="IG94" s="2561"/>
      <c r="IH94" s="2561"/>
      <c r="II94" s="2561"/>
      <c r="IJ94" s="2561"/>
      <c r="IK94" s="2561"/>
      <c r="IL94" s="2561"/>
      <c r="IM94" s="2561"/>
      <c r="IN94" s="2561"/>
      <c r="IO94" s="2561"/>
      <c r="IP94" s="2561"/>
      <c r="IQ94" s="2561"/>
      <c r="IR94" s="2561"/>
      <c r="IS94" s="2561"/>
      <c r="IT94" s="2561"/>
      <c r="IU94" s="2561"/>
      <c r="IV94" s="2561"/>
      <c r="IW94" s="2561"/>
      <c r="IX94" s="2561"/>
      <c r="IY94" s="2561"/>
      <c r="IZ94" s="2561"/>
      <c r="JA94" s="2561"/>
      <c r="JB94" s="2561"/>
      <c r="JC94" s="2561"/>
      <c r="JD94" s="2561"/>
      <c r="JE94" s="2561"/>
      <c r="JF94" s="2561"/>
      <c r="JG94" s="2561"/>
      <c r="JH94" s="2561"/>
      <c r="JI94" s="2561"/>
      <c r="JJ94" s="2561"/>
      <c r="JK94" s="2561"/>
      <c r="JL94" s="2561"/>
      <c r="JM94" s="2561"/>
      <c r="JN94" s="2561"/>
      <c r="JO94" s="2561"/>
      <c r="JP94" s="2561"/>
      <c r="JQ94" s="2561"/>
      <c r="JR94" s="351"/>
    </row>
    <row r="95" spans="1:278" x14ac:dyDescent="0.25">
      <c r="A95" s="1367">
        <v>95</v>
      </c>
      <c r="B95" s="1411" t="str">
        <f t="shared" si="11"/>
        <v/>
      </c>
      <c r="C95" s="1644" t="s">
        <v>3981</v>
      </c>
      <c r="D95" s="1645" t="s">
        <v>3890</v>
      </c>
      <c r="E95" s="1641"/>
      <c r="F95" s="1641"/>
      <c r="G95" s="1641"/>
      <c r="H95" s="1641"/>
      <c r="I95" s="1641"/>
      <c r="J95" s="1641"/>
      <c r="K95" s="1641"/>
      <c r="L95" s="1641"/>
      <c r="M95" s="1641"/>
      <c r="N95" s="1641"/>
      <c r="O95" s="1641"/>
      <c r="P95" s="1641"/>
      <c r="Q95" s="1641"/>
      <c r="R95" s="1641"/>
      <c r="S95" s="1641"/>
      <c r="T95" s="1641"/>
      <c r="U95" s="1641"/>
      <c r="V95" s="1641"/>
      <c r="W95" s="1641"/>
      <c r="X95" s="1641"/>
      <c r="Y95" s="1641"/>
      <c r="Z95" s="1641"/>
      <c r="AA95" s="1641"/>
      <c r="AB95" s="1641"/>
      <c r="AC95" s="1641"/>
      <c r="AD95" s="1641"/>
      <c r="AE95" s="1641"/>
      <c r="AF95" s="1641"/>
      <c r="AG95" s="1641"/>
      <c r="AH95" s="1641"/>
      <c r="AI95" s="1641"/>
      <c r="AJ95" s="1641"/>
      <c r="AK95" s="1641"/>
      <c r="AL95" s="1641"/>
      <c r="AM95" s="1641"/>
      <c r="AN95" s="1641"/>
      <c r="AO95" s="1641"/>
      <c r="AP95" s="1641"/>
      <c r="AQ95" s="1641"/>
      <c r="AR95" s="1641"/>
      <c r="AS95" s="1641"/>
      <c r="AT95" s="1641"/>
      <c r="AU95" s="1641"/>
      <c r="AV95" s="1641"/>
      <c r="AW95" s="1641"/>
      <c r="AX95" s="1641"/>
      <c r="AY95" s="1641"/>
      <c r="AZ95" s="1641"/>
      <c r="BA95" s="1641"/>
      <c r="BB95" s="1641"/>
      <c r="BC95" s="1641"/>
      <c r="BD95" s="1641"/>
      <c r="BE95" s="1641"/>
      <c r="BF95" s="1641"/>
      <c r="BG95" s="1641"/>
      <c r="BH95" s="1641"/>
      <c r="BI95" s="1641"/>
      <c r="BJ95" s="1641"/>
      <c r="BK95" s="1641"/>
      <c r="BL95" s="1641"/>
      <c r="BM95" s="1641"/>
      <c r="BN95" s="1641"/>
      <c r="BO95" s="1641"/>
      <c r="BP95" s="1641"/>
      <c r="BQ95" s="1641"/>
      <c r="BR95" s="1641"/>
      <c r="BS95" s="1641"/>
      <c r="BT95" s="1641"/>
      <c r="BU95" s="1641"/>
      <c r="BV95" s="1641"/>
      <c r="BW95" s="1641"/>
      <c r="BX95" s="1641"/>
      <c r="BY95" s="1641"/>
      <c r="BZ95" s="1641"/>
      <c r="CA95" s="1641"/>
      <c r="CB95" s="1641"/>
      <c r="CC95" s="1641"/>
      <c r="CD95" s="1641"/>
      <c r="CE95" s="1641"/>
      <c r="CF95" s="1641"/>
      <c r="CG95" s="1641"/>
      <c r="CH95" s="1641"/>
      <c r="CI95" s="1641"/>
      <c r="CJ95" s="1641"/>
      <c r="CK95" s="1641"/>
      <c r="CL95" s="1641"/>
      <c r="CM95" s="1641"/>
      <c r="CN95" s="1641"/>
      <c r="CO95" s="1641"/>
      <c r="CP95" s="1641"/>
      <c r="CQ95" s="1641"/>
      <c r="CR95" s="1641"/>
      <c r="CS95" s="1641"/>
      <c r="CT95" s="1641"/>
      <c r="CU95" s="1641"/>
      <c r="CV95" s="1641"/>
      <c r="CW95" s="1641"/>
      <c r="CX95" s="1641"/>
      <c r="CY95" s="1641"/>
      <c r="CZ95" s="1641"/>
      <c r="DA95" s="1641"/>
      <c r="DB95" s="1641"/>
      <c r="DC95" s="1641"/>
      <c r="DD95" s="1641"/>
      <c r="DE95" s="1641"/>
      <c r="DF95" s="1641"/>
      <c r="DG95" s="1641"/>
      <c r="DH95" s="1641"/>
      <c r="DI95" s="1641"/>
      <c r="DJ95" s="1641"/>
      <c r="DK95" s="1641"/>
      <c r="DL95" s="1641"/>
      <c r="DM95" s="1641"/>
      <c r="DN95" s="1641"/>
      <c r="DO95" s="1641"/>
      <c r="DP95" s="1641"/>
      <c r="DQ95" s="1641"/>
      <c r="DR95" s="1641"/>
      <c r="DS95" s="1641"/>
      <c r="DT95" s="1641"/>
      <c r="DU95" s="1641"/>
      <c r="DV95" s="1641"/>
      <c r="DW95" s="1641"/>
      <c r="DX95" s="1641"/>
      <c r="DY95" s="1641"/>
      <c r="DZ95" s="1641"/>
      <c r="EA95" s="1641"/>
      <c r="EB95" s="1641"/>
      <c r="EC95" s="1641"/>
      <c r="ED95" s="1641"/>
      <c r="EE95" s="1641"/>
      <c r="EF95" s="1641"/>
      <c r="EG95" s="1641"/>
      <c r="EH95" s="1641"/>
      <c r="EI95" s="1641"/>
      <c r="EJ95" s="1641"/>
      <c r="EK95" s="1641"/>
      <c r="EL95" s="1641"/>
      <c r="EM95" s="1641"/>
      <c r="EN95" s="1641"/>
      <c r="EO95" s="1641"/>
      <c r="EP95" s="1641"/>
      <c r="EQ95" s="1641"/>
      <c r="ER95" s="1641"/>
      <c r="ES95" s="1641"/>
      <c r="ET95" s="1641"/>
      <c r="EU95" s="1641"/>
      <c r="EV95" s="1641"/>
      <c r="EW95" s="1641"/>
      <c r="EX95" s="1641"/>
      <c r="EY95" s="1641"/>
      <c r="EZ95" s="1641"/>
      <c r="FA95" s="1641"/>
      <c r="FB95" s="1641"/>
      <c r="FC95" s="1641"/>
      <c r="FD95" s="1641"/>
      <c r="FE95" s="1641"/>
      <c r="FF95" s="1641"/>
      <c r="FG95" s="1641"/>
      <c r="FH95" s="1641"/>
      <c r="FI95" s="1641"/>
      <c r="FJ95" s="1641"/>
      <c r="FK95" s="1641"/>
      <c r="FL95" s="1641"/>
      <c r="FM95" s="1641"/>
      <c r="FN95" s="1641"/>
      <c r="FO95" s="1641"/>
      <c r="FP95" s="1641"/>
      <c r="FQ95" s="1641"/>
      <c r="FR95" s="1641"/>
      <c r="FS95" s="1641"/>
      <c r="FT95" s="1641"/>
      <c r="FU95" s="1641"/>
      <c r="FV95" s="1641"/>
      <c r="FW95" s="1641"/>
      <c r="FX95" s="1641"/>
      <c r="FY95" s="1641"/>
      <c r="FZ95" s="1641"/>
      <c r="GA95" s="1641"/>
      <c r="GB95" s="1641"/>
      <c r="GC95" s="1641"/>
      <c r="GD95" s="1641"/>
      <c r="GE95" s="1641"/>
      <c r="GF95" s="1641"/>
      <c r="GG95" s="1641"/>
      <c r="GH95" s="1641"/>
      <c r="GI95" s="1641"/>
      <c r="GJ95" s="1641"/>
      <c r="GK95" s="1641"/>
      <c r="GL95" s="1641"/>
      <c r="GM95" s="1641"/>
      <c r="GN95" s="1641"/>
      <c r="GO95" s="1641"/>
      <c r="GP95" s="1641"/>
      <c r="GQ95" s="1641"/>
      <c r="GR95" s="1641"/>
      <c r="GS95" s="1641"/>
      <c r="GT95" s="1641"/>
      <c r="GU95" s="1641"/>
      <c r="GV95" s="1641"/>
      <c r="GW95" s="1641"/>
      <c r="GX95" s="1641"/>
      <c r="GY95" s="1641"/>
      <c r="GZ95" s="1641"/>
      <c r="HA95" s="1641"/>
      <c r="HB95" s="1641"/>
      <c r="HC95" s="1641"/>
      <c r="HD95" s="1641"/>
      <c r="HE95" s="1641"/>
      <c r="HF95" s="1641"/>
      <c r="HG95" s="1641"/>
      <c r="HH95" s="1641"/>
      <c r="HI95" s="1641"/>
      <c r="HJ95" s="1641"/>
      <c r="HK95" s="1641"/>
      <c r="HL95" s="1641"/>
      <c r="HM95" s="1641"/>
      <c r="HN95" s="1641"/>
      <c r="HO95" s="1641"/>
      <c r="HP95" s="1641"/>
      <c r="HQ95" s="1641"/>
      <c r="HR95" s="1641"/>
      <c r="HS95" s="1641"/>
      <c r="HT95" s="1641"/>
      <c r="HU95" s="1641"/>
      <c r="HV95" s="1641"/>
      <c r="HW95" s="1641"/>
      <c r="HX95" s="1641"/>
      <c r="HY95" s="1641"/>
      <c r="HZ95" s="1641"/>
      <c r="IA95" s="1641"/>
      <c r="IB95" s="1641"/>
      <c r="IC95" s="1641"/>
      <c r="ID95" s="1641"/>
      <c r="IE95" s="1641"/>
      <c r="IF95" s="1641"/>
      <c r="IG95" s="1641"/>
      <c r="IH95" s="1641"/>
      <c r="II95" s="1641"/>
      <c r="IJ95" s="1641"/>
      <c r="IK95" s="1641"/>
      <c r="IL95" s="1641"/>
      <c r="IM95" s="1641"/>
      <c r="IN95" s="1641"/>
      <c r="IO95" s="1641"/>
      <c r="IP95" s="2563"/>
      <c r="IQ95" s="2563"/>
      <c r="IR95" s="2563"/>
      <c r="IS95" s="2563"/>
      <c r="IT95" s="2563"/>
      <c r="IU95" s="2563"/>
      <c r="IV95" s="2563"/>
      <c r="IW95" s="2563"/>
      <c r="IX95" s="1641"/>
      <c r="IY95" s="1641"/>
      <c r="IZ95" s="1641"/>
      <c r="JA95" s="1641"/>
      <c r="JB95" s="1641"/>
      <c r="JC95" s="1641"/>
      <c r="JD95" s="1641"/>
      <c r="JE95" s="1641"/>
      <c r="JF95" s="1641"/>
      <c r="JG95" s="1641"/>
      <c r="JH95" s="2563"/>
      <c r="JI95" s="2563"/>
      <c r="JJ95" s="2563"/>
      <c r="JK95" s="2563"/>
      <c r="JL95" s="2563"/>
      <c r="JM95" s="2563"/>
      <c r="JN95" s="2563"/>
      <c r="JO95" s="2563"/>
      <c r="JP95" s="2563"/>
      <c r="JQ95" s="1643"/>
      <c r="JR95" s="351"/>
    </row>
    <row r="96" spans="1:278" x14ac:dyDescent="0.25">
      <c r="A96" s="1367">
        <v>96</v>
      </c>
      <c r="B96" s="1411" t="str">
        <f t="shared" ref="B96:B98" si="13">IF(FOR_IND&gt;1,IF(HLOOKUP(FOR_IND-1,FOR_RANGE,A96)="","",HLOOKUP(FOR_IND-1,FOR_RANGE,A96)),"")</f>
        <v/>
      </c>
      <c r="C96" s="1435" t="s">
        <v>3982</v>
      </c>
      <c r="D96" s="1361" t="s">
        <v>3983</v>
      </c>
      <c r="E96" s="1641"/>
      <c r="F96" s="1641"/>
      <c r="G96" s="1641"/>
      <c r="H96" s="1641"/>
      <c r="I96" s="1641"/>
      <c r="J96" s="1641"/>
      <c r="K96" s="1641"/>
      <c r="L96" s="1641"/>
      <c r="M96" s="1641"/>
      <c r="N96" s="1641"/>
      <c r="O96" s="1641"/>
      <c r="P96" s="1641"/>
      <c r="Q96" s="1641"/>
      <c r="R96" s="1641"/>
      <c r="S96" s="1641"/>
      <c r="T96" s="1641"/>
      <c r="U96" s="1641"/>
      <c r="V96" s="1641"/>
      <c r="W96" s="1641"/>
      <c r="X96" s="1641"/>
      <c r="Y96" s="1641"/>
      <c r="Z96" s="1641"/>
      <c r="AA96" s="1641"/>
      <c r="AB96" s="1641"/>
      <c r="AC96" s="1641"/>
      <c r="AD96" s="1641"/>
      <c r="AE96" s="1641"/>
      <c r="AF96" s="1641"/>
      <c r="AG96" s="1641"/>
      <c r="AH96" s="1641"/>
      <c r="AI96" s="1641"/>
      <c r="AJ96" s="1641"/>
      <c r="AK96" s="1641"/>
      <c r="AL96" s="1641"/>
      <c r="AM96" s="1641"/>
      <c r="AN96" s="1641"/>
      <c r="AO96" s="1641"/>
      <c r="AP96" s="1641"/>
      <c r="AQ96" s="1641"/>
      <c r="AR96" s="1641"/>
      <c r="AS96" s="1641"/>
      <c r="AT96" s="1641"/>
      <c r="AU96" s="1641"/>
      <c r="AV96" s="1641"/>
      <c r="AW96" s="1641"/>
      <c r="AX96" s="1641"/>
      <c r="AY96" s="1641"/>
      <c r="AZ96" s="1641"/>
      <c r="BA96" s="1641"/>
      <c r="BB96" s="1641"/>
      <c r="BC96" s="1641"/>
      <c r="BD96" s="1641"/>
      <c r="BE96" s="1641"/>
      <c r="BF96" s="1641"/>
      <c r="BG96" s="1641"/>
      <c r="BH96" s="1641"/>
      <c r="BI96" s="1641"/>
      <c r="BJ96" s="1641"/>
      <c r="BK96" s="1641"/>
      <c r="BL96" s="1641"/>
      <c r="BM96" s="1641"/>
      <c r="BN96" s="1641"/>
      <c r="BO96" s="1641"/>
      <c r="BP96" s="1641"/>
      <c r="BQ96" s="1641"/>
      <c r="BR96" s="1641"/>
      <c r="BS96" s="1641"/>
      <c r="BT96" s="1641"/>
      <c r="BU96" s="1641"/>
      <c r="BV96" s="1641"/>
      <c r="BW96" s="1641"/>
      <c r="BX96" s="1641"/>
      <c r="BY96" s="1641"/>
      <c r="BZ96" s="1641"/>
      <c r="CA96" s="1641"/>
      <c r="CB96" s="1641"/>
      <c r="CC96" s="1641"/>
      <c r="CD96" s="1641"/>
      <c r="CE96" s="1641"/>
      <c r="CF96" s="1641"/>
      <c r="CG96" s="1641"/>
      <c r="CH96" s="1641"/>
      <c r="CI96" s="1641"/>
      <c r="CJ96" s="1636"/>
      <c r="CK96" s="1641"/>
      <c r="CL96" s="1641"/>
      <c r="CM96" s="1641"/>
      <c r="CN96" s="1641"/>
      <c r="CO96" s="1641"/>
      <c r="CP96" s="1641"/>
      <c r="CQ96" s="1641"/>
      <c r="CR96" s="1641"/>
      <c r="CS96" s="1641"/>
      <c r="CT96" s="1641"/>
      <c r="CU96" s="1641"/>
      <c r="CV96" s="1641"/>
      <c r="CW96" s="1641"/>
      <c r="CX96" s="1641"/>
      <c r="CY96" s="1641"/>
      <c r="CZ96" s="1641"/>
      <c r="DA96" s="1641"/>
      <c r="DB96" s="1641"/>
      <c r="DC96" s="1641"/>
      <c r="DD96" s="1641"/>
      <c r="DE96" s="1641"/>
      <c r="DF96" s="1641"/>
      <c r="DG96" s="1641"/>
      <c r="DH96" s="1641"/>
      <c r="DI96" s="1641"/>
      <c r="DJ96" s="1641"/>
      <c r="DK96" s="1641"/>
      <c r="DL96" s="1641"/>
      <c r="DM96" s="1641">
        <v>800</v>
      </c>
      <c r="DN96" s="1641"/>
      <c r="DO96" s="1641"/>
      <c r="DP96" s="1641"/>
      <c r="DQ96" s="1641"/>
      <c r="DR96" s="1641"/>
      <c r="DS96" s="1641"/>
      <c r="DT96" s="1641"/>
      <c r="DU96" s="1641"/>
      <c r="DV96" s="1641"/>
      <c r="DW96" s="1641"/>
      <c r="DX96" s="1641"/>
      <c r="DY96" s="1641"/>
      <c r="DZ96" s="1641"/>
      <c r="EA96" s="1641"/>
      <c r="EB96" s="1641"/>
      <c r="EC96" s="1641"/>
      <c r="ED96" s="1641"/>
      <c r="EE96" s="1641"/>
      <c r="EF96" s="1641"/>
      <c r="EG96" s="1641"/>
      <c r="EH96" s="1641"/>
      <c r="EI96" s="1641"/>
      <c r="EJ96" s="1641"/>
      <c r="EK96" s="1641"/>
      <c r="EL96" s="1641"/>
      <c r="EM96" s="1641"/>
      <c r="EN96" s="1641"/>
      <c r="EO96" s="1641">
        <v>800</v>
      </c>
      <c r="EP96" s="1641"/>
      <c r="EQ96" s="1641"/>
      <c r="ER96" s="1641"/>
      <c r="ES96" s="1641"/>
      <c r="ET96" s="1641"/>
      <c r="EU96" s="1641"/>
      <c r="EV96" s="1641"/>
      <c r="EW96" s="1641"/>
      <c r="EX96" s="1641"/>
      <c r="EY96" s="1641"/>
      <c r="EZ96" s="1641"/>
      <c r="FA96" s="1641"/>
      <c r="FB96" s="1641"/>
      <c r="FC96" s="1641"/>
      <c r="FD96" s="1641"/>
      <c r="FE96" s="1641"/>
      <c r="FF96" s="1641"/>
      <c r="FG96" s="1641"/>
      <c r="FH96" s="1641"/>
      <c r="FI96" s="1641"/>
      <c r="FJ96" s="1641"/>
      <c r="FK96" s="1641"/>
      <c r="FL96" s="1641"/>
      <c r="FM96" s="1641"/>
      <c r="FN96" s="1641"/>
      <c r="FO96" s="1641"/>
      <c r="FP96" s="1641"/>
      <c r="FQ96" s="1641"/>
      <c r="FR96" s="1641"/>
      <c r="FS96" s="1641"/>
      <c r="FT96" s="1641"/>
      <c r="FU96" s="1641"/>
      <c r="FV96" s="1641"/>
      <c r="FW96" s="1641"/>
      <c r="FX96" s="1641"/>
      <c r="FY96" s="1641"/>
      <c r="FZ96" s="1641"/>
      <c r="GA96" s="1641"/>
      <c r="GB96" s="1641"/>
      <c r="GC96" s="1641"/>
      <c r="GD96" s="1641"/>
      <c r="GE96" s="1641"/>
      <c r="GF96" s="1641"/>
      <c r="GG96" s="1641"/>
      <c r="GH96" s="1641"/>
      <c r="GI96" s="1641"/>
      <c r="GJ96" s="1641"/>
      <c r="GK96" s="1641"/>
      <c r="GL96" s="1641"/>
      <c r="GM96" s="1641"/>
      <c r="GN96" s="1641"/>
      <c r="GO96" s="1641"/>
      <c r="GP96" s="1641"/>
      <c r="GQ96" s="1641"/>
      <c r="GR96" s="1641"/>
      <c r="GS96" s="1641"/>
      <c r="GT96" s="1641"/>
      <c r="GU96" s="1641"/>
      <c r="GV96" s="1641"/>
      <c r="GW96" s="1641"/>
      <c r="GX96" s="1641"/>
      <c r="GY96" s="1641"/>
      <c r="GZ96" s="1641"/>
      <c r="HA96" s="1641"/>
      <c r="HB96" s="1641"/>
      <c r="HC96" s="1641"/>
      <c r="HD96" s="1641"/>
      <c r="HE96" s="1641"/>
      <c r="HF96" s="1641"/>
      <c r="HG96" s="1641"/>
      <c r="HH96" s="1641"/>
      <c r="HI96" s="1641"/>
      <c r="HJ96" s="1641"/>
      <c r="HK96" s="1641"/>
      <c r="HL96" s="1641"/>
      <c r="HM96" s="1641"/>
      <c r="HN96" s="1641"/>
      <c r="HO96" s="1641"/>
      <c r="HP96" s="1641"/>
      <c r="HQ96" s="1641"/>
      <c r="HR96" s="1641"/>
      <c r="HS96" s="1641"/>
      <c r="HT96" s="1641"/>
      <c r="HU96" s="1641"/>
      <c r="HV96" s="1641"/>
      <c r="HW96" s="1641"/>
      <c r="HX96" s="1641"/>
      <c r="HY96" s="1641"/>
      <c r="HZ96" s="1641"/>
      <c r="IA96" s="1641"/>
      <c r="IB96" s="1641"/>
      <c r="IC96" s="1641"/>
      <c r="ID96" s="1641"/>
      <c r="IE96" s="1641"/>
      <c r="IF96" s="1641"/>
      <c r="IG96" s="1641"/>
      <c r="IH96" s="1641"/>
      <c r="II96" s="1641"/>
      <c r="IJ96" s="1641"/>
      <c r="IK96" s="1641"/>
      <c r="IL96" s="1641"/>
      <c r="IM96" s="1641"/>
      <c r="IN96" s="1641"/>
      <c r="IO96" s="1641"/>
      <c r="IP96" s="1642"/>
      <c r="IQ96" s="1642"/>
      <c r="IR96" s="1642"/>
      <c r="IS96" s="1642"/>
      <c r="IT96" s="1642"/>
      <c r="IU96" s="1642"/>
      <c r="IV96" s="1642"/>
      <c r="IW96" s="1642"/>
      <c r="IX96" s="1641"/>
      <c r="IY96" s="1641"/>
      <c r="IZ96" s="1641"/>
      <c r="JA96" s="1641"/>
      <c r="JB96" s="1641"/>
      <c r="JC96" s="1641"/>
      <c r="JD96" s="1641"/>
      <c r="JE96" s="1641"/>
      <c r="JF96" s="1641"/>
      <c r="JG96" s="1641"/>
      <c r="JH96" s="1642"/>
      <c r="JI96" s="1642"/>
      <c r="JJ96" s="1642"/>
      <c r="JK96" s="1642"/>
      <c r="JL96" s="1642"/>
      <c r="JM96" s="1642"/>
      <c r="JN96" s="1642"/>
      <c r="JO96" s="1642"/>
      <c r="JP96" s="1642"/>
      <c r="JQ96" s="1643"/>
      <c r="JR96" s="351"/>
    </row>
    <row r="97" spans="1:278" x14ac:dyDescent="0.25">
      <c r="A97" s="1367">
        <v>97</v>
      </c>
      <c r="B97" s="1411" t="str">
        <f t="shared" si="13"/>
        <v/>
      </c>
      <c r="C97" s="1435" t="s">
        <v>3984</v>
      </c>
      <c r="D97" s="1361" t="s">
        <v>3985</v>
      </c>
      <c r="E97" s="1641"/>
      <c r="F97" s="1641"/>
      <c r="G97" s="1641"/>
      <c r="H97" s="1641"/>
      <c r="I97" s="1641"/>
      <c r="J97" s="1641"/>
      <c r="K97" s="1641"/>
      <c r="L97" s="1641"/>
      <c r="M97" s="1641"/>
      <c r="N97" s="1641"/>
      <c r="O97" s="1641"/>
      <c r="P97" s="1641"/>
      <c r="Q97" s="1641"/>
      <c r="R97" s="1641"/>
      <c r="S97" s="1641"/>
      <c r="T97" s="1641"/>
      <c r="U97" s="1641"/>
      <c r="V97" s="1641"/>
      <c r="W97" s="1641"/>
      <c r="X97" s="1641"/>
      <c r="Y97" s="1641"/>
      <c r="Z97" s="1641"/>
      <c r="AA97" s="1641"/>
      <c r="AB97" s="1641"/>
      <c r="AC97" s="1641"/>
      <c r="AD97" s="1641"/>
      <c r="AE97" s="1641"/>
      <c r="AF97" s="1641"/>
      <c r="AG97" s="1641"/>
      <c r="AH97" s="1641"/>
      <c r="AI97" s="1641"/>
      <c r="AJ97" s="1641"/>
      <c r="AK97" s="1641"/>
      <c r="AL97" s="1641"/>
      <c r="AM97" s="1641"/>
      <c r="AN97" s="1641"/>
      <c r="AO97" s="1641"/>
      <c r="AP97" s="1641"/>
      <c r="AQ97" s="1641"/>
      <c r="AR97" s="1641"/>
      <c r="AS97" s="1641"/>
      <c r="AT97" s="1641"/>
      <c r="AU97" s="1641"/>
      <c r="AV97" s="1641"/>
      <c r="AW97" s="1641"/>
      <c r="AX97" s="1641"/>
      <c r="AY97" s="1641"/>
      <c r="AZ97" s="1641"/>
      <c r="BA97" s="1641"/>
      <c r="BB97" s="1641"/>
      <c r="BC97" s="1641"/>
      <c r="BD97" s="1641"/>
      <c r="BE97" s="1641"/>
      <c r="BF97" s="1641"/>
      <c r="BG97" s="1641"/>
      <c r="BH97" s="1641"/>
      <c r="BI97" s="1641"/>
      <c r="BJ97" s="1641"/>
      <c r="BK97" s="1641"/>
      <c r="BL97" s="1641"/>
      <c r="BM97" s="1641"/>
      <c r="BN97" s="1641"/>
      <c r="BO97" s="1641"/>
      <c r="BP97" s="1641"/>
      <c r="BQ97" s="1641"/>
      <c r="BR97" s="1641"/>
      <c r="BS97" s="1641"/>
      <c r="BT97" s="1641"/>
      <c r="BU97" s="1641"/>
      <c r="BV97" s="1641"/>
      <c r="BW97" s="1641"/>
      <c r="BX97" s="1641"/>
      <c r="BY97" s="1641"/>
      <c r="BZ97" s="1641"/>
      <c r="CA97" s="1641"/>
      <c r="CB97" s="1641"/>
      <c r="CC97" s="1641"/>
      <c r="CD97" s="1641"/>
      <c r="CE97" s="1641"/>
      <c r="CF97" s="1641"/>
      <c r="CG97" s="1641"/>
      <c r="CH97" s="1641"/>
      <c r="CI97" s="1641"/>
      <c r="CJ97" s="1636"/>
      <c r="CK97" s="1641"/>
      <c r="CL97" s="1641"/>
      <c r="CM97" s="1641"/>
      <c r="CN97" s="1641"/>
      <c r="CO97" s="1641"/>
      <c r="CP97" s="1641"/>
      <c r="CQ97" s="1641"/>
      <c r="CR97" s="1641"/>
      <c r="CS97" s="1641"/>
      <c r="CT97" s="1641"/>
      <c r="CU97" s="1641"/>
      <c r="CV97" s="1641"/>
      <c r="CW97" s="1641"/>
      <c r="CX97" s="1641"/>
      <c r="CY97" s="1641"/>
      <c r="CZ97" s="1641"/>
      <c r="DA97" s="1641"/>
      <c r="DB97" s="1641"/>
      <c r="DC97" s="1641"/>
      <c r="DD97" s="1641"/>
      <c r="DE97" s="1641"/>
      <c r="DF97" s="1641"/>
      <c r="DG97" s="1641"/>
      <c r="DH97" s="1641"/>
      <c r="DI97" s="1641"/>
      <c r="DJ97" s="1641"/>
      <c r="DK97" s="1641"/>
      <c r="DL97" s="1641"/>
      <c r="DM97" s="1641">
        <v>100</v>
      </c>
      <c r="DN97" s="1641"/>
      <c r="DO97" s="1641"/>
      <c r="DP97" s="1641"/>
      <c r="DQ97" s="1641"/>
      <c r="DR97" s="1641"/>
      <c r="DS97" s="1641"/>
      <c r="DT97" s="1641"/>
      <c r="DU97" s="1641"/>
      <c r="DV97" s="1641"/>
      <c r="DW97" s="1641"/>
      <c r="DX97" s="1641"/>
      <c r="DY97" s="1641"/>
      <c r="DZ97" s="1641"/>
      <c r="EA97" s="1641"/>
      <c r="EB97" s="1641"/>
      <c r="EC97" s="1641"/>
      <c r="ED97" s="1641"/>
      <c r="EE97" s="1641"/>
      <c r="EF97" s="1641"/>
      <c r="EG97" s="1641"/>
      <c r="EH97" s="1641"/>
      <c r="EI97" s="1641"/>
      <c r="EJ97" s="1641"/>
      <c r="EK97" s="1641"/>
      <c r="EL97" s="1641"/>
      <c r="EM97" s="1641"/>
      <c r="EN97" s="1641"/>
      <c r="EO97" s="1641">
        <v>100</v>
      </c>
      <c r="EP97" s="1641"/>
      <c r="EQ97" s="1641"/>
      <c r="ER97" s="1641"/>
      <c r="ES97" s="1641"/>
      <c r="ET97" s="1641"/>
      <c r="EU97" s="1641"/>
      <c r="EV97" s="1641"/>
      <c r="EW97" s="1641"/>
      <c r="EX97" s="1641"/>
      <c r="EY97" s="1641"/>
      <c r="EZ97" s="1641"/>
      <c r="FA97" s="1641"/>
      <c r="FB97" s="1641"/>
      <c r="FC97" s="1641"/>
      <c r="FD97" s="1641"/>
      <c r="FE97" s="1641"/>
      <c r="FF97" s="1641"/>
      <c r="FG97" s="1641"/>
      <c r="FH97" s="1641"/>
      <c r="FI97" s="1641"/>
      <c r="FJ97" s="1641"/>
      <c r="FK97" s="1641"/>
      <c r="FL97" s="1641"/>
      <c r="FM97" s="1641"/>
      <c r="FN97" s="1641"/>
      <c r="FO97" s="1641"/>
      <c r="FP97" s="1641"/>
      <c r="FQ97" s="1641"/>
      <c r="FR97" s="1641"/>
      <c r="FS97" s="1641"/>
      <c r="FT97" s="1641"/>
      <c r="FU97" s="1641"/>
      <c r="FV97" s="1641"/>
      <c r="FW97" s="1641"/>
      <c r="FX97" s="1641"/>
      <c r="FY97" s="1641"/>
      <c r="FZ97" s="1641"/>
      <c r="GA97" s="1641"/>
      <c r="GB97" s="1641"/>
      <c r="GC97" s="1641"/>
      <c r="GD97" s="1641"/>
      <c r="GE97" s="1641"/>
      <c r="GF97" s="1641"/>
      <c r="GG97" s="1641"/>
      <c r="GH97" s="1641"/>
      <c r="GI97" s="1641"/>
      <c r="GJ97" s="1641"/>
      <c r="GK97" s="1641"/>
      <c r="GL97" s="1641"/>
      <c r="GM97" s="1641"/>
      <c r="GN97" s="1641"/>
      <c r="GO97" s="1641"/>
      <c r="GP97" s="1641"/>
      <c r="GQ97" s="1641"/>
      <c r="GR97" s="1641"/>
      <c r="GS97" s="1641"/>
      <c r="GT97" s="1641"/>
      <c r="GU97" s="1641"/>
      <c r="GV97" s="1641"/>
      <c r="GW97" s="1641"/>
      <c r="GX97" s="1641"/>
      <c r="GY97" s="1641"/>
      <c r="GZ97" s="1641"/>
      <c r="HA97" s="1641"/>
      <c r="HB97" s="1641"/>
      <c r="HC97" s="1641"/>
      <c r="HD97" s="1641"/>
      <c r="HE97" s="1641"/>
      <c r="HF97" s="1641"/>
      <c r="HG97" s="1641"/>
      <c r="HH97" s="1641"/>
      <c r="HI97" s="1641"/>
      <c r="HJ97" s="1641"/>
      <c r="HK97" s="1641"/>
      <c r="HL97" s="1641"/>
      <c r="HM97" s="1641"/>
      <c r="HN97" s="1641"/>
      <c r="HO97" s="1641"/>
      <c r="HP97" s="1641"/>
      <c r="HQ97" s="1641"/>
      <c r="HR97" s="1641"/>
      <c r="HS97" s="1641"/>
      <c r="HT97" s="1641"/>
      <c r="HU97" s="1641"/>
      <c r="HV97" s="1641"/>
      <c r="HW97" s="1641"/>
      <c r="HX97" s="1641"/>
      <c r="HY97" s="1641"/>
      <c r="HZ97" s="1641"/>
      <c r="IA97" s="1641"/>
      <c r="IB97" s="1641"/>
      <c r="IC97" s="1641"/>
      <c r="ID97" s="1641"/>
      <c r="IE97" s="1641"/>
      <c r="IF97" s="1641"/>
      <c r="IG97" s="1641"/>
      <c r="IH97" s="1641"/>
      <c r="II97" s="1641"/>
      <c r="IJ97" s="1641"/>
      <c r="IK97" s="1641"/>
      <c r="IL97" s="1641"/>
      <c r="IM97" s="1641"/>
      <c r="IN97" s="1641"/>
      <c r="IO97" s="1641"/>
      <c r="IP97" s="1607"/>
      <c r="IQ97" s="1607"/>
      <c r="IR97" s="1607"/>
      <c r="IS97" s="1607"/>
      <c r="IT97" s="1607"/>
      <c r="IU97" s="1607"/>
      <c r="IV97" s="1607"/>
      <c r="IW97" s="1607"/>
      <c r="IX97" s="1641"/>
      <c r="IY97" s="1641"/>
      <c r="IZ97" s="1641"/>
      <c r="JA97" s="1641"/>
      <c r="JB97" s="1641"/>
      <c r="JC97" s="1641"/>
      <c r="JD97" s="1641"/>
      <c r="JE97" s="1641"/>
      <c r="JF97" s="1641"/>
      <c r="JG97" s="1641"/>
      <c r="JH97" s="1607"/>
      <c r="JI97" s="1607"/>
      <c r="JJ97" s="1607"/>
      <c r="JK97" s="1607"/>
      <c r="JL97" s="1607"/>
      <c r="JM97" s="1607"/>
      <c r="JN97" s="1607"/>
      <c r="JO97" s="1607"/>
      <c r="JP97" s="1607"/>
      <c r="JQ97" s="2565"/>
      <c r="JR97" s="351"/>
    </row>
    <row r="98" spans="1:278" x14ac:dyDescent="0.25">
      <c r="A98" s="1367">
        <v>98</v>
      </c>
      <c r="B98" s="1411" t="str">
        <f t="shared" si="13"/>
        <v/>
      </c>
      <c r="C98" s="1435" t="s">
        <v>3986</v>
      </c>
      <c r="D98" s="1361" t="s">
        <v>3987</v>
      </c>
      <c r="E98" s="1641"/>
      <c r="F98" s="1641"/>
      <c r="G98" s="1641"/>
      <c r="H98" s="1641"/>
      <c r="I98" s="1641"/>
      <c r="J98" s="1641"/>
      <c r="K98" s="1641"/>
      <c r="L98" s="1641"/>
      <c r="M98" s="1641"/>
      <c r="N98" s="1641"/>
      <c r="O98" s="1641"/>
      <c r="P98" s="1641"/>
      <c r="Q98" s="1641"/>
      <c r="R98" s="1641"/>
      <c r="S98" s="1641"/>
      <c r="T98" s="1641"/>
      <c r="U98" s="1641"/>
      <c r="V98" s="1641"/>
      <c r="W98" s="1641"/>
      <c r="X98" s="1641"/>
      <c r="Y98" s="1641"/>
      <c r="Z98" s="1641"/>
      <c r="AA98" s="1641"/>
      <c r="AB98" s="1641"/>
      <c r="AC98" s="1641"/>
      <c r="AD98" s="1641"/>
      <c r="AE98" s="1641"/>
      <c r="AF98" s="1641"/>
      <c r="AG98" s="1641"/>
      <c r="AH98" s="1641"/>
      <c r="AI98" s="1641"/>
      <c r="AJ98" s="1641"/>
      <c r="AK98" s="1641"/>
      <c r="AL98" s="1641"/>
      <c r="AM98" s="1641"/>
      <c r="AN98" s="1641"/>
      <c r="AO98" s="1641"/>
      <c r="AP98" s="1641"/>
      <c r="AQ98" s="1641"/>
      <c r="AR98" s="1641"/>
      <c r="AS98" s="1641"/>
      <c r="AT98" s="1641"/>
      <c r="AU98" s="1641"/>
      <c r="AV98" s="1641"/>
      <c r="AW98" s="1641"/>
      <c r="AX98" s="1641"/>
      <c r="AY98" s="1641"/>
      <c r="AZ98" s="1641"/>
      <c r="BA98" s="1641"/>
      <c r="BB98" s="1636">
        <v>9250</v>
      </c>
      <c r="BC98" s="1641">
        <v>12789</v>
      </c>
      <c r="BD98" s="1641">
        <v>9050</v>
      </c>
      <c r="BE98" s="1641"/>
      <c r="BF98" s="1641"/>
      <c r="BG98" s="1641"/>
      <c r="BH98" s="1641"/>
      <c r="BI98" s="1641"/>
      <c r="BJ98" s="1636">
        <v>13310</v>
      </c>
      <c r="BK98" s="1641"/>
      <c r="BL98" s="1641"/>
      <c r="BM98" s="1641"/>
      <c r="BN98" s="1641"/>
      <c r="BO98" s="1641"/>
      <c r="BP98" s="1641"/>
      <c r="BQ98" s="1641"/>
      <c r="BR98" s="1641"/>
      <c r="BS98" s="1641"/>
      <c r="BT98" s="1641"/>
      <c r="BU98" s="1641"/>
      <c r="BV98" s="1641"/>
      <c r="BW98" s="1641"/>
      <c r="BX98" s="1641"/>
      <c r="BY98" s="1641"/>
      <c r="BZ98" s="1641"/>
      <c r="CA98" s="1641"/>
      <c r="CB98" s="1636">
        <v>12475</v>
      </c>
      <c r="CC98" s="1641"/>
      <c r="CD98" s="1641"/>
      <c r="CE98" s="1641"/>
      <c r="CF98" s="1641"/>
      <c r="CG98" s="1641"/>
      <c r="CH98" s="1641"/>
      <c r="CI98" s="1641"/>
      <c r="CJ98" s="1636">
        <v>147890</v>
      </c>
      <c r="CK98" s="1641"/>
      <c r="CL98" s="1641"/>
      <c r="CM98" s="1641"/>
      <c r="CN98" s="1641"/>
      <c r="CO98" s="1641"/>
      <c r="CP98" s="1641"/>
      <c r="CQ98" s="1641"/>
      <c r="CR98" s="1641"/>
      <c r="CS98" s="1641"/>
      <c r="CT98" s="1641"/>
      <c r="CU98" s="1641"/>
      <c r="CV98" s="1641"/>
      <c r="CW98" s="1641"/>
      <c r="CX98" s="1641"/>
      <c r="CY98" s="1641"/>
      <c r="CZ98" s="1641"/>
      <c r="DA98" s="1641"/>
      <c r="DB98" s="1641"/>
      <c r="DC98" s="1641"/>
      <c r="DD98" s="1641"/>
      <c r="DE98" s="1641"/>
      <c r="DF98" s="1641"/>
      <c r="DG98" s="1641"/>
      <c r="DH98" s="1641"/>
      <c r="DI98" s="1641"/>
      <c r="DJ98" s="1641"/>
      <c r="DK98" s="1641"/>
      <c r="DL98" s="1641"/>
      <c r="DM98" s="1641"/>
      <c r="DN98" s="1641"/>
      <c r="DO98" s="1641"/>
      <c r="DP98" s="1641"/>
      <c r="DQ98" s="1641"/>
      <c r="DR98" s="1641"/>
      <c r="DS98" s="1641"/>
      <c r="DT98" s="1641"/>
      <c r="DU98" s="1641"/>
      <c r="DV98" s="1641"/>
      <c r="DW98" s="1641"/>
      <c r="DX98" s="1641"/>
      <c r="DY98" s="1641"/>
      <c r="DZ98" s="1641"/>
      <c r="EA98" s="1641"/>
      <c r="EB98" s="1641"/>
      <c r="EC98" s="1641"/>
      <c r="ED98" s="1641"/>
      <c r="EE98" s="1641"/>
      <c r="EF98" s="1641"/>
      <c r="EG98" s="1641"/>
      <c r="EH98" s="1641"/>
      <c r="EI98" s="1641"/>
      <c r="EJ98" s="1641"/>
      <c r="EK98" s="1641"/>
      <c r="EL98" s="1641"/>
      <c r="EM98" s="1641"/>
      <c r="EN98" s="1641"/>
      <c r="EO98" s="1641"/>
      <c r="EP98" s="1641"/>
      <c r="EQ98" s="1641"/>
      <c r="ER98" s="1641"/>
      <c r="ES98" s="1641"/>
      <c r="ET98" s="1641"/>
      <c r="EU98" s="1641"/>
      <c r="EV98" s="1641"/>
      <c r="EW98" s="1641"/>
      <c r="EX98" s="1641"/>
      <c r="EY98" s="1641"/>
      <c r="EZ98" s="1641">
        <v>1191.3900000000001</v>
      </c>
      <c r="FA98" s="1641"/>
      <c r="FB98" s="1641"/>
      <c r="FC98" s="1641"/>
      <c r="FD98" s="1641"/>
      <c r="FE98" s="1641"/>
      <c r="FF98" s="1641"/>
      <c r="FG98" s="1641"/>
      <c r="FH98" s="1641"/>
      <c r="FI98" s="1641"/>
      <c r="FJ98" s="1641"/>
      <c r="FK98" s="1641"/>
      <c r="FL98" s="1641"/>
      <c r="FM98" s="1641"/>
      <c r="FN98" s="1641"/>
      <c r="FO98" s="1641"/>
      <c r="FP98" s="1641"/>
      <c r="FQ98" s="1641"/>
      <c r="FR98" s="1641"/>
      <c r="FS98" s="1641"/>
      <c r="FT98" s="1641"/>
      <c r="FU98" s="1641"/>
      <c r="FV98" s="1641"/>
      <c r="FW98" s="1641"/>
      <c r="FX98" s="1641"/>
      <c r="FY98" s="1641"/>
      <c r="FZ98" s="1641"/>
      <c r="GA98" s="1641"/>
      <c r="GB98" s="1641"/>
      <c r="GC98" s="1641"/>
      <c r="GD98" s="1641"/>
      <c r="GE98" s="1641"/>
      <c r="GF98" s="1641">
        <v>3702</v>
      </c>
      <c r="GG98" s="1641"/>
      <c r="GH98" s="1641"/>
      <c r="GI98" s="1641"/>
      <c r="GJ98" s="1641"/>
      <c r="GK98" s="1641"/>
      <c r="GL98" s="1641"/>
      <c r="GM98" s="1641"/>
      <c r="GN98" s="1641"/>
      <c r="GO98" s="1641"/>
      <c r="GP98" s="1641"/>
      <c r="GQ98" s="1641"/>
      <c r="GR98" s="1641"/>
      <c r="GS98" s="1641"/>
      <c r="GT98" s="1641"/>
      <c r="GU98" s="1641"/>
      <c r="GV98" s="1641"/>
      <c r="GW98" s="1641"/>
      <c r="GX98" s="1641"/>
      <c r="GY98" s="1641"/>
      <c r="GZ98" s="1641"/>
      <c r="HA98" s="1641"/>
      <c r="HB98" s="1641"/>
      <c r="HC98" s="1641"/>
      <c r="HD98" s="1641"/>
      <c r="HE98" s="1641"/>
      <c r="HF98" s="1641"/>
      <c r="HG98" s="1641"/>
      <c r="HH98" s="1641">
        <v>2110</v>
      </c>
      <c r="HI98" s="1641"/>
      <c r="HJ98" s="1641"/>
      <c r="HK98" s="1641"/>
      <c r="HL98" s="1641"/>
      <c r="HM98" s="1641"/>
      <c r="HN98" s="1641"/>
      <c r="HO98" s="1641"/>
      <c r="HP98" s="1641"/>
      <c r="HQ98" s="1641"/>
      <c r="HR98" s="1641"/>
      <c r="HS98" s="1641"/>
      <c r="HT98" s="1641"/>
      <c r="HU98" s="1641"/>
      <c r="HV98" s="1641"/>
      <c r="HW98" s="1641"/>
      <c r="HX98" s="1641"/>
      <c r="HY98" s="1641"/>
      <c r="HZ98" s="1641"/>
      <c r="IA98" s="1641"/>
      <c r="IB98" s="1641"/>
      <c r="IC98" s="1641"/>
      <c r="ID98" s="1641"/>
      <c r="IE98" s="1641"/>
      <c r="IF98" s="1641"/>
      <c r="IG98" s="1641"/>
      <c r="IH98" s="1641"/>
      <c r="II98" s="1641"/>
      <c r="IJ98" s="1641"/>
      <c r="IK98" s="1641"/>
      <c r="IL98" s="1641"/>
      <c r="IM98" s="1641"/>
      <c r="IN98" s="1641"/>
      <c r="IO98" s="1641"/>
      <c r="IP98" s="1637"/>
      <c r="IQ98" s="1637"/>
      <c r="IR98" s="1637"/>
      <c r="IS98" s="1637"/>
      <c r="IT98" s="1637"/>
      <c r="IU98" s="1637"/>
      <c r="IV98" s="1637"/>
      <c r="IW98" s="1637"/>
      <c r="IX98" s="1641"/>
      <c r="IY98" s="1641"/>
      <c r="IZ98" s="1641"/>
      <c r="JA98" s="1641"/>
      <c r="JB98" s="1641"/>
      <c r="JC98" s="1641"/>
      <c r="JD98" s="1641"/>
      <c r="JE98" s="1641">
        <v>3602</v>
      </c>
      <c r="JF98" s="1641"/>
      <c r="JG98" s="1641"/>
      <c r="JH98" s="1637"/>
      <c r="JI98" s="1637"/>
      <c r="JJ98" s="1637"/>
      <c r="JK98" s="1637"/>
      <c r="JL98" s="1637"/>
      <c r="JM98" s="1637"/>
      <c r="JN98" s="1637"/>
      <c r="JO98" s="1637"/>
      <c r="JP98" s="1637"/>
      <c r="JQ98" s="1640"/>
      <c r="JR98" s="351"/>
    </row>
    <row r="99" spans="1:278" x14ac:dyDescent="0.25">
      <c r="A99" s="1367">
        <v>99</v>
      </c>
      <c r="B99" s="1411" t="str">
        <f t="shared" ref="B99:B109" si="14">IF(FOR_IND&gt;1,IF(HLOOKUP(FOR_IND-1,FOR_RANGE,A99)="","",HLOOKUP(FOR_IND-1,FOR_RANGE,A99)),"")</f>
        <v/>
      </c>
      <c r="C99" s="1435" t="s">
        <v>3988</v>
      </c>
      <c r="D99" s="1361" t="s">
        <v>3989</v>
      </c>
      <c r="E99" s="1641"/>
      <c r="F99" s="1641"/>
      <c r="G99" s="1641"/>
      <c r="H99" s="1641"/>
      <c r="I99" s="1641"/>
      <c r="J99" s="1641"/>
      <c r="K99" s="1641"/>
      <c r="L99" s="1641"/>
      <c r="M99" s="1641"/>
      <c r="N99" s="1641"/>
      <c r="O99" s="1641"/>
      <c r="P99" s="1641"/>
      <c r="Q99" s="1641"/>
      <c r="R99" s="1641"/>
      <c r="S99" s="1641"/>
      <c r="T99" s="1641"/>
      <c r="U99" s="1641"/>
      <c r="V99" s="1641"/>
      <c r="W99" s="1641"/>
      <c r="X99" s="1641"/>
      <c r="Y99" s="1641"/>
      <c r="Z99" s="1641"/>
      <c r="AA99" s="1641"/>
      <c r="AB99" s="1641"/>
      <c r="AC99" s="1641"/>
      <c r="AD99" s="1641"/>
      <c r="AE99" s="1641"/>
      <c r="AF99" s="1641"/>
      <c r="AG99" s="1641"/>
      <c r="AH99" s="1641"/>
      <c r="AI99" s="1641"/>
      <c r="AJ99" s="1641"/>
      <c r="AK99" s="1641"/>
      <c r="AL99" s="1641"/>
      <c r="AM99" s="1641"/>
      <c r="AN99" s="1641"/>
      <c r="AO99" s="1641"/>
      <c r="AP99" s="1641"/>
      <c r="AQ99" s="1641"/>
      <c r="AR99" s="1641"/>
      <c r="AS99" s="1641"/>
      <c r="AT99" s="1641"/>
      <c r="AU99" s="1641"/>
      <c r="AV99" s="1641"/>
      <c r="AW99" s="1641"/>
      <c r="AX99" s="1641"/>
      <c r="AY99" s="1641"/>
      <c r="AZ99" s="1641"/>
      <c r="BA99" s="1641"/>
      <c r="BB99" s="1641"/>
      <c r="BC99" s="1641"/>
      <c r="BD99" s="1641"/>
      <c r="BE99" s="1641"/>
      <c r="BF99" s="1641"/>
      <c r="BG99" s="1641"/>
      <c r="BH99" s="1641"/>
      <c r="BI99" s="1641"/>
      <c r="BJ99" s="1636">
        <v>1000</v>
      </c>
      <c r="BK99" s="1641"/>
      <c r="BL99" s="1641"/>
      <c r="BM99" s="1641"/>
      <c r="BN99" s="1641"/>
      <c r="BO99" s="1641"/>
      <c r="BP99" s="1641"/>
      <c r="BQ99" s="1641"/>
      <c r="BR99" s="1641"/>
      <c r="BS99" s="1641"/>
      <c r="BT99" s="1641"/>
      <c r="BU99" s="1641"/>
      <c r="BV99" s="1641"/>
      <c r="BW99" s="1641"/>
      <c r="BX99" s="1641"/>
      <c r="BY99" s="1641"/>
      <c r="BZ99" s="1641"/>
      <c r="CA99" s="1641"/>
      <c r="CB99" s="1641"/>
      <c r="CC99" s="1641"/>
      <c r="CD99" s="1641"/>
      <c r="CE99" s="1641"/>
      <c r="CF99" s="1641"/>
      <c r="CG99" s="1641"/>
      <c r="CH99" s="1641"/>
      <c r="CI99" s="1641"/>
      <c r="CJ99" s="1641"/>
      <c r="CK99" s="1641"/>
      <c r="CL99" s="1641"/>
      <c r="CM99" s="1641"/>
      <c r="CN99" s="1641"/>
      <c r="CO99" s="1641"/>
      <c r="CP99" s="1641"/>
      <c r="CQ99" s="1641"/>
      <c r="CR99" s="1641"/>
      <c r="CS99" s="1641"/>
      <c r="CT99" s="1641"/>
      <c r="CU99" s="1641"/>
      <c r="CV99" s="1641"/>
      <c r="CW99" s="1641"/>
      <c r="CX99" s="1641"/>
      <c r="CY99" s="1641"/>
      <c r="CZ99" s="1641"/>
      <c r="DA99" s="1641"/>
      <c r="DB99" s="1641"/>
      <c r="DC99" s="1641"/>
      <c r="DD99" s="1641"/>
      <c r="DE99" s="1641"/>
      <c r="DF99" s="1641"/>
      <c r="DG99" s="1641"/>
      <c r="DH99" s="1641"/>
      <c r="DI99" s="1641"/>
      <c r="DJ99" s="1641"/>
      <c r="DK99" s="1641"/>
      <c r="DL99" s="1641"/>
      <c r="DM99" s="1641"/>
      <c r="DN99" s="1641"/>
      <c r="DO99" s="1641"/>
      <c r="DP99" s="1641"/>
      <c r="DQ99" s="1641"/>
      <c r="DR99" s="1641"/>
      <c r="DS99" s="1641"/>
      <c r="DT99" s="1641"/>
      <c r="DU99" s="1641"/>
      <c r="DV99" s="1641"/>
      <c r="DW99" s="1641"/>
      <c r="DX99" s="1641"/>
      <c r="DY99" s="1641"/>
      <c r="DZ99" s="1641"/>
      <c r="EA99" s="1641"/>
      <c r="EB99" s="1641"/>
      <c r="EC99" s="1641"/>
      <c r="ED99" s="1641"/>
      <c r="EE99" s="1641"/>
      <c r="EF99" s="1641"/>
      <c r="EG99" s="1641"/>
      <c r="EH99" s="1641"/>
      <c r="EI99" s="1641"/>
      <c r="EJ99" s="1641"/>
      <c r="EK99" s="1641"/>
      <c r="EL99" s="1641"/>
      <c r="EM99" s="1641"/>
      <c r="EN99" s="1641"/>
      <c r="EO99" s="1641"/>
      <c r="EP99" s="1641"/>
      <c r="EQ99" s="1641"/>
      <c r="ER99" s="1641"/>
      <c r="ES99" s="1641"/>
      <c r="ET99" s="1641"/>
      <c r="EU99" s="1641"/>
      <c r="EV99" s="1641"/>
      <c r="EW99" s="1641"/>
      <c r="EX99" s="1641"/>
      <c r="EY99" s="1641"/>
      <c r="EZ99" s="1641"/>
      <c r="FA99" s="1641"/>
      <c r="FB99" s="1641"/>
      <c r="FC99" s="1641"/>
      <c r="FD99" s="1641"/>
      <c r="FE99" s="1641"/>
      <c r="FF99" s="1641"/>
      <c r="FG99" s="1641"/>
      <c r="FH99" s="1641"/>
      <c r="FI99" s="1641"/>
      <c r="FJ99" s="1641"/>
      <c r="FK99" s="1641"/>
      <c r="FL99" s="1641"/>
      <c r="FM99" s="1641"/>
      <c r="FN99" s="1641"/>
      <c r="FO99" s="1641"/>
      <c r="FP99" s="1641"/>
      <c r="FQ99" s="1641"/>
      <c r="FR99" s="1641"/>
      <c r="FS99" s="1641"/>
      <c r="FT99" s="1641"/>
      <c r="FU99" s="1641"/>
      <c r="FV99" s="1641"/>
      <c r="FW99" s="1641"/>
      <c r="FX99" s="1641"/>
      <c r="FY99" s="1641"/>
      <c r="FZ99" s="1641"/>
      <c r="GA99" s="1641"/>
      <c r="GB99" s="1641"/>
      <c r="GC99" s="1641"/>
      <c r="GD99" s="1641"/>
      <c r="GE99" s="1641"/>
      <c r="GF99" s="1641"/>
      <c r="GG99" s="1641"/>
      <c r="GH99" s="1641"/>
      <c r="GI99" s="1641"/>
      <c r="GJ99" s="1641"/>
      <c r="GK99" s="1641"/>
      <c r="GL99" s="1641"/>
      <c r="GM99" s="1641"/>
      <c r="GN99" s="1641"/>
      <c r="GO99" s="1641"/>
      <c r="GP99" s="1641"/>
      <c r="GQ99" s="1641"/>
      <c r="GR99" s="1641"/>
      <c r="GS99" s="1641"/>
      <c r="GT99" s="1641"/>
      <c r="GU99" s="1641"/>
      <c r="GV99" s="1641"/>
      <c r="GW99" s="1641"/>
      <c r="GX99" s="1641"/>
      <c r="GY99" s="1641"/>
      <c r="GZ99" s="1641"/>
      <c r="HA99" s="1641"/>
      <c r="HB99" s="1641"/>
      <c r="HC99" s="1641"/>
      <c r="HD99" s="1641"/>
      <c r="HE99" s="1641"/>
      <c r="HF99" s="1641"/>
      <c r="HG99" s="1641"/>
      <c r="HH99" s="1641"/>
      <c r="HI99" s="1641"/>
      <c r="HJ99" s="1641"/>
      <c r="HK99" s="1641"/>
      <c r="HL99" s="1641"/>
      <c r="HM99" s="1641"/>
      <c r="HN99" s="1641"/>
      <c r="HO99" s="1641"/>
      <c r="HP99" s="1641"/>
      <c r="HQ99" s="1641"/>
      <c r="HR99" s="1641"/>
      <c r="HS99" s="1641"/>
      <c r="HT99" s="1641"/>
      <c r="HU99" s="1641"/>
      <c r="HV99" s="1641"/>
      <c r="HW99" s="1641"/>
      <c r="HX99" s="1641"/>
      <c r="HY99" s="1641"/>
      <c r="HZ99" s="1641"/>
      <c r="IA99" s="1641"/>
      <c r="IB99" s="1641"/>
      <c r="IC99" s="1641"/>
      <c r="ID99" s="1641"/>
      <c r="IE99" s="1641"/>
      <c r="IF99" s="1641"/>
      <c r="IG99" s="1641"/>
      <c r="IH99" s="1641"/>
      <c r="II99" s="1641"/>
      <c r="IJ99" s="1641"/>
      <c r="IK99" s="1641"/>
      <c r="IL99" s="1641"/>
      <c r="IM99" s="1641"/>
      <c r="IN99" s="1641"/>
      <c r="IO99" s="1641"/>
      <c r="IP99" s="1642"/>
      <c r="IQ99" s="1642"/>
      <c r="IR99" s="1642"/>
      <c r="IS99" s="1642"/>
      <c r="IT99" s="1642"/>
      <c r="IU99" s="1642"/>
      <c r="IV99" s="1642"/>
      <c r="IW99" s="1642"/>
      <c r="IX99" s="1641"/>
      <c r="IY99" s="1641"/>
      <c r="IZ99" s="1641"/>
      <c r="JA99" s="1641"/>
      <c r="JB99" s="1641"/>
      <c r="JC99" s="1641"/>
      <c r="JD99" s="1641"/>
      <c r="JE99" s="1641"/>
      <c r="JF99" s="1641"/>
      <c r="JG99" s="1641"/>
      <c r="JH99" s="1642"/>
      <c r="JI99" s="1642"/>
      <c r="JJ99" s="1642"/>
      <c r="JK99" s="1642"/>
      <c r="JL99" s="1642"/>
      <c r="JM99" s="1642"/>
      <c r="JN99" s="1642"/>
      <c r="JO99" s="1642"/>
      <c r="JP99" s="1642"/>
      <c r="JQ99" s="1643"/>
      <c r="JR99" s="351"/>
    </row>
    <row r="100" spans="1:278" x14ac:dyDescent="0.25">
      <c r="A100" s="1367">
        <v>100</v>
      </c>
      <c r="B100" s="1411" t="str">
        <f t="shared" si="14"/>
        <v/>
      </c>
      <c r="C100" s="1435" t="s">
        <v>3990</v>
      </c>
      <c r="D100" s="1361" t="s">
        <v>3747</v>
      </c>
      <c r="E100" s="1639"/>
      <c r="F100" s="1639"/>
      <c r="G100" s="1639"/>
      <c r="H100" s="1639"/>
      <c r="I100" s="1639"/>
      <c r="J100" s="1639"/>
      <c r="K100" s="1639"/>
      <c r="L100" s="1639"/>
      <c r="M100" s="1639"/>
      <c r="N100" s="1639"/>
      <c r="O100" s="1639"/>
      <c r="P100" s="1639"/>
      <c r="Q100" s="1639"/>
      <c r="R100" s="1639"/>
      <c r="S100" s="1639"/>
      <c r="T100" s="1639"/>
      <c r="U100" s="1639"/>
      <c r="V100" s="1639"/>
      <c r="W100" s="1639"/>
      <c r="X100" s="1639"/>
      <c r="Y100" s="1639"/>
      <c r="Z100" s="1639"/>
      <c r="AA100" s="1639"/>
      <c r="AB100" s="1639"/>
      <c r="AC100" s="1639"/>
      <c r="AD100" s="1639"/>
      <c r="AE100" s="1639"/>
      <c r="AF100" s="1639"/>
      <c r="AG100" s="1639"/>
      <c r="AH100" s="1639"/>
      <c r="AI100" s="1639"/>
      <c r="AJ100" s="1639"/>
      <c r="AK100" s="1639"/>
      <c r="AL100" s="1639"/>
      <c r="AM100" s="1639"/>
      <c r="AN100" s="1639"/>
      <c r="AO100" s="1639"/>
      <c r="AP100" s="1639"/>
      <c r="AQ100" s="1639"/>
      <c r="AR100" s="1639"/>
      <c r="AS100" s="1639"/>
      <c r="AT100" s="1639"/>
      <c r="AU100" s="1639"/>
      <c r="AV100" s="1639"/>
      <c r="AW100" s="1639"/>
      <c r="AX100" s="1639"/>
      <c r="AY100" s="1639"/>
      <c r="AZ100" s="1639"/>
      <c r="BA100" s="1639"/>
      <c r="BB100" s="1638" t="s">
        <v>1707</v>
      </c>
      <c r="BC100" s="1639"/>
      <c r="BD100" s="1639"/>
      <c r="BE100" s="1639"/>
      <c r="BF100" s="1639"/>
      <c r="BG100" s="1639"/>
      <c r="BH100" s="1639"/>
      <c r="BI100" s="1639"/>
      <c r="BJ100" s="1638" t="s">
        <v>1707</v>
      </c>
      <c r="BK100" s="1639"/>
      <c r="BL100" s="1639"/>
      <c r="BM100" s="1639"/>
      <c r="BN100" s="1639"/>
      <c r="BO100" s="1639"/>
      <c r="BP100" s="1639"/>
      <c r="BQ100" s="1639"/>
      <c r="BR100" s="1639"/>
      <c r="BS100" s="1639"/>
      <c r="BT100" s="1639"/>
      <c r="BU100" s="1639"/>
      <c r="BV100" s="1639"/>
      <c r="BW100" s="1639"/>
      <c r="BX100" s="1639"/>
      <c r="BY100" s="1639"/>
      <c r="BZ100" s="1639"/>
      <c r="CA100" s="1639"/>
      <c r="CB100" s="1638" t="s">
        <v>1707</v>
      </c>
      <c r="CC100" s="1639"/>
      <c r="CD100" s="1639"/>
      <c r="CE100" s="1639"/>
      <c r="CF100" s="1639"/>
      <c r="CG100" s="1639"/>
      <c r="CH100" s="1639"/>
      <c r="CI100" s="1639"/>
      <c r="CJ100" s="1639"/>
      <c r="CK100" s="1639"/>
      <c r="CL100" s="1639"/>
      <c r="CM100" s="1639"/>
      <c r="CN100" s="1639"/>
      <c r="CO100" s="1639"/>
      <c r="CP100" s="1639"/>
      <c r="CQ100" s="1639"/>
      <c r="CR100" s="1639"/>
      <c r="CS100" s="1639"/>
      <c r="CT100" s="1639"/>
      <c r="CU100" s="1639"/>
      <c r="CV100" s="1639"/>
      <c r="CW100" s="1639"/>
      <c r="CX100" s="1639"/>
      <c r="CY100" s="1639"/>
      <c r="CZ100" s="1639"/>
      <c r="DA100" s="1639"/>
      <c r="DB100" s="1639"/>
      <c r="DC100" s="1639"/>
      <c r="DD100" s="1639"/>
      <c r="DE100" s="1639"/>
      <c r="DF100" s="1639"/>
      <c r="DG100" s="1639"/>
      <c r="DH100" s="1639"/>
      <c r="DI100" s="1639"/>
      <c r="DJ100" s="1639"/>
      <c r="DK100" s="1639"/>
      <c r="DL100" s="1639"/>
      <c r="DM100" s="1639"/>
      <c r="DN100" s="1639"/>
      <c r="DO100" s="1639"/>
      <c r="DP100" s="1639"/>
      <c r="DQ100" s="1639"/>
      <c r="DR100" s="1639"/>
      <c r="DS100" s="1639"/>
      <c r="DT100" s="1639"/>
      <c r="DU100" s="1639"/>
      <c r="DV100" s="1639"/>
      <c r="DW100" s="1639"/>
      <c r="DX100" s="1639"/>
      <c r="DY100" s="1639"/>
      <c r="DZ100" s="1639"/>
      <c r="EA100" s="1639"/>
      <c r="EB100" s="1639"/>
      <c r="EC100" s="1639"/>
      <c r="ED100" s="1639"/>
      <c r="EE100" s="1639"/>
      <c r="EF100" s="1639"/>
      <c r="EG100" s="1639"/>
      <c r="EH100" s="1639"/>
      <c r="EI100" s="1639"/>
      <c r="EJ100" s="1639"/>
      <c r="EK100" s="1639"/>
      <c r="EL100" s="1639"/>
      <c r="EM100" s="1639"/>
      <c r="EN100" s="1639"/>
      <c r="EO100" s="1639"/>
      <c r="EP100" s="1639"/>
      <c r="EQ100" s="1639"/>
      <c r="ER100" s="1639"/>
      <c r="ES100" s="1639"/>
      <c r="ET100" s="1639"/>
      <c r="EU100" s="1639"/>
      <c r="EV100" s="1639"/>
      <c r="EW100" s="1639"/>
      <c r="EX100" s="1639"/>
      <c r="EY100" s="1639"/>
      <c r="EZ100" s="1639"/>
      <c r="FA100" s="1639"/>
      <c r="FB100" s="1639"/>
      <c r="FC100" s="1639"/>
      <c r="FD100" s="1639"/>
      <c r="FE100" s="1639"/>
      <c r="FF100" s="1639"/>
      <c r="FG100" s="1639"/>
      <c r="FH100" s="1639"/>
      <c r="FI100" s="1639"/>
      <c r="FJ100" s="1639"/>
      <c r="FK100" s="1639"/>
      <c r="FL100" s="1639"/>
      <c r="FM100" s="1639"/>
      <c r="FN100" s="1639"/>
      <c r="FO100" s="1639"/>
      <c r="FP100" s="1639"/>
      <c r="FQ100" s="1639"/>
      <c r="FR100" s="1639"/>
      <c r="FS100" s="1639"/>
      <c r="FT100" s="1639"/>
      <c r="FU100" s="1639"/>
      <c r="FV100" s="1639"/>
      <c r="FW100" s="1639"/>
      <c r="FX100" s="1639"/>
      <c r="FY100" s="1639"/>
      <c r="FZ100" s="1639"/>
      <c r="GA100" s="1639"/>
      <c r="GB100" s="1639"/>
      <c r="GC100" s="1639"/>
      <c r="GD100" s="1639"/>
      <c r="GE100" s="1639"/>
      <c r="GF100" s="1639"/>
      <c r="GG100" s="1639"/>
      <c r="GH100" s="1639"/>
      <c r="GI100" s="1639"/>
      <c r="GJ100" s="1639"/>
      <c r="GK100" s="1639"/>
      <c r="GL100" s="1639"/>
      <c r="GM100" s="1639"/>
      <c r="GN100" s="1639"/>
      <c r="GO100" s="1639"/>
      <c r="GP100" s="1639"/>
      <c r="GQ100" s="1639"/>
      <c r="GR100" s="1639"/>
      <c r="GS100" s="1639"/>
      <c r="GT100" s="1639"/>
      <c r="GU100" s="1639"/>
      <c r="GV100" s="1639"/>
      <c r="GW100" s="1639"/>
      <c r="GX100" s="1639"/>
      <c r="GY100" s="1639"/>
      <c r="GZ100" s="1639"/>
      <c r="HA100" s="1639"/>
      <c r="HB100" s="1639"/>
      <c r="HC100" s="1639"/>
      <c r="HD100" s="1639"/>
      <c r="HE100" s="1639"/>
      <c r="HF100" s="1639"/>
      <c r="HG100" s="1639"/>
      <c r="HH100" s="1639"/>
      <c r="HI100" s="1639"/>
      <c r="HJ100" s="1639" t="s">
        <v>1707</v>
      </c>
      <c r="HK100" s="1639" t="s">
        <v>1707</v>
      </c>
      <c r="HL100" s="1639" t="s">
        <v>1707</v>
      </c>
      <c r="HM100" s="1639" t="s">
        <v>1707</v>
      </c>
      <c r="HN100" s="1639"/>
      <c r="HO100" s="1639"/>
      <c r="HP100" s="1639"/>
      <c r="HQ100" s="1639"/>
      <c r="HR100" s="1639"/>
      <c r="HS100" s="1639"/>
      <c r="HT100" s="1639"/>
      <c r="HU100" s="1639"/>
      <c r="HV100" s="1639"/>
      <c r="HW100" s="1639"/>
      <c r="HX100" s="1639"/>
      <c r="HY100" s="1639"/>
      <c r="HZ100" s="1639"/>
      <c r="IA100" s="1639"/>
      <c r="IB100" s="1639"/>
      <c r="IC100" s="1639"/>
      <c r="ID100" s="1639"/>
      <c r="IE100" s="1639"/>
      <c r="IF100" s="1639"/>
      <c r="IG100" s="1639"/>
      <c r="IH100" s="1639"/>
      <c r="II100" s="1639"/>
      <c r="IJ100" s="1639"/>
      <c r="IK100" s="1639"/>
      <c r="IL100" s="1639"/>
      <c r="IM100" s="1639"/>
      <c r="IN100" s="1639"/>
      <c r="IO100" s="1639"/>
      <c r="IP100" s="1642"/>
      <c r="IQ100" s="1642"/>
      <c r="IR100" s="1642"/>
      <c r="IS100" s="1642"/>
      <c r="IT100" s="1642"/>
      <c r="IU100" s="1642"/>
      <c r="IV100" s="1642"/>
      <c r="IW100" s="1642"/>
      <c r="IX100" s="1639"/>
      <c r="IY100" s="1639"/>
      <c r="IZ100" s="1639"/>
      <c r="JA100" s="1639"/>
      <c r="JB100" s="1639"/>
      <c r="JC100" s="1639"/>
      <c r="JD100" s="1639"/>
      <c r="JE100" s="1639"/>
      <c r="JF100" s="1639"/>
      <c r="JG100" s="1639"/>
      <c r="JH100" s="1642"/>
      <c r="JI100" s="1642"/>
      <c r="JJ100" s="1642"/>
      <c r="JK100" s="1642"/>
      <c r="JL100" s="1642"/>
      <c r="JM100" s="1642"/>
      <c r="JN100" s="1642"/>
      <c r="JO100" s="1642"/>
      <c r="JP100" s="1642"/>
      <c r="JQ100" s="1643"/>
      <c r="JR100" s="351"/>
    </row>
    <row r="101" spans="1:278" x14ac:dyDescent="0.25">
      <c r="A101" s="1367">
        <v>101</v>
      </c>
      <c r="B101" s="1677" t="str">
        <f t="shared" si="14"/>
        <v/>
      </c>
      <c r="C101" s="1435" t="s">
        <v>3991</v>
      </c>
      <c r="D101" s="1361" t="s">
        <v>3992</v>
      </c>
      <c r="E101" s="2564"/>
      <c r="F101" s="2564"/>
      <c r="G101" s="2564"/>
      <c r="H101" s="2564"/>
      <c r="I101" s="2564"/>
      <c r="J101" s="2564"/>
      <c r="K101" s="2564"/>
      <c r="L101" s="2564"/>
      <c r="M101" s="2564"/>
      <c r="N101" s="2564"/>
      <c r="O101" s="2564"/>
      <c r="P101" s="2564"/>
      <c r="Q101" s="2564"/>
      <c r="R101" s="2564"/>
      <c r="S101" s="2564"/>
      <c r="T101" s="2564"/>
      <c r="U101" s="2564"/>
      <c r="V101" s="2564"/>
      <c r="W101" s="2564"/>
      <c r="X101" s="2564"/>
      <c r="Y101" s="2564"/>
      <c r="Z101" s="2564"/>
      <c r="AA101" s="2564"/>
      <c r="AB101" s="2564"/>
      <c r="AC101" s="2564"/>
      <c r="AD101" s="2564"/>
      <c r="AE101" s="2564"/>
      <c r="AF101" s="2564"/>
      <c r="AG101" s="2564"/>
      <c r="AH101" s="2564"/>
      <c r="AI101" s="2564"/>
      <c r="AJ101" s="2564"/>
      <c r="AK101" s="2564"/>
      <c r="AL101" s="2564"/>
      <c r="AM101" s="2564"/>
      <c r="AN101" s="2564"/>
      <c r="AO101" s="2564"/>
      <c r="AP101" s="2564"/>
      <c r="AQ101" s="2564"/>
      <c r="AR101" s="2564"/>
      <c r="AS101" s="2564"/>
      <c r="AT101" s="2564"/>
      <c r="AU101" s="2564"/>
      <c r="AV101" s="2564"/>
      <c r="AW101" s="2564"/>
      <c r="AX101" s="2564"/>
      <c r="AY101" s="2564"/>
      <c r="AZ101" s="2564"/>
      <c r="BA101" s="2564"/>
      <c r="BB101" s="2566">
        <v>1</v>
      </c>
      <c r="BC101" s="2564">
        <v>1</v>
      </c>
      <c r="BD101" s="2564">
        <v>3</v>
      </c>
      <c r="BE101" s="2564"/>
      <c r="BF101" s="2564"/>
      <c r="BG101" s="2566">
        <v>1</v>
      </c>
      <c r="BH101" s="2564"/>
      <c r="BI101" s="2564"/>
      <c r="BJ101" s="2566"/>
      <c r="BK101" s="2564"/>
      <c r="BL101" s="2564"/>
      <c r="BM101" s="2564"/>
      <c r="BN101" s="2564"/>
      <c r="BO101" s="2564"/>
      <c r="BP101" s="2564"/>
      <c r="BQ101" s="2564"/>
      <c r="BR101" s="2564"/>
      <c r="BS101" s="2564"/>
      <c r="BT101" s="2564"/>
      <c r="BU101" s="2564"/>
      <c r="BV101" s="2564"/>
      <c r="BW101" s="2564"/>
      <c r="BX101" s="2564"/>
      <c r="BY101" s="2564"/>
      <c r="BZ101" s="2564"/>
      <c r="CA101" s="2564"/>
      <c r="CB101" s="2566"/>
      <c r="CC101" s="2564"/>
      <c r="CD101" s="2564"/>
      <c r="CE101" s="2564"/>
      <c r="CF101" s="2564"/>
      <c r="CG101" s="2564"/>
      <c r="CH101" s="2564"/>
      <c r="CI101" s="2564"/>
      <c r="CJ101" s="2564"/>
      <c r="CK101" s="2564"/>
      <c r="CL101" s="2564"/>
      <c r="CM101" s="2564"/>
      <c r="CN101" s="2564"/>
      <c r="CO101" s="2564"/>
      <c r="CP101" s="2564"/>
      <c r="CQ101" s="2564"/>
      <c r="CR101" s="2564"/>
      <c r="CS101" s="2564"/>
      <c r="CT101" s="2564"/>
      <c r="CU101" s="2564"/>
      <c r="CV101" s="2564"/>
      <c r="CW101" s="2564"/>
      <c r="CX101" s="2564"/>
      <c r="CY101" s="2564"/>
      <c r="CZ101" s="2564"/>
      <c r="DA101" s="2564"/>
      <c r="DB101" s="2564"/>
      <c r="DC101" s="2564"/>
      <c r="DD101" s="2564"/>
      <c r="DE101" s="2564"/>
      <c r="DF101" s="2564"/>
      <c r="DG101" s="2564"/>
      <c r="DH101" s="2564"/>
      <c r="DI101" s="2564"/>
      <c r="DJ101" s="2564"/>
      <c r="DK101" s="2564"/>
      <c r="DL101" s="2564"/>
      <c r="DM101" s="2564"/>
      <c r="DN101" s="2564"/>
      <c r="DO101" s="2564"/>
      <c r="DP101" s="2564"/>
      <c r="DQ101" s="2564"/>
      <c r="DR101" s="2564"/>
      <c r="DS101" s="2564"/>
      <c r="DT101" s="2564"/>
      <c r="DU101" s="2564"/>
      <c r="DV101" s="2564"/>
      <c r="DW101" s="2564"/>
      <c r="DX101" s="2564"/>
      <c r="DY101" s="2564"/>
      <c r="DZ101" s="2564"/>
      <c r="EA101" s="2564"/>
      <c r="EB101" s="2564"/>
      <c r="EC101" s="2564"/>
      <c r="ED101" s="2564"/>
      <c r="EE101" s="2564"/>
      <c r="EF101" s="2564"/>
      <c r="EG101" s="2564"/>
      <c r="EH101" s="2564"/>
      <c r="EI101" s="2564"/>
      <c r="EJ101" s="2564"/>
      <c r="EK101" s="2564"/>
      <c r="EL101" s="2564"/>
      <c r="EM101" s="2564"/>
      <c r="EN101" s="2564"/>
      <c r="EO101" s="2564"/>
      <c r="EP101" s="2564"/>
      <c r="EQ101" s="2564"/>
      <c r="ER101" s="2564"/>
      <c r="ES101" s="2564"/>
      <c r="ET101" s="2564"/>
      <c r="EU101" s="2564"/>
      <c r="EV101" s="2564"/>
      <c r="EW101" s="2564"/>
      <c r="EX101" s="2564"/>
      <c r="EY101" s="2564"/>
      <c r="EZ101" s="2564">
        <v>5</v>
      </c>
      <c r="FA101" s="2564"/>
      <c r="FB101" s="2564"/>
      <c r="FC101" s="2564"/>
      <c r="FD101" s="2564"/>
      <c r="FE101" s="2564"/>
      <c r="FF101" s="2564"/>
      <c r="FG101" s="2564"/>
      <c r="FH101" s="2564"/>
      <c r="FI101" s="2564"/>
      <c r="FJ101" s="2564"/>
      <c r="FK101" s="2564"/>
      <c r="FL101" s="2564"/>
      <c r="FM101" s="2564"/>
      <c r="FN101" s="2564"/>
      <c r="FO101" s="2564"/>
      <c r="FP101" s="2564"/>
      <c r="FQ101" s="2564"/>
      <c r="FR101" s="2564"/>
      <c r="FS101" s="2564"/>
      <c r="FT101" s="2564"/>
      <c r="FU101" s="2564"/>
      <c r="FV101" s="2564"/>
      <c r="FW101" s="2564"/>
      <c r="FX101" s="2564"/>
      <c r="FY101" s="2564"/>
      <c r="FZ101" s="2564"/>
      <c r="GA101" s="2564"/>
      <c r="GB101" s="2564"/>
      <c r="GC101" s="2564"/>
      <c r="GD101" s="2564"/>
      <c r="GE101" s="2564"/>
      <c r="GF101" s="2564">
        <v>1</v>
      </c>
      <c r="GG101" s="2564"/>
      <c r="GH101" s="2564"/>
      <c r="GI101" s="2564"/>
      <c r="GJ101" s="2564"/>
      <c r="GK101" s="2564"/>
      <c r="GL101" s="2564"/>
      <c r="GM101" s="2564"/>
      <c r="GN101" s="2564"/>
      <c r="GO101" s="2564"/>
      <c r="GP101" s="2564"/>
      <c r="GQ101" s="2564"/>
      <c r="GR101" s="2564"/>
      <c r="GS101" s="2564"/>
      <c r="GT101" s="2564"/>
      <c r="GU101" s="2564"/>
      <c r="GV101" s="2564"/>
      <c r="GW101" s="2564"/>
      <c r="GX101" s="2564"/>
      <c r="GY101" s="2564"/>
      <c r="GZ101" s="2564"/>
      <c r="HA101" s="2564"/>
      <c r="HB101" s="2564"/>
      <c r="HC101" s="2564"/>
      <c r="HD101" s="2564"/>
      <c r="HE101" s="2564"/>
      <c r="HF101" s="2564"/>
      <c r="HG101" s="2564"/>
      <c r="HH101" s="2564">
        <v>1</v>
      </c>
      <c r="HI101" s="2564"/>
      <c r="HJ101" s="2564"/>
      <c r="HK101" s="2564"/>
      <c r="HL101" s="2564"/>
      <c r="HM101" s="2564"/>
      <c r="HN101" s="2564"/>
      <c r="HO101" s="2564"/>
      <c r="HP101" s="2564"/>
      <c r="HQ101" s="2564"/>
      <c r="HR101" s="2564"/>
      <c r="HS101" s="2564"/>
      <c r="HT101" s="2564"/>
      <c r="HU101" s="2564"/>
      <c r="HV101" s="2564"/>
      <c r="HW101" s="2564"/>
      <c r="HX101" s="2564"/>
      <c r="HY101" s="2564"/>
      <c r="HZ101" s="2564"/>
      <c r="IA101" s="2564"/>
      <c r="IB101" s="2564"/>
      <c r="IC101" s="2564"/>
      <c r="ID101" s="2564"/>
      <c r="IE101" s="2564"/>
      <c r="IF101" s="2564"/>
      <c r="IG101" s="2564"/>
      <c r="IH101" s="2564"/>
      <c r="II101" s="2564"/>
      <c r="IJ101" s="2564"/>
      <c r="IK101" s="2564"/>
      <c r="IL101" s="2564"/>
      <c r="IM101" s="2564"/>
      <c r="IN101" s="2564"/>
      <c r="IO101" s="2564"/>
      <c r="IP101" s="2423"/>
      <c r="IQ101" s="2423"/>
      <c r="IR101" s="2423"/>
      <c r="IS101" s="2423"/>
      <c r="IT101" s="2423"/>
      <c r="IU101" s="2423"/>
      <c r="IV101" s="2423"/>
      <c r="IW101" s="2423"/>
      <c r="IX101" s="2564"/>
      <c r="IY101" s="2564"/>
      <c r="IZ101" s="2564"/>
      <c r="JA101" s="2564"/>
      <c r="JB101" s="2564"/>
      <c r="JC101" s="2564"/>
      <c r="JD101" s="2564"/>
      <c r="JE101" s="2564">
        <v>1</v>
      </c>
      <c r="JF101" s="2564"/>
      <c r="JG101" s="2564"/>
      <c r="JH101" s="2423"/>
      <c r="JI101" s="2423"/>
      <c r="JJ101" s="2423"/>
      <c r="JK101" s="2423"/>
      <c r="JL101" s="2423"/>
      <c r="JM101" s="2423"/>
      <c r="JN101" s="2423"/>
      <c r="JO101" s="2423"/>
      <c r="JP101" s="2423"/>
      <c r="JQ101" s="2424"/>
      <c r="JR101" s="351"/>
    </row>
    <row r="102" spans="1:278" x14ac:dyDescent="0.25">
      <c r="A102" s="1367">
        <v>102</v>
      </c>
      <c r="B102" s="1411" t="str">
        <f t="shared" si="14"/>
        <v/>
      </c>
      <c r="C102" s="1435" t="s">
        <v>3993</v>
      </c>
      <c r="D102" s="1361" t="s">
        <v>3994</v>
      </c>
      <c r="E102" s="1641"/>
      <c r="F102" s="1641"/>
      <c r="G102" s="1641"/>
      <c r="H102" s="1641"/>
      <c r="I102" s="1641"/>
      <c r="J102" s="1641"/>
      <c r="K102" s="1641"/>
      <c r="L102" s="1641"/>
      <c r="M102" s="1641"/>
      <c r="N102" s="1641"/>
      <c r="O102" s="1641"/>
      <c r="P102" s="1641"/>
      <c r="Q102" s="1641"/>
      <c r="R102" s="1641"/>
      <c r="S102" s="1641"/>
      <c r="T102" s="1641"/>
      <c r="U102" s="1641"/>
      <c r="V102" s="1641"/>
      <c r="W102" s="1641"/>
      <c r="X102" s="1641"/>
      <c r="Y102" s="1641"/>
      <c r="Z102" s="1641"/>
      <c r="AA102" s="1641"/>
      <c r="AB102" s="1641"/>
      <c r="AC102" s="1641"/>
      <c r="AD102" s="1641"/>
      <c r="AE102" s="1641"/>
      <c r="AF102" s="1641"/>
      <c r="AG102" s="1641"/>
      <c r="AH102" s="1641"/>
      <c r="AI102" s="1641"/>
      <c r="AJ102" s="1641"/>
      <c r="AK102" s="1641"/>
      <c r="AL102" s="1641"/>
      <c r="AM102" s="1641"/>
      <c r="AN102" s="1641"/>
      <c r="AO102" s="1641"/>
      <c r="AP102" s="1641"/>
      <c r="AQ102" s="1641"/>
      <c r="AR102" s="1641"/>
      <c r="AS102" s="1641"/>
      <c r="AT102" s="1641"/>
      <c r="AU102" s="1641"/>
      <c r="AV102" s="1641"/>
      <c r="AW102" s="1641"/>
      <c r="AX102" s="1641"/>
      <c r="AY102" s="1641"/>
      <c r="AZ102" s="1641"/>
      <c r="BA102" s="1641"/>
      <c r="BB102" s="1641"/>
      <c r="BC102" s="1641"/>
      <c r="BD102" s="1641"/>
      <c r="BE102" s="1641"/>
      <c r="BF102" s="1641"/>
      <c r="BG102" s="1641"/>
      <c r="BH102" s="1641"/>
      <c r="BI102" s="1641"/>
      <c r="BJ102" s="1641"/>
      <c r="BK102" s="1641"/>
      <c r="BL102" s="1641"/>
      <c r="BM102" s="1641"/>
      <c r="BN102" s="1641"/>
      <c r="BO102" s="1641"/>
      <c r="BP102" s="1641"/>
      <c r="BQ102" s="1641"/>
      <c r="BR102" s="1641"/>
      <c r="BS102" s="1641"/>
      <c r="BT102" s="1641"/>
      <c r="BU102" s="1641"/>
      <c r="BV102" s="1641"/>
      <c r="BW102" s="1641"/>
      <c r="BX102" s="1641"/>
      <c r="BY102" s="1641"/>
      <c r="BZ102" s="1641"/>
      <c r="CA102" s="1641"/>
      <c r="CB102" s="1641"/>
      <c r="CC102" s="1641"/>
      <c r="CD102" s="1641"/>
      <c r="CE102" s="1641"/>
      <c r="CF102" s="1641"/>
      <c r="CG102" s="1641"/>
      <c r="CH102" s="1641"/>
      <c r="CI102" s="1641"/>
      <c r="CJ102" s="1641"/>
      <c r="CK102" s="1641"/>
      <c r="CL102" s="1641"/>
      <c r="CM102" s="1641"/>
      <c r="CN102" s="1641"/>
      <c r="CO102" s="1641"/>
      <c r="CP102" s="1641"/>
      <c r="CQ102" s="1641"/>
      <c r="CR102" s="1641"/>
      <c r="CS102" s="1641"/>
      <c r="CT102" s="1641"/>
      <c r="CU102" s="1641"/>
      <c r="CV102" s="1641"/>
      <c r="CW102" s="1641"/>
      <c r="CX102" s="1641"/>
      <c r="CY102" s="1641"/>
      <c r="CZ102" s="1641"/>
      <c r="DA102" s="1641"/>
      <c r="DB102" s="1641"/>
      <c r="DC102" s="1641"/>
      <c r="DD102" s="1641"/>
      <c r="DE102" s="1641"/>
      <c r="DF102" s="1641"/>
      <c r="DG102" s="1641"/>
      <c r="DH102" s="1641"/>
      <c r="DI102" s="1641"/>
      <c r="DJ102" s="1641"/>
      <c r="DK102" s="1641"/>
      <c r="DL102" s="1641"/>
      <c r="DM102" s="1641"/>
      <c r="DN102" s="1641"/>
      <c r="DO102" s="1641"/>
      <c r="DP102" s="1641"/>
      <c r="DQ102" s="1641"/>
      <c r="DR102" s="1641"/>
      <c r="DS102" s="1641"/>
      <c r="DT102" s="1641"/>
      <c r="DU102" s="1641"/>
      <c r="DV102" s="1641"/>
      <c r="DW102" s="1641"/>
      <c r="DX102" s="1641"/>
      <c r="DY102" s="1641"/>
      <c r="DZ102" s="1641"/>
      <c r="EA102" s="1641"/>
      <c r="EB102" s="1641"/>
      <c r="EC102" s="1641"/>
      <c r="ED102" s="1641"/>
      <c r="EE102" s="1641"/>
      <c r="EF102" s="1641"/>
      <c r="EG102" s="1641"/>
      <c r="EH102" s="1641"/>
      <c r="EI102" s="1641"/>
      <c r="EJ102" s="1641"/>
      <c r="EK102" s="1641"/>
      <c r="EL102" s="1641"/>
      <c r="EM102" s="1641"/>
      <c r="EN102" s="1641"/>
      <c r="EO102" s="1641"/>
      <c r="EP102" s="1641"/>
      <c r="EQ102" s="1641"/>
      <c r="ER102" s="1641"/>
      <c r="ES102" s="1641"/>
      <c r="ET102" s="1641"/>
      <c r="EU102" s="1641"/>
      <c r="EV102" s="1641"/>
      <c r="EW102" s="1641"/>
      <c r="EX102" s="1641"/>
      <c r="EY102" s="1641"/>
      <c r="EZ102" s="1641"/>
      <c r="FA102" s="1641"/>
      <c r="FB102" s="1641"/>
      <c r="FC102" s="1641"/>
      <c r="FD102" s="1641"/>
      <c r="FE102" s="1641"/>
      <c r="FF102" s="1641"/>
      <c r="FG102" s="1641"/>
      <c r="FH102" s="1641"/>
      <c r="FI102" s="1641"/>
      <c r="FJ102" s="1641"/>
      <c r="FK102" s="1641"/>
      <c r="FL102" s="1641"/>
      <c r="FM102" s="1641"/>
      <c r="FN102" s="1641"/>
      <c r="FO102" s="1641"/>
      <c r="FP102" s="1641"/>
      <c r="FQ102" s="1641"/>
      <c r="FR102" s="1641"/>
      <c r="FS102" s="1641"/>
      <c r="FT102" s="1641"/>
      <c r="FU102" s="1641"/>
      <c r="FV102" s="1641"/>
      <c r="FW102" s="1641"/>
      <c r="FX102" s="1641"/>
      <c r="FY102" s="1641"/>
      <c r="FZ102" s="1641"/>
      <c r="GA102" s="1641"/>
      <c r="GB102" s="1641"/>
      <c r="GC102" s="1641"/>
      <c r="GD102" s="1641"/>
      <c r="GE102" s="1641"/>
      <c r="GF102" s="1641">
        <v>2510</v>
      </c>
      <c r="GG102" s="1641"/>
      <c r="GH102" s="1641"/>
      <c r="GI102" s="1641"/>
      <c r="GJ102" s="1641"/>
      <c r="GK102" s="1641"/>
      <c r="GL102" s="1641"/>
      <c r="GM102" s="1641"/>
      <c r="GN102" s="1641"/>
      <c r="GO102" s="1641"/>
      <c r="GP102" s="1641"/>
      <c r="GQ102" s="1641"/>
      <c r="GR102" s="1641"/>
      <c r="GS102" s="1641"/>
      <c r="GT102" s="1641"/>
      <c r="GU102" s="1641"/>
      <c r="GV102" s="1641"/>
      <c r="GW102" s="1641"/>
      <c r="GX102" s="1641"/>
      <c r="GY102" s="1641"/>
      <c r="GZ102" s="1641"/>
      <c r="HA102" s="1641"/>
      <c r="HB102" s="1641"/>
      <c r="HC102" s="1641"/>
      <c r="HD102" s="1641"/>
      <c r="HE102" s="1641"/>
      <c r="HF102" s="1641"/>
      <c r="HG102" s="1641"/>
      <c r="HH102" s="1641"/>
      <c r="HI102" s="1641"/>
      <c r="HJ102" s="1641"/>
      <c r="HK102" s="1641"/>
      <c r="HL102" s="1641"/>
      <c r="HM102" s="1641"/>
      <c r="HN102" s="1641"/>
      <c r="HO102" s="1641"/>
      <c r="HP102" s="1641"/>
      <c r="HQ102" s="1641"/>
      <c r="HR102" s="1641"/>
      <c r="HS102" s="1641"/>
      <c r="HT102" s="1641"/>
      <c r="HU102" s="1641"/>
      <c r="HV102" s="1641"/>
      <c r="HW102" s="1641"/>
      <c r="HX102" s="1641"/>
      <c r="HY102" s="1641"/>
      <c r="HZ102" s="1641"/>
      <c r="IA102" s="1641"/>
      <c r="IB102" s="1641"/>
      <c r="IC102" s="1641"/>
      <c r="ID102" s="1641"/>
      <c r="IE102" s="1641"/>
      <c r="IF102" s="1641"/>
      <c r="IG102" s="1641"/>
      <c r="IH102" s="1641"/>
      <c r="II102" s="1641"/>
      <c r="IJ102" s="1641"/>
      <c r="IK102" s="1641"/>
      <c r="IL102" s="1641"/>
      <c r="IM102" s="1641"/>
      <c r="IN102" s="1641"/>
      <c r="IO102" s="1641"/>
      <c r="IP102" s="1410"/>
      <c r="IQ102" s="1410"/>
      <c r="IR102" s="1410"/>
      <c r="IS102" s="1410"/>
      <c r="IT102" s="1410"/>
      <c r="IU102" s="1410"/>
      <c r="IV102" s="1410"/>
      <c r="IW102" s="1410"/>
      <c r="IX102" s="1641"/>
      <c r="IY102" s="1641"/>
      <c r="IZ102" s="1641"/>
      <c r="JA102" s="1641"/>
      <c r="JB102" s="1641"/>
      <c r="JC102" s="1641"/>
      <c r="JD102" s="1641"/>
      <c r="JE102" s="1641"/>
      <c r="JF102" s="1641"/>
      <c r="JG102" s="1641"/>
      <c r="JH102" s="1410"/>
      <c r="JI102" s="1410"/>
      <c r="JJ102" s="1410"/>
      <c r="JK102" s="1410"/>
      <c r="JL102" s="1410"/>
      <c r="JM102" s="1410"/>
      <c r="JN102" s="1410"/>
      <c r="JO102" s="1410"/>
      <c r="JP102" s="1410"/>
      <c r="JQ102" s="1405"/>
      <c r="JR102" s="351"/>
    </row>
    <row r="103" spans="1:278" x14ac:dyDescent="0.25">
      <c r="A103" s="1367">
        <v>103</v>
      </c>
      <c r="B103" s="1411" t="str">
        <f t="shared" si="14"/>
        <v/>
      </c>
      <c r="C103" s="1435" t="s">
        <v>3995</v>
      </c>
      <c r="D103" s="1361" t="s">
        <v>3996</v>
      </c>
      <c r="E103" s="1641"/>
      <c r="F103" s="1641"/>
      <c r="G103" s="1641"/>
      <c r="H103" s="1641"/>
      <c r="I103" s="1641"/>
      <c r="J103" s="1641"/>
      <c r="K103" s="1641"/>
      <c r="L103" s="1641"/>
      <c r="M103" s="1641"/>
      <c r="N103" s="1641"/>
      <c r="O103" s="1641"/>
      <c r="P103" s="1641"/>
      <c r="Q103" s="1641"/>
      <c r="R103" s="1641"/>
      <c r="S103" s="1641"/>
      <c r="T103" s="1641"/>
      <c r="U103" s="1641"/>
      <c r="V103" s="1641"/>
      <c r="W103" s="1641"/>
      <c r="X103" s="1641"/>
      <c r="Y103" s="1641"/>
      <c r="Z103" s="1641"/>
      <c r="AA103" s="1641"/>
      <c r="AB103" s="1641"/>
      <c r="AC103" s="1641"/>
      <c r="AD103" s="1641"/>
      <c r="AE103" s="1641"/>
      <c r="AF103" s="1641"/>
      <c r="AG103" s="1641"/>
      <c r="AH103" s="1641"/>
      <c r="AI103" s="1641"/>
      <c r="AJ103" s="1641"/>
      <c r="AK103" s="1641"/>
      <c r="AL103" s="1641"/>
      <c r="AM103" s="1641"/>
      <c r="AN103" s="1641"/>
      <c r="AO103" s="1641"/>
      <c r="AP103" s="1641"/>
      <c r="AQ103" s="1641"/>
      <c r="AR103" s="1641"/>
      <c r="AS103" s="1641"/>
      <c r="AT103" s="1641"/>
      <c r="AU103" s="1641"/>
      <c r="AV103" s="1641"/>
      <c r="AW103" s="1641"/>
      <c r="AX103" s="1641"/>
      <c r="AY103" s="1641"/>
      <c r="AZ103" s="1641"/>
      <c r="BA103" s="1641"/>
      <c r="BB103" s="1641"/>
      <c r="BC103" s="1641">
        <v>3729</v>
      </c>
      <c r="BD103" s="1641">
        <v>4283</v>
      </c>
      <c r="BE103" s="1641"/>
      <c r="BF103" s="1641"/>
      <c r="BG103" s="1641"/>
      <c r="BH103" s="1641"/>
      <c r="BI103" s="1641"/>
      <c r="BJ103" s="1636"/>
      <c r="BK103" s="1641"/>
      <c r="BL103" s="1641"/>
      <c r="BM103" s="1641"/>
      <c r="BN103" s="1641"/>
      <c r="BO103" s="1641"/>
      <c r="BP103" s="1641"/>
      <c r="BQ103" s="1641"/>
      <c r="BR103" s="1641"/>
      <c r="BS103" s="1641"/>
      <c r="BT103" s="1641"/>
      <c r="BU103" s="1641"/>
      <c r="BV103" s="1641"/>
      <c r="BW103" s="1641"/>
      <c r="BX103" s="1641"/>
      <c r="BY103" s="1641"/>
      <c r="BZ103" s="1641"/>
      <c r="CA103" s="1641"/>
      <c r="CB103" s="1636"/>
      <c r="CC103" s="1641"/>
      <c r="CD103" s="1641"/>
      <c r="CE103" s="1641"/>
      <c r="CF103" s="1641"/>
      <c r="CG103" s="1641"/>
      <c r="CH103" s="1641"/>
      <c r="CI103" s="1641"/>
      <c r="CJ103" s="1636">
        <v>7378</v>
      </c>
      <c r="CK103" s="1641"/>
      <c r="CL103" s="1641"/>
      <c r="CM103" s="1641"/>
      <c r="CN103" s="1641"/>
      <c r="CO103" s="1641"/>
      <c r="CP103" s="1641"/>
      <c r="CQ103" s="1641"/>
      <c r="CR103" s="1641"/>
      <c r="CS103" s="1641"/>
      <c r="CT103" s="1641"/>
      <c r="CU103" s="1641"/>
      <c r="CV103" s="1641"/>
      <c r="CW103" s="1641"/>
      <c r="CX103" s="1641"/>
      <c r="CY103" s="1641"/>
      <c r="CZ103" s="1641"/>
      <c r="DA103" s="1641"/>
      <c r="DB103" s="1641"/>
      <c r="DC103" s="1641"/>
      <c r="DD103" s="1641"/>
      <c r="DE103" s="1641"/>
      <c r="DF103" s="1641"/>
      <c r="DG103" s="1641"/>
      <c r="DH103" s="1641"/>
      <c r="DI103" s="1641"/>
      <c r="DJ103" s="1641"/>
      <c r="DK103" s="1641"/>
      <c r="DL103" s="1641"/>
      <c r="DM103" s="1641"/>
      <c r="DN103" s="1641"/>
      <c r="DO103" s="1641"/>
      <c r="DP103" s="1641"/>
      <c r="DQ103" s="1641"/>
      <c r="DR103" s="1641"/>
      <c r="DS103" s="1641"/>
      <c r="DT103" s="1641"/>
      <c r="DU103" s="1641"/>
      <c r="DV103" s="1641"/>
      <c r="DW103" s="1641"/>
      <c r="DX103" s="1641"/>
      <c r="DY103" s="1641"/>
      <c r="DZ103" s="1641"/>
      <c r="EA103" s="1641"/>
      <c r="EB103" s="1641"/>
      <c r="EC103" s="1641"/>
      <c r="ED103" s="1641"/>
      <c r="EE103" s="1641"/>
      <c r="EF103" s="1641"/>
      <c r="EG103" s="1641"/>
      <c r="EH103" s="1641"/>
      <c r="EI103" s="1641"/>
      <c r="EJ103" s="1641"/>
      <c r="EK103" s="1641"/>
      <c r="EL103" s="1641"/>
      <c r="EM103" s="1641"/>
      <c r="EN103" s="1641"/>
      <c r="EO103" s="1641"/>
      <c r="EP103" s="1641"/>
      <c r="EQ103" s="1641"/>
      <c r="ER103" s="1641"/>
      <c r="ES103" s="1641"/>
      <c r="ET103" s="1641"/>
      <c r="EU103" s="1641"/>
      <c r="EV103" s="1641"/>
      <c r="EW103" s="1641"/>
      <c r="EX103" s="1641"/>
      <c r="EY103" s="1641"/>
      <c r="EZ103" s="1641">
        <v>2326.25</v>
      </c>
      <c r="FA103" s="1641"/>
      <c r="FB103" s="1641"/>
      <c r="FC103" s="1641"/>
      <c r="FD103" s="1641"/>
      <c r="FE103" s="1641"/>
      <c r="FF103" s="1641"/>
      <c r="FG103" s="1641"/>
      <c r="FH103" s="1641"/>
      <c r="FI103" s="1641"/>
      <c r="FJ103" s="1641"/>
      <c r="FK103" s="1641"/>
      <c r="FL103" s="1641"/>
      <c r="FM103" s="1641"/>
      <c r="FN103" s="1641"/>
      <c r="FO103" s="1641"/>
      <c r="FP103" s="1641"/>
      <c r="FQ103" s="1641"/>
      <c r="FR103" s="1641"/>
      <c r="FS103" s="1641"/>
      <c r="FT103" s="1641"/>
      <c r="FU103" s="1641"/>
      <c r="FV103" s="1641"/>
      <c r="FW103" s="1641"/>
      <c r="FX103" s="1641"/>
      <c r="FY103" s="1641"/>
      <c r="FZ103" s="1641"/>
      <c r="GA103" s="1641"/>
      <c r="GB103" s="1641"/>
      <c r="GC103" s="1641"/>
      <c r="GD103" s="1641"/>
      <c r="GE103" s="1641"/>
      <c r="GF103" s="1641">
        <v>100</v>
      </c>
      <c r="GG103" s="1641"/>
      <c r="GH103" s="1641"/>
      <c r="GI103" s="1641"/>
      <c r="GJ103" s="1641"/>
      <c r="GK103" s="1641"/>
      <c r="GL103" s="1641"/>
      <c r="GM103" s="1641"/>
      <c r="GN103" s="1641"/>
      <c r="GO103" s="1641"/>
      <c r="GP103" s="1641"/>
      <c r="GQ103" s="1641"/>
      <c r="GR103" s="1641"/>
      <c r="GS103" s="1641"/>
      <c r="GT103" s="1641"/>
      <c r="GU103" s="1641"/>
      <c r="GV103" s="1641"/>
      <c r="GW103" s="1641"/>
      <c r="GX103" s="1641"/>
      <c r="GY103" s="1641"/>
      <c r="GZ103" s="1641"/>
      <c r="HA103" s="1641"/>
      <c r="HB103" s="1641"/>
      <c r="HC103" s="1641"/>
      <c r="HD103" s="1641"/>
      <c r="HE103" s="1641"/>
      <c r="HF103" s="1641"/>
      <c r="HG103" s="1641"/>
      <c r="HH103" s="1641"/>
      <c r="HI103" s="1641"/>
      <c r="HJ103" s="1641">
        <v>4695</v>
      </c>
      <c r="HK103" s="1641">
        <v>2278</v>
      </c>
      <c r="HL103" s="1641">
        <v>2278</v>
      </c>
      <c r="HM103" s="1641">
        <v>2278</v>
      </c>
      <c r="HN103" s="1641"/>
      <c r="HO103" s="1641"/>
      <c r="HP103" s="1641"/>
      <c r="HQ103" s="1641"/>
      <c r="HR103" s="1641"/>
      <c r="HS103" s="1641"/>
      <c r="HT103" s="1641"/>
      <c r="HU103" s="1641"/>
      <c r="HV103" s="1641"/>
      <c r="HW103" s="1641"/>
      <c r="HX103" s="1641"/>
      <c r="HY103" s="1641"/>
      <c r="HZ103" s="1641"/>
      <c r="IA103" s="1641"/>
      <c r="IB103" s="1641"/>
      <c r="IC103" s="1641"/>
      <c r="ID103" s="1641"/>
      <c r="IE103" s="1641"/>
      <c r="IF103" s="1641"/>
      <c r="IG103" s="1641"/>
      <c r="IH103" s="1641"/>
      <c r="II103" s="1641"/>
      <c r="IJ103" s="1641"/>
      <c r="IK103" s="1641"/>
      <c r="IL103" s="1641"/>
      <c r="IM103" s="1641"/>
      <c r="IN103" s="1641"/>
      <c r="IO103" s="1641"/>
      <c r="IP103" s="1637"/>
      <c r="IQ103" s="1637"/>
      <c r="IR103" s="1637"/>
      <c r="IS103" s="1637"/>
      <c r="IT103" s="1637"/>
      <c r="IU103" s="1637"/>
      <c r="IV103" s="1637"/>
      <c r="IW103" s="1637"/>
      <c r="IX103" s="1641"/>
      <c r="IY103" s="1641"/>
      <c r="IZ103" s="1641"/>
      <c r="JA103" s="1641"/>
      <c r="JB103" s="1641"/>
      <c r="JC103" s="1641"/>
      <c r="JD103" s="1641"/>
      <c r="JE103" s="1641">
        <v>2510</v>
      </c>
      <c r="JF103" s="1641"/>
      <c r="JG103" s="1641"/>
      <c r="JH103" s="1637"/>
      <c r="JI103" s="1637"/>
      <c r="JJ103" s="1637"/>
      <c r="JK103" s="1637"/>
      <c r="JL103" s="1637"/>
      <c r="JM103" s="1637"/>
      <c r="JN103" s="1637"/>
      <c r="JO103" s="1637"/>
      <c r="JP103" s="1637"/>
      <c r="JQ103" s="1640"/>
      <c r="JR103" s="351"/>
    </row>
    <row r="104" spans="1:278" x14ac:dyDescent="0.25">
      <c r="A104" s="1367">
        <v>104</v>
      </c>
      <c r="B104" s="1411" t="str">
        <f t="shared" si="14"/>
        <v/>
      </c>
      <c r="C104" s="1435" t="s">
        <v>3997</v>
      </c>
      <c r="D104" s="1361" t="s">
        <v>3998</v>
      </c>
      <c r="E104" s="2561"/>
      <c r="F104" s="2561"/>
      <c r="G104" s="2561"/>
      <c r="H104" s="2561"/>
      <c r="I104" s="2561"/>
      <c r="J104" s="2561"/>
      <c r="K104" s="2561"/>
      <c r="L104" s="2561"/>
      <c r="M104" s="2561"/>
      <c r="N104" s="2561"/>
      <c r="O104" s="2561"/>
      <c r="P104" s="2561"/>
      <c r="Q104" s="2561"/>
      <c r="R104" s="2561"/>
      <c r="S104" s="2561"/>
      <c r="T104" s="2561"/>
      <c r="U104" s="2561"/>
      <c r="V104" s="2561"/>
      <c r="W104" s="2561"/>
      <c r="X104" s="2561"/>
      <c r="Y104" s="2561"/>
      <c r="Z104" s="2561"/>
      <c r="AA104" s="2561"/>
      <c r="AB104" s="2561"/>
      <c r="AC104" s="2561"/>
      <c r="AD104" s="2561"/>
      <c r="AE104" s="2561"/>
      <c r="AF104" s="2561"/>
      <c r="AG104" s="2561"/>
      <c r="AH104" s="2561"/>
      <c r="AI104" s="2561"/>
      <c r="AJ104" s="2561"/>
      <c r="AK104" s="2561"/>
      <c r="AL104" s="2561"/>
      <c r="AM104" s="2561"/>
      <c r="AN104" s="2561"/>
      <c r="AO104" s="2561"/>
      <c r="AP104" s="2561"/>
      <c r="AQ104" s="2561"/>
      <c r="AR104" s="2561"/>
      <c r="AS104" s="2561"/>
      <c r="AT104" s="2561"/>
      <c r="AU104" s="2561"/>
      <c r="AV104" s="2561"/>
      <c r="AW104" s="2561"/>
      <c r="AX104" s="2561"/>
      <c r="AY104" s="2561"/>
      <c r="AZ104" s="2561"/>
      <c r="BA104" s="2561"/>
      <c r="BB104" s="1636">
        <f>BB98+BB102-BB103</f>
        <v>9250</v>
      </c>
      <c r="BC104" s="2561">
        <f>BC98+BC102-BC103</f>
        <v>9060</v>
      </c>
      <c r="BD104" s="2561">
        <f>BD98+BD102-BD103</f>
        <v>4767</v>
      </c>
      <c r="BE104" s="2561"/>
      <c r="BF104" s="2561"/>
      <c r="BG104" s="2561"/>
      <c r="BH104" s="2561"/>
      <c r="BI104" s="2561"/>
      <c r="BJ104" s="1636">
        <f>BJ98+BJ102-BJ103</f>
        <v>13310</v>
      </c>
      <c r="BK104" s="2561"/>
      <c r="BL104" s="2561"/>
      <c r="BM104" s="2561"/>
      <c r="BN104" s="2561"/>
      <c r="BO104" s="2561"/>
      <c r="BP104" s="2561"/>
      <c r="BQ104" s="2561"/>
      <c r="BR104" s="2561"/>
      <c r="BS104" s="2561"/>
      <c r="BT104" s="2561"/>
      <c r="BU104" s="2561"/>
      <c r="BV104" s="2561"/>
      <c r="BW104" s="2561"/>
      <c r="BX104" s="2561"/>
      <c r="BY104" s="2561"/>
      <c r="BZ104" s="2561"/>
      <c r="CA104" s="2561"/>
      <c r="CB104" s="1636">
        <f>CB98+CB102-CB103</f>
        <v>12475</v>
      </c>
      <c r="CC104" s="2561"/>
      <c r="CD104" s="2561"/>
      <c r="CE104" s="2561"/>
      <c r="CF104" s="2561"/>
      <c r="CG104" s="2561"/>
      <c r="CH104" s="2561"/>
      <c r="CI104" s="2561"/>
      <c r="CJ104" s="1636">
        <v>140512</v>
      </c>
      <c r="CK104" s="2561"/>
      <c r="CL104" s="2561"/>
      <c r="CM104" s="2561"/>
      <c r="CN104" s="2561"/>
      <c r="CO104" s="2561"/>
      <c r="CP104" s="2561"/>
      <c r="CQ104" s="2561"/>
      <c r="CR104" s="2561"/>
      <c r="CS104" s="2561"/>
      <c r="CT104" s="2561"/>
      <c r="CU104" s="2561"/>
      <c r="CV104" s="2561"/>
      <c r="CW104" s="2561"/>
      <c r="CX104" s="2561"/>
      <c r="CY104" s="2561"/>
      <c r="CZ104" s="2561"/>
      <c r="DA104" s="2561"/>
      <c r="DB104" s="2561"/>
      <c r="DC104" s="2561"/>
      <c r="DD104" s="2561"/>
      <c r="DE104" s="2561"/>
      <c r="DF104" s="2561"/>
      <c r="DG104" s="2561"/>
      <c r="DH104" s="2561"/>
      <c r="DI104" s="2561"/>
      <c r="DJ104" s="2561"/>
      <c r="DK104" s="2561"/>
      <c r="DL104" s="2561"/>
      <c r="DM104" s="2561"/>
      <c r="DN104" s="2561"/>
      <c r="DO104" s="2561"/>
      <c r="DP104" s="2561"/>
      <c r="DQ104" s="2561"/>
      <c r="DR104" s="2561"/>
      <c r="DS104" s="2561"/>
      <c r="DT104" s="2561"/>
      <c r="DU104" s="2561"/>
      <c r="DV104" s="2561"/>
      <c r="DW104" s="2561"/>
      <c r="DX104" s="2561"/>
      <c r="DY104" s="2561"/>
      <c r="DZ104" s="2561"/>
      <c r="EA104" s="2561"/>
      <c r="EB104" s="2561"/>
      <c r="EC104" s="2561"/>
      <c r="ED104" s="2561"/>
      <c r="EE104" s="2561"/>
      <c r="EF104" s="2561"/>
      <c r="EG104" s="2561"/>
      <c r="EH104" s="2561"/>
      <c r="EI104" s="2561"/>
      <c r="EJ104" s="2561"/>
      <c r="EK104" s="2561"/>
      <c r="EL104" s="2561"/>
      <c r="EM104" s="2561"/>
      <c r="EN104" s="2561"/>
      <c r="EO104" s="2561"/>
      <c r="EP104" s="2561"/>
      <c r="EQ104" s="2561"/>
      <c r="ER104" s="2561"/>
      <c r="ES104" s="2561"/>
      <c r="ET104" s="2561"/>
      <c r="EU104" s="2561"/>
      <c r="EV104" s="2561"/>
      <c r="EW104" s="2561"/>
      <c r="EX104" s="2561"/>
      <c r="EY104" s="2561"/>
      <c r="EZ104" s="2561">
        <v>-1134.8599999999999</v>
      </c>
      <c r="FA104" s="2561"/>
      <c r="FB104" s="2561"/>
      <c r="FC104" s="2561"/>
      <c r="FD104" s="2561"/>
      <c r="FE104" s="2561"/>
      <c r="FF104" s="2561"/>
      <c r="FG104" s="2561"/>
      <c r="FH104" s="2561"/>
      <c r="FI104" s="2561"/>
      <c r="FJ104" s="2561"/>
      <c r="FK104" s="2561"/>
      <c r="FL104" s="2561"/>
      <c r="FM104" s="2561"/>
      <c r="FN104" s="2561"/>
      <c r="FO104" s="2561"/>
      <c r="FP104" s="2561"/>
      <c r="FQ104" s="2561"/>
      <c r="FR104" s="2561"/>
      <c r="FS104" s="2561"/>
      <c r="FT104" s="2561"/>
      <c r="FU104" s="2561"/>
      <c r="FV104" s="2561"/>
      <c r="FW104" s="2561"/>
      <c r="FX104" s="2561"/>
      <c r="FY104" s="2561"/>
      <c r="FZ104" s="2561"/>
      <c r="GA104" s="2561"/>
      <c r="GB104" s="2561"/>
      <c r="GC104" s="2561"/>
      <c r="GD104" s="2561"/>
      <c r="GE104" s="2561"/>
      <c r="GF104" s="2561">
        <f>GF98+GF102-GF103</f>
        <v>6112</v>
      </c>
      <c r="GG104" s="2561"/>
      <c r="GH104" s="2561"/>
      <c r="GI104" s="2561"/>
      <c r="GJ104" s="2561"/>
      <c r="GK104" s="2561"/>
      <c r="GL104" s="2561"/>
      <c r="GM104" s="2561"/>
      <c r="GN104" s="2561"/>
      <c r="GO104" s="2561"/>
      <c r="GP104" s="2561"/>
      <c r="GQ104" s="2561"/>
      <c r="GR104" s="2561"/>
      <c r="GS104" s="2561"/>
      <c r="GT104" s="2561"/>
      <c r="GU104" s="2561"/>
      <c r="GV104" s="2561"/>
      <c r="GW104" s="2561"/>
      <c r="GX104" s="2561"/>
      <c r="GY104" s="2561"/>
      <c r="GZ104" s="2561"/>
      <c r="HA104" s="2561"/>
      <c r="HB104" s="2561"/>
      <c r="HC104" s="2561"/>
      <c r="HD104" s="2561"/>
      <c r="HE104" s="2561"/>
      <c r="HF104" s="2561"/>
      <c r="HG104" s="2561"/>
      <c r="HH104" s="2561">
        <v>2110</v>
      </c>
      <c r="HI104" s="2561"/>
      <c r="HJ104" s="2561">
        <f>HJ98+HJ102-HJ103</f>
        <v>-4695</v>
      </c>
      <c r="HK104" s="2561">
        <f>HK98+HK102-HK103</f>
        <v>-2278</v>
      </c>
      <c r="HL104" s="2561">
        <f>HL98+HL102-HL103</f>
        <v>-2278</v>
      </c>
      <c r="HM104" s="2561">
        <f>HM98+HM102-HM103</f>
        <v>-2278</v>
      </c>
      <c r="HN104" s="2561"/>
      <c r="HO104" s="2561"/>
      <c r="HP104" s="2561"/>
      <c r="HQ104" s="2561"/>
      <c r="HR104" s="2561"/>
      <c r="HS104" s="2561"/>
      <c r="HT104" s="2561"/>
      <c r="HU104" s="2561"/>
      <c r="HV104" s="2561"/>
      <c r="HW104" s="2561"/>
      <c r="HX104" s="2561"/>
      <c r="HY104" s="2561"/>
      <c r="HZ104" s="2561"/>
      <c r="IA104" s="2561"/>
      <c r="IB104" s="2561"/>
      <c r="IC104" s="2561"/>
      <c r="ID104" s="2561"/>
      <c r="IE104" s="2561"/>
      <c r="IF104" s="2561"/>
      <c r="IG104" s="2561"/>
      <c r="IH104" s="2561"/>
      <c r="II104" s="2561"/>
      <c r="IJ104" s="2561"/>
      <c r="IK104" s="2561"/>
      <c r="IL104" s="2561"/>
      <c r="IM104" s="2561"/>
      <c r="IN104" s="2561"/>
      <c r="IO104" s="2561"/>
      <c r="IP104" s="2561"/>
      <c r="IQ104" s="2561"/>
      <c r="IR104" s="2561"/>
      <c r="IS104" s="2561"/>
      <c r="IT104" s="2561"/>
      <c r="IU104" s="2561"/>
      <c r="IV104" s="2561"/>
      <c r="IW104" s="2561"/>
      <c r="IX104" s="2561"/>
      <c r="IY104" s="2561"/>
      <c r="IZ104" s="2561"/>
      <c r="JA104" s="2561"/>
      <c r="JB104" s="2561"/>
      <c r="JC104" s="2561"/>
      <c r="JD104" s="2561"/>
      <c r="JE104" s="2561">
        <f>JE98+JE102-JE103</f>
        <v>1092</v>
      </c>
      <c r="JF104" s="2561"/>
      <c r="JG104" s="2561"/>
      <c r="JH104" s="2561"/>
      <c r="JI104" s="2561"/>
      <c r="JJ104" s="2561"/>
      <c r="JK104" s="2561"/>
      <c r="JL104" s="2561"/>
      <c r="JM104" s="2561"/>
      <c r="JN104" s="2561"/>
      <c r="JO104" s="2561"/>
      <c r="JP104" s="2561"/>
      <c r="JQ104" s="2561"/>
      <c r="JR104" s="351"/>
    </row>
    <row r="105" spans="1:278" x14ac:dyDescent="0.25">
      <c r="A105" s="1367">
        <v>105</v>
      </c>
      <c r="B105" s="1411" t="str">
        <f t="shared" si="14"/>
        <v/>
      </c>
      <c r="C105" s="1435" t="s">
        <v>3999</v>
      </c>
      <c r="D105" s="1361" t="s">
        <v>4000</v>
      </c>
      <c r="E105" s="1641"/>
      <c r="F105" s="1641"/>
      <c r="G105" s="1641"/>
      <c r="H105" s="1641"/>
      <c r="I105" s="1641"/>
      <c r="J105" s="1641"/>
      <c r="K105" s="1641"/>
      <c r="L105" s="1641"/>
      <c r="M105" s="1641"/>
      <c r="N105" s="1641"/>
      <c r="O105" s="1641"/>
      <c r="P105" s="1641"/>
      <c r="Q105" s="1641"/>
      <c r="R105" s="1641"/>
      <c r="S105" s="1641"/>
      <c r="T105" s="1641"/>
      <c r="U105" s="1641"/>
      <c r="V105" s="1641"/>
      <c r="W105" s="1641"/>
      <c r="X105" s="1641"/>
      <c r="Y105" s="1641"/>
      <c r="Z105" s="1641"/>
      <c r="AA105" s="1641"/>
      <c r="AB105" s="1641"/>
      <c r="AC105" s="1641"/>
      <c r="AD105" s="1641"/>
      <c r="AE105" s="1641"/>
      <c r="AF105" s="1641"/>
      <c r="AG105" s="1641"/>
      <c r="AH105" s="1641"/>
      <c r="AI105" s="1641"/>
      <c r="AJ105" s="1641"/>
      <c r="AK105" s="1641"/>
      <c r="AL105" s="1641"/>
      <c r="AM105" s="1641"/>
      <c r="AN105" s="1641"/>
      <c r="AO105" s="1641"/>
      <c r="AP105" s="1641"/>
      <c r="AQ105" s="1641"/>
      <c r="AR105" s="1641"/>
      <c r="AS105" s="1641"/>
      <c r="AT105" s="1641"/>
      <c r="AU105" s="1641"/>
      <c r="AV105" s="1641"/>
      <c r="AW105" s="1641"/>
      <c r="AX105" s="1641"/>
      <c r="AY105" s="1641"/>
      <c r="AZ105" s="1641"/>
      <c r="BA105" s="1641"/>
      <c r="BB105" s="1641"/>
      <c r="BC105" s="1641">
        <v>179</v>
      </c>
      <c r="BD105" s="1641"/>
      <c r="BE105" s="1641"/>
      <c r="BF105" s="1641"/>
      <c r="BG105" s="1641"/>
      <c r="BH105" s="1641"/>
      <c r="BI105" s="1641"/>
      <c r="BJ105" s="1636"/>
      <c r="BK105" s="1641"/>
      <c r="BL105" s="1641"/>
      <c r="BM105" s="1641"/>
      <c r="BN105" s="1641"/>
      <c r="BO105" s="1641"/>
      <c r="BP105" s="1641"/>
      <c r="BQ105" s="1641"/>
      <c r="BR105" s="1641"/>
      <c r="BS105" s="1641"/>
      <c r="BT105" s="1641"/>
      <c r="BU105" s="1641"/>
      <c r="BV105" s="1641"/>
      <c r="BW105" s="1641"/>
      <c r="BX105" s="1641"/>
      <c r="BY105" s="1641"/>
      <c r="BZ105" s="1641"/>
      <c r="CA105" s="1641"/>
      <c r="CB105" s="1636"/>
      <c r="CC105" s="1641"/>
      <c r="CD105" s="1641"/>
      <c r="CE105" s="1641"/>
      <c r="CF105" s="1641"/>
      <c r="CG105" s="1641"/>
      <c r="CH105" s="1641"/>
      <c r="CI105" s="1641"/>
      <c r="CJ105" s="1641"/>
      <c r="CK105" s="1641"/>
      <c r="CL105" s="1641"/>
      <c r="CM105" s="1641"/>
      <c r="CN105" s="1641"/>
      <c r="CO105" s="1641"/>
      <c r="CP105" s="1641"/>
      <c r="CQ105" s="1641"/>
      <c r="CR105" s="1641"/>
      <c r="CS105" s="1641"/>
      <c r="CT105" s="1641"/>
      <c r="CU105" s="1641"/>
      <c r="CV105" s="1641"/>
      <c r="CW105" s="1641"/>
      <c r="CX105" s="1641"/>
      <c r="CY105" s="1641"/>
      <c r="CZ105" s="1641"/>
      <c r="DA105" s="1641"/>
      <c r="DB105" s="1641"/>
      <c r="DC105" s="1641"/>
      <c r="DD105" s="1641"/>
      <c r="DE105" s="1641"/>
      <c r="DF105" s="1641"/>
      <c r="DG105" s="1641"/>
      <c r="DH105" s="1641"/>
      <c r="DI105" s="1641"/>
      <c r="DJ105" s="1641"/>
      <c r="DK105" s="1641"/>
      <c r="DL105" s="1641"/>
      <c r="DM105" s="1641"/>
      <c r="DN105" s="1641"/>
      <c r="DO105" s="1641"/>
      <c r="DP105" s="1641"/>
      <c r="DQ105" s="1641"/>
      <c r="DR105" s="1641"/>
      <c r="DS105" s="1641"/>
      <c r="DT105" s="1641"/>
      <c r="DU105" s="1641"/>
      <c r="DV105" s="1641"/>
      <c r="DW105" s="1641"/>
      <c r="DX105" s="1641"/>
      <c r="DY105" s="1641"/>
      <c r="DZ105" s="1641"/>
      <c r="EA105" s="1641"/>
      <c r="EB105" s="1641"/>
      <c r="EC105" s="1641"/>
      <c r="ED105" s="1641"/>
      <c r="EE105" s="1641"/>
      <c r="EF105" s="1641"/>
      <c r="EG105" s="1641"/>
      <c r="EH105" s="1641"/>
      <c r="EI105" s="1641"/>
      <c r="EJ105" s="1641"/>
      <c r="EK105" s="1641"/>
      <c r="EL105" s="1641"/>
      <c r="EM105" s="1641"/>
      <c r="EN105" s="1641"/>
      <c r="EO105" s="1641"/>
      <c r="EP105" s="1641"/>
      <c r="EQ105" s="1641"/>
      <c r="ER105" s="1641"/>
      <c r="ES105" s="1641"/>
      <c r="ET105" s="1641"/>
      <c r="EU105" s="1641"/>
      <c r="EV105" s="1641"/>
      <c r="EW105" s="1641"/>
      <c r="EX105" s="1641"/>
      <c r="EY105" s="1641"/>
      <c r="EZ105" s="1641"/>
      <c r="FA105" s="1641"/>
      <c r="FB105" s="1641"/>
      <c r="FC105" s="1641"/>
      <c r="FD105" s="1641"/>
      <c r="FE105" s="1641"/>
      <c r="FF105" s="1641"/>
      <c r="FG105" s="1641"/>
      <c r="FH105" s="1641"/>
      <c r="FI105" s="1641"/>
      <c r="FJ105" s="1641"/>
      <c r="FK105" s="1641"/>
      <c r="FL105" s="1641"/>
      <c r="FM105" s="1641"/>
      <c r="FN105" s="1641"/>
      <c r="FO105" s="1641"/>
      <c r="FP105" s="1641"/>
      <c r="FQ105" s="1641"/>
      <c r="FR105" s="1641"/>
      <c r="FS105" s="1641"/>
      <c r="FT105" s="1641"/>
      <c r="FU105" s="1641"/>
      <c r="FV105" s="1641"/>
      <c r="FW105" s="1641"/>
      <c r="FX105" s="1641"/>
      <c r="FY105" s="1641"/>
      <c r="FZ105" s="1641"/>
      <c r="GA105" s="1641"/>
      <c r="GB105" s="1641"/>
      <c r="GC105" s="1641"/>
      <c r="GD105" s="1641"/>
      <c r="GE105" s="1641"/>
      <c r="GF105" s="1641">
        <v>90</v>
      </c>
      <c r="GG105" s="1641"/>
      <c r="GH105" s="1641"/>
      <c r="GI105" s="1641"/>
      <c r="GJ105" s="1641"/>
      <c r="GK105" s="1641"/>
      <c r="GL105" s="1641"/>
      <c r="GM105" s="1641"/>
      <c r="GN105" s="1641"/>
      <c r="GO105" s="1641"/>
      <c r="GP105" s="1641"/>
      <c r="GQ105" s="1641"/>
      <c r="GR105" s="1641"/>
      <c r="GS105" s="1641"/>
      <c r="GT105" s="1641"/>
      <c r="GU105" s="1641"/>
      <c r="GV105" s="1641"/>
      <c r="GW105" s="1641"/>
      <c r="GX105" s="1641"/>
      <c r="GY105" s="1641"/>
      <c r="GZ105" s="1641"/>
      <c r="HA105" s="1641"/>
      <c r="HB105" s="1641"/>
      <c r="HC105" s="1641"/>
      <c r="HD105" s="1641"/>
      <c r="HE105" s="1641"/>
      <c r="HF105" s="1641"/>
      <c r="HG105" s="1641"/>
      <c r="HH105" s="1641"/>
      <c r="HI105" s="1641"/>
      <c r="HJ105" s="1641"/>
      <c r="HK105" s="1641"/>
      <c r="HL105" s="1641"/>
      <c r="HM105" s="1641"/>
      <c r="HN105" s="1641"/>
      <c r="HO105" s="1641"/>
      <c r="HP105" s="1641"/>
      <c r="HQ105" s="1641"/>
      <c r="HR105" s="1641"/>
      <c r="HS105" s="1641"/>
      <c r="HT105" s="1641"/>
      <c r="HU105" s="1641"/>
      <c r="HV105" s="1641"/>
      <c r="HW105" s="1641"/>
      <c r="HX105" s="1641"/>
      <c r="HY105" s="1641"/>
      <c r="HZ105" s="1641"/>
      <c r="IA105" s="1641"/>
      <c r="IB105" s="1641"/>
      <c r="IC105" s="1641"/>
      <c r="ID105" s="1641"/>
      <c r="IE105" s="1641"/>
      <c r="IF105" s="1641"/>
      <c r="IG105" s="1641"/>
      <c r="IH105" s="1641"/>
      <c r="II105" s="1641"/>
      <c r="IJ105" s="1641"/>
      <c r="IK105" s="1641"/>
      <c r="IL105" s="1641"/>
      <c r="IM105" s="1641"/>
      <c r="IN105" s="1641"/>
      <c r="IO105" s="1641"/>
      <c r="IP105" s="1637"/>
      <c r="IQ105" s="1637"/>
      <c r="IR105" s="1637"/>
      <c r="IS105" s="1637"/>
      <c r="IT105" s="1637"/>
      <c r="IU105" s="1637"/>
      <c r="IV105" s="1637"/>
      <c r="IW105" s="1637"/>
      <c r="IX105" s="1641"/>
      <c r="IY105" s="1641"/>
      <c r="IZ105" s="1641"/>
      <c r="JA105" s="1641"/>
      <c r="JB105" s="1641"/>
      <c r="JC105" s="1641"/>
      <c r="JD105" s="1641"/>
      <c r="JE105" s="1641">
        <v>90</v>
      </c>
      <c r="JF105" s="1641"/>
      <c r="JG105" s="1641"/>
      <c r="JH105" s="1637"/>
      <c r="JI105" s="1637"/>
      <c r="JJ105" s="1637"/>
      <c r="JK105" s="1637"/>
      <c r="JL105" s="1637"/>
      <c r="JM105" s="1637"/>
      <c r="JN105" s="1637"/>
      <c r="JO105" s="1637"/>
      <c r="JP105" s="1637"/>
      <c r="JQ105" s="1640"/>
      <c r="JR105" s="351"/>
    </row>
    <row r="106" spans="1:278" x14ac:dyDescent="0.25">
      <c r="A106" s="1367">
        <v>106</v>
      </c>
      <c r="B106" s="1411" t="str">
        <f t="shared" si="14"/>
        <v/>
      </c>
      <c r="C106" s="1435" t="s">
        <v>4001</v>
      </c>
      <c r="D106" s="1361" t="s">
        <v>3758</v>
      </c>
      <c r="E106" s="1641"/>
      <c r="F106" s="1641"/>
      <c r="G106" s="1641"/>
      <c r="H106" s="1641"/>
      <c r="I106" s="1641"/>
      <c r="J106" s="1641"/>
      <c r="K106" s="1641"/>
      <c r="L106" s="1641"/>
      <c r="M106" s="1641"/>
      <c r="N106" s="1641"/>
      <c r="O106" s="1641"/>
      <c r="P106" s="1641"/>
      <c r="Q106" s="1641"/>
      <c r="R106" s="1641"/>
      <c r="S106" s="1641"/>
      <c r="T106" s="1641"/>
      <c r="U106" s="1641"/>
      <c r="V106" s="1641"/>
      <c r="W106" s="1641"/>
      <c r="X106" s="1641"/>
      <c r="Y106" s="1641"/>
      <c r="Z106" s="1641"/>
      <c r="AA106" s="1641"/>
      <c r="AB106" s="1641"/>
      <c r="AC106" s="1641"/>
      <c r="AD106" s="1641"/>
      <c r="AE106" s="1641"/>
      <c r="AF106" s="1641"/>
      <c r="AG106" s="1641"/>
      <c r="AH106" s="1641"/>
      <c r="AI106" s="1641"/>
      <c r="AJ106" s="1641"/>
      <c r="AK106" s="1641"/>
      <c r="AL106" s="1641"/>
      <c r="AM106" s="1641"/>
      <c r="AN106" s="1641"/>
      <c r="AO106" s="1641"/>
      <c r="AP106" s="1641"/>
      <c r="AQ106" s="1641"/>
      <c r="AR106" s="1641"/>
      <c r="AS106" s="1641"/>
      <c r="AT106" s="1641"/>
      <c r="AU106" s="1641"/>
      <c r="AV106" s="1641"/>
      <c r="AW106" s="1641"/>
      <c r="AX106" s="1641"/>
      <c r="AY106" s="1641"/>
      <c r="AZ106" s="1641"/>
      <c r="BA106" s="1641"/>
      <c r="BB106" s="1641"/>
      <c r="BC106" s="1641"/>
      <c r="BD106" s="1641"/>
      <c r="BE106" s="1641"/>
      <c r="BF106" s="1641"/>
      <c r="BG106" s="1641"/>
      <c r="BH106" s="1641"/>
      <c r="BI106" s="1641"/>
      <c r="BJ106" s="1641"/>
      <c r="BK106" s="1641"/>
      <c r="BL106" s="1641"/>
      <c r="BM106" s="1641"/>
      <c r="BN106" s="1641"/>
      <c r="BO106" s="1641"/>
      <c r="BP106" s="1641"/>
      <c r="BQ106" s="1641"/>
      <c r="BR106" s="1641"/>
      <c r="BS106" s="1641"/>
      <c r="BT106" s="1641"/>
      <c r="BU106" s="1641"/>
      <c r="BV106" s="1641"/>
      <c r="BW106" s="1641"/>
      <c r="BX106" s="1641"/>
      <c r="BY106" s="1641"/>
      <c r="BZ106" s="1641"/>
      <c r="CA106" s="1641"/>
      <c r="CB106" s="1641"/>
      <c r="CC106" s="1641"/>
      <c r="CD106" s="1641"/>
      <c r="CE106" s="1641"/>
      <c r="CF106" s="1641"/>
      <c r="CG106" s="1641"/>
      <c r="CH106" s="1641"/>
      <c r="CI106" s="1641"/>
      <c r="CJ106" s="1641"/>
      <c r="CK106" s="1641"/>
      <c r="CL106" s="1641"/>
      <c r="CM106" s="1641"/>
      <c r="CN106" s="1641"/>
      <c r="CO106" s="1641"/>
      <c r="CP106" s="1641"/>
      <c r="CQ106" s="1641"/>
      <c r="CR106" s="1641"/>
      <c r="CS106" s="1641"/>
      <c r="CT106" s="1641"/>
      <c r="CU106" s="1641"/>
      <c r="CV106" s="1641"/>
      <c r="CW106" s="1641"/>
      <c r="CX106" s="1641"/>
      <c r="CY106" s="1641"/>
      <c r="CZ106" s="1641"/>
      <c r="DA106" s="1641"/>
      <c r="DB106" s="1641"/>
      <c r="DC106" s="1641"/>
      <c r="DD106" s="1641"/>
      <c r="DE106" s="1641"/>
      <c r="DF106" s="1641"/>
      <c r="DG106" s="1641"/>
      <c r="DH106" s="1641"/>
      <c r="DI106" s="1641"/>
      <c r="DJ106" s="1641"/>
      <c r="DK106" s="1641"/>
      <c r="DL106" s="1641"/>
      <c r="DM106" s="1641"/>
      <c r="DN106" s="1641"/>
      <c r="DO106" s="1641"/>
      <c r="DP106" s="1641"/>
      <c r="DQ106" s="1641"/>
      <c r="DR106" s="1641"/>
      <c r="DS106" s="1641"/>
      <c r="DT106" s="1641"/>
      <c r="DU106" s="1641"/>
      <c r="DV106" s="1641"/>
      <c r="DW106" s="1641"/>
      <c r="DX106" s="1641"/>
      <c r="DY106" s="1641"/>
      <c r="DZ106" s="1641"/>
      <c r="EA106" s="1641"/>
      <c r="EB106" s="1641"/>
      <c r="EC106" s="1641"/>
      <c r="ED106" s="1641"/>
      <c r="EE106" s="1641"/>
      <c r="EF106" s="1641"/>
      <c r="EG106" s="1641"/>
      <c r="EH106" s="1641"/>
      <c r="EI106" s="1641"/>
      <c r="EJ106" s="1641"/>
      <c r="EK106" s="1641"/>
      <c r="EL106" s="1641"/>
      <c r="EM106" s="1641"/>
      <c r="EN106" s="1641"/>
      <c r="EO106" s="1641"/>
      <c r="EP106" s="1641"/>
      <c r="EQ106" s="1641"/>
      <c r="ER106" s="1641"/>
      <c r="ES106" s="1641"/>
      <c r="ET106" s="1641"/>
      <c r="EU106" s="1641"/>
      <c r="EV106" s="1641"/>
      <c r="EW106" s="1641"/>
      <c r="EX106" s="1641"/>
      <c r="EY106" s="1641"/>
      <c r="EZ106" s="1641"/>
      <c r="FA106" s="1641"/>
      <c r="FB106" s="1641"/>
      <c r="FC106" s="1641"/>
      <c r="FD106" s="1641"/>
      <c r="FE106" s="1641"/>
      <c r="FF106" s="1641"/>
      <c r="FG106" s="1641"/>
      <c r="FH106" s="1641"/>
      <c r="FI106" s="1641"/>
      <c r="FJ106" s="1641"/>
      <c r="FK106" s="1641"/>
      <c r="FL106" s="1641"/>
      <c r="FM106" s="1641"/>
      <c r="FN106" s="1641"/>
      <c r="FO106" s="1641"/>
      <c r="FP106" s="1641"/>
      <c r="FQ106" s="1641"/>
      <c r="FR106" s="1641"/>
      <c r="FS106" s="1641"/>
      <c r="FT106" s="1641"/>
      <c r="FU106" s="1641"/>
      <c r="FV106" s="1641"/>
      <c r="FW106" s="1641"/>
      <c r="FX106" s="1641"/>
      <c r="FY106" s="1641"/>
      <c r="FZ106" s="1641"/>
      <c r="GA106" s="1641"/>
      <c r="GB106" s="1641"/>
      <c r="GC106" s="1641"/>
      <c r="GD106" s="1641"/>
      <c r="GE106" s="1641"/>
      <c r="GF106" s="1641"/>
      <c r="GG106" s="1641"/>
      <c r="GH106" s="1641"/>
      <c r="GI106" s="1641"/>
      <c r="GJ106" s="1641"/>
      <c r="GK106" s="1641"/>
      <c r="GL106" s="1641"/>
      <c r="GM106" s="1641"/>
      <c r="GN106" s="1641"/>
      <c r="GO106" s="1641"/>
      <c r="GP106" s="1641"/>
      <c r="GQ106" s="1641"/>
      <c r="GR106" s="1641"/>
      <c r="GS106" s="1641"/>
      <c r="GT106" s="1641"/>
      <c r="GU106" s="1641"/>
      <c r="GV106" s="1641"/>
      <c r="GW106" s="1641"/>
      <c r="GX106" s="1641"/>
      <c r="GY106" s="1641"/>
      <c r="GZ106" s="1641"/>
      <c r="HA106" s="1641"/>
      <c r="HB106" s="1641"/>
      <c r="HC106" s="1641"/>
      <c r="HD106" s="1641"/>
      <c r="HE106" s="1641"/>
      <c r="HF106" s="1641"/>
      <c r="HG106" s="1641"/>
      <c r="HH106" s="1641"/>
      <c r="HI106" s="1641"/>
      <c r="HJ106" s="1641"/>
      <c r="HK106" s="1641"/>
      <c r="HL106" s="1641"/>
      <c r="HM106" s="1641"/>
      <c r="HN106" s="1641"/>
      <c r="HO106" s="1641"/>
      <c r="HP106" s="1641"/>
      <c r="HQ106" s="1641"/>
      <c r="HR106" s="1641"/>
      <c r="HS106" s="1641"/>
      <c r="HT106" s="1641"/>
      <c r="HU106" s="1641"/>
      <c r="HV106" s="1641"/>
      <c r="HW106" s="1641"/>
      <c r="HX106" s="1641"/>
      <c r="HY106" s="1641"/>
      <c r="HZ106" s="1641"/>
      <c r="IA106" s="1641"/>
      <c r="IB106" s="1641"/>
      <c r="IC106" s="1641"/>
      <c r="ID106" s="1641"/>
      <c r="IE106" s="1641"/>
      <c r="IF106" s="1641"/>
      <c r="IG106" s="1641"/>
      <c r="IH106" s="1641"/>
      <c r="II106" s="1641"/>
      <c r="IJ106" s="1641"/>
      <c r="IK106" s="1641"/>
      <c r="IL106" s="1641"/>
      <c r="IM106" s="1641"/>
      <c r="IN106" s="1641"/>
      <c r="IO106" s="1641"/>
      <c r="IP106" s="1637"/>
      <c r="IQ106" s="1637"/>
      <c r="IR106" s="1637"/>
      <c r="IS106" s="1637"/>
      <c r="IT106" s="1637"/>
      <c r="IU106" s="1637"/>
      <c r="IV106" s="1637"/>
      <c r="IW106" s="1637"/>
      <c r="IX106" s="1641"/>
      <c r="IY106" s="1641"/>
      <c r="IZ106" s="1641"/>
      <c r="JA106" s="1641"/>
      <c r="JB106" s="1641"/>
      <c r="JC106" s="1641"/>
      <c r="JD106" s="1641"/>
      <c r="JE106" s="1641"/>
      <c r="JF106" s="1641"/>
      <c r="JG106" s="1641"/>
      <c r="JH106" s="1637"/>
      <c r="JI106" s="1637"/>
      <c r="JJ106" s="1637"/>
      <c r="JK106" s="1637"/>
      <c r="JL106" s="1637"/>
      <c r="JM106" s="1637"/>
      <c r="JN106" s="1637"/>
      <c r="JO106" s="1637"/>
      <c r="JP106" s="1637"/>
      <c r="JQ106" s="1640"/>
      <c r="JR106" s="351"/>
    </row>
    <row r="107" spans="1:278" x14ac:dyDescent="0.25">
      <c r="A107" s="1367">
        <v>107</v>
      </c>
      <c r="B107" s="1411" t="str">
        <f t="shared" si="14"/>
        <v/>
      </c>
      <c r="C107" s="1435" t="s">
        <v>4002</v>
      </c>
      <c r="D107" s="1361" t="s">
        <v>4003</v>
      </c>
      <c r="E107" s="1641"/>
      <c r="F107" s="1641"/>
      <c r="G107" s="1641"/>
      <c r="H107" s="1641"/>
      <c r="I107" s="1641"/>
      <c r="J107" s="1641"/>
      <c r="K107" s="1641"/>
      <c r="L107" s="1641"/>
      <c r="M107" s="1641"/>
      <c r="N107" s="1641"/>
      <c r="O107" s="1641"/>
      <c r="P107" s="1641"/>
      <c r="Q107" s="1641"/>
      <c r="R107" s="1641"/>
      <c r="S107" s="1641"/>
      <c r="T107" s="1641"/>
      <c r="U107" s="1641"/>
      <c r="V107" s="1641"/>
      <c r="W107" s="1641"/>
      <c r="X107" s="1641"/>
      <c r="Y107" s="1641"/>
      <c r="Z107" s="1641"/>
      <c r="AA107" s="1641"/>
      <c r="AB107" s="1641"/>
      <c r="AC107" s="1641"/>
      <c r="AD107" s="1641"/>
      <c r="AE107" s="1641"/>
      <c r="AF107" s="1641"/>
      <c r="AG107" s="1641"/>
      <c r="AH107" s="1641"/>
      <c r="AI107" s="1641"/>
      <c r="AJ107" s="1641"/>
      <c r="AK107" s="1641"/>
      <c r="AL107" s="1641"/>
      <c r="AM107" s="1641"/>
      <c r="AN107" s="1641"/>
      <c r="AO107" s="1641"/>
      <c r="AP107" s="1641"/>
      <c r="AQ107" s="1641"/>
      <c r="AR107" s="1641"/>
      <c r="AS107" s="1641"/>
      <c r="AT107" s="1641"/>
      <c r="AU107" s="1641"/>
      <c r="AV107" s="1641"/>
      <c r="AW107" s="1641"/>
      <c r="AX107" s="1641"/>
      <c r="AY107" s="1641"/>
      <c r="AZ107" s="1641"/>
      <c r="BA107" s="1641"/>
      <c r="BB107" s="1641"/>
      <c r="BC107" s="1641"/>
      <c r="BD107" s="1641"/>
      <c r="BE107" s="1641"/>
      <c r="BF107" s="1641"/>
      <c r="BG107" s="1641"/>
      <c r="BH107" s="1641"/>
      <c r="BI107" s="1641"/>
      <c r="BJ107" s="1641"/>
      <c r="BK107" s="1641"/>
      <c r="BL107" s="1641"/>
      <c r="BM107" s="1641"/>
      <c r="BN107" s="1641"/>
      <c r="BO107" s="1641"/>
      <c r="BP107" s="1641"/>
      <c r="BQ107" s="1641"/>
      <c r="BR107" s="1641"/>
      <c r="BS107" s="1641"/>
      <c r="BT107" s="1641"/>
      <c r="BU107" s="1641"/>
      <c r="BV107" s="1641"/>
      <c r="BW107" s="1641"/>
      <c r="BX107" s="1641"/>
      <c r="BY107" s="1641"/>
      <c r="BZ107" s="1641"/>
      <c r="CA107" s="1641"/>
      <c r="CB107" s="1641"/>
      <c r="CC107" s="1641"/>
      <c r="CD107" s="1641"/>
      <c r="CE107" s="1641"/>
      <c r="CF107" s="1641"/>
      <c r="CG107" s="1641"/>
      <c r="CH107" s="1641"/>
      <c r="CI107" s="1641"/>
      <c r="CJ107" s="1641"/>
      <c r="CK107" s="1641"/>
      <c r="CL107" s="1641"/>
      <c r="CM107" s="1641"/>
      <c r="CN107" s="1641"/>
      <c r="CO107" s="1641"/>
      <c r="CP107" s="1641"/>
      <c r="CQ107" s="1641"/>
      <c r="CR107" s="1641"/>
      <c r="CS107" s="1641"/>
      <c r="CT107" s="1641"/>
      <c r="CU107" s="1641"/>
      <c r="CV107" s="1641"/>
      <c r="CW107" s="1641"/>
      <c r="CX107" s="1641"/>
      <c r="CY107" s="1641"/>
      <c r="CZ107" s="1641"/>
      <c r="DA107" s="1641"/>
      <c r="DB107" s="1641"/>
      <c r="DC107" s="1641"/>
      <c r="DD107" s="1641"/>
      <c r="DE107" s="1641"/>
      <c r="DF107" s="1641"/>
      <c r="DG107" s="1641"/>
      <c r="DH107" s="1641"/>
      <c r="DI107" s="1641"/>
      <c r="DJ107" s="1641"/>
      <c r="DK107" s="1641"/>
      <c r="DL107" s="1641"/>
      <c r="DM107" s="1641"/>
      <c r="DN107" s="1641"/>
      <c r="DO107" s="1641"/>
      <c r="DP107" s="1641"/>
      <c r="DQ107" s="1641"/>
      <c r="DR107" s="1641"/>
      <c r="DS107" s="1641"/>
      <c r="DT107" s="1641"/>
      <c r="DU107" s="1641"/>
      <c r="DV107" s="1641"/>
      <c r="DW107" s="1641"/>
      <c r="DX107" s="1641"/>
      <c r="DY107" s="1641"/>
      <c r="DZ107" s="1641"/>
      <c r="EA107" s="1641"/>
      <c r="EB107" s="1641"/>
      <c r="EC107" s="1641"/>
      <c r="ED107" s="1641"/>
      <c r="EE107" s="1641"/>
      <c r="EF107" s="1641"/>
      <c r="EG107" s="1641"/>
      <c r="EH107" s="1641"/>
      <c r="EI107" s="1641"/>
      <c r="EJ107" s="1641"/>
      <c r="EK107" s="1641"/>
      <c r="EL107" s="1641"/>
      <c r="EM107" s="1641"/>
      <c r="EN107" s="1641"/>
      <c r="EO107" s="1641"/>
      <c r="EP107" s="1641"/>
      <c r="EQ107" s="1641"/>
      <c r="ER107" s="1641"/>
      <c r="ES107" s="1641"/>
      <c r="ET107" s="1641"/>
      <c r="EU107" s="1641"/>
      <c r="EV107" s="1641"/>
      <c r="EW107" s="1641"/>
      <c r="EX107" s="1641"/>
      <c r="EY107" s="1641"/>
      <c r="EZ107" s="1641"/>
      <c r="FA107" s="1641"/>
      <c r="FB107" s="1641"/>
      <c r="FC107" s="1641"/>
      <c r="FD107" s="1641"/>
      <c r="FE107" s="1641"/>
      <c r="FF107" s="1641"/>
      <c r="FG107" s="1641"/>
      <c r="FH107" s="1641"/>
      <c r="FI107" s="1641"/>
      <c r="FJ107" s="1641"/>
      <c r="FK107" s="1641"/>
      <c r="FL107" s="1641"/>
      <c r="FM107" s="1641"/>
      <c r="FN107" s="1641"/>
      <c r="FO107" s="1641"/>
      <c r="FP107" s="1641"/>
      <c r="FQ107" s="1641"/>
      <c r="FR107" s="1641"/>
      <c r="FS107" s="1641"/>
      <c r="FT107" s="1641"/>
      <c r="FU107" s="1641"/>
      <c r="FV107" s="1641"/>
      <c r="FW107" s="1641"/>
      <c r="FX107" s="1641"/>
      <c r="FY107" s="1641"/>
      <c r="FZ107" s="1641"/>
      <c r="GA107" s="1641"/>
      <c r="GB107" s="1641"/>
      <c r="GC107" s="1641"/>
      <c r="GD107" s="1641"/>
      <c r="GE107" s="1641"/>
      <c r="GF107" s="1641"/>
      <c r="GG107" s="1641"/>
      <c r="GH107" s="1641"/>
      <c r="GI107" s="1641"/>
      <c r="GJ107" s="1641"/>
      <c r="GK107" s="1641"/>
      <c r="GL107" s="1641"/>
      <c r="GM107" s="1641"/>
      <c r="GN107" s="1641"/>
      <c r="GO107" s="1641"/>
      <c r="GP107" s="1641"/>
      <c r="GQ107" s="1641"/>
      <c r="GR107" s="1641"/>
      <c r="GS107" s="1641"/>
      <c r="GT107" s="1641"/>
      <c r="GU107" s="1641"/>
      <c r="GV107" s="1641"/>
      <c r="GW107" s="1641"/>
      <c r="GX107" s="1641"/>
      <c r="GY107" s="1641"/>
      <c r="GZ107" s="1641"/>
      <c r="HA107" s="1641"/>
      <c r="HB107" s="1641"/>
      <c r="HC107" s="1641"/>
      <c r="HD107" s="1641"/>
      <c r="HE107" s="1641"/>
      <c r="HF107" s="1641"/>
      <c r="HG107" s="1641"/>
      <c r="HH107" s="1641"/>
      <c r="HI107" s="1641"/>
      <c r="HJ107" s="1641"/>
      <c r="HK107" s="1641"/>
      <c r="HL107" s="1641"/>
      <c r="HM107" s="1641"/>
      <c r="HN107" s="1641"/>
      <c r="HO107" s="1641"/>
      <c r="HP107" s="1641"/>
      <c r="HQ107" s="1641"/>
      <c r="HR107" s="1641"/>
      <c r="HS107" s="1641"/>
      <c r="HT107" s="1641"/>
      <c r="HU107" s="1641"/>
      <c r="HV107" s="1641"/>
      <c r="HW107" s="1641"/>
      <c r="HX107" s="1641"/>
      <c r="HY107" s="1641"/>
      <c r="HZ107" s="1641"/>
      <c r="IA107" s="1641"/>
      <c r="IB107" s="1641"/>
      <c r="IC107" s="1641"/>
      <c r="ID107" s="1641"/>
      <c r="IE107" s="1641"/>
      <c r="IF107" s="1641"/>
      <c r="IG107" s="1641"/>
      <c r="IH107" s="1641"/>
      <c r="II107" s="1641"/>
      <c r="IJ107" s="1641"/>
      <c r="IK107" s="1641"/>
      <c r="IL107" s="1641"/>
      <c r="IM107" s="1641"/>
      <c r="IN107" s="1641"/>
      <c r="IO107" s="1641"/>
      <c r="IP107" s="1637"/>
      <c r="IQ107" s="1637"/>
      <c r="IR107" s="1637"/>
      <c r="IS107" s="1637"/>
      <c r="IT107" s="1637"/>
      <c r="IU107" s="1637"/>
      <c r="IV107" s="1637"/>
      <c r="IW107" s="1637"/>
      <c r="IX107" s="1641"/>
      <c r="IY107" s="1641"/>
      <c r="IZ107" s="1641"/>
      <c r="JA107" s="1641"/>
      <c r="JB107" s="1641"/>
      <c r="JC107" s="1641"/>
      <c r="JD107" s="1641"/>
      <c r="JE107" s="1641"/>
      <c r="JF107" s="1641"/>
      <c r="JG107" s="1641"/>
      <c r="JH107" s="1637"/>
      <c r="JI107" s="1637"/>
      <c r="JJ107" s="1637"/>
      <c r="JK107" s="1637"/>
      <c r="JL107" s="1637"/>
      <c r="JM107" s="1637"/>
      <c r="JN107" s="1637"/>
      <c r="JO107" s="1637"/>
      <c r="JP107" s="1637"/>
      <c r="JQ107" s="1640"/>
      <c r="JR107" s="351"/>
    </row>
    <row r="108" spans="1:278" x14ac:dyDescent="0.25">
      <c r="A108" s="1367">
        <v>108</v>
      </c>
      <c r="B108" s="1411" t="str">
        <f t="shared" si="14"/>
        <v/>
      </c>
      <c r="C108" s="1435" t="s">
        <v>4004</v>
      </c>
      <c r="D108" s="1361" t="s">
        <v>2975</v>
      </c>
      <c r="E108" s="1641"/>
      <c r="F108" s="1641"/>
      <c r="G108" s="1641"/>
      <c r="H108" s="1641"/>
      <c r="I108" s="1641"/>
      <c r="J108" s="1641"/>
      <c r="K108" s="1641"/>
      <c r="L108" s="1641"/>
      <c r="M108" s="1641"/>
      <c r="N108" s="1641"/>
      <c r="O108" s="1641"/>
      <c r="P108" s="1641"/>
      <c r="Q108" s="1641"/>
      <c r="R108" s="1641"/>
      <c r="S108" s="1641"/>
      <c r="T108" s="1641"/>
      <c r="U108" s="1641"/>
      <c r="V108" s="1641"/>
      <c r="W108" s="1641"/>
      <c r="X108" s="1641"/>
      <c r="Y108" s="1641"/>
      <c r="Z108" s="1641"/>
      <c r="AA108" s="1641"/>
      <c r="AB108" s="1641"/>
      <c r="AC108" s="1641"/>
      <c r="AD108" s="1641"/>
      <c r="AE108" s="1641"/>
      <c r="AF108" s="1641"/>
      <c r="AG108" s="1641"/>
      <c r="AH108" s="1641"/>
      <c r="AI108" s="1641"/>
      <c r="AJ108" s="1641"/>
      <c r="AK108" s="1641"/>
      <c r="AL108" s="1641"/>
      <c r="AM108" s="1641"/>
      <c r="AN108" s="1641"/>
      <c r="AO108" s="1641"/>
      <c r="AP108" s="1641"/>
      <c r="AQ108" s="1641"/>
      <c r="AR108" s="1641"/>
      <c r="AS108" s="1641"/>
      <c r="AT108" s="1641"/>
      <c r="AU108" s="1641"/>
      <c r="AV108" s="1641"/>
      <c r="AW108" s="1641"/>
      <c r="AX108" s="1641"/>
      <c r="AY108" s="1641"/>
      <c r="AZ108" s="1641"/>
      <c r="BA108" s="1641"/>
      <c r="BB108" s="1641"/>
      <c r="BC108" s="1641"/>
      <c r="BD108" s="1641">
        <v>199</v>
      </c>
      <c r="BE108" s="1641"/>
      <c r="BF108" s="1641"/>
      <c r="BG108" s="1641"/>
      <c r="BH108" s="1641"/>
      <c r="BI108" s="1641"/>
      <c r="BJ108" s="1641"/>
      <c r="BK108" s="1641"/>
      <c r="BL108" s="1641"/>
      <c r="BM108" s="1641"/>
      <c r="BN108" s="1641"/>
      <c r="BO108" s="1641"/>
      <c r="BP108" s="1641"/>
      <c r="BQ108" s="1641"/>
      <c r="BR108" s="1641"/>
      <c r="BS108" s="1641"/>
      <c r="BT108" s="1641"/>
      <c r="BU108" s="1641"/>
      <c r="BV108" s="1641"/>
      <c r="BW108" s="1641"/>
      <c r="BX108" s="1641"/>
      <c r="BY108" s="1641"/>
      <c r="BZ108" s="1641"/>
      <c r="CA108" s="1641"/>
      <c r="CB108" s="1641"/>
      <c r="CC108" s="1641"/>
      <c r="CD108" s="1641"/>
      <c r="CE108" s="1641"/>
      <c r="CF108" s="1641"/>
      <c r="CG108" s="1641"/>
      <c r="CH108" s="1641"/>
      <c r="CI108" s="1641"/>
      <c r="CJ108" s="1641"/>
      <c r="CK108" s="1641"/>
      <c r="CL108" s="1641"/>
      <c r="CM108" s="1641"/>
      <c r="CN108" s="1641"/>
      <c r="CO108" s="1641"/>
      <c r="CP108" s="1641"/>
      <c r="CQ108" s="1641"/>
      <c r="CR108" s="1641"/>
      <c r="CS108" s="1641"/>
      <c r="CT108" s="1641"/>
      <c r="CU108" s="1641"/>
      <c r="CV108" s="1641"/>
      <c r="CW108" s="1641"/>
      <c r="CX108" s="1641"/>
      <c r="CY108" s="1641"/>
      <c r="CZ108" s="1641"/>
      <c r="DA108" s="1641"/>
      <c r="DB108" s="1641"/>
      <c r="DC108" s="1641"/>
      <c r="DD108" s="1641"/>
      <c r="DE108" s="1641"/>
      <c r="DF108" s="1641"/>
      <c r="DG108" s="1641"/>
      <c r="DH108" s="1641"/>
      <c r="DI108" s="1641"/>
      <c r="DJ108" s="1641"/>
      <c r="DK108" s="1641"/>
      <c r="DL108" s="1641"/>
      <c r="DM108" s="1641"/>
      <c r="DN108" s="1641"/>
      <c r="DO108" s="1641"/>
      <c r="DP108" s="1641"/>
      <c r="DQ108" s="1641"/>
      <c r="DR108" s="1641"/>
      <c r="DS108" s="1641"/>
      <c r="DT108" s="1641"/>
      <c r="DU108" s="1641"/>
      <c r="DV108" s="1641"/>
      <c r="DW108" s="1641"/>
      <c r="DX108" s="1641"/>
      <c r="DY108" s="1641"/>
      <c r="DZ108" s="1641"/>
      <c r="EA108" s="1641"/>
      <c r="EB108" s="1641"/>
      <c r="EC108" s="1641"/>
      <c r="ED108" s="1641"/>
      <c r="EE108" s="1641"/>
      <c r="EF108" s="1641"/>
      <c r="EG108" s="1641"/>
      <c r="EH108" s="1641"/>
      <c r="EI108" s="1641"/>
      <c r="EJ108" s="1641"/>
      <c r="EK108" s="1641"/>
      <c r="EL108" s="1641"/>
      <c r="EM108" s="1641"/>
      <c r="EN108" s="1641"/>
      <c r="EO108" s="1641"/>
      <c r="EP108" s="1641"/>
      <c r="EQ108" s="1641"/>
      <c r="ER108" s="1641"/>
      <c r="ES108" s="1641"/>
      <c r="ET108" s="1641"/>
      <c r="EU108" s="1641"/>
      <c r="EV108" s="1641"/>
      <c r="EW108" s="1641"/>
      <c r="EX108" s="1641"/>
      <c r="EY108" s="1641"/>
      <c r="EZ108" s="1641"/>
      <c r="FA108" s="1641"/>
      <c r="FB108" s="1641"/>
      <c r="FC108" s="1641"/>
      <c r="FD108" s="1641"/>
      <c r="FE108" s="1641"/>
      <c r="FF108" s="1641"/>
      <c r="FG108" s="1641"/>
      <c r="FH108" s="1641"/>
      <c r="FI108" s="1641"/>
      <c r="FJ108" s="1641"/>
      <c r="FK108" s="1641"/>
      <c r="FL108" s="1641"/>
      <c r="FM108" s="1641"/>
      <c r="FN108" s="1641"/>
      <c r="FO108" s="1641"/>
      <c r="FP108" s="1641"/>
      <c r="FQ108" s="1641"/>
      <c r="FR108" s="1641"/>
      <c r="FS108" s="1641"/>
      <c r="FT108" s="1641"/>
      <c r="FU108" s="1641"/>
      <c r="FV108" s="1641"/>
      <c r="FW108" s="1641"/>
      <c r="FX108" s="1641"/>
      <c r="FY108" s="1641"/>
      <c r="FZ108" s="1641"/>
      <c r="GA108" s="1641"/>
      <c r="GB108" s="1641"/>
      <c r="GC108" s="1641"/>
      <c r="GD108" s="1641"/>
      <c r="GE108" s="1641"/>
      <c r="GF108" s="1641"/>
      <c r="GG108" s="1641"/>
      <c r="GH108" s="1641"/>
      <c r="GI108" s="1641"/>
      <c r="GJ108" s="1641"/>
      <c r="GK108" s="1641"/>
      <c r="GL108" s="1641"/>
      <c r="GM108" s="1641"/>
      <c r="GN108" s="1641"/>
      <c r="GO108" s="1641"/>
      <c r="GP108" s="1641"/>
      <c r="GQ108" s="1641"/>
      <c r="GR108" s="1641"/>
      <c r="GS108" s="1641"/>
      <c r="GT108" s="1641"/>
      <c r="GU108" s="1641"/>
      <c r="GV108" s="1641"/>
      <c r="GW108" s="1641"/>
      <c r="GX108" s="1641"/>
      <c r="GY108" s="1641"/>
      <c r="GZ108" s="1641"/>
      <c r="HA108" s="1641"/>
      <c r="HB108" s="1641"/>
      <c r="HC108" s="1641"/>
      <c r="HD108" s="1641"/>
      <c r="HE108" s="1641"/>
      <c r="HF108" s="1641"/>
      <c r="HG108" s="1641"/>
      <c r="HH108" s="1641"/>
      <c r="HI108" s="1641"/>
      <c r="HJ108" s="1641"/>
      <c r="HK108" s="1641"/>
      <c r="HL108" s="1641"/>
      <c r="HM108" s="1641"/>
      <c r="HN108" s="1641"/>
      <c r="HO108" s="1641"/>
      <c r="HP108" s="1641"/>
      <c r="HQ108" s="1641"/>
      <c r="HR108" s="1641"/>
      <c r="HS108" s="1641"/>
      <c r="HT108" s="1641"/>
      <c r="HU108" s="1641"/>
      <c r="HV108" s="1641"/>
      <c r="HW108" s="1641"/>
      <c r="HX108" s="1641"/>
      <c r="HY108" s="1641"/>
      <c r="HZ108" s="1641"/>
      <c r="IA108" s="1641"/>
      <c r="IB108" s="1641"/>
      <c r="IC108" s="1641"/>
      <c r="ID108" s="1641"/>
      <c r="IE108" s="1641"/>
      <c r="IF108" s="1641"/>
      <c r="IG108" s="1641"/>
      <c r="IH108" s="1641"/>
      <c r="II108" s="1641"/>
      <c r="IJ108" s="1641"/>
      <c r="IK108" s="1641"/>
      <c r="IL108" s="1641"/>
      <c r="IM108" s="1641"/>
      <c r="IN108" s="1641"/>
      <c r="IO108" s="1641"/>
      <c r="IP108" s="1637"/>
      <c r="IQ108" s="1637"/>
      <c r="IR108" s="1637"/>
      <c r="IS108" s="1637"/>
      <c r="IT108" s="1637"/>
      <c r="IU108" s="1637"/>
      <c r="IV108" s="1637"/>
      <c r="IW108" s="1637"/>
      <c r="IX108" s="1641"/>
      <c r="IY108" s="1641"/>
      <c r="IZ108" s="1641"/>
      <c r="JA108" s="1641"/>
      <c r="JB108" s="1641"/>
      <c r="JC108" s="1641"/>
      <c r="JD108" s="1641"/>
      <c r="JE108" s="1641"/>
      <c r="JF108" s="1641"/>
      <c r="JG108" s="1641"/>
      <c r="JH108" s="1637"/>
      <c r="JI108" s="1637"/>
      <c r="JJ108" s="1637"/>
      <c r="JK108" s="1637"/>
      <c r="JL108" s="1637"/>
      <c r="JM108" s="1637"/>
      <c r="JN108" s="1637"/>
      <c r="JO108" s="1637"/>
      <c r="JP108" s="1637"/>
      <c r="JQ108" s="1640"/>
      <c r="JR108" s="351"/>
    </row>
    <row r="109" spans="1:278" x14ac:dyDescent="0.25">
      <c r="A109" s="1367">
        <v>109</v>
      </c>
      <c r="B109" s="1411" t="str">
        <f t="shared" si="14"/>
        <v/>
      </c>
      <c r="C109" s="2558" t="s">
        <v>4005</v>
      </c>
      <c r="D109" s="1646" t="s">
        <v>3203</v>
      </c>
      <c r="E109" s="1641"/>
      <c r="F109" s="1641"/>
      <c r="G109" s="1641"/>
      <c r="H109" s="1641"/>
      <c r="I109" s="1641"/>
      <c r="J109" s="1641"/>
      <c r="K109" s="1641"/>
      <c r="L109" s="1641"/>
      <c r="M109" s="1641"/>
      <c r="N109" s="1641"/>
      <c r="O109" s="1641"/>
      <c r="P109" s="1641"/>
      <c r="Q109" s="1641"/>
      <c r="R109" s="1641"/>
      <c r="S109" s="1641"/>
      <c r="T109" s="1641"/>
      <c r="U109" s="1641"/>
      <c r="V109" s="1641"/>
      <c r="W109" s="1641"/>
      <c r="X109" s="1641"/>
      <c r="Y109" s="1641"/>
      <c r="Z109" s="1641"/>
      <c r="AA109" s="1641"/>
      <c r="AB109" s="1641"/>
      <c r="AC109" s="1641"/>
      <c r="AD109" s="1641"/>
      <c r="AE109" s="1641"/>
      <c r="AF109" s="1641"/>
      <c r="AG109" s="1641"/>
      <c r="AH109" s="1641"/>
      <c r="AI109" s="1641"/>
      <c r="AJ109" s="1641"/>
      <c r="AK109" s="1641"/>
      <c r="AL109" s="1641"/>
      <c r="AM109" s="1641"/>
      <c r="AN109" s="1641"/>
      <c r="AO109" s="1641"/>
      <c r="AP109" s="1641"/>
      <c r="AQ109" s="1641"/>
      <c r="AR109" s="1641"/>
      <c r="AS109" s="1641"/>
      <c r="AT109" s="1641"/>
      <c r="AU109" s="1641"/>
      <c r="AV109" s="1641"/>
      <c r="AW109" s="1641"/>
      <c r="AX109" s="1641"/>
      <c r="AY109" s="1641"/>
      <c r="AZ109" s="1641"/>
      <c r="BA109" s="1641"/>
      <c r="BB109" s="1641"/>
      <c r="BC109" s="1641"/>
      <c r="BD109" s="1641"/>
      <c r="BE109" s="1641"/>
      <c r="BF109" s="1641"/>
      <c r="BG109" s="1641"/>
      <c r="BH109" s="1641"/>
      <c r="BI109" s="1641"/>
      <c r="BJ109" s="1641"/>
      <c r="BK109" s="1641"/>
      <c r="BL109" s="1641"/>
      <c r="BM109" s="1641"/>
      <c r="BN109" s="1641"/>
      <c r="BO109" s="1641"/>
      <c r="BP109" s="1641"/>
      <c r="BQ109" s="1641"/>
      <c r="BR109" s="1641"/>
      <c r="BS109" s="1641"/>
      <c r="BT109" s="1641"/>
      <c r="BU109" s="1641"/>
      <c r="BV109" s="1641"/>
      <c r="BW109" s="1641"/>
      <c r="BX109" s="1641"/>
      <c r="BY109" s="1641"/>
      <c r="BZ109" s="1641"/>
      <c r="CA109" s="1641"/>
      <c r="CB109" s="1641"/>
      <c r="CC109" s="1641"/>
      <c r="CD109" s="1641"/>
      <c r="CE109" s="1641"/>
      <c r="CF109" s="1641"/>
      <c r="CG109" s="1641"/>
      <c r="CH109" s="1641"/>
      <c r="CI109" s="1641"/>
      <c r="CJ109" s="1641"/>
      <c r="CK109" s="1641"/>
      <c r="CL109" s="1641"/>
      <c r="CM109" s="1641"/>
      <c r="CN109" s="1641"/>
      <c r="CO109" s="1641"/>
      <c r="CP109" s="1641"/>
      <c r="CQ109" s="1641"/>
      <c r="CR109" s="1641"/>
      <c r="CS109" s="1641"/>
      <c r="CT109" s="1641"/>
      <c r="CU109" s="1641"/>
      <c r="CV109" s="1641"/>
      <c r="CW109" s="1641"/>
      <c r="CX109" s="1641"/>
      <c r="CY109" s="1641"/>
      <c r="CZ109" s="1641"/>
      <c r="DA109" s="1641"/>
      <c r="DB109" s="1641"/>
      <c r="DC109" s="1641"/>
      <c r="DD109" s="1641"/>
      <c r="DE109" s="1641"/>
      <c r="DF109" s="1641"/>
      <c r="DG109" s="1641"/>
      <c r="DH109" s="1641"/>
      <c r="DI109" s="1641"/>
      <c r="DJ109" s="1641"/>
      <c r="DK109" s="1641"/>
      <c r="DL109" s="1641"/>
      <c r="DM109" s="1641"/>
      <c r="DN109" s="1641"/>
      <c r="DO109" s="1641"/>
      <c r="DP109" s="1641"/>
      <c r="DQ109" s="1641"/>
      <c r="DR109" s="1641"/>
      <c r="DS109" s="1641"/>
      <c r="DT109" s="1641"/>
      <c r="DU109" s="1641"/>
      <c r="DV109" s="1641"/>
      <c r="DW109" s="1641"/>
      <c r="DX109" s="1641"/>
      <c r="DY109" s="1641"/>
      <c r="DZ109" s="1641"/>
      <c r="EA109" s="1641"/>
      <c r="EB109" s="1641"/>
      <c r="EC109" s="1641"/>
      <c r="ED109" s="1641"/>
      <c r="EE109" s="1641"/>
      <c r="EF109" s="1641"/>
      <c r="EG109" s="1641"/>
      <c r="EH109" s="1641"/>
      <c r="EI109" s="1641"/>
      <c r="EJ109" s="1641"/>
      <c r="EK109" s="1641"/>
      <c r="EL109" s="1641"/>
      <c r="EM109" s="1641"/>
      <c r="EN109" s="1641"/>
      <c r="EO109" s="1641"/>
      <c r="EP109" s="1641"/>
      <c r="EQ109" s="1641"/>
      <c r="ER109" s="1641"/>
      <c r="ES109" s="1641"/>
      <c r="ET109" s="1641"/>
      <c r="EU109" s="1641"/>
      <c r="EV109" s="1641"/>
      <c r="EW109" s="1641"/>
      <c r="EX109" s="1641"/>
      <c r="EY109" s="1641"/>
      <c r="EZ109" s="1641"/>
      <c r="FA109" s="1641"/>
      <c r="FB109" s="1641"/>
      <c r="FC109" s="1641"/>
      <c r="FD109" s="1641"/>
      <c r="FE109" s="1641"/>
      <c r="FF109" s="1641"/>
      <c r="FG109" s="1641"/>
      <c r="FH109" s="1641"/>
      <c r="FI109" s="1641"/>
      <c r="FJ109" s="1641"/>
      <c r="FK109" s="1641"/>
      <c r="FL109" s="1641"/>
      <c r="FM109" s="1641"/>
      <c r="FN109" s="1641"/>
      <c r="FO109" s="1641"/>
      <c r="FP109" s="1641"/>
      <c r="FQ109" s="1641"/>
      <c r="FR109" s="1641"/>
      <c r="FS109" s="1641"/>
      <c r="FT109" s="1641"/>
      <c r="FU109" s="1641"/>
      <c r="FV109" s="1641"/>
      <c r="FW109" s="1641"/>
      <c r="FX109" s="1641"/>
      <c r="FY109" s="1641"/>
      <c r="FZ109" s="1641"/>
      <c r="GA109" s="1641"/>
      <c r="GB109" s="1641"/>
      <c r="GC109" s="1641"/>
      <c r="GD109" s="1641"/>
      <c r="GE109" s="1641"/>
      <c r="GF109" s="1641"/>
      <c r="GG109" s="1641"/>
      <c r="GH109" s="1641"/>
      <c r="GI109" s="1641"/>
      <c r="GJ109" s="1641"/>
      <c r="GK109" s="1641"/>
      <c r="GL109" s="1641"/>
      <c r="GM109" s="1641"/>
      <c r="GN109" s="1641"/>
      <c r="GO109" s="1641"/>
      <c r="GP109" s="1641"/>
      <c r="GQ109" s="1641"/>
      <c r="GR109" s="1641"/>
      <c r="GS109" s="1641"/>
      <c r="GT109" s="1641"/>
      <c r="GU109" s="1641"/>
      <c r="GV109" s="1641"/>
      <c r="GW109" s="1641"/>
      <c r="GX109" s="1641"/>
      <c r="GY109" s="1641"/>
      <c r="GZ109" s="1641"/>
      <c r="HA109" s="1641"/>
      <c r="HB109" s="1641"/>
      <c r="HC109" s="1641"/>
      <c r="HD109" s="1641"/>
      <c r="HE109" s="1641"/>
      <c r="HF109" s="1641"/>
      <c r="HG109" s="1641"/>
      <c r="HH109" s="1641"/>
      <c r="HI109" s="1641"/>
      <c r="HJ109" s="1641"/>
      <c r="HK109" s="1641"/>
      <c r="HL109" s="1641"/>
      <c r="HM109" s="1641"/>
      <c r="HN109" s="1641"/>
      <c r="HO109" s="1641"/>
      <c r="HP109" s="1641"/>
      <c r="HQ109" s="1641"/>
      <c r="HR109" s="1641"/>
      <c r="HS109" s="1641"/>
      <c r="HT109" s="1641"/>
      <c r="HU109" s="1641"/>
      <c r="HV109" s="1641"/>
      <c r="HW109" s="1641"/>
      <c r="HX109" s="1641"/>
      <c r="HY109" s="1641"/>
      <c r="HZ109" s="1641"/>
      <c r="IA109" s="1641"/>
      <c r="IB109" s="1641"/>
      <c r="IC109" s="1641"/>
      <c r="ID109" s="1641"/>
      <c r="IE109" s="1641"/>
      <c r="IF109" s="1641"/>
      <c r="IG109" s="1641"/>
      <c r="IH109" s="1641"/>
      <c r="II109" s="1641"/>
      <c r="IJ109" s="1641"/>
      <c r="IK109" s="1641"/>
      <c r="IL109" s="1641"/>
      <c r="IM109" s="1641"/>
      <c r="IN109" s="1641"/>
      <c r="IO109" s="1641"/>
      <c r="IP109" s="1637"/>
      <c r="IQ109" s="1637"/>
      <c r="IR109" s="1637"/>
      <c r="IS109" s="1637"/>
      <c r="IT109" s="1637"/>
      <c r="IU109" s="1637"/>
      <c r="IV109" s="1637"/>
      <c r="IW109" s="1637"/>
      <c r="IX109" s="1641"/>
      <c r="IY109" s="1641"/>
      <c r="IZ109" s="1641"/>
      <c r="JA109" s="1641"/>
      <c r="JB109" s="1641"/>
      <c r="JC109" s="1641"/>
      <c r="JD109" s="1641"/>
      <c r="JE109" s="1641"/>
      <c r="JF109" s="1641"/>
      <c r="JG109" s="1641"/>
      <c r="JH109" s="1637"/>
      <c r="JI109" s="1637"/>
      <c r="JJ109" s="1637"/>
      <c r="JK109" s="1637"/>
      <c r="JL109" s="1637"/>
      <c r="JM109" s="1637"/>
      <c r="JN109" s="1637"/>
      <c r="JO109" s="1637"/>
      <c r="JP109" s="1637"/>
      <c r="JQ109" s="1640"/>
      <c r="JR109" s="351"/>
    </row>
    <row r="110" spans="1:278" x14ac:dyDescent="0.25">
      <c r="A110" s="1367">
        <v>110</v>
      </c>
      <c r="B110" s="1411" t="str">
        <f t="shared" ref="B110:B159" si="15">IF(FOR_IND&gt;1,IF(HLOOKUP(FOR_IND-1,FOR_RANGE,A110)="","",HLOOKUP(FOR_IND-1,FOR_RANGE,A110)),"")</f>
        <v/>
      </c>
      <c r="C110" s="1435" t="s">
        <v>4006</v>
      </c>
      <c r="D110" s="1361" t="s">
        <v>2979</v>
      </c>
      <c r="E110" s="1641"/>
      <c r="F110" s="1641"/>
      <c r="G110" s="1641"/>
      <c r="H110" s="1641"/>
      <c r="I110" s="1641"/>
      <c r="J110" s="1641"/>
      <c r="K110" s="1641"/>
      <c r="L110" s="1641"/>
      <c r="M110" s="1641"/>
      <c r="N110" s="1641"/>
      <c r="O110" s="1641"/>
      <c r="P110" s="1641"/>
      <c r="Q110" s="1641"/>
      <c r="R110" s="1641"/>
      <c r="S110" s="1641"/>
      <c r="T110" s="1641"/>
      <c r="U110" s="1641"/>
      <c r="V110" s="1641"/>
      <c r="W110" s="1641"/>
      <c r="X110" s="1641"/>
      <c r="Y110" s="1641"/>
      <c r="Z110" s="1641"/>
      <c r="AA110" s="1641"/>
      <c r="AB110" s="1641"/>
      <c r="AC110" s="1641"/>
      <c r="AD110" s="1641"/>
      <c r="AE110" s="1641"/>
      <c r="AF110" s="1641"/>
      <c r="AG110" s="1641"/>
      <c r="AH110" s="1641"/>
      <c r="AI110" s="1641"/>
      <c r="AJ110" s="1641"/>
      <c r="AK110" s="1641"/>
      <c r="AL110" s="1641"/>
      <c r="AM110" s="1641"/>
      <c r="AN110" s="1641"/>
      <c r="AO110" s="1641"/>
      <c r="AP110" s="1641"/>
      <c r="AQ110" s="1641"/>
      <c r="AR110" s="1641"/>
      <c r="AS110" s="1641"/>
      <c r="AT110" s="1641"/>
      <c r="AU110" s="1641"/>
      <c r="AV110" s="1641"/>
      <c r="AW110" s="1641"/>
      <c r="AX110" s="1641"/>
      <c r="AY110" s="1641"/>
      <c r="AZ110" s="1641"/>
      <c r="BA110" s="1641"/>
      <c r="BB110" s="1641"/>
      <c r="BC110" s="1641">
        <v>269</v>
      </c>
      <c r="BD110" s="1641"/>
      <c r="BE110" s="1641"/>
      <c r="BF110" s="1641"/>
      <c r="BG110" s="1641"/>
      <c r="BH110" s="1641"/>
      <c r="BI110" s="1641"/>
      <c r="BJ110" s="1636"/>
      <c r="BK110" s="1641"/>
      <c r="BL110" s="1641"/>
      <c r="BM110" s="1641"/>
      <c r="BN110" s="1641"/>
      <c r="BO110" s="1641"/>
      <c r="BP110" s="1641"/>
      <c r="BQ110" s="1641"/>
      <c r="BR110" s="1641"/>
      <c r="BS110" s="1641"/>
      <c r="BT110" s="1641"/>
      <c r="BU110" s="1641"/>
      <c r="BV110" s="1641"/>
      <c r="BW110" s="1641"/>
      <c r="BX110" s="1641"/>
      <c r="BY110" s="1641"/>
      <c r="BZ110" s="1641"/>
      <c r="CA110" s="1641"/>
      <c r="CB110" s="1636"/>
      <c r="CC110" s="1641"/>
      <c r="CD110" s="1641"/>
      <c r="CE110" s="1641"/>
      <c r="CF110" s="1641"/>
      <c r="CG110" s="1641"/>
      <c r="CH110" s="1641"/>
      <c r="CI110" s="1641"/>
      <c r="CJ110" s="1641"/>
      <c r="CK110" s="1641"/>
      <c r="CL110" s="1641"/>
      <c r="CM110" s="1641"/>
      <c r="CN110" s="1641"/>
      <c r="CO110" s="1641"/>
      <c r="CP110" s="1641"/>
      <c r="CQ110" s="1641"/>
      <c r="CR110" s="1641"/>
      <c r="CS110" s="1641"/>
      <c r="CT110" s="1641"/>
      <c r="CU110" s="1641"/>
      <c r="CV110" s="1641"/>
      <c r="CW110" s="1641"/>
      <c r="CX110" s="1641"/>
      <c r="CY110" s="1641"/>
      <c r="CZ110" s="1641"/>
      <c r="DA110" s="1641"/>
      <c r="DB110" s="1641"/>
      <c r="DC110" s="1641"/>
      <c r="DD110" s="1641"/>
      <c r="DE110" s="1641"/>
      <c r="DF110" s="1641"/>
      <c r="DG110" s="1641"/>
      <c r="DH110" s="1641"/>
      <c r="DI110" s="1641"/>
      <c r="DJ110" s="1641"/>
      <c r="DK110" s="1641"/>
      <c r="DL110" s="1641"/>
      <c r="DM110" s="1641"/>
      <c r="DN110" s="1641"/>
      <c r="DO110" s="1641"/>
      <c r="DP110" s="1641"/>
      <c r="DQ110" s="1641"/>
      <c r="DR110" s="1641"/>
      <c r="DS110" s="1641"/>
      <c r="DT110" s="1641"/>
      <c r="DU110" s="1641"/>
      <c r="DV110" s="1641"/>
      <c r="DW110" s="1641"/>
      <c r="DX110" s="1641"/>
      <c r="DY110" s="1641"/>
      <c r="DZ110" s="1641"/>
      <c r="EA110" s="1641"/>
      <c r="EB110" s="1641"/>
      <c r="EC110" s="1641"/>
      <c r="ED110" s="1641"/>
      <c r="EE110" s="1641"/>
      <c r="EF110" s="1641"/>
      <c r="EG110" s="1641"/>
      <c r="EH110" s="1641"/>
      <c r="EI110" s="1641"/>
      <c r="EJ110" s="1641"/>
      <c r="EK110" s="1641"/>
      <c r="EL110" s="1641"/>
      <c r="EM110" s="1641"/>
      <c r="EN110" s="1641"/>
      <c r="EO110" s="1641"/>
      <c r="EP110" s="1641"/>
      <c r="EQ110" s="1641"/>
      <c r="ER110" s="1641"/>
      <c r="ES110" s="1641"/>
      <c r="ET110" s="1641"/>
      <c r="EU110" s="1641"/>
      <c r="EV110" s="1641"/>
      <c r="EW110" s="1641"/>
      <c r="EX110" s="1641"/>
      <c r="EY110" s="1641"/>
      <c r="EZ110" s="1641"/>
      <c r="FA110" s="1641"/>
      <c r="FB110" s="1641"/>
      <c r="FC110" s="1641"/>
      <c r="FD110" s="1641"/>
      <c r="FE110" s="1641"/>
      <c r="FF110" s="1641"/>
      <c r="FG110" s="1641"/>
      <c r="FH110" s="1641"/>
      <c r="FI110" s="1641"/>
      <c r="FJ110" s="1641"/>
      <c r="FK110" s="1641"/>
      <c r="FL110" s="1641"/>
      <c r="FM110" s="1641"/>
      <c r="FN110" s="1641"/>
      <c r="FO110" s="1641"/>
      <c r="FP110" s="1641"/>
      <c r="FQ110" s="1641"/>
      <c r="FR110" s="1641"/>
      <c r="FS110" s="1641"/>
      <c r="FT110" s="1641"/>
      <c r="FU110" s="1641"/>
      <c r="FV110" s="1641"/>
      <c r="FW110" s="1641"/>
      <c r="FX110" s="1641"/>
      <c r="FY110" s="1641"/>
      <c r="FZ110" s="1641"/>
      <c r="GA110" s="1641"/>
      <c r="GB110" s="1641"/>
      <c r="GC110" s="1641"/>
      <c r="GD110" s="1641"/>
      <c r="GE110" s="1641"/>
      <c r="GF110" s="1641">
        <v>250</v>
      </c>
      <c r="GG110" s="1641"/>
      <c r="GH110" s="1641"/>
      <c r="GI110" s="1641"/>
      <c r="GJ110" s="1641"/>
      <c r="GK110" s="1641"/>
      <c r="GL110" s="1641"/>
      <c r="GM110" s="1641"/>
      <c r="GN110" s="1641"/>
      <c r="GO110" s="1641"/>
      <c r="GP110" s="1641"/>
      <c r="GQ110" s="1641"/>
      <c r="GR110" s="1641"/>
      <c r="GS110" s="1641"/>
      <c r="GT110" s="1641"/>
      <c r="GU110" s="1641"/>
      <c r="GV110" s="1641"/>
      <c r="GW110" s="1641"/>
      <c r="GX110" s="1641"/>
      <c r="GY110" s="1641"/>
      <c r="GZ110" s="1641"/>
      <c r="HA110" s="1641"/>
      <c r="HB110" s="1641"/>
      <c r="HC110" s="1641"/>
      <c r="HD110" s="1641"/>
      <c r="HE110" s="1641"/>
      <c r="HF110" s="1641"/>
      <c r="HG110" s="1641"/>
      <c r="HH110" s="1641"/>
      <c r="HI110" s="1641"/>
      <c r="HJ110" s="1641"/>
      <c r="HK110" s="1641"/>
      <c r="HL110" s="1641"/>
      <c r="HM110" s="1641"/>
      <c r="HN110" s="1641"/>
      <c r="HO110" s="1641"/>
      <c r="HP110" s="1641"/>
      <c r="HQ110" s="1641"/>
      <c r="HR110" s="1641"/>
      <c r="HS110" s="1641"/>
      <c r="HT110" s="1641"/>
      <c r="HU110" s="1641"/>
      <c r="HV110" s="1641"/>
      <c r="HW110" s="1641"/>
      <c r="HX110" s="1641"/>
      <c r="HY110" s="1641"/>
      <c r="HZ110" s="1641"/>
      <c r="IA110" s="1641"/>
      <c r="IB110" s="1641"/>
      <c r="IC110" s="1641"/>
      <c r="ID110" s="1641"/>
      <c r="IE110" s="1641"/>
      <c r="IF110" s="1641"/>
      <c r="IG110" s="1641"/>
      <c r="IH110" s="1641"/>
      <c r="II110" s="1641"/>
      <c r="IJ110" s="1641"/>
      <c r="IK110" s="1641"/>
      <c r="IL110" s="1641"/>
      <c r="IM110" s="1641"/>
      <c r="IN110" s="1641"/>
      <c r="IO110" s="1641"/>
      <c r="IP110" s="1637"/>
      <c r="IQ110" s="1637"/>
      <c r="IR110" s="1637"/>
      <c r="IS110" s="1637"/>
      <c r="IT110" s="1637"/>
      <c r="IU110" s="1637"/>
      <c r="IV110" s="1637"/>
      <c r="IW110" s="1637"/>
      <c r="IX110" s="1641"/>
      <c r="IY110" s="1641"/>
      <c r="IZ110" s="1641"/>
      <c r="JA110" s="1641"/>
      <c r="JB110" s="1641"/>
      <c r="JC110" s="1641"/>
      <c r="JD110" s="1641"/>
      <c r="JE110" s="1641">
        <v>200</v>
      </c>
      <c r="JF110" s="1641"/>
      <c r="JG110" s="1641"/>
      <c r="JH110" s="1637"/>
      <c r="JI110" s="1637"/>
      <c r="JJ110" s="1637"/>
      <c r="JK110" s="1637"/>
      <c r="JL110" s="1637"/>
      <c r="JM110" s="1637"/>
      <c r="JN110" s="1637"/>
      <c r="JO110" s="1637"/>
      <c r="JP110" s="1637"/>
      <c r="JQ110" s="1640"/>
      <c r="JR110" s="351"/>
    </row>
    <row r="111" spans="1:278" x14ac:dyDescent="0.25">
      <c r="A111" s="1367">
        <v>111</v>
      </c>
      <c r="B111" s="1411" t="str">
        <f t="shared" si="15"/>
        <v/>
      </c>
      <c r="C111" s="1435" t="s">
        <v>4007</v>
      </c>
      <c r="D111" s="1361" t="s">
        <v>3207</v>
      </c>
      <c r="E111" s="1641"/>
      <c r="F111" s="1641"/>
      <c r="G111" s="1641"/>
      <c r="H111" s="1641"/>
      <c r="I111" s="1641"/>
      <c r="J111" s="1641"/>
      <c r="K111" s="1641"/>
      <c r="L111" s="1641"/>
      <c r="M111" s="1641"/>
      <c r="N111" s="1641"/>
      <c r="O111" s="1641"/>
      <c r="P111" s="1641"/>
      <c r="Q111" s="1641"/>
      <c r="R111" s="1641"/>
      <c r="S111" s="1641"/>
      <c r="T111" s="1641"/>
      <c r="U111" s="1641"/>
      <c r="V111" s="1641"/>
      <c r="W111" s="1641"/>
      <c r="X111" s="1641"/>
      <c r="Y111" s="1641"/>
      <c r="Z111" s="1641"/>
      <c r="AA111" s="1641"/>
      <c r="AB111" s="1641"/>
      <c r="AC111" s="1641"/>
      <c r="AD111" s="1641"/>
      <c r="AE111" s="1641"/>
      <c r="AF111" s="1641"/>
      <c r="AG111" s="1641"/>
      <c r="AH111" s="1641"/>
      <c r="AI111" s="1641"/>
      <c r="AJ111" s="1641"/>
      <c r="AK111" s="1641"/>
      <c r="AL111" s="1641"/>
      <c r="AM111" s="1641"/>
      <c r="AN111" s="1641"/>
      <c r="AO111" s="1641"/>
      <c r="AP111" s="1641"/>
      <c r="AQ111" s="1641"/>
      <c r="AR111" s="1641"/>
      <c r="AS111" s="1641"/>
      <c r="AT111" s="1641"/>
      <c r="AU111" s="1641"/>
      <c r="AV111" s="1641"/>
      <c r="AW111" s="1641"/>
      <c r="AX111" s="1641"/>
      <c r="AY111" s="1641"/>
      <c r="AZ111" s="1641"/>
      <c r="BA111" s="1641"/>
      <c r="BB111" s="1641"/>
      <c r="BC111" s="1641">
        <v>148</v>
      </c>
      <c r="BD111" s="1641">
        <v>278</v>
      </c>
      <c r="BE111" s="1641"/>
      <c r="BF111" s="1641"/>
      <c r="BG111" s="1641"/>
      <c r="BH111" s="1641"/>
      <c r="BI111" s="1641"/>
      <c r="BJ111" s="1641"/>
      <c r="BK111" s="1641"/>
      <c r="BL111" s="1641"/>
      <c r="BM111" s="1641"/>
      <c r="BN111" s="1641"/>
      <c r="BO111" s="1641"/>
      <c r="BP111" s="1641"/>
      <c r="BQ111" s="1641"/>
      <c r="BR111" s="1641"/>
      <c r="BS111" s="1641"/>
      <c r="BT111" s="1641"/>
      <c r="BU111" s="1641"/>
      <c r="BV111" s="1641"/>
      <c r="BW111" s="1641"/>
      <c r="BX111" s="1641"/>
      <c r="BY111" s="1641"/>
      <c r="BZ111" s="1641"/>
      <c r="CA111" s="1641"/>
      <c r="CB111" s="1636"/>
      <c r="CC111" s="1641"/>
      <c r="CD111" s="1641"/>
      <c r="CE111" s="1641"/>
      <c r="CF111" s="1641"/>
      <c r="CG111" s="1641"/>
      <c r="CH111" s="1641"/>
      <c r="CI111" s="1641"/>
      <c r="CJ111" s="1641"/>
      <c r="CK111" s="1641"/>
      <c r="CL111" s="1641"/>
      <c r="CM111" s="1641"/>
      <c r="CN111" s="1641"/>
      <c r="CO111" s="1641"/>
      <c r="CP111" s="1641"/>
      <c r="CQ111" s="1641"/>
      <c r="CR111" s="1641"/>
      <c r="CS111" s="1641"/>
      <c r="CT111" s="1641"/>
      <c r="CU111" s="1641"/>
      <c r="CV111" s="1641"/>
      <c r="CW111" s="1641"/>
      <c r="CX111" s="1641"/>
      <c r="CY111" s="1641"/>
      <c r="CZ111" s="1641"/>
      <c r="DA111" s="1641"/>
      <c r="DB111" s="1641"/>
      <c r="DC111" s="1641"/>
      <c r="DD111" s="1641"/>
      <c r="DE111" s="1641"/>
      <c r="DF111" s="1641"/>
      <c r="DG111" s="1641"/>
      <c r="DH111" s="1641"/>
      <c r="DI111" s="1641"/>
      <c r="DJ111" s="1641"/>
      <c r="DK111" s="1641"/>
      <c r="DL111" s="1641"/>
      <c r="DM111" s="1641"/>
      <c r="DN111" s="1641"/>
      <c r="DO111" s="1641"/>
      <c r="DP111" s="1641"/>
      <c r="DQ111" s="1641"/>
      <c r="DR111" s="1641"/>
      <c r="DS111" s="1641"/>
      <c r="DT111" s="1641"/>
      <c r="DU111" s="1641"/>
      <c r="DV111" s="1641"/>
      <c r="DW111" s="1641"/>
      <c r="DX111" s="1641"/>
      <c r="DY111" s="1641"/>
      <c r="DZ111" s="1641"/>
      <c r="EA111" s="1641"/>
      <c r="EB111" s="1641"/>
      <c r="EC111" s="1641"/>
      <c r="ED111" s="1641"/>
      <c r="EE111" s="1641"/>
      <c r="EF111" s="1641"/>
      <c r="EG111" s="1641"/>
      <c r="EH111" s="1641"/>
      <c r="EI111" s="1641"/>
      <c r="EJ111" s="1641"/>
      <c r="EK111" s="1641"/>
      <c r="EL111" s="1641"/>
      <c r="EM111" s="1641"/>
      <c r="EN111" s="1641"/>
      <c r="EO111" s="1641"/>
      <c r="EP111" s="1641"/>
      <c r="EQ111" s="1641"/>
      <c r="ER111" s="1641"/>
      <c r="ES111" s="1641"/>
      <c r="ET111" s="1641"/>
      <c r="EU111" s="1641"/>
      <c r="EV111" s="1641"/>
      <c r="EW111" s="1641"/>
      <c r="EX111" s="1641"/>
      <c r="EY111" s="1641"/>
      <c r="EZ111" s="1641"/>
      <c r="FA111" s="1641"/>
      <c r="FB111" s="1641"/>
      <c r="FC111" s="1641"/>
      <c r="FD111" s="1641"/>
      <c r="FE111" s="1641"/>
      <c r="FF111" s="1641"/>
      <c r="FG111" s="1641"/>
      <c r="FH111" s="1641"/>
      <c r="FI111" s="1641"/>
      <c r="FJ111" s="1641"/>
      <c r="FK111" s="1641"/>
      <c r="FL111" s="1641"/>
      <c r="FM111" s="1641"/>
      <c r="FN111" s="1641"/>
      <c r="FO111" s="1641"/>
      <c r="FP111" s="1641"/>
      <c r="FQ111" s="1641"/>
      <c r="FR111" s="1641"/>
      <c r="FS111" s="1641"/>
      <c r="FT111" s="1641"/>
      <c r="FU111" s="1641"/>
      <c r="FV111" s="1641"/>
      <c r="FW111" s="1641"/>
      <c r="FX111" s="1641"/>
      <c r="FY111" s="1641"/>
      <c r="FZ111" s="1641"/>
      <c r="GA111" s="1641"/>
      <c r="GB111" s="1641"/>
      <c r="GC111" s="1641"/>
      <c r="GD111" s="1641"/>
      <c r="GE111" s="1641"/>
      <c r="GF111" s="1641">
        <v>110</v>
      </c>
      <c r="GG111" s="1641"/>
      <c r="GH111" s="1641"/>
      <c r="GI111" s="1641"/>
      <c r="GJ111" s="1641"/>
      <c r="GK111" s="1641"/>
      <c r="GL111" s="1641"/>
      <c r="GM111" s="1641"/>
      <c r="GN111" s="1641"/>
      <c r="GO111" s="1641"/>
      <c r="GP111" s="1641"/>
      <c r="GQ111" s="1641"/>
      <c r="GR111" s="1641"/>
      <c r="GS111" s="1641"/>
      <c r="GT111" s="1641"/>
      <c r="GU111" s="1641"/>
      <c r="GV111" s="1641"/>
      <c r="GW111" s="1641"/>
      <c r="GX111" s="1641"/>
      <c r="GY111" s="1641"/>
      <c r="GZ111" s="1641"/>
      <c r="HA111" s="1641"/>
      <c r="HB111" s="1641"/>
      <c r="HC111" s="1641"/>
      <c r="HD111" s="1641"/>
      <c r="HE111" s="1641"/>
      <c r="HF111" s="1641"/>
      <c r="HG111" s="1641"/>
      <c r="HH111" s="1641"/>
      <c r="HI111" s="1641"/>
      <c r="HJ111" s="1641"/>
      <c r="HK111" s="1641"/>
      <c r="HL111" s="1641"/>
      <c r="HM111" s="1641"/>
      <c r="HN111" s="1641"/>
      <c r="HO111" s="1641"/>
      <c r="HP111" s="1641"/>
      <c r="HQ111" s="1641"/>
      <c r="HR111" s="1641"/>
      <c r="HS111" s="1641"/>
      <c r="HT111" s="1641"/>
      <c r="HU111" s="1641"/>
      <c r="HV111" s="1641"/>
      <c r="HW111" s="1641"/>
      <c r="HX111" s="1641"/>
      <c r="HY111" s="1641"/>
      <c r="HZ111" s="1641"/>
      <c r="IA111" s="1641"/>
      <c r="IB111" s="1641"/>
      <c r="IC111" s="1641"/>
      <c r="ID111" s="1641"/>
      <c r="IE111" s="1641"/>
      <c r="IF111" s="1641"/>
      <c r="IG111" s="1641"/>
      <c r="IH111" s="1641"/>
      <c r="II111" s="1641"/>
      <c r="IJ111" s="1641"/>
      <c r="IK111" s="1641"/>
      <c r="IL111" s="1641"/>
      <c r="IM111" s="1641"/>
      <c r="IN111" s="1641"/>
      <c r="IO111" s="1641"/>
      <c r="IP111" s="1637"/>
      <c r="IQ111" s="1637"/>
      <c r="IR111" s="1637"/>
      <c r="IS111" s="1637"/>
      <c r="IT111" s="1637"/>
      <c r="IU111" s="1637"/>
      <c r="IV111" s="1637"/>
      <c r="IW111" s="1637"/>
      <c r="IX111" s="1641"/>
      <c r="IY111" s="1641"/>
      <c r="IZ111" s="1641"/>
      <c r="JA111" s="1641"/>
      <c r="JB111" s="1641"/>
      <c r="JC111" s="1641"/>
      <c r="JD111" s="1641"/>
      <c r="JE111" s="1641">
        <v>160</v>
      </c>
      <c r="JF111" s="1641"/>
      <c r="JG111" s="1641"/>
      <c r="JH111" s="1637"/>
      <c r="JI111" s="1637"/>
      <c r="JJ111" s="1637"/>
      <c r="JK111" s="1637"/>
      <c r="JL111" s="1637"/>
      <c r="JM111" s="1637"/>
      <c r="JN111" s="1637"/>
      <c r="JO111" s="1637"/>
      <c r="JP111" s="1637"/>
      <c r="JQ111" s="1640"/>
      <c r="JR111" s="351"/>
    </row>
    <row r="112" spans="1:278" x14ac:dyDescent="0.25">
      <c r="A112" s="1367">
        <v>112</v>
      </c>
      <c r="B112" s="1411" t="str">
        <f t="shared" si="15"/>
        <v/>
      </c>
      <c r="C112" s="1435" t="s">
        <v>4008</v>
      </c>
      <c r="D112" s="1361" t="s">
        <v>4009</v>
      </c>
      <c r="E112" s="1641"/>
      <c r="F112" s="1641"/>
      <c r="G112" s="1641"/>
      <c r="H112" s="1641"/>
      <c r="I112" s="1641"/>
      <c r="J112" s="1641"/>
      <c r="K112" s="1641"/>
      <c r="L112" s="1641"/>
      <c r="M112" s="1641"/>
      <c r="N112" s="1641"/>
      <c r="O112" s="1641"/>
      <c r="P112" s="1641"/>
      <c r="Q112" s="1641"/>
      <c r="R112" s="1641"/>
      <c r="S112" s="1641"/>
      <c r="T112" s="1641"/>
      <c r="U112" s="1641"/>
      <c r="V112" s="1641"/>
      <c r="W112" s="1641"/>
      <c r="X112" s="1641"/>
      <c r="Y112" s="1641"/>
      <c r="Z112" s="1641"/>
      <c r="AA112" s="1641"/>
      <c r="AB112" s="1641"/>
      <c r="AC112" s="1641"/>
      <c r="AD112" s="1641"/>
      <c r="AE112" s="1641"/>
      <c r="AF112" s="1641"/>
      <c r="AG112" s="1641"/>
      <c r="AH112" s="1641"/>
      <c r="AI112" s="1641"/>
      <c r="AJ112" s="1641"/>
      <c r="AK112" s="1641"/>
      <c r="AL112" s="1641"/>
      <c r="AM112" s="1641"/>
      <c r="AN112" s="1641"/>
      <c r="AO112" s="1641"/>
      <c r="AP112" s="1641"/>
      <c r="AQ112" s="1641"/>
      <c r="AR112" s="1641"/>
      <c r="AS112" s="1641"/>
      <c r="AT112" s="1641"/>
      <c r="AU112" s="1641"/>
      <c r="AV112" s="1641"/>
      <c r="AW112" s="1641"/>
      <c r="AX112" s="1641"/>
      <c r="AY112" s="1641"/>
      <c r="AZ112" s="1641"/>
      <c r="BA112" s="1641"/>
      <c r="BB112" s="1641"/>
      <c r="BC112" s="1641"/>
      <c r="BD112" s="1641">
        <v>1296</v>
      </c>
      <c r="BE112" s="1641"/>
      <c r="BF112" s="1641"/>
      <c r="BG112" s="1641"/>
      <c r="BH112" s="1641"/>
      <c r="BI112" s="1641"/>
      <c r="BJ112" s="1636"/>
      <c r="BK112" s="1641"/>
      <c r="BL112" s="1641"/>
      <c r="BM112" s="1641"/>
      <c r="BN112" s="1641"/>
      <c r="BO112" s="1641"/>
      <c r="BP112" s="1641"/>
      <c r="BQ112" s="1641"/>
      <c r="BR112" s="1641"/>
      <c r="BS112" s="1641"/>
      <c r="BT112" s="1641"/>
      <c r="BU112" s="1641"/>
      <c r="BV112" s="1641"/>
      <c r="BW112" s="1641"/>
      <c r="BX112" s="1641"/>
      <c r="BY112" s="1641"/>
      <c r="BZ112" s="1641"/>
      <c r="CA112" s="1641"/>
      <c r="CB112" s="1641"/>
      <c r="CC112" s="1641"/>
      <c r="CD112" s="1641"/>
      <c r="CE112" s="1641"/>
      <c r="CF112" s="1641"/>
      <c r="CG112" s="1641"/>
      <c r="CH112" s="1641"/>
      <c r="CI112" s="1641"/>
      <c r="CJ112" s="1641"/>
      <c r="CK112" s="1641"/>
      <c r="CL112" s="1641"/>
      <c r="CM112" s="1641"/>
      <c r="CN112" s="1641"/>
      <c r="CO112" s="1641"/>
      <c r="CP112" s="1641"/>
      <c r="CQ112" s="1641"/>
      <c r="CR112" s="1641"/>
      <c r="CS112" s="1641"/>
      <c r="CT112" s="1641"/>
      <c r="CU112" s="1641"/>
      <c r="CV112" s="1641"/>
      <c r="CW112" s="1641"/>
      <c r="CX112" s="1641"/>
      <c r="CY112" s="1641"/>
      <c r="CZ112" s="1641"/>
      <c r="DA112" s="1641"/>
      <c r="DB112" s="1641"/>
      <c r="DC112" s="1641"/>
      <c r="DD112" s="1641"/>
      <c r="DE112" s="1641"/>
      <c r="DF112" s="1641"/>
      <c r="DG112" s="1641"/>
      <c r="DH112" s="1641"/>
      <c r="DI112" s="1641"/>
      <c r="DJ112" s="1641"/>
      <c r="DK112" s="1641"/>
      <c r="DL112" s="1641"/>
      <c r="DM112" s="1641"/>
      <c r="DN112" s="1641"/>
      <c r="DO112" s="1641"/>
      <c r="DP112" s="1641"/>
      <c r="DQ112" s="1641"/>
      <c r="DR112" s="1641"/>
      <c r="DS112" s="1641"/>
      <c r="DT112" s="1641"/>
      <c r="DU112" s="1641"/>
      <c r="DV112" s="1641"/>
      <c r="DW112" s="1641"/>
      <c r="DX112" s="1641"/>
      <c r="DY112" s="1641"/>
      <c r="DZ112" s="1641"/>
      <c r="EA112" s="1641"/>
      <c r="EB112" s="1641"/>
      <c r="EC112" s="1641"/>
      <c r="ED112" s="1641"/>
      <c r="EE112" s="1641"/>
      <c r="EF112" s="1641"/>
      <c r="EG112" s="1641"/>
      <c r="EH112" s="1641"/>
      <c r="EI112" s="1641"/>
      <c r="EJ112" s="1641"/>
      <c r="EK112" s="1641"/>
      <c r="EL112" s="1641"/>
      <c r="EM112" s="1641"/>
      <c r="EN112" s="1641"/>
      <c r="EO112" s="1641"/>
      <c r="EP112" s="1641"/>
      <c r="EQ112" s="1641"/>
      <c r="ER112" s="1641"/>
      <c r="ES112" s="1641"/>
      <c r="ET112" s="1641"/>
      <c r="EU112" s="1641"/>
      <c r="EV112" s="1641"/>
      <c r="EW112" s="1641"/>
      <c r="EX112" s="1641"/>
      <c r="EY112" s="1641"/>
      <c r="EZ112" s="1641"/>
      <c r="FA112" s="1641"/>
      <c r="FB112" s="1641"/>
      <c r="FC112" s="1641"/>
      <c r="FD112" s="1641"/>
      <c r="FE112" s="1641"/>
      <c r="FF112" s="1641"/>
      <c r="FG112" s="1641"/>
      <c r="FH112" s="1641"/>
      <c r="FI112" s="1641"/>
      <c r="FJ112" s="1641"/>
      <c r="FK112" s="1641"/>
      <c r="FL112" s="1641"/>
      <c r="FM112" s="1641"/>
      <c r="FN112" s="1641"/>
      <c r="FO112" s="1641"/>
      <c r="FP112" s="1641"/>
      <c r="FQ112" s="1641"/>
      <c r="FR112" s="1641"/>
      <c r="FS112" s="1641"/>
      <c r="FT112" s="1641"/>
      <c r="FU112" s="1641"/>
      <c r="FV112" s="1641"/>
      <c r="FW112" s="1641"/>
      <c r="FX112" s="1641"/>
      <c r="FY112" s="1641"/>
      <c r="FZ112" s="1641"/>
      <c r="GA112" s="1641"/>
      <c r="GB112" s="1641"/>
      <c r="GC112" s="1641"/>
      <c r="GD112" s="1641"/>
      <c r="GE112" s="1641"/>
      <c r="GF112" s="1641"/>
      <c r="GG112" s="1641"/>
      <c r="GH112" s="1641"/>
      <c r="GI112" s="1641"/>
      <c r="GJ112" s="1641"/>
      <c r="GK112" s="1641"/>
      <c r="GL112" s="1641"/>
      <c r="GM112" s="1641"/>
      <c r="GN112" s="1641"/>
      <c r="GO112" s="1641"/>
      <c r="GP112" s="1641"/>
      <c r="GQ112" s="1641"/>
      <c r="GR112" s="1641"/>
      <c r="GS112" s="1641"/>
      <c r="GT112" s="1641"/>
      <c r="GU112" s="1641"/>
      <c r="GV112" s="1641"/>
      <c r="GW112" s="1641"/>
      <c r="GX112" s="1641"/>
      <c r="GY112" s="1641"/>
      <c r="GZ112" s="1641"/>
      <c r="HA112" s="1641"/>
      <c r="HB112" s="1641"/>
      <c r="HC112" s="1641"/>
      <c r="HD112" s="1641"/>
      <c r="HE112" s="1641"/>
      <c r="HF112" s="1641"/>
      <c r="HG112" s="1641"/>
      <c r="HH112" s="1641"/>
      <c r="HI112" s="1641"/>
      <c r="HJ112" s="1641"/>
      <c r="HK112" s="1641"/>
      <c r="HL112" s="1641"/>
      <c r="HM112" s="1641"/>
      <c r="HN112" s="1641"/>
      <c r="HO112" s="1641"/>
      <c r="HP112" s="1641"/>
      <c r="HQ112" s="1641"/>
      <c r="HR112" s="1641"/>
      <c r="HS112" s="1641"/>
      <c r="HT112" s="1641"/>
      <c r="HU112" s="1641"/>
      <c r="HV112" s="1641"/>
      <c r="HW112" s="1641"/>
      <c r="HX112" s="1641"/>
      <c r="HY112" s="1641"/>
      <c r="HZ112" s="1641"/>
      <c r="IA112" s="1641"/>
      <c r="IB112" s="1641"/>
      <c r="IC112" s="1641"/>
      <c r="ID112" s="1641"/>
      <c r="IE112" s="1641"/>
      <c r="IF112" s="1641"/>
      <c r="IG112" s="1641"/>
      <c r="IH112" s="1641"/>
      <c r="II112" s="1641"/>
      <c r="IJ112" s="1641"/>
      <c r="IK112" s="1641"/>
      <c r="IL112" s="1641"/>
      <c r="IM112" s="1641"/>
      <c r="IN112" s="1641"/>
      <c r="IO112" s="1641"/>
      <c r="IP112" s="1637"/>
      <c r="IQ112" s="1637"/>
      <c r="IR112" s="1637"/>
      <c r="IS112" s="1637"/>
      <c r="IT112" s="1637"/>
      <c r="IU112" s="1637"/>
      <c r="IV112" s="1637"/>
      <c r="IW112" s="1637"/>
      <c r="IX112" s="1641"/>
      <c r="IY112" s="1641"/>
      <c r="IZ112" s="1641"/>
      <c r="JA112" s="1641"/>
      <c r="JB112" s="1641"/>
      <c r="JC112" s="1641"/>
      <c r="JD112" s="1641"/>
      <c r="JE112" s="1641"/>
      <c r="JF112" s="1641"/>
      <c r="JG112" s="1641"/>
      <c r="JH112" s="1637"/>
      <c r="JI112" s="1637"/>
      <c r="JJ112" s="1637"/>
      <c r="JK112" s="1637"/>
      <c r="JL112" s="1637"/>
      <c r="JM112" s="1637"/>
      <c r="JN112" s="1637"/>
      <c r="JO112" s="1637"/>
      <c r="JP112" s="1637"/>
      <c r="JQ112" s="1640"/>
      <c r="JR112" s="351"/>
    </row>
    <row r="113" spans="1:278" x14ac:dyDescent="0.25">
      <c r="A113" s="1367">
        <v>113</v>
      </c>
      <c r="B113" s="1411" t="str">
        <f t="shared" si="15"/>
        <v/>
      </c>
      <c r="C113" s="1435" t="s">
        <v>4010</v>
      </c>
      <c r="D113" s="1361" t="s">
        <v>4011</v>
      </c>
      <c r="E113" s="2561"/>
      <c r="F113" s="2561"/>
      <c r="G113" s="2561"/>
      <c r="H113" s="2561"/>
      <c r="I113" s="2561"/>
      <c r="J113" s="2561"/>
      <c r="K113" s="2561"/>
      <c r="L113" s="2561"/>
      <c r="M113" s="2561"/>
      <c r="N113" s="2561"/>
      <c r="O113" s="2561"/>
      <c r="P113" s="2561"/>
      <c r="Q113" s="2561"/>
      <c r="R113" s="2561"/>
      <c r="S113" s="2561"/>
      <c r="T113" s="2561"/>
      <c r="U113" s="2561"/>
      <c r="V113" s="2561"/>
      <c r="W113" s="2561"/>
      <c r="X113" s="2561"/>
      <c r="Y113" s="2561"/>
      <c r="Z113" s="2561"/>
      <c r="AA113" s="2561"/>
      <c r="AB113" s="2561"/>
      <c r="AC113" s="2561"/>
      <c r="AD113" s="2561"/>
      <c r="AE113" s="2561"/>
      <c r="AF113" s="2561"/>
      <c r="AG113" s="2561"/>
      <c r="AH113" s="2561"/>
      <c r="AI113" s="2561"/>
      <c r="AJ113" s="2561"/>
      <c r="AK113" s="2561"/>
      <c r="AL113" s="2561"/>
      <c r="AM113" s="2561"/>
      <c r="AN113" s="2561"/>
      <c r="AO113" s="2561"/>
      <c r="AP113" s="2561"/>
      <c r="AQ113" s="2561"/>
      <c r="AR113" s="2561"/>
      <c r="AS113" s="2561"/>
      <c r="AT113" s="2561"/>
      <c r="AU113" s="2561"/>
      <c r="AV113" s="2561"/>
      <c r="AW113" s="2561"/>
      <c r="AX113" s="2561"/>
      <c r="AY113" s="2561"/>
      <c r="AZ113" s="2561"/>
      <c r="BA113" s="2561"/>
      <c r="BB113" s="1636">
        <f>(BB104+BB105+BB106)-(BB107+BB109+BB110+BB111+BB112+BB108)</f>
        <v>9250</v>
      </c>
      <c r="BC113" s="2561">
        <f>(BC104+BC105+BC106)-(BC107+BC109+BC110+BC111+BC112+BC108)</f>
        <v>8822</v>
      </c>
      <c r="BD113" s="2561">
        <f>(BD104+BD105+BD106)-(BD107+BD109+BD110+BD111+BD112+BD108)</f>
        <v>2994</v>
      </c>
      <c r="BE113" s="2561"/>
      <c r="BF113" s="2561"/>
      <c r="BG113" s="2561"/>
      <c r="BH113" s="2561"/>
      <c r="BI113" s="2561"/>
      <c r="BJ113" s="1636">
        <v>12310</v>
      </c>
      <c r="BK113" s="2561"/>
      <c r="BL113" s="2561"/>
      <c r="BM113" s="2561"/>
      <c r="BN113" s="2561"/>
      <c r="BO113" s="2561"/>
      <c r="BP113" s="2561"/>
      <c r="BQ113" s="2561"/>
      <c r="BR113" s="2561"/>
      <c r="BS113" s="2561"/>
      <c r="BT113" s="2561"/>
      <c r="BU113" s="2561"/>
      <c r="BV113" s="2561"/>
      <c r="BW113" s="2561"/>
      <c r="BX113" s="2561"/>
      <c r="BY113" s="2561"/>
      <c r="BZ113" s="2561"/>
      <c r="CA113" s="2561"/>
      <c r="CB113" s="1636">
        <f>(CB104+CB105+CB106)-(CB107+CB109+CB110+CB111+CB112)</f>
        <v>12475</v>
      </c>
      <c r="CC113" s="2561"/>
      <c r="CD113" s="2561"/>
      <c r="CE113" s="2561"/>
      <c r="CF113" s="2561"/>
      <c r="CG113" s="2561"/>
      <c r="CH113" s="2561"/>
      <c r="CI113" s="2561"/>
      <c r="CJ113" s="1636">
        <v>140512</v>
      </c>
      <c r="CK113" s="2561"/>
      <c r="CL113" s="2561"/>
      <c r="CM113" s="2561"/>
      <c r="CN113" s="2561"/>
      <c r="CO113" s="2561"/>
      <c r="CP113" s="2561"/>
      <c r="CQ113" s="2561"/>
      <c r="CR113" s="2561"/>
      <c r="CS113" s="2561"/>
      <c r="CT113" s="2561"/>
      <c r="CU113" s="2561"/>
      <c r="CV113" s="2561"/>
      <c r="CW113" s="2561"/>
      <c r="CX113" s="2561"/>
      <c r="CY113" s="2561"/>
      <c r="CZ113" s="2561"/>
      <c r="DA113" s="2561"/>
      <c r="DB113" s="2561"/>
      <c r="DC113" s="2561"/>
      <c r="DD113" s="2561"/>
      <c r="DE113" s="2561"/>
      <c r="DF113" s="2561"/>
      <c r="DG113" s="2561"/>
      <c r="DH113" s="2561"/>
      <c r="DI113" s="2561"/>
      <c r="DJ113" s="2561"/>
      <c r="DK113" s="2561"/>
      <c r="DL113" s="2561"/>
      <c r="DM113" s="2561"/>
      <c r="DN113" s="2561"/>
      <c r="DO113" s="2561"/>
      <c r="DP113" s="2561"/>
      <c r="DQ113" s="2561"/>
      <c r="DR113" s="2561"/>
      <c r="DS113" s="2561"/>
      <c r="DT113" s="2561"/>
      <c r="DU113" s="2561"/>
      <c r="DV113" s="2561"/>
      <c r="DW113" s="2561"/>
      <c r="DX113" s="2561"/>
      <c r="DY113" s="2561"/>
      <c r="DZ113" s="2561"/>
      <c r="EA113" s="2561"/>
      <c r="EB113" s="2561"/>
      <c r="EC113" s="2561"/>
      <c r="ED113" s="2561"/>
      <c r="EE113" s="2561"/>
      <c r="EF113" s="2561"/>
      <c r="EG113" s="2561"/>
      <c r="EH113" s="2561"/>
      <c r="EI113" s="2561"/>
      <c r="EJ113" s="2561"/>
      <c r="EK113" s="2561"/>
      <c r="EL113" s="2561"/>
      <c r="EM113" s="2561"/>
      <c r="EN113" s="2561"/>
      <c r="EO113" s="2561"/>
      <c r="EP113" s="2561"/>
      <c r="EQ113" s="2561"/>
      <c r="ER113" s="2561"/>
      <c r="ES113" s="2561"/>
      <c r="ET113" s="2561"/>
      <c r="EU113" s="2561"/>
      <c r="EV113" s="2561"/>
      <c r="EW113" s="2561"/>
      <c r="EX113" s="2561"/>
      <c r="EY113" s="2561"/>
      <c r="EZ113" s="2561">
        <v>-1134.8599999999999</v>
      </c>
      <c r="FA113" s="2561"/>
      <c r="FB113" s="2561"/>
      <c r="FC113" s="2561"/>
      <c r="FD113" s="2561"/>
      <c r="FE113" s="2561"/>
      <c r="FF113" s="2561"/>
      <c r="FG113" s="2561"/>
      <c r="FH113" s="2561"/>
      <c r="FI113" s="2561"/>
      <c r="FJ113" s="2561"/>
      <c r="FK113" s="2561"/>
      <c r="FL113" s="2561"/>
      <c r="FM113" s="2561"/>
      <c r="FN113" s="2561"/>
      <c r="FO113" s="2561"/>
      <c r="FP113" s="2561"/>
      <c r="FQ113" s="2561"/>
      <c r="FR113" s="2561"/>
      <c r="FS113" s="2561"/>
      <c r="FT113" s="2561"/>
      <c r="FU113" s="2561"/>
      <c r="FV113" s="2561"/>
      <c r="FW113" s="2561"/>
      <c r="FX113" s="2561"/>
      <c r="FY113" s="2561"/>
      <c r="FZ113" s="2561"/>
      <c r="GA113" s="2561"/>
      <c r="GB113" s="2561"/>
      <c r="GC113" s="2561"/>
      <c r="GD113" s="2561"/>
      <c r="GE113" s="2561"/>
      <c r="GF113" s="2561">
        <f>(GF104+GF105+GF106)-(GF107+GF109+GF110+GF111+GF112)</f>
        <v>5842</v>
      </c>
      <c r="GG113" s="2561"/>
      <c r="GH113" s="2561"/>
      <c r="GI113" s="2561"/>
      <c r="GJ113" s="2561"/>
      <c r="GK113" s="2561"/>
      <c r="GL113" s="2561"/>
      <c r="GM113" s="2561"/>
      <c r="GN113" s="2561"/>
      <c r="GO113" s="2561"/>
      <c r="GP113" s="2561"/>
      <c r="GQ113" s="2561"/>
      <c r="GR113" s="2561"/>
      <c r="GS113" s="2561"/>
      <c r="GT113" s="2561"/>
      <c r="GU113" s="2561"/>
      <c r="GV113" s="2561"/>
      <c r="GW113" s="2561"/>
      <c r="GX113" s="2561"/>
      <c r="GY113" s="2561"/>
      <c r="GZ113" s="2561"/>
      <c r="HA113" s="2561"/>
      <c r="HB113" s="2561"/>
      <c r="HC113" s="2561"/>
      <c r="HD113" s="2561"/>
      <c r="HE113" s="2561"/>
      <c r="HF113" s="2561"/>
      <c r="HG113" s="2561"/>
      <c r="HH113" s="2561">
        <v>2110</v>
      </c>
      <c r="HI113" s="2561"/>
      <c r="HJ113" s="2561">
        <f>HJ104+HJ105+HJ106-(HJ107+HJ109+HJ112)</f>
        <v>-4695</v>
      </c>
      <c r="HK113" s="2561">
        <f>HK104+HK105+HK106-(HK107+HK109+HK112)</f>
        <v>-2278</v>
      </c>
      <c r="HL113" s="2561">
        <f>HL104+HL105+HL106-(HL107+HL109+HL112)</f>
        <v>-2278</v>
      </c>
      <c r="HM113" s="2561">
        <f>HM104+HM105+HM106-(HM107+HM109+HM112)</f>
        <v>-2278</v>
      </c>
      <c r="HN113" s="2561"/>
      <c r="HO113" s="2561"/>
      <c r="HP113" s="2561"/>
      <c r="HQ113" s="2561"/>
      <c r="HR113" s="2561"/>
      <c r="HS113" s="2561"/>
      <c r="HT113" s="2561"/>
      <c r="HU113" s="2561"/>
      <c r="HV113" s="2561"/>
      <c r="HW113" s="2561"/>
      <c r="HX113" s="2561"/>
      <c r="HY113" s="2561"/>
      <c r="HZ113" s="2561"/>
      <c r="IA113" s="2561"/>
      <c r="IB113" s="2561"/>
      <c r="IC113" s="2561"/>
      <c r="ID113" s="2561"/>
      <c r="IE113" s="2561"/>
      <c r="IF113" s="2561"/>
      <c r="IG113" s="2561"/>
      <c r="IH113" s="2561"/>
      <c r="II113" s="2561"/>
      <c r="IJ113" s="2561"/>
      <c r="IK113" s="2561"/>
      <c r="IL113" s="2561"/>
      <c r="IM113" s="2561"/>
      <c r="IN113" s="2561"/>
      <c r="IO113" s="2561"/>
      <c r="IP113" s="2561"/>
      <c r="IQ113" s="2561"/>
      <c r="IR113" s="2561"/>
      <c r="IS113" s="2561"/>
      <c r="IT113" s="2561"/>
      <c r="IU113" s="2561"/>
      <c r="IV113" s="2561"/>
      <c r="IW113" s="2561"/>
      <c r="IX113" s="2561"/>
      <c r="IY113" s="2561"/>
      <c r="IZ113" s="2561"/>
      <c r="JA113" s="2561"/>
      <c r="JB113" s="2561"/>
      <c r="JC113" s="2561"/>
      <c r="JD113" s="2561"/>
      <c r="JE113" s="2561">
        <f>(JE104+JE105+JE106)-(JE107+JE109+JE110+JE111+JE112)</f>
        <v>822</v>
      </c>
      <c r="JF113" s="2561"/>
      <c r="JG113" s="2561"/>
      <c r="JH113" s="2561"/>
      <c r="JI113" s="2561"/>
      <c r="JJ113" s="2561"/>
      <c r="JK113" s="2561"/>
      <c r="JL113" s="2561"/>
      <c r="JM113" s="2561"/>
      <c r="JN113" s="2561"/>
      <c r="JO113" s="2561"/>
      <c r="JP113" s="2561"/>
      <c r="JQ113" s="2561"/>
      <c r="JR113" s="351"/>
    </row>
    <row r="114" spans="1:278" x14ac:dyDescent="0.25">
      <c r="A114" s="1367">
        <v>114</v>
      </c>
      <c r="B114" s="1411" t="str">
        <f t="shared" si="15"/>
        <v/>
      </c>
      <c r="C114" s="1435" t="s">
        <v>4012</v>
      </c>
      <c r="D114" s="1361" t="s">
        <v>4013</v>
      </c>
      <c r="E114" s="1641"/>
      <c r="F114" s="1641"/>
      <c r="G114" s="1641"/>
      <c r="H114" s="1641"/>
      <c r="I114" s="1641"/>
      <c r="J114" s="1641"/>
      <c r="K114" s="1641"/>
      <c r="L114" s="1641"/>
      <c r="M114" s="1641"/>
      <c r="N114" s="1641"/>
      <c r="O114" s="1641"/>
      <c r="P114" s="1641"/>
      <c r="Q114" s="1641"/>
      <c r="R114" s="1641"/>
      <c r="S114" s="1641"/>
      <c r="T114" s="1641"/>
      <c r="U114" s="1641"/>
      <c r="V114" s="1641"/>
      <c r="W114" s="1641"/>
      <c r="X114" s="1641"/>
      <c r="Y114" s="1641"/>
      <c r="Z114" s="1641"/>
      <c r="AA114" s="1641"/>
      <c r="AB114" s="1641"/>
      <c r="AC114" s="1641"/>
      <c r="AD114" s="1641"/>
      <c r="AE114" s="1641"/>
      <c r="AF114" s="1641"/>
      <c r="AG114" s="1641"/>
      <c r="AH114" s="1641"/>
      <c r="AI114" s="1641"/>
      <c r="AJ114" s="1641"/>
      <c r="AK114" s="1641"/>
      <c r="AL114" s="1641"/>
      <c r="AM114" s="1641"/>
      <c r="AN114" s="1641"/>
      <c r="AO114" s="1641"/>
      <c r="AP114" s="1641"/>
      <c r="AQ114" s="1641"/>
      <c r="AR114" s="1641"/>
      <c r="AS114" s="1641"/>
      <c r="AT114" s="1641"/>
      <c r="AU114" s="1641"/>
      <c r="AV114" s="1641"/>
      <c r="AW114" s="1641"/>
      <c r="AX114" s="1641"/>
      <c r="AY114" s="1641"/>
      <c r="AZ114" s="1641"/>
      <c r="BA114" s="1641"/>
      <c r="BB114" s="1641"/>
      <c r="BC114" s="1641">
        <v>750</v>
      </c>
      <c r="BD114" s="1641">
        <v>233</v>
      </c>
      <c r="BE114" s="1641"/>
      <c r="BF114" s="1641"/>
      <c r="BG114" s="1641"/>
      <c r="BH114" s="1641"/>
      <c r="BI114" s="1641"/>
      <c r="BJ114" s="1636"/>
      <c r="BK114" s="1641"/>
      <c r="BL114" s="1641"/>
      <c r="BM114" s="1641"/>
      <c r="BN114" s="1641"/>
      <c r="BO114" s="1641"/>
      <c r="BP114" s="1641"/>
      <c r="BQ114" s="1641"/>
      <c r="BR114" s="1641"/>
      <c r="BS114" s="1641"/>
      <c r="BT114" s="1641"/>
      <c r="BU114" s="1641"/>
      <c r="BV114" s="1641"/>
      <c r="BW114" s="1641"/>
      <c r="BX114" s="1641"/>
      <c r="BY114" s="1641"/>
      <c r="BZ114" s="1641"/>
      <c r="CA114" s="1641"/>
      <c r="CB114" s="1636"/>
      <c r="CC114" s="1641"/>
      <c r="CD114" s="1641"/>
      <c r="CE114" s="1641"/>
      <c r="CF114" s="1641"/>
      <c r="CG114" s="1641"/>
      <c r="CH114" s="1641"/>
      <c r="CI114" s="1641"/>
      <c r="CJ114" s="1636">
        <v>13878</v>
      </c>
      <c r="CK114" s="1641"/>
      <c r="CL114" s="1641"/>
      <c r="CM114" s="1641"/>
      <c r="CN114" s="1641"/>
      <c r="CO114" s="1641"/>
      <c r="CP114" s="1641"/>
      <c r="CQ114" s="1641"/>
      <c r="CR114" s="1641"/>
      <c r="CS114" s="1641"/>
      <c r="CT114" s="1641"/>
      <c r="CU114" s="1641"/>
      <c r="CV114" s="1641"/>
      <c r="CW114" s="1641"/>
      <c r="CX114" s="1641"/>
      <c r="CY114" s="1641"/>
      <c r="CZ114" s="1641"/>
      <c r="DA114" s="1641"/>
      <c r="DB114" s="1641"/>
      <c r="DC114" s="1641"/>
      <c r="DD114" s="1641"/>
      <c r="DE114" s="1641"/>
      <c r="DF114" s="1641"/>
      <c r="DG114" s="1641"/>
      <c r="DH114" s="1641"/>
      <c r="DI114" s="1641"/>
      <c r="DJ114" s="1641"/>
      <c r="DK114" s="1641"/>
      <c r="DL114" s="1641"/>
      <c r="DM114" s="1641"/>
      <c r="DN114" s="1641"/>
      <c r="DO114" s="1641"/>
      <c r="DP114" s="1641"/>
      <c r="DQ114" s="1641"/>
      <c r="DR114" s="1641"/>
      <c r="DS114" s="1641"/>
      <c r="DT114" s="1641"/>
      <c r="DU114" s="1641"/>
      <c r="DV114" s="1641"/>
      <c r="DW114" s="1641"/>
      <c r="DX114" s="1641"/>
      <c r="DY114" s="1641"/>
      <c r="DZ114" s="1641"/>
      <c r="EA114" s="1641"/>
      <c r="EB114" s="1641"/>
      <c r="EC114" s="1641"/>
      <c r="ED114" s="1641"/>
      <c r="EE114" s="1641"/>
      <c r="EF114" s="1641"/>
      <c r="EG114" s="1641"/>
      <c r="EH114" s="1641"/>
      <c r="EI114" s="1641"/>
      <c r="EJ114" s="1641"/>
      <c r="EK114" s="1641"/>
      <c r="EL114" s="1641"/>
      <c r="EM114" s="1641"/>
      <c r="EN114" s="1641"/>
      <c r="EO114" s="1641"/>
      <c r="EP114" s="1641"/>
      <c r="EQ114" s="1641"/>
      <c r="ER114" s="1641"/>
      <c r="ES114" s="1641"/>
      <c r="ET114" s="1641"/>
      <c r="EU114" s="1641"/>
      <c r="EV114" s="1641"/>
      <c r="EW114" s="1641"/>
      <c r="EX114" s="1641"/>
      <c r="EY114" s="1641"/>
      <c r="EZ114" s="1641"/>
      <c r="FA114" s="1641"/>
      <c r="FB114" s="1641"/>
      <c r="FC114" s="1641"/>
      <c r="FD114" s="1641"/>
      <c r="FE114" s="1641"/>
      <c r="FF114" s="1641"/>
      <c r="FG114" s="1641"/>
      <c r="FH114" s="1641"/>
      <c r="FI114" s="1641"/>
      <c r="FJ114" s="1641"/>
      <c r="FK114" s="1641"/>
      <c r="FL114" s="1641"/>
      <c r="FM114" s="1641"/>
      <c r="FN114" s="1641"/>
      <c r="FO114" s="1641"/>
      <c r="FP114" s="1641"/>
      <c r="FQ114" s="1641"/>
      <c r="FR114" s="1641"/>
      <c r="FS114" s="1641"/>
      <c r="FT114" s="1641"/>
      <c r="FU114" s="1641"/>
      <c r="FV114" s="1641"/>
      <c r="FW114" s="1641"/>
      <c r="FX114" s="1641"/>
      <c r="FY114" s="1641"/>
      <c r="FZ114" s="1641"/>
      <c r="GA114" s="1641"/>
      <c r="GB114" s="1641"/>
      <c r="GC114" s="1641"/>
      <c r="GD114" s="1641"/>
      <c r="GE114" s="1641"/>
      <c r="GF114" s="1641">
        <v>2600</v>
      </c>
      <c r="GG114" s="1641"/>
      <c r="GH114" s="1641"/>
      <c r="GI114" s="1641"/>
      <c r="GJ114" s="1641"/>
      <c r="GK114" s="1641"/>
      <c r="GL114" s="1641"/>
      <c r="GM114" s="1641"/>
      <c r="GN114" s="1641"/>
      <c r="GO114" s="1641"/>
      <c r="GP114" s="1641"/>
      <c r="GQ114" s="1641"/>
      <c r="GR114" s="1641"/>
      <c r="GS114" s="1641"/>
      <c r="GT114" s="1641"/>
      <c r="GU114" s="1641"/>
      <c r="GV114" s="1641"/>
      <c r="GW114" s="1641"/>
      <c r="GX114" s="1641"/>
      <c r="GY114" s="1641"/>
      <c r="GZ114" s="1641"/>
      <c r="HA114" s="1641"/>
      <c r="HB114" s="1641"/>
      <c r="HC114" s="1641"/>
      <c r="HD114" s="1641"/>
      <c r="HE114" s="1641"/>
      <c r="HF114" s="1641"/>
      <c r="HG114" s="1641"/>
      <c r="HH114" s="1641"/>
      <c r="HI114" s="1641"/>
      <c r="HJ114" s="1641"/>
      <c r="HK114" s="1641"/>
      <c r="HL114" s="1641"/>
      <c r="HM114" s="1641"/>
      <c r="HN114" s="1641"/>
      <c r="HO114" s="1641"/>
      <c r="HP114" s="1641"/>
      <c r="HQ114" s="1641"/>
      <c r="HR114" s="1641"/>
      <c r="HS114" s="1641"/>
      <c r="HT114" s="1641"/>
      <c r="HU114" s="1641"/>
      <c r="HV114" s="1641"/>
      <c r="HW114" s="1641"/>
      <c r="HX114" s="1641"/>
      <c r="HY114" s="1641"/>
      <c r="HZ114" s="1641"/>
      <c r="IA114" s="1641"/>
      <c r="IB114" s="1641"/>
      <c r="IC114" s="1641"/>
      <c r="ID114" s="1641"/>
      <c r="IE114" s="1641"/>
      <c r="IF114" s="1641"/>
      <c r="IG114" s="1641"/>
      <c r="IH114" s="1641"/>
      <c r="II114" s="1641"/>
      <c r="IJ114" s="1641"/>
      <c r="IK114" s="1641"/>
      <c r="IL114" s="1641"/>
      <c r="IM114" s="1641"/>
      <c r="IN114" s="1641"/>
      <c r="IO114" s="1641"/>
      <c r="IP114" s="1641"/>
      <c r="IQ114" s="1641"/>
      <c r="IR114" s="1641"/>
      <c r="IS114" s="1641"/>
      <c r="IT114" s="1641"/>
      <c r="IU114" s="1641"/>
      <c r="IV114" s="1641"/>
      <c r="IW114" s="1641"/>
      <c r="IX114" s="1641"/>
      <c r="IY114" s="1641"/>
      <c r="IZ114" s="1641"/>
      <c r="JA114" s="1641"/>
      <c r="JB114" s="1641"/>
      <c r="JC114" s="1641"/>
      <c r="JD114" s="1641"/>
      <c r="JE114" s="1641">
        <v>120</v>
      </c>
      <c r="JF114" s="1641"/>
      <c r="JG114" s="1641"/>
      <c r="JH114" s="1641"/>
      <c r="JI114" s="1641"/>
      <c r="JJ114" s="1641"/>
      <c r="JK114" s="1641"/>
      <c r="JL114" s="1641"/>
      <c r="JM114" s="1641"/>
      <c r="JN114" s="1641"/>
      <c r="JO114" s="1641"/>
      <c r="JP114" s="1641"/>
      <c r="JQ114" s="1641"/>
      <c r="JR114" s="351"/>
    </row>
    <row r="115" spans="1:278" x14ac:dyDescent="0.25">
      <c r="A115" s="1367">
        <v>115</v>
      </c>
      <c r="B115" s="1411" t="str">
        <f t="shared" si="15"/>
        <v/>
      </c>
      <c r="C115" s="1435" t="s">
        <v>4014</v>
      </c>
      <c r="D115" s="1361" t="s">
        <v>3985</v>
      </c>
      <c r="E115" s="1641"/>
      <c r="F115" s="1641"/>
      <c r="G115" s="1641"/>
      <c r="H115" s="1641"/>
      <c r="I115" s="1641"/>
      <c r="J115" s="1641"/>
      <c r="K115" s="1641"/>
      <c r="L115" s="1641"/>
      <c r="M115" s="1641"/>
      <c r="N115" s="1641"/>
      <c r="O115" s="1641"/>
      <c r="P115" s="1641"/>
      <c r="Q115" s="1641"/>
      <c r="R115" s="1641"/>
      <c r="S115" s="1641"/>
      <c r="T115" s="1641"/>
      <c r="U115" s="1641"/>
      <c r="V115" s="1641"/>
      <c r="W115" s="1641"/>
      <c r="X115" s="1641"/>
      <c r="Y115" s="1641"/>
      <c r="Z115" s="1641"/>
      <c r="AA115" s="1641"/>
      <c r="AB115" s="1641"/>
      <c r="AC115" s="1641"/>
      <c r="AD115" s="1641"/>
      <c r="AE115" s="1641"/>
      <c r="AF115" s="1641"/>
      <c r="AG115" s="1641"/>
      <c r="AH115" s="1641"/>
      <c r="AI115" s="1641"/>
      <c r="AJ115" s="1641"/>
      <c r="AK115" s="1641"/>
      <c r="AL115" s="1641"/>
      <c r="AM115" s="1641"/>
      <c r="AN115" s="1641"/>
      <c r="AO115" s="1641"/>
      <c r="AP115" s="1641"/>
      <c r="AQ115" s="1641"/>
      <c r="AR115" s="1641"/>
      <c r="AS115" s="1641"/>
      <c r="AT115" s="1641"/>
      <c r="AU115" s="1641"/>
      <c r="AV115" s="1641"/>
      <c r="AW115" s="1641"/>
      <c r="AX115" s="1641"/>
      <c r="AY115" s="1641"/>
      <c r="AZ115" s="1641"/>
      <c r="BA115" s="1641"/>
      <c r="BB115" s="1641"/>
      <c r="BC115" s="1641">
        <v>120</v>
      </c>
      <c r="BD115" s="1641"/>
      <c r="BE115" s="1641"/>
      <c r="BF115" s="1641"/>
      <c r="BG115" s="1641"/>
      <c r="BH115" s="1641"/>
      <c r="BI115" s="1641"/>
      <c r="BJ115" s="1641"/>
      <c r="BK115" s="1641"/>
      <c r="BL115" s="1641"/>
      <c r="BM115" s="1641"/>
      <c r="BN115" s="1641"/>
      <c r="BO115" s="1641"/>
      <c r="BP115" s="1641"/>
      <c r="BQ115" s="1641"/>
      <c r="BR115" s="1641"/>
      <c r="BS115" s="1641"/>
      <c r="BT115" s="1641"/>
      <c r="BU115" s="1641"/>
      <c r="BV115" s="1641"/>
      <c r="BW115" s="1641"/>
      <c r="BX115" s="1641"/>
      <c r="BY115" s="1641"/>
      <c r="BZ115" s="1641"/>
      <c r="CA115" s="1641"/>
      <c r="CB115" s="1641"/>
      <c r="CC115" s="1641"/>
      <c r="CD115" s="1641"/>
      <c r="CE115" s="1641"/>
      <c r="CF115" s="1641"/>
      <c r="CG115" s="1641"/>
      <c r="CH115" s="1641"/>
      <c r="CI115" s="1641"/>
      <c r="CJ115" s="1641"/>
      <c r="CK115" s="1641"/>
      <c r="CL115" s="1641"/>
      <c r="CM115" s="1641"/>
      <c r="CN115" s="1641"/>
      <c r="CO115" s="1641"/>
      <c r="CP115" s="1641"/>
      <c r="CQ115" s="1641"/>
      <c r="CR115" s="1641"/>
      <c r="CS115" s="1641"/>
      <c r="CT115" s="1641"/>
      <c r="CU115" s="1641"/>
      <c r="CV115" s="1641"/>
      <c r="CW115" s="1641"/>
      <c r="CX115" s="1641"/>
      <c r="CY115" s="1641"/>
      <c r="CZ115" s="1641"/>
      <c r="DA115" s="1641"/>
      <c r="DB115" s="1641"/>
      <c r="DC115" s="1641"/>
      <c r="DD115" s="1641"/>
      <c r="DE115" s="1641"/>
      <c r="DF115" s="1641"/>
      <c r="DG115" s="1641"/>
      <c r="DH115" s="1641"/>
      <c r="DI115" s="1641"/>
      <c r="DJ115" s="1641"/>
      <c r="DK115" s="1641"/>
      <c r="DL115" s="1641"/>
      <c r="DM115" s="1641"/>
      <c r="DN115" s="1641"/>
      <c r="DO115" s="1641"/>
      <c r="DP115" s="1641"/>
      <c r="DQ115" s="1641"/>
      <c r="DR115" s="1641"/>
      <c r="DS115" s="1641"/>
      <c r="DT115" s="1641"/>
      <c r="DU115" s="1641"/>
      <c r="DV115" s="1641"/>
      <c r="DW115" s="1641"/>
      <c r="DX115" s="1641"/>
      <c r="DY115" s="1641"/>
      <c r="DZ115" s="1641"/>
      <c r="EA115" s="1641"/>
      <c r="EB115" s="1641"/>
      <c r="EC115" s="1641"/>
      <c r="ED115" s="1641"/>
      <c r="EE115" s="1641"/>
      <c r="EF115" s="1641"/>
      <c r="EG115" s="1641"/>
      <c r="EH115" s="1641"/>
      <c r="EI115" s="1641"/>
      <c r="EJ115" s="1641"/>
      <c r="EK115" s="1641"/>
      <c r="EL115" s="1641"/>
      <c r="EM115" s="1641"/>
      <c r="EN115" s="1641"/>
      <c r="EO115" s="1641"/>
      <c r="EP115" s="1641"/>
      <c r="EQ115" s="1641"/>
      <c r="ER115" s="1641"/>
      <c r="ES115" s="1641"/>
      <c r="ET115" s="1641"/>
      <c r="EU115" s="1641"/>
      <c r="EV115" s="1641"/>
      <c r="EW115" s="1641"/>
      <c r="EX115" s="1641"/>
      <c r="EY115" s="1641"/>
      <c r="EZ115" s="1641"/>
      <c r="FA115" s="1641"/>
      <c r="FB115" s="1641"/>
      <c r="FC115" s="1641"/>
      <c r="FD115" s="1641"/>
      <c r="FE115" s="1641"/>
      <c r="FF115" s="1641"/>
      <c r="FG115" s="1641"/>
      <c r="FH115" s="1641"/>
      <c r="FI115" s="1641"/>
      <c r="FJ115" s="1641"/>
      <c r="FK115" s="1641"/>
      <c r="FL115" s="1641"/>
      <c r="FM115" s="1641"/>
      <c r="FN115" s="1641"/>
      <c r="FO115" s="1641"/>
      <c r="FP115" s="1641"/>
      <c r="FQ115" s="1641"/>
      <c r="FR115" s="1641"/>
      <c r="FS115" s="1641"/>
      <c r="FT115" s="1641"/>
      <c r="FU115" s="1641"/>
      <c r="FV115" s="1641"/>
      <c r="FW115" s="1641"/>
      <c r="FX115" s="1641"/>
      <c r="FY115" s="1641"/>
      <c r="FZ115" s="1641"/>
      <c r="GA115" s="1641"/>
      <c r="GB115" s="1641"/>
      <c r="GC115" s="1641"/>
      <c r="GD115" s="1641"/>
      <c r="GE115" s="1641"/>
      <c r="GF115" s="1641"/>
      <c r="GG115" s="1641"/>
      <c r="GH115" s="1641"/>
      <c r="GI115" s="1641"/>
      <c r="GJ115" s="1641"/>
      <c r="GK115" s="1641"/>
      <c r="GL115" s="1641"/>
      <c r="GM115" s="1641"/>
      <c r="GN115" s="1641"/>
      <c r="GO115" s="1641"/>
      <c r="GP115" s="1641"/>
      <c r="GQ115" s="1641"/>
      <c r="GR115" s="1641"/>
      <c r="GS115" s="1641"/>
      <c r="GT115" s="1641"/>
      <c r="GU115" s="1641"/>
      <c r="GV115" s="1641"/>
      <c r="GW115" s="1641"/>
      <c r="GX115" s="1641"/>
      <c r="GY115" s="1641"/>
      <c r="GZ115" s="1641"/>
      <c r="HA115" s="1641"/>
      <c r="HB115" s="1641"/>
      <c r="HC115" s="1641"/>
      <c r="HD115" s="1641"/>
      <c r="HE115" s="1641"/>
      <c r="HF115" s="1641"/>
      <c r="HG115" s="1641"/>
      <c r="HH115" s="1641"/>
      <c r="HI115" s="1641"/>
      <c r="HJ115" s="1641"/>
      <c r="HK115" s="1641"/>
      <c r="HL115" s="1641"/>
      <c r="HM115" s="1641"/>
      <c r="HN115" s="1641"/>
      <c r="HO115" s="1641"/>
      <c r="HP115" s="1641"/>
      <c r="HQ115" s="1641"/>
      <c r="HR115" s="1641"/>
      <c r="HS115" s="1641"/>
      <c r="HT115" s="1641"/>
      <c r="HU115" s="1641"/>
      <c r="HV115" s="1641"/>
      <c r="HW115" s="1641"/>
      <c r="HX115" s="1641"/>
      <c r="HY115" s="1641"/>
      <c r="HZ115" s="1641"/>
      <c r="IA115" s="1641"/>
      <c r="IB115" s="1641"/>
      <c r="IC115" s="1641"/>
      <c r="ID115" s="1641"/>
      <c r="IE115" s="1641"/>
      <c r="IF115" s="1641"/>
      <c r="IG115" s="1641"/>
      <c r="IH115" s="1641"/>
      <c r="II115" s="1641"/>
      <c r="IJ115" s="1641"/>
      <c r="IK115" s="1641"/>
      <c r="IL115" s="1641"/>
      <c r="IM115" s="1641"/>
      <c r="IN115" s="1641"/>
      <c r="IO115" s="1641"/>
      <c r="IP115" s="1641"/>
      <c r="IQ115" s="1641"/>
      <c r="IR115" s="1641"/>
      <c r="IS115" s="1641"/>
      <c r="IT115" s="1641"/>
      <c r="IU115" s="1641"/>
      <c r="IV115" s="1641"/>
      <c r="IW115" s="1641"/>
      <c r="IX115" s="1641"/>
      <c r="IY115" s="1641"/>
      <c r="IZ115" s="1641"/>
      <c r="JA115" s="1641"/>
      <c r="JB115" s="1641"/>
      <c r="JC115" s="1641"/>
      <c r="JD115" s="1641"/>
      <c r="JE115" s="1641"/>
      <c r="JF115" s="1641"/>
      <c r="JG115" s="1641"/>
      <c r="JH115" s="1641"/>
      <c r="JI115" s="1641"/>
      <c r="JJ115" s="1641"/>
      <c r="JK115" s="1641"/>
      <c r="JL115" s="1641"/>
      <c r="JM115" s="1641"/>
      <c r="JN115" s="1641"/>
      <c r="JO115" s="1641"/>
      <c r="JP115" s="1641"/>
      <c r="JQ115" s="1641"/>
      <c r="JR115" s="351"/>
    </row>
    <row r="116" spans="1:278" x14ac:dyDescent="0.25">
      <c r="A116" s="1367">
        <v>116</v>
      </c>
      <c r="B116" s="1411" t="str">
        <f t="shared" si="15"/>
        <v/>
      </c>
      <c r="C116" s="1435" t="s">
        <v>4015</v>
      </c>
      <c r="D116" s="1361" t="s">
        <v>3851</v>
      </c>
      <c r="E116" s="1639"/>
      <c r="F116" s="1639"/>
      <c r="G116" s="1639"/>
      <c r="H116" s="1639"/>
      <c r="I116" s="1639"/>
      <c r="J116" s="1639"/>
      <c r="K116" s="1639"/>
      <c r="L116" s="1639"/>
      <c r="M116" s="1639"/>
      <c r="N116" s="1639"/>
      <c r="O116" s="1639"/>
      <c r="P116" s="1639"/>
      <c r="Q116" s="1639"/>
      <c r="R116" s="1639"/>
      <c r="S116" s="1639"/>
      <c r="T116" s="1639"/>
      <c r="U116" s="1639"/>
      <c r="V116" s="1639"/>
      <c r="W116" s="1639"/>
      <c r="X116" s="1639"/>
      <c r="Y116" s="1639"/>
      <c r="Z116" s="1639"/>
      <c r="AA116" s="1639"/>
      <c r="AB116" s="1639"/>
      <c r="AC116" s="1639"/>
      <c r="AD116" s="1639"/>
      <c r="AE116" s="1639"/>
      <c r="AF116" s="1639"/>
      <c r="AG116" s="1639"/>
      <c r="AH116" s="1639"/>
      <c r="AI116" s="1639"/>
      <c r="AJ116" s="1639"/>
      <c r="AK116" s="1639"/>
      <c r="AL116" s="1639"/>
      <c r="AM116" s="1639"/>
      <c r="AN116" s="1639"/>
      <c r="AO116" s="1639"/>
      <c r="AP116" s="1639"/>
      <c r="AQ116" s="1639"/>
      <c r="AR116" s="1639"/>
      <c r="AS116" s="1639"/>
      <c r="AT116" s="1639"/>
      <c r="AU116" s="1639"/>
      <c r="AV116" s="1639"/>
      <c r="AW116" s="1639"/>
      <c r="AX116" s="1639"/>
      <c r="AY116" s="1639"/>
      <c r="AZ116" s="1639"/>
      <c r="BA116" s="1639"/>
      <c r="BB116" s="1638" t="s">
        <v>3853</v>
      </c>
      <c r="BC116" s="1639" t="s">
        <v>3853</v>
      </c>
      <c r="BD116" s="1639" t="s">
        <v>3897</v>
      </c>
      <c r="BE116" s="1639"/>
      <c r="BF116" s="1639"/>
      <c r="BG116" s="1639"/>
      <c r="BH116" s="1639"/>
      <c r="BI116" s="1639"/>
      <c r="BJ116" s="1639"/>
      <c r="BK116" s="1639"/>
      <c r="BL116" s="1639"/>
      <c r="BM116" s="1639"/>
      <c r="BN116" s="1639"/>
      <c r="BO116" s="1639"/>
      <c r="BP116" s="1639"/>
      <c r="BQ116" s="1639"/>
      <c r="BR116" s="1639"/>
      <c r="BS116" s="1639"/>
      <c r="BT116" s="1639"/>
      <c r="BU116" s="1639"/>
      <c r="BV116" s="1639"/>
      <c r="BW116" s="1639"/>
      <c r="BX116" s="1639"/>
      <c r="BY116" s="1639"/>
      <c r="BZ116" s="1639"/>
      <c r="CA116" s="1639"/>
      <c r="CB116" s="1638" t="s">
        <v>4016</v>
      </c>
      <c r="CC116" s="1639"/>
      <c r="CD116" s="1639"/>
      <c r="CE116" s="1639"/>
      <c r="CF116" s="1639"/>
      <c r="CG116" s="1639"/>
      <c r="CH116" s="1639"/>
      <c r="CI116" s="1639"/>
      <c r="CJ116" s="1638" t="s">
        <v>4017</v>
      </c>
      <c r="CK116" s="1639"/>
      <c r="CL116" s="1639"/>
      <c r="CM116" s="1639"/>
      <c r="CN116" s="1639"/>
      <c r="CO116" s="1639"/>
      <c r="CP116" s="1639"/>
      <c r="CQ116" s="1639"/>
      <c r="CR116" s="1639"/>
      <c r="CS116" s="1639"/>
      <c r="CT116" s="1639"/>
      <c r="CU116" s="1639"/>
      <c r="CV116" s="1639"/>
      <c r="CW116" s="1639"/>
      <c r="CX116" s="1639"/>
      <c r="CY116" s="1639"/>
      <c r="CZ116" s="1639"/>
      <c r="DA116" s="1639"/>
      <c r="DB116" s="1639"/>
      <c r="DC116" s="1639"/>
      <c r="DD116" s="1639"/>
      <c r="DE116" s="1639"/>
      <c r="DF116" s="1639"/>
      <c r="DG116" s="1639"/>
      <c r="DH116" s="1639"/>
      <c r="DI116" s="1639"/>
      <c r="DJ116" s="1639"/>
      <c r="DK116" s="1639"/>
      <c r="DL116" s="1639"/>
      <c r="DM116" s="1639"/>
      <c r="DN116" s="1639"/>
      <c r="DO116" s="1639"/>
      <c r="DP116" s="1639"/>
      <c r="DQ116" s="1639"/>
      <c r="DR116" s="1639"/>
      <c r="DS116" s="1639"/>
      <c r="DT116" s="1639"/>
      <c r="DU116" s="1639"/>
      <c r="DV116" s="1639"/>
      <c r="DW116" s="1639"/>
      <c r="DX116" s="1639"/>
      <c r="DY116" s="1639"/>
      <c r="DZ116" s="1639"/>
      <c r="EA116" s="1639"/>
      <c r="EB116" s="1639"/>
      <c r="EC116" s="1639"/>
      <c r="ED116" s="1639"/>
      <c r="EE116" s="1639"/>
      <c r="EF116" s="1639"/>
      <c r="EG116" s="1639"/>
      <c r="EH116" s="1639"/>
      <c r="EI116" s="1639"/>
      <c r="EJ116" s="1639"/>
      <c r="EK116" s="1639"/>
      <c r="EL116" s="1639"/>
      <c r="EM116" s="1639"/>
      <c r="EN116" s="1639"/>
      <c r="EO116" s="1639"/>
      <c r="EP116" s="1639"/>
      <c r="EQ116" s="1639"/>
      <c r="ER116" s="1639"/>
      <c r="ES116" s="1639"/>
      <c r="ET116" s="1639"/>
      <c r="EU116" s="1639"/>
      <c r="EV116" s="1639"/>
      <c r="EW116" s="1639"/>
      <c r="EX116" s="1639"/>
      <c r="EY116" s="1639"/>
      <c r="EZ116" s="1639" t="s">
        <v>3861</v>
      </c>
      <c r="FA116" s="1639"/>
      <c r="FB116" s="1639"/>
      <c r="FC116" s="1639"/>
      <c r="FD116" s="1639"/>
      <c r="FE116" s="1639"/>
      <c r="FF116" s="1639"/>
      <c r="FG116" s="1639"/>
      <c r="FH116" s="1639"/>
      <c r="FI116" s="1639"/>
      <c r="FJ116" s="1639"/>
      <c r="FK116" s="1639"/>
      <c r="FL116" s="1639"/>
      <c r="FM116" s="1639"/>
      <c r="FN116" s="1639"/>
      <c r="FO116" s="1639"/>
      <c r="FP116" s="1639"/>
      <c r="FQ116" s="1639"/>
      <c r="FR116" s="1639"/>
      <c r="FS116" s="1639"/>
      <c r="FT116" s="1639"/>
      <c r="FU116" s="1639"/>
      <c r="FV116" s="1639"/>
      <c r="FW116" s="1639"/>
      <c r="FX116" s="1639"/>
      <c r="FY116" s="1639"/>
      <c r="FZ116" s="1639"/>
      <c r="GA116" s="1639"/>
      <c r="GB116" s="1639"/>
      <c r="GC116" s="1639"/>
      <c r="GD116" s="1639"/>
      <c r="GE116" s="1639"/>
      <c r="GF116" s="1639" t="s">
        <v>3853</v>
      </c>
      <c r="GG116" s="1639"/>
      <c r="GH116" s="1639"/>
      <c r="GI116" s="1639"/>
      <c r="GJ116" s="1639"/>
      <c r="GK116" s="1639"/>
      <c r="GL116" s="1639"/>
      <c r="GM116" s="1639"/>
      <c r="GN116" s="1639"/>
      <c r="GO116" s="1639"/>
      <c r="GP116" s="1639"/>
      <c r="GQ116" s="1639"/>
      <c r="GR116" s="1639"/>
      <c r="GS116" s="1639"/>
      <c r="GT116" s="1639"/>
      <c r="GU116" s="1639"/>
      <c r="GV116" s="1639"/>
      <c r="GW116" s="1639"/>
      <c r="GX116" s="1639"/>
      <c r="GY116" s="1639"/>
      <c r="GZ116" s="1639"/>
      <c r="HA116" s="1639"/>
      <c r="HB116" s="1639"/>
      <c r="HC116" s="1639"/>
      <c r="HD116" s="1639"/>
      <c r="HE116" s="1639"/>
      <c r="HF116" s="1639"/>
      <c r="HG116" s="1639"/>
      <c r="HH116" s="1639" t="s">
        <v>3862</v>
      </c>
      <c r="HI116" s="1639"/>
      <c r="HJ116" s="1639" t="s">
        <v>3860</v>
      </c>
      <c r="HK116" s="1639" t="s">
        <v>3854</v>
      </c>
      <c r="HL116" s="1639" t="s">
        <v>3854</v>
      </c>
      <c r="HM116" s="1639" t="s">
        <v>3854</v>
      </c>
      <c r="HN116" s="1639"/>
      <c r="HO116" s="1639"/>
      <c r="HP116" s="1639"/>
      <c r="HQ116" s="1639"/>
      <c r="HR116" s="1639"/>
      <c r="HS116" s="1639"/>
      <c r="HT116" s="1639"/>
      <c r="HU116" s="1639"/>
      <c r="HV116" s="1639"/>
      <c r="HW116" s="1639"/>
      <c r="HX116" s="1639"/>
      <c r="HY116" s="1639"/>
      <c r="HZ116" s="1639"/>
      <c r="IA116" s="1639"/>
      <c r="IB116" s="1639"/>
      <c r="IC116" s="1639"/>
      <c r="ID116" s="1639"/>
      <c r="IE116" s="1639"/>
      <c r="IF116" s="1639"/>
      <c r="IG116" s="1639"/>
      <c r="IH116" s="1639"/>
      <c r="II116" s="1639"/>
      <c r="IJ116" s="1639"/>
      <c r="IK116" s="1639"/>
      <c r="IL116" s="1639"/>
      <c r="IM116" s="1639"/>
      <c r="IN116" s="1639"/>
      <c r="IO116" s="1639"/>
      <c r="IP116" s="1639"/>
      <c r="IQ116" s="1639"/>
      <c r="IR116" s="1639"/>
      <c r="IS116" s="1639"/>
      <c r="IT116" s="1639"/>
      <c r="IU116" s="1639"/>
      <c r="IV116" s="1639"/>
      <c r="IW116" s="1639"/>
      <c r="IX116" s="1639"/>
      <c r="IY116" s="1639"/>
      <c r="IZ116" s="1639"/>
      <c r="JA116" s="1639"/>
      <c r="JB116" s="1639"/>
      <c r="JC116" s="1639"/>
      <c r="JD116" s="1639"/>
      <c r="JE116" s="1639" t="s">
        <v>3853</v>
      </c>
      <c r="JF116" s="1639"/>
      <c r="JG116" s="1639"/>
      <c r="JH116" s="1639"/>
      <c r="JI116" s="1639"/>
      <c r="JJ116" s="1639"/>
      <c r="JK116" s="1639"/>
      <c r="JL116" s="1639"/>
      <c r="JM116" s="1639"/>
      <c r="JN116" s="1639"/>
      <c r="JO116" s="1639"/>
      <c r="JP116" s="1639"/>
      <c r="JQ116" s="1639"/>
      <c r="JR116" s="351"/>
    </row>
    <row r="117" spans="1:278" x14ac:dyDescent="0.25">
      <c r="A117" s="1367">
        <v>117</v>
      </c>
      <c r="B117" s="1411" t="str">
        <f t="shared" si="15"/>
        <v/>
      </c>
      <c r="C117" s="1435" t="s">
        <v>4018</v>
      </c>
      <c r="D117" s="1361" t="s">
        <v>3867</v>
      </c>
      <c r="E117" s="2561"/>
      <c r="F117" s="2561"/>
      <c r="G117" s="2561"/>
      <c r="H117" s="2561"/>
      <c r="I117" s="2561"/>
      <c r="J117" s="2561"/>
      <c r="K117" s="2561"/>
      <c r="L117" s="2561"/>
      <c r="M117" s="2561"/>
      <c r="N117" s="2561"/>
      <c r="O117" s="2561"/>
      <c r="P117" s="2561"/>
      <c r="Q117" s="2561"/>
      <c r="R117" s="2561"/>
      <c r="S117" s="2561"/>
      <c r="T117" s="2561"/>
      <c r="U117" s="2561"/>
      <c r="V117" s="2561"/>
      <c r="W117" s="2561"/>
      <c r="X117" s="2561"/>
      <c r="Y117" s="2561"/>
      <c r="Z117" s="2561"/>
      <c r="AA117" s="2561"/>
      <c r="AB117" s="2561"/>
      <c r="AC117" s="2561"/>
      <c r="AD117" s="2561"/>
      <c r="AE117" s="2561"/>
      <c r="AF117" s="2561"/>
      <c r="AG117" s="2561"/>
      <c r="AH117" s="2561"/>
      <c r="AI117" s="2561"/>
      <c r="AJ117" s="2561"/>
      <c r="AK117" s="2561"/>
      <c r="AL117" s="2561"/>
      <c r="AM117" s="2561"/>
      <c r="AN117" s="2561"/>
      <c r="AO117" s="2561"/>
      <c r="AP117" s="2561"/>
      <c r="AQ117" s="2561"/>
      <c r="AR117" s="2561"/>
      <c r="AS117" s="2561"/>
      <c r="AT117" s="2561"/>
      <c r="AU117" s="2561"/>
      <c r="AV117" s="2561"/>
      <c r="AW117" s="2561"/>
      <c r="AX117" s="2561"/>
      <c r="AY117" s="2561"/>
      <c r="AZ117" s="2561"/>
      <c r="BA117" s="2561"/>
      <c r="BB117" s="1636">
        <f>BB113</f>
        <v>9250</v>
      </c>
      <c r="BC117" s="2561">
        <f>BC113</f>
        <v>8822</v>
      </c>
      <c r="BD117" s="2561">
        <f>BD113</f>
        <v>2994</v>
      </c>
      <c r="BE117" s="2561"/>
      <c r="BF117" s="2561"/>
      <c r="BG117" s="2561"/>
      <c r="BH117" s="2561"/>
      <c r="BI117" s="2561"/>
      <c r="BJ117" s="1636">
        <f>BJ113</f>
        <v>12310</v>
      </c>
      <c r="BK117" s="2561"/>
      <c r="BL117" s="2561"/>
      <c r="BM117" s="2561"/>
      <c r="BN117" s="2561"/>
      <c r="BO117" s="2561"/>
      <c r="BP117" s="2561"/>
      <c r="BQ117" s="2561"/>
      <c r="BR117" s="2561"/>
      <c r="BS117" s="2561"/>
      <c r="BT117" s="2561"/>
      <c r="BU117" s="2561"/>
      <c r="BV117" s="2561"/>
      <c r="BW117" s="2561"/>
      <c r="BX117" s="2561"/>
      <c r="BY117" s="2561"/>
      <c r="BZ117" s="2561"/>
      <c r="CA117" s="2561"/>
      <c r="CB117" s="1636">
        <v>12745</v>
      </c>
      <c r="CC117" s="2561"/>
      <c r="CD117" s="2561"/>
      <c r="CE117" s="2561"/>
      <c r="CF117" s="2561"/>
      <c r="CG117" s="2561"/>
      <c r="CH117" s="2561"/>
      <c r="CI117" s="2561"/>
      <c r="CJ117" s="1636">
        <v>126634</v>
      </c>
      <c r="CK117" s="2561"/>
      <c r="CL117" s="2561"/>
      <c r="CM117" s="2561"/>
      <c r="CN117" s="2561"/>
      <c r="CO117" s="2561"/>
      <c r="CP117" s="2561"/>
      <c r="CQ117" s="2561"/>
      <c r="CR117" s="2561"/>
      <c r="CS117" s="2561"/>
      <c r="CT117" s="2561"/>
      <c r="CU117" s="2561"/>
      <c r="CV117" s="2561"/>
      <c r="CW117" s="2561"/>
      <c r="CX117" s="2561"/>
      <c r="CY117" s="2561"/>
      <c r="CZ117" s="2561"/>
      <c r="DA117" s="2561"/>
      <c r="DB117" s="2561"/>
      <c r="DC117" s="2561"/>
      <c r="DD117" s="2561"/>
      <c r="DE117" s="2561"/>
      <c r="DF117" s="2561"/>
      <c r="DG117" s="2561"/>
      <c r="DH117" s="2561"/>
      <c r="DI117" s="2561"/>
      <c r="DJ117" s="2561"/>
      <c r="DK117" s="2561"/>
      <c r="DL117" s="2561"/>
      <c r="DM117" s="2561"/>
      <c r="DN117" s="2561"/>
      <c r="DO117" s="2561"/>
      <c r="DP117" s="2561"/>
      <c r="DQ117" s="2561"/>
      <c r="DR117" s="2561"/>
      <c r="DS117" s="2561"/>
      <c r="DT117" s="2561"/>
      <c r="DU117" s="2561"/>
      <c r="DV117" s="2561"/>
      <c r="DW117" s="2561"/>
      <c r="DX117" s="2561"/>
      <c r="DY117" s="2561"/>
      <c r="DZ117" s="2561"/>
      <c r="EA117" s="2561"/>
      <c r="EB117" s="2561"/>
      <c r="EC117" s="2561"/>
      <c r="ED117" s="2561"/>
      <c r="EE117" s="2561"/>
      <c r="EF117" s="2561"/>
      <c r="EG117" s="2561"/>
      <c r="EH117" s="2561"/>
      <c r="EI117" s="2561"/>
      <c r="EJ117" s="2561"/>
      <c r="EK117" s="2561"/>
      <c r="EL117" s="2561"/>
      <c r="EM117" s="2561"/>
      <c r="EN117" s="2561"/>
      <c r="EO117" s="2561"/>
      <c r="EP117" s="2561"/>
      <c r="EQ117" s="2561"/>
      <c r="ER117" s="2561"/>
      <c r="ES117" s="2561"/>
      <c r="ET117" s="2561"/>
      <c r="EU117" s="2561"/>
      <c r="EV117" s="2561"/>
      <c r="EW117" s="2561"/>
      <c r="EX117" s="2561"/>
      <c r="EY117" s="2561"/>
      <c r="EZ117" s="2561">
        <v>-1134.8599999999999</v>
      </c>
      <c r="FA117" s="2561"/>
      <c r="FB117" s="2561"/>
      <c r="FC117" s="2561"/>
      <c r="FD117" s="2561"/>
      <c r="FE117" s="2561"/>
      <c r="FF117" s="2561"/>
      <c r="FG117" s="2561"/>
      <c r="FH117" s="2561"/>
      <c r="FI117" s="2561"/>
      <c r="FJ117" s="2561"/>
      <c r="FK117" s="2561"/>
      <c r="FL117" s="2561"/>
      <c r="FM117" s="2561"/>
      <c r="FN117" s="2561"/>
      <c r="FO117" s="2561"/>
      <c r="FP117" s="2561"/>
      <c r="FQ117" s="2561"/>
      <c r="FR117" s="2561"/>
      <c r="FS117" s="2561"/>
      <c r="FT117" s="2561"/>
      <c r="FU117" s="2561"/>
      <c r="FV117" s="2561"/>
      <c r="FW117" s="2561"/>
      <c r="FX117" s="2561"/>
      <c r="FY117" s="2561"/>
      <c r="FZ117" s="2561"/>
      <c r="GA117" s="2561"/>
      <c r="GB117" s="2561"/>
      <c r="GC117" s="2561"/>
      <c r="GD117" s="2561"/>
      <c r="GE117" s="2561"/>
      <c r="GF117" s="2561">
        <v>822</v>
      </c>
      <c r="GG117" s="2561"/>
      <c r="GH117" s="2561"/>
      <c r="GI117" s="2561"/>
      <c r="GJ117" s="2561"/>
      <c r="GK117" s="2561"/>
      <c r="GL117" s="2561"/>
      <c r="GM117" s="2561"/>
      <c r="GN117" s="2561"/>
      <c r="GO117" s="2561"/>
      <c r="GP117" s="2561"/>
      <c r="GQ117" s="2561"/>
      <c r="GR117" s="2561"/>
      <c r="GS117" s="2561"/>
      <c r="GT117" s="2561"/>
      <c r="GU117" s="2561"/>
      <c r="GV117" s="2561"/>
      <c r="GW117" s="2561"/>
      <c r="GX117" s="2561"/>
      <c r="GY117" s="2561"/>
      <c r="GZ117" s="2561"/>
      <c r="HA117" s="2561"/>
      <c r="HB117" s="2561"/>
      <c r="HC117" s="2561"/>
      <c r="HD117" s="2561"/>
      <c r="HE117" s="2561"/>
      <c r="HF117" s="2561"/>
      <c r="HG117" s="2561"/>
      <c r="HH117" s="2561">
        <v>2110</v>
      </c>
      <c r="HI117" s="2561"/>
      <c r="HJ117" s="2561">
        <v>-4695</v>
      </c>
      <c r="HK117" s="2561">
        <v>-2278</v>
      </c>
      <c r="HL117" s="2561">
        <v>-2278</v>
      </c>
      <c r="HM117" s="2561">
        <v>-2278</v>
      </c>
      <c r="HN117" s="2561"/>
      <c r="HO117" s="2561"/>
      <c r="HP117" s="2561"/>
      <c r="HQ117" s="2561"/>
      <c r="HR117" s="2561"/>
      <c r="HS117" s="2561"/>
      <c r="HT117" s="2561"/>
      <c r="HU117" s="2561"/>
      <c r="HV117" s="2561"/>
      <c r="HW117" s="2561"/>
      <c r="HX117" s="2561"/>
      <c r="HY117" s="2561"/>
      <c r="HZ117" s="2561"/>
      <c r="IA117" s="2561"/>
      <c r="IB117" s="2561"/>
      <c r="IC117" s="2561"/>
      <c r="ID117" s="2561"/>
      <c r="IE117" s="2561"/>
      <c r="IF117" s="2561"/>
      <c r="IG117" s="2561"/>
      <c r="IH117" s="2561"/>
      <c r="II117" s="2561"/>
      <c r="IJ117" s="2561"/>
      <c r="IK117" s="2561"/>
      <c r="IL117" s="2561"/>
      <c r="IM117" s="2561"/>
      <c r="IN117" s="2561"/>
      <c r="IO117" s="2561"/>
      <c r="IP117" s="2561"/>
      <c r="IQ117" s="2561"/>
      <c r="IR117" s="2561"/>
      <c r="IS117" s="2561"/>
      <c r="IT117" s="2561"/>
      <c r="IU117" s="2561"/>
      <c r="IV117" s="2561"/>
      <c r="IW117" s="2561"/>
      <c r="IX117" s="2561"/>
      <c r="IY117" s="2561"/>
      <c r="IZ117" s="2561"/>
      <c r="JA117" s="2561"/>
      <c r="JB117" s="2561"/>
      <c r="JC117" s="2561"/>
      <c r="JD117" s="2561"/>
      <c r="JE117" s="2561">
        <f>JE113</f>
        <v>822</v>
      </c>
      <c r="JF117" s="2561"/>
      <c r="JG117" s="2561"/>
      <c r="JH117" s="2561"/>
      <c r="JI117" s="2561"/>
      <c r="JJ117" s="2561"/>
      <c r="JK117" s="2561"/>
      <c r="JL117" s="2561"/>
      <c r="JM117" s="2561"/>
      <c r="JN117" s="2561"/>
      <c r="JO117" s="2561"/>
      <c r="JP117" s="2561"/>
      <c r="JQ117" s="2561"/>
      <c r="JR117" s="351"/>
    </row>
    <row r="118" spans="1:278" x14ac:dyDescent="0.25">
      <c r="A118" s="1367">
        <v>118</v>
      </c>
      <c r="B118" s="1411" t="str">
        <f t="shared" si="15"/>
        <v/>
      </c>
      <c r="C118" s="1435" t="s">
        <v>4019</v>
      </c>
      <c r="D118" s="1361" t="s">
        <v>3869</v>
      </c>
      <c r="E118" s="1641"/>
      <c r="F118" s="1641"/>
      <c r="G118" s="1641"/>
      <c r="H118" s="1641"/>
      <c r="I118" s="1641"/>
      <c r="J118" s="1641"/>
      <c r="K118" s="1641"/>
      <c r="L118" s="1641"/>
      <c r="M118" s="1641"/>
      <c r="N118" s="1641"/>
      <c r="O118" s="1641"/>
      <c r="P118" s="1641"/>
      <c r="Q118" s="1641"/>
      <c r="R118" s="1641"/>
      <c r="S118" s="1641"/>
      <c r="T118" s="1641"/>
      <c r="U118" s="1641"/>
      <c r="V118" s="1641"/>
      <c r="W118" s="1641"/>
      <c r="X118" s="1641"/>
      <c r="Y118" s="1641"/>
      <c r="Z118" s="1641"/>
      <c r="AA118" s="1641"/>
      <c r="AB118" s="1641"/>
      <c r="AC118" s="1641"/>
      <c r="AD118" s="1641"/>
      <c r="AE118" s="1641"/>
      <c r="AF118" s="1641"/>
      <c r="AG118" s="1641"/>
      <c r="AH118" s="1641"/>
      <c r="AI118" s="1641"/>
      <c r="AJ118" s="1641"/>
      <c r="AK118" s="1641"/>
      <c r="AL118" s="1641"/>
      <c r="AM118" s="1641"/>
      <c r="AN118" s="1641"/>
      <c r="AO118" s="1641"/>
      <c r="AP118" s="1641"/>
      <c r="AQ118" s="1641"/>
      <c r="AR118" s="1641"/>
      <c r="AS118" s="1641"/>
      <c r="AT118" s="1641"/>
      <c r="AU118" s="1641"/>
      <c r="AV118" s="1641"/>
      <c r="AW118" s="1641"/>
      <c r="AX118" s="1641"/>
      <c r="AY118" s="1641"/>
      <c r="AZ118" s="1641"/>
      <c r="BA118" s="1641"/>
      <c r="BB118" s="1641"/>
      <c r="BC118" s="1641"/>
      <c r="BD118" s="1641">
        <v>48</v>
      </c>
      <c r="BE118" s="1641"/>
      <c r="BF118" s="1641"/>
      <c r="BG118" s="1641"/>
      <c r="BH118" s="1641"/>
      <c r="BI118" s="1641"/>
      <c r="BJ118" s="1641"/>
      <c r="BK118" s="1641"/>
      <c r="BL118" s="1641"/>
      <c r="BM118" s="1641"/>
      <c r="BN118" s="1641"/>
      <c r="BO118" s="1641"/>
      <c r="BP118" s="1641"/>
      <c r="BQ118" s="1641"/>
      <c r="BR118" s="1641"/>
      <c r="BS118" s="1641"/>
      <c r="BT118" s="1641"/>
      <c r="BU118" s="1641"/>
      <c r="BV118" s="1641"/>
      <c r="BW118" s="1641"/>
      <c r="BX118" s="1641"/>
      <c r="BY118" s="1641"/>
      <c r="BZ118" s="1641"/>
      <c r="CA118" s="1641"/>
      <c r="CB118" s="1641"/>
      <c r="CC118" s="1641"/>
      <c r="CD118" s="1641"/>
      <c r="CE118" s="1641"/>
      <c r="CF118" s="1641"/>
      <c r="CG118" s="1641"/>
      <c r="CH118" s="1641"/>
      <c r="CI118" s="1641"/>
      <c r="CJ118" s="1636">
        <v>49246</v>
      </c>
      <c r="CK118" s="1641"/>
      <c r="CL118" s="1641"/>
      <c r="CM118" s="1641"/>
      <c r="CN118" s="1641"/>
      <c r="CO118" s="1641"/>
      <c r="CP118" s="1641"/>
      <c r="CQ118" s="1641"/>
      <c r="CR118" s="1641"/>
      <c r="CS118" s="1641"/>
      <c r="CT118" s="1641"/>
      <c r="CU118" s="1641"/>
      <c r="CV118" s="1641"/>
      <c r="CW118" s="1641"/>
      <c r="CX118" s="1641"/>
      <c r="CY118" s="1641"/>
      <c r="CZ118" s="1641"/>
      <c r="DA118" s="1641"/>
      <c r="DB118" s="1641"/>
      <c r="DC118" s="1641"/>
      <c r="DD118" s="1641"/>
      <c r="DE118" s="1641"/>
      <c r="DF118" s="1641"/>
      <c r="DG118" s="1641"/>
      <c r="DH118" s="1641"/>
      <c r="DI118" s="1641"/>
      <c r="DJ118" s="1641"/>
      <c r="DK118" s="1641"/>
      <c r="DL118" s="1641"/>
      <c r="DM118" s="1641"/>
      <c r="DN118" s="1641"/>
      <c r="DO118" s="1641"/>
      <c r="DP118" s="1641"/>
      <c r="DQ118" s="1641"/>
      <c r="DR118" s="1641"/>
      <c r="DS118" s="1641"/>
      <c r="DT118" s="1641"/>
      <c r="DU118" s="1641"/>
      <c r="DV118" s="1641"/>
      <c r="DW118" s="1641"/>
      <c r="DX118" s="1641"/>
      <c r="DY118" s="1641"/>
      <c r="DZ118" s="1641"/>
      <c r="EA118" s="1641"/>
      <c r="EB118" s="1641"/>
      <c r="EC118" s="1641"/>
      <c r="ED118" s="1641"/>
      <c r="EE118" s="1641"/>
      <c r="EF118" s="1641"/>
      <c r="EG118" s="1641"/>
      <c r="EH118" s="1641"/>
      <c r="EI118" s="1641"/>
      <c r="EJ118" s="1641"/>
      <c r="EK118" s="1641"/>
      <c r="EL118" s="1641"/>
      <c r="EM118" s="1641"/>
      <c r="EN118" s="1641"/>
      <c r="EO118" s="1641"/>
      <c r="EP118" s="1641"/>
      <c r="EQ118" s="1641"/>
      <c r="ER118" s="1641"/>
      <c r="ES118" s="1641"/>
      <c r="ET118" s="1641"/>
      <c r="EU118" s="1641"/>
      <c r="EV118" s="1641"/>
      <c r="EW118" s="1641"/>
      <c r="EX118" s="1641"/>
      <c r="EY118" s="1641"/>
      <c r="EZ118" s="1641">
        <v>615.82000000000005</v>
      </c>
      <c r="FA118" s="1641"/>
      <c r="FB118" s="1641"/>
      <c r="FC118" s="1641"/>
      <c r="FD118" s="1641"/>
      <c r="FE118" s="1641"/>
      <c r="FF118" s="1641"/>
      <c r="FG118" s="1641"/>
      <c r="FH118" s="1641"/>
      <c r="FI118" s="1641"/>
      <c r="FJ118" s="1641"/>
      <c r="FK118" s="1641"/>
      <c r="FL118" s="1641"/>
      <c r="FM118" s="1641"/>
      <c r="FN118" s="1641"/>
      <c r="FO118" s="1641"/>
      <c r="FP118" s="1641"/>
      <c r="FQ118" s="1641"/>
      <c r="FR118" s="1641"/>
      <c r="FS118" s="1641"/>
      <c r="FT118" s="1641"/>
      <c r="FU118" s="1641"/>
      <c r="FV118" s="1641"/>
      <c r="FW118" s="1641"/>
      <c r="FX118" s="1641"/>
      <c r="FY118" s="1641"/>
      <c r="FZ118" s="1641"/>
      <c r="GA118" s="1641"/>
      <c r="GB118" s="1641"/>
      <c r="GC118" s="1641"/>
      <c r="GD118" s="1641"/>
      <c r="GE118" s="1641"/>
      <c r="GF118" s="1641"/>
      <c r="GG118" s="1641"/>
      <c r="GH118" s="1641"/>
      <c r="GI118" s="1641"/>
      <c r="GJ118" s="1641"/>
      <c r="GK118" s="1641"/>
      <c r="GL118" s="1641"/>
      <c r="GM118" s="1641"/>
      <c r="GN118" s="1641"/>
      <c r="GO118" s="1641"/>
      <c r="GP118" s="1641"/>
      <c r="GQ118" s="1641"/>
      <c r="GR118" s="1641"/>
      <c r="GS118" s="1641"/>
      <c r="GT118" s="1641"/>
      <c r="GU118" s="1641"/>
      <c r="GV118" s="1641"/>
      <c r="GW118" s="1641"/>
      <c r="GX118" s="1641"/>
      <c r="GY118" s="1641"/>
      <c r="GZ118" s="1641"/>
      <c r="HA118" s="1641"/>
      <c r="HB118" s="1641"/>
      <c r="HC118" s="1641"/>
      <c r="HD118" s="1641"/>
      <c r="HE118" s="1641"/>
      <c r="HF118" s="1641"/>
      <c r="HG118" s="1641"/>
      <c r="HH118" s="1641">
        <v>686</v>
      </c>
      <c r="HI118" s="1641"/>
      <c r="HJ118" s="1641"/>
      <c r="HK118" s="1641"/>
      <c r="HL118" s="1641"/>
      <c r="HM118" s="1641"/>
      <c r="HN118" s="1641"/>
      <c r="HO118" s="1641"/>
      <c r="HP118" s="1641"/>
      <c r="HQ118" s="1641"/>
      <c r="HR118" s="1641"/>
      <c r="HS118" s="1641"/>
      <c r="HT118" s="1641"/>
      <c r="HU118" s="1641"/>
      <c r="HV118" s="1641"/>
      <c r="HW118" s="1641"/>
      <c r="HX118" s="1641"/>
      <c r="HY118" s="1641"/>
      <c r="HZ118" s="1641"/>
      <c r="IA118" s="1641"/>
      <c r="IB118" s="1641"/>
      <c r="IC118" s="1641"/>
      <c r="ID118" s="1641"/>
      <c r="IE118" s="1641"/>
      <c r="IF118" s="1641"/>
      <c r="IG118" s="1641"/>
      <c r="IH118" s="1641"/>
      <c r="II118" s="1641"/>
      <c r="IJ118" s="1641"/>
      <c r="IK118" s="1641"/>
      <c r="IL118" s="1641"/>
      <c r="IM118" s="1641"/>
      <c r="IN118" s="1641"/>
      <c r="IO118" s="1641"/>
      <c r="IP118" s="1641"/>
      <c r="IQ118" s="1641"/>
      <c r="IR118" s="1641"/>
      <c r="IS118" s="1641"/>
      <c r="IT118" s="1641"/>
      <c r="IU118" s="1641"/>
      <c r="IV118" s="1641"/>
      <c r="IW118" s="1641"/>
      <c r="IX118" s="1641"/>
      <c r="IY118" s="1641"/>
      <c r="IZ118" s="1641"/>
      <c r="JA118" s="1641"/>
      <c r="JB118" s="1641"/>
      <c r="JC118" s="1641"/>
      <c r="JD118" s="1641"/>
      <c r="JE118" s="1641"/>
      <c r="JF118" s="1641"/>
      <c r="JG118" s="1641"/>
      <c r="JH118" s="1641"/>
      <c r="JI118" s="1641"/>
      <c r="JJ118" s="1641"/>
      <c r="JK118" s="1641"/>
      <c r="JL118" s="1641"/>
      <c r="JM118" s="1641"/>
      <c r="JN118" s="1641"/>
      <c r="JO118" s="1641"/>
      <c r="JP118" s="1641"/>
      <c r="JQ118" s="1641"/>
      <c r="JR118" s="351"/>
    </row>
    <row r="119" spans="1:278" x14ac:dyDescent="0.25">
      <c r="A119" s="1367">
        <v>119</v>
      </c>
      <c r="B119" s="1411" t="str">
        <f t="shared" si="15"/>
        <v/>
      </c>
      <c r="C119" s="1435" t="s">
        <v>4020</v>
      </c>
      <c r="D119" s="1361" t="s">
        <v>3871</v>
      </c>
      <c r="E119" s="1641"/>
      <c r="F119" s="1641"/>
      <c r="G119" s="1641"/>
      <c r="H119" s="1641"/>
      <c r="I119" s="1641"/>
      <c r="J119" s="1641"/>
      <c r="K119" s="1641"/>
      <c r="L119" s="1641"/>
      <c r="M119" s="1641"/>
      <c r="N119" s="1641"/>
      <c r="O119" s="1641"/>
      <c r="P119" s="1641"/>
      <c r="Q119" s="1641"/>
      <c r="R119" s="1641"/>
      <c r="S119" s="1641"/>
      <c r="T119" s="1641"/>
      <c r="U119" s="1641"/>
      <c r="V119" s="1641"/>
      <c r="W119" s="1641"/>
      <c r="X119" s="1641"/>
      <c r="Y119" s="1641"/>
      <c r="Z119" s="1641"/>
      <c r="AA119" s="1641"/>
      <c r="AB119" s="1641"/>
      <c r="AC119" s="1641"/>
      <c r="AD119" s="1641"/>
      <c r="AE119" s="1641"/>
      <c r="AF119" s="1641"/>
      <c r="AG119" s="1641"/>
      <c r="AH119" s="1641"/>
      <c r="AI119" s="1641"/>
      <c r="AJ119" s="1641"/>
      <c r="AK119" s="1641"/>
      <c r="AL119" s="1641"/>
      <c r="AM119" s="1641"/>
      <c r="AN119" s="1641"/>
      <c r="AO119" s="1641"/>
      <c r="AP119" s="1641"/>
      <c r="AQ119" s="1641"/>
      <c r="AR119" s="1641"/>
      <c r="AS119" s="1641"/>
      <c r="AT119" s="1641"/>
      <c r="AU119" s="1641"/>
      <c r="AV119" s="1641"/>
      <c r="AW119" s="1641"/>
      <c r="AX119" s="1641"/>
      <c r="AY119" s="1641"/>
      <c r="AZ119" s="1641"/>
      <c r="BA119" s="1641"/>
      <c r="BB119" s="1641"/>
      <c r="BC119" s="1641"/>
      <c r="BD119" s="1641"/>
      <c r="BE119" s="1641"/>
      <c r="BF119" s="1641"/>
      <c r="BG119" s="1641"/>
      <c r="BH119" s="1641"/>
      <c r="BI119" s="1641"/>
      <c r="BJ119" s="1641"/>
      <c r="BK119" s="1641"/>
      <c r="BL119" s="1641"/>
      <c r="BM119" s="1641"/>
      <c r="BN119" s="1641"/>
      <c r="BO119" s="1641"/>
      <c r="BP119" s="1641"/>
      <c r="BQ119" s="1641"/>
      <c r="BR119" s="1641"/>
      <c r="BS119" s="1641"/>
      <c r="BT119" s="1641"/>
      <c r="BU119" s="1641"/>
      <c r="BV119" s="1641"/>
      <c r="BW119" s="1641"/>
      <c r="BX119" s="1641"/>
      <c r="BY119" s="1641"/>
      <c r="BZ119" s="1641"/>
      <c r="CA119" s="1641"/>
      <c r="CB119" s="1641"/>
      <c r="CC119" s="1641"/>
      <c r="CD119" s="1641"/>
      <c r="CE119" s="1641"/>
      <c r="CF119" s="1641"/>
      <c r="CG119" s="1641"/>
      <c r="CH119" s="1641"/>
      <c r="CI119" s="1641"/>
      <c r="CJ119" s="1641"/>
      <c r="CK119" s="1641"/>
      <c r="CL119" s="1641"/>
      <c r="CM119" s="1641"/>
      <c r="CN119" s="1641"/>
      <c r="CO119" s="1641"/>
      <c r="CP119" s="1641"/>
      <c r="CQ119" s="1641"/>
      <c r="CR119" s="1641"/>
      <c r="CS119" s="1641"/>
      <c r="CT119" s="1641"/>
      <c r="CU119" s="1641"/>
      <c r="CV119" s="1641"/>
      <c r="CW119" s="1641"/>
      <c r="CX119" s="1641"/>
      <c r="CY119" s="1641"/>
      <c r="CZ119" s="1641"/>
      <c r="DA119" s="1641"/>
      <c r="DB119" s="1641"/>
      <c r="DC119" s="1641"/>
      <c r="DD119" s="1641"/>
      <c r="DE119" s="1641"/>
      <c r="DF119" s="1641"/>
      <c r="DG119" s="1641"/>
      <c r="DH119" s="1641"/>
      <c r="DI119" s="1641"/>
      <c r="DJ119" s="1641"/>
      <c r="DK119" s="1641"/>
      <c r="DL119" s="1641"/>
      <c r="DM119" s="1641"/>
      <c r="DN119" s="1641"/>
      <c r="DO119" s="1641"/>
      <c r="DP119" s="1641"/>
      <c r="DQ119" s="1641"/>
      <c r="DR119" s="1641"/>
      <c r="DS119" s="1641"/>
      <c r="DT119" s="1641"/>
      <c r="DU119" s="1641"/>
      <c r="DV119" s="1641"/>
      <c r="DW119" s="1641"/>
      <c r="DX119" s="1641"/>
      <c r="DY119" s="1641"/>
      <c r="DZ119" s="1641"/>
      <c r="EA119" s="1641"/>
      <c r="EB119" s="1641"/>
      <c r="EC119" s="1641"/>
      <c r="ED119" s="1641"/>
      <c r="EE119" s="1641"/>
      <c r="EF119" s="1641"/>
      <c r="EG119" s="1641"/>
      <c r="EH119" s="1641"/>
      <c r="EI119" s="1641"/>
      <c r="EJ119" s="1641"/>
      <c r="EK119" s="1641"/>
      <c r="EL119" s="1641"/>
      <c r="EM119" s="1641"/>
      <c r="EN119" s="1641"/>
      <c r="EO119" s="1641"/>
      <c r="EP119" s="1641"/>
      <c r="EQ119" s="1641"/>
      <c r="ER119" s="1641"/>
      <c r="ES119" s="1641"/>
      <c r="ET119" s="1641"/>
      <c r="EU119" s="1641"/>
      <c r="EV119" s="1641"/>
      <c r="EW119" s="1641"/>
      <c r="EX119" s="1641"/>
      <c r="EY119" s="1641"/>
      <c r="EZ119" s="1641"/>
      <c r="FA119" s="1641"/>
      <c r="FB119" s="1641"/>
      <c r="FC119" s="1641"/>
      <c r="FD119" s="1641"/>
      <c r="FE119" s="1641"/>
      <c r="FF119" s="1641"/>
      <c r="FG119" s="1641"/>
      <c r="FH119" s="1641"/>
      <c r="FI119" s="1641"/>
      <c r="FJ119" s="1641"/>
      <c r="FK119" s="1641"/>
      <c r="FL119" s="1641"/>
      <c r="FM119" s="1641"/>
      <c r="FN119" s="1641"/>
      <c r="FO119" s="1641"/>
      <c r="FP119" s="1641"/>
      <c r="FQ119" s="1641"/>
      <c r="FR119" s="1641"/>
      <c r="FS119" s="1641"/>
      <c r="FT119" s="1641"/>
      <c r="FU119" s="1641"/>
      <c r="FV119" s="1641"/>
      <c r="FW119" s="1641"/>
      <c r="FX119" s="1641"/>
      <c r="FY119" s="1641"/>
      <c r="FZ119" s="1641"/>
      <c r="GA119" s="1641"/>
      <c r="GB119" s="1641"/>
      <c r="GC119" s="1641"/>
      <c r="GD119" s="1641"/>
      <c r="GE119" s="1641"/>
      <c r="GF119" s="1641"/>
      <c r="GG119" s="1641"/>
      <c r="GH119" s="1641"/>
      <c r="GI119" s="1641"/>
      <c r="GJ119" s="1641"/>
      <c r="GK119" s="1641"/>
      <c r="GL119" s="1641"/>
      <c r="GM119" s="1641"/>
      <c r="GN119" s="1641"/>
      <c r="GO119" s="1641"/>
      <c r="GP119" s="1641"/>
      <c r="GQ119" s="1641"/>
      <c r="GR119" s="1641"/>
      <c r="GS119" s="1641"/>
      <c r="GT119" s="1641"/>
      <c r="GU119" s="1641"/>
      <c r="GV119" s="1641"/>
      <c r="GW119" s="1641"/>
      <c r="GX119" s="1641"/>
      <c r="GY119" s="1641"/>
      <c r="GZ119" s="1641"/>
      <c r="HA119" s="1641"/>
      <c r="HB119" s="1641"/>
      <c r="HC119" s="1641"/>
      <c r="HD119" s="1641"/>
      <c r="HE119" s="1641"/>
      <c r="HF119" s="1641"/>
      <c r="HG119" s="1641"/>
      <c r="HH119" s="1641"/>
      <c r="HI119" s="1641"/>
      <c r="HJ119" s="1641"/>
      <c r="HK119" s="1641"/>
      <c r="HL119" s="1641"/>
      <c r="HM119" s="1641"/>
      <c r="HN119" s="1641"/>
      <c r="HO119" s="1641"/>
      <c r="HP119" s="1641"/>
      <c r="HQ119" s="1641"/>
      <c r="HR119" s="1641"/>
      <c r="HS119" s="1641"/>
      <c r="HT119" s="1641"/>
      <c r="HU119" s="1641"/>
      <c r="HV119" s="1641"/>
      <c r="HW119" s="1641"/>
      <c r="HX119" s="1641"/>
      <c r="HY119" s="1641"/>
      <c r="HZ119" s="1641"/>
      <c r="IA119" s="1641"/>
      <c r="IB119" s="1641"/>
      <c r="IC119" s="1641"/>
      <c r="ID119" s="1641"/>
      <c r="IE119" s="1641"/>
      <c r="IF119" s="1641"/>
      <c r="IG119" s="1641"/>
      <c r="IH119" s="1641"/>
      <c r="II119" s="1641"/>
      <c r="IJ119" s="1641"/>
      <c r="IK119" s="1641"/>
      <c r="IL119" s="1641"/>
      <c r="IM119" s="1641"/>
      <c r="IN119" s="1641"/>
      <c r="IO119" s="1641"/>
      <c r="IP119" s="1641"/>
      <c r="IQ119" s="1641"/>
      <c r="IR119" s="1641"/>
      <c r="IS119" s="1641"/>
      <c r="IT119" s="1641"/>
      <c r="IU119" s="1641"/>
      <c r="IV119" s="1641"/>
      <c r="IW119" s="1641"/>
      <c r="IX119" s="1641"/>
      <c r="IY119" s="1641"/>
      <c r="IZ119" s="1641"/>
      <c r="JA119" s="1641"/>
      <c r="JB119" s="1641"/>
      <c r="JC119" s="1641"/>
      <c r="JD119" s="1641"/>
      <c r="JE119" s="1641"/>
      <c r="JF119" s="1641"/>
      <c r="JG119" s="1641"/>
      <c r="JH119" s="1641"/>
      <c r="JI119" s="1641"/>
      <c r="JJ119" s="1641"/>
      <c r="JK119" s="1641"/>
      <c r="JL119" s="1641"/>
      <c r="JM119" s="1641"/>
      <c r="JN119" s="1641"/>
      <c r="JO119" s="1641"/>
      <c r="JP119" s="1641"/>
      <c r="JQ119" s="1641"/>
      <c r="JR119" s="351"/>
    </row>
    <row r="120" spans="1:278" x14ac:dyDescent="0.25">
      <c r="A120" s="1367">
        <v>120</v>
      </c>
      <c r="B120" s="1411" t="str">
        <f t="shared" si="15"/>
        <v/>
      </c>
      <c r="C120" s="1435" t="s">
        <v>4021</v>
      </c>
      <c r="D120" s="1361" t="s">
        <v>3873</v>
      </c>
      <c r="E120" s="1639"/>
      <c r="F120" s="1639"/>
      <c r="G120" s="1639"/>
      <c r="H120" s="1639"/>
      <c r="I120" s="1639"/>
      <c r="J120" s="1639"/>
      <c r="K120" s="1639"/>
      <c r="L120" s="1639"/>
      <c r="M120" s="1639"/>
      <c r="N120" s="1639"/>
      <c r="O120" s="1639"/>
      <c r="P120" s="1639"/>
      <c r="Q120" s="1639"/>
      <c r="R120" s="1639"/>
      <c r="S120" s="1639"/>
      <c r="T120" s="1639"/>
      <c r="U120" s="1639"/>
      <c r="V120" s="1639"/>
      <c r="W120" s="1639"/>
      <c r="X120" s="1639"/>
      <c r="Y120" s="1639"/>
      <c r="Z120" s="1639"/>
      <c r="AA120" s="1639"/>
      <c r="AB120" s="1639"/>
      <c r="AC120" s="1639"/>
      <c r="AD120" s="1639"/>
      <c r="AE120" s="1639"/>
      <c r="AF120" s="1639"/>
      <c r="AG120" s="1639"/>
      <c r="AH120" s="1639"/>
      <c r="AI120" s="1639"/>
      <c r="AJ120" s="1639"/>
      <c r="AK120" s="1639"/>
      <c r="AL120" s="1639"/>
      <c r="AM120" s="1639"/>
      <c r="AN120" s="1639"/>
      <c r="AO120" s="1639"/>
      <c r="AP120" s="1639"/>
      <c r="AQ120" s="1639"/>
      <c r="AR120" s="1639"/>
      <c r="AS120" s="1639"/>
      <c r="AT120" s="1639"/>
      <c r="AU120" s="1639"/>
      <c r="AV120" s="1639"/>
      <c r="AW120" s="1639"/>
      <c r="AX120" s="1639"/>
      <c r="AY120" s="1639"/>
      <c r="AZ120" s="1639"/>
      <c r="BA120" s="1639"/>
      <c r="BB120" s="1639"/>
      <c r="BC120" s="1639"/>
      <c r="BD120" s="1639"/>
      <c r="BE120" s="1639"/>
      <c r="BF120" s="1639"/>
      <c r="BG120" s="1639"/>
      <c r="BH120" s="1639"/>
      <c r="BI120" s="1639"/>
      <c r="BJ120" s="1639"/>
      <c r="BK120" s="1639"/>
      <c r="BL120" s="1639"/>
      <c r="BM120" s="1639"/>
      <c r="BN120" s="1639"/>
      <c r="BO120" s="1639"/>
      <c r="BP120" s="1639"/>
      <c r="BQ120" s="1639"/>
      <c r="BR120" s="1639"/>
      <c r="BS120" s="1639"/>
      <c r="BT120" s="1639"/>
      <c r="BU120" s="1639"/>
      <c r="BV120" s="1639"/>
      <c r="BW120" s="1639"/>
      <c r="BX120" s="1639"/>
      <c r="BY120" s="1639"/>
      <c r="BZ120" s="1639"/>
      <c r="CA120" s="1639"/>
      <c r="CB120" s="1638" t="s">
        <v>1707</v>
      </c>
      <c r="CC120" s="1639"/>
      <c r="CD120" s="1639"/>
      <c r="CE120" s="1639"/>
      <c r="CF120" s="1639"/>
      <c r="CG120" s="1639"/>
      <c r="CH120" s="1639"/>
      <c r="CI120" s="1639"/>
      <c r="CJ120" s="1638" t="s">
        <v>1707</v>
      </c>
      <c r="CK120" s="1639"/>
      <c r="CL120" s="1639"/>
      <c r="CM120" s="1639"/>
      <c r="CN120" s="1639"/>
      <c r="CO120" s="1639"/>
      <c r="CP120" s="1639"/>
      <c r="CQ120" s="1639"/>
      <c r="CR120" s="1639"/>
      <c r="CS120" s="1639"/>
      <c r="CT120" s="1639"/>
      <c r="CU120" s="1639"/>
      <c r="CV120" s="1639"/>
      <c r="CW120" s="1639"/>
      <c r="CX120" s="1639"/>
      <c r="CY120" s="1639"/>
      <c r="CZ120" s="1639"/>
      <c r="DA120" s="1639"/>
      <c r="DB120" s="1639"/>
      <c r="DC120" s="1639"/>
      <c r="DD120" s="1639"/>
      <c r="DE120" s="1639"/>
      <c r="DF120" s="1639"/>
      <c r="DG120" s="1639"/>
      <c r="DH120" s="1639"/>
      <c r="DI120" s="1639"/>
      <c r="DJ120" s="1639"/>
      <c r="DK120" s="1639"/>
      <c r="DL120" s="1639"/>
      <c r="DM120" s="1639"/>
      <c r="DN120" s="1639"/>
      <c r="DO120" s="1639"/>
      <c r="DP120" s="1639"/>
      <c r="DQ120" s="1639"/>
      <c r="DR120" s="1639"/>
      <c r="DS120" s="1639"/>
      <c r="DT120" s="1639"/>
      <c r="DU120" s="1639"/>
      <c r="DV120" s="1639"/>
      <c r="DW120" s="1639"/>
      <c r="DX120" s="1639"/>
      <c r="DY120" s="1639"/>
      <c r="DZ120" s="1639"/>
      <c r="EA120" s="1639"/>
      <c r="EB120" s="1639"/>
      <c r="EC120" s="1639"/>
      <c r="ED120" s="1639"/>
      <c r="EE120" s="1639"/>
      <c r="EF120" s="1639"/>
      <c r="EG120" s="1639"/>
      <c r="EH120" s="1639"/>
      <c r="EI120" s="1639"/>
      <c r="EJ120" s="1639"/>
      <c r="EK120" s="1639"/>
      <c r="EL120" s="1639"/>
      <c r="EM120" s="1639"/>
      <c r="EN120" s="1639"/>
      <c r="EO120" s="1639"/>
      <c r="EP120" s="1639"/>
      <c r="EQ120" s="1639"/>
      <c r="ER120" s="1639"/>
      <c r="ES120" s="1639"/>
      <c r="ET120" s="1639"/>
      <c r="EU120" s="1639"/>
      <c r="EV120" s="1639"/>
      <c r="EW120" s="1639"/>
      <c r="EX120" s="1639"/>
      <c r="EY120" s="1639"/>
      <c r="EZ120" s="1639" t="s">
        <v>1707</v>
      </c>
      <c r="FA120" s="1639"/>
      <c r="FB120" s="1639"/>
      <c r="FC120" s="1639"/>
      <c r="FD120" s="1639"/>
      <c r="FE120" s="1639"/>
      <c r="FF120" s="1639"/>
      <c r="FG120" s="1639"/>
      <c r="FH120" s="1639"/>
      <c r="FI120" s="1639"/>
      <c r="FJ120" s="1639"/>
      <c r="FK120" s="1639"/>
      <c r="FL120" s="1639"/>
      <c r="FM120" s="1639"/>
      <c r="FN120" s="1639"/>
      <c r="FO120" s="1639"/>
      <c r="FP120" s="1639"/>
      <c r="FQ120" s="1639"/>
      <c r="FR120" s="1639"/>
      <c r="FS120" s="1639"/>
      <c r="FT120" s="1639"/>
      <c r="FU120" s="1639"/>
      <c r="FV120" s="1639"/>
      <c r="FW120" s="1639"/>
      <c r="FX120" s="1639"/>
      <c r="FY120" s="1639"/>
      <c r="FZ120" s="1639"/>
      <c r="GA120" s="1639"/>
      <c r="GB120" s="1639"/>
      <c r="GC120" s="1639"/>
      <c r="GD120" s="1639"/>
      <c r="GE120" s="1639"/>
      <c r="GF120" s="1639"/>
      <c r="GG120" s="1639"/>
      <c r="GH120" s="1639"/>
      <c r="GI120" s="1639"/>
      <c r="GJ120" s="1639"/>
      <c r="GK120" s="1639"/>
      <c r="GL120" s="1639"/>
      <c r="GM120" s="1639"/>
      <c r="GN120" s="1639"/>
      <c r="GO120" s="1639"/>
      <c r="GP120" s="1639"/>
      <c r="GQ120" s="1639"/>
      <c r="GR120" s="1639"/>
      <c r="GS120" s="1639"/>
      <c r="GT120" s="1639"/>
      <c r="GU120" s="1639"/>
      <c r="GV120" s="1639"/>
      <c r="GW120" s="1639"/>
      <c r="GX120" s="1639"/>
      <c r="GY120" s="1639"/>
      <c r="GZ120" s="1639"/>
      <c r="HA120" s="1639"/>
      <c r="HB120" s="1639"/>
      <c r="HC120" s="1639"/>
      <c r="HD120" s="1639"/>
      <c r="HE120" s="1639"/>
      <c r="HF120" s="1639"/>
      <c r="HG120" s="1639"/>
      <c r="HH120" s="1639" t="s">
        <v>1707</v>
      </c>
      <c r="HI120" s="1639"/>
      <c r="HJ120" s="1639"/>
      <c r="HK120" s="1639"/>
      <c r="HL120" s="1639"/>
      <c r="HM120" s="1639"/>
      <c r="HN120" s="1639"/>
      <c r="HO120" s="1639"/>
      <c r="HP120" s="1639"/>
      <c r="HQ120" s="1639"/>
      <c r="HR120" s="1639"/>
      <c r="HS120" s="1639"/>
      <c r="HT120" s="1639"/>
      <c r="HU120" s="1639"/>
      <c r="HV120" s="1639"/>
      <c r="HW120" s="1639"/>
      <c r="HX120" s="1639"/>
      <c r="HY120" s="1639"/>
      <c r="HZ120" s="1639"/>
      <c r="IA120" s="1639"/>
      <c r="IB120" s="1639"/>
      <c r="IC120" s="1639"/>
      <c r="ID120" s="1639"/>
      <c r="IE120" s="1639"/>
      <c r="IF120" s="1639"/>
      <c r="IG120" s="1639"/>
      <c r="IH120" s="1639"/>
      <c r="II120" s="1639"/>
      <c r="IJ120" s="1639"/>
      <c r="IK120" s="1639"/>
      <c r="IL120" s="1639"/>
      <c r="IM120" s="1639"/>
      <c r="IN120" s="1639"/>
      <c r="IO120" s="1639"/>
      <c r="IP120" s="1639"/>
      <c r="IQ120" s="1639"/>
      <c r="IR120" s="1639"/>
      <c r="IS120" s="1639"/>
      <c r="IT120" s="1639"/>
      <c r="IU120" s="1639"/>
      <c r="IV120" s="1639"/>
      <c r="IW120" s="1639"/>
      <c r="IX120" s="1639"/>
      <c r="IY120" s="1639"/>
      <c r="IZ120" s="1639"/>
      <c r="JA120" s="1639"/>
      <c r="JB120" s="1639"/>
      <c r="JC120" s="1639"/>
      <c r="JD120" s="1639"/>
      <c r="JE120" s="1639"/>
      <c r="JF120" s="1639"/>
      <c r="JG120" s="1639"/>
      <c r="JH120" s="1639"/>
      <c r="JI120" s="1639"/>
      <c r="JJ120" s="1639"/>
      <c r="JK120" s="1639"/>
      <c r="JL120" s="1639"/>
      <c r="JM120" s="1639"/>
      <c r="JN120" s="1639"/>
      <c r="JO120" s="1639"/>
      <c r="JP120" s="1639"/>
      <c r="JQ120" s="1639"/>
      <c r="JR120" s="351"/>
    </row>
    <row r="121" spans="1:278" x14ac:dyDescent="0.25">
      <c r="A121" s="1367">
        <v>121</v>
      </c>
      <c r="B121" s="1411" t="str">
        <f t="shared" si="15"/>
        <v/>
      </c>
      <c r="C121" s="1435" t="s">
        <v>4022</v>
      </c>
      <c r="D121" s="1361" t="s">
        <v>3875</v>
      </c>
      <c r="E121" s="1641"/>
      <c r="F121" s="1641"/>
      <c r="G121" s="1641"/>
      <c r="H121" s="1641"/>
      <c r="I121" s="1641"/>
      <c r="J121" s="1641"/>
      <c r="K121" s="1641"/>
      <c r="L121" s="1641"/>
      <c r="M121" s="1641"/>
      <c r="N121" s="1641"/>
      <c r="O121" s="1641"/>
      <c r="P121" s="1641"/>
      <c r="Q121" s="1641"/>
      <c r="R121" s="1641"/>
      <c r="S121" s="1641"/>
      <c r="T121" s="1641"/>
      <c r="U121" s="1641"/>
      <c r="V121" s="1641"/>
      <c r="W121" s="1641"/>
      <c r="X121" s="1641"/>
      <c r="Y121" s="1641"/>
      <c r="Z121" s="1641"/>
      <c r="AA121" s="1641"/>
      <c r="AB121" s="1641"/>
      <c r="AC121" s="1641"/>
      <c r="AD121" s="1641"/>
      <c r="AE121" s="1641"/>
      <c r="AF121" s="1641"/>
      <c r="AG121" s="1641"/>
      <c r="AH121" s="1641"/>
      <c r="AI121" s="1641"/>
      <c r="AJ121" s="1641"/>
      <c r="AK121" s="1641"/>
      <c r="AL121" s="1641"/>
      <c r="AM121" s="1641"/>
      <c r="AN121" s="1641"/>
      <c r="AO121" s="1641"/>
      <c r="AP121" s="1641"/>
      <c r="AQ121" s="1641"/>
      <c r="AR121" s="1641"/>
      <c r="AS121" s="1641"/>
      <c r="AT121" s="1641"/>
      <c r="AU121" s="1641"/>
      <c r="AV121" s="1641"/>
      <c r="AW121" s="1641"/>
      <c r="AX121" s="1641"/>
      <c r="AY121" s="1641"/>
      <c r="AZ121" s="1641"/>
      <c r="BA121" s="1641"/>
      <c r="BB121" s="1641"/>
      <c r="BC121" s="1641">
        <v>8822</v>
      </c>
      <c r="BD121" s="1641">
        <v>2946</v>
      </c>
      <c r="BE121" s="1641"/>
      <c r="BF121" s="1641"/>
      <c r="BG121" s="1641"/>
      <c r="BH121" s="1641"/>
      <c r="BI121" s="1641"/>
      <c r="BJ121" s="1641"/>
      <c r="BK121" s="1641"/>
      <c r="BL121" s="1641"/>
      <c r="BM121" s="1641"/>
      <c r="BN121" s="1641"/>
      <c r="BO121" s="1641"/>
      <c r="BP121" s="1641"/>
      <c r="BQ121" s="1641"/>
      <c r="BR121" s="1641"/>
      <c r="BS121" s="1641"/>
      <c r="BT121" s="1641"/>
      <c r="BU121" s="1641"/>
      <c r="BV121" s="1641"/>
      <c r="BW121" s="1641"/>
      <c r="BX121" s="1641"/>
      <c r="BY121" s="1641"/>
      <c r="BZ121" s="1641"/>
      <c r="CA121" s="1641"/>
      <c r="CB121" s="1636">
        <v>12475</v>
      </c>
      <c r="CC121" s="1641"/>
      <c r="CD121" s="1641"/>
      <c r="CE121" s="1641"/>
      <c r="CF121" s="1641"/>
      <c r="CG121" s="1641"/>
      <c r="CH121" s="1641"/>
      <c r="CI121" s="1641"/>
      <c r="CJ121" s="1636">
        <v>126634</v>
      </c>
      <c r="CK121" s="1641"/>
      <c r="CL121" s="1641"/>
      <c r="CM121" s="1641"/>
      <c r="CN121" s="1641"/>
      <c r="CO121" s="1641"/>
      <c r="CP121" s="1641"/>
      <c r="CQ121" s="1641"/>
      <c r="CR121" s="1641"/>
      <c r="CS121" s="1641"/>
      <c r="CT121" s="1641"/>
      <c r="CU121" s="1641"/>
      <c r="CV121" s="1641"/>
      <c r="CW121" s="1641"/>
      <c r="CX121" s="1641"/>
      <c r="CY121" s="1641"/>
      <c r="CZ121" s="1641"/>
      <c r="DA121" s="1641"/>
      <c r="DB121" s="1641"/>
      <c r="DC121" s="1641"/>
      <c r="DD121" s="1641"/>
      <c r="DE121" s="1641"/>
      <c r="DF121" s="1641"/>
      <c r="DG121" s="1641"/>
      <c r="DH121" s="1641"/>
      <c r="DI121" s="1641"/>
      <c r="DJ121" s="1641"/>
      <c r="DK121" s="1641"/>
      <c r="DL121" s="1641"/>
      <c r="DM121" s="1641"/>
      <c r="DN121" s="1641"/>
      <c r="DO121" s="1641"/>
      <c r="DP121" s="1641"/>
      <c r="DQ121" s="1641"/>
      <c r="DR121" s="1641"/>
      <c r="DS121" s="1641"/>
      <c r="DT121" s="1641"/>
      <c r="DU121" s="1641"/>
      <c r="DV121" s="1641"/>
      <c r="DW121" s="1641"/>
      <c r="DX121" s="1641"/>
      <c r="DY121" s="1641"/>
      <c r="DZ121" s="1641"/>
      <c r="EA121" s="1641"/>
      <c r="EB121" s="1641"/>
      <c r="EC121" s="1641"/>
      <c r="ED121" s="1641"/>
      <c r="EE121" s="1641"/>
      <c r="EF121" s="1641"/>
      <c r="EG121" s="1641"/>
      <c r="EH121" s="1641"/>
      <c r="EI121" s="1641"/>
      <c r="EJ121" s="1641"/>
      <c r="EK121" s="1641"/>
      <c r="EL121" s="1641"/>
      <c r="EM121" s="1641"/>
      <c r="EN121" s="1641"/>
      <c r="EO121" s="1641"/>
      <c r="EP121" s="1641"/>
      <c r="EQ121" s="1641"/>
      <c r="ER121" s="1641"/>
      <c r="ES121" s="1641"/>
      <c r="ET121" s="1641"/>
      <c r="EU121" s="1641"/>
      <c r="EV121" s="1641"/>
      <c r="EW121" s="1641"/>
      <c r="EX121" s="1641"/>
      <c r="EY121" s="1641"/>
      <c r="EZ121" s="1641"/>
      <c r="FA121" s="1641"/>
      <c r="FB121" s="1641"/>
      <c r="FC121" s="1641"/>
      <c r="FD121" s="1641"/>
      <c r="FE121" s="1641"/>
      <c r="FF121" s="1641"/>
      <c r="FG121" s="1641"/>
      <c r="FH121" s="1641"/>
      <c r="FI121" s="1641"/>
      <c r="FJ121" s="1641"/>
      <c r="FK121" s="1641"/>
      <c r="FL121" s="1641"/>
      <c r="FM121" s="1641"/>
      <c r="FN121" s="1641"/>
      <c r="FO121" s="1641"/>
      <c r="FP121" s="1641"/>
      <c r="FQ121" s="1641"/>
      <c r="FR121" s="1641"/>
      <c r="FS121" s="1641"/>
      <c r="FT121" s="1641"/>
      <c r="FU121" s="1641"/>
      <c r="FV121" s="1641"/>
      <c r="FW121" s="1641"/>
      <c r="FX121" s="1641"/>
      <c r="FY121" s="1641"/>
      <c r="FZ121" s="1641"/>
      <c r="GA121" s="1641"/>
      <c r="GB121" s="1641"/>
      <c r="GC121" s="1641"/>
      <c r="GD121" s="1641"/>
      <c r="GE121" s="1641"/>
      <c r="GF121" s="1641">
        <v>822</v>
      </c>
      <c r="GG121" s="1641"/>
      <c r="GH121" s="1641"/>
      <c r="GI121" s="1641"/>
      <c r="GJ121" s="1641"/>
      <c r="GK121" s="1641"/>
      <c r="GL121" s="1641"/>
      <c r="GM121" s="1641"/>
      <c r="GN121" s="1641"/>
      <c r="GO121" s="1641"/>
      <c r="GP121" s="1641"/>
      <c r="GQ121" s="1641"/>
      <c r="GR121" s="1641"/>
      <c r="GS121" s="1641"/>
      <c r="GT121" s="1641"/>
      <c r="GU121" s="1641"/>
      <c r="GV121" s="1641"/>
      <c r="GW121" s="1641"/>
      <c r="GX121" s="1641"/>
      <c r="GY121" s="1641"/>
      <c r="GZ121" s="1641"/>
      <c r="HA121" s="1641"/>
      <c r="HB121" s="1641"/>
      <c r="HC121" s="1641"/>
      <c r="HD121" s="1641"/>
      <c r="HE121" s="1641"/>
      <c r="HF121" s="1641"/>
      <c r="HG121" s="1641"/>
      <c r="HH121" s="1641">
        <f>IF(HH120="Y",HH117,MAX(0,HH117-HH118))</f>
        <v>2110</v>
      </c>
      <c r="HI121" s="1641"/>
      <c r="HJ121" s="1641">
        <f>IF(HJ120="Y",HJ117,MAX(0,HJ117-HJ118))</f>
        <v>0</v>
      </c>
      <c r="HK121" s="1641">
        <f>IF(HK120="Y",HK117,MAX(0,HK117-HK118))</f>
        <v>0</v>
      </c>
      <c r="HL121" s="1641">
        <f>IF(HL120="Y",HL117,MAX(0,HL117-HL118))</f>
        <v>0</v>
      </c>
      <c r="HM121" s="1641">
        <f>IF(HM120="Y",HM117,MAX(0,HM117-HM118))</f>
        <v>0</v>
      </c>
      <c r="HN121" s="1641"/>
      <c r="HO121" s="1641"/>
      <c r="HP121" s="1641"/>
      <c r="HQ121" s="1641"/>
      <c r="HR121" s="1641"/>
      <c r="HS121" s="1641"/>
      <c r="HT121" s="1641"/>
      <c r="HU121" s="1641"/>
      <c r="HV121" s="1641"/>
      <c r="HW121" s="1641"/>
      <c r="HX121" s="1641"/>
      <c r="HY121" s="1641"/>
      <c r="HZ121" s="1641"/>
      <c r="IA121" s="1641"/>
      <c r="IB121" s="1641"/>
      <c r="IC121" s="1641"/>
      <c r="ID121" s="1641"/>
      <c r="IE121" s="1641"/>
      <c r="IF121" s="1641"/>
      <c r="IG121" s="1641"/>
      <c r="IH121" s="1641"/>
      <c r="II121" s="1641"/>
      <c r="IJ121" s="1641"/>
      <c r="IK121" s="1641"/>
      <c r="IL121" s="1641"/>
      <c r="IM121" s="1641"/>
      <c r="IN121" s="1641"/>
      <c r="IO121" s="1641"/>
      <c r="IP121" s="1641"/>
      <c r="IQ121" s="1641"/>
      <c r="IR121" s="1641"/>
      <c r="IS121" s="1641"/>
      <c r="IT121" s="1641"/>
      <c r="IU121" s="1641"/>
      <c r="IV121" s="1641"/>
      <c r="IW121" s="1641"/>
      <c r="IX121" s="1641"/>
      <c r="IY121" s="1641"/>
      <c r="IZ121" s="1641"/>
      <c r="JA121" s="1641"/>
      <c r="JB121" s="1641"/>
      <c r="JC121" s="1641"/>
      <c r="JD121" s="1641"/>
      <c r="JE121" s="1641">
        <v>822</v>
      </c>
      <c r="JF121" s="1641"/>
      <c r="JG121" s="1641"/>
      <c r="JH121" s="1641"/>
      <c r="JI121" s="1641"/>
      <c r="JJ121" s="1641"/>
      <c r="JK121" s="1641"/>
      <c r="JL121" s="1641"/>
      <c r="JM121" s="1641"/>
      <c r="JN121" s="1641"/>
      <c r="JO121" s="1641"/>
      <c r="JP121" s="1641"/>
      <c r="JQ121" s="1641"/>
      <c r="JR121" s="351"/>
    </row>
    <row r="122" spans="1:278" x14ac:dyDescent="0.25">
      <c r="A122" s="1367">
        <v>122</v>
      </c>
      <c r="B122" s="1411" t="str">
        <f t="shared" si="15"/>
        <v/>
      </c>
      <c r="C122" s="1435" t="s">
        <v>4023</v>
      </c>
      <c r="D122" s="1361" t="s">
        <v>3887</v>
      </c>
      <c r="E122" s="1641"/>
      <c r="F122" s="1641"/>
      <c r="G122" s="1641"/>
      <c r="H122" s="1641"/>
      <c r="I122" s="1641"/>
      <c r="J122" s="1641"/>
      <c r="K122" s="1641"/>
      <c r="L122" s="1641"/>
      <c r="M122" s="1641"/>
      <c r="N122" s="1641"/>
      <c r="O122" s="1641"/>
      <c r="P122" s="1641"/>
      <c r="Q122" s="1641"/>
      <c r="R122" s="1641"/>
      <c r="S122" s="1641"/>
      <c r="T122" s="1641"/>
      <c r="U122" s="1641"/>
      <c r="V122" s="1641"/>
      <c r="W122" s="1641"/>
      <c r="X122" s="1641"/>
      <c r="Y122" s="1641"/>
      <c r="Z122" s="1641"/>
      <c r="AA122" s="1641"/>
      <c r="AB122" s="1641"/>
      <c r="AC122" s="1641"/>
      <c r="AD122" s="1641"/>
      <c r="AE122" s="1641"/>
      <c r="AF122" s="1641"/>
      <c r="AG122" s="1641"/>
      <c r="AH122" s="1641"/>
      <c r="AI122" s="1641"/>
      <c r="AJ122" s="1641"/>
      <c r="AK122" s="1641"/>
      <c r="AL122" s="1641"/>
      <c r="AM122" s="1641"/>
      <c r="AN122" s="1641"/>
      <c r="AO122" s="1641"/>
      <c r="AP122" s="1641"/>
      <c r="AQ122" s="1641"/>
      <c r="AR122" s="1641"/>
      <c r="AS122" s="1641"/>
      <c r="AT122" s="1641"/>
      <c r="AU122" s="1641"/>
      <c r="AV122" s="1641"/>
      <c r="AW122" s="1641"/>
      <c r="AX122" s="1641"/>
      <c r="AY122" s="1641"/>
      <c r="AZ122" s="1641"/>
      <c r="BA122" s="1641"/>
      <c r="BB122" s="1636">
        <v>9250</v>
      </c>
      <c r="BC122" s="1641">
        <v>8822</v>
      </c>
      <c r="BD122" s="1641">
        <v>2994</v>
      </c>
      <c r="BE122" s="1641"/>
      <c r="BF122" s="1641"/>
      <c r="BG122" s="1641"/>
      <c r="BH122" s="1641"/>
      <c r="BI122" s="1641"/>
      <c r="BJ122" s="1641"/>
      <c r="BK122" s="1641"/>
      <c r="BL122" s="1641"/>
      <c r="BM122" s="1641"/>
      <c r="BN122" s="1641"/>
      <c r="BO122" s="1641"/>
      <c r="BP122" s="1641"/>
      <c r="BQ122" s="1641"/>
      <c r="BR122" s="1641"/>
      <c r="BS122" s="1641"/>
      <c r="BT122" s="1641"/>
      <c r="BU122" s="1641"/>
      <c r="BV122" s="1641"/>
      <c r="BW122" s="1641"/>
      <c r="BX122" s="1641"/>
      <c r="BY122" s="1641"/>
      <c r="BZ122" s="1641"/>
      <c r="CA122" s="1641"/>
      <c r="CB122" s="1636">
        <v>12475</v>
      </c>
      <c r="CC122" s="1641"/>
      <c r="CD122" s="1641"/>
      <c r="CE122" s="1641"/>
      <c r="CF122" s="1641"/>
      <c r="CG122" s="1641"/>
      <c r="CH122" s="1641"/>
      <c r="CI122" s="1641"/>
      <c r="CJ122" s="1636">
        <v>126634</v>
      </c>
      <c r="CK122" s="1641"/>
      <c r="CL122" s="1641"/>
      <c r="CM122" s="1641"/>
      <c r="CN122" s="1641"/>
      <c r="CO122" s="1641"/>
      <c r="CP122" s="1641"/>
      <c r="CQ122" s="1641"/>
      <c r="CR122" s="1641"/>
      <c r="CS122" s="1641"/>
      <c r="CT122" s="1641"/>
      <c r="CU122" s="1641"/>
      <c r="CV122" s="1641"/>
      <c r="CW122" s="1641"/>
      <c r="CX122" s="1641"/>
      <c r="CY122" s="1641"/>
      <c r="CZ122" s="1641"/>
      <c r="DA122" s="1641"/>
      <c r="DB122" s="1641"/>
      <c r="DC122" s="1641"/>
      <c r="DD122" s="1641"/>
      <c r="DE122" s="1641"/>
      <c r="DF122" s="1641"/>
      <c r="DG122" s="1641"/>
      <c r="DH122" s="1641"/>
      <c r="DI122" s="1641"/>
      <c r="DJ122" s="1641"/>
      <c r="DK122" s="1641"/>
      <c r="DL122" s="1641"/>
      <c r="DM122" s="1641"/>
      <c r="DN122" s="1641"/>
      <c r="DO122" s="1641"/>
      <c r="DP122" s="1641"/>
      <c r="DQ122" s="1641"/>
      <c r="DR122" s="1641"/>
      <c r="DS122" s="1641"/>
      <c r="DT122" s="1641"/>
      <c r="DU122" s="1641"/>
      <c r="DV122" s="1641"/>
      <c r="DW122" s="1641"/>
      <c r="DX122" s="1641"/>
      <c r="DY122" s="1641"/>
      <c r="DZ122" s="1641"/>
      <c r="EA122" s="1641"/>
      <c r="EB122" s="1641"/>
      <c r="EC122" s="1641"/>
      <c r="ED122" s="1641"/>
      <c r="EE122" s="1641"/>
      <c r="EF122" s="1641"/>
      <c r="EG122" s="1641"/>
      <c r="EH122" s="1641"/>
      <c r="EI122" s="1641"/>
      <c r="EJ122" s="1641"/>
      <c r="EK122" s="1641"/>
      <c r="EL122" s="1641"/>
      <c r="EM122" s="1641"/>
      <c r="EN122" s="1641"/>
      <c r="EO122" s="1641"/>
      <c r="EP122" s="1641"/>
      <c r="EQ122" s="1641"/>
      <c r="ER122" s="1641"/>
      <c r="ES122" s="1641"/>
      <c r="ET122" s="1641"/>
      <c r="EU122" s="1641"/>
      <c r="EV122" s="1641"/>
      <c r="EW122" s="1641"/>
      <c r="EX122" s="1641"/>
      <c r="EY122" s="1641"/>
      <c r="EZ122" s="1641">
        <v>-1134.8599999999999</v>
      </c>
      <c r="FA122" s="1641"/>
      <c r="FB122" s="1641"/>
      <c r="FC122" s="1641"/>
      <c r="FD122" s="1641"/>
      <c r="FE122" s="1641"/>
      <c r="FF122" s="1641"/>
      <c r="FG122" s="1641"/>
      <c r="FH122" s="1641"/>
      <c r="FI122" s="1641"/>
      <c r="FJ122" s="1641"/>
      <c r="FK122" s="1641"/>
      <c r="FL122" s="1641"/>
      <c r="FM122" s="1641"/>
      <c r="FN122" s="1641"/>
      <c r="FO122" s="1641"/>
      <c r="FP122" s="1641"/>
      <c r="FQ122" s="1641"/>
      <c r="FR122" s="1641"/>
      <c r="FS122" s="1641"/>
      <c r="FT122" s="1641"/>
      <c r="FU122" s="1641"/>
      <c r="FV122" s="1641"/>
      <c r="FW122" s="1641"/>
      <c r="FX122" s="1641"/>
      <c r="FY122" s="1641"/>
      <c r="FZ122" s="1641"/>
      <c r="GA122" s="1641"/>
      <c r="GB122" s="1641"/>
      <c r="GC122" s="1641"/>
      <c r="GD122" s="1641"/>
      <c r="GE122" s="1641"/>
      <c r="GF122" s="1641">
        <v>822</v>
      </c>
      <c r="GG122" s="1641"/>
      <c r="GH122" s="1641"/>
      <c r="GI122" s="1641"/>
      <c r="GJ122" s="1641"/>
      <c r="GK122" s="1641"/>
      <c r="GL122" s="1641"/>
      <c r="GM122" s="1641"/>
      <c r="GN122" s="1641"/>
      <c r="GO122" s="1641"/>
      <c r="GP122" s="1641"/>
      <c r="GQ122" s="1641"/>
      <c r="GR122" s="1641"/>
      <c r="GS122" s="1641"/>
      <c r="GT122" s="1641"/>
      <c r="GU122" s="1641"/>
      <c r="GV122" s="1641"/>
      <c r="GW122" s="1641"/>
      <c r="GX122" s="1641"/>
      <c r="GY122" s="1641"/>
      <c r="GZ122" s="1641"/>
      <c r="HA122" s="1641"/>
      <c r="HB122" s="1641"/>
      <c r="HC122" s="1641"/>
      <c r="HD122" s="1641"/>
      <c r="HE122" s="1641"/>
      <c r="HF122" s="1641"/>
      <c r="HG122" s="1641"/>
      <c r="HH122" s="1641">
        <f>HH117</f>
        <v>2110</v>
      </c>
      <c r="HI122" s="1641"/>
      <c r="HJ122" s="1641">
        <f>HJ117</f>
        <v>-4695</v>
      </c>
      <c r="HK122" s="1641">
        <f>HK117</f>
        <v>-2278</v>
      </c>
      <c r="HL122" s="1641">
        <f>HL117</f>
        <v>-2278</v>
      </c>
      <c r="HM122" s="1641">
        <f>HM117</f>
        <v>-2278</v>
      </c>
      <c r="HN122" s="1641"/>
      <c r="HO122" s="1641"/>
      <c r="HP122" s="1641"/>
      <c r="HQ122" s="1641"/>
      <c r="HR122" s="1641"/>
      <c r="HS122" s="1641"/>
      <c r="HT122" s="1641"/>
      <c r="HU122" s="1641"/>
      <c r="HV122" s="1641"/>
      <c r="HW122" s="1641"/>
      <c r="HX122" s="1641"/>
      <c r="HY122" s="1641"/>
      <c r="HZ122" s="1641"/>
      <c r="IA122" s="1641"/>
      <c r="IB122" s="1641"/>
      <c r="IC122" s="1641"/>
      <c r="ID122" s="1641"/>
      <c r="IE122" s="1641"/>
      <c r="IF122" s="1641"/>
      <c r="IG122" s="1641"/>
      <c r="IH122" s="1641"/>
      <c r="II122" s="1641"/>
      <c r="IJ122" s="1641"/>
      <c r="IK122" s="1641"/>
      <c r="IL122" s="1641"/>
      <c r="IM122" s="1641"/>
      <c r="IN122" s="1641"/>
      <c r="IO122" s="1641"/>
      <c r="IP122" s="1641"/>
      <c r="IQ122" s="1641"/>
      <c r="IR122" s="1641"/>
      <c r="IS122" s="1641"/>
      <c r="IT122" s="1641"/>
      <c r="IU122" s="1641"/>
      <c r="IV122" s="1641"/>
      <c r="IW122" s="1641"/>
      <c r="IX122" s="1641"/>
      <c r="IY122" s="1641"/>
      <c r="IZ122" s="1641"/>
      <c r="JA122" s="1641"/>
      <c r="JB122" s="1641"/>
      <c r="JC122" s="1641"/>
      <c r="JD122" s="1641"/>
      <c r="JE122" s="1641">
        <v>822</v>
      </c>
      <c r="JF122" s="1641"/>
      <c r="JG122" s="1641"/>
      <c r="JH122" s="1641"/>
      <c r="JI122" s="1641"/>
      <c r="JJ122" s="1641"/>
      <c r="JK122" s="1641"/>
      <c r="JL122" s="1641"/>
      <c r="JM122" s="1641"/>
      <c r="JN122" s="1641"/>
      <c r="JO122" s="1641"/>
      <c r="JP122" s="1641"/>
      <c r="JQ122" s="1641"/>
      <c r="JR122" s="351"/>
    </row>
    <row r="123" spans="1:278" x14ac:dyDescent="0.25">
      <c r="A123" s="1367">
        <v>123</v>
      </c>
      <c r="B123" s="1411" t="str">
        <f t="shared" si="15"/>
        <v/>
      </c>
      <c r="C123" s="1435" t="s">
        <v>4024</v>
      </c>
      <c r="D123" s="1361" t="s">
        <v>4025</v>
      </c>
      <c r="E123" s="1641"/>
      <c r="F123" s="1641"/>
      <c r="G123" s="1641"/>
      <c r="H123" s="1641"/>
      <c r="I123" s="1641"/>
      <c r="J123" s="1641"/>
      <c r="K123" s="1641"/>
      <c r="L123" s="1641"/>
      <c r="M123" s="1641"/>
      <c r="N123" s="1641"/>
      <c r="O123" s="1641"/>
      <c r="P123" s="1641"/>
      <c r="Q123" s="1641"/>
      <c r="R123" s="1641"/>
      <c r="S123" s="1641"/>
      <c r="T123" s="1641"/>
      <c r="U123" s="1641"/>
      <c r="V123" s="1641"/>
      <c r="W123" s="1641"/>
      <c r="X123" s="1641"/>
      <c r="Y123" s="1641"/>
      <c r="Z123" s="1641"/>
      <c r="AA123" s="1641"/>
      <c r="AB123" s="1641"/>
      <c r="AC123" s="1641"/>
      <c r="AD123" s="1641"/>
      <c r="AE123" s="1641"/>
      <c r="AF123" s="1641"/>
      <c r="AG123" s="1641"/>
      <c r="AH123" s="1641"/>
      <c r="AI123" s="1641"/>
      <c r="AJ123" s="1641"/>
      <c r="AK123" s="1641"/>
      <c r="AL123" s="1641"/>
      <c r="AM123" s="1641"/>
      <c r="AN123" s="1641"/>
      <c r="AO123" s="1641"/>
      <c r="AP123" s="1641"/>
      <c r="AQ123" s="1641"/>
      <c r="AR123" s="1641"/>
      <c r="AS123" s="1641"/>
      <c r="AT123" s="1641"/>
      <c r="AU123" s="1641"/>
      <c r="AV123" s="1641"/>
      <c r="AW123" s="1641"/>
      <c r="AX123" s="1641"/>
      <c r="AY123" s="1641"/>
      <c r="AZ123" s="1641"/>
      <c r="BA123" s="1641"/>
      <c r="BB123" s="1641"/>
      <c r="BC123" s="1641">
        <v>2500</v>
      </c>
      <c r="BD123" s="1641">
        <v>562</v>
      </c>
      <c r="BE123" s="1641"/>
      <c r="BF123" s="1641"/>
      <c r="BG123" s="1636">
        <v>2148</v>
      </c>
      <c r="BH123" s="1641"/>
      <c r="BI123" s="1641"/>
      <c r="BJ123" s="1641"/>
      <c r="BK123" s="1641"/>
      <c r="BL123" s="1641"/>
      <c r="BM123" s="1641"/>
      <c r="BN123" s="1641"/>
      <c r="BO123" s="1641"/>
      <c r="BP123" s="1641"/>
      <c r="BQ123" s="1641"/>
      <c r="BR123" s="1641"/>
      <c r="BS123" s="1641"/>
      <c r="BT123" s="1641"/>
      <c r="BU123" s="1641"/>
      <c r="BV123" s="1641"/>
      <c r="BW123" s="1641"/>
      <c r="BX123" s="1641"/>
      <c r="BY123" s="1641"/>
      <c r="BZ123" s="1641"/>
      <c r="CA123" s="1641"/>
      <c r="CB123" s="1636"/>
      <c r="CC123" s="1641"/>
      <c r="CD123" s="1641"/>
      <c r="CE123" s="1641"/>
      <c r="CF123" s="1641"/>
      <c r="CG123" s="1641"/>
      <c r="CH123" s="1641"/>
      <c r="CI123" s="1641"/>
      <c r="CJ123" s="1641"/>
      <c r="CK123" s="1641"/>
      <c r="CL123" s="1641"/>
      <c r="CM123" s="1641"/>
      <c r="CN123" s="1641"/>
      <c r="CO123" s="1641"/>
      <c r="CP123" s="1641"/>
      <c r="CQ123" s="1641"/>
      <c r="CR123" s="1641"/>
      <c r="CS123" s="1641"/>
      <c r="CT123" s="1641"/>
      <c r="CU123" s="1641"/>
      <c r="CV123" s="1641"/>
      <c r="CW123" s="1641"/>
      <c r="CX123" s="1641"/>
      <c r="CY123" s="1641"/>
      <c r="CZ123" s="1641"/>
      <c r="DA123" s="1641"/>
      <c r="DB123" s="1641"/>
      <c r="DC123" s="1641"/>
      <c r="DD123" s="1641"/>
      <c r="DE123" s="1641"/>
      <c r="DF123" s="1641"/>
      <c r="DG123" s="1641"/>
      <c r="DH123" s="1641"/>
      <c r="DI123" s="1641"/>
      <c r="DJ123" s="1641"/>
      <c r="DK123" s="1641"/>
      <c r="DL123" s="1641"/>
      <c r="DM123" s="1641"/>
      <c r="DN123" s="1641"/>
      <c r="DO123" s="1641"/>
      <c r="DP123" s="1641"/>
      <c r="DQ123" s="1641"/>
      <c r="DR123" s="1641"/>
      <c r="DS123" s="1641"/>
      <c r="DT123" s="1641"/>
      <c r="DU123" s="1641"/>
      <c r="DV123" s="1641"/>
      <c r="DW123" s="1641"/>
      <c r="DX123" s="1641"/>
      <c r="DY123" s="1641"/>
      <c r="DZ123" s="1641"/>
      <c r="EA123" s="1641"/>
      <c r="EB123" s="1641"/>
      <c r="EC123" s="1641"/>
      <c r="ED123" s="1641"/>
      <c r="EE123" s="1641"/>
      <c r="EF123" s="1641"/>
      <c r="EG123" s="1641"/>
      <c r="EH123" s="1641"/>
      <c r="EI123" s="1641"/>
      <c r="EJ123" s="1641"/>
      <c r="EK123" s="1641"/>
      <c r="EL123" s="1641"/>
      <c r="EM123" s="1641"/>
      <c r="EN123" s="1641"/>
      <c r="EO123" s="1641"/>
      <c r="EP123" s="1641"/>
      <c r="EQ123" s="1641"/>
      <c r="ER123" s="1641"/>
      <c r="ES123" s="1641"/>
      <c r="ET123" s="1641"/>
      <c r="EU123" s="1641"/>
      <c r="EV123" s="1641"/>
      <c r="EW123" s="1641"/>
      <c r="EX123" s="1641"/>
      <c r="EY123" s="1641"/>
      <c r="EZ123" s="1641"/>
      <c r="FA123" s="1641"/>
      <c r="FB123" s="1641"/>
      <c r="FC123" s="1641"/>
      <c r="FD123" s="1641"/>
      <c r="FE123" s="1641"/>
      <c r="FF123" s="1641"/>
      <c r="FG123" s="1641"/>
      <c r="FH123" s="1641"/>
      <c r="FI123" s="1641"/>
      <c r="FJ123" s="1641"/>
      <c r="FK123" s="1641"/>
      <c r="FL123" s="1641"/>
      <c r="FM123" s="1641"/>
      <c r="FN123" s="1641"/>
      <c r="FO123" s="1641"/>
      <c r="FP123" s="1641"/>
      <c r="FQ123" s="1641"/>
      <c r="FR123" s="1641"/>
      <c r="FS123" s="1641"/>
      <c r="FT123" s="1641"/>
      <c r="FU123" s="1641"/>
      <c r="FV123" s="1641"/>
      <c r="FW123" s="1641"/>
      <c r="FX123" s="1641"/>
      <c r="FY123" s="1641"/>
      <c r="FZ123" s="1641"/>
      <c r="GA123" s="1641"/>
      <c r="GB123" s="1641"/>
      <c r="GC123" s="1641"/>
      <c r="GD123" s="1641"/>
      <c r="GE123" s="1641"/>
      <c r="GF123" s="1641">
        <v>320</v>
      </c>
      <c r="GG123" s="1641"/>
      <c r="GH123" s="1641"/>
      <c r="GI123" s="1641"/>
      <c r="GJ123" s="1641"/>
      <c r="GK123" s="1641"/>
      <c r="GL123" s="1641"/>
      <c r="GM123" s="1641"/>
      <c r="GN123" s="1641"/>
      <c r="GO123" s="1641"/>
      <c r="GP123" s="1641"/>
      <c r="GQ123" s="1641"/>
      <c r="GR123" s="1641"/>
      <c r="GS123" s="1641"/>
      <c r="GT123" s="1641"/>
      <c r="GU123" s="1641"/>
      <c r="GV123" s="1641"/>
      <c r="GW123" s="1641"/>
      <c r="GX123" s="1641"/>
      <c r="GY123" s="1641"/>
      <c r="GZ123" s="1641"/>
      <c r="HA123" s="1641"/>
      <c r="HB123" s="1641"/>
      <c r="HC123" s="1641"/>
      <c r="HD123" s="1641"/>
      <c r="HE123" s="1641"/>
      <c r="HF123" s="1641"/>
      <c r="HG123" s="1641"/>
      <c r="HH123" s="1641"/>
      <c r="HI123" s="1641"/>
      <c r="HJ123" s="1641">
        <v>1306</v>
      </c>
      <c r="HK123" s="1641"/>
      <c r="HL123" s="1641"/>
      <c r="HM123" s="1641"/>
      <c r="HN123" s="1641"/>
      <c r="HO123" s="1641"/>
      <c r="HP123" s="1641"/>
      <c r="HQ123" s="1641"/>
      <c r="HR123" s="1641"/>
      <c r="HS123" s="1641"/>
      <c r="HT123" s="1641"/>
      <c r="HU123" s="1641"/>
      <c r="HV123" s="1641"/>
      <c r="HW123" s="1641"/>
      <c r="HX123" s="1641"/>
      <c r="HY123" s="1641"/>
      <c r="HZ123" s="1641"/>
      <c r="IA123" s="1641"/>
      <c r="IB123" s="1641"/>
      <c r="IC123" s="1641"/>
      <c r="ID123" s="1641"/>
      <c r="IE123" s="1641"/>
      <c r="IF123" s="1641"/>
      <c r="IG123" s="1641"/>
      <c r="IH123" s="1641"/>
      <c r="II123" s="1641"/>
      <c r="IJ123" s="1641"/>
      <c r="IK123" s="1641"/>
      <c r="IL123" s="1641"/>
      <c r="IM123" s="1641"/>
      <c r="IN123" s="1641"/>
      <c r="IO123" s="1641"/>
      <c r="IP123" s="1641"/>
      <c r="IQ123" s="1641"/>
      <c r="IR123" s="1641"/>
      <c r="IS123" s="1641"/>
      <c r="IT123" s="1641"/>
      <c r="IU123" s="1641"/>
      <c r="IV123" s="1641"/>
      <c r="IW123" s="1641"/>
      <c r="IX123" s="1641"/>
      <c r="IY123" s="1641"/>
      <c r="IZ123" s="1641"/>
      <c r="JA123" s="1641"/>
      <c r="JB123" s="1641"/>
      <c r="JC123" s="1641"/>
      <c r="JD123" s="1641"/>
      <c r="JE123" s="1641">
        <v>320</v>
      </c>
      <c r="JF123" s="1641"/>
      <c r="JG123" s="1641"/>
      <c r="JH123" s="1641"/>
      <c r="JI123" s="1641"/>
      <c r="JJ123" s="1641"/>
      <c r="JK123" s="1641"/>
      <c r="JL123" s="1641"/>
      <c r="JM123" s="1641"/>
      <c r="JN123" s="1641"/>
      <c r="JO123" s="1641"/>
      <c r="JP123" s="1641"/>
      <c r="JQ123" s="1641"/>
      <c r="JR123" s="351"/>
    </row>
    <row r="124" spans="1:278" x14ac:dyDescent="0.25">
      <c r="A124" s="1367">
        <v>124</v>
      </c>
      <c r="B124" s="1411" t="str">
        <f t="shared" si="15"/>
        <v/>
      </c>
      <c r="C124" s="1435" t="s">
        <v>4026</v>
      </c>
      <c r="D124" s="1361" t="s">
        <v>4027</v>
      </c>
      <c r="E124" s="2561"/>
      <c r="F124" s="2561"/>
      <c r="G124" s="2561"/>
      <c r="H124" s="2561"/>
      <c r="I124" s="2561"/>
      <c r="J124" s="2561"/>
      <c r="K124" s="2561"/>
      <c r="L124" s="2561"/>
      <c r="M124" s="2561"/>
      <c r="N124" s="2561"/>
      <c r="O124" s="2561"/>
      <c r="P124" s="2561"/>
      <c r="Q124" s="2561"/>
      <c r="R124" s="2561"/>
      <c r="S124" s="2561"/>
      <c r="T124" s="2561"/>
      <c r="U124" s="2561"/>
      <c r="V124" s="2561"/>
      <c r="W124" s="2561"/>
      <c r="X124" s="2561"/>
      <c r="Y124" s="2561"/>
      <c r="Z124" s="2561"/>
      <c r="AA124" s="2561"/>
      <c r="AB124" s="2561"/>
      <c r="AC124" s="2561"/>
      <c r="AD124" s="2561"/>
      <c r="AE124" s="2561"/>
      <c r="AF124" s="2561"/>
      <c r="AG124" s="2561"/>
      <c r="AH124" s="2561"/>
      <c r="AI124" s="2561"/>
      <c r="AJ124" s="2561"/>
      <c r="AK124" s="2561"/>
      <c r="AL124" s="2561"/>
      <c r="AM124" s="2561"/>
      <c r="AN124" s="2561"/>
      <c r="AO124" s="2561"/>
      <c r="AP124" s="2561"/>
      <c r="AQ124" s="2561"/>
      <c r="AR124" s="2561"/>
      <c r="AS124" s="2561"/>
      <c r="AT124" s="2561"/>
      <c r="AU124" s="2561"/>
      <c r="AV124" s="2561"/>
      <c r="AW124" s="2561"/>
      <c r="AX124" s="2561"/>
      <c r="AY124" s="2561"/>
      <c r="AZ124" s="2561"/>
      <c r="BA124" s="2561"/>
      <c r="BB124" s="1636">
        <v>9250</v>
      </c>
      <c r="BC124" s="2561">
        <f>MAX(0,BC122-BC123)</f>
        <v>6322</v>
      </c>
      <c r="BD124" s="2561">
        <f>MAX(0,BD122-BD123)</f>
        <v>2432</v>
      </c>
      <c r="BE124" s="2561"/>
      <c r="BF124" s="2561"/>
      <c r="BG124" s="2561"/>
      <c r="BH124" s="2561"/>
      <c r="BI124" s="2561"/>
      <c r="BJ124" s="1636">
        <v>12310</v>
      </c>
      <c r="BK124" s="2561"/>
      <c r="BL124" s="2561"/>
      <c r="BM124" s="2561"/>
      <c r="BN124" s="2561"/>
      <c r="BO124" s="2561"/>
      <c r="BP124" s="2561"/>
      <c r="BQ124" s="2561"/>
      <c r="BR124" s="2561"/>
      <c r="BS124" s="2561"/>
      <c r="BT124" s="2561"/>
      <c r="BU124" s="2561"/>
      <c r="BV124" s="2561"/>
      <c r="BW124" s="2561"/>
      <c r="BX124" s="2561"/>
      <c r="BY124" s="2561"/>
      <c r="BZ124" s="2561"/>
      <c r="CA124" s="2561"/>
      <c r="CB124" s="1636">
        <f>MAX(0,CB122-CB123)</f>
        <v>12475</v>
      </c>
      <c r="CC124" s="2561"/>
      <c r="CD124" s="2561"/>
      <c r="CE124" s="2561"/>
      <c r="CF124" s="2561"/>
      <c r="CG124" s="2561"/>
      <c r="CH124" s="2561"/>
      <c r="CI124" s="2561"/>
      <c r="CJ124" s="1636">
        <f>MAX(0,CJ122-CJ123)</f>
        <v>126634</v>
      </c>
      <c r="CK124" s="2561"/>
      <c r="CL124" s="2561"/>
      <c r="CM124" s="2561"/>
      <c r="CN124" s="2561"/>
      <c r="CO124" s="2561"/>
      <c r="CP124" s="2561"/>
      <c r="CQ124" s="2561"/>
      <c r="CR124" s="2561"/>
      <c r="CS124" s="2561"/>
      <c r="CT124" s="2561"/>
      <c r="CU124" s="2561"/>
      <c r="CV124" s="2561"/>
      <c r="CW124" s="2561"/>
      <c r="CX124" s="2561"/>
      <c r="CY124" s="2561"/>
      <c r="CZ124" s="2561"/>
      <c r="DA124" s="2561"/>
      <c r="DB124" s="2561"/>
      <c r="DC124" s="2561"/>
      <c r="DD124" s="2561"/>
      <c r="DE124" s="2561"/>
      <c r="DF124" s="2561"/>
      <c r="DG124" s="2561"/>
      <c r="DH124" s="2561"/>
      <c r="DI124" s="2561"/>
      <c r="DJ124" s="2561"/>
      <c r="DK124" s="2561"/>
      <c r="DL124" s="2561"/>
      <c r="DM124" s="2561"/>
      <c r="DN124" s="2561"/>
      <c r="DO124" s="2561"/>
      <c r="DP124" s="2561"/>
      <c r="DQ124" s="2561"/>
      <c r="DR124" s="2561"/>
      <c r="DS124" s="2561"/>
      <c r="DT124" s="2561"/>
      <c r="DU124" s="2561"/>
      <c r="DV124" s="2561"/>
      <c r="DW124" s="2561"/>
      <c r="DX124" s="2561"/>
      <c r="DY124" s="2561"/>
      <c r="DZ124" s="2561"/>
      <c r="EA124" s="2561"/>
      <c r="EB124" s="2561"/>
      <c r="EC124" s="2561"/>
      <c r="ED124" s="2561"/>
      <c r="EE124" s="2561"/>
      <c r="EF124" s="2561"/>
      <c r="EG124" s="2561"/>
      <c r="EH124" s="2561"/>
      <c r="EI124" s="2561"/>
      <c r="EJ124" s="2561"/>
      <c r="EK124" s="2561"/>
      <c r="EL124" s="2561"/>
      <c r="EM124" s="2561"/>
      <c r="EN124" s="2561"/>
      <c r="EO124" s="2561"/>
      <c r="EP124" s="2561"/>
      <c r="EQ124" s="2561"/>
      <c r="ER124" s="2561"/>
      <c r="ES124" s="2561"/>
      <c r="ET124" s="2561"/>
      <c r="EU124" s="2561"/>
      <c r="EV124" s="2561"/>
      <c r="EW124" s="2561"/>
      <c r="EX124" s="2561"/>
      <c r="EY124" s="2561"/>
      <c r="EZ124" s="2561">
        <v>0</v>
      </c>
      <c r="FA124" s="2561"/>
      <c r="FB124" s="2561"/>
      <c r="FC124" s="2561"/>
      <c r="FD124" s="2561"/>
      <c r="FE124" s="2561"/>
      <c r="FF124" s="2561"/>
      <c r="FG124" s="2561"/>
      <c r="FH124" s="2561"/>
      <c r="FI124" s="2561"/>
      <c r="FJ124" s="2561"/>
      <c r="FK124" s="2561"/>
      <c r="FL124" s="2561"/>
      <c r="FM124" s="2561"/>
      <c r="FN124" s="2561"/>
      <c r="FO124" s="2561"/>
      <c r="FP124" s="2561"/>
      <c r="FQ124" s="2561"/>
      <c r="FR124" s="2561"/>
      <c r="FS124" s="2561"/>
      <c r="FT124" s="2561"/>
      <c r="FU124" s="2561"/>
      <c r="FV124" s="2561"/>
      <c r="FW124" s="2561"/>
      <c r="FX124" s="2561"/>
      <c r="FY124" s="2561"/>
      <c r="FZ124" s="2561"/>
      <c r="GA124" s="2561"/>
      <c r="GB124" s="2561"/>
      <c r="GC124" s="2561"/>
      <c r="GD124" s="2561"/>
      <c r="GE124" s="2561"/>
      <c r="GF124" s="2561">
        <f>MAX(0,GF122-GF123)</f>
        <v>502</v>
      </c>
      <c r="GG124" s="2561"/>
      <c r="GH124" s="2561"/>
      <c r="GI124" s="2561"/>
      <c r="GJ124" s="2561"/>
      <c r="GK124" s="2561"/>
      <c r="GL124" s="2561"/>
      <c r="GM124" s="2561"/>
      <c r="GN124" s="2561"/>
      <c r="GO124" s="2561"/>
      <c r="GP124" s="2561"/>
      <c r="GQ124" s="2561"/>
      <c r="GR124" s="2561"/>
      <c r="GS124" s="2561"/>
      <c r="GT124" s="2561"/>
      <c r="GU124" s="2561"/>
      <c r="GV124" s="2561"/>
      <c r="GW124" s="2561"/>
      <c r="GX124" s="2561"/>
      <c r="GY124" s="2561"/>
      <c r="GZ124" s="2561"/>
      <c r="HA124" s="2561"/>
      <c r="HB124" s="2561"/>
      <c r="HC124" s="2561"/>
      <c r="HD124" s="2561"/>
      <c r="HE124" s="2561"/>
      <c r="HF124" s="2561"/>
      <c r="HG124" s="2561"/>
      <c r="HH124" s="2561">
        <f>MAX(0,HH122-HH123)</f>
        <v>2110</v>
      </c>
      <c r="HI124" s="2561"/>
      <c r="HJ124" s="2561"/>
      <c r="HK124" s="2561"/>
      <c r="HL124" s="2561"/>
      <c r="HM124" s="2561"/>
      <c r="HN124" s="2561"/>
      <c r="HO124" s="2561"/>
      <c r="HP124" s="2561"/>
      <c r="HQ124" s="2561"/>
      <c r="HR124" s="2561"/>
      <c r="HS124" s="2561"/>
      <c r="HT124" s="2561"/>
      <c r="HU124" s="2561"/>
      <c r="HV124" s="2561"/>
      <c r="HW124" s="2561"/>
      <c r="HX124" s="2561"/>
      <c r="HY124" s="2561"/>
      <c r="HZ124" s="2561"/>
      <c r="IA124" s="2561"/>
      <c r="IB124" s="2561"/>
      <c r="IC124" s="2561"/>
      <c r="ID124" s="2561"/>
      <c r="IE124" s="2561"/>
      <c r="IF124" s="2561"/>
      <c r="IG124" s="2561"/>
      <c r="IH124" s="2561"/>
      <c r="II124" s="2561"/>
      <c r="IJ124" s="2561"/>
      <c r="IK124" s="2561"/>
      <c r="IL124" s="2561"/>
      <c r="IM124" s="2561"/>
      <c r="IN124" s="2561"/>
      <c r="IO124" s="2561"/>
      <c r="IP124" s="2561"/>
      <c r="IQ124" s="2561"/>
      <c r="IR124" s="2561"/>
      <c r="IS124" s="2561"/>
      <c r="IT124" s="2561"/>
      <c r="IU124" s="2561"/>
      <c r="IV124" s="2561"/>
      <c r="IW124" s="2561"/>
      <c r="IX124" s="2561"/>
      <c r="IY124" s="2561"/>
      <c r="IZ124" s="2561"/>
      <c r="JA124" s="2561"/>
      <c r="JB124" s="2561"/>
      <c r="JC124" s="2561"/>
      <c r="JD124" s="2561"/>
      <c r="JE124" s="2561">
        <f>MAX(0,JE122-JE123)</f>
        <v>502</v>
      </c>
      <c r="JF124" s="2561"/>
      <c r="JG124" s="2561"/>
      <c r="JH124" s="2561"/>
      <c r="JI124" s="2561"/>
      <c r="JJ124" s="2561"/>
      <c r="JK124" s="2561"/>
      <c r="JL124" s="2561"/>
      <c r="JM124" s="2561"/>
      <c r="JN124" s="2561"/>
      <c r="JO124" s="2561"/>
      <c r="JP124" s="2561"/>
      <c r="JQ124" s="2561"/>
      <c r="JR124" s="351"/>
    </row>
    <row r="125" spans="1:278" x14ac:dyDescent="0.25">
      <c r="A125" s="1367">
        <v>125</v>
      </c>
      <c r="B125" s="1411" t="str">
        <f t="shared" si="15"/>
        <v/>
      </c>
      <c r="C125" s="1435" t="s">
        <v>4028</v>
      </c>
      <c r="D125" s="1361" t="s">
        <v>4029</v>
      </c>
      <c r="E125" s="1641"/>
      <c r="F125" s="1641"/>
      <c r="G125" s="1641"/>
      <c r="H125" s="1641"/>
      <c r="I125" s="1641"/>
      <c r="J125" s="1641"/>
      <c r="K125" s="1641"/>
      <c r="L125" s="1641"/>
      <c r="M125" s="1641"/>
      <c r="N125" s="1641"/>
      <c r="O125" s="1641"/>
      <c r="P125" s="1641"/>
      <c r="Q125" s="1641"/>
      <c r="R125" s="1641"/>
      <c r="S125" s="1641"/>
      <c r="T125" s="1641"/>
      <c r="U125" s="1641"/>
      <c r="V125" s="1641"/>
      <c r="W125" s="1641"/>
      <c r="X125" s="1641"/>
      <c r="Y125" s="1641"/>
      <c r="Z125" s="1641"/>
      <c r="AA125" s="1641"/>
      <c r="AB125" s="1641"/>
      <c r="AC125" s="1641"/>
      <c r="AD125" s="1641"/>
      <c r="AE125" s="1641"/>
      <c r="AF125" s="1641"/>
      <c r="AG125" s="1641"/>
      <c r="AH125" s="1641"/>
      <c r="AI125" s="1641"/>
      <c r="AJ125" s="1641"/>
      <c r="AK125" s="1641"/>
      <c r="AL125" s="1641"/>
      <c r="AM125" s="1641"/>
      <c r="AN125" s="1641"/>
      <c r="AO125" s="1641"/>
      <c r="AP125" s="1641"/>
      <c r="AQ125" s="1641"/>
      <c r="AR125" s="1641"/>
      <c r="AS125" s="1641"/>
      <c r="AT125" s="1641"/>
      <c r="AU125" s="1641"/>
      <c r="AV125" s="1641"/>
      <c r="AW125" s="1641"/>
      <c r="AX125" s="1641"/>
      <c r="AY125" s="1641"/>
      <c r="AZ125" s="1641"/>
      <c r="BA125" s="1641"/>
      <c r="BB125" s="1636">
        <v>50</v>
      </c>
      <c r="BC125" s="1641"/>
      <c r="BD125" s="1641">
        <v>48</v>
      </c>
      <c r="BE125" s="1641"/>
      <c r="BF125" s="1641"/>
      <c r="BG125" s="1641"/>
      <c r="BH125" s="1641"/>
      <c r="BI125" s="1641"/>
      <c r="BJ125" s="1636">
        <v>2525</v>
      </c>
      <c r="BK125" s="1641"/>
      <c r="BL125" s="1641"/>
      <c r="BM125" s="1641"/>
      <c r="BN125" s="1641"/>
      <c r="BO125" s="1641"/>
      <c r="BP125" s="1641"/>
      <c r="BQ125" s="1641"/>
      <c r="BR125" s="1641"/>
      <c r="BS125" s="1641"/>
      <c r="BT125" s="1641"/>
      <c r="BU125" s="1641"/>
      <c r="BV125" s="1641"/>
      <c r="BW125" s="1641"/>
      <c r="BX125" s="1641"/>
      <c r="BY125" s="1641"/>
      <c r="BZ125" s="1641"/>
      <c r="CA125" s="1641"/>
      <c r="CB125" s="1641"/>
      <c r="CC125" s="1641"/>
      <c r="CD125" s="1641"/>
      <c r="CE125" s="1641"/>
      <c r="CF125" s="1641"/>
      <c r="CG125" s="1641"/>
      <c r="CH125" s="1641"/>
      <c r="CI125" s="1641"/>
      <c r="CJ125" s="1636">
        <v>44321.9</v>
      </c>
      <c r="CK125" s="1641"/>
      <c r="CL125" s="1641"/>
      <c r="CM125" s="1641"/>
      <c r="CN125" s="1641"/>
      <c r="CO125" s="1641"/>
      <c r="CP125" s="1641"/>
      <c r="CQ125" s="1641"/>
      <c r="CR125" s="1641"/>
      <c r="CS125" s="1641"/>
      <c r="CT125" s="1641"/>
      <c r="CU125" s="1641"/>
      <c r="CV125" s="1641"/>
      <c r="CW125" s="1641"/>
      <c r="CX125" s="1641"/>
      <c r="CY125" s="1641"/>
      <c r="CZ125" s="1641"/>
      <c r="DA125" s="1641"/>
      <c r="DB125" s="1641"/>
      <c r="DC125" s="1641"/>
      <c r="DD125" s="1641"/>
      <c r="DE125" s="1641"/>
      <c r="DF125" s="1641"/>
      <c r="DG125" s="1641"/>
      <c r="DH125" s="1641"/>
      <c r="DI125" s="1641"/>
      <c r="DJ125" s="1641"/>
      <c r="DK125" s="1641"/>
      <c r="DL125" s="1641"/>
      <c r="DM125" s="1641"/>
      <c r="DN125" s="1641"/>
      <c r="DO125" s="1641"/>
      <c r="DP125" s="1641"/>
      <c r="DQ125" s="1641"/>
      <c r="DR125" s="1641"/>
      <c r="DS125" s="1641"/>
      <c r="DT125" s="1641"/>
      <c r="DU125" s="1641"/>
      <c r="DV125" s="1641"/>
      <c r="DW125" s="1641"/>
      <c r="DX125" s="1641"/>
      <c r="DY125" s="1641"/>
      <c r="DZ125" s="1641"/>
      <c r="EA125" s="1641"/>
      <c r="EB125" s="1641"/>
      <c r="EC125" s="1641"/>
      <c r="ED125" s="1641"/>
      <c r="EE125" s="1641"/>
      <c r="EF125" s="1641"/>
      <c r="EG125" s="1641"/>
      <c r="EH125" s="1641"/>
      <c r="EI125" s="1641"/>
      <c r="EJ125" s="1641"/>
      <c r="EK125" s="1641"/>
      <c r="EL125" s="1641"/>
      <c r="EM125" s="1641"/>
      <c r="EN125" s="1641"/>
      <c r="EO125" s="1641"/>
      <c r="EP125" s="1641"/>
      <c r="EQ125" s="1641"/>
      <c r="ER125" s="1641"/>
      <c r="ES125" s="1641"/>
      <c r="ET125" s="1641"/>
      <c r="EU125" s="1641"/>
      <c r="EV125" s="1641"/>
      <c r="EW125" s="1641"/>
      <c r="EX125" s="1641"/>
      <c r="EY125" s="1641"/>
      <c r="EZ125" s="1641">
        <v>615.82000000000005</v>
      </c>
      <c r="FA125" s="1641"/>
      <c r="FB125" s="1641"/>
      <c r="FC125" s="1641"/>
      <c r="FD125" s="1641"/>
      <c r="FE125" s="1641"/>
      <c r="FF125" s="1641"/>
      <c r="FG125" s="1641"/>
      <c r="FH125" s="1641"/>
      <c r="FI125" s="1641"/>
      <c r="FJ125" s="1641"/>
      <c r="FK125" s="1641"/>
      <c r="FL125" s="1641"/>
      <c r="FM125" s="1641"/>
      <c r="FN125" s="1641"/>
      <c r="FO125" s="1641"/>
      <c r="FP125" s="1641"/>
      <c r="FQ125" s="1641"/>
      <c r="FR125" s="1641"/>
      <c r="FS125" s="1641"/>
      <c r="FT125" s="1641"/>
      <c r="FU125" s="1641"/>
      <c r="FV125" s="1641"/>
      <c r="FW125" s="1641"/>
      <c r="FX125" s="1641"/>
      <c r="FY125" s="1641"/>
      <c r="FZ125" s="1641"/>
      <c r="GA125" s="1641"/>
      <c r="GB125" s="1641"/>
      <c r="GC125" s="1641"/>
      <c r="GD125" s="1641"/>
      <c r="GE125" s="1641"/>
      <c r="GF125" s="1641"/>
      <c r="GG125" s="1641"/>
      <c r="GH125" s="1641"/>
      <c r="GI125" s="1641"/>
      <c r="GJ125" s="1641"/>
      <c r="GK125" s="1641"/>
      <c r="GL125" s="1641"/>
      <c r="GM125" s="1641"/>
      <c r="GN125" s="1641"/>
      <c r="GO125" s="1641"/>
      <c r="GP125" s="1641"/>
      <c r="GQ125" s="1641"/>
      <c r="GR125" s="1641"/>
      <c r="GS125" s="1641"/>
      <c r="GT125" s="1641"/>
      <c r="GU125" s="1641"/>
      <c r="GV125" s="1641"/>
      <c r="GW125" s="1641"/>
      <c r="GX125" s="1641"/>
      <c r="GY125" s="1641"/>
      <c r="GZ125" s="1641"/>
      <c r="HA125" s="1641"/>
      <c r="HB125" s="1641"/>
      <c r="HC125" s="1641"/>
      <c r="HD125" s="1641"/>
      <c r="HE125" s="1641"/>
      <c r="HF125" s="1641"/>
      <c r="HG125" s="1641"/>
      <c r="HH125" s="1641">
        <f>HH118</f>
        <v>686</v>
      </c>
      <c r="HI125" s="1641"/>
      <c r="HJ125" s="1641"/>
      <c r="HK125" s="1641"/>
      <c r="HL125" s="1641"/>
      <c r="HM125" s="1641"/>
      <c r="HN125" s="1641"/>
      <c r="HO125" s="1641"/>
      <c r="HP125" s="1641"/>
      <c r="HQ125" s="1641"/>
      <c r="HR125" s="1641"/>
      <c r="HS125" s="1641"/>
      <c r="HT125" s="1641"/>
      <c r="HU125" s="1641"/>
      <c r="HV125" s="1641"/>
      <c r="HW125" s="1641"/>
      <c r="HX125" s="1641"/>
      <c r="HY125" s="1641"/>
      <c r="HZ125" s="1641"/>
      <c r="IA125" s="1641"/>
      <c r="IB125" s="1641"/>
      <c r="IC125" s="1641"/>
      <c r="ID125" s="1641"/>
      <c r="IE125" s="1641"/>
      <c r="IF125" s="1641"/>
      <c r="IG125" s="1641"/>
      <c r="IH125" s="1641"/>
      <c r="II125" s="1641"/>
      <c r="IJ125" s="1641"/>
      <c r="IK125" s="1641"/>
      <c r="IL125" s="1641"/>
      <c r="IM125" s="1641"/>
      <c r="IN125" s="1641"/>
      <c r="IO125" s="1641"/>
      <c r="IP125" s="1641"/>
      <c r="IQ125" s="1641"/>
      <c r="IR125" s="1641"/>
      <c r="IS125" s="1641"/>
      <c r="IT125" s="1641"/>
      <c r="IU125" s="1641"/>
      <c r="IV125" s="1641"/>
      <c r="IW125" s="1641"/>
      <c r="IX125" s="1641"/>
      <c r="IY125" s="1641"/>
      <c r="IZ125" s="1641"/>
      <c r="JA125" s="1641"/>
      <c r="JB125" s="1641"/>
      <c r="JC125" s="1641"/>
      <c r="JD125" s="1641"/>
      <c r="JE125" s="1641"/>
      <c r="JF125" s="1641"/>
      <c r="JG125" s="1641"/>
      <c r="JH125" s="1641"/>
      <c r="JI125" s="1641"/>
      <c r="JJ125" s="1641"/>
      <c r="JK125" s="1641"/>
      <c r="JL125" s="1641"/>
      <c r="JM125" s="1641"/>
      <c r="JN125" s="1641"/>
      <c r="JO125" s="1641"/>
      <c r="JP125" s="1641"/>
      <c r="JQ125" s="1641"/>
      <c r="JR125" s="351"/>
    </row>
    <row r="126" spans="1:278" x14ac:dyDescent="0.25">
      <c r="A126" s="1367">
        <v>126</v>
      </c>
      <c r="B126" s="1411" t="str">
        <f t="shared" ref="B126:B131" si="16">IF(FOR_IND&gt;1,IF(HLOOKUP(FOR_IND-1,FOR_RANGE,A126)="","",HLOOKUP(FOR_IND-1,FOR_RANGE,A126)),"")</f>
        <v/>
      </c>
      <c r="C126" s="1435" t="s">
        <v>4030</v>
      </c>
      <c r="D126" s="1361" t="s">
        <v>3887</v>
      </c>
      <c r="E126" s="1641"/>
      <c r="F126" s="1641"/>
      <c r="G126" s="1641"/>
      <c r="H126" s="1641"/>
      <c r="I126" s="1641"/>
      <c r="J126" s="1641"/>
      <c r="K126" s="1641"/>
      <c r="L126" s="1641"/>
      <c r="M126" s="1641"/>
      <c r="N126" s="1641"/>
      <c r="O126" s="1641"/>
      <c r="P126" s="1641"/>
      <c r="Q126" s="1641"/>
      <c r="R126" s="1641"/>
      <c r="S126" s="1641"/>
      <c r="T126" s="1641"/>
      <c r="U126" s="1641"/>
      <c r="V126" s="1641"/>
      <c r="W126" s="1641"/>
      <c r="X126" s="1641"/>
      <c r="Y126" s="1641"/>
      <c r="Z126" s="1641"/>
      <c r="AA126" s="1641"/>
      <c r="AB126" s="1641"/>
      <c r="AC126" s="1641"/>
      <c r="AD126" s="1641"/>
      <c r="AE126" s="1641"/>
      <c r="AF126" s="1641"/>
      <c r="AG126" s="1641"/>
      <c r="AH126" s="1641"/>
      <c r="AI126" s="1641"/>
      <c r="AJ126" s="1641"/>
      <c r="AK126" s="1641"/>
      <c r="AL126" s="1641"/>
      <c r="AM126" s="1641"/>
      <c r="AN126" s="1641"/>
      <c r="AO126" s="1641"/>
      <c r="AP126" s="1641"/>
      <c r="AQ126" s="1641"/>
      <c r="AR126" s="1641"/>
      <c r="AS126" s="1641"/>
      <c r="AT126" s="1641"/>
      <c r="AU126" s="1641"/>
      <c r="AV126" s="1641"/>
      <c r="AW126" s="1641"/>
      <c r="AX126" s="1641"/>
      <c r="AY126" s="1641"/>
      <c r="AZ126" s="1641"/>
      <c r="BA126" s="1641"/>
      <c r="BB126" s="1641"/>
      <c r="BC126" s="1641"/>
      <c r="BD126" s="1641"/>
      <c r="BE126" s="1641"/>
      <c r="BF126" s="1641"/>
      <c r="BG126" s="1641"/>
      <c r="BH126" s="1641"/>
      <c r="BI126" s="1641"/>
      <c r="BJ126" s="1641"/>
      <c r="BK126" s="1641"/>
      <c r="BL126" s="1641"/>
      <c r="BM126" s="1641"/>
      <c r="BN126" s="1641"/>
      <c r="BO126" s="1641"/>
      <c r="BP126" s="1641"/>
      <c r="BQ126" s="1641"/>
      <c r="BR126" s="1641"/>
      <c r="BS126" s="1641"/>
      <c r="BT126" s="1641"/>
      <c r="BU126" s="1641"/>
      <c r="BV126" s="1641"/>
      <c r="BW126" s="1641"/>
      <c r="BX126" s="1641"/>
      <c r="BY126" s="1641"/>
      <c r="BZ126" s="1641"/>
      <c r="CA126" s="1641"/>
      <c r="CB126" s="1641"/>
      <c r="CC126" s="1641"/>
      <c r="CD126" s="1641"/>
      <c r="CE126" s="1641"/>
      <c r="CF126" s="1641"/>
      <c r="CG126" s="1641"/>
      <c r="CH126" s="1641"/>
      <c r="CI126" s="1641"/>
      <c r="CJ126" s="1641"/>
      <c r="CK126" s="1641"/>
      <c r="CL126" s="1641"/>
      <c r="CM126" s="1641"/>
      <c r="CN126" s="1641"/>
      <c r="CO126" s="1641"/>
      <c r="CP126" s="1641"/>
      <c r="CQ126" s="1641"/>
      <c r="CR126" s="1641"/>
      <c r="CS126" s="1641"/>
      <c r="CT126" s="1641"/>
      <c r="CU126" s="1641"/>
      <c r="CV126" s="1641"/>
      <c r="CW126" s="1641"/>
      <c r="CX126" s="1641"/>
      <c r="CY126" s="1641"/>
      <c r="CZ126" s="1641"/>
      <c r="DA126" s="1641"/>
      <c r="DB126" s="1641"/>
      <c r="DC126" s="1641"/>
      <c r="DD126" s="1641"/>
      <c r="DE126" s="1641"/>
      <c r="DF126" s="1641"/>
      <c r="DG126" s="1641"/>
      <c r="DH126" s="1641"/>
      <c r="DI126" s="1641"/>
      <c r="DJ126" s="1641"/>
      <c r="DK126" s="1641"/>
      <c r="DL126" s="1641"/>
      <c r="DM126" s="1641"/>
      <c r="DN126" s="1641"/>
      <c r="DO126" s="1641"/>
      <c r="DP126" s="1641"/>
      <c r="DQ126" s="1641"/>
      <c r="DR126" s="1641"/>
      <c r="DS126" s="1641"/>
      <c r="DT126" s="1641"/>
      <c r="DU126" s="1641"/>
      <c r="DV126" s="1641"/>
      <c r="DW126" s="1641"/>
      <c r="DX126" s="1641"/>
      <c r="DY126" s="1641"/>
      <c r="DZ126" s="1641"/>
      <c r="EA126" s="1641"/>
      <c r="EB126" s="1641"/>
      <c r="EC126" s="1641"/>
      <c r="ED126" s="1641"/>
      <c r="EE126" s="1641"/>
      <c r="EF126" s="1641"/>
      <c r="EG126" s="1641"/>
      <c r="EH126" s="1641"/>
      <c r="EI126" s="1641"/>
      <c r="EJ126" s="1641"/>
      <c r="EK126" s="1641"/>
      <c r="EL126" s="1641"/>
      <c r="EM126" s="1641"/>
      <c r="EN126" s="1641"/>
      <c r="EO126" s="1641"/>
      <c r="EP126" s="1641"/>
      <c r="EQ126" s="1641"/>
      <c r="ER126" s="1641"/>
      <c r="ES126" s="1641"/>
      <c r="ET126" s="1641"/>
      <c r="EU126" s="1641"/>
      <c r="EV126" s="1641"/>
      <c r="EW126" s="1641"/>
      <c r="EX126" s="1641"/>
      <c r="EY126" s="1641"/>
      <c r="EZ126" s="1641"/>
      <c r="FA126" s="1641"/>
      <c r="FB126" s="1641"/>
      <c r="FC126" s="1641"/>
      <c r="FD126" s="1641"/>
      <c r="FE126" s="1641"/>
      <c r="FF126" s="1641"/>
      <c r="FG126" s="1641"/>
      <c r="FH126" s="1641"/>
      <c r="FI126" s="1641"/>
      <c r="FJ126" s="1641"/>
      <c r="FK126" s="1641"/>
      <c r="FL126" s="1641"/>
      <c r="FM126" s="1641"/>
      <c r="FN126" s="1641"/>
      <c r="FO126" s="1641"/>
      <c r="FP126" s="1641"/>
      <c r="FQ126" s="1641"/>
      <c r="FR126" s="1641"/>
      <c r="FS126" s="1641"/>
      <c r="FT126" s="1641"/>
      <c r="FU126" s="1641"/>
      <c r="FV126" s="1641"/>
      <c r="FW126" s="1641"/>
      <c r="FX126" s="1641"/>
      <c r="FY126" s="1641"/>
      <c r="FZ126" s="1641"/>
      <c r="GA126" s="1641"/>
      <c r="GB126" s="1641"/>
      <c r="GC126" s="1641"/>
      <c r="GD126" s="1641"/>
      <c r="GE126" s="1641"/>
      <c r="GF126" s="1641"/>
      <c r="GG126" s="1641"/>
      <c r="GH126" s="1641"/>
      <c r="GI126" s="1641"/>
      <c r="GJ126" s="1641"/>
      <c r="GK126" s="1641"/>
      <c r="GL126" s="1641"/>
      <c r="GM126" s="1641"/>
      <c r="GN126" s="1641"/>
      <c r="GO126" s="1641"/>
      <c r="GP126" s="1641"/>
      <c r="GQ126" s="1641"/>
      <c r="GR126" s="1641"/>
      <c r="GS126" s="1641"/>
      <c r="GT126" s="1641"/>
      <c r="GU126" s="1641"/>
      <c r="GV126" s="1641"/>
      <c r="GW126" s="1641"/>
      <c r="GX126" s="1641"/>
      <c r="GY126" s="1641"/>
      <c r="GZ126" s="1641"/>
      <c r="HA126" s="1641"/>
      <c r="HB126" s="1641"/>
      <c r="HC126" s="1641"/>
      <c r="HD126" s="1641"/>
      <c r="HE126" s="1641"/>
      <c r="HF126" s="1641"/>
      <c r="HG126" s="1641"/>
      <c r="HH126" s="1641"/>
      <c r="HI126" s="1641"/>
      <c r="HJ126" s="1641"/>
      <c r="HK126" s="1641"/>
      <c r="HL126" s="1641"/>
      <c r="HM126" s="1641"/>
      <c r="HN126" s="1641"/>
      <c r="HO126" s="1641"/>
      <c r="HP126" s="1641"/>
      <c r="HQ126" s="1641"/>
      <c r="HR126" s="1641"/>
      <c r="HS126" s="1641"/>
      <c r="HT126" s="1641"/>
      <c r="HU126" s="1641"/>
      <c r="HV126" s="1641"/>
      <c r="HW126" s="1641"/>
      <c r="HX126" s="1641"/>
      <c r="HY126" s="1641"/>
      <c r="HZ126" s="1641"/>
      <c r="IA126" s="1641"/>
      <c r="IB126" s="1641"/>
      <c r="IC126" s="1641"/>
      <c r="ID126" s="1641"/>
      <c r="IE126" s="1641"/>
      <c r="IF126" s="1641"/>
      <c r="IG126" s="1641"/>
      <c r="IH126" s="1641"/>
      <c r="II126" s="1641"/>
      <c r="IJ126" s="1641"/>
      <c r="IK126" s="1641"/>
      <c r="IL126" s="1641"/>
      <c r="IM126" s="1641"/>
      <c r="IN126" s="1641"/>
      <c r="IO126" s="1641"/>
      <c r="IP126" s="1641"/>
      <c r="IQ126" s="1641"/>
      <c r="IR126" s="1641"/>
      <c r="IS126" s="1641"/>
      <c r="IT126" s="1641"/>
      <c r="IU126" s="1641"/>
      <c r="IV126" s="1641"/>
      <c r="IW126" s="1641"/>
      <c r="IX126" s="1641"/>
      <c r="IY126" s="1641"/>
      <c r="IZ126" s="1641"/>
      <c r="JA126" s="1641"/>
      <c r="JB126" s="1641"/>
      <c r="JC126" s="1641"/>
      <c r="JD126" s="1641"/>
      <c r="JE126" s="1641"/>
      <c r="JF126" s="1641"/>
      <c r="JG126" s="1641"/>
      <c r="JH126" s="1641"/>
      <c r="JI126" s="1641"/>
      <c r="JJ126" s="1641"/>
      <c r="JK126" s="1641"/>
      <c r="JL126" s="1641"/>
      <c r="JM126" s="1641"/>
      <c r="JN126" s="1641"/>
      <c r="JO126" s="1641"/>
      <c r="JP126" s="1641"/>
      <c r="JQ126" s="1641"/>
      <c r="JR126" s="351"/>
    </row>
    <row r="127" spans="1:278" x14ac:dyDescent="0.25">
      <c r="A127" s="1367">
        <v>127</v>
      </c>
      <c r="B127" s="1411" t="str">
        <f t="shared" si="16"/>
        <v/>
      </c>
      <c r="C127" s="1435" t="s">
        <v>4031</v>
      </c>
      <c r="D127" s="1361" t="s">
        <v>4032</v>
      </c>
      <c r="E127" s="2561"/>
      <c r="F127" s="2561"/>
      <c r="G127" s="2561"/>
      <c r="H127" s="2561"/>
      <c r="I127" s="2561"/>
      <c r="J127" s="2561"/>
      <c r="K127" s="2561"/>
      <c r="L127" s="2561"/>
      <c r="M127" s="2561"/>
      <c r="N127" s="2561"/>
      <c r="O127" s="2561"/>
      <c r="P127" s="2561"/>
      <c r="Q127" s="2561"/>
      <c r="R127" s="2561"/>
      <c r="S127" s="2561"/>
      <c r="T127" s="2561"/>
      <c r="U127" s="2561"/>
      <c r="V127" s="2561"/>
      <c r="W127" s="2561"/>
      <c r="X127" s="2561"/>
      <c r="Y127" s="2561"/>
      <c r="Z127" s="2561"/>
      <c r="AA127" s="2561"/>
      <c r="AB127" s="2561"/>
      <c r="AC127" s="2561"/>
      <c r="AD127" s="2561"/>
      <c r="AE127" s="2561"/>
      <c r="AF127" s="2561"/>
      <c r="AG127" s="2561"/>
      <c r="AH127" s="2561"/>
      <c r="AI127" s="2561"/>
      <c r="AJ127" s="2561"/>
      <c r="AK127" s="2561"/>
      <c r="AL127" s="2561"/>
      <c r="AM127" s="2561"/>
      <c r="AN127" s="2561"/>
      <c r="AO127" s="2561"/>
      <c r="AP127" s="2561"/>
      <c r="AQ127" s="2561"/>
      <c r="AR127" s="2561"/>
      <c r="AS127" s="2561"/>
      <c r="AT127" s="2561"/>
      <c r="AU127" s="2561"/>
      <c r="AV127" s="2561"/>
      <c r="AW127" s="2561"/>
      <c r="AX127" s="2561"/>
      <c r="AY127" s="2561"/>
      <c r="AZ127" s="2561"/>
      <c r="BA127" s="2561"/>
      <c r="BB127" s="1636">
        <v>9200</v>
      </c>
      <c r="BC127" s="2561">
        <f>MAX(0,BC122-BC123)</f>
        <v>6322</v>
      </c>
      <c r="BD127" s="2561">
        <v>2384</v>
      </c>
      <c r="BE127" s="2561"/>
      <c r="BF127" s="2561"/>
      <c r="BG127" s="2561"/>
      <c r="BH127" s="2561"/>
      <c r="BI127" s="2561"/>
      <c r="BJ127" s="1636">
        <v>12310</v>
      </c>
      <c r="BK127" s="2561"/>
      <c r="BL127" s="2561"/>
      <c r="BM127" s="2561"/>
      <c r="BN127" s="2561"/>
      <c r="BO127" s="2561"/>
      <c r="BP127" s="2561"/>
      <c r="BQ127" s="2561"/>
      <c r="BR127" s="2561"/>
      <c r="BS127" s="2561"/>
      <c r="BT127" s="2561"/>
      <c r="BU127" s="2561"/>
      <c r="BV127" s="2561"/>
      <c r="BW127" s="2561"/>
      <c r="BX127" s="2561"/>
      <c r="BY127" s="2561"/>
      <c r="BZ127" s="2561"/>
      <c r="CA127" s="2561"/>
      <c r="CB127" s="1636">
        <v>12475</v>
      </c>
      <c r="CC127" s="2561"/>
      <c r="CD127" s="2561"/>
      <c r="CE127" s="2561"/>
      <c r="CF127" s="2561"/>
      <c r="CG127" s="2561"/>
      <c r="CH127" s="2561"/>
      <c r="CI127" s="2561"/>
      <c r="CJ127" s="1636">
        <v>82312</v>
      </c>
      <c r="CK127" s="2561"/>
      <c r="CL127" s="2561"/>
      <c r="CM127" s="2561"/>
      <c r="CN127" s="2561"/>
      <c r="CO127" s="2561"/>
      <c r="CP127" s="2561"/>
      <c r="CQ127" s="2561"/>
      <c r="CR127" s="2561"/>
      <c r="CS127" s="2561"/>
      <c r="CT127" s="2561"/>
      <c r="CU127" s="2561"/>
      <c r="CV127" s="2561"/>
      <c r="CW127" s="2561"/>
      <c r="CX127" s="2561"/>
      <c r="CY127" s="2561"/>
      <c r="CZ127" s="2561"/>
      <c r="DA127" s="2561"/>
      <c r="DB127" s="2561"/>
      <c r="DC127" s="2561"/>
      <c r="DD127" s="2561"/>
      <c r="DE127" s="2561"/>
      <c r="DF127" s="2561"/>
      <c r="DG127" s="2561"/>
      <c r="DH127" s="2561"/>
      <c r="DI127" s="2561"/>
      <c r="DJ127" s="2561"/>
      <c r="DK127" s="2561"/>
      <c r="DL127" s="2561"/>
      <c r="DM127" s="2561"/>
      <c r="DN127" s="2561"/>
      <c r="DO127" s="2561"/>
      <c r="DP127" s="2561"/>
      <c r="DQ127" s="2561"/>
      <c r="DR127" s="2561"/>
      <c r="DS127" s="2561"/>
      <c r="DT127" s="2561"/>
      <c r="DU127" s="2561"/>
      <c r="DV127" s="2561"/>
      <c r="DW127" s="2561"/>
      <c r="DX127" s="2561"/>
      <c r="DY127" s="2561"/>
      <c r="DZ127" s="2561"/>
      <c r="EA127" s="2561"/>
      <c r="EB127" s="2561"/>
      <c r="EC127" s="2561"/>
      <c r="ED127" s="2561"/>
      <c r="EE127" s="2561"/>
      <c r="EF127" s="2561"/>
      <c r="EG127" s="2561"/>
      <c r="EH127" s="2561"/>
      <c r="EI127" s="2561"/>
      <c r="EJ127" s="2561"/>
      <c r="EK127" s="2561"/>
      <c r="EL127" s="2561"/>
      <c r="EM127" s="2561"/>
      <c r="EN127" s="2561"/>
      <c r="EO127" s="2561"/>
      <c r="EP127" s="2561"/>
      <c r="EQ127" s="2561"/>
      <c r="ER127" s="2561"/>
      <c r="ES127" s="2561"/>
      <c r="ET127" s="2561"/>
      <c r="EU127" s="2561"/>
      <c r="EV127" s="2561"/>
      <c r="EW127" s="2561"/>
      <c r="EX127" s="2561"/>
      <c r="EY127" s="2561"/>
      <c r="EZ127" s="2561">
        <v>0</v>
      </c>
      <c r="FA127" s="2561"/>
      <c r="FB127" s="2561"/>
      <c r="FC127" s="2561"/>
      <c r="FD127" s="2561"/>
      <c r="FE127" s="2561"/>
      <c r="FF127" s="2561"/>
      <c r="FG127" s="2561"/>
      <c r="FH127" s="2561"/>
      <c r="FI127" s="2561"/>
      <c r="FJ127" s="2561"/>
      <c r="FK127" s="2561"/>
      <c r="FL127" s="2561"/>
      <c r="FM127" s="2561"/>
      <c r="FN127" s="2561"/>
      <c r="FO127" s="2561"/>
      <c r="FP127" s="2561"/>
      <c r="FQ127" s="2561"/>
      <c r="FR127" s="2561"/>
      <c r="FS127" s="2561"/>
      <c r="FT127" s="2561"/>
      <c r="FU127" s="2561"/>
      <c r="FV127" s="2561"/>
      <c r="FW127" s="2561"/>
      <c r="FX127" s="2561"/>
      <c r="FY127" s="2561"/>
      <c r="FZ127" s="2561"/>
      <c r="GA127" s="2561"/>
      <c r="GB127" s="2561"/>
      <c r="GC127" s="2561"/>
      <c r="GD127" s="2561"/>
      <c r="GE127" s="2561"/>
      <c r="GF127" s="2561">
        <v>502</v>
      </c>
      <c r="GG127" s="2561"/>
      <c r="GH127" s="2561"/>
      <c r="GI127" s="2561"/>
      <c r="GJ127" s="2561"/>
      <c r="GK127" s="2561"/>
      <c r="GL127" s="2561"/>
      <c r="GM127" s="2561"/>
      <c r="GN127" s="2561"/>
      <c r="GO127" s="2561"/>
      <c r="GP127" s="2561"/>
      <c r="GQ127" s="2561"/>
      <c r="GR127" s="2561"/>
      <c r="GS127" s="2561"/>
      <c r="GT127" s="2561"/>
      <c r="GU127" s="2561"/>
      <c r="GV127" s="2561"/>
      <c r="GW127" s="2561"/>
      <c r="GX127" s="2561"/>
      <c r="GY127" s="2561"/>
      <c r="GZ127" s="2561"/>
      <c r="HA127" s="2561"/>
      <c r="HB127" s="2561"/>
      <c r="HC127" s="2561"/>
      <c r="HD127" s="2561"/>
      <c r="HE127" s="2561"/>
      <c r="HF127" s="2561"/>
      <c r="HG127" s="2561"/>
      <c r="HH127" s="2561">
        <f>HH121</f>
        <v>2110</v>
      </c>
      <c r="HI127" s="2561"/>
      <c r="HJ127" s="2561"/>
      <c r="HK127" s="2561"/>
      <c r="HL127" s="2561"/>
      <c r="HM127" s="2561"/>
      <c r="HN127" s="2561"/>
      <c r="HO127" s="2561"/>
      <c r="HP127" s="2561"/>
      <c r="HQ127" s="2561"/>
      <c r="HR127" s="2561"/>
      <c r="HS127" s="2561"/>
      <c r="HT127" s="2561"/>
      <c r="HU127" s="2561"/>
      <c r="HV127" s="2561"/>
      <c r="HW127" s="2561"/>
      <c r="HX127" s="2561"/>
      <c r="HY127" s="2561"/>
      <c r="HZ127" s="2561"/>
      <c r="IA127" s="2561"/>
      <c r="IB127" s="2561"/>
      <c r="IC127" s="2561"/>
      <c r="ID127" s="2561"/>
      <c r="IE127" s="2561"/>
      <c r="IF127" s="2561"/>
      <c r="IG127" s="2561"/>
      <c r="IH127" s="2561"/>
      <c r="II127" s="2561"/>
      <c r="IJ127" s="2561"/>
      <c r="IK127" s="2561"/>
      <c r="IL127" s="2561"/>
      <c r="IM127" s="2561"/>
      <c r="IN127" s="2561"/>
      <c r="IO127" s="2561"/>
      <c r="IP127" s="2561"/>
      <c r="IQ127" s="2561"/>
      <c r="IR127" s="2561"/>
      <c r="IS127" s="2561"/>
      <c r="IT127" s="2561"/>
      <c r="IU127" s="2561"/>
      <c r="IV127" s="2561"/>
      <c r="IW127" s="2561"/>
      <c r="IX127" s="2561"/>
      <c r="IY127" s="2561"/>
      <c r="IZ127" s="2561"/>
      <c r="JA127" s="2561"/>
      <c r="JB127" s="2561"/>
      <c r="JC127" s="2561"/>
      <c r="JD127" s="2561"/>
      <c r="JE127" s="2561">
        <v>502</v>
      </c>
      <c r="JF127" s="2561"/>
      <c r="JG127" s="2561"/>
      <c r="JH127" s="2561"/>
      <c r="JI127" s="2561"/>
      <c r="JJ127" s="2561"/>
      <c r="JK127" s="2561"/>
      <c r="JL127" s="2561"/>
      <c r="JM127" s="2561"/>
      <c r="JN127" s="2561"/>
      <c r="JO127" s="2561"/>
      <c r="JP127" s="2561"/>
      <c r="JQ127" s="2561"/>
      <c r="JR127" s="351"/>
    </row>
    <row r="128" spans="1:278" x14ac:dyDescent="0.25">
      <c r="A128" s="1367">
        <v>128</v>
      </c>
      <c r="B128" s="1411" t="str">
        <f t="shared" si="16"/>
        <v/>
      </c>
      <c r="C128" s="1644" t="s">
        <v>4033</v>
      </c>
      <c r="D128" s="1645" t="s">
        <v>3890</v>
      </c>
      <c r="E128" s="1641"/>
      <c r="F128" s="1641"/>
      <c r="G128" s="1641"/>
      <c r="H128" s="1641"/>
      <c r="I128" s="1641"/>
      <c r="J128" s="1641"/>
      <c r="K128" s="1641"/>
      <c r="L128" s="1641"/>
      <c r="M128" s="1641"/>
      <c r="N128" s="1641"/>
      <c r="O128" s="1641"/>
      <c r="P128" s="1641"/>
      <c r="Q128" s="1641"/>
      <c r="R128" s="1641"/>
      <c r="S128" s="1641"/>
      <c r="T128" s="1641"/>
      <c r="U128" s="1641"/>
      <c r="V128" s="1641"/>
      <c r="W128" s="1641"/>
      <c r="X128" s="1641"/>
      <c r="Y128" s="1641"/>
      <c r="Z128" s="1641"/>
      <c r="AA128" s="1641"/>
      <c r="AB128" s="1641"/>
      <c r="AC128" s="1641"/>
      <c r="AD128" s="1641"/>
      <c r="AE128" s="1641"/>
      <c r="AF128" s="1641"/>
      <c r="AG128" s="1641"/>
      <c r="AH128" s="1641"/>
      <c r="AI128" s="1641"/>
      <c r="AJ128" s="1641"/>
      <c r="AK128" s="1641"/>
      <c r="AL128" s="1641"/>
      <c r="AM128" s="1641"/>
      <c r="AN128" s="1641"/>
      <c r="AO128" s="1641"/>
      <c r="AP128" s="1641"/>
      <c r="AQ128" s="1641"/>
      <c r="AR128" s="1641"/>
      <c r="AS128" s="1641"/>
      <c r="AT128" s="1641"/>
      <c r="AU128" s="1641"/>
      <c r="AV128" s="1641"/>
      <c r="AW128" s="1641"/>
      <c r="AX128" s="1641"/>
      <c r="AY128" s="1641"/>
      <c r="AZ128" s="1641"/>
      <c r="BA128" s="1641"/>
      <c r="BB128" s="1641"/>
      <c r="BC128" s="1641"/>
      <c r="BD128" s="1641"/>
      <c r="BE128" s="1641"/>
      <c r="BF128" s="1641"/>
      <c r="BG128" s="1641"/>
      <c r="BH128" s="1641"/>
      <c r="BI128" s="1641"/>
      <c r="BJ128" s="1641"/>
      <c r="BK128" s="1641"/>
      <c r="BL128" s="1641"/>
      <c r="BM128" s="1641"/>
      <c r="BN128" s="1641"/>
      <c r="BO128" s="1641"/>
      <c r="BP128" s="1641"/>
      <c r="BQ128" s="1641"/>
      <c r="BR128" s="1641"/>
      <c r="BS128" s="1641"/>
      <c r="BT128" s="1641"/>
      <c r="BU128" s="1641"/>
      <c r="BV128" s="1641"/>
      <c r="BW128" s="1641"/>
      <c r="BX128" s="1641"/>
      <c r="BY128" s="1641"/>
      <c r="BZ128" s="1641"/>
      <c r="CA128" s="1641"/>
      <c r="CB128" s="1641"/>
      <c r="CC128" s="1641"/>
      <c r="CD128" s="1641"/>
      <c r="CE128" s="1641"/>
      <c r="CF128" s="1641"/>
      <c r="CG128" s="1641"/>
      <c r="CH128" s="1641"/>
      <c r="CI128" s="1641"/>
      <c r="CJ128" s="1641"/>
      <c r="CK128" s="1641"/>
      <c r="CL128" s="1641"/>
      <c r="CM128" s="1641"/>
      <c r="CN128" s="1641"/>
      <c r="CO128" s="1641"/>
      <c r="CP128" s="1641"/>
      <c r="CQ128" s="1641"/>
      <c r="CR128" s="1641"/>
      <c r="CS128" s="1641"/>
      <c r="CT128" s="1641"/>
      <c r="CU128" s="1641"/>
      <c r="CV128" s="1641"/>
      <c r="CW128" s="1641"/>
      <c r="CX128" s="1641"/>
      <c r="CY128" s="1641"/>
      <c r="CZ128" s="1641"/>
      <c r="DA128" s="1641"/>
      <c r="DB128" s="1641"/>
      <c r="DC128" s="1641"/>
      <c r="DD128" s="1641"/>
      <c r="DE128" s="1641"/>
      <c r="DF128" s="1641"/>
      <c r="DG128" s="1641"/>
      <c r="DH128" s="1641"/>
      <c r="DI128" s="1641"/>
      <c r="DJ128" s="1641"/>
      <c r="DK128" s="1641"/>
      <c r="DL128" s="1641"/>
      <c r="DM128" s="1641"/>
      <c r="DN128" s="1641"/>
      <c r="DO128" s="1641"/>
      <c r="DP128" s="1641"/>
      <c r="DQ128" s="1641"/>
      <c r="DR128" s="1641"/>
      <c r="DS128" s="1641"/>
      <c r="DT128" s="1641"/>
      <c r="DU128" s="1641"/>
      <c r="DV128" s="1641"/>
      <c r="DW128" s="1641"/>
      <c r="DX128" s="1641"/>
      <c r="DY128" s="1641"/>
      <c r="DZ128" s="1641"/>
      <c r="EA128" s="1641"/>
      <c r="EB128" s="1641"/>
      <c r="EC128" s="1641"/>
      <c r="ED128" s="1641"/>
      <c r="EE128" s="1641"/>
      <c r="EF128" s="1641"/>
      <c r="EG128" s="1641"/>
      <c r="EH128" s="1641"/>
      <c r="EI128" s="1641"/>
      <c r="EJ128" s="1641"/>
      <c r="EK128" s="1641"/>
      <c r="EL128" s="1641"/>
      <c r="EM128" s="1641"/>
      <c r="EN128" s="1641"/>
      <c r="EO128" s="1641"/>
      <c r="EP128" s="1641"/>
      <c r="EQ128" s="1641"/>
      <c r="ER128" s="1641"/>
      <c r="ES128" s="1641"/>
      <c r="ET128" s="1641"/>
      <c r="EU128" s="1641"/>
      <c r="EV128" s="1641"/>
      <c r="EW128" s="1641"/>
      <c r="EX128" s="1641"/>
      <c r="EY128" s="1641"/>
      <c r="EZ128" s="1641"/>
      <c r="FA128" s="1641"/>
      <c r="FB128" s="1641"/>
      <c r="FC128" s="1641"/>
      <c r="FD128" s="1641"/>
      <c r="FE128" s="1641"/>
      <c r="FF128" s="1641"/>
      <c r="FG128" s="1641"/>
      <c r="FH128" s="1641"/>
      <c r="FI128" s="1641"/>
      <c r="FJ128" s="1641"/>
      <c r="FK128" s="1641"/>
      <c r="FL128" s="1641"/>
      <c r="FM128" s="1641"/>
      <c r="FN128" s="1641"/>
      <c r="FO128" s="1641"/>
      <c r="FP128" s="1641"/>
      <c r="FQ128" s="1641"/>
      <c r="FR128" s="1641"/>
      <c r="FS128" s="1641"/>
      <c r="FT128" s="1641"/>
      <c r="FU128" s="1641"/>
      <c r="FV128" s="1641"/>
      <c r="FW128" s="1641"/>
      <c r="FX128" s="1641"/>
      <c r="FY128" s="1641"/>
      <c r="FZ128" s="1641"/>
      <c r="GA128" s="1641"/>
      <c r="GB128" s="1641"/>
      <c r="GC128" s="1641"/>
      <c r="GD128" s="1641"/>
      <c r="GE128" s="1641"/>
      <c r="GF128" s="1641"/>
      <c r="GG128" s="1641"/>
      <c r="GH128" s="1641"/>
      <c r="GI128" s="1641"/>
      <c r="GJ128" s="1641"/>
      <c r="GK128" s="1641"/>
      <c r="GL128" s="1641"/>
      <c r="GM128" s="1641"/>
      <c r="GN128" s="1641"/>
      <c r="GO128" s="1641"/>
      <c r="GP128" s="1641"/>
      <c r="GQ128" s="1641"/>
      <c r="GR128" s="1641"/>
      <c r="GS128" s="1641"/>
      <c r="GT128" s="1641"/>
      <c r="GU128" s="1641"/>
      <c r="GV128" s="1641"/>
      <c r="GW128" s="1641"/>
      <c r="GX128" s="1641"/>
      <c r="GY128" s="1641"/>
      <c r="GZ128" s="1641"/>
      <c r="HA128" s="1641"/>
      <c r="HB128" s="1641"/>
      <c r="HC128" s="1641"/>
      <c r="HD128" s="1641"/>
      <c r="HE128" s="1641"/>
      <c r="HF128" s="1641"/>
      <c r="HG128" s="1641"/>
      <c r="HH128" s="1641"/>
      <c r="HI128" s="1641"/>
      <c r="HJ128" s="1641"/>
      <c r="HK128" s="1641"/>
      <c r="HL128" s="1641"/>
      <c r="HM128" s="1641"/>
      <c r="HN128" s="1641"/>
      <c r="HO128" s="1641"/>
      <c r="HP128" s="1641"/>
      <c r="HQ128" s="1641"/>
      <c r="HR128" s="1641"/>
      <c r="HS128" s="1641"/>
      <c r="HT128" s="1641"/>
      <c r="HU128" s="1641"/>
      <c r="HV128" s="1641"/>
      <c r="HW128" s="1641"/>
      <c r="HX128" s="1641"/>
      <c r="HY128" s="1641"/>
      <c r="HZ128" s="1641"/>
      <c r="IA128" s="1641"/>
      <c r="IB128" s="1641"/>
      <c r="IC128" s="1641"/>
      <c r="ID128" s="1641"/>
      <c r="IE128" s="1641"/>
      <c r="IF128" s="1641"/>
      <c r="IG128" s="1641"/>
      <c r="IH128" s="1641"/>
      <c r="II128" s="1641"/>
      <c r="IJ128" s="1641"/>
      <c r="IK128" s="1641"/>
      <c r="IL128" s="1641"/>
      <c r="IM128" s="1641"/>
      <c r="IN128" s="1641"/>
      <c r="IO128" s="1641"/>
      <c r="IP128" s="2563"/>
      <c r="IQ128" s="2563"/>
      <c r="IR128" s="2563"/>
      <c r="IS128" s="2563"/>
      <c r="IT128" s="2563"/>
      <c r="IU128" s="2563"/>
      <c r="IV128" s="2563"/>
      <c r="IW128" s="2563"/>
      <c r="IX128" s="1641"/>
      <c r="IY128" s="1641"/>
      <c r="IZ128" s="1641"/>
      <c r="JA128" s="1641"/>
      <c r="JB128" s="1641"/>
      <c r="JC128" s="1641"/>
      <c r="JD128" s="1641"/>
      <c r="JE128" s="1641"/>
      <c r="JF128" s="1641"/>
      <c r="JG128" s="1641"/>
      <c r="JH128" s="2563"/>
      <c r="JI128" s="2563"/>
      <c r="JJ128" s="2563"/>
      <c r="JK128" s="2563"/>
      <c r="JL128" s="2563"/>
      <c r="JM128" s="2563"/>
      <c r="JN128" s="2563"/>
      <c r="JO128" s="2563"/>
      <c r="JP128" s="2563"/>
      <c r="JQ128" s="1405"/>
      <c r="JR128" s="351"/>
    </row>
    <row r="129" spans="1:278" x14ac:dyDescent="0.25">
      <c r="A129" s="1367">
        <v>129</v>
      </c>
      <c r="B129" s="1411" t="str">
        <f t="shared" si="16"/>
        <v/>
      </c>
      <c r="C129" s="1435" t="s">
        <v>4034</v>
      </c>
      <c r="D129" s="1361" t="s">
        <v>4035</v>
      </c>
      <c r="E129" s="1641"/>
      <c r="F129" s="1641"/>
      <c r="G129" s="1641"/>
      <c r="H129" s="1641"/>
      <c r="I129" s="1641"/>
      <c r="J129" s="1641"/>
      <c r="K129" s="1641"/>
      <c r="L129" s="1641"/>
      <c r="M129" s="1641"/>
      <c r="N129" s="1641"/>
      <c r="O129" s="1641"/>
      <c r="P129" s="1641"/>
      <c r="Q129" s="1641"/>
      <c r="R129" s="1641"/>
      <c r="S129" s="1641"/>
      <c r="T129" s="1641"/>
      <c r="U129" s="1641"/>
      <c r="V129" s="1641"/>
      <c r="W129" s="1641"/>
      <c r="X129" s="1641"/>
      <c r="Y129" s="1641"/>
      <c r="Z129" s="1641"/>
      <c r="AA129" s="1641"/>
      <c r="AB129" s="1641"/>
      <c r="AC129" s="1641"/>
      <c r="AD129" s="1641"/>
      <c r="AE129" s="1641"/>
      <c r="AF129" s="1641"/>
      <c r="AG129" s="1641"/>
      <c r="AH129" s="1641"/>
      <c r="AI129" s="1641"/>
      <c r="AJ129" s="1641"/>
      <c r="AK129" s="1641"/>
      <c r="AL129" s="1641"/>
      <c r="AM129" s="1641"/>
      <c r="AN129" s="1641"/>
      <c r="AO129" s="1641"/>
      <c r="AP129" s="1641"/>
      <c r="AQ129" s="1641"/>
      <c r="AR129" s="1641"/>
      <c r="AS129" s="1641"/>
      <c r="AT129" s="1641"/>
      <c r="AU129" s="1641"/>
      <c r="AV129" s="1641"/>
      <c r="AW129" s="1641"/>
      <c r="AX129" s="1641"/>
      <c r="AY129" s="1641"/>
      <c r="AZ129" s="1641"/>
      <c r="BA129" s="1641"/>
      <c r="BB129" s="1641"/>
      <c r="BC129" s="1641"/>
      <c r="BD129" s="1641"/>
      <c r="BE129" s="1641"/>
      <c r="BF129" s="1641"/>
      <c r="BG129" s="1641"/>
      <c r="BH129" s="1641"/>
      <c r="BI129" s="1641"/>
      <c r="BJ129" s="1641"/>
      <c r="BK129" s="1641"/>
      <c r="BL129" s="1641"/>
      <c r="BM129" s="1641"/>
      <c r="BN129" s="1641"/>
      <c r="BO129" s="1641"/>
      <c r="BP129" s="1641"/>
      <c r="BQ129" s="1641"/>
      <c r="BR129" s="1641"/>
      <c r="BS129" s="1641"/>
      <c r="BT129" s="1641"/>
      <c r="BU129" s="1641"/>
      <c r="BV129" s="1641"/>
      <c r="BW129" s="1641"/>
      <c r="BX129" s="1641"/>
      <c r="BY129" s="1641"/>
      <c r="BZ129" s="1641"/>
      <c r="CA129" s="1641"/>
      <c r="CB129" s="1641"/>
      <c r="CC129" s="1641"/>
      <c r="CD129" s="1641"/>
      <c r="CE129" s="1641"/>
      <c r="CF129" s="1641"/>
      <c r="CG129" s="1641"/>
      <c r="CH129" s="1641"/>
      <c r="CI129" s="1641"/>
      <c r="CJ129" s="1641"/>
      <c r="CK129" s="1641"/>
      <c r="CL129" s="1641"/>
      <c r="CM129" s="1641"/>
      <c r="CN129" s="1641"/>
      <c r="CO129" s="1641"/>
      <c r="CP129" s="1641"/>
      <c r="CQ129" s="1641"/>
      <c r="CR129" s="1641"/>
      <c r="CS129" s="1641"/>
      <c r="CT129" s="1641"/>
      <c r="CU129" s="1641"/>
      <c r="CV129" s="1641"/>
      <c r="CW129" s="1641"/>
      <c r="CX129" s="1641"/>
      <c r="CY129" s="1641"/>
      <c r="CZ129" s="1641"/>
      <c r="DA129" s="1641"/>
      <c r="DB129" s="1641"/>
      <c r="DC129" s="1641"/>
      <c r="DD129" s="1641"/>
      <c r="DE129" s="1641"/>
      <c r="DF129" s="1641"/>
      <c r="DG129" s="1641"/>
      <c r="DH129" s="1641"/>
      <c r="DI129" s="1641"/>
      <c r="DJ129" s="1641"/>
      <c r="DK129" s="1641"/>
      <c r="DL129" s="1641"/>
      <c r="DM129" s="1641"/>
      <c r="DN129" s="1641"/>
      <c r="DO129" s="1641"/>
      <c r="DP129" s="1641"/>
      <c r="DQ129" s="1641"/>
      <c r="DR129" s="1641"/>
      <c r="DS129" s="1641"/>
      <c r="DT129" s="1641"/>
      <c r="DU129" s="1641"/>
      <c r="DV129" s="1641"/>
      <c r="DW129" s="1641"/>
      <c r="DX129" s="1641"/>
      <c r="DY129" s="1641"/>
      <c r="DZ129" s="1641"/>
      <c r="EA129" s="1641"/>
      <c r="EB129" s="1641"/>
      <c r="EC129" s="1641"/>
      <c r="ED129" s="1641"/>
      <c r="EE129" s="1641"/>
      <c r="EF129" s="1641"/>
      <c r="EG129" s="1641"/>
      <c r="EH129" s="1641"/>
      <c r="EI129" s="1641"/>
      <c r="EJ129" s="1641"/>
      <c r="EK129" s="1641"/>
      <c r="EL129" s="1641"/>
      <c r="EM129" s="1641"/>
      <c r="EN129" s="1641"/>
      <c r="EO129" s="1641"/>
      <c r="EP129" s="1641"/>
      <c r="EQ129" s="1641"/>
      <c r="ER129" s="1641"/>
      <c r="ES129" s="1641"/>
      <c r="ET129" s="1641"/>
      <c r="EU129" s="1641"/>
      <c r="EV129" s="1641"/>
      <c r="EW129" s="1641"/>
      <c r="EX129" s="1641"/>
      <c r="EY129" s="1641"/>
      <c r="EZ129" s="1641"/>
      <c r="FA129" s="1641"/>
      <c r="FB129" s="1641"/>
      <c r="FC129" s="1641"/>
      <c r="FD129" s="1641"/>
      <c r="FE129" s="1641"/>
      <c r="FF129" s="1641"/>
      <c r="FG129" s="1641"/>
      <c r="FH129" s="1641"/>
      <c r="FI129" s="1641"/>
      <c r="FJ129" s="1641"/>
      <c r="FK129" s="1641"/>
      <c r="FL129" s="1641"/>
      <c r="FM129" s="1641"/>
      <c r="FN129" s="1641"/>
      <c r="FO129" s="1641"/>
      <c r="FP129" s="1641"/>
      <c r="FQ129" s="1641"/>
      <c r="FR129" s="1641"/>
      <c r="FS129" s="1641"/>
      <c r="FT129" s="1641"/>
      <c r="FU129" s="1641"/>
      <c r="FV129" s="1641"/>
      <c r="FW129" s="1641"/>
      <c r="FX129" s="1641"/>
      <c r="FY129" s="1641"/>
      <c r="FZ129" s="1641"/>
      <c r="GA129" s="1641"/>
      <c r="GB129" s="1641"/>
      <c r="GC129" s="1641"/>
      <c r="GD129" s="1641"/>
      <c r="GE129" s="1641"/>
      <c r="GF129" s="1641"/>
      <c r="GG129" s="1641"/>
      <c r="GH129" s="1641"/>
      <c r="GI129" s="1641"/>
      <c r="GJ129" s="1641"/>
      <c r="GK129" s="1641"/>
      <c r="GL129" s="1641"/>
      <c r="GM129" s="1641"/>
      <c r="GN129" s="1641"/>
      <c r="GO129" s="1641"/>
      <c r="GP129" s="1641"/>
      <c r="GQ129" s="1641"/>
      <c r="GR129" s="1641"/>
      <c r="GS129" s="1641"/>
      <c r="GT129" s="1641"/>
      <c r="GU129" s="1641"/>
      <c r="GV129" s="1641"/>
      <c r="GW129" s="1641"/>
      <c r="GX129" s="1641"/>
      <c r="GY129" s="1641"/>
      <c r="GZ129" s="1641"/>
      <c r="HA129" s="1641"/>
      <c r="HB129" s="1641"/>
      <c r="HC129" s="1641"/>
      <c r="HD129" s="1641"/>
      <c r="HE129" s="1641"/>
      <c r="HF129" s="1641"/>
      <c r="HG129" s="1641"/>
      <c r="HH129" s="1641"/>
      <c r="HI129" s="1641"/>
      <c r="HJ129" s="1641">
        <v>6001</v>
      </c>
      <c r="HK129" s="1641">
        <v>2278</v>
      </c>
      <c r="HL129" s="1641">
        <v>2278</v>
      </c>
      <c r="HM129" s="1641">
        <v>2278</v>
      </c>
      <c r="HN129" s="1641"/>
      <c r="HO129" s="1641"/>
      <c r="HP129" s="1641"/>
      <c r="HQ129" s="1641"/>
      <c r="HR129" s="1641"/>
      <c r="HS129" s="1641"/>
      <c r="HT129" s="1641"/>
      <c r="HU129" s="1641"/>
      <c r="HV129" s="1641"/>
      <c r="HW129" s="1641"/>
      <c r="HX129" s="1641"/>
      <c r="HY129" s="1641"/>
      <c r="HZ129" s="1641"/>
      <c r="IA129" s="1641"/>
      <c r="IB129" s="1641"/>
      <c r="IC129" s="1641"/>
      <c r="ID129" s="1641"/>
      <c r="IE129" s="1641"/>
      <c r="IF129" s="1641"/>
      <c r="IG129" s="1641"/>
      <c r="IH129" s="1641"/>
      <c r="II129" s="1641"/>
      <c r="IJ129" s="1641"/>
      <c r="IK129" s="1641"/>
      <c r="IL129" s="1641"/>
      <c r="IM129" s="1641"/>
      <c r="IN129" s="1641"/>
      <c r="IO129" s="1641"/>
      <c r="IP129" s="1410"/>
      <c r="IQ129" s="1410"/>
      <c r="IR129" s="1410"/>
      <c r="IS129" s="1410"/>
      <c r="IT129" s="1410"/>
      <c r="IU129" s="1410"/>
      <c r="IV129" s="1410"/>
      <c r="IW129" s="1410"/>
      <c r="IX129" s="1641"/>
      <c r="IY129" s="1641"/>
      <c r="IZ129" s="1641"/>
      <c r="JA129" s="1641"/>
      <c r="JB129" s="1641"/>
      <c r="JC129" s="1641"/>
      <c r="JD129" s="1641"/>
      <c r="JE129" s="1641"/>
      <c r="JF129" s="1641"/>
      <c r="JG129" s="1641"/>
      <c r="JH129" s="1410"/>
      <c r="JI129" s="1410"/>
      <c r="JJ129" s="1410"/>
      <c r="JK129" s="1410"/>
      <c r="JL129" s="1410"/>
      <c r="JM129" s="1410"/>
      <c r="JN129" s="1410"/>
      <c r="JO129" s="1410"/>
      <c r="JP129" s="1410"/>
      <c r="JQ129" s="1405"/>
      <c r="JR129" s="351"/>
    </row>
    <row r="130" spans="1:278" x14ac:dyDescent="0.25">
      <c r="A130" s="1367">
        <v>130</v>
      </c>
      <c r="B130" s="1411" t="str">
        <f t="shared" si="16"/>
        <v/>
      </c>
      <c r="C130" s="1435" t="s">
        <v>4036</v>
      </c>
      <c r="D130" s="1361" t="s">
        <v>4037</v>
      </c>
      <c r="E130" s="1641"/>
      <c r="F130" s="1641"/>
      <c r="G130" s="1641"/>
      <c r="H130" s="1641"/>
      <c r="I130" s="1641"/>
      <c r="J130" s="1641"/>
      <c r="K130" s="1641"/>
      <c r="L130" s="1641"/>
      <c r="M130" s="1641"/>
      <c r="N130" s="1641"/>
      <c r="O130" s="1641"/>
      <c r="P130" s="1641"/>
      <c r="Q130" s="1641"/>
      <c r="R130" s="1641"/>
      <c r="S130" s="1641"/>
      <c r="T130" s="1641"/>
      <c r="U130" s="1641"/>
      <c r="V130" s="1641"/>
      <c r="W130" s="1641"/>
      <c r="X130" s="1641"/>
      <c r="Y130" s="1641"/>
      <c r="Z130" s="1641"/>
      <c r="AA130" s="1641"/>
      <c r="AB130" s="1641"/>
      <c r="AC130" s="1641"/>
      <c r="AD130" s="1641"/>
      <c r="AE130" s="1641"/>
      <c r="AF130" s="1641"/>
      <c r="AG130" s="1641"/>
      <c r="AH130" s="1641"/>
      <c r="AI130" s="1641"/>
      <c r="AJ130" s="1641"/>
      <c r="AK130" s="1641"/>
      <c r="AL130" s="1641"/>
      <c r="AM130" s="1641"/>
      <c r="AN130" s="1641"/>
      <c r="AO130" s="1641"/>
      <c r="AP130" s="1641"/>
      <c r="AQ130" s="1641"/>
      <c r="AR130" s="1641"/>
      <c r="AS130" s="1641"/>
      <c r="AT130" s="1641"/>
      <c r="AU130" s="1641"/>
      <c r="AV130" s="1641"/>
      <c r="AW130" s="1641"/>
      <c r="AX130" s="1641"/>
      <c r="AY130" s="1641"/>
      <c r="AZ130" s="1641"/>
      <c r="BA130" s="1641"/>
      <c r="BB130" s="1641"/>
      <c r="BC130" s="1641"/>
      <c r="BD130" s="1641"/>
      <c r="BE130" s="1641"/>
      <c r="BF130" s="1641"/>
      <c r="BG130" s="1636">
        <v>2148</v>
      </c>
      <c r="BH130" s="1641"/>
      <c r="BI130" s="1641"/>
      <c r="BJ130" s="1641"/>
      <c r="BK130" s="1641"/>
      <c r="BL130" s="1641"/>
      <c r="BM130" s="1641"/>
      <c r="BN130" s="1641"/>
      <c r="BO130" s="1641"/>
      <c r="BP130" s="1641"/>
      <c r="BQ130" s="1641"/>
      <c r="BR130" s="1641"/>
      <c r="BS130" s="1641"/>
      <c r="BT130" s="1641"/>
      <c r="BU130" s="1641"/>
      <c r="BV130" s="1641"/>
      <c r="BW130" s="1641"/>
      <c r="BX130" s="1641"/>
      <c r="BY130" s="1641"/>
      <c r="BZ130" s="1641"/>
      <c r="CA130" s="1641"/>
      <c r="CB130" s="1641"/>
      <c r="CC130" s="1641"/>
      <c r="CD130" s="1641"/>
      <c r="CE130" s="1641"/>
      <c r="CF130" s="1641"/>
      <c r="CG130" s="1641"/>
      <c r="CH130" s="1641"/>
      <c r="CI130" s="1641"/>
      <c r="CJ130" s="1641"/>
      <c r="CK130" s="1641"/>
      <c r="CL130" s="1641"/>
      <c r="CM130" s="1641"/>
      <c r="CN130" s="1641"/>
      <c r="CO130" s="1641"/>
      <c r="CP130" s="1641"/>
      <c r="CQ130" s="1641"/>
      <c r="CR130" s="1641"/>
      <c r="CS130" s="1641"/>
      <c r="CT130" s="1641"/>
      <c r="CU130" s="1641"/>
      <c r="CV130" s="1641"/>
      <c r="CW130" s="1641"/>
      <c r="CX130" s="1641"/>
      <c r="CY130" s="1641"/>
      <c r="CZ130" s="1641"/>
      <c r="DA130" s="1641"/>
      <c r="DB130" s="1641"/>
      <c r="DC130" s="1641"/>
      <c r="DD130" s="1641"/>
      <c r="DE130" s="1641"/>
      <c r="DF130" s="1641"/>
      <c r="DG130" s="1641"/>
      <c r="DH130" s="1641"/>
      <c r="DI130" s="1641"/>
      <c r="DJ130" s="1641"/>
      <c r="DK130" s="1641"/>
      <c r="DL130" s="1641"/>
      <c r="DM130" s="1641"/>
      <c r="DN130" s="1641"/>
      <c r="DO130" s="1641"/>
      <c r="DP130" s="1641"/>
      <c r="DQ130" s="1641"/>
      <c r="DR130" s="1641"/>
      <c r="DS130" s="1641"/>
      <c r="DT130" s="1641"/>
      <c r="DU130" s="1641"/>
      <c r="DV130" s="1641"/>
      <c r="DW130" s="1641"/>
      <c r="DX130" s="1641"/>
      <c r="DY130" s="1641"/>
      <c r="DZ130" s="1641"/>
      <c r="EA130" s="1641"/>
      <c r="EB130" s="1641"/>
      <c r="EC130" s="1641"/>
      <c r="ED130" s="1641"/>
      <c r="EE130" s="1641"/>
      <c r="EF130" s="1641"/>
      <c r="EG130" s="1641"/>
      <c r="EH130" s="1641"/>
      <c r="EI130" s="1641"/>
      <c r="EJ130" s="1641"/>
      <c r="EK130" s="1641"/>
      <c r="EL130" s="1641"/>
      <c r="EM130" s="1641"/>
      <c r="EN130" s="1641"/>
      <c r="EO130" s="1641"/>
      <c r="EP130" s="1641"/>
      <c r="EQ130" s="1641"/>
      <c r="ER130" s="1641"/>
      <c r="ES130" s="1641"/>
      <c r="ET130" s="1641"/>
      <c r="EU130" s="1641"/>
      <c r="EV130" s="1641"/>
      <c r="EW130" s="1641"/>
      <c r="EX130" s="1641"/>
      <c r="EY130" s="1641"/>
      <c r="EZ130" s="1641">
        <v>1134.8599999999999</v>
      </c>
      <c r="FA130" s="1641"/>
      <c r="FB130" s="1641"/>
      <c r="FC130" s="1641"/>
      <c r="FD130" s="1641"/>
      <c r="FE130" s="1641"/>
      <c r="FF130" s="1641"/>
      <c r="FG130" s="1641"/>
      <c r="FH130" s="1641"/>
      <c r="FI130" s="1641"/>
      <c r="FJ130" s="1641"/>
      <c r="FK130" s="1641"/>
      <c r="FL130" s="1641"/>
      <c r="FM130" s="1641"/>
      <c r="FN130" s="1641"/>
      <c r="FO130" s="1641"/>
      <c r="FP130" s="1641"/>
      <c r="FQ130" s="1641"/>
      <c r="FR130" s="1641"/>
      <c r="FS130" s="1641"/>
      <c r="FT130" s="1641"/>
      <c r="FU130" s="1641"/>
      <c r="FV130" s="1641"/>
      <c r="FW130" s="1641"/>
      <c r="FX130" s="1641"/>
      <c r="FY130" s="1641"/>
      <c r="FZ130" s="1641"/>
      <c r="GA130" s="1641"/>
      <c r="GB130" s="1641"/>
      <c r="GC130" s="1641"/>
      <c r="GD130" s="1641"/>
      <c r="GE130" s="1641"/>
      <c r="GF130" s="1641"/>
      <c r="GG130" s="1641"/>
      <c r="GH130" s="1641"/>
      <c r="GI130" s="1641"/>
      <c r="GJ130" s="1641"/>
      <c r="GK130" s="1641"/>
      <c r="GL130" s="1641"/>
      <c r="GM130" s="1641"/>
      <c r="GN130" s="1641"/>
      <c r="GO130" s="1641"/>
      <c r="GP130" s="1641"/>
      <c r="GQ130" s="1641"/>
      <c r="GR130" s="1641"/>
      <c r="GS130" s="1641"/>
      <c r="GT130" s="1641"/>
      <c r="GU130" s="1641"/>
      <c r="GV130" s="1641"/>
      <c r="GW130" s="1641"/>
      <c r="GX130" s="1641"/>
      <c r="GY130" s="1641"/>
      <c r="GZ130" s="1641"/>
      <c r="HA130" s="1641"/>
      <c r="HB130" s="1641"/>
      <c r="HC130" s="1641"/>
      <c r="HD130" s="1641"/>
      <c r="HE130" s="1641"/>
      <c r="HF130" s="1641"/>
      <c r="HG130" s="1641"/>
      <c r="HH130" s="1641"/>
      <c r="HI130" s="1641"/>
      <c r="HJ130" s="1641"/>
      <c r="HK130" s="1641"/>
      <c r="HL130" s="1641"/>
      <c r="HM130" s="1641"/>
      <c r="HN130" s="1641"/>
      <c r="HO130" s="1641"/>
      <c r="HP130" s="1641"/>
      <c r="HQ130" s="1641"/>
      <c r="HR130" s="1641"/>
      <c r="HS130" s="1641"/>
      <c r="HT130" s="1641"/>
      <c r="HU130" s="1641"/>
      <c r="HV130" s="1641"/>
      <c r="HW130" s="1641"/>
      <c r="HX130" s="1641"/>
      <c r="HY130" s="1641"/>
      <c r="HZ130" s="1641"/>
      <c r="IA130" s="1641"/>
      <c r="IB130" s="1641"/>
      <c r="IC130" s="1641"/>
      <c r="ID130" s="1641"/>
      <c r="IE130" s="1641"/>
      <c r="IF130" s="1641"/>
      <c r="IG130" s="1641"/>
      <c r="IH130" s="1641"/>
      <c r="II130" s="1641"/>
      <c r="IJ130" s="1641"/>
      <c r="IK130" s="1641"/>
      <c r="IL130" s="1641"/>
      <c r="IM130" s="1641"/>
      <c r="IN130" s="1641"/>
      <c r="IO130" s="1641"/>
      <c r="IP130" s="1607"/>
      <c r="IQ130" s="1607"/>
      <c r="IR130" s="1607"/>
      <c r="IS130" s="1607"/>
      <c r="IT130" s="1607"/>
      <c r="IU130" s="1607"/>
      <c r="IV130" s="1607"/>
      <c r="IW130" s="1607"/>
      <c r="IX130" s="1641"/>
      <c r="IY130" s="1641"/>
      <c r="IZ130" s="1641"/>
      <c r="JA130" s="1641"/>
      <c r="JB130" s="1641"/>
      <c r="JC130" s="1641"/>
      <c r="JD130" s="1641"/>
      <c r="JE130" s="1641"/>
      <c r="JF130" s="1641"/>
      <c r="JG130" s="1641"/>
      <c r="JH130" s="1607"/>
      <c r="JI130" s="1607"/>
      <c r="JJ130" s="1607"/>
      <c r="JK130" s="1607"/>
      <c r="JL130" s="1607"/>
      <c r="JM130" s="1607"/>
      <c r="JN130" s="1607"/>
      <c r="JO130" s="1607"/>
      <c r="JP130" s="1607"/>
      <c r="JQ130" s="2565"/>
      <c r="JR130" s="351"/>
    </row>
    <row r="131" spans="1:278" x14ac:dyDescent="0.25">
      <c r="A131" s="1367">
        <v>131</v>
      </c>
      <c r="B131" s="1411" t="str">
        <f t="shared" si="16"/>
        <v/>
      </c>
      <c r="C131" s="1435" t="s">
        <v>4038</v>
      </c>
      <c r="D131" s="1361" t="s">
        <v>3851</v>
      </c>
      <c r="E131" s="1639"/>
      <c r="F131" s="1639"/>
      <c r="G131" s="1639"/>
      <c r="H131" s="1639"/>
      <c r="I131" s="1639"/>
      <c r="J131" s="1639"/>
      <c r="K131" s="1639"/>
      <c r="L131" s="1639"/>
      <c r="M131" s="1639"/>
      <c r="N131" s="1639"/>
      <c r="O131" s="1639"/>
      <c r="P131" s="1639"/>
      <c r="Q131" s="1639"/>
      <c r="R131" s="1639"/>
      <c r="S131" s="1639"/>
      <c r="T131" s="1639"/>
      <c r="U131" s="1639"/>
      <c r="V131" s="1639"/>
      <c r="W131" s="1639"/>
      <c r="X131" s="1639"/>
      <c r="Y131" s="1639"/>
      <c r="Z131" s="1639"/>
      <c r="AA131" s="1639"/>
      <c r="AB131" s="1639"/>
      <c r="AC131" s="1639"/>
      <c r="AD131" s="1639"/>
      <c r="AE131" s="1639"/>
      <c r="AF131" s="1639"/>
      <c r="AG131" s="1639"/>
      <c r="AH131" s="1639"/>
      <c r="AI131" s="1639"/>
      <c r="AJ131" s="1639"/>
      <c r="AK131" s="1639"/>
      <c r="AL131" s="1639"/>
      <c r="AM131" s="1639"/>
      <c r="AN131" s="1639"/>
      <c r="AO131" s="1639"/>
      <c r="AP131" s="1639"/>
      <c r="AQ131" s="1639"/>
      <c r="AR131" s="1639"/>
      <c r="AS131" s="1639"/>
      <c r="AT131" s="1639"/>
      <c r="AU131" s="1639"/>
      <c r="AV131" s="1639"/>
      <c r="AW131" s="1639"/>
      <c r="AX131" s="1639"/>
      <c r="AY131" s="1639"/>
      <c r="AZ131" s="1639"/>
      <c r="BA131" s="1639"/>
      <c r="BB131" s="1639"/>
      <c r="BC131" s="1639"/>
      <c r="BD131" s="1639"/>
      <c r="BE131" s="1639"/>
      <c r="BF131" s="1639"/>
      <c r="BG131" s="1639"/>
      <c r="BH131" s="1639"/>
      <c r="BI131" s="1639"/>
      <c r="BJ131" s="1639"/>
      <c r="BK131" s="1639"/>
      <c r="BL131" s="1639"/>
      <c r="BM131" s="1639"/>
      <c r="BN131" s="1639"/>
      <c r="BO131" s="1639"/>
      <c r="BP131" s="1639"/>
      <c r="BQ131" s="1639"/>
      <c r="BR131" s="1639"/>
      <c r="BS131" s="1639"/>
      <c r="BT131" s="1639"/>
      <c r="BU131" s="1639"/>
      <c r="BV131" s="1639"/>
      <c r="BW131" s="1639"/>
      <c r="BX131" s="1639"/>
      <c r="BY131" s="1639"/>
      <c r="BZ131" s="1639"/>
      <c r="CA131" s="1639"/>
      <c r="CB131" s="1638" t="s">
        <v>4016</v>
      </c>
      <c r="CC131" s="1639"/>
      <c r="CD131" s="1639"/>
      <c r="CE131" s="1639"/>
      <c r="CF131" s="1639"/>
      <c r="CG131" s="1639"/>
      <c r="CH131" s="1639"/>
      <c r="CI131" s="1639"/>
      <c r="CJ131" s="1639"/>
      <c r="CK131" s="1639"/>
      <c r="CL131" s="1639"/>
      <c r="CM131" s="1639"/>
      <c r="CN131" s="1639"/>
      <c r="CO131" s="1639"/>
      <c r="CP131" s="1639"/>
      <c r="CQ131" s="1639"/>
      <c r="CR131" s="1639"/>
      <c r="CS131" s="1639"/>
      <c r="CT131" s="1639"/>
      <c r="CU131" s="1639"/>
      <c r="CV131" s="1639"/>
      <c r="CW131" s="1639"/>
      <c r="CX131" s="1639"/>
      <c r="CY131" s="1639"/>
      <c r="CZ131" s="1639"/>
      <c r="DA131" s="1639"/>
      <c r="DB131" s="1639"/>
      <c r="DC131" s="1639"/>
      <c r="DD131" s="1639"/>
      <c r="DE131" s="1639"/>
      <c r="DF131" s="1639"/>
      <c r="DG131" s="1639"/>
      <c r="DH131" s="1639"/>
      <c r="DI131" s="1639"/>
      <c r="DJ131" s="1639"/>
      <c r="DK131" s="1639"/>
      <c r="DL131" s="1639"/>
      <c r="DM131" s="1639"/>
      <c r="DN131" s="1639"/>
      <c r="DO131" s="1639"/>
      <c r="DP131" s="1639"/>
      <c r="DQ131" s="1639"/>
      <c r="DR131" s="1639"/>
      <c r="DS131" s="1639"/>
      <c r="DT131" s="1639"/>
      <c r="DU131" s="1639"/>
      <c r="DV131" s="1639"/>
      <c r="DW131" s="1639"/>
      <c r="DX131" s="1639"/>
      <c r="DY131" s="1639"/>
      <c r="DZ131" s="1639"/>
      <c r="EA131" s="1639"/>
      <c r="EB131" s="1639"/>
      <c r="EC131" s="1639"/>
      <c r="ED131" s="1639"/>
      <c r="EE131" s="1639"/>
      <c r="EF131" s="1639"/>
      <c r="EG131" s="1639"/>
      <c r="EH131" s="1639"/>
      <c r="EI131" s="1639"/>
      <c r="EJ131" s="1639"/>
      <c r="EK131" s="1639"/>
      <c r="EL131" s="1639"/>
      <c r="EM131" s="1639"/>
      <c r="EN131" s="1639"/>
      <c r="EO131" s="1639"/>
      <c r="EP131" s="1639"/>
      <c r="EQ131" s="1639"/>
      <c r="ER131" s="1639"/>
      <c r="ES131" s="1639"/>
      <c r="ET131" s="1639"/>
      <c r="EU131" s="1638" t="s">
        <v>4039</v>
      </c>
      <c r="EV131" s="1638" t="s">
        <v>4040</v>
      </c>
      <c r="EW131" s="1639"/>
      <c r="EX131" s="1639"/>
      <c r="EY131" s="1639"/>
      <c r="EZ131" s="1639"/>
      <c r="FA131" s="1639"/>
      <c r="FB131" s="1639"/>
      <c r="FC131" s="1639"/>
      <c r="FD131" s="1639"/>
      <c r="FE131" s="1639"/>
      <c r="FF131" s="1638" t="s">
        <v>3852</v>
      </c>
      <c r="FG131" s="1639"/>
      <c r="FH131" s="1639"/>
      <c r="FI131" s="1639"/>
      <c r="FJ131" s="1639"/>
      <c r="FK131" s="1639"/>
      <c r="FL131" s="1639"/>
      <c r="FM131" s="1639"/>
      <c r="FN131" s="1639"/>
      <c r="FO131" s="1639"/>
      <c r="FP131" s="1639"/>
      <c r="FQ131" s="1639"/>
      <c r="FR131" s="1639"/>
      <c r="FS131" s="1639"/>
      <c r="FT131" s="1639"/>
      <c r="FU131" s="1639"/>
      <c r="FV131" s="1639"/>
      <c r="FW131" s="1639"/>
      <c r="FX131" s="1639"/>
      <c r="FY131" s="1639"/>
      <c r="FZ131" s="1639"/>
      <c r="GA131" s="1639"/>
      <c r="GB131" s="1639"/>
      <c r="GC131" s="1639"/>
      <c r="GD131" s="1639"/>
      <c r="GE131" s="1639"/>
      <c r="GF131" s="1639"/>
      <c r="GG131" s="1639"/>
      <c r="GH131" s="1639"/>
      <c r="GI131" s="1639"/>
      <c r="GJ131" s="1639"/>
      <c r="GK131" s="1639"/>
      <c r="GL131" s="1639"/>
      <c r="GM131" s="1639"/>
      <c r="GN131" s="1639"/>
      <c r="GO131" s="1639"/>
      <c r="GP131" s="1639"/>
      <c r="GQ131" s="1639"/>
      <c r="GR131" s="1639"/>
      <c r="GS131" s="1639"/>
      <c r="GT131" s="1639"/>
      <c r="GU131" s="1639"/>
      <c r="GV131" s="1639"/>
      <c r="GW131" s="1639"/>
      <c r="GX131" s="1639"/>
      <c r="GY131" s="1639"/>
      <c r="GZ131" s="1639"/>
      <c r="HA131" s="1639"/>
      <c r="HB131" s="1639"/>
      <c r="HC131" s="1639"/>
      <c r="HD131" s="1639"/>
      <c r="HE131" s="1639"/>
      <c r="HF131" s="1639"/>
      <c r="HG131" s="1639"/>
      <c r="HH131" s="1639" t="s">
        <v>3862</v>
      </c>
      <c r="HI131" s="1639"/>
      <c r="HJ131" s="1639"/>
      <c r="HK131" s="1639"/>
      <c r="HL131" s="1639"/>
      <c r="HM131" s="1639"/>
      <c r="HN131" s="1639"/>
      <c r="HO131" s="1639"/>
      <c r="HP131" s="1639"/>
      <c r="HQ131" s="1639"/>
      <c r="HR131" s="1639"/>
      <c r="HS131" s="1639"/>
      <c r="HT131" s="1638" t="s">
        <v>3878</v>
      </c>
      <c r="HU131" s="1639"/>
      <c r="HV131" s="1639"/>
      <c r="HW131" s="1639"/>
      <c r="HX131" s="1639"/>
      <c r="HY131" s="1639"/>
      <c r="HZ131" s="1639"/>
      <c r="IA131" s="1639"/>
      <c r="IB131" s="1639"/>
      <c r="IC131" s="1639"/>
      <c r="ID131" s="1639"/>
      <c r="IE131" s="1639"/>
      <c r="IF131" s="1639"/>
      <c r="IG131" s="1639"/>
      <c r="IH131" s="1639"/>
      <c r="II131" s="1639"/>
      <c r="IJ131" s="1639"/>
      <c r="IK131" s="1639"/>
      <c r="IL131" s="1639"/>
      <c r="IM131" s="1639"/>
      <c r="IN131" s="1639"/>
      <c r="IO131" s="1639"/>
      <c r="IP131" s="1410"/>
      <c r="IQ131" s="1410"/>
      <c r="IR131" s="1410"/>
      <c r="IS131" s="1410"/>
      <c r="IT131" s="1410"/>
      <c r="IU131" s="1410"/>
      <c r="IV131" s="1410"/>
      <c r="IW131" s="1410"/>
      <c r="IX131" s="1639"/>
      <c r="IY131" s="1639"/>
      <c r="IZ131" s="1639"/>
      <c r="JA131" s="1639"/>
      <c r="JB131" s="1639"/>
      <c r="JC131" s="1639"/>
      <c r="JD131" s="1639"/>
      <c r="JE131" s="1639"/>
      <c r="JF131" s="1639"/>
      <c r="JG131" s="1639"/>
      <c r="JH131" s="1410"/>
      <c r="JI131" s="1410"/>
      <c r="JJ131" s="1410"/>
      <c r="JK131" s="1410"/>
      <c r="JL131" s="1410"/>
      <c r="JM131" s="1410"/>
      <c r="JN131" s="1410"/>
      <c r="JO131" s="1410"/>
      <c r="JP131" s="1410"/>
      <c r="JQ131" s="1405"/>
      <c r="JR131" s="351"/>
    </row>
    <row r="132" spans="1:278" x14ac:dyDescent="0.25">
      <c r="A132" s="1367">
        <v>132</v>
      </c>
      <c r="B132" s="1411" t="str">
        <f t="shared" si="15"/>
        <v/>
      </c>
      <c r="C132" s="1435" t="s">
        <v>4041</v>
      </c>
      <c r="D132" s="1361" t="s">
        <v>4042</v>
      </c>
      <c r="E132" s="1641"/>
      <c r="F132" s="1641"/>
      <c r="G132" s="1641"/>
      <c r="H132" s="1641"/>
      <c r="I132" s="1641"/>
      <c r="J132" s="1641"/>
      <c r="K132" s="1641"/>
      <c r="L132" s="1641"/>
      <c r="M132" s="1641"/>
      <c r="N132" s="1641"/>
      <c r="O132" s="1641"/>
      <c r="P132" s="1641"/>
      <c r="Q132" s="1641"/>
      <c r="R132" s="1641"/>
      <c r="S132" s="1641"/>
      <c r="T132" s="1641"/>
      <c r="U132" s="1641"/>
      <c r="V132" s="1641"/>
      <c r="W132" s="1641"/>
      <c r="X132" s="1641"/>
      <c r="Y132" s="1641"/>
      <c r="Z132" s="1641"/>
      <c r="AA132" s="1641"/>
      <c r="AB132" s="1641"/>
      <c r="AC132" s="1641"/>
      <c r="AD132" s="1641"/>
      <c r="AE132" s="1641"/>
      <c r="AF132" s="1641"/>
      <c r="AG132" s="1641"/>
      <c r="AH132" s="1641"/>
      <c r="AI132" s="1641"/>
      <c r="AJ132" s="1641"/>
      <c r="AK132" s="1641"/>
      <c r="AL132" s="1641"/>
      <c r="AM132" s="1641"/>
      <c r="AN132" s="1641"/>
      <c r="AO132" s="1641"/>
      <c r="AP132" s="1641"/>
      <c r="AQ132" s="1641"/>
      <c r="AR132" s="1641"/>
      <c r="AS132" s="1641"/>
      <c r="AT132" s="1641"/>
      <c r="AU132" s="1641"/>
      <c r="AV132" s="1641"/>
      <c r="AW132" s="1641"/>
      <c r="AX132" s="1641"/>
      <c r="AY132" s="1641"/>
      <c r="AZ132" s="1641"/>
      <c r="BA132" s="1641"/>
      <c r="BB132" s="1641"/>
      <c r="BC132" s="1641"/>
      <c r="BD132" s="1641"/>
      <c r="BE132" s="1641"/>
      <c r="BF132" s="1641"/>
      <c r="BG132" s="1641"/>
      <c r="BH132" s="1641"/>
      <c r="BI132" s="1641"/>
      <c r="BJ132" s="1641"/>
      <c r="BK132" s="1641"/>
      <c r="BL132" s="1641"/>
      <c r="BM132" s="1641"/>
      <c r="BN132" s="1641"/>
      <c r="BO132" s="1641"/>
      <c r="BP132" s="1641"/>
      <c r="BQ132" s="1641"/>
      <c r="BR132" s="1641"/>
      <c r="BS132" s="1641"/>
      <c r="BT132" s="1641"/>
      <c r="BU132" s="1641"/>
      <c r="BV132" s="1641"/>
      <c r="BW132" s="1641"/>
      <c r="BX132" s="1641"/>
      <c r="BY132" s="1641"/>
      <c r="BZ132" s="1641"/>
      <c r="CA132" s="1641"/>
      <c r="CB132" s="1636">
        <v>1711</v>
      </c>
      <c r="CC132" s="1641"/>
      <c r="CD132" s="1641"/>
      <c r="CE132" s="1641"/>
      <c r="CF132" s="1641"/>
      <c r="CG132" s="1641"/>
      <c r="CH132" s="1641"/>
      <c r="CI132" s="1641"/>
      <c r="CJ132" s="1641"/>
      <c r="CK132" s="1641"/>
      <c r="CL132" s="1641"/>
      <c r="CM132" s="1641"/>
      <c r="CN132" s="1641"/>
      <c r="CO132" s="1641"/>
      <c r="CP132" s="1641"/>
      <c r="CQ132" s="1641"/>
      <c r="CR132" s="1641"/>
      <c r="CS132" s="1641"/>
      <c r="CT132" s="1641"/>
      <c r="CU132" s="1641"/>
      <c r="CV132" s="1641"/>
      <c r="CW132" s="1641"/>
      <c r="CX132" s="1641"/>
      <c r="CY132" s="1641"/>
      <c r="CZ132" s="1641"/>
      <c r="DA132" s="1641"/>
      <c r="DB132" s="1641"/>
      <c r="DC132" s="1641"/>
      <c r="DD132" s="1641"/>
      <c r="DE132" s="1641"/>
      <c r="DF132" s="1641"/>
      <c r="DG132" s="1641"/>
      <c r="DH132" s="1641"/>
      <c r="DI132" s="1641"/>
      <c r="DJ132" s="1641"/>
      <c r="DK132" s="1641"/>
      <c r="DL132" s="1641"/>
      <c r="DM132" s="1641"/>
      <c r="DN132" s="1641"/>
      <c r="DO132" s="1641"/>
      <c r="DP132" s="1641"/>
      <c r="DQ132" s="1641"/>
      <c r="DR132" s="1641"/>
      <c r="DS132" s="1641"/>
      <c r="DT132" s="1641"/>
      <c r="DU132" s="1641"/>
      <c r="DV132" s="1641"/>
      <c r="DW132" s="1641"/>
      <c r="DX132" s="1641"/>
      <c r="DY132" s="1641"/>
      <c r="DZ132" s="1641"/>
      <c r="EA132" s="1641"/>
      <c r="EB132" s="1641"/>
      <c r="EC132" s="1641"/>
      <c r="ED132" s="1641"/>
      <c r="EE132" s="1641"/>
      <c r="EF132" s="1641"/>
      <c r="EG132" s="1641"/>
      <c r="EH132" s="1641"/>
      <c r="EI132" s="1641"/>
      <c r="EJ132" s="1641"/>
      <c r="EK132" s="1641"/>
      <c r="EL132" s="1641"/>
      <c r="EM132" s="1641"/>
      <c r="EN132" s="1641"/>
      <c r="EO132" s="1641"/>
      <c r="EP132" s="1641"/>
      <c r="EQ132" s="1641"/>
      <c r="ER132" s="1641"/>
      <c r="ES132" s="1641"/>
      <c r="ET132" s="1641"/>
      <c r="EU132" s="1636">
        <v>1784</v>
      </c>
      <c r="EV132" s="1636">
        <v>10976</v>
      </c>
      <c r="EW132" s="1641"/>
      <c r="EX132" s="1641"/>
      <c r="EY132" s="1641"/>
      <c r="EZ132" s="1641"/>
      <c r="FA132" s="1641"/>
      <c r="FB132" s="1641"/>
      <c r="FC132" s="1641"/>
      <c r="FD132" s="1641"/>
      <c r="FE132" s="1641"/>
      <c r="FF132" s="1636">
        <v>2701</v>
      </c>
      <c r="FG132" s="1641"/>
      <c r="FH132" s="1641"/>
      <c r="FI132" s="1641"/>
      <c r="FJ132" s="1641"/>
      <c r="FK132" s="1641"/>
      <c r="FL132" s="1641"/>
      <c r="FM132" s="1641"/>
      <c r="FN132" s="1641"/>
      <c r="FO132" s="1641"/>
      <c r="FP132" s="1641"/>
      <c r="FQ132" s="1641"/>
      <c r="FR132" s="1641"/>
      <c r="FS132" s="1641"/>
      <c r="FT132" s="1641"/>
      <c r="FU132" s="1641"/>
      <c r="FV132" s="1641"/>
      <c r="FW132" s="1641"/>
      <c r="FX132" s="1641"/>
      <c r="FY132" s="1641"/>
      <c r="FZ132" s="1641"/>
      <c r="GA132" s="1641"/>
      <c r="GB132" s="1641"/>
      <c r="GC132" s="1641"/>
      <c r="GD132" s="1641"/>
      <c r="GE132" s="1641"/>
      <c r="GF132" s="1641"/>
      <c r="GG132" s="1641"/>
      <c r="GH132" s="1641"/>
      <c r="GI132" s="1641"/>
      <c r="GJ132" s="1641"/>
      <c r="GK132" s="1641"/>
      <c r="GL132" s="1641"/>
      <c r="GM132" s="1641"/>
      <c r="GN132" s="1641"/>
      <c r="GO132" s="1641"/>
      <c r="GP132" s="1641"/>
      <c r="GQ132" s="1641"/>
      <c r="GR132" s="1641"/>
      <c r="GS132" s="1641"/>
      <c r="GT132" s="1641"/>
      <c r="GU132" s="1641"/>
      <c r="GV132" s="1641"/>
      <c r="GW132" s="1641"/>
      <c r="GX132" s="1641"/>
      <c r="GY132" s="1641"/>
      <c r="GZ132" s="1641"/>
      <c r="HA132" s="1641"/>
      <c r="HB132" s="1641"/>
      <c r="HC132" s="1641"/>
      <c r="HD132" s="1641"/>
      <c r="HE132" s="1641"/>
      <c r="HF132" s="1641"/>
      <c r="HG132" s="1641"/>
      <c r="HH132" s="1641">
        <v>8836</v>
      </c>
      <c r="HI132" s="1641"/>
      <c r="HJ132" s="1641"/>
      <c r="HK132" s="1641"/>
      <c r="HL132" s="1641"/>
      <c r="HM132" s="1641"/>
      <c r="HN132" s="1641"/>
      <c r="HO132" s="1641"/>
      <c r="HP132" s="1641"/>
      <c r="HQ132" s="1641"/>
      <c r="HR132" s="1641"/>
      <c r="HS132" s="1641"/>
      <c r="HT132" s="1636">
        <v>11505</v>
      </c>
      <c r="HU132" s="1641"/>
      <c r="HV132" s="1641"/>
      <c r="HW132" s="1641"/>
      <c r="HX132" s="1641"/>
      <c r="HY132" s="1641"/>
      <c r="HZ132" s="1641"/>
      <c r="IA132" s="1641"/>
      <c r="IB132" s="1641"/>
      <c r="IC132" s="1641"/>
      <c r="ID132" s="1641"/>
      <c r="IE132" s="1641"/>
      <c r="IF132" s="1641"/>
      <c r="IG132" s="1641"/>
      <c r="IH132" s="1641"/>
      <c r="II132" s="1641"/>
      <c r="IJ132" s="1641"/>
      <c r="IK132" s="1641"/>
      <c r="IL132" s="1641"/>
      <c r="IM132" s="1641"/>
      <c r="IN132" s="1641"/>
      <c r="IO132" s="1641"/>
      <c r="IP132" s="1410"/>
      <c r="IQ132" s="1410"/>
      <c r="IR132" s="1410"/>
      <c r="IS132" s="1410"/>
      <c r="IT132" s="1410"/>
      <c r="IU132" s="1410"/>
      <c r="IV132" s="1410"/>
      <c r="IW132" s="1410"/>
      <c r="IX132" s="1641"/>
      <c r="IY132" s="1641"/>
      <c r="IZ132" s="1641"/>
      <c r="JA132" s="1641"/>
      <c r="JB132" s="1641"/>
      <c r="JC132" s="1641"/>
      <c r="JD132" s="1641"/>
      <c r="JE132" s="1641"/>
      <c r="JF132" s="1641"/>
      <c r="JG132" s="1641"/>
      <c r="JH132" s="1410"/>
      <c r="JI132" s="1410"/>
      <c r="JJ132" s="1410"/>
      <c r="JK132" s="1410"/>
      <c r="JL132" s="1410"/>
      <c r="JM132" s="1410"/>
      <c r="JN132" s="1410"/>
      <c r="JO132" s="1410"/>
      <c r="JP132" s="1410"/>
      <c r="JQ132" s="1405"/>
      <c r="JR132" s="351"/>
    </row>
    <row r="133" spans="1:278" x14ac:dyDescent="0.25">
      <c r="A133" s="1367">
        <v>133</v>
      </c>
      <c r="B133" s="1411" t="str">
        <f t="shared" si="15"/>
        <v/>
      </c>
      <c r="C133" s="1435" t="s">
        <v>4043</v>
      </c>
      <c r="D133" s="1361" t="s">
        <v>4044</v>
      </c>
      <c r="E133" s="1639"/>
      <c r="F133" s="1639"/>
      <c r="G133" s="1639"/>
      <c r="H133" s="1639"/>
      <c r="I133" s="1639"/>
      <c r="J133" s="1639"/>
      <c r="K133" s="1639"/>
      <c r="L133" s="1639"/>
      <c r="M133" s="1639"/>
      <c r="N133" s="1639"/>
      <c r="O133" s="1639"/>
      <c r="P133" s="1639"/>
      <c r="Q133" s="1639"/>
      <c r="R133" s="1639"/>
      <c r="S133" s="1639"/>
      <c r="T133" s="1639"/>
      <c r="U133" s="1639"/>
      <c r="V133" s="1639"/>
      <c r="W133" s="1639"/>
      <c r="X133" s="1639"/>
      <c r="Y133" s="1639"/>
      <c r="Z133" s="1639"/>
      <c r="AA133" s="1639"/>
      <c r="AB133" s="1639"/>
      <c r="AC133" s="1639"/>
      <c r="AD133" s="1639"/>
      <c r="AE133" s="1639"/>
      <c r="AF133" s="1639"/>
      <c r="AG133" s="1639"/>
      <c r="AH133" s="1639"/>
      <c r="AI133" s="1639"/>
      <c r="AJ133" s="1639"/>
      <c r="AK133" s="1639"/>
      <c r="AL133" s="1639"/>
      <c r="AM133" s="1639"/>
      <c r="AN133" s="1639"/>
      <c r="AO133" s="1639"/>
      <c r="AP133" s="1639"/>
      <c r="AQ133" s="1639"/>
      <c r="AR133" s="1639"/>
      <c r="AS133" s="1639"/>
      <c r="AT133" s="1639"/>
      <c r="AU133" s="1639"/>
      <c r="AV133" s="1639"/>
      <c r="AW133" s="1639"/>
      <c r="AX133" s="1639"/>
      <c r="AY133" s="1639"/>
      <c r="AZ133" s="1639"/>
      <c r="BA133" s="1639"/>
      <c r="BB133" s="1639"/>
      <c r="BC133" s="1639"/>
      <c r="BD133" s="1639"/>
      <c r="BE133" s="1639"/>
      <c r="BF133" s="1639"/>
      <c r="BG133" s="1639"/>
      <c r="BH133" s="1639"/>
      <c r="BI133" s="1639"/>
      <c r="BJ133" s="1639"/>
      <c r="BK133" s="1639"/>
      <c r="BL133" s="1639"/>
      <c r="BM133" s="1639"/>
      <c r="BN133" s="1639"/>
      <c r="BO133" s="1639"/>
      <c r="BP133" s="1639"/>
      <c r="BQ133" s="1639"/>
      <c r="BR133" s="1639"/>
      <c r="BS133" s="1639"/>
      <c r="BT133" s="1639"/>
      <c r="BU133" s="1639"/>
      <c r="BV133" s="1639"/>
      <c r="BW133" s="1639"/>
      <c r="BX133" s="1639"/>
      <c r="BY133" s="1639"/>
      <c r="BZ133" s="1639"/>
      <c r="CA133" s="1639"/>
      <c r="CB133" s="1638" t="s">
        <v>1707</v>
      </c>
      <c r="CC133" s="1639"/>
      <c r="CD133" s="1639"/>
      <c r="CE133" s="1639"/>
      <c r="CF133" s="1639"/>
      <c r="CG133" s="1639"/>
      <c r="CH133" s="1639"/>
      <c r="CI133" s="1639"/>
      <c r="CJ133" s="1639"/>
      <c r="CK133" s="1639"/>
      <c r="CL133" s="1639"/>
      <c r="CM133" s="1639"/>
      <c r="CN133" s="1639"/>
      <c r="CO133" s="1639"/>
      <c r="CP133" s="1639"/>
      <c r="CQ133" s="1639"/>
      <c r="CR133" s="1639"/>
      <c r="CS133" s="1639"/>
      <c r="CT133" s="1639"/>
      <c r="CU133" s="1639"/>
      <c r="CV133" s="1639"/>
      <c r="CW133" s="1639"/>
      <c r="CX133" s="1639"/>
      <c r="CY133" s="1639"/>
      <c r="CZ133" s="1639"/>
      <c r="DA133" s="1639"/>
      <c r="DB133" s="1639"/>
      <c r="DC133" s="1639"/>
      <c r="DD133" s="1639"/>
      <c r="DE133" s="1639"/>
      <c r="DF133" s="1639"/>
      <c r="DG133" s="1639"/>
      <c r="DH133" s="1639"/>
      <c r="DI133" s="1639"/>
      <c r="DJ133" s="1639"/>
      <c r="DK133" s="1639"/>
      <c r="DL133" s="1639"/>
      <c r="DM133" s="1639"/>
      <c r="DN133" s="1639"/>
      <c r="DO133" s="1639"/>
      <c r="DP133" s="1639"/>
      <c r="DQ133" s="1639"/>
      <c r="DR133" s="1639"/>
      <c r="DS133" s="1639"/>
      <c r="DT133" s="1639"/>
      <c r="DU133" s="1639"/>
      <c r="DV133" s="1639"/>
      <c r="DW133" s="1639"/>
      <c r="DX133" s="1639"/>
      <c r="DY133" s="1639"/>
      <c r="DZ133" s="1639"/>
      <c r="EA133" s="1639"/>
      <c r="EB133" s="1639"/>
      <c r="EC133" s="1639"/>
      <c r="ED133" s="1639"/>
      <c r="EE133" s="1639"/>
      <c r="EF133" s="1639"/>
      <c r="EG133" s="1639"/>
      <c r="EH133" s="1639"/>
      <c r="EI133" s="1639"/>
      <c r="EJ133" s="1639"/>
      <c r="EK133" s="1639"/>
      <c r="EL133" s="1639"/>
      <c r="EM133" s="1639"/>
      <c r="EN133" s="1639"/>
      <c r="EO133" s="1639"/>
      <c r="EP133" s="1639"/>
      <c r="EQ133" s="1639"/>
      <c r="ER133" s="1639"/>
      <c r="ES133" s="1639"/>
      <c r="ET133" s="1639"/>
      <c r="EU133" s="1638" t="s">
        <v>1707</v>
      </c>
      <c r="EV133" s="1638" t="s">
        <v>1707</v>
      </c>
      <c r="EW133" s="1639"/>
      <c r="EX133" s="1639"/>
      <c r="EY133" s="1639"/>
      <c r="EZ133" s="1639"/>
      <c r="FA133" s="1639"/>
      <c r="FB133" s="1639"/>
      <c r="FC133" s="1639"/>
      <c r="FD133" s="1639"/>
      <c r="FE133" s="1639"/>
      <c r="FF133" s="1638" t="s">
        <v>1707</v>
      </c>
      <c r="FG133" s="1639"/>
      <c r="FH133" s="1639"/>
      <c r="FI133" s="1639"/>
      <c r="FJ133" s="1639"/>
      <c r="FK133" s="1639"/>
      <c r="FL133" s="1639"/>
      <c r="FM133" s="1639"/>
      <c r="FN133" s="1639"/>
      <c r="FO133" s="1639"/>
      <c r="FP133" s="1639"/>
      <c r="FQ133" s="1639"/>
      <c r="FR133" s="1639"/>
      <c r="FS133" s="1639"/>
      <c r="FT133" s="1639"/>
      <c r="FU133" s="1639"/>
      <c r="FV133" s="1639"/>
      <c r="FW133" s="1639"/>
      <c r="FX133" s="1639"/>
      <c r="FY133" s="1639"/>
      <c r="FZ133" s="1639"/>
      <c r="GA133" s="1639"/>
      <c r="GB133" s="1639"/>
      <c r="GC133" s="1639"/>
      <c r="GD133" s="1639"/>
      <c r="GE133" s="1639"/>
      <c r="GF133" s="1639"/>
      <c r="GG133" s="1639"/>
      <c r="GH133" s="1639"/>
      <c r="GI133" s="1639"/>
      <c r="GJ133" s="1639"/>
      <c r="GK133" s="1639"/>
      <c r="GL133" s="1639"/>
      <c r="GM133" s="1639"/>
      <c r="GN133" s="1639"/>
      <c r="GO133" s="1639"/>
      <c r="GP133" s="1639"/>
      <c r="GQ133" s="1639"/>
      <c r="GR133" s="1639"/>
      <c r="GS133" s="1639"/>
      <c r="GT133" s="1639"/>
      <c r="GU133" s="1639"/>
      <c r="GV133" s="1639"/>
      <c r="GW133" s="1639"/>
      <c r="GX133" s="1639"/>
      <c r="GY133" s="1639"/>
      <c r="GZ133" s="1639"/>
      <c r="HA133" s="1639"/>
      <c r="HB133" s="1639"/>
      <c r="HC133" s="1639"/>
      <c r="HD133" s="1639"/>
      <c r="HE133" s="1639"/>
      <c r="HF133" s="1639"/>
      <c r="HG133" s="1639"/>
      <c r="HH133" s="1639" t="s">
        <v>1707</v>
      </c>
      <c r="HI133" s="1639"/>
      <c r="HJ133" s="1639"/>
      <c r="HK133" s="1639"/>
      <c r="HL133" s="1639"/>
      <c r="HM133" s="1639"/>
      <c r="HN133" s="1639"/>
      <c r="HO133" s="1639"/>
      <c r="HP133" s="1639"/>
      <c r="HQ133" s="1639"/>
      <c r="HR133" s="1639"/>
      <c r="HS133" s="1639"/>
      <c r="HT133" s="1638" t="s">
        <v>1707</v>
      </c>
      <c r="HU133" s="1639"/>
      <c r="HV133" s="1639"/>
      <c r="HW133" s="1639"/>
      <c r="HX133" s="1639"/>
      <c r="HY133" s="1639"/>
      <c r="HZ133" s="1639"/>
      <c r="IA133" s="1639"/>
      <c r="IB133" s="1639"/>
      <c r="IC133" s="1639"/>
      <c r="ID133" s="1639"/>
      <c r="IE133" s="1639"/>
      <c r="IF133" s="1639"/>
      <c r="IG133" s="1639"/>
      <c r="IH133" s="1639"/>
      <c r="II133" s="1639"/>
      <c r="IJ133" s="1639"/>
      <c r="IK133" s="1639"/>
      <c r="IL133" s="1639"/>
      <c r="IM133" s="1639"/>
      <c r="IN133" s="1639"/>
      <c r="IO133" s="1639"/>
      <c r="IP133" s="1410"/>
      <c r="IQ133" s="1410"/>
      <c r="IR133" s="1410"/>
      <c r="IS133" s="1410"/>
      <c r="IT133" s="1410"/>
      <c r="IU133" s="1410"/>
      <c r="IV133" s="1410"/>
      <c r="IW133" s="1410"/>
      <c r="IX133" s="1639"/>
      <c r="IY133" s="1639"/>
      <c r="IZ133" s="1639"/>
      <c r="JA133" s="1639"/>
      <c r="JB133" s="1639"/>
      <c r="JC133" s="1639"/>
      <c r="JD133" s="1639"/>
      <c r="JE133" s="1639"/>
      <c r="JF133" s="1639"/>
      <c r="JG133" s="1639"/>
      <c r="JH133" s="1410"/>
      <c r="JI133" s="1410"/>
      <c r="JJ133" s="1410"/>
      <c r="JK133" s="1410"/>
      <c r="JL133" s="1410"/>
      <c r="JM133" s="1410"/>
      <c r="JN133" s="1410"/>
      <c r="JO133" s="1410"/>
      <c r="JP133" s="1410"/>
      <c r="JQ133" s="1405"/>
      <c r="JR133" s="351"/>
    </row>
    <row r="134" spans="1:278" x14ac:dyDescent="0.25">
      <c r="A134" s="1367">
        <v>134</v>
      </c>
      <c r="B134" s="1411" t="str">
        <f t="shared" si="15"/>
        <v/>
      </c>
      <c r="C134" s="1435" t="s">
        <v>4045</v>
      </c>
      <c r="D134" s="1361" t="s">
        <v>3875</v>
      </c>
      <c r="E134" s="1641"/>
      <c r="F134" s="1641"/>
      <c r="G134" s="1641"/>
      <c r="H134" s="1641"/>
      <c r="I134" s="1641"/>
      <c r="J134" s="1641"/>
      <c r="K134" s="1641"/>
      <c r="L134" s="1641"/>
      <c r="M134" s="1641"/>
      <c r="N134" s="1641"/>
      <c r="O134" s="1641"/>
      <c r="P134" s="1641"/>
      <c r="Q134" s="1641"/>
      <c r="R134" s="1641"/>
      <c r="S134" s="1641"/>
      <c r="T134" s="1641"/>
      <c r="U134" s="1641"/>
      <c r="V134" s="1641"/>
      <c r="W134" s="1641"/>
      <c r="X134" s="1641"/>
      <c r="Y134" s="1641"/>
      <c r="Z134" s="1641"/>
      <c r="AA134" s="1641"/>
      <c r="AB134" s="1641"/>
      <c r="AC134" s="1641"/>
      <c r="AD134" s="1641"/>
      <c r="AE134" s="1641"/>
      <c r="AF134" s="1641"/>
      <c r="AG134" s="1641"/>
      <c r="AH134" s="1641"/>
      <c r="AI134" s="1641"/>
      <c r="AJ134" s="1641"/>
      <c r="AK134" s="1641"/>
      <c r="AL134" s="1641"/>
      <c r="AM134" s="1641"/>
      <c r="AN134" s="1641"/>
      <c r="AO134" s="1641"/>
      <c r="AP134" s="1641"/>
      <c r="AQ134" s="1641"/>
      <c r="AR134" s="1641"/>
      <c r="AS134" s="1641"/>
      <c r="AT134" s="1641"/>
      <c r="AU134" s="1641"/>
      <c r="AV134" s="1641"/>
      <c r="AW134" s="1641"/>
      <c r="AX134" s="1641"/>
      <c r="AY134" s="1641"/>
      <c r="AZ134" s="1641"/>
      <c r="BA134" s="1641"/>
      <c r="BB134" s="1641"/>
      <c r="BC134" s="1641"/>
      <c r="BD134" s="1641"/>
      <c r="BE134" s="1641"/>
      <c r="BF134" s="1641"/>
      <c r="BG134" s="1641"/>
      <c r="BH134" s="1641"/>
      <c r="BI134" s="1641"/>
      <c r="BJ134" s="1641"/>
      <c r="BK134" s="1641"/>
      <c r="BL134" s="1641"/>
      <c r="BM134" s="1641"/>
      <c r="BN134" s="1641"/>
      <c r="BO134" s="1641"/>
      <c r="BP134" s="1641"/>
      <c r="BQ134" s="1641"/>
      <c r="BR134" s="1641"/>
      <c r="BS134" s="1641"/>
      <c r="BT134" s="1641"/>
      <c r="BU134" s="1641"/>
      <c r="BV134" s="1641"/>
      <c r="BW134" s="1641"/>
      <c r="BX134" s="1641"/>
      <c r="BY134" s="1641"/>
      <c r="BZ134" s="1641"/>
      <c r="CA134" s="1641"/>
      <c r="CB134" s="1636">
        <v>12475</v>
      </c>
      <c r="CC134" s="1641"/>
      <c r="CD134" s="1641"/>
      <c r="CE134" s="1641"/>
      <c r="CF134" s="1641"/>
      <c r="CG134" s="1641"/>
      <c r="CH134" s="1641"/>
      <c r="CI134" s="1641"/>
      <c r="CJ134" s="1641"/>
      <c r="CK134" s="1641"/>
      <c r="CL134" s="1641"/>
      <c r="CM134" s="1641"/>
      <c r="CN134" s="1641"/>
      <c r="CO134" s="1641"/>
      <c r="CP134" s="1641"/>
      <c r="CQ134" s="1641"/>
      <c r="CR134" s="1641"/>
      <c r="CS134" s="1641"/>
      <c r="CT134" s="1641"/>
      <c r="CU134" s="1641"/>
      <c r="CV134" s="1641"/>
      <c r="CW134" s="1641"/>
      <c r="CX134" s="1641"/>
      <c r="CY134" s="1641"/>
      <c r="CZ134" s="1641"/>
      <c r="DA134" s="1641"/>
      <c r="DB134" s="1641"/>
      <c r="DC134" s="1641"/>
      <c r="DD134" s="1641"/>
      <c r="DE134" s="1641"/>
      <c r="DF134" s="1641"/>
      <c r="DG134" s="1641"/>
      <c r="DH134" s="1641"/>
      <c r="DI134" s="1641"/>
      <c r="DJ134" s="1641"/>
      <c r="DK134" s="1641"/>
      <c r="DL134" s="1641"/>
      <c r="DM134" s="1641"/>
      <c r="DN134" s="1641"/>
      <c r="DO134" s="1641"/>
      <c r="DP134" s="1641"/>
      <c r="DQ134" s="1641"/>
      <c r="DR134" s="1641"/>
      <c r="DS134" s="1641"/>
      <c r="DT134" s="1641"/>
      <c r="DU134" s="1641"/>
      <c r="DV134" s="1641"/>
      <c r="DW134" s="1641"/>
      <c r="DX134" s="1641"/>
      <c r="DY134" s="1641"/>
      <c r="DZ134" s="1641"/>
      <c r="EA134" s="1641"/>
      <c r="EB134" s="1641"/>
      <c r="EC134" s="1641"/>
      <c r="ED134" s="1641"/>
      <c r="EE134" s="1641"/>
      <c r="EF134" s="1641"/>
      <c r="EG134" s="1641"/>
      <c r="EH134" s="1641"/>
      <c r="EI134" s="1641"/>
      <c r="EJ134" s="1641"/>
      <c r="EK134" s="1641"/>
      <c r="EL134" s="1641"/>
      <c r="EM134" s="1641"/>
      <c r="EN134" s="1641"/>
      <c r="EO134" s="1641"/>
      <c r="EP134" s="1641"/>
      <c r="EQ134" s="1641"/>
      <c r="ER134" s="1641"/>
      <c r="ES134" s="1641"/>
      <c r="ET134" s="1641"/>
      <c r="EU134" s="1636">
        <v>2570</v>
      </c>
      <c r="EV134" s="1636">
        <v>68379</v>
      </c>
      <c r="EW134" s="1641"/>
      <c r="EX134" s="1641"/>
      <c r="EY134" s="1641"/>
      <c r="EZ134" s="1641"/>
      <c r="FA134" s="1641"/>
      <c r="FB134" s="1641"/>
      <c r="FC134" s="1641"/>
      <c r="FD134" s="1641"/>
      <c r="FE134" s="1641"/>
      <c r="FF134" s="1636">
        <v>6565</v>
      </c>
      <c r="FG134" s="1641"/>
      <c r="FH134" s="1641"/>
      <c r="FI134" s="1641"/>
      <c r="FJ134" s="1641"/>
      <c r="FK134" s="1641"/>
      <c r="FL134" s="1641"/>
      <c r="FM134" s="1641"/>
      <c r="FN134" s="1641"/>
      <c r="FO134" s="1641"/>
      <c r="FP134" s="1641"/>
      <c r="FQ134" s="1641"/>
      <c r="FR134" s="1641"/>
      <c r="FS134" s="1641"/>
      <c r="FT134" s="1641"/>
      <c r="FU134" s="1641"/>
      <c r="FV134" s="1641"/>
      <c r="FW134" s="1641"/>
      <c r="FX134" s="1641"/>
      <c r="FY134" s="1641"/>
      <c r="FZ134" s="1641"/>
      <c r="GA134" s="1641"/>
      <c r="GB134" s="1641"/>
      <c r="GC134" s="1641"/>
      <c r="GD134" s="1641"/>
      <c r="GE134" s="1641"/>
      <c r="GF134" s="1641"/>
      <c r="GG134" s="1641"/>
      <c r="GH134" s="1641"/>
      <c r="GI134" s="1641"/>
      <c r="GJ134" s="1641"/>
      <c r="GK134" s="1641"/>
      <c r="GL134" s="1641"/>
      <c r="GM134" s="1641"/>
      <c r="GN134" s="1641"/>
      <c r="GO134" s="1641"/>
      <c r="GP134" s="1641"/>
      <c r="GQ134" s="1641"/>
      <c r="GR134" s="1641"/>
      <c r="GS134" s="1641"/>
      <c r="GT134" s="1641"/>
      <c r="GU134" s="1641"/>
      <c r="GV134" s="1641"/>
      <c r="GW134" s="1641"/>
      <c r="GX134" s="1641"/>
      <c r="GY134" s="1641"/>
      <c r="GZ134" s="1641"/>
      <c r="HA134" s="1641"/>
      <c r="HB134" s="1641"/>
      <c r="HC134" s="1641"/>
      <c r="HD134" s="1641"/>
      <c r="HE134" s="1641"/>
      <c r="HF134" s="1641"/>
      <c r="HG134" s="1641"/>
      <c r="HH134" s="1641">
        <v>23904</v>
      </c>
      <c r="HI134" s="1641"/>
      <c r="HJ134" s="1641"/>
      <c r="HK134" s="1641"/>
      <c r="HL134" s="1641"/>
      <c r="HM134" s="1641"/>
      <c r="HN134" s="1641"/>
      <c r="HO134" s="1641"/>
      <c r="HP134" s="1641"/>
      <c r="HQ134" s="1641"/>
      <c r="HR134" s="1641"/>
      <c r="HS134" s="1641"/>
      <c r="HT134" s="1636">
        <v>79650</v>
      </c>
      <c r="HU134" s="1641"/>
      <c r="HV134" s="1641"/>
      <c r="HW134" s="1641"/>
      <c r="HX134" s="1641"/>
      <c r="HY134" s="1641"/>
      <c r="HZ134" s="1641"/>
      <c r="IA134" s="1641"/>
      <c r="IB134" s="1641"/>
      <c r="IC134" s="1641"/>
      <c r="ID134" s="1641"/>
      <c r="IE134" s="1641"/>
      <c r="IF134" s="1641"/>
      <c r="IG134" s="1641"/>
      <c r="IH134" s="1641"/>
      <c r="II134" s="1641"/>
      <c r="IJ134" s="1641"/>
      <c r="IK134" s="1641"/>
      <c r="IL134" s="1641"/>
      <c r="IM134" s="1641"/>
      <c r="IN134" s="1641"/>
      <c r="IO134" s="1641"/>
      <c r="IP134" s="1410"/>
      <c r="IQ134" s="1410"/>
      <c r="IR134" s="1410"/>
      <c r="IS134" s="1410"/>
      <c r="IT134" s="1410"/>
      <c r="IU134" s="1410"/>
      <c r="IV134" s="1410"/>
      <c r="IW134" s="1410"/>
      <c r="IX134" s="1641"/>
      <c r="IY134" s="1641"/>
      <c r="IZ134" s="1641"/>
      <c r="JA134" s="1641"/>
      <c r="JB134" s="1641"/>
      <c r="JC134" s="1641"/>
      <c r="JD134" s="1641"/>
      <c r="JE134" s="1641"/>
      <c r="JF134" s="1641"/>
      <c r="JG134" s="1641"/>
      <c r="JH134" s="1410"/>
      <c r="JI134" s="1410"/>
      <c r="JJ134" s="1410"/>
      <c r="JK134" s="1410"/>
      <c r="JL134" s="1410"/>
      <c r="JM134" s="1410"/>
      <c r="JN134" s="1410"/>
      <c r="JO134" s="1410"/>
      <c r="JP134" s="1410"/>
      <c r="JQ134" s="1405"/>
      <c r="JR134" s="351"/>
    </row>
    <row r="135" spans="1:278" x14ac:dyDescent="0.25">
      <c r="A135" s="1367">
        <v>135</v>
      </c>
      <c r="B135" s="1411" t="str">
        <f t="shared" si="15"/>
        <v/>
      </c>
      <c r="C135" s="1435" t="s">
        <v>4046</v>
      </c>
      <c r="D135" s="1361" t="s">
        <v>3851</v>
      </c>
      <c r="E135" s="1639"/>
      <c r="F135" s="1639"/>
      <c r="G135" s="1639"/>
      <c r="H135" s="1639"/>
      <c r="I135" s="1639"/>
      <c r="J135" s="1639"/>
      <c r="K135" s="1639"/>
      <c r="L135" s="1639"/>
      <c r="M135" s="1639"/>
      <c r="N135" s="1639"/>
      <c r="O135" s="1639"/>
      <c r="P135" s="1639"/>
      <c r="Q135" s="1639"/>
      <c r="R135" s="1639"/>
      <c r="S135" s="1639"/>
      <c r="T135" s="1639"/>
      <c r="U135" s="1639"/>
      <c r="V135" s="1639"/>
      <c r="W135" s="1639"/>
      <c r="X135" s="1639"/>
      <c r="Y135" s="1639"/>
      <c r="Z135" s="1639"/>
      <c r="AA135" s="1639"/>
      <c r="AB135" s="1639"/>
      <c r="AC135" s="1639"/>
      <c r="AD135" s="1639"/>
      <c r="AE135" s="1639"/>
      <c r="AF135" s="1639"/>
      <c r="AG135" s="1639"/>
      <c r="AH135" s="1639"/>
      <c r="AI135" s="1639"/>
      <c r="AJ135" s="1639"/>
      <c r="AK135" s="1639"/>
      <c r="AL135" s="1639"/>
      <c r="AM135" s="1639"/>
      <c r="AN135" s="1639"/>
      <c r="AO135" s="1639"/>
      <c r="AP135" s="1639"/>
      <c r="AQ135" s="1639"/>
      <c r="AR135" s="1639"/>
      <c r="AS135" s="1639"/>
      <c r="AT135" s="1639"/>
      <c r="AU135" s="1639"/>
      <c r="AV135" s="1639"/>
      <c r="AW135" s="1639"/>
      <c r="AX135" s="1639"/>
      <c r="AY135" s="1639"/>
      <c r="AZ135" s="1639"/>
      <c r="BA135" s="1639"/>
      <c r="BB135" s="1639"/>
      <c r="BC135" s="1639"/>
      <c r="BD135" s="1639"/>
      <c r="BE135" s="1639"/>
      <c r="BF135" s="1639"/>
      <c r="BG135" s="1639"/>
      <c r="BH135" s="1639"/>
      <c r="BI135" s="1639"/>
      <c r="BJ135" s="1639"/>
      <c r="BK135" s="1639"/>
      <c r="BL135" s="1639"/>
      <c r="BM135" s="1639"/>
      <c r="BN135" s="1639"/>
      <c r="BO135" s="1639"/>
      <c r="BP135" s="1639"/>
      <c r="BQ135" s="1639"/>
      <c r="BR135" s="1639"/>
      <c r="BS135" s="1639"/>
      <c r="BT135" s="1639"/>
      <c r="BU135" s="1639"/>
      <c r="BV135" s="1639"/>
      <c r="BW135" s="1639"/>
      <c r="BX135" s="1639"/>
      <c r="BY135" s="1639"/>
      <c r="BZ135" s="1639"/>
      <c r="CA135" s="1639"/>
      <c r="CB135" s="1639"/>
      <c r="CC135" s="1639"/>
      <c r="CD135" s="1639"/>
      <c r="CE135" s="1639"/>
      <c r="CF135" s="1639"/>
      <c r="CG135" s="1639"/>
      <c r="CH135" s="1639"/>
      <c r="CI135" s="1639"/>
      <c r="CJ135" s="1639"/>
      <c r="CK135" s="1639"/>
      <c r="CL135" s="1639"/>
      <c r="CM135" s="1639"/>
      <c r="CN135" s="1639"/>
      <c r="CO135" s="1639"/>
      <c r="CP135" s="1639"/>
      <c r="CQ135" s="1639"/>
      <c r="CR135" s="1639"/>
      <c r="CS135" s="1639"/>
      <c r="CT135" s="1639"/>
      <c r="CU135" s="1639"/>
      <c r="CV135" s="1639"/>
      <c r="CW135" s="1639"/>
      <c r="CX135" s="1639"/>
      <c r="CY135" s="1639"/>
      <c r="CZ135" s="1639"/>
      <c r="DA135" s="1639"/>
      <c r="DB135" s="1639"/>
      <c r="DC135" s="1639"/>
      <c r="DD135" s="1639"/>
      <c r="DE135" s="1639"/>
      <c r="DF135" s="1639"/>
      <c r="DG135" s="1639"/>
      <c r="DH135" s="1639"/>
      <c r="DI135" s="1639"/>
      <c r="DJ135" s="1639"/>
      <c r="DK135" s="1639"/>
      <c r="DL135" s="1639"/>
      <c r="DM135" s="1639"/>
      <c r="DN135" s="1639"/>
      <c r="DO135" s="1639"/>
      <c r="DP135" s="1639"/>
      <c r="DQ135" s="1639"/>
      <c r="DR135" s="1639"/>
      <c r="DS135" s="1639"/>
      <c r="DT135" s="1639"/>
      <c r="DU135" s="1639"/>
      <c r="DV135" s="1639"/>
      <c r="DW135" s="1639"/>
      <c r="DX135" s="1639"/>
      <c r="DY135" s="1639"/>
      <c r="DZ135" s="1639"/>
      <c r="EA135" s="1639"/>
      <c r="EB135" s="1639"/>
      <c r="EC135" s="1639"/>
      <c r="ED135" s="1639"/>
      <c r="EE135" s="1639"/>
      <c r="EF135" s="1639"/>
      <c r="EG135" s="1639"/>
      <c r="EH135" s="1639"/>
      <c r="EI135" s="1639"/>
      <c r="EJ135" s="1639"/>
      <c r="EK135" s="1639"/>
      <c r="EL135" s="1639"/>
      <c r="EM135" s="1639"/>
      <c r="EN135" s="1639"/>
      <c r="EO135" s="1639"/>
      <c r="EP135" s="1639"/>
      <c r="EQ135" s="1639"/>
      <c r="ER135" s="1639"/>
      <c r="ES135" s="1639"/>
      <c r="ET135" s="1639"/>
      <c r="EU135" s="1639"/>
      <c r="EV135" s="1639"/>
      <c r="EW135" s="1639"/>
      <c r="EX135" s="1639"/>
      <c r="EY135" s="1639"/>
      <c r="EZ135" s="1639"/>
      <c r="FA135" s="1639"/>
      <c r="FB135" s="1639"/>
      <c r="FC135" s="1639"/>
      <c r="FD135" s="1639"/>
      <c r="FE135" s="1639"/>
      <c r="FF135" s="1639"/>
      <c r="FG135" s="1639"/>
      <c r="FH135" s="1639"/>
      <c r="FI135" s="1639"/>
      <c r="FJ135" s="1639"/>
      <c r="FK135" s="1639"/>
      <c r="FL135" s="1639"/>
      <c r="FM135" s="1639"/>
      <c r="FN135" s="1639"/>
      <c r="FO135" s="1639"/>
      <c r="FP135" s="1639"/>
      <c r="FQ135" s="1639"/>
      <c r="FR135" s="1639"/>
      <c r="FS135" s="1639"/>
      <c r="FT135" s="1639"/>
      <c r="FU135" s="1639"/>
      <c r="FV135" s="1639"/>
      <c r="FW135" s="1639"/>
      <c r="FX135" s="1639"/>
      <c r="FY135" s="1639"/>
      <c r="FZ135" s="1639"/>
      <c r="GA135" s="1639"/>
      <c r="GB135" s="1639"/>
      <c r="GC135" s="1639"/>
      <c r="GD135" s="1639"/>
      <c r="GE135" s="1639"/>
      <c r="GF135" s="1639"/>
      <c r="GG135" s="1639"/>
      <c r="GH135" s="1639"/>
      <c r="GI135" s="1639"/>
      <c r="GJ135" s="1639"/>
      <c r="GK135" s="1639"/>
      <c r="GL135" s="1639"/>
      <c r="GM135" s="1639"/>
      <c r="GN135" s="1639"/>
      <c r="GO135" s="1639"/>
      <c r="GP135" s="1639"/>
      <c r="GQ135" s="1639"/>
      <c r="GR135" s="1639"/>
      <c r="GS135" s="1639"/>
      <c r="GT135" s="1639"/>
      <c r="GU135" s="1639"/>
      <c r="GV135" s="1639"/>
      <c r="GW135" s="1639"/>
      <c r="GX135" s="1639"/>
      <c r="GY135" s="1639"/>
      <c r="GZ135" s="1639"/>
      <c r="HA135" s="1639"/>
      <c r="HB135" s="1639"/>
      <c r="HC135" s="1639"/>
      <c r="HD135" s="1639"/>
      <c r="HE135" s="1639"/>
      <c r="HF135" s="1639"/>
      <c r="HG135" s="1639"/>
      <c r="HH135" s="1639" t="s">
        <v>3918</v>
      </c>
      <c r="HI135" s="1639"/>
      <c r="HJ135" s="1639"/>
      <c r="HK135" s="1639"/>
      <c r="HL135" s="1639"/>
      <c r="HM135" s="1639"/>
      <c r="HN135" s="1639"/>
      <c r="HO135" s="1639"/>
      <c r="HP135" s="1639"/>
      <c r="HQ135" s="1639"/>
      <c r="HR135" s="1639"/>
      <c r="HS135" s="1639"/>
      <c r="HT135" s="1638" t="s">
        <v>3878</v>
      </c>
      <c r="HU135" s="1639"/>
      <c r="HV135" s="1639"/>
      <c r="HW135" s="1639"/>
      <c r="HX135" s="1639"/>
      <c r="HY135" s="1639"/>
      <c r="HZ135" s="1639"/>
      <c r="IA135" s="1639"/>
      <c r="IB135" s="1639"/>
      <c r="IC135" s="1639"/>
      <c r="ID135" s="1639"/>
      <c r="IE135" s="1639"/>
      <c r="IF135" s="1639"/>
      <c r="IG135" s="1639"/>
      <c r="IH135" s="1639"/>
      <c r="II135" s="1639"/>
      <c r="IJ135" s="1639"/>
      <c r="IK135" s="1639"/>
      <c r="IL135" s="1639"/>
      <c r="IM135" s="1639"/>
      <c r="IN135" s="1639"/>
      <c r="IO135" s="1639"/>
      <c r="IP135" s="1410"/>
      <c r="IQ135" s="1410"/>
      <c r="IR135" s="1410"/>
      <c r="IS135" s="1410"/>
      <c r="IT135" s="1410"/>
      <c r="IU135" s="1410"/>
      <c r="IV135" s="1410"/>
      <c r="IW135" s="1410"/>
      <c r="IX135" s="1639"/>
      <c r="IY135" s="1639"/>
      <c r="IZ135" s="1639"/>
      <c r="JA135" s="1639"/>
      <c r="JB135" s="1639"/>
      <c r="JC135" s="1639"/>
      <c r="JD135" s="1639"/>
      <c r="JE135" s="1639"/>
      <c r="JF135" s="1639"/>
      <c r="JG135" s="1639"/>
      <c r="JH135" s="1410"/>
      <c r="JI135" s="1410"/>
      <c r="JJ135" s="1410"/>
      <c r="JK135" s="1410"/>
      <c r="JL135" s="1410"/>
      <c r="JM135" s="1410"/>
      <c r="JN135" s="1410"/>
      <c r="JO135" s="1410"/>
      <c r="JP135" s="1410"/>
      <c r="JQ135" s="1405"/>
      <c r="JR135" s="351"/>
    </row>
    <row r="136" spans="1:278" x14ac:dyDescent="0.25">
      <c r="A136" s="1367">
        <v>136</v>
      </c>
      <c r="B136" s="1411" t="str">
        <f t="shared" si="15"/>
        <v/>
      </c>
      <c r="C136" s="1435" t="s">
        <v>4047</v>
      </c>
      <c r="D136" s="1361" t="s">
        <v>4042</v>
      </c>
      <c r="E136" s="1641"/>
      <c r="F136" s="1641"/>
      <c r="G136" s="1641"/>
      <c r="H136" s="1641"/>
      <c r="I136" s="1641"/>
      <c r="J136" s="1641"/>
      <c r="K136" s="1641"/>
      <c r="L136" s="1641"/>
      <c r="M136" s="1641"/>
      <c r="N136" s="1641"/>
      <c r="O136" s="1641"/>
      <c r="P136" s="1641"/>
      <c r="Q136" s="1641"/>
      <c r="R136" s="1641"/>
      <c r="S136" s="1641"/>
      <c r="T136" s="1641"/>
      <c r="U136" s="1641"/>
      <c r="V136" s="1641"/>
      <c r="W136" s="1641"/>
      <c r="X136" s="1641"/>
      <c r="Y136" s="1641"/>
      <c r="Z136" s="1641"/>
      <c r="AA136" s="1641"/>
      <c r="AB136" s="1641"/>
      <c r="AC136" s="1641"/>
      <c r="AD136" s="1641"/>
      <c r="AE136" s="1641"/>
      <c r="AF136" s="1641"/>
      <c r="AG136" s="1641"/>
      <c r="AH136" s="1641"/>
      <c r="AI136" s="1641"/>
      <c r="AJ136" s="1641"/>
      <c r="AK136" s="1641"/>
      <c r="AL136" s="1641"/>
      <c r="AM136" s="1641"/>
      <c r="AN136" s="1641"/>
      <c r="AO136" s="1641"/>
      <c r="AP136" s="1641"/>
      <c r="AQ136" s="1641"/>
      <c r="AR136" s="1641"/>
      <c r="AS136" s="1641"/>
      <c r="AT136" s="1641"/>
      <c r="AU136" s="1641"/>
      <c r="AV136" s="1641"/>
      <c r="AW136" s="1641"/>
      <c r="AX136" s="1641"/>
      <c r="AY136" s="1641"/>
      <c r="AZ136" s="1641"/>
      <c r="BA136" s="1641"/>
      <c r="BB136" s="1641"/>
      <c r="BC136" s="1641"/>
      <c r="BD136" s="1641"/>
      <c r="BE136" s="1641"/>
      <c r="BF136" s="1641"/>
      <c r="BG136" s="1641"/>
      <c r="BH136" s="1641"/>
      <c r="BI136" s="1641"/>
      <c r="BJ136" s="1641"/>
      <c r="BK136" s="1641"/>
      <c r="BL136" s="1641"/>
      <c r="BM136" s="1641"/>
      <c r="BN136" s="1641"/>
      <c r="BO136" s="1641"/>
      <c r="BP136" s="1641"/>
      <c r="BQ136" s="1641"/>
      <c r="BR136" s="1641"/>
      <c r="BS136" s="1641"/>
      <c r="BT136" s="1641"/>
      <c r="BU136" s="1641"/>
      <c r="BV136" s="1641"/>
      <c r="BW136" s="1641"/>
      <c r="BX136" s="1641"/>
      <c r="BY136" s="1641"/>
      <c r="BZ136" s="1641"/>
      <c r="CA136" s="1641"/>
      <c r="CB136" s="1641"/>
      <c r="CC136" s="1641"/>
      <c r="CD136" s="1641"/>
      <c r="CE136" s="1641"/>
      <c r="CF136" s="1641"/>
      <c r="CG136" s="1641"/>
      <c r="CH136" s="1641"/>
      <c r="CI136" s="1641"/>
      <c r="CJ136" s="1641"/>
      <c r="CK136" s="1641"/>
      <c r="CL136" s="1641"/>
      <c r="CM136" s="1641"/>
      <c r="CN136" s="1641"/>
      <c r="CO136" s="1641"/>
      <c r="CP136" s="1641"/>
      <c r="CQ136" s="1641"/>
      <c r="CR136" s="1641"/>
      <c r="CS136" s="1641"/>
      <c r="CT136" s="1641"/>
      <c r="CU136" s="1641"/>
      <c r="CV136" s="1641"/>
      <c r="CW136" s="1641"/>
      <c r="CX136" s="1641"/>
      <c r="CY136" s="1641"/>
      <c r="CZ136" s="1641"/>
      <c r="DA136" s="1641"/>
      <c r="DB136" s="1641"/>
      <c r="DC136" s="1641"/>
      <c r="DD136" s="1641"/>
      <c r="DE136" s="1641"/>
      <c r="DF136" s="1641"/>
      <c r="DG136" s="1641"/>
      <c r="DH136" s="1641"/>
      <c r="DI136" s="1641"/>
      <c r="DJ136" s="1641"/>
      <c r="DK136" s="1641"/>
      <c r="DL136" s="1641"/>
      <c r="DM136" s="1641"/>
      <c r="DN136" s="1641"/>
      <c r="DO136" s="1641"/>
      <c r="DP136" s="1641"/>
      <c r="DQ136" s="1641"/>
      <c r="DR136" s="1641"/>
      <c r="DS136" s="1641"/>
      <c r="DT136" s="1641"/>
      <c r="DU136" s="1641"/>
      <c r="DV136" s="1641"/>
      <c r="DW136" s="1641"/>
      <c r="DX136" s="1641"/>
      <c r="DY136" s="1641"/>
      <c r="DZ136" s="1641"/>
      <c r="EA136" s="1641"/>
      <c r="EB136" s="1641"/>
      <c r="EC136" s="1641"/>
      <c r="ED136" s="1641"/>
      <c r="EE136" s="1641"/>
      <c r="EF136" s="1641"/>
      <c r="EG136" s="1641"/>
      <c r="EH136" s="1641"/>
      <c r="EI136" s="1641"/>
      <c r="EJ136" s="1641"/>
      <c r="EK136" s="1641"/>
      <c r="EL136" s="1641"/>
      <c r="EM136" s="1641"/>
      <c r="EN136" s="1641"/>
      <c r="EO136" s="1641"/>
      <c r="EP136" s="1641"/>
      <c r="EQ136" s="1641"/>
      <c r="ER136" s="1641"/>
      <c r="ES136" s="1641"/>
      <c r="ET136" s="1641"/>
      <c r="EU136" s="1641"/>
      <c r="EV136" s="1641"/>
      <c r="EW136" s="1641"/>
      <c r="EX136" s="1641"/>
      <c r="EY136" s="1641"/>
      <c r="EZ136" s="1641"/>
      <c r="FA136" s="1641"/>
      <c r="FB136" s="1641"/>
      <c r="FC136" s="1641"/>
      <c r="FD136" s="1641"/>
      <c r="FE136" s="1641"/>
      <c r="FF136" s="1641"/>
      <c r="FG136" s="1641"/>
      <c r="FH136" s="1641"/>
      <c r="FI136" s="1641"/>
      <c r="FJ136" s="1641"/>
      <c r="FK136" s="1641"/>
      <c r="FL136" s="1641"/>
      <c r="FM136" s="1641"/>
      <c r="FN136" s="1641"/>
      <c r="FO136" s="1641"/>
      <c r="FP136" s="1641"/>
      <c r="FQ136" s="1641"/>
      <c r="FR136" s="1641"/>
      <c r="FS136" s="1641"/>
      <c r="FT136" s="1641"/>
      <c r="FU136" s="1641"/>
      <c r="FV136" s="1641"/>
      <c r="FW136" s="1641"/>
      <c r="FX136" s="1641"/>
      <c r="FY136" s="1641"/>
      <c r="FZ136" s="1641"/>
      <c r="GA136" s="1641"/>
      <c r="GB136" s="1641"/>
      <c r="GC136" s="1641"/>
      <c r="GD136" s="1641"/>
      <c r="GE136" s="1641"/>
      <c r="GF136" s="1641"/>
      <c r="GG136" s="1641"/>
      <c r="GH136" s="1641"/>
      <c r="GI136" s="1641"/>
      <c r="GJ136" s="1641"/>
      <c r="GK136" s="1641"/>
      <c r="GL136" s="1641"/>
      <c r="GM136" s="1641"/>
      <c r="GN136" s="1641"/>
      <c r="GO136" s="1641"/>
      <c r="GP136" s="1641"/>
      <c r="GQ136" s="1641"/>
      <c r="GR136" s="1641"/>
      <c r="GS136" s="1641"/>
      <c r="GT136" s="1641"/>
      <c r="GU136" s="1641"/>
      <c r="GV136" s="1641"/>
      <c r="GW136" s="1641"/>
      <c r="GX136" s="1641"/>
      <c r="GY136" s="1641"/>
      <c r="GZ136" s="1641"/>
      <c r="HA136" s="1641"/>
      <c r="HB136" s="1641"/>
      <c r="HC136" s="1641"/>
      <c r="HD136" s="1641"/>
      <c r="HE136" s="1641"/>
      <c r="HF136" s="1641"/>
      <c r="HG136" s="1641"/>
      <c r="HH136" s="1641">
        <v>3394</v>
      </c>
      <c r="HI136" s="1641"/>
      <c r="HJ136" s="1641"/>
      <c r="HK136" s="1641"/>
      <c r="HL136" s="1641"/>
      <c r="HM136" s="1641"/>
      <c r="HN136" s="1641"/>
      <c r="HO136" s="1641"/>
      <c r="HP136" s="1641"/>
      <c r="HQ136" s="1641"/>
      <c r="HR136" s="1641"/>
      <c r="HS136" s="1641"/>
      <c r="HT136" s="1636">
        <v>6158</v>
      </c>
      <c r="HU136" s="1641"/>
      <c r="HV136" s="1641"/>
      <c r="HW136" s="1641"/>
      <c r="HX136" s="1641"/>
      <c r="HY136" s="1641"/>
      <c r="HZ136" s="1641"/>
      <c r="IA136" s="1641"/>
      <c r="IB136" s="1641"/>
      <c r="IC136" s="1641"/>
      <c r="ID136" s="1641"/>
      <c r="IE136" s="1641"/>
      <c r="IF136" s="1641"/>
      <c r="IG136" s="1641"/>
      <c r="IH136" s="1641"/>
      <c r="II136" s="1641"/>
      <c r="IJ136" s="1641"/>
      <c r="IK136" s="1641"/>
      <c r="IL136" s="1641"/>
      <c r="IM136" s="1641"/>
      <c r="IN136" s="1641"/>
      <c r="IO136" s="1641"/>
      <c r="IP136" s="1410"/>
      <c r="IQ136" s="1410"/>
      <c r="IR136" s="1410"/>
      <c r="IS136" s="1410"/>
      <c r="IT136" s="1410"/>
      <c r="IU136" s="1410"/>
      <c r="IV136" s="1410"/>
      <c r="IW136" s="1410"/>
      <c r="IX136" s="1641"/>
      <c r="IY136" s="1641"/>
      <c r="IZ136" s="1641"/>
      <c r="JA136" s="1641"/>
      <c r="JB136" s="1641"/>
      <c r="JC136" s="1641"/>
      <c r="JD136" s="1641"/>
      <c r="JE136" s="1641"/>
      <c r="JF136" s="1641"/>
      <c r="JG136" s="1641"/>
      <c r="JH136" s="1410"/>
      <c r="JI136" s="1410"/>
      <c r="JJ136" s="1410"/>
      <c r="JK136" s="1410"/>
      <c r="JL136" s="1410"/>
      <c r="JM136" s="1410"/>
      <c r="JN136" s="1410"/>
      <c r="JO136" s="1410"/>
      <c r="JP136" s="1410"/>
      <c r="JQ136" s="1405"/>
      <c r="JR136" s="351"/>
    </row>
    <row r="137" spans="1:278" x14ac:dyDescent="0.25">
      <c r="A137" s="1367">
        <v>137</v>
      </c>
      <c r="B137" s="1411" t="str">
        <f t="shared" si="15"/>
        <v/>
      </c>
      <c r="C137" s="1435" t="s">
        <v>4048</v>
      </c>
      <c r="D137" s="1361" t="s">
        <v>4044</v>
      </c>
      <c r="E137" s="1639"/>
      <c r="F137" s="1639"/>
      <c r="G137" s="1639"/>
      <c r="H137" s="1639"/>
      <c r="I137" s="1639"/>
      <c r="J137" s="1639"/>
      <c r="K137" s="1639"/>
      <c r="L137" s="1639"/>
      <c r="M137" s="1639"/>
      <c r="N137" s="1639"/>
      <c r="O137" s="1639"/>
      <c r="P137" s="1639"/>
      <c r="Q137" s="1639"/>
      <c r="R137" s="1639"/>
      <c r="S137" s="1639"/>
      <c r="T137" s="1639"/>
      <c r="U137" s="1639"/>
      <c r="V137" s="1639"/>
      <c r="W137" s="1639"/>
      <c r="X137" s="1639"/>
      <c r="Y137" s="1639"/>
      <c r="Z137" s="1639"/>
      <c r="AA137" s="1639"/>
      <c r="AB137" s="1639"/>
      <c r="AC137" s="1639"/>
      <c r="AD137" s="1639"/>
      <c r="AE137" s="1639"/>
      <c r="AF137" s="1639"/>
      <c r="AG137" s="1639"/>
      <c r="AH137" s="1639"/>
      <c r="AI137" s="1639"/>
      <c r="AJ137" s="1639"/>
      <c r="AK137" s="1639"/>
      <c r="AL137" s="1639"/>
      <c r="AM137" s="1639"/>
      <c r="AN137" s="1639"/>
      <c r="AO137" s="1639"/>
      <c r="AP137" s="1639"/>
      <c r="AQ137" s="1639"/>
      <c r="AR137" s="1639"/>
      <c r="AS137" s="1639"/>
      <c r="AT137" s="1639"/>
      <c r="AU137" s="1639"/>
      <c r="AV137" s="1639"/>
      <c r="AW137" s="1639"/>
      <c r="AX137" s="1639"/>
      <c r="AY137" s="1639"/>
      <c r="AZ137" s="1639"/>
      <c r="BA137" s="1639"/>
      <c r="BB137" s="1639"/>
      <c r="BC137" s="1639"/>
      <c r="BD137" s="1639"/>
      <c r="BE137" s="1639"/>
      <c r="BF137" s="1639"/>
      <c r="BG137" s="1639"/>
      <c r="BH137" s="1639"/>
      <c r="BI137" s="1639"/>
      <c r="BJ137" s="1639"/>
      <c r="BK137" s="1639"/>
      <c r="BL137" s="1639"/>
      <c r="BM137" s="1639"/>
      <c r="BN137" s="1639"/>
      <c r="BO137" s="1639"/>
      <c r="BP137" s="1639"/>
      <c r="BQ137" s="1639"/>
      <c r="BR137" s="1639"/>
      <c r="BS137" s="1639"/>
      <c r="BT137" s="1639"/>
      <c r="BU137" s="1639"/>
      <c r="BV137" s="1639"/>
      <c r="BW137" s="1639"/>
      <c r="BX137" s="1639"/>
      <c r="BY137" s="1639"/>
      <c r="BZ137" s="1639"/>
      <c r="CA137" s="1639"/>
      <c r="CB137" s="1639"/>
      <c r="CC137" s="1639"/>
      <c r="CD137" s="1639"/>
      <c r="CE137" s="1639"/>
      <c r="CF137" s="1639"/>
      <c r="CG137" s="1639"/>
      <c r="CH137" s="1639"/>
      <c r="CI137" s="1639"/>
      <c r="CJ137" s="1639"/>
      <c r="CK137" s="1639"/>
      <c r="CL137" s="1639"/>
      <c r="CM137" s="1639"/>
      <c r="CN137" s="1639"/>
      <c r="CO137" s="1639"/>
      <c r="CP137" s="1639"/>
      <c r="CQ137" s="1639"/>
      <c r="CR137" s="1639"/>
      <c r="CS137" s="1639"/>
      <c r="CT137" s="1639"/>
      <c r="CU137" s="1639"/>
      <c r="CV137" s="1639"/>
      <c r="CW137" s="1639"/>
      <c r="CX137" s="1639"/>
      <c r="CY137" s="1639"/>
      <c r="CZ137" s="1639"/>
      <c r="DA137" s="1639"/>
      <c r="DB137" s="1639"/>
      <c r="DC137" s="1639"/>
      <c r="DD137" s="1639"/>
      <c r="DE137" s="1639"/>
      <c r="DF137" s="1639"/>
      <c r="DG137" s="1639"/>
      <c r="DH137" s="1639"/>
      <c r="DI137" s="1639"/>
      <c r="DJ137" s="1639"/>
      <c r="DK137" s="1639"/>
      <c r="DL137" s="1639"/>
      <c r="DM137" s="1639"/>
      <c r="DN137" s="1639"/>
      <c r="DO137" s="1639"/>
      <c r="DP137" s="1639"/>
      <c r="DQ137" s="1639"/>
      <c r="DR137" s="1639"/>
      <c r="DS137" s="1639"/>
      <c r="DT137" s="1639"/>
      <c r="DU137" s="1639"/>
      <c r="DV137" s="1639"/>
      <c r="DW137" s="1639"/>
      <c r="DX137" s="1639"/>
      <c r="DY137" s="1639"/>
      <c r="DZ137" s="1639"/>
      <c r="EA137" s="1639"/>
      <c r="EB137" s="1639"/>
      <c r="EC137" s="1639"/>
      <c r="ED137" s="1639"/>
      <c r="EE137" s="1639"/>
      <c r="EF137" s="1639"/>
      <c r="EG137" s="1639"/>
      <c r="EH137" s="1639"/>
      <c r="EI137" s="1639"/>
      <c r="EJ137" s="1639"/>
      <c r="EK137" s="1639"/>
      <c r="EL137" s="1639"/>
      <c r="EM137" s="1639"/>
      <c r="EN137" s="1639"/>
      <c r="EO137" s="1639"/>
      <c r="EP137" s="1639"/>
      <c r="EQ137" s="1639"/>
      <c r="ER137" s="1639"/>
      <c r="ES137" s="1639"/>
      <c r="ET137" s="1639"/>
      <c r="EU137" s="1639"/>
      <c r="EV137" s="1639"/>
      <c r="EW137" s="1639"/>
      <c r="EX137" s="1639"/>
      <c r="EY137" s="1639"/>
      <c r="EZ137" s="1639"/>
      <c r="FA137" s="1639"/>
      <c r="FB137" s="1639"/>
      <c r="FC137" s="1639"/>
      <c r="FD137" s="1639"/>
      <c r="FE137" s="1639"/>
      <c r="FF137" s="1639"/>
      <c r="FG137" s="1639"/>
      <c r="FH137" s="1639"/>
      <c r="FI137" s="1639"/>
      <c r="FJ137" s="1639"/>
      <c r="FK137" s="1639"/>
      <c r="FL137" s="1639"/>
      <c r="FM137" s="1639"/>
      <c r="FN137" s="1639"/>
      <c r="FO137" s="1639"/>
      <c r="FP137" s="1639"/>
      <c r="FQ137" s="1639"/>
      <c r="FR137" s="1639"/>
      <c r="FS137" s="1639"/>
      <c r="FT137" s="1639"/>
      <c r="FU137" s="1639"/>
      <c r="FV137" s="1639"/>
      <c r="FW137" s="1639"/>
      <c r="FX137" s="1639"/>
      <c r="FY137" s="1639"/>
      <c r="FZ137" s="1639"/>
      <c r="GA137" s="1639"/>
      <c r="GB137" s="1639"/>
      <c r="GC137" s="1639"/>
      <c r="GD137" s="1639"/>
      <c r="GE137" s="1639"/>
      <c r="GF137" s="1639"/>
      <c r="GG137" s="1639"/>
      <c r="GH137" s="1639"/>
      <c r="GI137" s="1639"/>
      <c r="GJ137" s="1639"/>
      <c r="GK137" s="1639"/>
      <c r="GL137" s="1639"/>
      <c r="GM137" s="1639"/>
      <c r="GN137" s="1639"/>
      <c r="GO137" s="1639"/>
      <c r="GP137" s="1639"/>
      <c r="GQ137" s="1639"/>
      <c r="GR137" s="1639"/>
      <c r="GS137" s="1639"/>
      <c r="GT137" s="1639"/>
      <c r="GU137" s="1639"/>
      <c r="GV137" s="1639"/>
      <c r="GW137" s="1639"/>
      <c r="GX137" s="1639"/>
      <c r="GY137" s="1639"/>
      <c r="GZ137" s="1639"/>
      <c r="HA137" s="1639"/>
      <c r="HB137" s="1639"/>
      <c r="HC137" s="1639"/>
      <c r="HD137" s="1639"/>
      <c r="HE137" s="1639"/>
      <c r="HF137" s="1639"/>
      <c r="HG137" s="1639"/>
      <c r="HH137" s="1639" t="s">
        <v>1707</v>
      </c>
      <c r="HI137" s="1639"/>
      <c r="HJ137" s="1639"/>
      <c r="HK137" s="1639"/>
      <c r="HL137" s="1639"/>
      <c r="HM137" s="1639"/>
      <c r="HN137" s="1639"/>
      <c r="HO137" s="1639"/>
      <c r="HP137" s="1639"/>
      <c r="HQ137" s="1639"/>
      <c r="HR137" s="1639"/>
      <c r="HS137" s="1639"/>
      <c r="HT137" s="1638" t="s">
        <v>1707</v>
      </c>
      <c r="HU137" s="1639"/>
      <c r="HV137" s="1639"/>
      <c r="HW137" s="1639"/>
      <c r="HX137" s="1639"/>
      <c r="HY137" s="1639"/>
      <c r="HZ137" s="1639"/>
      <c r="IA137" s="1639"/>
      <c r="IB137" s="1639"/>
      <c r="IC137" s="1639"/>
      <c r="ID137" s="1639"/>
      <c r="IE137" s="1639"/>
      <c r="IF137" s="1639"/>
      <c r="IG137" s="1639"/>
      <c r="IH137" s="1639"/>
      <c r="II137" s="1639"/>
      <c r="IJ137" s="1639"/>
      <c r="IK137" s="1639"/>
      <c r="IL137" s="1639"/>
      <c r="IM137" s="1639"/>
      <c r="IN137" s="1639"/>
      <c r="IO137" s="1639"/>
      <c r="IP137" s="1410"/>
      <c r="IQ137" s="1410"/>
      <c r="IR137" s="1410"/>
      <c r="IS137" s="1410"/>
      <c r="IT137" s="1410"/>
      <c r="IU137" s="1410"/>
      <c r="IV137" s="1410"/>
      <c r="IW137" s="1410"/>
      <c r="IX137" s="1639"/>
      <c r="IY137" s="1639"/>
      <c r="IZ137" s="1639"/>
      <c r="JA137" s="1639"/>
      <c r="JB137" s="1639"/>
      <c r="JC137" s="1639"/>
      <c r="JD137" s="1639"/>
      <c r="JE137" s="1639"/>
      <c r="JF137" s="1639"/>
      <c r="JG137" s="1639"/>
      <c r="JH137" s="1410"/>
      <c r="JI137" s="1410"/>
      <c r="JJ137" s="1410"/>
      <c r="JK137" s="1410"/>
      <c r="JL137" s="1410"/>
      <c r="JM137" s="1410"/>
      <c r="JN137" s="1410"/>
      <c r="JO137" s="1410"/>
      <c r="JP137" s="1410"/>
      <c r="JQ137" s="1405"/>
      <c r="JR137" s="351"/>
    </row>
    <row r="138" spans="1:278" x14ac:dyDescent="0.25">
      <c r="A138" s="1367">
        <v>138</v>
      </c>
      <c r="B138" s="1411" t="str">
        <f t="shared" si="15"/>
        <v/>
      </c>
      <c r="C138" s="1435" t="s">
        <v>4049</v>
      </c>
      <c r="D138" s="1361" t="s">
        <v>3875</v>
      </c>
      <c r="E138" s="1641"/>
      <c r="F138" s="1641"/>
      <c r="G138" s="1641"/>
      <c r="H138" s="1641"/>
      <c r="I138" s="1641"/>
      <c r="J138" s="1641"/>
      <c r="K138" s="1641"/>
      <c r="L138" s="1641"/>
      <c r="M138" s="1641"/>
      <c r="N138" s="1641"/>
      <c r="O138" s="1641"/>
      <c r="P138" s="1641"/>
      <c r="Q138" s="1641"/>
      <c r="R138" s="1641"/>
      <c r="S138" s="1641"/>
      <c r="T138" s="1641"/>
      <c r="U138" s="1641"/>
      <c r="V138" s="1641"/>
      <c r="W138" s="1641"/>
      <c r="X138" s="1641"/>
      <c r="Y138" s="1641"/>
      <c r="Z138" s="1641"/>
      <c r="AA138" s="1641"/>
      <c r="AB138" s="1641"/>
      <c r="AC138" s="1641"/>
      <c r="AD138" s="1641"/>
      <c r="AE138" s="1641"/>
      <c r="AF138" s="1641"/>
      <c r="AG138" s="1641"/>
      <c r="AH138" s="1641"/>
      <c r="AI138" s="1641"/>
      <c r="AJ138" s="1641"/>
      <c r="AK138" s="1641"/>
      <c r="AL138" s="1641"/>
      <c r="AM138" s="1641"/>
      <c r="AN138" s="1641"/>
      <c r="AO138" s="1641"/>
      <c r="AP138" s="1641"/>
      <c r="AQ138" s="1641"/>
      <c r="AR138" s="1641"/>
      <c r="AS138" s="1641"/>
      <c r="AT138" s="1641"/>
      <c r="AU138" s="1641"/>
      <c r="AV138" s="1641"/>
      <c r="AW138" s="1641"/>
      <c r="AX138" s="1641"/>
      <c r="AY138" s="1641"/>
      <c r="AZ138" s="1641"/>
      <c r="BA138" s="1641"/>
      <c r="BB138" s="1641"/>
      <c r="BC138" s="1641"/>
      <c r="BD138" s="1641"/>
      <c r="BE138" s="1641"/>
      <c r="BF138" s="1641"/>
      <c r="BG138" s="1641"/>
      <c r="BH138" s="1641"/>
      <c r="BI138" s="1641"/>
      <c r="BJ138" s="1641"/>
      <c r="BK138" s="1641"/>
      <c r="BL138" s="1641"/>
      <c r="BM138" s="1641"/>
      <c r="BN138" s="1641"/>
      <c r="BO138" s="1641"/>
      <c r="BP138" s="1641"/>
      <c r="BQ138" s="1641"/>
      <c r="BR138" s="1641"/>
      <c r="BS138" s="1641"/>
      <c r="BT138" s="1641"/>
      <c r="BU138" s="1641"/>
      <c r="BV138" s="1641"/>
      <c r="BW138" s="1641"/>
      <c r="BX138" s="1641"/>
      <c r="BY138" s="1641"/>
      <c r="BZ138" s="1641"/>
      <c r="CA138" s="1641"/>
      <c r="CB138" s="1641"/>
      <c r="CC138" s="1641"/>
      <c r="CD138" s="1641"/>
      <c r="CE138" s="1641"/>
      <c r="CF138" s="1641"/>
      <c r="CG138" s="1641"/>
      <c r="CH138" s="1641"/>
      <c r="CI138" s="1641"/>
      <c r="CJ138" s="1641"/>
      <c r="CK138" s="1641"/>
      <c r="CL138" s="1641"/>
      <c r="CM138" s="1641"/>
      <c r="CN138" s="1641"/>
      <c r="CO138" s="1641"/>
      <c r="CP138" s="1641"/>
      <c r="CQ138" s="1641"/>
      <c r="CR138" s="1641"/>
      <c r="CS138" s="1641"/>
      <c r="CT138" s="1641"/>
      <c r="CU138" s="1641"/>
      <c r="CV138" s="1641"/>
      <c r="CW138" s="1641"/>
      <c r="CX138" s="1641"/>
      <c r="CY138" s="1641"/>
      <c r="CZ138" s="1641"/>
      <c r="DA138" s="1641"/>
      <c r="DB138" s="1641"/>
      <c r="DC138" s="1641"/>
      <c r="DD138" s="1641"/>
      <c r="DE138" s="1641"/>
      <c r="DF138" s="1641"/>
      <c r="DG138" s="1641"/>
      <c r="DH138" s="1641"/>
      <c r="DI138" s="1641"/>
      <c r="DJ138" s="1641"/>
      <c r="DK138" s="1641"/>
      <c r="DL138" s="1641"/>
      <c r="DM138" s="1641"/>
      <c r="DN138" s="1641"/>
      <c r="DO138" s="1641"/>
      <c r="DP138" s="1641"/>
      <c r="DQ138" s="1641"/>
      <c r="DR138" s="1641"/>
      <c r="DS138" s="1641"/>
      <c r="DT138" s="1641"/>
      <c r="DU138" s="1641"/>
      <c r="DV138" s="1641"/>
      <c r="DW138" s="1641"/>
      <c r="DX138" s="1641"/>
      <c r="DY138" s="1641"/>
      <c r="DZ138" s="1641"/>
      <c r="EA138" s="1641"/>
      <c r="EB138" s="1641"/>
      <c r="EC138" s="1641"/>
      <c r="ED138" s="1641"/>
      <c r="EE138" s="1641"/>
      <c r="EF138" s="1641"/>
      <c r="EG138" s="1641"/>
      <c r="EH138" s="1641"/>
      <c r="EI138" s="1641"/>
      <c r="EJ138" s="1641"/>
      <c r="EK138" s="1641"/>
      <c r="EL138" s="1641"/>
      <c r="EM138" s="1641"/>
      <c r="EN138" s="1641"/>
      <c r="EO138" s="1641"/>
      <c r="EP138" s="1641"/>
      <c r="EQ138" s="1641"/>
      <c r="ER138" s="1641"/>
      <c r="ES138" s="1641"/>
      <c r="ET138" s="1641"/>
      <c r="EU138" s="1641"/>
      <c r="EV138" s="1641"/>
      <c r="EW138" s="1641"/>
      <c r="EX138" s="1641"/>
      <c r="EY138" s="1641"/>
      <c r="EZ138" s="1641"/>
      <c r="FA138" s="1641"/>
      <c r="FB138" s="1641"/>
      <c r="FC138" s="1641"/>
      <c r="FD138" s="1641"/>
      <c r="FE138" s="1641"/>
      <c r="FF138" s="1641"/>
      <c r="FG138" s="1641"/>
      <c r="FH138" s="1641"/>
      <c r="FI138" s="1641"/>
      <c r="FJ138" s="1641"/>
      <c r="FK138" s="1641"/>
      <c r="FL138" s="1641"/>
      <c r="FM138" s="1641"/>
      <c r="FN138" s="1641"/>
      <c r="FO138" s="1641"/>
      <c r="FP138" s="1641"/>
      <c r="FQ138" s="1641"/>
      <c r="FR138" s="1641"/>
      <c r="FS138" s="1641"/>
      <c r="FT138" s="1641"/>
      <c r="FU138" s="1641"/>
      <c r="FV138" s="1641"/>
      <c r="FW138" s="1641"/>
      <c r="FX138" s="1641"/>
      <c r="FY138" s="1641"/>
      <c r="FZ138" s="1641"/>
      <c r="GA138" s="1641"/>
      <c r="GB138" s="1641"/>
      <c r="GC138" s="1641"/>
      <c r="GD138" s="1641"/>
      <c r="GE138" s="1641"/>
      <c r="GF138" s="1641"/>
      <c r="GG138" s="1641"/>
      <c r="GH138" s="1641"/>
      <c r="GI138" s="1641"/>
      <c r="GJ138" s="1641"/>
      <c r="GK138" s="1641"/>
      <c r="GL138" s="1641"/>
      <c r="GM138" s="1641"/>
      <c r="GN138" s="1641"/>
      <c r="GO138" s="1641"/>
      <c r="GP138" s="1641"/>
      <c r="GQ138" s="1641"/>
      <c r="GR138" s="1641"/>
      <c r="GS138" s="1641"/>
      <c r="GT138" s="1641"/>
      <c r="GU138" s="1641"/>
      <c r="GV138" s="1641"/>
      <c r="GW138" s="1641"/>
      <c r="GX138" s="1641"/>
      <c r="GY138" s="1641"/>
      <c r="GZ138" s="1641"/>
      <c r="HA138" s="1641"/>
      <c r="HB138" s="1641"/>
      <c r="HC138" s="1641"/>
      <c r="HD138" s="1641"/>
      <c r="HE138" s="1641"/>
      <c r="HF138" s="1641"/>
      <c r="HG138" s="1641"/>
      <c r="HH138" s="1641">
        <v>14655</v>
      </c>
      <c r="HI138" s="1641"/>
      <c r="HJ138" s="1641"/>
      <c r="HK138" s="1641"/>
      <c r="HL138" s="1641"/>
      <c r="HM138" s="1641"/>
      <c r="HN138" s="1641"/>
      <c r="HO138" s="1641"/>
      <c r="HP138" s="1641"/>
      <c r="HQ138" s="1641"/>
      <c r="HR138" s="1641"/>
      <c r="HS138" s="1641"/>
      <c r="HT138" s="1636">
        <v>23550</v>
      </c>
      <c r="HU138" s="1641"/>
      <c r="HV138" s="1641"/>
      <c r="HW138" s="1641"/>
      <c r="HX138" s="1641"/>
      <c r="HY138" s="1641"/>
      <c r="HZ138" s="1641"/>
      <c r="IA138" s="1641"/>
      <c r="IB138" s="1641"/>
      <c r="IC138" s="1641"/>
      <c r="ID138" s="1641"/>
      <c r="IE138" s="1641"/>
      <c r="IF138" s="1641"/>
      <c r="IG138" s="1641"/>
      <c r="IH138" s="1641"/>
      <c r="II138" s="1641"/>
      <c r="IJ138" s="1641"/>
      <c r="IK138" s="1641"/>
      <c r="IL138" s="1641"/>
      <c r="IM138" s="1641"/>
      <c r="IN138" s="1641"/>
      <c r="IO138" s="1641"/>
      <c r="IP138" s="1410"/>
      <c r="IQ138" s="1410"/>
      <c r="IR138" s="1410"/>
      <c r="IS138" s="1410"/>
      <c r="IT138" s="1410"/>
      <c r="IU138" s="1410"/>
      <c r="IV138" s="1410"/>
      <c r="IW138" s="1410"/>
      <c r="IX138" s="1641"/>
      <c r="IY138" s="1641"/>
      <c r="IZ138" s="1641"/>
      <c r="JA138" s="1641"/>
      <c r="JB138" s="1641"/>
      <c r="JC138" s="1641"/>
      <c r="JD138" s="1641"/>
      <c r="JE138" s="1641"/>
      <c r="JF138" s="1641"/>
      <c r="JG138" s="1641"/>
      <c r="JH138" s="1410"/>
      <c r="JI138" s="1410"/>
      <c r="JJ138" s="1410"/>
      <c r="JK138" s="1410"/>
      <c r="JL138" s="1410"/>
      <c r="JM138" s="1410"/>
      <c r="JN138" s="1410"/>
      <c r="JO138" s="1410"/>
      <c r="JP138" s="1410"/>
      <c r="JQ138" s="1405"/>
      <c r="JR138" s="351"/>
    </row>
    <row r="139" spans="1:278" x14ac:dyDescent="0.25">
      <c r="A139" s="1367">
        <v>139</v>
      </c>
      <c r="B139" s="1411" t="str">
        <f t="shared" si="15"/>
        <v/>
      </c>
      <c r="C139" s="1435" t="s">
        <v>4050</v>
      </c>
      <c r="D139" s="1361" t="s">
        <v>3851</v>
      </c>
      <c r="E139" s="1639"/>
      <c r="F139" s="1639"/>
      <c r="G139" s="1639"/>
      <c r="H139" s="1639"/>
      <c r="I139" s="1639"/>
      <c r="J139" s="1639"/>
      <c r="K139" s="1639"/>
      <c r="L139" s="1639"/>
      <c r="M139" s="1639"/>
      <c r="N139" s="1639"/>
      <c r="O139" s="1639"/>
      <c r="P139" s="1639"/>
      <c r="Q139" s="1639"/>
      <c r="R139" s="1639"/>
      <c r="S139" s="1639"/>
      <c r="T139" s="1639"/>
      <c r="U139" s="1639"/>
      <c r="V139" s="1639"/>
      <c r="W139" s="1639"/>
      <c r="X139" s="1639"/>
      <c r="Y139" s="1639"/>
      <c r="Z139" s="1639"/>
      <c r="AA139" s="1639"/>
      <c r="AB139" s="1639"/>
      <c r="AC139" s="1639"/>
      <c r="AD139" s="1639"/>
      <c r="AE139" s="1639"/>
      <c r="AF139" s="1639"/>
      <c r="AG139" s="1639"/>
      <c r="AH139" s="1639"/>
      <c r="AI139" s="1639"/>
      <c r="AJ139" s="1639"/>
      <c r="AK139" s="1639"/>
      <c r="AL139" s="1639"/>
      <c r="AM139" s="1639"/>
      <c r="AN139" s="1639"/>
      <c r="AO139" s="1639"/>
      <c r="AP139" s="1639"/>
      <c r="AQ139" s="1639"/>
      <c r="AR139" s="1639"/>
      <c r="AS139" s="1639"/>
      <c r="AT139" s="1639"/>
      <c r="AU139" s="1639"/>
      <c r="AV139" s="1639"/>
      <c r="AW139" s="1639"/>
      <c r="AX139" s="1639"/>
      <c r="AY139" s="1639"/>
      <c r="AZ139" s="1639"/>
      <c r="BA139" s="1639"/>
      <c r="BB139" s="1639"/>
      <c r="BC139" s="1639"/>
      <c r="BD139" s="1639"/>
      <c r="BE139" s="1639"/>
      <c r="BF139" s="1639"/>
      <c r="BG139" s="1639"/>
      <c r="BH139" s="1639"/>
      <c r="BI139" s="1639"/>
      <c r="BJ139" s="1639"/>
      <c r="BK139" s="1639"/>
      <c r="BL139" s="1639"/>
      <c r="BM139" s="1639"/>
      <c r="BN139" s="1639"/>
      <c r="BO139" s="1639"/>
      <c r="BP139" s="1639"/>
      <c r="BQ139" s="1639"/>
      <c r="BR139" s="1639"/>
      <c r="BS139" s="1639"/>
      <c r="BT139" s="1639"/>
      <c r="BU139" s="1639"/>
      <c r="BV139" s="1639"/>
      <c r="BW139" s="1639"/>
      <c r="BX139" s="1639"/>
      <c r="BY139" s="1639"/>
      <c r="BZ139" s="1639"/>
      <c r="CA139" s="1639"/>
      <c r="CB139" s="1639"/>
      <c r="CC139" s="1639"/>
      <c r="CD139" s="1639"/>
      <c r="CE139" s="1639"/>
      <c r="CF139" s="1639"/>
      <c r="CG139" s="1639"/>
      <c r="CH139" s="1639"/>
      <c r="CI139" s="1639"/>
      <c r="CJ139" s="1639"/>
      <c r="CK139" s="1639"/>
      <c r="CL139" s="1639"/>
      <c r="CM139" s="1639"/>
      <c r="CN139" s="1639"/>
      <c r="CO139" s="1639"/>
      <c r="CP139" s="1639"/>
      <c r="CQ139" s="1639"/>
      <c r="CR139" s="1639"/>
      <c r="CS139" s="1639"/>
      <c r="CT139" s="1639"/>
      <c r="CU139" s="1639"/>
      <c r="CV139" s="1639"/>
      <c r="CW139" s="1639"/>
      <c r="CX139" s="1639"/>
      <c r="CY139" s="1639"/>
      <c r="CZ139" s="1639"/>
      <c r="DA139" s="1639"/>
      <c r="DB139" s="1639"/>
      <c r="DC139" s="1639"/>
      <c r="DD139" s="1639"/>
      <c r="DE139" s="1639"/>
      <c r="DF139" s="1639"/>
      <c r="DG139" s="1639"/>
      <c r="DH139" s="1639"/>
      <c r="DI139" s="1639"/>
      <c r="DJ139" s="1639"/>
      <c r="DK139" s="1639"/>
      <c r="DL139" s="1639"/>
      <c r="DM139" s="1639"/>
      <c r="DN139" s="1639"/>
      <c r="DO139" s="1639"/>
      <c r="DP139" s="1639"/>
      <c r="DQ139" s="1639"/>
      <c r="DR139" s="1639"/>
      <c r="DS139" s="1639"/>
      <c r="DT139" s="1639"/>
      <c r="DU139" s="1639"/>
      <c r="DV139" s="1639"/>
      <c r="DW139" s="1639"/>
      <c r="DX139" s="1639"/>
      <c r="DY139" s="1639"/>
      <c r="DZ139" s="1639"/>
      <c r="EA139" s="1639"/>
      <c r="EB139" s="1639"/>
      <c r="EC139" s="1639"/>
      <c r="ED139" s="1639"/>
      <c r="EE139" s="1639"/>
      <c r="EF139" s="1639"/>
      <c r="EG139" s="1639"/>
      <c r="EH139" s="1639"/>
      <c r="EI139" s="1639"/>
      <c r="EJ139" s="1639"/>
      <c r="EK139" s="1639"/>
      <c r="EL139" s="1639"/>
      <c r="EM139" s="1639"/>
      <c r="EN139" s="1639"/>
      <c r="EO139" s="1639"/>
      <c r="EP139" s="1639"/>
      <c r="EQ139" s="1639"/>
      <c r="ER139" s="1639"/>
      <c r="ES139" s="1639"/>
      <c r="ET139" s="1639"/>
      <c r="EU139" s="1639"/>
      <c r="EV139" s="1639"/>
      <c r="EW139" s="1639"/>
      <c r="EX139" s="1639"/>
      <c r="EY139" s="1639"/>
      <c r="EZ139" s="1639"/>
      <c r="FA139" s="1639"/>
      <c r="FB139" s="1639"/>
      <c r="FC139" s="1639"/>
      <c r="FD139" s="1639"/>
      <c r="FE139" s="1639"/>
      <c r="FF139" s="1639"/>
      <c r="FG139" s="1639"/>
      <c r="FH139" s="1639"/>
      <c r="FI139" s="1639"/>
      <c r="FJ139" s="1639"/>
      <c r="FK139" s="1639"/>
      <c r="FL139" s="1639"/>
      <c r="FM139" s="1639"/>
      <c r="FN139" s="1639"/>
      <c r="FO139" s="1639"/>
      <c r="FP139" s="1639"/>
      <c r="FQ139" s="1639"/>
      <c r="FR139" s="1639"/>
      <c r="FS139" s="1639"/>
      <c r="FT139" s="1639"/>
      <c r="FU139" s="1639"/>
      <c r="FV139" s="1639"/>
      <c r="FW139" s="1639"/>
      <c r="FX139" s="1639"/>
      <c r="FY139" s="1639"/>
      <c r="FZ139" s="1639"/>
      <c r="GA139" s="1639"/>
      <c r="GB139" s="1639"/>
      <c r="GC139" s="1639"/>
      <c r="GD139" s="1639"/>
      <c r="GE139" s="1639"/>
      <c r="GF139" s="1639"/>
      <c r="GG139" s="1639"/>
      <c r="GH139" s="1639"/>
      <c r="GI139" s="1639"/>
      <c r="GJ139" s="1639"/>
      <c r="GK139" s="1639"/>
      <c r="GL139" s="1639"/>
      <c r="GM139" s="1639"/>
      <c r="GN139" s="1639"/>
      <c r="GO139" s="1639"/>
      <c r="GP139" s="1639"/>
      <c r="GQ139" s="1639"/>
      <c r="GR139" s="1639"/>
      <c r="GS139" s="1639"/>
      <c r="GT139" s="1639"/>
      <c r="GU139" s="1639"/>
      <c r="GV139" s="1639"/>
      <c r="GW139" s="1639"/>
      <c r="GX139" s="1639"/>
      <c r="GY139" s="1639"/>
      <c r="GZ139" s="1639"/>
      <c r="HA139" s="1639"/>
      <c r="HB139" s="1639"/>
      <c r="HC139" s="1639"/>
      <c r="HD139" s="1639"/>
      <c r="HE139" s="1639"/>
      <c r="HF139" s="1639"/>
      <c r="HG139" s="1639"/>
      <c r="HH139" s="1639" t="s">
        <v>3853</v>
      </c>
      <c r="HI139" s="1639"/>
      <c r="HJ139" s="1639"/>
      <c r="HK139" s="1639"/>
      <c r="HL139" s="1639"/>
      <c r="HM139" s="1639"/>
      <c r="HN139" s="1639"/>
      <c r="HO139" s="1639"/>
      <c r="HP139" s="1639"/>
      <c r="HQ139" s="1639"/>
      <c r="HR139" s="1639"/>
      <c r="HS139" s="1639"/>
      <c r="HT139" s="1639"/>
      <c r="HU139" s="1639"/>
      <c r="HV139" s="1639"/>
      <c r="HW139" s="1639"/>
      <c r="HX139" s="1639"/>
      <c r="HY139" s="1639"/>
      <c r="HZ139" s="1639"/>
      <c r="IA139" s="1639"/>
      <c r="IB139" s="1639"/>
      <c r="IC139" s="1639"/>
      <c r="ID139" s="1639"/>
      <c r="IE139" s="1639"/>
      <c r="IF139" s="1639"/>
      <c r="IG139" s="1639"/>
      <c r="IH139" s="1639"/>
      <c r="II139" s="1639"/>
      <c r="IJ139" s="1639"/>
      <c r="IK139" s="1639"/>
      <c r="IL139" s="1639"/>
      <c r="IM139" s="1639"/>
      <c r="IN139" s="1639"/>
      <c r="IO139" s="1639"/>
      <c r="IP139" s="1410"/>
      <c r="IQ139" s="1410"/>
      <c r="IR139" s="1410"/>
      <c r="IS139" s="1410"/>
      <c r="IT139" s="1410"/>
      <c r="IU139" s="1410"/>
      <c r="IV139" s="1410"/>
      <c r="IW139" s="1410"/>
      <c r="IX139" s="1639"/>
      <c r="IY139" s="1639"/>
      <c r="IZ139" s="1639"/>
      <c r="JA139" s="1639"/>
      <c r="JB139" s="1639"/>
      <c r="JC139" s="1639"/>
      <c r="JD139" s="1639"/>
      <c r="JE139" s="1639"/>
      <c r="JF139" s="1639"/>
      <c r="JG139" s="1639"/>
      <c r="JH139" s="1410"/>
      <c r="JI139" s="1410"/>
      <c r="JJ139" s="1410"/>
      <c r="JK139" s="1410"/>
      <c r="JL139" s="1410"/>
      <c r="JM139" s="1410"/>
      <c r="JN139" s="1410"/>
      <c r="JO139" s="1410"/>
      <c r="JP139" s="1410"/>
      <c r="JQ139" s="1405"/>
      <c r="JR139" s="351"/>
    </row>
    <row r="140" spans="1:278" x14ac:dyDescent="0.25">
      <c r="A140" s="1367">
        <v>140</v>
      </c>
      <c r="B140" s="1411" t="str">
        <f t="shared" si="15"/>
        <v/>
      </c>
      <c r="C140" s="1435" t="s">
        <v>4051</v>
      </c>
      <c r="D140" s="1361" t="s">
        <v>4042</v>
      </c>
      <c r="E140" s="1641"/>
      <c r="F140" s="1641"/>
      <c r="G140" s="1641"/>
      <c r="H140" s="1641"/>
      <c r="I140" s="1641"/>
      <c r="J140" s="1641"/>
      <c r="K140" s="1641"/>
      <c r="L140" s="1641"/>
      <c r="M140" s="1641"/>
      <c r="N140" s="1641"/>
      <c r="O140" s="1641"/>
      <c r="P140" s="1641"/>
      <c r="Q140" s="1641"/>
      <c r="R140" s="1641"/>
      <c r="S140" s="1641"/>
      <c r="T140" s="1641"/>
      <c r="U140" s="1641"/>
      <c r="V140" s="1641"/>
      <c r="W140" s="1641"/>
      <c r="X140" s="1641"/>
      <c r="Y140" s="1641"/>
      <c r="Z140" s="1641"/>
      <c r="AA140" s="1641"/>
      <c r="AB140" s="1641"/>
      <c r="AC140" s="1641"/>
      <c r="AD140" s="1641"/>
      <c r="AE140" s="1641"/>
      <c r="AF140" s="1641"/>
      <c r="AG140" s="1641"/>
      <c r="AH140" s="1641"/>
      <c r="AI140" s="1641"/>
      <c r="AJ140" s="1641"/>
      <c r="AK140" s="1641"/>
      <c r="AL140" s="1641"/>
      <c r="AM140" s="1641"/>
      <c r="AN140" s="1641"/>
      <c r="AO140" s="1641"/>
      <c r="AP140" s="1641"/>
      <c r="AQ140" s="1641"/>
      <c r="AR140" s="1641"/>
      <c r="AS140" s="1641"/>
      <c r="AT140" s="1641"/>
      <c r="AU140" s="1641"/>
      <c r="AV140" s="1641"/>
      <c r="AW140" s="1641"/>
      <c r="AX140" s="1641"/>
      <c r="AY140" s="1641"/>
      <c r="AZ140" s="1641"/>
      <c r="BA140" s="1641"/>
      <c r="BB140" s="1641"/>
      <c r="BC140" s="1641"/>
      <c r="BD140" s="1641"/>
      <c r="BE140" s="1641"/>
      <c r="BF140" s="1641"/>
      <c r="BG140" s="1641"/>
      <c r="BH140" s="1641"/>
      <c r="BI140" s="1641"/>
      <c r="BJ140" s="1641"/>
      <c r="BK140" s="1641"/>
      <c r="BL140" s="1641"/>
      <c r="BM140" s="1641"/>
      <c r="BN140" s="1641"/>
      <c r="BO140" s="1641"/>
      <c r="BP140" s="1641"/>
      <c r="BQ140" s="1641"/>
      <c r="BR140" s="1641"/>
      <c r="BS140" s="1641"/>
      <c r="BT140" s="1641"/>
      <c r="BU140" s="1641"/>
      <c r="BV140" s="1641"/>
      <c r="BW140" s="1641"/>
      <c r="BX140" s="1641"/>
      <c r="BY140" s="1641"/>
      <c r="BZ140" s="1641"/>
      <c r="CA140" s="1641"/>
      <c r="CB140" s="1641"/>
      <c r="CC140" s="1641"/>
      <c r="CD140" s="1641"/>
      <c r="CE140" s="1641"/>
      <c r="CF140" s="1641"/>
      <c r="CG140" s="1641"/>
      <c r="CH140" s="1641"/>
      <c r="CI140" s="1641"/>
      <c r="CJ140" s="1641"/>
      <c r="CK140" s="1641"/>
      <c r="CL140" s="1641"/>
      <c r="CM140" s="1641"/>
      <c r="CN140" s="1641"/>
      <c r="CO140" s="1641"/>
      <c r="CP140" s="1641"/>
      <c r="CQ140" s="1641"/>
      <c r="CR140" s="1641"/>
      <c r="CS140" s="1641"/>
      <c r="CT140" s="1641"/>
      <c r="CU140" s="1641"/>
      <c r="CV140" s="1641"/>
      <c r="CW140" s="1641"/>
      <c r="CX140" s="1641"/>
      <c r="CY140" s="1641"/>
      <c r="CZ140" s="1641"/>
      <c r="DA140" s="1641"/>
      <c r="DB140" s="1641"/>
      <c r="DC140" s="1641"/>
      <c r="DD140" s="1641"/>
      <c r="DE140" s="1641"/>
      <c r="DF140" s="1641"/>
      <c r="DG140" s="1641"/>
      <c r="DH140" s="1641"/>
      <c r="DI140" s="1641"/>
      <c r="DJ140" s="1641"/>
      <c r="DK140" s="1641"/>
      <c r="DL140" s="1641"/>
      <c r="DM140" s="1641"/>
      <c r="DN140" s="1641"/>
      <c r="DO140" s="1641"/>
      <c r="DP140" s="1641"/>
      <c r="DQ140" s="1641"/>
      <c r="DR140" s="1641"/>
      <c r="DS140" s="1641"/>
      <c r="DT140" s="1641"/>
      <c r="DU140" s="1641"/>
      <c r="DV140" s="1641"/>
      <c r="DW140" s="1641"/>
      <c r="DX140" s="1641"/>
      <c r="DY140" s="1641"/>
      <c r="DZ140" s="1641"/>
      <c r="EA140" s="1641"/>
      <c r="EB140" s="1641"/>
      <c r="EC140" s="1641"/>
      <c r="ED140" s="1641"/>
      <c r="EE140" s="1641"/>
      <c r="EF140" s="1641"/>
      <c r="EG140" s="1641"/>
      <c r="EH140" s="1641"/>
      <c r="EI140" s="1641"/>
      <c r="EJ140" s="1641"/>
      <c r="EK140" s="1641"/>
      <c r="EL140" s="1641"/>
      <c r="EM140" s="1641"/>
      <c r="EN140" s="1641"/>
      <c r="EO140" s="1641"/>
      <c r="EP140" s="1641"/>
      <c r="EQ140" s="1641"/>
      <c r="ER140" s="1641"/>
      <c r="ES140" s="1641"/>
      <c r="ET140" s="1641"/>
      <c r="EU140" s="1641"/>
      <c r="EV140" s="1641"/>
      <c r="EW140" s="1641"/>
      <c r="EX140" s="1641"/>
      <c r="EY140" s="1641"/>
      <c r="EZ140" s="1641"/>
      <c r="FA140" s="1641"/>
      <c r="FB140" s="1641"/>
      <c r="FC140" s="1641"/>
      <c r="FD140" s="1641"/>
      <c r="FE140" s="1641"/>
      <c r="FF140" s="1641"/>
      <c r="FG140" s="1641"/>
      <c r="FH140" s="1641"/>
      <c r="FI140" s="1641"/>
      <c r="FJ140" s="1641"/>
      <c r="FK140" s="1641"/>
      <c r="FL140" s="1641"/>
      <c r="FM140" s="1641"/>
      <c r="FN140" s="1641"/>
      <c r="FO140" s="1641"/>
      <c r="FP140" s="1641"/>
      <c r="FQ140" s="1641"/>
      <c r="FR140" s="1641"/>
      <c r="FS140" s="1641"/>
      <c r="FT140" s="1641"/>
      <c r="FU140" s="1641"/>
      <c r="FV140" s="1641"/>
      <c r="FW140" s="1641"/>
      <c r="FX140" s="1641"/>
      <c r="FY140" s="1641"/>
      <c r="FZ140" s="1641"/>
      <c r="GA140" s="1641"/>
      <c r="GB140" s="1641"/>
      <c r="GC140" s="1641"/>
      <c r="GD140" s="1641"/>
      <c r="GE140" s="1641"/>
      <c r="GF140" s="1641"/>
      <c r="GG140" s="1641"/>
      <c r="GH140" s="1641"/>
      <c r="GI140" s="1641"/>
      <c r="GJ140" s="1641"/>
      <c r="GK140" s="1641"/>
      <c r="GL140" s="1641"/>
      <c r="GM140" s="1641"/>
      <c r="GN140" s="1641"/>
      <c r="GO140" s="1641"/>
      <c r="GP140" s="1641"/>
      <c r="GQ140" s="1641"/>
      <c r="GR140" s="1641"/>
      <c r="GS140" s="1641"/>
      <c r="GT140" s="1641"/>
      <c r="GU140" s="1641"/>
      <c r="GV140" s="1641"/>
      <c r="GW140" s="1641"/>
      <c r="GX140" s="1641"/>
      <c r="GY140" s="1641"/>
      <c r="GZ140" s="1641"/>
      <c r="HA140" s="1641"/>
      <c r="HB140" s="1641"/>
      <c r="HC140" s="1641"/>
      <c r="HD140" s="1641"/>
      <c r="HE140" s="1641"/>
      <c r="HF140" s="1641"/>
      <c r="HG140" s="1641"/>
      <c r="HH140" s="1641">
        <v>1651</v>
      </c>
      <c r="HI140" s="1641"/>
      <c r="HJ140" s="1641"/>
      <c r="HK140" s="1641"/>
      <c r="HL140" s="1641"/>
      <c r="HM140" s="1641"/>
      <c r="HN140" s="1641"/>
      <c r="HO140" s="1641"/>
      <c r="HP140" s="1641"/>
      <c r="HQ140" s="1641"/>
      <c r="HR140" s="1641"/>
      <c r="HS140" s="1641"/>
      <c r="HT140" s="1641"/>
      <c r="HU140" s="1641"/>
      <c r="HV140" s="1641"/>
      <c r="HW140" s="1641"/>
      <c r="HX140" s="1641"/>
      <c r="HY140" s="1641"/>
      <c r="HZ140" s="1641"/>
      <c r="IA140" s="1641"/>
      <c r="IB140" s="1641"/>
      <c r="IC140" s="1641"/>
      <c r="ID140" s="1641"/>
      <c r="IE140" s="1641"/>
      <c r="IF140" s="1641"/>
      <c r="IG140" s="1641"/>
      <c r="IH140" s="1641"/>
      <c r="II140" s="1641"/>
      <c r="IJ140" s="1641"/>
      <c r="IK140" s="1641"/>
      <c r="IL140" s="1641"/>
      <c r="IM140" s="1641"/>
      <c r="IN140" s="1641"/>
      <c r="IO140" s="1641"/>
      <c r="IP140" s="1410"/>
      <c r="IQ140" s="1410"/>
      <c r="IR140" s="1410"/>
      <c r="IS140" s="1410"/>
      <c r="IT140" s="1410"/>
      <c r="IU140" s="1410"/>
      <c r="IV140" s="1410"/>
      <c r="IW140" s="1410"/>
      <c r="IX140" s="1641"/>
      <c r="IY140" s="1641"/>
      <c r="IZ140" s="1641"/>
      <c r="JA140" s="1641"/>
      <c r="JB140" s="1641"/>
      <c r="JC140" s="1641"/>
      <c r="JD140" s="1641"/>
      <c r="JE140" s="1641"/>
      <c r="JF140" s="1641"/>
      <c r="JG140" s="1641"/>
      <c r="JH140" s="1410"/>
      <c r="JI140" s="1410"/>
      <c r="JJ140" s="1410"/>
      <c r="JK140" s="1410"/>
      <c r="JL140" s="1410"/>
      <c r="JM140" s="1410"/>
      <c r="JN140" s="1410"/>
      <c r="JO140" s="1410"/>
      <c r="JP140" s="1410"/>
      <c r="JQ140" s="1405"/>
      <c r="JR140" s="351"/>
    </row>
    <row r="141" spans="1:278" x14ac:dyDescent="0.25">
      <c r="A141" s="1367">
        <v>141</v>
      </c>
      <c r="B141" s="1411" t="str">
        <f t="shared" si="15"/>
        <v/>
      </c>
      <c r="C141" s="1435" t="s">
        <v>4052</v>
      </c>
      <c r="D141" s="1361" t="s">
        <v>4044</v>
      </c>
      <c r="E141" s="1639"/>
      <c r="F141" s="1639"/>
      <c r="G141" s="1639"/>
      <c r="H141" s="1639"/>
      <c r="I141" s="1639"/>
      <c r="J141" s="1639"/>
      <c r="K141" s="1639"/>
      <c r="L141" s="1639"/>
      <c r="M141" s="1639"/>
      <c r="N141" s="1639"/>
      <c r="O141" s="1639"/>
      <c r="P141" s="1639"/>
      <c r="Q141" s="1639"/>
      <c r="R141" s="1639"/>
      <c r="S141" s="1639"/>
      <c r="T141" s="1639"/>
      <c r="U141" s="1639"/>
      <c r="V141" s="1639"/>
      <c r="W141" s="1639"/>
      <c r="X141" s="1639"/>
      <c r="Y141" s="1639"/>
      <c r="Z141" s="1639"/>
      <c r="AA141" s="1639"/>
      <c r="AB141" s="1639"/>
      <c r="AC141" s="1639"/>
      <c r="AD141" s="1639"/>
      <c r="AE141" s="1639"/>
      <c r="AF141" s="1639"/>
      <c r="AG141" s="1639"/>
      <c r="AH141" s="1639"/>
      <c r="AI141" s="1639"/>
      <c r="AJ141" s="1639"/>
      <c r="AK141" s="1639"/>
      <c r="AL141" s="1639"/>
      <c r="AM141" s="1639"/>
      <c r="AN141" s="1639"/>
      <c r="AO141" s="1639"/>
      <c r="AP141" s="1639"/>
      <c r="AQ141" s="1639"/>
      <c r="AR141" s="1639"/>
      <c r="AS141" s="1639"/>
      <c r="AT141" s="1639"/>
      <c r="AU141" s="1639"/>
      <c r="AV141" s="1639"/>
      <c r="AW141" s="1639"/>
      <c r="AX141" s="1639"/>
      <c r="AY141" s="1639"/>
      <c r="AZ141" s="1639"/>
      <c r="BA141" s="1639"/>
      <c r="BB141" s="1639"/>
      <c r="BC141" s="1639"/>
      <c r="BD141" s="1639"/>
      <c r="BE141" s="1639"/>
      <c r="BF141" s="1639"/>
      <c r="BG141" s="1639"/>
      <c r="BH141" s="1639"/>
      <c r="BI141" s="1639"/>
      <c r="BJ141" s="1639"/>
      <c r="BK141" s="1639"/>
      <c r="BL141" s="1639"/>
      <c r="BM141" s="1639"/>
      <c r="BN141" s="1639"/>
      <c r="BO141" s="1639"/>
      <c r="BP141" s="1639"/>
      <c r="BQ141" s="1639"/>
      <c r="BR141" s="1639"/>
      <c r="BS141" s="1639"/>
      <c r="BT141" s="1639"/>
      <c r="BU141" s="1639"/>
      <c r="BV141" s="1639"/>
      <c r="BW141" s="1639"/>
      <c r="BX141" s="1639"/>
      <c r="BY141" s="1639"/>
      <c r="BZ141" s="1639"/>
      <c r="CA141" s="1639"/>
      <c r="CB141" s="1639"/>
      <c r="CC141" s="1639"/>
      <c r="CD141" s="1639"/>
      <c r="CE141" s="1639"/>
      <c r="CF141" s="1639"/>
      <c r="CG141" s="1639"/>
      <c r="CH141" s="1639"/>
      <c r="CI141" s="1639"/>
      <c r="CJ141" s="1639"/>
      <c r="CK141" s="1639"/>
      <c r="CL141" s="1639"/>
      <c r="CM141" s="1639"/>
      <c r="CN141" s="1639"/>
      <c r="CO141" s="1639"/>
      <c r="CP141" s="1639"/>
      <c r="CQ141" s="1639"/>
      <c r="CR141" s="1639"/>
      <c r="CS141" s="1639"/>
      <c r="CT141" s="1639"/>
      <c r="CU141" s="1639"/>
      <c r="CV141" s="1639"/>
      <c r="CW141" s="1639"/>
      <c r="CX141" s="1639"/>
      <c r="CY141" s="1639"/>
      <c r="CZ141" s="1639"/>
      <c r="DA141" s="1639"/>
      <c r="DB141" s="1639"/>
      <c r="DC141" s="1639"/>
      <c r="DD141" s="1639"/>
      <c r="DE141" s="1639"/>
      <c r="DF141" s="1639"/>
      <c r="DG141" s="1639"/>
      <c r="DH141" s="1639"/>
      <c r="DI141" s="1639"/>
      <c r="DJ141" s="1639"/>
      <c r="DK141" s="1639"/>
      <c r="DL141" s="1639"/>
      <c r="DM141" s="1639"/>
      <c r="DN141" s="1639"/>
      <c r="DO141" s="1639"/>
      <c r="DP141" s="1639"/>
      <c r="DQ141" s="1639"/>
      <c r="DR141" s="1639"/>
      <c r="DS141" s="1639"/>
      <c r="DT141" s="1639"/>
      <c r="DU141" s="1639"/>
      <c r="DV141" s="1639"/>
      <c r="DW141" s="1639"/>
      <c r="DX141" s="1639"/>
      <c r="DY141" s="1639"/>
      <c r="DZ141" s="1639"/>
      <c r="EA141" s="1639"/>
      <c r="EB141" s="1639"/>
      <c r="EC141" s="1639"/>
      <c r="ED141" s="1639"/>
      <c r="EE141" s="1639"/>
      <c r="EF141" s="1639"/>
      <c r="EG141" s="1639"/>
      <c r="EH141" s="1639"/>
      <c r="EI141" s="1639"/>
      <c r="EJ141" s="1639"/>
      <c r="EK141" s="1639"/>
      <c r="EL141" s="1639"/>
      <c r="EM141" s="1639"/>
      <c r="EN141" s="1639"/>
      <c r="EO141" s="1639"/>
      <c r="EP141" s="1639"/>
      <c r="EQ141" s="1639"/>
      <c r="ER141" s="1639"/>
      <c r="ES141" s="1639"/>
      <c r="ET141" s="1639"/>
      <c r="EU141" s="1639"/>
      <c r="EV141" s="1639"/>
      <c r="EW141" s="1639"/>
      <c r="EX141" s="1639"/>
      <c r="EY141" s="1639"/>
      <c r="EZ141" s="1639"/>
      <c r="FA141" s="1639"/>
      <c r="FB141" s="1639"/>
      <c r="FC141" s="1639"/>
      <c r="FD141" s="1639"/>
      <c r="FE141" s="1639"/>
      <c r="FF141" s="1639"/>
      <c r="FG141" s="1639"/>
      <c r="FH141" s="1639"/>
      <c r="FI141" s="1639"/>
      <c r="FJ141" s="1639"/>
      <c r="FK141" s="1639"/>
      <c r="FL141" s="1639"/>
      <c r="FM141" s="1639"/>
      <c r="FN141" s="1639"/>
      <c r="FO141" s="1639"/>
      <c r="FP141" s="1639"/>
      <c r="FQ141" s="1639"/>
      <c r="FR141" s="1639"/>
      <c r="FS141" s="1639"/>
      <c r="FT141" s="1639"/>
      <c r="FU141" s="1639"/>
      <c r="FV141" s="1639"/>
      <c r="FW141" s="1639"/>
      <c r="FX141" s="1639"/>
      <c r="FY141" s="1639"/>
      <c r="FZ141" s="1639"/>
      <c r="GA141" s="1639"/>
      <c r="GB141" s="1639"/>
      <c r="GC141" s="1639"/>
      <c r="GD141" s="1639"/>
      <c r="GE141" s="1639"/>
      <c r="GF141" s="1639"/>
      <c r="GG141" s="1639"/>
      <c r="GH141" s="1639"/>
      <c r="GI141" s="1639"/>
      <c r="GJ141" s="1639"/>
      <c r="GK141" s="1639"/>
      <c r="GL141" s="1639"/>
      <c r="GM141" s="1639"/>
      <c r="GN141" s="1639"/>
      <c r="GO141" s="1639"/>
      <c r="GP141" s="1639"/>
      <c r="GQ141" s="1639"/>
      <c r="GR141" s="1639"/>
      <c r="GS141" s="1639"/>
      <c r="GT141" s="1639"/>
      <c r="GU141" s="1639"/>
      <c r="GV141" s="1639"/>
      <c r="GW141" s="1639"/>
      <c r="GX141" s="1639"/>
      <c r="GY141" s="1639"/>
      <c r="GZ141" s="1639"/>
      <c r="HA141" s="1639"/>
      <c r="HB141" s="1639"/>
      <c r="HC141" s="1639"/>
      <c r="HD141" s="1639"/>
      <c r="HE141" s="1639"/>
      <c r="HF141" s="1639"/>
      <c r="HG141" s="1639"/>
      <c r="HH141" s="1639" t="s">
        <v>1707</v>
      </c>
      <c r="HI141" s="1639"/>
      <c r="HJ141" s="1639"/>
      <c r="HK141" s="1639"/>
      <c r="HL141" s="1639"/>
      <c r="HM141" s="1639"/>
      <c r="HN141" s="1639"/>
      <c r="HO141" s="1639"/>
      <c r="HP141" s="1639"/>
      <c r="HQ141" s="1639"/>
      <c r="HR141" s="1639"/>
      <c r="HS141" s="1639"/>
      <c r="HT141" s="1639"/>
      <c r="HU141" s="1639"/>
      <c r="HV141" s="1639"/>
      <c r="HW141" s="1639"/>
      <c r="HX141" s="1639"/>
      <c r="HY141" s="1639"/>
      <c r="HZ141" s="1639"/>
      <c r="IA141" s="1639"/>
      <c r="IB141" s="1639"/>
      <c r="IC141" s="1639"/>
      <c r="ID141" s="1639"/>
      <c r="IE141" s="1639"/>
      <c r="IF141" s="1639"/>
      <c r="IG141" s="1639"/>
      <c r="IH141" s="1639"/>
      <c r="II141" s="1639"/>
      <c r="IJ141" s="1639"/>
      <c r="IK141" s="1639"/>
      <c r="IL141" s="1639"/>
      <c r="IM141" s="1639"/>
      <c r="IN141" s="1639"/>
      <c r="IO141" s="1639"/>
      <c r="IP141" s="1410"/>
      <c r="IQ141" s="1410"/>
      <c r="IR141" s="1410"/>
      <c r="IS141" s="1410"/>
      <c r="IT141" s="1410"/>
      <c r="IU141" s="1410"/>
      <c r="IV141" s="1410"/>
      <c r="IW141" s="1410"/>
      <c r="IX141" s="1639"/>
      <c r="IY141" s="1639"/>
      <c r="IZ141" s="1639"/>
      <c r="JA141" s="1639"/>
      <c r="JB141" s="1639"/>
      <c r="JC141" s="1639"/>
      <c r="JD141" s="1639"/>
      <c r="JE141" s="1639"/>
      <c r="JF141" s="1639"/>
      <c r="JG141" s="1639"/>
      <c r="JH141" s="1410"/>
      <c r="JI141" s="1410"/>
      <c r="JJ141" s="1410"/>
      <c r="JK141" s="1410"/>
      <c r="JL141" s="1410"/>
      <c r="JM141" s="1410"/>
      <c r="JN141" s="1410"/>
      <c r="JO141" s="1410"/>
      <c r="JP141" s="1410"/>
      <c r="JQ141" s="1405"/>
      <c r="JR141" s="351"/>
    </row>
    <row r="142" spans="1:278" x14ac:dyDescent="0.25">
      <c r="A142" s="1367">
        <v>142</v>
      </c>
      <c r="B142" s="1411" t="str">
        <f t="shared" si="15"/>
        <v/>
      </c>
      <c r="C142" s="1435" t="s">
        <v>4053</v>
      </c>
      <c r="D142" s="1361" t="s">
        <v>3875</v>
      </c>
      <c r="E142" s="1641"/>
      <c r="F142" s="1641"/>
      <c r="G142" s="1641"/>
      <c r="H142" s="1641"/>
      <c r="I142" s="1641"/>
      <c r="J142" s="1641"/>
      <c r="K142" s="1641"/>
      <c r="L142" s="1641"/>
      <c r="M142" s="1641"/>
      <c r="N142" s="1641"/>
      <c r="O142" s="1641"/>
      <c r="P142" s="1641"/>
      <c r="Q142" s="1641"/>
      <c r="R142" s="1641"/>
      <c r="S142" s="1641"/>
      <c r="T142" s="1641"/>
      <c r="U142" s="1641"/>
      <c r="V142" s="1641"/>
      <c r="W142" s="1641"/>
      <c r="X142" s="1641"/>
      <c r="Y142" s="1641"/>
      <c r="Z142" s="1641"/>
      <c r="AA142" s="1641"/>
      <c r="AB142" s="1641"/>
      <c r="AC142" s="1641"/>
      <c r="AD142" s="1641"/>
      <c r="AE142" s="1641"/>
      <c r="AF142" s="1641"/>
      <c r="AG142" s="1641"/>
      <c r="AH142" s="1641"/>
      <c r="AI142" s="1641"/>
      <c r="AJ142" s="1641"/>
      <c r="AK142" s="1641"/>
      <c r="AL142" s="1641"/>
      <c r="AM142" s="1641"/>
      <c r="AN142" s="1641"/>
      <c r="AO142" s="1641"/>
      <c r="AP142" s="1641"/>
      <c r="AQ142" s="1641"/>
      <c r="AR142" s="1641"/>
      <c r="AS142" s="1641"/>
      <c r="AT142" s="1641"/>
      <c r="AU142" s="1641"/>
      <c r="AV142" s="1641"/>
      <c r="AW142" s="1641"/>
      <c r="AX142" s="1641"/>
      <c r="AY142" s="1641"/>
      <c r="AZ142" s="1641"/>
      <c r="BA142" s="1641"/>
      <c r="BB142" s="1641"/>
      <c r="BC142" s="1641"/>
      <c r="BD142" s="1641"/>
      <c r="BE142" s="1641"/>
      <c r="BF142" s="1641"/>
      <c r="BG142" s="1641"/>
      <c r="BH142" s="1641"/>
      <c r="BI142" s="1641"/>
      <c r="BJ142" s="1641"/>
      <c r="BK142" s="1641"/>
      <c r="BL142" s="1641"/>
      <c r="BM142" s="1641"/>
      <c r="BN142" s="1641"/>
      <c r="BO142" s="1641"/>
      <c r="BP142" s="1641"/>
      <c r="BQ142" s="1641"/>
      <c r="BR142" s="1641"/>
      <c r="BS142" s="1641"/>
      <c r="BT142" s="1641"/>
      <c r="BU142" s="1641"/>
      <c r="BV142" s="1641"/>
      <c r="BW142" s="1641"/>
      <c r="BX142" s="1641"/>
      <c r="BY142" s="1641"/>
      <c r="BZ142" s="1641"/>
      <c r="CA142" s="1641"/>
      <c r="CB142" s="1641"/>
      <c r="CC142" s="1641"/>
      <c r="CD142" s="1641"/>
      <c r="CE142" s="1641"/>
      <c r="CF142" s="1641"/>
      <c r="CG142" s="1641"/>
      <c r="CH142" s="1641"/>
      <c r="CI142" s="1641"/>
      <c r="CJ142" s="1641"/>
      <c r="CK142" s="1641"/>
      <c r="CL142" s="1641"/>
      <c r="CM142" s="1641"/>
      <c r="CN142" s="1641"/>
      <c r="CO142" s="1641"/>
      <c r="CP142" s="1641"/>
      <c r="CQ142" s="1641"/>
      <c r="CR142" s="1641"/>
      <c r="CS142" s="1641"/>
      <c r="CT142" s="1641"/>
      <c r="CU142" s="1641"/>
      <c r="CV142" s="1641"/>
      <c r="CW142" s="1641"/>
      <c r="CX142" s="1641"/>
      <c r="CY142" s="1641"/>
      <c r="CZ142" s="1641"/>
      <c r="DA142" s="1641"/>
      <c r="DB142" s="1641"/>
      <c r="DC142" s="1641"/>
      <c r="DD142" s="1641"/>
      <c r="DE142" s="1641"/>
      <c r="DF142" s="1641"/>
      <c r="DG142" s="1641"/>
      <c r="DH142" s="1641"/>
      <c r="DI142" s="1641"/>
      <c r="DJ142" s="1641"/>
      <c r="DK142" s="1641"/>
      <c r="DL142" s="1641"/>
      <c r="DM142" s="1641"/>
      <c r="DN142" s="1641"/>
      <c r="DO142" s="1641"/>
      <c r="DP142" s="1641"/>
      <c r="DQ142" s="1641"/>
      <c r="DR142" s="1641"/>
      <c r="DS142" s="1641"/>
      <c r="DT142" s="1641"/>
      <c r="DU142" s="1641"/>
      <c r="DV142" s="1641"/>
      <c r="DW142" s="1641"/>
      <c r="DX142" s="1641"/>
      <c r="DY142" s="1641"/>
      <c r="DZ142" s="1641"/>
      <c r="EA142" s="1641"/>
      <c r="EB142" s="1641"/>
      <c r="EC142" s="1641"/>
      <c r="ED142" s="1641"/>
      <c r="EE142" s="1641"/>
      <c r="EF142" s="1641"/>
      <c r="EG142" s="1641"/>
      <c r="EH142" s="1641"/>
      <c r="EI142" s="1641"/>
      <c r="EJ142" s="1641"/>
      <c r="EK142" s="1641"/>
      <c r="EL142" s="1641"/>
      <c r="EM142" s="1641"/>
      <c r="EN142" s="1641"/>
      <c r="EO142" s="1641"/>
      <c r="EP142" s="1641"/>
      <c r="EQ142" s="1641"/>
      <c r="ER142" s="1641"/>
      <c r="ES142" s="1641"/>
      <c r="ET142" s="1641"/>
      <c r="EU142" s="1641"/>
      <c r="EV142" s="1641"/>
      <c r="EW142" s="1641"/>
      <c r="EX142" s="1641"/>
      <c r="EY142" s="1641"/>
      <c r="EZ142" s="1641"/>
      <c r="FA142" s="1641"/>
      <c r="FB142" s="1641"/>
      <c r="FC142" s="1641"/>
      <c r="FD142" s="1641"/>
      <c r="FE142" s="1641"/>
      <c r="FF142" s="1641"/>
      <c r="FG142" s="1641"/>
      <c r="FH142" s="1641"/>
      <c r="FI142" s="1641"/>
      <c r="FJ142" s="1641"/>
      <c r="FK142" s="1641"/>
      <c r="FL142" s="1641"/>
      <c r="FM142" s="1641"/>
      <c r="FN142" s="1641"/>
      <c r="FO142" s="1641"/>
      <c r="FP142" s="1641"/>
      <c r="FQ142" s="1641"/>
      <c r="FR142" s="1641"/>
      <c r="FS142" s="1641"/>
      <c r="FT142" s="1641"/>
      <c r="FU142" s="1641"/>
      <c r="FV142" s="1641"/>
      <c r="FW142" s="1641"/>
      <c r="FX142" s="1641"/>
      <c r="FY142" s="1641"/>
      <c r="FZ142" s="1641"/>
      <c r="GA142" s="1641"/>
      <c r="GB142" s="1641"/>
      <c r="GC142" s="1641"/>
      <c r="GD142" s="1641"/>
      <c r="GE142" s="1641"/>
      <c r="GF142" s="1641"/>
      <c r="GG142" s="1641"/>
      <c r="GH142" s="1641"/>
      <c r="GI142" s="1641"/>
      <c r="GJ142" s="1641"/>
      <c r="GK142" s="1641"/>
      <c r="GL142" s="1641"/>
      <c r="GM142" s="1641"/>
      <c r="GN142" s="1641"/>
      <c r="GO142" s="1641"/>
      <c r="GP142" s="1641"/>
      <c r="GQ142" s="1641"/>
      <c r="GR142" s="1641"/>
      <c r="GS142" s="1641"/>
      <c r="GT142" s="1641"/>
      <c r="GU142" s="1641"/>
      <c r="GV142" s="1641"/>
      <c r="GW142" s="1641"/>
      <c r="GX142" s="1641"/>
      <c r="GY142" s="1641"/>
      <c r="GZ142" s="1641"/>
      <c r="HA142" s="1641"/>
      <c r="HB142" s="1641"/>
      <c r="HC142" s="1641"/>
      <c r="HD142" s="1641"/>
      <c r="HE142" s="1641"/>
      <c r="HF142" s="1641"/>
      <c r="HG142" s="1641"/>
      <c r="HH142" s="1641">
        <v>7434</v>
      </c>
      <c r="HI142" s="1641"/>
      <c r="HJ142" s="1641"/>
      <c r="HK142" s="1641"/>
      <c r="HL142" s="1641"/>
      <c r="HM142" s="1641"/>
      <c r="HN142" s="1641"/>
      <c r="HO142" s="1641"/>
      <c r="HP142" s="1641"/>
      <c r="HQ142" s="1641"/>
      <c r="HR142" s="1641"/>
      <c r="HS142" s="1641"/>
      <c r="HT142" s="1641"/>
      <c r="HU142" s="1641"/>
      <c r="HV142" s="1641"/>
      <c r="HW142" s="1641"/>
      <c r="HX142" s="1641"/>
      <c r="HY142" s="1641"/>
      <c r="HZ142" s="1641"/>
      <c r="IA142" s="1641"/>
      <c r="IB142" s="1641"/>
      <c r="IC142" s="1641"/>
      <c r="ID142" s="1641"/>
      <c r="IE142" s="1641"/>
      <c r="IF142" s="1641"/>
      <c r="IG142" s="1641"/>
      <c r="IH142" s="1641"/>
      <c r="II142" s="1641"/>
      <c r="IJ142" s="1641"/>
      <c r="IK142" s="1641"/>
      <c r="IL142" s="1641"/>
      <c r="IM142" s="1641"/>
      <c r="IN142" s="1641"/>
      <c r="IO142" s="1641"/>
      <c r="IP142" s="1410"/>
      <c r="IQ142" s="1410"/>
      <c r="IR142" s="1410"/>
      <c r="IS142" s="1410"/>
      <c r="IT142" s="1410"/>
      <c r="IU142" s="1410"/>
      <c r="IV142" s="1410"/>
      <c r="IW142" s="1410"/>
      <c r="IX142" s="1641"/>
      <c r="IY142" s="1641"/>
      <c r="IZ142" s="1641"/>
      <c r="JA142" s="1641"/>
      <c r="JB142" s="1641"/>
      <c r="JC142" s="1641"/>
      <c r="JD142" s="1641"/>
      <c r="JE142" s="1641"/>
      <c r="JF142" s="1641"/>
      <c r="JG142" s="1641"/>
      <c r="JH142" s="1410"/>
      <c r="JI142" s="1410"/>
      <c r="JJ142" s="1410"/>
      <c r="JK142" s="1410"/>
      <c r="JL142" s="1410"/>
      <c r="JM142" s="1410"/>
      <c r="JN142" s="1410"/>
      <c r="JO142" s="1410"/>
      <c r="JP142" s="1410"/>
      <c r="JQ142" s="1405"/>
      <c r="JR142" s="351"/>
    </row>
    <row r="143" spans="1:278" x14ac:dyDescent="0.25">
      <c r="A143" s="1367">
        <v>143</v>
      </c>
      <c r="B143" s="1411" t="str">
        <f t="shared" si="15"/>
        <v/>
      </c>
      <c r="C143" s="1435" t="s">
        <v>4054</v>
      </c>
      <c r="D143" s="1361" t="s">
        <v>3851</v>
      </c>
      <c r="E143" s="1639"/>
      <c r="F143" s="1639"/>
      <c r="G143" s="1639"/>
      <c r="H143" s="1639"/>
      <c r="I143" s="1639"/>
      <c r="J143" s="1639"/>
      <c r="K143" s="1639"/>
      <c r="L143" s="1639"/>
      <c r="M143" s="1639"/>
      <c r="N143" s="1639"/>
      <c r="O143" s="1639"/>
      <c r="P143" s="1639"/>
      <c r="Q143" s="1639"/>
      <c r="R143" s="1639"/>
      <c r="S143" s="1639"/>
      <c r="T143" s="1639"/>
      <c r="U143" s="1639"/>
      <c r="V143" s="1639"/>
      <c r="W143" s="1639"/>
      <c r="X143" s="1639"/>
      <c r="Y143" s="1639"/>
      <c r="Z143" s="1639"/>
      <c r="AA143" s="1639"/>
      <c r="AB143" s="1639"/>
      <c r="AC143" s="1639"/>
      <c r="AD143" s="1639"/>
      <c r="AE143" s="1639"/>
      <c r="AF143" s="1639"/>
      <c r="AG143" s="1639"/>
      <c r="AH143" s="1639"/>
      <c r="AI143" s="1639"/>
      <c r="AJ143" s="1639"/>
      <c r="AK143" s="1639"/>
      <c r="AL143" s="1639"/>
      <c r="AM143" s="1639"/>
      <c r="AN143" s="1639"/>
      <c r="AO143" s="1639"/>
      <c r="AP143" s="1639"/>
      <c r="AQ143" s="1639"/>
      <c r="AR143" s="1639"/>
      <c r="AS143" s="1639"/>
      <c r="AT143" s="1639"/>
      <c r="AU143" s="1639"/>
      <c r="AV143" s="1639"/>
      <c r="AW143" s="1639"/>
      <c r="AX143" s="1639"/>
      <c r="AY143" s="1639"/>
      <c r="AZ143" s="1639"/>
      <c r="BA143" s="1639"/>
      <c r="BB143" s="1639"/>
      <c r="BC143" s="1639"/>
      <c r="BD143" s="1639"/>
      <c r="BE143" s="1639"/>
      <c r="BF143" s="1639"/>
      <c r="BG143" s="1639"/>
      <c r="BH143" s="1639"/>
      <c r="BI143" s="1639"/>
      <c r="BJ143" s="1639"/>
      <c r="BK143" s="1639"/>
      <c r="BL143" s="1639"/>
      <c r="BM143" s="1639"/>
      <c r="BN143" s="1639"/>
      <c r="BO143" s="1639"/>
      <c r="BP143" s="1639"/>
      <c r="BQ143" s="1639"/>
      <c r="BR143" s="1639"/>
      <c r="BS143" s="1639"/>
      <c r="BT143" s="1639"/>
      <c r="BU143" s="1639"/>
      <c r="BV143" s="1639"/>
      <c r="BW143" s="1639"/>
      <c r="BX143" s="1639"/>
      <c r="BY143" s="1639"/>
      <c r="BZ143" s="1639"/>
      <c r="CA143" s="1639"/>
      <c r="CB143" s="1639"/>
      <c r="CC143" s="1639"/>
      <c r="CD143" s="1639"/>
      <c r="CE143" s="1639"/>
      <c r="CF143" s="1639"/>
      <c r="CG143" s="1639"/>
      <c r="CH143" s="1639"/>
      <c r="CI143" s="1639"/>
      <c r="CJ143" s="1639"/>
      <c r="CK143" s="1639"/>
      <c r="CL143" s="1639"/>
      <c r="CM143" s="1639"/>
      <c r="CN143" s="1639"/>
      <c r="CO143" s="1639"/>
      <c r="CP143" s="1639"/>
      <c r="CQ143" s="1639"/>
      <c r="CR143" s="1639"/>
      <c r="CS143" s="1639"/>
      <c r="CT143" s="1639"/>
      <c r="CU143" s="1639"/>
      <c r="CV143" s="1639"/>
      <c r="CW143" s="1639"/>
      <c r="CX143" s="1639"/>
      <c r="CY143" s="1639"/>
      <c r="CZ143" s="1639"/>
      <c r="DA143" s="1639"/>
      <c r="DB143" s="1639"/>
      <c r="DC143" s="1639"/>
      <c r="DD143" s="1639"/>
      <c r="DE143" s="1639"/>
      <c r="DF143" s="1639"/>
      <c r="DG143" s="1639"/>
      <c r="DH143" s="1639"/>
      <c r="DI143" s="1639"/>
      <c r="DJ143" s="1639"/>
      <c r="DK143" s="1639"/>
      <c r="DL143" s="1639"/>
      <c r="DM143" s="1639"/>
      <c r="DN143" s="1639"/>
      <c r="DO143" s="1639"/>
      <c r="DP143" s="1639"/>
      <c r="DQ143" s="1639"/>
      <c r="DR143" s="1639"/>
      <c r="DS143" s="1639"/>
      <c r="DT143" s="1639"/>
      <c r="DU143" s="1639"/>
      <c r="DV143" s="1639"/>
      <c r="DW143" s="1639"/>
      <c r="DX143" s="1639"/>
      <c r="DY143" s="1639"/>
      <c r="DZ143" s="1639"/>
      <c r="EA143" s="1639"/>
      <c r="EB143" s="1639"/>
      <c r="EC143" s="1639"/>
      <c r="ED143" s="1639"/>
      <c r="EE143" s="1639"/>
      <c r="EF143" s="1639"/>
      <c r="EG143" s="1639"/>
      <c r="EH143" s="1639"/>
      <c r="EI143" s="1639"/>
      <c r="EJ143" s="1639"/>
      <c r="EK143" s="1639"/>
      <c r="EL143" s="1639"/>
      <c r="EM143" s="1639"/>
      <c r="EN143" s="1639"/>
      <c r="EO143" s="1639"/>
      <c r="EP143" s="1639"/>
      <c r="EQ143" s="1639"/>
      <c r="ER143" s="1639"/>
      <c r="ES143" s="1639"/>
      <c r="ET143" s="1639"/>
      <c r="EU143" s="1639"/>
      <c r="EV143" s="1639"/>
      <c r="EW143" s="1639"/>
      <c r="EX143" s="1639"/>
      <c r="EY143" s="1639"/>
      <c r="EZ143" s="1639"/>
      <c r="FA143" s="1639"/>
      <c r="FB143" s="1639"/>
      <c r="FC143" s="1639"/>
      <c r="FD143" s="1639"/>
      <c r="FE143" s="1639"/>
      <c r="FF143" s="1639"/>
      <c r="FG143" s="1639"/>
      <c r="FH143" s="1639"/>
      <c r="FI143" s="1639"/>
      <c r="FJ143" s="1639"/>
      <c r="FK143" s="1639"/>
      <c r="FL143" s="1639"/>
      <c r="FM143" s="1639"/>
      <c r="FN143" s="1639"/>
      <c r="FO143" s="1639"/>
      <c r="FP143" s="1639"/>
      <c r="FQ143" s="1639"/>
      <c r="FR143" s="1639"/>
      <c r="FS143" s="1639"/>
      <c r="FT143" s="1639"/>
      <c r="FU143" s="1639"/>
      <c r="FV143" s="1639"/>
      <c r="FW143" s="1639"/>
      <c r="FX143" s="1639"/>
      <c r="FY143" s="1639"/>
      <c r="FZ143" s="1639"/>
      <c r="GA143" s="1639"/>
      <c r="GB143" s="1639"/>
      <c r="GC143" s="1639"/>
      <c r="GD143" s="1639"/>
      <c r="GE143" s="1639"/>
      <c r="GF143" s="1639"/>
      <c r="GG143" s="1639"/>
      <c r="GH143" s="1639"/>
      <c r="GI143" s="1639"/>
      <c r="GJ143" s="1639"/>
      <c r="GK143" s="1639"/>
      <c r="GL143" s="1639"/>
      <c r="GM143" s="1639"/>
      <c r="GN143" s="1639"/>
      <c r="GO143" s="1639"/>
      <c r="GP143" s="1639"/>
      <c r="GQ143" s="1639"/>
      <c r="GR143" s="1639"/>
      <c r="GS143" s="1639"/>
      <c r="GT143" s="1639"/>
      <c r="GU143" s="1639"/>
      <c r="GV143" s="1639"/>
      <c r="GW143" s="1639"/>
      <c r="GX143" s="1639"/>
      <c r="GY143" s="1639"/>
      <c r="GZ143" s="1639"/>
      <c r="HA143" s="1639"/>
      <c r="HB143" s="1639"/>
      <c r="HC143" s="1639"/>
      <c r="HD143" s="1639"/>
      <c r="HE143" s="1639"/>
      <c r="HF143" s="1639"/>
      <c r="HG143" s="1639"/>
      <c r="HH143" s="1639" t="s">
        <v>3880</v>
      </c>
      <c r="HI143" s="1639"/>
      <c r="HJ143" s="1639"/>
      <c r="HK143" s="1639"/>
      <c r="HL143" s="1639"/>
      <c r="HM143" s="1639"/>
      <c r="HN143" s="1639"/>
      <c r="HO143" s="1639"/>
      <c r="HP143" s="1639"/>
      <c r="HQ143" s="1639"/>
      <c r="HR143" s="1639"/>
      <c r="HS143" s="1639"/>
      <c r="HT143" s="1639"/>
      <c r="HU143" s="1639"/>
      <c r="HV143" s="1639"/>
      <c r="HW143" s="1639"/>
      <c r="HX143" s="1639"/>
      <c r="HY143" s="1639"/>
      <c r="HZ143" s="1639"/>
      <c r="IA143" s="1639"/>
      <c r="IB143" s="1639"/>
      <c r="IC143" s="1639"/>
      <c r="ID143" s="1639"/>
      <c r="IE143" s="1639"/>
      <c r="IF143" s="1639"/>
      <c r="IG143" s="1639"/>
      <c r="IH143" s="1639"/>
      <c r="II143" s="1639"/>
      <c r="IJ143" s="1639"/>
      <c r="IK143" s="1639"/>
      <c r="IL143" s="1639"/>
      <c r="IM143" s="1639"/>
      <c r="IN143" s="1639"/>
      <c r="IO143" s="1639"/>
      <c r="IP143" s="1410"/>
      <c r="IQ143" s="1410"/>
      <c r="IR143" s="1410"/>
      <c r="IS143" s="1410"/>
      <c r="IT143" s="1410"/>
      <c r="IU143" s="1410"/>
      <c r="IV143" s="1410"/>
      <c r="IW143" s="1410"/>
      <c r="IX143" s="1639"/>
      <c r="IY143" s="1639"/>
      <c r="IZ143" s="1639"/>
      <c r="JA143" s="1639"/>
      <c r="JB143" s="1639"/>
      <c r="JC143" s="1639"/>
      <c r="JD143" s="1639"/>
      <c r="JE143" s="1639"/>
      <c r="JF143" s="1639"/>
      <c r="JG143" s="1639"/>
      <c r="JH143" s="1410"/>
      <c r="JI143" s="1410"/>
      <c r="JJ143" s="1410"/>
      <c r="JK143" s="1410"/>
      <c r="JL143" s="1410"/>
      <c r="JM143" s="1410"/>
      <c r="JN143" s="1410"/>
      <c r="JO143" s="1410"/>
      <c r="JP143" s="1410"/>
      <c r="JQ143" s="1405"/>
      <c r="JR143" s="351"/>
    </row>
    <row r="144" spans="1:278" x14ac:dyDescent="0.25">
      <c r="A144" s="1367">
        <v>144</v>
      </c>
      <c r="B144" s="1411" t="str">
        <f t="shared" si="15"/>
        <v/>
      </c>
      <c r="C144" s="1435" t="s">
        <v>4055</v>
      </c>
      <c r="D144" s="1361" t="s">
        <v>4042</v>
      </c>
      <c r="E144" s="1641"/>
      <c r="F144" s="1641"/>
      <c r="G144" s="1641"/>
      <c r="H144" s="1641"/>
      <c r="I144" s="1641"/>
      <c r="J144" s="1641"/>
      <c r="K144" s="1641"/>
      <c r="L144" s="1641"/>
      <c r="M144" s="1641"/>
      <c r="N144" s="1641"/>
      <c r="O144" s="1641"/>
      <c r="P144" s="1641"/>
      <c r="Q144" s="1641"/>
      <c r="R144" s="1641"/>
      <c r="S144" s="1641"/>
      <c r="T144" s="1641"/>
      <c r="U144" s="1641"/>
      <c r="V144" s="1641"/>
      <c r="W144" s="1641"/>
      <c r="X144" s="1641"/>
      <c r="Y144" s="1641"/>
      <c r="Z144" s="1641"/>
      <c r="AA144" s="1641"/>
      <c r="AB144" s="1641"/>
      <c r="AC144" s="1641"/>
      <c r="AD144" s="1641"/>
      <c r="AE144" s="1641"/>
      <c r="AF144" s="1641"/>
      <c r="AG144" s="1641"/>
      <c r="AH144" s="1641"/>
      <c r="AI144" s="1641"/>
      <c r="AJ144" s="1641"/>
      <c r="AK144" s="1641"/>
      <c r="AL144" s="1641"/>
      <c r="AM144" s="1641"/>
      <c r="AN144" s="1641"/>
      <c r="AO144" s="1641"/>
      <c r="AP144" s="1641"/>
      <c r="AQ144" s="1641"/>
      <c r="AR144" s="1641"/>
      <c r="AS144" s="1641"/>
      <c r="AT144" s="1641"/>
      <c r="AU144" s="1641"/>
      <c r="AV144" s="1641"/>
      <c r="AW144" s="1641"/>
      <c r="AX144" s="1641"/>
      <c r="AY144" s="1641"/>
      <c r="AZ144" s="1641"/>
      <c r="BA144" s="1641"/>
      <c r="BB144" s="1641"/>
      <c r="BC144" s="1641"/>
      <c r="BD144" s="1641"/>
      <c r="BE144" s="1641"/>
      <c r="BF144" s="1641"/>
      <c r="BG144" s="1641"/>
      <c r="BH144" s="1641"/>
      <c r="BI144" s="1641"/>
      <c r="BJ144" s="1641"/>
      <c r="BK144" s="1641"/>
      <c r="BL144" s="1641"/>
      <c r="BM144" s="1641"/>
      <c r="BN144" s="1641"/>
      <c r="BO144" s="1641"/>
      <c r="BP144" s="1641"/>
      <c r="BQ144" s="1641"/>
      <c r="BR144" s="1641"/>
      <c r="BS144" s="1641"/>
      <c r="BT144" s="1641"/>
      <c r="BU144" s="1641"/>
      <c r="BV144" s="1641"/>
      <c r="BW144" s="1641"/>
      <c r="BX144" s="1641"/>
      <c r="BY144" s="1641"/>
      <c r="BZ144" s="1641"/>
      <c r="CA144" s="1641"/>
      <c r="CB144" s="1641"/>
      <c r="CC144" s="1641"/>
      <c r="CD144" s="1641"/>
      <c r="CE144" s="1641"/>
      <c r="CF144" s="1641"/>
      <c r="CG144" s="1641"/>
      <c r="CH144" s="1641"/>
      <c r="CI144" s="1641"/>
      <c r="CJ144" s="1641"/>
      <c r="CK144" s="1641"/>
      <c r="CL144" s="1641"/>
      <c r="CM144" s="1641"/>
      <c r="CN144" s="1641"/>
      <c r="CO144" s="1641"/>
      <c r="CP144" s="1641"/>
      <c r="CQ144" s="1641"/>
      <c r="CR144" s="1641"/>
      <c r="CS144" s="1641"/>
      <c r="CT144" s="1641"/>
      <c r="CU144" s="1641"/>
      <c r="CV144" s="1641"/>
      <c r="CW144" s="1641"/>
      <c r="CX144" s="1641"/>
      <c r="CY144" s="1641"/>
      <c r="CZ144" s="1641"/>
      <c r="DA144" s="1641"/>
      <c r="DB144" s="1641"/>
      <c r="DC144" s="1641"/>
      <c r="DD144" s="1641"/>
      <c r="DE144" s="1641"/>
      <c r="DF144" s="1641"/>
      <c r="DG144" s="1641"/>
      <c r="DH144" s="1641"/>
      <c r="DI144" s="1641"/>
      <c r="DJ144" s="1641"/>
      <c r="DK144" s="1641"/>
      <c r="DL144" s="1641"/>
      <c r="DM144" s="1641"/>
      <c r="DN144" s="1641"/>
      <c r="DO144" s="1641"/>
      <c r="DP144" s="1641"/>
      <c r="DQ144" s="1641"/>
      <c r="DR144" s="1641"/>
      <c r="DS144" s="1641"/>
      <c r="DT144" s="1641"/>
      <c r="DU144" s="1641"/>
      <c r="DV144" s="1641"/>
      <c r="DW144" s="1641"/>
      <c r="DX144" s="1641"/>
      <c r="DY144" s="1641"/>
      <c r="DZ144" s="1641"/>
      <c r="EA144" s="1641"/>
      <c r="EB144" s="1641"/>
      <c r="EC144" s="1641"/>
      <c r="ED144" s="1641"/>
      <c r="EE144" s="1641"/>
      <c r="EF144" s="1641"/>
      <c r="EG144" s="1641"/>
      <c r="EH144" s="1641"/>
      <c r="EI144" s="1641"/>
      <c r="EJ144" s="1641"/>
      <c r="EK144" s="1641"/>
      <c r="EL144" s="1641"/>
      <c r="EM144" s="1641"/>
      <c r="EN144" s="1641"/>
      <c r="EO144" s="1641"/>
      <c r="EP144" s="1641"/>
      <c r="EQ144" s="1641"/>
      <c r="ER144" s="1641"/>
      <c r="ES144" s="1641"/>
      <c r="ET144" s="1641"/>
      <c r="EU144" s="1641"/>
      <c r="EV144" s="1641"/>
      <c r="EW144" s="1641"/>
      <c r="EX144" s="1641"/>
      <c r="EY144" s="1641"/>
      <c r="EZ144" s="1641"/>
      <c r="FA144" s="1641"/>
      <c r="FB144" s="1641"/>
      <c r="FC144" s="1641"/>
      <c r="FD144" s="1641"/>
      <c r="FE144" s="1641"/>
      <c r="FF144" s="1641"/>
      <c r="FG144" s="1641"/>
      <c r="FH144" s="1641"/>
      <c r="FI144" s="1641"/>
      <c r="FJ144" s="1641"/>
      <c r="FK144" s="1641"/>
      <c r="FL144" s="1641"/>
      <c r="FM144" s="1641"/>
      <c r="FN144" s="1641"/>
      <c r="FO144" s="1641"/>
      <c r="FP144" s="1641"/>
      <c r="FQ144" s="1641"/>
      <c r="FR144" s="1641"/>
      <c r="FS144" s="1641"/>
      <c r="FT144" s="1641"/>
      <c r="FU144" s="1641"/>
      <c r="FV144" s="1641"/>
      <c r="FW144" s="1641"/>
      <c r="FX144" s="1641"/>
      <c r="FY144" s="1641"/>
      <c r="FZ144" s="1641"/>
      <c r="GA144" s="1641"/>
      <c r="GB144" s="1641"/>
      <c r="GC144" s="1641"/>
      <c r="GD144" s="1641"/>
      <c r="GE144" s="1641"/>
      <c r="GF144" s="1641"/>
      <c r="GG144" s="1641"/>
      <c r="GH144" s="1641"/>
      <c r="GI144" s="1641"/>
      <c r="GJ144" s="1641"/>
      <c r="GK144" s="1641"/>
      <c r="GL144" s="1641"/>
      <c r="GM144" s="1641"/>
      <c r="GN144" s="1641"/>
      <c r="GO144" s="1641"/>
      <c r="GP144" s="1641"/>
      <c r="GQ144" s="1641"/>
      <c r="GR144" s="1641"/>
      <c r="GS144" s="1641"/>
      <c r="GT144" s="1641"/>
      <c r="GU144" s="1641"/>
      <c r="GV144" s="1641"/>
      <c r="GW144" s="1641"/>
      <c r="GX144" s="1641"/>
      <c r="GY144" s="1641"/>
      <c r="GZ144" s="1641"/>
      <c r="HA144" s="1641"/>
      <c r="HB144" s="1641"/>
      <c r="HC144" s="1641"/>
      <c r="HD144" s="1641"/>
      <c r="HE144" s="1641"/>
      <c r="HF144" s="1641"/>
      <c r="HG144" s="1641"/>
      <c r="HH144" s="1641">
        <v>121168</v>
      </c>
      <c r="HI144" s="1641"/>
      <c r="HJ144" s="1641"/>
      <c r="HK144" s="1641"/>
      <c r="HL144" s="1641"/>
      <c r="HM144" s="1641"/>
      <c r="HN144" s="1641"/>
      <c r="HO144" s="1641"/>
      <c r="HP144" s="1641"/>
      <c r="HQ144" s="1641"/>
      <c r="HR144" s="1641"/>
      <c r="HS144" s="1641"/>
      <c r="HT144" s="1641"/>
      <c r="HU144" s="1641"/>
      <c r="HV144" s="1641"/>
      <c r="HW144" s="1641"/>
      <c r="HX144" s="1641"/>
      <c r="HY144" s="1641"/>
      <c r="HZ144" s="1641"/>
      <c r="IA144" s="1641"/>
      <c r="IB144" s="1641"/>
      <c r="IC144" s="1641"/>
      <c r="ID144" s="1641"/>
      <c r="IE144" s="1641"/>
      <c r="IF144" s="1641"/>
      <c r="IG144" s="1641"/>
      <c r="IH144" s="1641"/>
      <c r="II144" s="1641"/>
      <c r="IJ144" s="1641"/>
      <c r="IK144" s="1641"/>
      <c r="IL144" s="1641"/>
      <c r="IM144" s="1641"/>
      <c r="IN144" s="1641"/>
      <c r="IO144" s="1641"/>
      <c r="IP144" s="1410"/>
      <c r="IQ144" s="1410"/>
      <c r="IR144" s="1410"/>
      <c r="IS144" s="1410"/>
      <c r="IT144" s="1410"/>
      <c r="IU144" s="1410"/>
      <c r="IV144" s="1410"/>
      <c r="IW144" s="1410"/>
      <c r="IX144" s="1641"/>
      <c r="IY144" s="1641"/>
      <c r="IZ144" s="1641"/>
      <c r="JA144" s="1641"/>
      <c r="JB144" s="1641"/>
      <c r="JC144" s="1641"/>
      <c r="JD144" s="1641"/>
      <c r="JE144" s="1641"/>
      <c r="JF144" s="1641"/>
      <c r="JG144" s="1641"/>
      <c r="JH144" s="1410"/>
      <c r="JI144" s="1410"/>
      <c r="JJ144" s="1410"/>
      <c r="JK144" s="1410"/>
      <c r="JL144" s="1410"/>
      <c r="JM144" s="1410"/>
      <c r="JN144" s="1410"/>
      <c r="JO144" s="1410"/>
      <c r="JP144" s="1410"/>
      <c r="JQ144" s="1405"/>
      <c r="JR144" s="351"/>
    </row>
    <row r="145" spans="1:278" x14ac:dyDescent="0.25">
      <c r="A145" s="1367">
        <v>145</v>
      </c>
      <c r="B145" s="1411" t="str">
        <f t="shared" si="15"/>
        <v/>
      </c>
      <c r="C145" s="1435" t="s">
        <v>4056</v>
      </c>
      <c r="D145" s="1361" t="s">
        <v>4044</v>
      </c>
      <c r="E145" s="1639"/>
      <c r="F145" s="1639"/>
      <c r="G145" s="1639"/>
      <c r="H145" s="1639"/>
      <c r="I145" s="1639"/>
      <c r="J145" s="1639"/>
      <c r="K145" s="1639"/>
      <c r="L145" s="1639"/>
      <c r="M145" s="1639"/>
      <c r="N145" s="1639"/>
      <c r="O145" s="1639"/>
      <c r="P145" s="1639"/>
      <c r="Q145" s="1639"/>
      <c r="R145" s="1639"/>
      <c r="S145" s="1639"/>
      <c r="T145" s="1639"/>
      <c r="U145" s="1639"/>
      <c r="V145" s="1639"/>
      <c r="W145" s="1639"/>
      <c r="X145" s="1639"/>
      <c r="Y145" s="1639"/>
      <c r="Z145" s="1639"/>
      <c r="AA145" s="1639"/>
      <c r="AB145" s="1639"/>
      <c r="AC145" s="1639"/>
      <c r="AD145" s="1639"/>
      <c r="AE145" s="1639"/>
      <c r="AF145" s="1639"/>
      <c r="AG145" s="1639"/>
      <c r="AH145" s="1639"/>
      <c r="AI145" s="1639"/>
      <c r="AJ145" s="1639"/>
      <c r="AK145" s="1639"/>
      <c r="AL145" s="1639"/>
      <c r="AM145" s="1639"/>
      <c r="AN145" s="1639"/>
      <c r="AO145" s="1639"/>
      <c r="AP145" s="1639"/>
      <c r="AQ145" s="1639"/>
      <c r="AR145" s="1639"/>
      <c r="AS145" s="1639"/>
      <c r="AT145" s="1639"/>
      <c r="AU145" s="1639"/>
      <c r="AV145" s="1639"/>
      <c r="AW145" s="1639"/>
      <c r="AX145" s="1639"/>
      <c r="AY145" s="1639"/>
      <c r="AZ145" s="1639"/>
      <c r="BA145" s="1639"/>
      <c r="BB145" s="1639"/>
      <c r="BC145" s="1639"/>
      <c r="BD145" s="1639"/>
      <c r="BE145" s="1639"/>
      <c r="BF145" s="1639"/>
      <c r="BG145" s="1639"/>
      <c r="BH145" s="1639"/>
      <c r="BI145" s="1639"/>
      <c r="BJ145" s="1639"/>
      <c r="BK145" s="1639"/>
      <c r="BL145" s="1639"/>
      <c r="BM145" s="1639"/>
      <c r="BN145" s="1639"/>
      <c r="BO145" s="1639"/>
      <c r="BP145" s="1639"/>
      <c r="BQ145" s="1639"/>
      <c r="BR145" s="1639"/>
      <c r="BS145" s="1639"/>
      <c r="BT145" s="1639"/>
      <c r="BU145" s="1639"/>
      <c r="BV145" s="1639"/>
      <c r="BW145" s="1639"/>
      <c r="BX145" s="1639"/>
      <c r="BY145" s="1639"/>
      <c r="BZ145" s="1639"/>
      <c r="CA145" s="1639"/>
      <c r="CB145" s="1639"/>
      <c r="CC145" s="1639"/>
      <c r="CD145" s="1639"/>
      <c r="CE145" s="1639"/>
      <c r="CF145" s="1639"/>
      <c r="CG145" s="1639"/>
      <c r="CH145" s="1639"/>
      <c r="CI145" s="1639"/>
      <c r="CJ145" s="1639"/>
      <c r="CK145" s="1639"/>
      <c r="CL145" s="1639"/>
      <c r="CM145" s="1639"/>
      <c r="CN145" s="1639"/>
      <c r="CO145" s="1639"/>
      <c r="CP145" s="1639"/>
      <c r="CQ145" s="1639"/>
      <c r="CR145" s="1639"/>
      <c r="CS145" s="1639"/>
      <c r="CT145" s="1639"/>
      <c r="CU145" s="1639"/>
      <c r="CV145" s="1639"/>
      <c r="CW145" s="1639"/>
      <c r="CX145" s="1639"/>
      <c r="CY145" s="1639"/>
      <c r="CZ145" s="1639"/>
      <c r="DA145" s="1639"/>
      <c r="DB145" s="1639"/>
      <c r="DC145" s="1639"/>
      <c r="DD145" s="1639"/>
      <c r="DE145" s="1639"/>
      <c r="DF145" s="1639"/>
      <c r="DG145" s="1639"/>
      <c r="DH145" s="1639"/>
      <c r="DI145" s="1639"/>
      <c r="DJ145" s="1639"/>
      <c r="DK145" s="1639"/>
      <c r="DL145" s="1639"/>
      <c r="DM145" s="1639"/>
      <c r="DN145" s="1639"/>
      <c r="DO145" s="1639"/>
      <c r="DP145" s="1639"/>
      <c r="DQ145" s="1639"/>
      <c r="DR145" s="1639"/>
      <c r="DS145" s="1639"/>
      <c r="DT145" s="1639"/>
      <c r="DU145" s="1639"/>
      <c r="DV145" s="1639"/>
      <c r="DW145" s="1639"/>
      <c r="DX145" s="1639"/>
      <c r="DY145" s="1639"/>
      <c r="DZ145" s="1639"/>
      <c r="EA145" s="1639"/>
      <c r="EB145" s="1639"/>
      <c r="EC145" s="1639"/>
      <c r="ED145" s="1639"/>
      <c r="EE145" s="1639"/>
      <c r="EF145" s="1639"/>
      <c r="EG145" s="1639"/>
      <c r="EH145" s="1639"/>
      <c r="EI145" s="1639"/>
      <c r="EJ145" s="1639"/>
      <c r="EK145" s="1639"/>
      <c r="EL145" s="1639"/>
      <c r="EM145" s="1639"/>
      <c r="EN145" s="1639"/>
      <c r="EO145" s="1639"/>
      <c r="EP145" s="1639"/>
      <c r="EQ145" s="1639"/>
      <c r="ER145" s="1639"/>
      <c r="ES145" s="1639"/>
      <c r="ET145" s="1639"/>
      <c r="EU145" s="1639"/>
      <c r="EV145" s="1639"/>
      <c r="EW145" s="1639"/>
      <c r="EX145" s="1639"/>
      <c r="EY145" s="1639"/>
      <c r="EZ145" s="1639"/>
      <c r="FA145" s="1639"/>
      <c r="FB145" s="1639"/>
      <c r="FC145" s="1639"/>
      <c r="FD145" s="1639"/>
      <c r="FE145" s="1639"/>
      <c r="FF145" s="1639"/>
      <c r="FG145" s="1639"/>
      <c r="FH145" s="1639"/>
      <c r="FI145" s="1639"/>
      <c r="FJ145" s="1639"/>
      <c r="FK145" s="1639"/>
      <c r="FL145" s="1639"/>
      <c r="FM145" s="1639"/>
      <c r="FN145" s="1639"/>
      <c r="FO145" s="1639"/>
      <c r="FP145" s="1639"/>
      <c r="FQ145" s="1639"/>
      <c r="FR145" s="1639"/>
      <c r="FS145" s="1639"/>
      <c r="FT145" s="1639"/>
      <c r="FU145" s="1639"/>
      <c r="FV145" s="1639"/>
      <c r="FW145" s="1639"/>
      <c r="FX145" s="1639"/>
      <c r="FY145" s="1639"/>
      <c r="FZ145" s="1639"/>
      <c r="GA145" s="1639"/>
      <c r="GB145" s="1639"/>
      <c r="GC145" s="1639"/>
      <c r="GD145" s="1639"/>
      <c r="GE145" s="1639"/>
      <c r="GF145" s="1639"/>
      <c r="GG145" s="1639"/>
      <c r="GH145" s="1639"/>
      <c r="GI145" s="1639"/>
      <c r="GJ145" s="1639"/>
      <c r="GK145" s="1639"/>
      <c r="GL145" s="1639"/>
      <c r="GM145" s="1639"/>
      <c r="GN145" s="1639"/>
      <c r="GO145" s="1639"/>
      <c r="GP145" s="1639"/>
      <c r="GQ145" s="1639"/>
      <c r="GR145" s="1639"/>
      <c r="GS145" s="1639"/>
      <c r="GT145" s="1639"/>
      <c r="GU145" s="1639"/>
      <c r="GV145" s="1639"/>
      <c r="GW145" s="1639"/>
      <c r="GX145" s="1639"/>
      <c r="GY145" s="1639"/>
      <c r="GZ145" s="1639"/>
      <c r="HA145" s="1639"/>
      <c r="HB145" s="1639"/>
      <c r="HC145" s="1639"/>
      <c r="HD145" s="1639"/>
      <c r="HE145" s="1639"/>
      <c r="HF145" s="1639"/>
      <c r="HG145" s="1639"/>
      <c r="HH145" s="1639" t="s">
        <v>1707</v>
      </c>
      <c r="HI145" s="1639"/>
      <c r="HJ145" s="1639"/>
      <c r="HK145" s="1639"/>
      <c r="HL145" s="1639"/>
      <c r="HM145" s="1639"/>
      <c r="HN145" s="1639"/>
      <c r="HO145" s="1639"/>
      <c r="HP145" s="1639"/>
      <c r="HQ145" s="1639"/>
      <c r="HR145" s="1639"/>
      <c r="HS145" s="1639"/>
      <c r="HT145" s="1639"/>
      <c r="HU145" s="1639"/>
      <c r="HV145" s="1639"/>
      <c r="HW145" s="1639"/>
      <c r="HX145" s="1639"/>
      <c r="HY145" s="1639"/>
      <c r="HZ145" s="1639"/>
      <c r="IA145" s="1639"/>
      <c r="IB145" s="1639"/>
      <c r="IC145" s="1639"/>
      <c r="ID145" s="1639"/>
      <c r="IE145" s="1639"/>
      <c r="IF145" s="1639"/>
      <c r="IG145" s="1639"/>
      <c r="IH145" s="1639"/>
      <c r="II145" s="1639"/>
      <c r="IJ145" s="1639"/>
      <c r="IK145" s="1639"/>
      <c r="IL145" s="1639"/>
      <c r="IM145" s="1639"/>
      <c r="IN145" s="1639"/>
      <c r="IO145" s="1639"/>
      <c r="IP145" s="1410"/>
      <c r="IQ145" s="1410"/>
      <c r="IR145" s="1410"/>
      <c r="IS145" s="1410"/>
      <c r="IT145" s="1410"/>
      <c r="IU145" s="1410"/>
      <c r="IV145" s="1410"/>
      <c r="IW145" s="1410"/>
      <c r="IX145" s="1639"/>
      <c r="IY145" s="1639"/>
      <c r="IZ145" s="1639"/>
      <c r="JA145" s="1639"/>
      <c r="JB145" s="1639"/>
      <c r="JC145" s="1639"/>
      <c r="JD145" s="1639"/>
      <c r="JE145" s="1639"/>
      <c r="JF145" s="1639"/>
      <c r="JG145" s="1639"/>
      <c r="JH145" s="1410"/>
      <c r="JI145" s="1410"/>
      <c r="JJ145" s="1410"/>
      <c r="JK145" s="1410"/>
      <c r="JL145" s="1410"/>
      <c r="JM145" s="1410"/>
      <c r="JN145" s="1410"/>
      <c r="JO145" s="1410"/>
      <c r="JP145" s="1410"/>
      <c r="JQ145" s="1405"/>
      <c r="JR145" s="351"/>
    </row>
    <row r="146" spans="1:278" x14ac:dyDescent="0.25">
      <c r="A146" s="1367">
        <v>146</v>
      </c>
      <c r="B146" s="1411" t="str">
        <f t="shared" si="15"/>
        <v/>
      </c>
      <c r="C146" s="1435" t="s">
        <v>4057</v>
      </c>
      <c r="D146" s="1361" t="s">
        <v>3875</v>
      </c>
      <c r="E146" s="1641"/>
      <c r="F146" s="1641"/>
      <c r="G146" s="1641"/>
      <c r="H146" s="1641"/>
      <c r="I146" s="1641"/>
      <c r="J146" s="1641"/>
      <c r="K146" s="1641"/>
      <c r="L146" s="1641"/>
      <c r="M146" s="1641"/>
      <c r="N146" s="1641"/>
      <c r="O146" s="1641"/>
      <c r="P146" s="1641"/>
      <c r="Q146" s="1641"/>
      <c r="R146" s="1641"/>
      <c r="S146" s="1641"/>
      <c r="T146" s="1641"/>
      <c r="U146" s="1641"/>
      <c r="V146" s="1641"/>
      <c r="W146" s="1641"/>
      <c r="X146" s="1641"/>
      <c r="Y146" s="1641"/>
      <c r="Z146" s="1641"/>
      <c r="AA146" s="1641"/>
      <c r="AB146" s="1641"/>
      <c r="AC146" s="1641"/>
      <c r="AD146" s="1641"/>
      <c r="AE146" s="1641"/>
      <c r="AF146" s="1641"/>
      <c r="AG146" s="1641"/>
      <c r="AH146" s="1641"/>
      <c r="AI146" s="1641"/>
      <c r="AJ146" s="1641"/>
      <c r="AK146" s="1641"/>
      <c r="AL146" s="1641"/>
      <c r="AM146" s="1641"/>
      <c r="AN146" s="1641"/>
      <c r="AO146" s="1641"/>
      <c r="AP146" s="1641"/>
      <c r="AQ146" s="1641"/>
      <c r="AR146" s="1641"/>
      <c r="AS146" s="1641"/>
      <c r="AT146" s="1641"/>
      <c r="AU146" s="1641"/>
      <c r="AV146" s="1641"/>
      <c r="AW146" s="1641"/>
      <c r="AX146" s="1641"/>
      <c r="AY146" s="1641"/>
      <c r="AZ146" s="1641"/>
      <c r="BA146" s="1641"/>
      <c r="BB146" s="1641"/>
      <c r="BC146" s="1641"/>
      <c r="BD146" s="1641"/>
      <c r="BE146" s="1641"/>
      <c r="BF146" s="1641"/>
      <c r="BG146" s="1641"/>
      <c r="BH146" s="1641"/>
      <c r="BI146" s="1641"/>
      <c r="BJ146" s="1641"/>
      <c r="BK146" s="1641"/>
      <c r="BL146" s="1641"/>
      <c r="BM146" s="1641"/>
      <c r="BN146" s="1641"/>
      <c r="BO146" s="1641"/>
      <c r="BP146" s="1641"/>
      <c r="BQ146" s="1641"/>
      <c r="BR146" s="1641"/>
      <c r="BS146" s="1641"/>
      <c r="BT146" s="1641"/>
      <c r="BU146" s="1641"/>
      <c r="BV146" s="1641"/>
      <c r="BW146" s="1641"/>
      <c r="BX146" s="1641"/>
      <c r="BY146" s="1641"/>
      <c r="BZ146" s="1641"/>
      <c r="CA146" s="1641"/>
      <c r="CB146" s="1641"/>
      <c r="CC146" s="1641"/>
      <c r="CD146" s="1641"/>
      <c r="CE146" s="1641"/>
      <c r="CF146" s="1641"/>
      <c r="CG146" s="1641"/>
      <c r="CH146" s="1641"/>
      <c r="CI146" s="1641"/>
      <c r="CJ146" s="1641"/>
      <c r="CK146" s="1641"/>
      <c r="CL146" s="1641"/>
      <c r="CM146" s="1641"/>
      <c r="CN146" s="1641"/>
      <c r="CO146" s="1641"/>
      <c r="CP146" s="1641"/>
      <c r="CQ146" s="1641"/>
      <c r="CR146" s="1641"/>
      <c r="CS146" s="1641"/>
      <c r="CT146" s="1641"/>
      <c r="CU146" s="1641"/>
      <c r="CV146" s="1641"/>
      <c r="CW146" s="1641"/>
      <c r="CX146" s="1641"/>
      <c r="CY146" s="1641"/>
      <c r="CZ146" s="1641"/>
      <c r="DA146" s="1641"/>
      <c r="DB146" s="1641"/>
      <c r="DC146" s="1641"/>
      <c r="DD146" s="1641"/>
      <c r="DE146" s="1641"/>
      <c r="DF146" s="1641"/>
      <c r="DG146" s="1641"/>
      <c r="DH146" s="1641"/>
      <c r="DI146" s="1641"/>
      <c r="DJ146" s="1641"/>
      <c r="DK146" s="1641"/>
      <c r="DL146" s="1641"/>
      <c r="DM146" s="1641"/>
      <c r="DN146" s="1641"/>
      <c r="DO146" s="1641"/>
      <c r="DP146" s="1641"/>
      <c r="DQ146" s="1641"/>
      <c r="DR146" s="1641"/>
      <c r="DS146" s="1641"/>
      <c r="DT146" s="1641"/>
      <c r="DU146" s="1641"/>
      <c r="DV146" s="1641"/>
      <c r="DW146" s="1641"/>
      <c r="DX146" s="1641"/>
      <c r="DY146" s="1641"/>
      <c r="DZ146" s="1641"/>
      <c r="EA146" s="1641"/>
      <c r="EB146" s="1641"/>
      <c r="EC146" s="1641"/>
      <c r="ED146" s="1641"/>
      <c r="EE146" s="1641"/>
      <c r="EF146" s="1641"/>
      <c r="EG146" s="1641"/>
      <c r="EH146" s="1641"/>
      <c r="EI146" s="1641"/>
      <c r="EJ146" s="1641"/>
      <c r="EK146" s="1641"/>
      <c r="EL146" s="1641"/>
      <c r="EM146" s="1641"/>
      <c r="EN146" s="1641"/>
      <c r="EO146" s="1641"/>
      <c r="EP146" s="1641"/>
      <c r="EQ146" s="1641"/>
      <c r="ER146" s="1641"/>
      <c r="ES146" s="1641"/>
      <c r="ET146" s="1641"/>
      <c r="EU146" s="1641"/>
      <c r="EV146" s="1641"/>
      <c r="EW146" s="1641"/>
      <c r="EX146" s="1641"/>
      <c r="EY146" s="1641"/>
      <c r="EZ146" s="1641"/>
      <c r="FA146" s="1641"/>
      <c r="FB146" s="1641"/>
      <c r="FC146" s="1641"/>
      <c r="FD146" s="1641"/>
      <c r="FE146" s="1641"/>
      <c r="FF146" s="1641"/>
      <c r="FG146" s="1641"/>
      <c r="FH146" s="1641"/>
      <c r="FI146" s="1641"/>
      <c r="FJ146" s="1641"/>
      <c r="FK146" s="1641"/>
      <c r="FL146" s="1641"/>
      <c r="FM146" s="1641"/>
      <c r="FN146" s="1641"/>
      <c r="FO146" s="1641"/>
      <c r="FP146" s="1641"/>
      <c r="FQ146" s="1641"/>
      <c r="FR146" s="1641"/>
      <c r="FS146" s="1641"/>
      <c r="FT146" s="1641"/>
      <c r="FU146" s="1641"/>
      <c r="FV146" s="1641"/>
      <c r="FW146" s="1641"/>
      <c r="FX146" s="1641"/>
      <c r="FY146" s="1641"/>
      <c r="FZ146" s="1641"/>
      <c r="GA146" s="1641"/>
      <c r="GB146" s="1641"/>
      <c r="GC146" s="1641"/>
      <c r="GD146" s="1641"/>
      <c r="GE146" s="1641"/>
      <c r="GF146" s="1641"/>
      <c r="GG146" s="1641"/>
      <c r="GH146" s="1641"/>
      <c r="GI146" s="1641"/>
      <c r="GJ146" s="1641"/>
      <c r="GK146" s="1641"/>
      <c r="GL146" s="1641"/>
      <c r="GM146" s="1641"/>
      <c r="GN146" s="1641"/>
      <c r="GO146" s="1641"/>
      <c r="GP146" s="1641"/>
      <c r="GQ146" s="1641"/>
      <c r="GR146" s="1641"/>
      <c r="GS146" s="1641"/>
      <c r="GT146" s="1641"/>
      <c r="GU146" s="1641"/>
      <c r="GV146" s="1641"/>
      <c r="GW146" s="1641"/>
      <c r="GX146" s="1641"/>
      <c r="GY146" s="1641"/>
      <c r="GZ146" s="1641"/>
      <c r="HA146" s="1641"/>
      <c r="HB146" s="1641"/>
      <c r="HC146" s="1641"/>
      <c r="HD146" s="1641"/>
      <c r="HE146" s="1641"/>
      <c r="HF146" s="1641"/>
      <c r="HG146" s="1641"/>
      <c r="HH146" s="1641">
        <v>291486</v>
      </c>
      <c r="HI146" s="1641"/>
      <c r="HJ146" s="1641"/>
      <c r="HK146" s="1641"/>
      <c r="HL146" s="1641"/>
      <c r="HM146" s="1641"/>
      <c r="HN146" s="1641"/>
      <c r="HO146" s="1641"/>
      <c r="HP146" s="1641"/>
      <c r="HQ146" s="1641"/>
      <c r="HR146" s="1641"/>
      <c r="HS146" s="1641"/>
      <c r="HT146" s="1641"/>
      <c r="HU146" s="1641"/>
      <c r="HV146" s="1641"/>
      <c r="HW146" s="1641"/>
      <c r="HX146" s="1641"/>
      <c r="HY146" s="1641"/>
      <c r="HZ146" s="1641"/>
      <c r="IA146" s="1641"/>
      <c r="IB146" s="1641"/>
      <c r="IC146" s="1641"/>
      <c r="ID146" s="1641"/>
      <c r="IE146" s="1641"/>
      <c r="IF146" s="1641"/>
      <c r="IG146" s="1641"/>
      <c r="IH146" s="1641"/>
      <c r="II146" s="1641"/>
      <c r="IJ146" s="1641"/>
      <c r="IK146" s="1641"/>
      <c r="IL146" s="1641"/>
      <c r="IM146" s="1641"/>
      <c r="IN146" s="1641"/>
      <c r="IO146" s="1641"/>
      <c r="IP146" s="1410"/>
      <c r="IQ146" s="1410"/>
      <c r="IR146" s="1410"/>
      <c r="IS146" s="1410"/>
      <c r="IT146" s="1410"/>
      <c r="IU146" s="1410"/>
      <c r="IV146" s="1410"/>
      <c r="IW146" s="1410"/>
      <c r="IX146" s="1641"/>
      <c r="IY146" s="1641"/>
      <c r="IZ146" s="1641"/>
      <c r="JA146" s="1641"/>
      <c r="JB146" s="1641"/>
      <c r="JC146" s="1641"/>
      <c r="JD146" s="1641"/>
      <c r="JE146" s="1641"/>
      <c r="JF146" s="1641"/>
      <c r="JG146" s="1641"/>
      <c r="JH146" s="1410"/>
      <c r="JI146" s="1410"/>
      <c r="JJ146" s="1410"/>
      <c r="JK146" s="1410"/>
      <c r="JL146" s="1410"/>
      <c r="JM146" s="1410"/>
      <c r="JN146" s="1410"/>
      <c r="JO146" s="1410"/>
      <c r="JP146" s="1410"/>
      <c r="JQ146" s="1405"/>
      <c r="JR146" s="351"/>
    </row>
    <row r="147" spans="1:278" x14ac:dyDescent="0.25">
      <c r="A147" s="1367">
        <v>147</v>
      </c>
      <c r="B147" s="1411" t="str">
        <f t="shared" si="15"/>
        <v/>
      </c>
      <c r="C147" s="1435" t="s">
        <v>4058</v>
      </c>
      <c r="D147" s="1361" t="s">
        <v>4059</v>
      </c>
      <c r="E147" s="1641"/>
      <c r="F147" s="1641"/>
      <c r="G147" s="1641"/>
      <c r="H147" s="1641"/>
      <c r="I147" s="1641"/>
      <c r="J147" s="1641"/>
      <c r="K147" s="1641"/>
      <c r="L147" s="1641"/>
      <c r="M147" s="1641"/>
      <c r="N147" s="1641"/>
      <c r="O147" s="1641"/>
      <c r="P147" s="1641"/>
      <c r="Q147" s="1641"/>
      <c r="R147" s="1641"/>
      <c r="S147" s="1641"/>
      <c r="T147" s="1641"/>
      <c r="U147" s="1641"/>
      <c r="V147" s="1641"/>
      <c r="W147" s="1641"/>
      <c r="X147" s="1641"/>
      <c r="Y147" s="1641"/>
      <c r="Z147" s="1641"/>
      <c r="AA147" s="1641"/>
      <c r="AB147" s="1641"/>
      <c r="AC147" s="1641"/>
      <c r="AD147" s="1641"/>
      <c r="AE147" s="1641"/>
      <c r="AF147" s="1641"/>
      <c r="AG147" s="1641"/>
      <c r="AH147" s="1641"/>
      <c r="AI147" s="1641"/>
      <c r="AJ147" s="1641"/>
      <c r="AK147" s="1641"/>
      <c r="AL147" s="1641"/>
      <c r="AM147" s="1641"/>
      <c r="AN147" s="1641"/>
      <c r="AO147" s="1641"/>
      <c r="AP147" s="1641"/>
      <c r="AQ147" s="1641"/>
      <c r="AR147" s="1641"/>
      <c r="AS147" s="1641"/>
      <c r="AT147" s="1641"/>
      <c r="AU147" s="1641"/>
      <c r="AV147" s="1641"/>
      <c r="AW147" s="1641"/>
      <c r="AX147" s="1641"/>
      <c r="AY147" s="1641"/>
      <c r="AZ147" s="1641"/>
      <c r="BA147" s="1641"/>
      <c r="BB147" s="1641"/>
      <c r="BC147" s="1641"/>
      <c r="BD147" s="1641"/>
      <c r="BE147" s="1641"/>
      <c r="BF147" s="1641"/>
      <c r="BG147" s="1636">
        <v>13183</v>
      </c>
      <c r="BH147" s="1641"/>
      <c r="BI147" s="1641"/>
      <c r="BJ147" s="1641"/>
      <c r="BK147" s="1641"/>
      <c r="BL147" s="1641"/>
      <c r="BM147" s="1641"/>
      <c r="BN147" s="1641"/>
      <c r="BO147" s="1641"/>
      <c r="BP147" s="1641"/>
      <c r="BQ147" s="1641"/>
      <c r="BR147" s="1641"/>
      <c r="BS147" s="1641"/>
      <c r="BT147" s="1641"/>
      <c r="BU147" s="1641"/>
      <c r="BV147" s="1641"/>
      <c r="BW147" s="1641"/>
      <c r="BX147" s="1641"/>
      <c r="BY147" s="1641"/>
      <c r="BZ147" s="1641"/>
      <c r="CA147" s="1641"/>
      <c r="CB147" s="1641"/>
      <c r="CC147" s="1641"/>
      <c r="CD147" s="1641"/>
      <c r="CE147" s="1641"/>
      <c r="CF147" s="1641"/>
      <c r="CG147" s="1641"/>
      <c r="CH147" s="1641"/>
      <c r="CI147" s="1641"/>
      <c r="CJ147" s="1641"/>
      <c r="CK147" s="1641"/>
      <c r="CL147" s="1641"/>
      <c r="CM147" s="1641"/>
      <c r="CN147" s="1641"/>
      <c r="CO147" s="1641"/>
      <c r="CP147" s="1641"/>
      <c r="CQ147" s="1641"/>
      <c r="CR147" s="1641"/>
      <c r="CS147" s="1641"/>
      <c r="CT147" s="1641"/>
      <c r="CU147" s="1641"/>
      <c r="CV147" s="1641"/>
      <c r="CW147" s="1641"/>
      <c r="CX147" s="1641"/>
      <c r="CY147" s="1641"/>
      <c r="CZ147" s="1641"/>
      <c r="DA147" s="1641"/>
      <c r="DB147" s="1641"/>
      <c r="DC147" s="1641"/>
      <c r="DD147" s="1641"/>
      <c r="DE147" s="1641"/>
      <c r="DF147" s="1641"/>
      <c r="DG147" s="1641"/>
      <c r="DH147" s="1641"/>
      <c r="DI147" s="1641"/>
      <c r="DJ147" s="1641"/>
      <c r="DK147" s="1641"/>
      <c r="DL147" s="1641"/>
      <c r="DM147" s="1641"/>
      <c r="DN147" s="1641"/>
      <c r="DO147" s="1641"/>
      <c r="DP147" s="1641"/>
      <c r="DQ147" s="1641"/>
      <c r="DR147" s="1641"/>
      <c r="DS147" s="1641"/>
      <c r="DT147" s="1641"/>
      <c r="DU147" s="1641"/>
      <c r="DV147" s="1641"/>
      <c r="DW147" s="1641"/>
      <c r="DX147" s="1641"/>
      <c r="DY147" s="1641"/>
      <c r="DZ147" s="1641"/>
      <c r="EA147" s="1641"/>
      <c r="EB147" s="1641"/>
      <c r="EC147" s="1641"/>
      <c r="ED147" s="1641"/>
      <c r="EE147" s="1641"/>
      <c r="EF147" s="1641"/>
      <c r="EG147" s="1641"/>
      <c r="EH147" s="1641"/>
      <c r="EI147" s="1641"/>
      <c r="EJ147" s="1641"/>
      <c r="EK147" s="1641"/>
      <c r="EL147" s="1641"/>
      <c r="EM147" s="1641"/>
      <c r="EN147" s="1641"/>
      <c r="EO147" s="1641"/>
      <c r="EP147" s="1641"/>
      <c r="EQ147" s="1641"/>
      <c r="ER147" s="1641"/>
      <c r="ES147" s="1641"/>
      <c r="ET147" s="1641"/>
      <c r="EU147" s="1641"/>
      <c r="EV147" s="1641"/>
      <c r="EW147" s="1641"/>
      <c r="EX147" s="1641"/>
      <c r="EY147" s="1641"/>
      <c r="EZ147" s="1641"/>
      <c r="FA147" s="1641"/>
      <c r="FB147" s="1641"/>
      <c r="FC147" s="1641"/>
      <c r="FD147" s="1641"/>
      <c r="FE147" s="1641"/>
      <c r="FF147" s="1641"/>
      <c r="FG147" s="1641"/>
      <c r="FH147" s="1641"/>
      <c r="FI147" s="1636">
        <v>7902</v>
      </c>
      <c r="FJ147" s="1641"/>
      <c r="FK147" s="1641"/>
      <c r="FL147" s="1641"/>
      <c r="FM147" s="1641"/>
      <c r="FN147" s="1641"/>
      <c r="FO147" s="1641"/>
      <c r="FP147" s="1641"/>
      <c r="FQ147" s="1641"/>
      <c r="FR147" s="1641"/>
      <c r="FS147" s="1641"/>
      <c r="FT147" s="1641"/>
      <c r="FU147" s="1641"/>
      <c r="FV147" s="1641"/>
      <c r="FW147" s="1641"/>
      <c r="FX147" s="1641"/>
      <c r="FY147" s="1641"/>
      <c r="FZ147" s="1641"/>
      <c r="GA147" s="1641"/>
      <c r="GB147" s="1641"/>
      <c r="GC147" s="1641"/>
      <c r="GD147" s="1641"/>
      <c r="GE147" s="1641"/>
      <c r="GF147" s="1641"/>
      <c r="GG147" s="1641"/>
      <c r="GH147" s="1641"/>
      <c r="GI147" s="1641"/>
      <c r="GJ147" s="1641"/>
      <c r="GK147" s="1641"/>
      <c r="GL147" s="1641"/>
      <c r="GM147" s="1641"/>
      <c r="GN147" s="1641"/>
      <c r="GO147" s="1641"/>
      <c r="GP147" s="1641"/>
      <c r="GQ147" s="1641"/>
      <c r="GR147" s="1641"/>
      <c r="GS147" s="1641"/>
      <c r="GT147" s="1641"/>
      <c r="GU147" s="1641"/>
      <c r="GV147" s="1641"/>
      <c r="GW147" s="1641"/>
      <c r="GX147" s="1641"/>
      <c r="GY147" s="1641"/>
      <c r="GZ147" s="1641"/>
      <c r="HA147" s="1641"/>
      <c r="HB147" s="1641"/>
      <c r="HC147" s="1641"/>
      <c r="HD147" s="1641"/>
      <c r="HE147" s="1641"/>
      <c r="HF147" s="1641"/>
      <c r="HG147" s="1641"/>
      <c r="HH147" s="1641"/>
      <c r="HI147" s="1641"/>
      <c r="HJ147" s="1641">
        <v>149140</v>
      </c>
      <c r="HK147" s="1641">
        <v>49140</v>
      </c>
      <c r="HL147" s="1641">
        <v>49140</v>
      </c>
      <c r="HM147" s="1641">
        <v>49140</v>
      </c>
      <c r="HN147" s="1641"/>
      <c r="HO147" s="1641"/>
      <c r="HP147" s="1641"/>
      <c r="HQ147" s="1641"/>
      <c r="HR147" s="1641"/>
      <c r="HS147" s="1641"/>
      <c r="HT147" s="1641"/>
      <c r="HU147" s="1641"/>
      <c r="HV147" s="1641"/>
      <c r="HW147" s="1641"/>
      <c r="HX147" s="1641"/>
      <c r="HY147" s="1641"/>
      <c r="HZ147" s="1641"/>
      <c r="IA147" s="1641"/>
      <c r="IB147" s="1641"/>
      <c r="IC147" s="1641"/>
      <c r="ID147" s="1641"/>
      <c r="IE147" s="1641"/>
      <c r="IF147" s="1641"/>
      <c r="IG147" s="1641"/>
      <c r="IH147" s="1641"/>
      <c r="II147" s="1641"/>
      <c r="IJ147" s="1641"/>
      <c r="IK147" s="1641"/>
      <c r="IL147" s="1641"/>
      <c r="IM147" s="1641"/>
      <c r="IN147" s="1641"/>
      <c r="IO147" s="1641"/>
      <c r="IP147" s="1410"/>
      <c r="IQ147" s="1410"/>
      <c r="IR147" s="1410"/>
      <c r="IS147" s="1410"/>
      <c r="IT147" s="1410"/>
      <c r="IU147" s="1410"/>
      <c r="IV147" s="1410"/>
      <c r="IW147" s="1410"/>
      <c r="IX147" s="1641"/>
      <c r="IY147" s="1641"/>
      <c r="IZ147" s="1641"/>
      <c r="JA147" s="1641"/>
      <c r="JB147" s="1641"/>
      <c r="JC147" s="1641"/>
      <c r="JD147" s="1641"/>
      <c r="JE147" s="1641"/>
      <c r="JF147" s="1641"/>
      <c r="JG147" s="1641"/>
      <c r="JH147" s="1410"/>
      <c r="JI147" s="1410"/>
      <c r="JJ147" s="1410"/>
      <c r="JK147" s="1410"/>
      <c r="JL147" s="1410"/>
      <c r="JM147" s="1410"/>
      <c r="JN147" s="1410"/>
      <c r="JO147" s="1410"/>
      <c r="JP147" s="1410"/>
      <c r="JQ147" s="1405"/>
      <c r="JR147" s="351"/>
    </row>
    <row r="148" spans="1:278" x14ac:dyDescent="0.25">
      <c r="A148" s="1367">
        <v>148</v>
      </c>
      <c r="B148" s="1411" t="str">
        <f t="shared" si="15"/>
        <v/>
      </c>
      <c r="C148" s="1435" t="s">
        <v>4060</v>
      </c>
      <c r="D148" s="1361" t="s">
        <v>4061</v>
      </c>
      <c r="E148" s="1641"/>
      <c r="F148" s="1641"/>
      <c r="G148" s="1641"/>
      <c r="H148" s="1641"/>
      <c r="I148" s="1641"/>
      <c r="J148" s="1641"/>
      <c r="K148" s="1641"/>
      <c r="L148" s="1641"/>
      <c r="M148" s="1641"/>
      <c r="N148" s="1641"/>
      <c r="O148" s="1641"/>
      <c r="P148" s="1641"/>
      <c r="Q148" s="1641"/>
      <c r="R148" s="1641"/>
      <c r="S148" s="1641"/>
      <c r="T148" s="1641"/>
      <c r="U148" s="1641"/>
      <c r="V148" s="1641"/>
      <c r="W148" s="1641"/>
      <c r="X148" s="1641"/>
      <c r="Y148" s="1641"/>
      <c r="Z148" s="1641"/>
      <c r="AA148" s="1641"/>
      <c r="AB148" s="1641"/>
      <c r="AC148" s="1641"/>
      <c r="AD148" s="1641"/>
      <c r="AE148" s="1641"/>
      <c r="AF148" s="1641"/>
      <c r="AG148" s="1641"/>
      <c r="AH148" s="1641"/>
      <c r="AI148" s="1641"/>
      <c r="AJ148" s="1641"/>
      <c r="AK148" s="1641"/>
      <c r="AL148" s="1641"/>
      <c r="AM148" s="1641"/>
      <c r="AN148" s="1641"/>
      <c r="AO148" s="1641"/>
      <c r="AP148" s="1641"/>
      <c r="AQ148" s="1641"/>
      <c r="AR148" s="1641"/>
      <c r="AS148" s="1641"/>
      <c r="AT148" s="1641"/>
      <c r="AU148" s="1641"/>
      <c r="AV148" s="1641"/>
      <c r="AW148" s="1641"/>
      <c r="AX148" s="1641"/>
      <c r="AY148" s="1641"/>
      <c r="AZ148" s="1641"/>
      <c r="BA148" s="1641"/>
      <c r="BB148" s="1641"/>
      <c r="BC148" s="1641"/>
      <c r="BD148" s="1641"/>
      <c r="BE148" s="1641"/>
      <c r="BF148" s="1641"/>
      <c r="BG148" s="1641"/>
      <c r="BH148" s="1641"/>
      <c r="BI148" s="1641"/>
      <c r="BJ148" s="1641"/>
      <c r="BK148" s="1641"/>
      <c r="BL148" s="1641"/>
      <c r="BM148" s="1641"/>
      <c r="BN148" s="1641"/>
      <c r="BO148" s="1641"/>
      <c r="BP148" s="1641"/>
      <c r="BQ148" s="1641"/>
      <c r="BR148" s="1641"/>
      <c r="BS148" s="1641"/>
      <c r="BT148" s="1641"/>
      <c r="BU148" s="1641"/>
      <c r="BV148" s="1641"/>
      <c r="BW148" s="1641"/>
      <c r="BX148" s="1641"/>
      <c r="BY148" s="1641"/>
      <c r="BZ148" s="1641"/>
      <c r="CA148" s="1641"/>
      <c r="CB148" s="1641"/>
      <c r="CC148" s="1641"/>
      <c r="CD148" s="1641"/>
      <c r="CE148" s="1641"/>
      <c r="CF148" s="1641"/>
      <c r="CG148" s="1641"/>
      <c r="CH148" s="1641"/>
      <c r="CI148" s="1641"/>
      <c r="CJ148" s="1641"/>
      <c r="CK148" s="1641"/>
      <c r="CL148" s="1641"/>
      <c r="CM148" s="1641"/>
      <c r="CN148" s="1641"/>
      <c r="CO148" s="1641"/>
      <c r="CP148" s="1641"/>
      <c r="CQ148" s="1641"/>
      <c r="CR148" s="1641"/>
      <c r="CS148" s="1641"/>
      <c r="CT148" s="1641"/>
      <c r="CU148" s="1641"/>
      <c r="CV148" s="1641"/>
      <c r="CW148" s="1641"/>
      <c r="CX148" s="1641"/>
      <c r="CY148" s="1641"/>
      <c r="CZ148" s="1641"/>
      <c r="DA148" s="1641"/>
      <c r="DB148" s="1641"/>
      <c r="DC148" s="1641"/>
      <c r="DD148" s="1641"/>
      <c r="DE148" s="1641"/>
      <c r="DF148" s="1641"/>
      <c r="DG148" s="1641"/>
      <c r="DH148" s="1641"/>
      <c r="DI148" s="1641"/>
      <c r="DJ148" s="1641"/>
      <c r="DK148" s="1641"/>
      <c r="DL148" s="1641"/>
      <c r="DM148" s="1641"/>
      <c r="DN148" s="1641"/>
      <c r="DO148" s="1641"/>
      <c r="DP148" s="1641"/>
      <c r="DQ148" s="1641"/>
      <c r="DR148" s="1641"/>
      <c r="DS148" s="1641"/>
      <c r="DT148" s="1641"/>
      <c r="DU148" s="1641"/>
      <c r="DV148" s="1641"/>
      <c r="DW148" s="1641"/>
      <c r="DX148" s="1641"/>
      <c r="DY148" s="1641"/>
      <c r="DZ148" s="1641"/>
      <c r="EA148" s="1641"/>
      <c r="EB148" s="1641"/>
      <c r="EC148" s="1641"/>
      <c r="ED148" s="1641"/>
      <c r="EE148" s="1641"/>
      <c r="EF148" s="1641"/>
      <c r="EG148" s="1641"/>
      <c r="EH148" s="1641"/>
      <c r="EI148" s="1641"/>
      <c r="EJ148" s="1641"/>
      <c r="EK148" s="1641"/>
      <c r="EL148" s="1641"/>
      <c r="EM148" s="1641"/>
      <c r="EN148" s="1641"/>
      <c r="EO148" s="1641"/>
      <c r="EP148" s="1641"/>
      <c r="EQ148" s="1641"/>
      <c r="ER148" s="1641"/>
      <c r="ES148" s="1641"/>
      <c r="ET148" s="1641"/>
      <c r="EU148" s="1641"/>
      <c r="EV148" s="1641"/>
      <c r="EW148" s="1641"/>
      <c r="EX148" s="1641"/>
      <c r="EY148" s="1641"/>
      <c r="EZ148" s="1641"/>
      <c r="FA148" s="1641"/>
      <c r="FB148" s="1641"/>
      <c r="FC148" s="1641"/>
      <c r="FD148" s="1641"/>
      <c r="FE148" s="1641"/>
      <c r="FF148" s="1641"/>
      <c r="FG148" s="1641"/>
      <c r="FH148" s="1641"/>
      <c r="FI148" s="1641"/>
      <c r="FJ148" s="1641"/>
      <c r="FK148" s="1641"/>
      <c r="FL148" s="1641"/>
      <c r="FM148" s="1641"/>
      <c r="FN148" s="1641"/>
      <c r="FO148" s="1641"/>
      <c r="FP148" s="1641"/>
      <c r="FQ148" s="1641"/>
      <c r="FR148" s="1641"/>
      <c r="FS148" s="1641"/>
      <c r="FT148" s="1641"/>
      <c r="FU148" s="1641"/>
      <c r="FV148" s="1641"/>
      <c r="FW148" s="1641"/>
      <c r="FX148" s="1641"/>
      <c r="FY148" s="1641"/>
      <c r="FZ148" s="1641"/>
      <c r="GA148" s="1641"/>
      <c r="GB148" s="1641"/>
      <c r="GC148" s="1641"/>
      <c r="GD148" s="1641"/>
      <c r="GE148" s="1641"/>
      <c r="GF148" s="1641"/>
      <c r="GG148" s="1641"/>
      <c r="GH148" s="1641"/>
      <c r="GI148" s="1641"/>
      <c r="GJ148" s="1641"/>
      <c r="GK148" s="1641"/>
      <c r="GL148" s="1641"/>
      <c r="GM148" s="1641"/>
      <c r="GN148" s="1641"/>
      <c r="GO148" s="1641"/>
      <c r="GP148" s="1641"/>
      <c r="GQ148" s="1641"/>
      <c r="GR148" s="1641"/>
      <c r="GS148" s="1641"/>
      <c r="GT148" s="1641"/>
      <c r="GU148" s="1641"/>
      <c r="GV148" s="1641"/>
      <c r="GW148" s="1641"/>
      <c r="GX148" s="1641"/>
      <c r="GY148" s="1641"/>
      <c r="GZ148" s="1641"/>
      <c r="HA148" s="1641"/>
      <c r="HB148" s="1641"/>
      <c r="HC148" s="1641"/>
      <c r="HD148" s="1641"/>
      <c r="HE148" s="1641"/>
      <c r="HF148" s="1641"/>
      <c r="HG148" s="1641"/>
      <c r="HH148" s="1641"/>
      <c r="HI148" s="1641"/>
      <c r="HJ148" s="1641"/>
      <c r="HK148" s="1641"/>
      <c r="HL148" s="1641"/>
      <c r="HM148" s="1641"/>
      <c r="HN148" s="1641"/>
      <c r="HO148" s="1641"/>
      <c r="HP148" s="1641"/>
      <c r="HQ148" s="1641"/>
      <c r="HR148" s="1641"/>
      <c r="HS148" s="1641"/>
      <c r="HT148" s="1641"/>
      <c r="HU148" s="1641"/>
      <c r="HV148" s="1641"/>
      <c r="HW148" s="1641"/>
      <c r="HX148" s="1641"/>
      <c r="HY148" s="1641"/>
      <c r="HZ148" s="1641"/>
      <c r="IA148" s="1641"/>
      <c r="IB148" s="1641"/>
      <c r="IC148" s="1641"/>
      <c r="ID148" s="1641"/>
      <c r="IE148" s="1641"/>
      <c r="IF148" s="1641"/>
      <c r="IG148" s="1641"/>
      <c r="IH148" s="1641"/>
      <c r="II148" s="1641"/>
      <c r="IJ148" s="1641"/>
      <c r="IK148" s="1641"/>
      <c r="IL148" s="1641"/>
      <c r="IM148" s="1641"/>
      <c r="IN148" s="1641"/>
      <c r="IO148" s="1641"/>
      <c r="IP148" s="1410"/>
      <c r="IQ148" s="1410"/>
      <c r="IR148" s="1410"/>
      <c r="IS148" s="1410"/>
      <c r="IT148" s="1410"/>
      <c r="IU148" s="1410"/>
      <c r="IV148" s="1410"/>
      <c r="IW148" s="1410"/>
      <c r="IX148" s="1641"/>
      <c r="IY148" s="1641"/>
      <c r="IZ148" s="1641"/>
      <c r="JA148" s="1641"/>
      <c r="JB148" s="1641"/>
      <c r="JC148" s="1641"/>
      <c r="JD148" s="1641"/>
      <c r="JE148" s="1641"/>
      <c r="JF148" s="1641"/>
      <c r="JG148" s="1641"/>
      <c r="JH148" s="1410"/>
      <c r="JI148" s="1410"/>
      <c r="JJ148" s="1410"/>
      <c r="JK148" s="1410"/>
      <c r="JL148" s="1410"/>
      <c r="JM148" s="1410"/>
      <c r="JN148" s="1410"/>
      <c r="JO148" s="1410"/>
      <c r="JP148" s="1410"/>
      <c r="JQ148" s="1405"/>
      <c r="JR148" s="351"/>
    </row>
    <row r="149" spans="1:278" x14ac:dyDescent="0.25">
      <c r="A149" s="1367">
        <v>149</v>
      </c>
      <c r="B149" s="1411" t="str">
        <f t="shared" si="15"/>
        <v/>
      </c>
      <c r="C149" s="1435" t="s">
        <v>4062</v>
      </c>
      <c r="D149" s="1361" t="s">
        <v>4063</v>
      </c>
      <c r="E149" s="1641"/>
      <c r="F149" s="1641"/>
      <c r="G149" s="1641"/>
      <c r="H149" s="1641"/>
      <c r="I149" s="1641"/>
      <c r="J149" s="1641"/>
      <c r="K149" s="1641"/>
      <c r="L149" s="1641"/>
      <c r="M149" s="1641"/>
      <c r="N149" s="1641"/>
      <c r="O149" s="1641"/>
      <c r="P149" s="1641"/>
      <c r="Q149" s="1641"/>
      <c r="R149" s="1641"/>
      <c r="S149" s="1641"/>
      <c r="T149" s="1641"/>
      <c r="U149" s="1641"/>
      <c r="V149" s="1641"/>
      <c r="W149" s="1641"/>
      <c r="X149" s="1641"/>
      <c r="Y149" s="1641"/>
      <c r="Z149" s="1641"/>
      <c r="AA149" s="1641"/>
      <c r="AB149" s="1641"/>
      <c r="AC149" s="1641"/>
      <c r="AD149" s="1641"/>
      <c r="AE149" s="1641"/>
      <c r="AF149" s="1641"/>
      <c r="AG149" s="1641"/>
      <c r="AH149" s="1641"/>
      <c r="AI149" s="1641"/>
      <c r="AJ149" s="1641"/>
      <c r="AK149" s="1641"/>
      <c r="AL149" s="1641"/>
      <c r="AM149" s="1641"/>
      <c r="AN149" s="1641"/>
      <c r="AO149" s="1641"/>
      <c r="AP149" s="1641"/>
      <c r="AQ149" s="1641"/>
      <c r="AR149" s="1641"/>
      <c r="AS149" s="1641"/>
      <c r="AT149" s="1641"/>
      <c r="AU149" s="1641"/>
      <c r="AV149" s="1641"/>
      <c r="AW149" s="1641"/>
      <c r="AX149" s="1641"/>
      <c r="AY149" s="1641"/>
      <c r="AZ149" s="1641"/>
      <c r="BA149" s="1641"/>
      <c r="BB149" s="1641"/>
      <c r="BC149" s="1641"/>
      <c r="BD149" s="1641"/>
      <c r="BE149" s="1641"/>
      <c r="BF149" s="1641"/>
      <c r="BG149" s="1641"/>
      <c r="BH149" s="1641"/>
      <c r="BI149" s="1641"/>
      <c r="BJ149" s="1641"/>
      <c r="BK149" s="1641"/>
      <c r="BL149" s="1641"/>
      <c r="BM149" s="1641"/>
      <c r="BN149" s="1641"/>
      <c r="BO149" s="1641"/>
      <c r="BP149" s="1641"/>
      <c r="BQ149" s="1641"/>
      <c r="BR149" s="1641"/>
      <c r="BS149" s="1641"/>
      <c r="BT149" s="1641"/>
      <c r="BU149" s="1641"/>
      <c r="BV149" s="1641"/>
      <c r="BW149" s="1641"/>
      <c r="BX149" s="1641"/>
      <c r="BY149" s="1641"/>
      <c r="BZ149" s="1641"/>
      <c r="CA149" s="1641"/>
      <c r="CB149" s="1641"/>
      <c r="CC149" s="1641"/>
      <c r="CD149" s="1641"/>
      <c r="CE149" s="1641"/>
      <c r="CF149" s="1641"/>
      <c r="CG149" s="1641"/>
      <c r="CH149" s="1641"/>
      <c r="CI149" s="1641"/>
      <c r="CJ149" s="1641"/>
      <c r="CK149" s="1641"/>
      <c r="CL149" s="1641"/>
      <c r="CM149" s="1641"/>
      <c r="CN149" s="1641"/>
      <c r="CO149" s="1641"/>
      <c r="CP149" s="1641"/>
      <c r="CQ149" s="1641"/>
      <c r="CR149" s="1641"/>
      <c r="CS149" s="1641"/>
      <c r="CT149" s="1641"/>
      <c r="CU149" s="1641"/>
      <c r="CV149" s="1641"/>
      <c r="CW149" s="1641"/>
      <c r="CX149" s="1641"/>
      <c r="CY149" s="1641"/>
      <c r="CZ149" s="1641"/>
      <c r="DA149" s="1641"/>
      <c r="DB149" s="1641"/>
      <c r="DC149" s="1641"/>
      <c r="DD149" s="1641"/>
      <c r="DE149" s="1641"/>
      <c r="DF149" s="1641"/>
      <c r="DG149" s="1641"/>
      <c r="DH149" s="1641"/>
      <c r="DI149" s="1641"/>
      <c r="DJ149" s="1641"/>
      <c r="DK149" s="1641"/>
      <c r="DL149" s="1641"/>
      <c r="DM149" s="1641"/>
      <c r="DN149" s="1641"/>
      <c r="DO149" s="1641"/>
      <c r="DP149" s="1641"/>
      <c r="DQ149" s="1641"/>
      <c r="DR149" s="1641"/>
      <c r="DS149" s="1641"/>
      <c r="DT149" s="1641"/>
      <c r="DU149" s="1641"/>
      <c r="DV149" s="1641"/>
      <c r="DW149" s="1641"/>
      <c r="DX149" s="1641"/>
      <c r="DY149" s="1641"/>
      <c r="DZ149" s="1641"/>
      <c r="EA149" s="1641"/>
      <c r="EB149" s="1641"/>
      <c r="EC149" s="1641"/>
      <c r="ED149" s="1641"/>
      <c r="EE149" s="1641"/>
      <c r="EF149" s="1641"/>
      <c r="EG149" s="1641"/>
      <c r="EH149" s="1641"/>
      <c r="EI149" s="1641"/>
      <c r="EJ149" s="1641"/>
      <c r="EK149" s="1641"/>
      <c r="EL149" s="1641"/>
      <c r="EM149" s="1641"/>
      <c r="EN149" s="1641"/>
      <c r="EO149" s="1641"/>
      <c r="EP149" s="1641"/>
      <c r="EQ149" s="1641"/>
      <c r="ER149" s="1641"/>
      <c r="ES149" s="1641"/>
      <c r="ET149" s="1641"/>
      <c r="EU149" s="1641"/>
      <c r="EV149" s="1641"/>
      <c r="EW149" s="1641"/>
      <c r="EX149" s="1641"/>
      <c r="EY149" s="1641"/>
      <c r="EZ149" s="1641"/>
      <c r="FA149" s="1641"/>
      <c r="FB149" s="1641"/>
      <c r="FC149" s="1641"/>
      <c r="FD149" s="1641"/>
      <c r="FE149" s="1641"/>
      <c r="FF149" s="1641"/>
      <c r="FG149" s="1641"/>
      <c r="FH149" s="1641"/>
      <c r="FI149" s="1641"/>
      <c r="FJ149" s="1641"/>
      <c r="FK149" s="1641"/>
      <c r="FL149" s="1641"/>
      <c r="FM149" s="1641"/>
      <c r="FN149" s="1641"/>
      <c r="FO149" s="1641"/>
      <c r="FP149" s="1641"/>
      <c r="FQ149" s="1641"/>
      <c r="FR149" s="1641"/>
      <c r="FS149" s="1641"/>
      <c r="FT149" s="1641"/>
      <c r="FU149" s="1641"/>
      <c r="FV149" s="1641"/>
      <c r="FW149" s="1641"/>
      <c r="FX149" s="1641"/>
      <c r="FY149" s="1641"/>
      <c r="FZ149" s="1641"/>
      <c r="GA149" s="1641"/>
      <c r="GB149" s="1641"/>
      <c r="GC149" s="1641"/>
      <c r="GD149" s="1641"/>
      <c r="GE149" s="1641"/>
      <c r="GF149" s="1641"/>
      <c r="GG149" s="1641"/>
      <c r="GH149" s="1641"/>
      <c r="GI149" s="1641"/>
      <c r="GJ149" s="1641"/>
      <c r="GK149" s="1641"/>
      <c r="GL149" s="1641"/>
      <c r="GM149" s="1641"/>
      <c r="GN149" s="1641"/>
      <c r="GO149" s="1641"/>
      <c r="GP149" s="1641"/>
      <c r="GQ149" s="1641"/>
      <c r="GR149" s="1641"/>
      <c r="GS149" s="1641"/>
      <c r="GT149" s="1641"/>
      <c r="GU149" s="1641"/>
      <c r="GV149" s="1641"/>
      <c r="GW149" s="1641"/>
      <c r="GX149" s="1641"/>
      <c r="GY149" s="1641"/>
      <c r="GZ149" s="1641"/>
      <c r="HA149" s="1641"/>
      <c r="HB149" s="1641"/>
      <c r="HC149" s="1641"/>
      <c r="HD149" s="1641"/>
      <c r="HE149" s="1641"/>
      <c r="HF149" s="1641"/>
      <c r="HG149" s="1641"/>
      <c r="HH149" s="1641"/>
      <c r="HI149" s="1641"/>
      <c r="HJ149" s="1641"/>
      <c r="HK149" s="1641"/>
      <c r="HL149" s="1641"/>
      <c r="HM149" s="1641"/>
      <c r="HN149" s="1641"/>
      <c r="HO149" s="1641"/>
      <c r="HP149" s="1641"/>
      <c r="HQ149" s="1641"/>
      <c r="HR149" s="1641"/>
      <c r="HS149" s="1641"/>
      <c r="HT149" s="1641"/>
      <c r="HU149" s="1641"/>
      <c r="HV149" s="1641"/>
      <c r="HW149" s="1641"/>
      <c r="HX149" s="1641"/>
      <c r="HY149" s="1641"/>
      <c r="HZ149" s="1641"/>
      <c r="IA149" s="1641"/>
      <c r="IB149" s="1641"/>
      <c r="IC149" s="1641"/>
      <c r="ID149" s="1641"/>
      <c r="IE149" s="1641"/>
      <c r="IF149" s="1641"/>
      <c r="IG149" s="1641"/>
      <c r="IH149" s="1641"/>
      <c r="II149" s="1641"/>
      <c r="IJ149" s="1641"/>
      <c r="IK149" s="1641"/>
      <c r="IL149" s="1641"/>
      <c r="IM149" s="1641"/>
      <c r="IN149" s="1641"/>
      <c r="IO149" s="1641"/>
      <c r="IP149" s="1410"/>
      <c r="IQ149" s="1410"/>
      <c r="IR149" s="1410"/>
      <c r="IS149" s="1410"/>
      <c r="IT149" s="1410"/>
      <c r="IU149" s="1410"/>
      <c r="IV149" s="1410"/>
      <c r="IW149" s="1410"/>
      <c r="IX149" s="1641"/>
      <c r="IY149" s="1641"/>
      <c r="IZ149" s="1641"/>
      <c r="JA149" s="1641"/>
      <c r="JB149" s="1641"/>
      <c r="JC149" s="1641"/>
      <c r="JD149" s="1641"/>
      <c r="JE149" s="1641"/>
      <c r="JF149" s="1641"/>
      <c r="JG149" s="1641"/>
      <c r="JH149" s="1410"/>
      <c r="JI149" s="1410"/>
      <c r="JJ149" s="1410"/>
      <c r="JK149" s="1410"/>
      <c r="JL149" s="1410"/>
      <c r="JM149" s="1410"/>
      <c r="JN149" s="1410"/>
      <c r="JO149" s="1410"/>
      <c r="JP149" s="1410"/>
      <c r="JQ149" s="1405"/>
      <c r="JR149" s="351"/>
    </row>
    <row r="150" spans="1:278" x14ac:dyDescent="0.25">
      <c r="A150" s="1367">
        <v>150</v>
      </c>
      <c r="B150" s="1411" t="str">
        <f t="shared" si="15"/>
        <v/>
      </c>
      <c r="C150" s="1435" t="s">
        <v>4064</v>
      </c>
      <c r="D150" s="1361" t="s">
        <v>4065</v>
      </c>
      <c r="E150" s="1641"/>
      <c r="F150" s="1641"/>
      <c r="G150" s="1641"/>
      <c r="H150" s="1641"/>
      <c r="I150" s="1641"/>
      <c r="J150" s="1641"/>
      <c r="K150" s="1641"/>
      <c r="L150" s="1641"/>
      <c r="M150" s="1641"/>
      <c r="N150" s="1641"/>
      <c r="O150" s="1641"/>
      <c r="P150" s="1641"/>
      <c r="Q150" s="1641"/>
      <c r="R150" s="1641"/>
      <c r="S150" s="1641"/>
      <c r="T150" s="1641"/>
      <c r="U150" s="1641"/>
      <c r="V150" s="1641"/>
      <c r="W150" s="1641"/>
      <c r="X150" s="1641"/>
      <c r="Y150" s="1641"/>
      <c r="Z150" s="1641"/>
      <c r="AA150" s="1641"/>
      <c r="AB150" s="1641"/>
      <c r="AC150" s="1641"/>
      <c r="AD150" s="1641"/>
      <c r="AE150" s="1641"/>
      <c r="AF150" s="1641"/>
      <c r="AG150" s="1641"/>
      <c r="AH150" s="1641"/>
      <c r="AI150" s="1641"/>
      <c r="AJ150" s="1641"/>
      <c r="AK150" s="1641"/>
      <c r="AL150" s="1641"/>
      <c r="AM150" s="1641"/>
      <c r="AN150" s="1641"/>
      <c r="AO150" s="1641"/>
      <c r="AP150" s="1641"/>
      <c r="AQ150" s="1641"/>
      <c r="AR150" s="1641"/>
      <c r="AS150" s="1641"/>
      <c r="AT150" s="1641"/>
      <c r="AU150" s="1641"/>
      <c r="AV150" s="1641"/>
      <c r="AW150" s="1641"/>
      <c r="AX150" s="1641"/>
      <c r="AY150" s="1641"/>
      <c r="AZ150" s="1641"/>
      <c r="BA150" s="1641"/>
      <c r="BB150" s="1641"/>
      <c r="BC150" s="1641"/>
      <c r="BD150" s="1641"/>
      <c r="BE150" s="1641"/>
      <c r="BF150" s="1641"/>
      <c r="BG150" s="1641"/>
      <c r="BH150" s="1641"/>
      <c r="BI150" s="1641"/>
      <c r="BJ150" s="1641"/>
      <c r="BK150" s="1641"/>
      <c r="BL150" s="1641"/>
      <c r="BM150" s="1641"/>
      <c r="BN150" s="1641"/>
      <c r="BO150" s="1641"/>
      <c r="BP150" s="1641"/>
      <c r="BQ150" s="1641"/>
      <c r="BR150" s="1641"/>
      <c r="BS150" s="1641"/>
      <c r="BT150" s="1641"/>
      <c r="BU150" s="1641"/>
      <c r="BV150" s="1641"/>
      <c r="BW150" s="1641"/>
      <c r="BX150" s="1641"/>
      <c r="BY150" s="1641"/>
      <c r="BZ150" s="1641"/>
      <c r="CA150" s="1641"/>
      <c r="CB150" s="1641"/>
      <c r="CC150" s="1641"/>
      <c r="CD150" s="1641"/>
      <c r="CE150" s="1641"/>
      <c r="CF150" s="1641"/>
      <c r="CG150" s="1641"/>
      <c r="CH150" s="1641"/>
      <c r="CI150" s="1641"/>
      <c r="CJ150" s="1641"/>
      <c r="CK150" s="1641"/>
      <c r="CL150" s="1641"/>
      <c r="CM150" s="1641"/>
      <c r="CN150" s="1641"/>
      <c r="CO150" s="1641"/>
      <c r="CP150" s="1641"/>
      <c r="CQ150" s="1641"/>
      <c r="CR150" s="1641"/>
      <c r="CS150" s="1641"/>
      <c r="CT150" s="1641"/>
      <c r="CU150" s="1641"/>
      <c r="CV150" s="1641"/>
      <c r="CW150" s="1641"/>
      <c r="CX150" s="1641"/>
      <c r="CY150" s="1641"/>
      <c r="CZ150" s="1641"/>
      <c r="DA150" s="1641"/>
      <c r="DB150" s="1641"/>
      <c r="DC150" s="1641"/>
      <c r="DD150" s="1641"/>
      <c r="DE150" s="1641"/>
      <c r="DF150" s="1641"/>
      <c r="DG150" s="1641"/>
      <c r="DH150" s="1641"/>
      <c r="DI150" s="1641"/>
      <c r="DJ150" s="1641"/>
      <c r="DK150" s="1641"/>
      <c r="DL150" s="1641"/>
      <c r="DM150" s="1641"/>
      <c r="DN150" s="1641"/>
      <c r="DO150" s="1641"/>
      <c r="DP150" s="1641"/>
      <c r="DQ150" s="1641"/>
      <c r="DR150" s="1641"/>
      <c r="DS150" s="1641"/>
      <c r="DT150" s="1641"/>
      <c r="DU150" s="1641"/>
      <c r="DV150" s="1641"/>
      <c r="DW150" s="1641"/>
      <c r="DX150" s="1641"/>
      <c r="DY150" s="1641"/>
      <c r="DZ150" s="1641"/>
      <c r="EA150" s="1641"/>
      <c r="EB150" s="1641"/>
      <c r="EC150" s="1641"/>
      <c r="ED150" s="1641"/>
      <c r="EE150" s="1641"/>
      <c r="EF150" s="1641"/>
      <c r="EG150" s="1641"/>
      <c r="EH150" s="1641"/>
      <c r="EI150" s="1641"/>
      <c r="EJ150" s="1641"/>
      <c r="EK150" s="1641"/>
      <c r="EL150" s="1641"/>
      <c r="EM150" s="1641"/>
      <c r="EN150" s="1641"/>
      <c r="EO150" s="1641"/>
      <c r="EP150" s="1641"/>
      <c r="EQ150" s="1641"/>
      <c r="ER150" s="1641"/>
      <c r="ES150" s="1641"/>
      <c r="ET150" s="1641"/>
      <c r="EU150" s="1641"/>
      <c r="EV150" s="1641"/>
      <c r="EW150" s="1641"/>
      <c r="EX150" s="1641"/>
      <c r="EY150" s="1641"/>
      <c r="EZ150" s="1641"/>
      <c r="FA150" s="1641"/>
      <c r="FB150" s="1641"/>
      <c r="FC150" s="1641"/>
      <c r="FD150" s="1641"/>
      <c r="FE150" s="1641"/>
      <c r="FF150" s="1641"/>
      <c r="FG150" s="1641"/>
      <c r="FH150" s="1641"/>
      <c r="FI150" s="1641"/>
      <c r="FJ150" s="1641"/>
      <c r="FK150" s="1641"/>
      <c r="FL150" s="1641"/>
      <c r="FM150" s="1641"/>
      <c r="FN150" s="1641"/>
      <c r="FO150" s="1641"/>
      <c r="FP150" s="1641"/>
      <c r="FQ150" s="1641"/>
      <c r="FR150" s="1641"/>
      <c r="FS150" s="1641"/>
      <c r="FT150" s="1641"/>
      <c r="FU150" s="1641"/>
      <c r="FV150" s="1641"/>
      <c r="FW150" s="1641"/>
      <c r="FX150" s="1641"/>
      <c r="FY150" s="1641"/>
      <c r="FZ150" s="1641"/>
      <c r="GA150" s="1641"/>
      <c r="GB150" s="1641"/>
      <c r="GC150" s="1641"/>
      <c r="GD150" s="1641"/>
      <c r="GE150" s="1641"/>
      <c r="GF150" s="1641"/>
      <c r="GG150" s="1641"/>
      <c r="GH150" s="1641"/>
      <c r="GI150" s="1641"/>
      <c r="GJ150" s="1641"/>
      <c r="GK150" s="1641"/>
      <c r="GL150" s="1641"/>
      <c r="GM150" s="1641"/>
      <c r="GN150" s="1641"/>
      <c r="GO150" s="1641"/>
      <c r="GP150" s="1641"/>
      <c r="GQ150" s="1641"/>
      <c r="GR150" s="1641"/>
      <c r="GS150" s="1641"/>
      <c r="GT150" s="1641"/>
      <c r="GU150" s="1641"/>
      <c r="GV150" s="1641"/>
      <c r="GW150" s="1641"/>
      <c r="GX150" s="1641"/>
      <c r="GY150" s="1641"/>
      <c r="GZ150" s="1641"/>
      <c r="HA150" s="1641"/>
      <c r="HB150" s="1641"/>
      <c r="HC150" s="1641"/>
      <c r="HD150" s="1641"/>
      <c r="HE150" s="1641"/>
      <c r="HF150" s="1641"/>
      <c r="HG150" s="1641"/>
      <c r="HH150" s="1641"/>
      <c r="HI150" s="1641"/>
      <c r="HJ150" s="1641"/>
      <c r="HK150" s="1641"/>
      <c r="HL150" s="1641"/>
      <c r="HM150" s="1641"/>
      <c r="HN150" s="1641"/>
      <c r="HO150" s="1641"/>
      <c r="HP150" s="1641"/>
      <c r="HQ150" s="1641"/>
      <c r="HR150" s="1641"/>
      <c r="HS150" s="1641"/>
      <c r="HT150" s="1641"/>
      <c r="HU150" s="1641"/>
      <c r="HV150" s="1641"/>
      <c r="HW150" s="1641"/>
      <c r="HX150" s="1641"/>
      <c r="HY150" s="1641"/>
      <c r="HZ150" s="1641"/>
      <c r="IA150" s="1641"/>
      <c r="IB150" s="1641"/>
      <c r="IC150" s="1641"/>
      <c r="ID150" s="1641"/>
      <c r="IE150" s="1641"/>
      <c r="IF150" s="1641"/>
      <c r="IG150" s="1641"/>
      <c r="IH150" s="1641"/>
      <c r="II150" s="1641"/>
      <c r="IJ150" s="1641"/>
      <c r="IK150" s="1641"/>
      <c r="IL150" s="1641"/>
      <c r="IM150" s="1641"/>
      <c r="IN150" s="1641"/>
      <c r="IO150" s="1641"/>
      <c r="IP150" s="1410"/>
      <c r="IQ150" s="1410"/>
      <c r="IR150" s="1410"/>
      <c r="IS150" s="1410"/>
      <c r="IT150" s="1410"/>
      <c r="IU150" s="1410"/>
      <c r="IV150" s="1410"/>
      <c r="IW150" s="1410"/>
      <c r="IX150" s="1641"/>
      <c r="IY150" s="1641"/>
      <c r="IZ150" s="1641"/>
      <c r="JA150" s="1641"/>
      <c r="JB150" s="1641"/>
      <c r="JC150" s="1641"/>
      <c r="JD150" s="1641"/>
      <c r="JE150" s="1641"/>
      <c r="JF150" s="1641"/>
      <c r="JG150" s="1641"/>
      <c r="JH150" s="1410"/>
      <c r="JI150" s="1410"/>
      <c r="JJ150" s="1410"/>
      <c r="JK150" s="1410"/>
      <c r="JL150" s="1410"/>
      <c r="JM150" s="1410"/>
      <c r="JN150" s="1410"/>
      <c r="JO150" s="1410"/>
      <c r="JP150" s="1410"/>
      <c r="JQ150" s="1405"/>
      <c r="JR150" s="351"/>
    </row>
    <row r="151" spans="1:278" x14ac:dyDescent="0.25">
      <c r="A151" s="1367">
        <v>151</v>
      </c>
      <c r="B151" s="1411" t="str">
        <f t="shared" si="15"/>
        <v/>
      </c>
      <c r="C151" s="1435" t="s">
        <v>4066</v>
      </c>
      <c r="D151" s="1361" t="s">
        <v>4042</v>
      </c>
      <c r="E151" s="1641"/>
      <c r="F151" s="1641"/>
      <c r="G151" s="1641"/>
      <c r="H151" s="1641"/>
      <c r="I151" s="1641"/>
      <c r="J151" s="1641"/>
      <c r="K151" s="1641"/>
      <c r="L151" s="1641"/>
      <c r="M151" s="1641"/>
      <c r="N151" s="1641"/>
      <c r="O151" s="1641"/>
      <c r="P151" s="1641"/>
      <c r="Q151" s="1641"/>
      <c r="R151" s="1641"/>
      <c r="S151" s="1641"/>
      <c r="T151" s="1641"/>
      <c r="U151" s="1641"/>
      <c r="V151" s="1641"/>
      <c r="W151" s="1641"/>
      <c r="X151" s="1641"/>
      <c r="Y151" s="1641"/>
      <c r="Z151" s="1641"/>
      <c r="AA151" s="1641"/>
      <c r="AB151" s="1641"/>
      <c r="AC151" s="1641"/>
      <c r="AD151" s="1641"/>
      <c r="AE151" s="1641"/>
      <c r="AF151" s="1641"/>
      <c r="AG151" s="1641"/>
      <c r="AH151" s="1641"/>
      <c r="AI151" s="1641"/>
      <c r="AJ151" s="1641"/>
      <c r="AK151" s="1641"/>
      <c r="AL151" s="1641"/>
      <c r="AM151" s="1641"/>
      <c r="AN151" s="1641"/>
      <c r="AO151" s="1641"/>
      <c r="AP151" s="1641"/>
      <c r="AQ151" s="1641"/>
      <c r="AR151" s="1641"/>
      <c r="AS151" s="1641"/>
      <c r="AT151" s="1641"/>
      <c r="AU151" s="1641"/>
      <c r="AV151" s="1641"/>
      <c r="AW151" s="1641"/>
      <c r="AX151" s="1641"/>
      <c r="AY151" s="1641"/>
      <c r="AZ151" s="1641"/>
      <c r="BA151" s="1641"/>
      <c r="BB151" s="1641"/>
      <c r="BC151" s="1641"/>
      <c r="BD151" s="1641"/>
      <c r="BE151" s="1641"/>
      <c r="BF151" s="1641"/>
      <c r="BG151" s="1636">
        <v>138166</v>
      </c>
      <c r="BH151" s="1641"/>
      <c r="BI151" s="1641"/>
      <c r="BJ151" s="1641"/>
      <c r="BK151" s="1641"/>
      <c r="BL151" s="1641"/>
      <c r="BM151" s="1641"/>
      <c r="BN151" s="1641"/>
      <c r="BO151" s="1641"/>
      <c r="BP151" s="1641"/>
      <c r="BQ151" s="1641"/>
      <c r="BR151" s="1641"/>
      <c r="BS151" s="1641"/>
      <c r="BT151" s="1641"/>
      <c r="BU151" s="1641"/>
      <c r="BV151" s="1641"/>
      <c r="BW151" s="1641"/>
      <c r="BX151" s="1641"/>
      <c r="BY151" s="1641"/>
      <c r="BZ151" s="1641"/>
      <c r="CA151" s="1641"/>
      <c r="CB151" s="1641"/>
      <c r="CC151" s="1641"/>
      <c r="CD151" s="1641"/>
      <c r="CE151" s="1641"/>
      <c r="CF151" s="1641"/>
      <c r="CG151" s="1641"/>
      <c r="CH151" s="1641"/>
      <c r="CI151" s="1641"/>
      <c r="CJ151" s="1641"/>
      <c r="CK151" s="1641"/>
      <c r="CL151" s="1641"/>
      <c r="CM151" s="1641"/>
      <c r="CN151" s="1641"/>
      <c r="CO151" s="1641"/>
      <c r="CP151" s="1641"/>
      <c r="CQ151" s="1641"/>
      <c r="CR151" s="1641"/>
      <c r="CS151" s="1641"/>
      <c r="CT151" s="1641"/>
      <c r="CU151" s="1641"/>
      <c r="CV151" s="1641"/>
      <c r="CW151" s="1641"/>
      <c r="CX151" s="1641"/>
      <c r="CY151" s="1641"/>
      <c r="CZ151" s="1641"/>
      <c r="DA151" s="1641"/>
      <c r="DB151" s="1641"/>
      <c r="DC151" s="1641"/>
      <c r="DD151" s="1641"/>
      <c r="DE151" s="1641"/>
      <c r="DF151" s="1641"/>
      <c r="DG151" s="1641"/>
      <c r="DH151" s="1641"/>
      <c r="DI151" s="1641"/>
      <c r="DJ151" s="1641"/>
      <c r="DK151" s="1641"/>
      <c r="DL151" s="1641"/>
      <c r="DM151" s="1641"/>
      <c r="DN151" s="1641"/>
      <c r="DO151" s="1641"/>
      <c r="DP151" s="1641"/>
      <c r="DQ151" s="1641"/>
      <c r="DR151" s="1641"/>
      <c r="DS151" s="1641"/>
      <c r="DT151" s="1641"/>
      <c r="DU151" s="1641"/>
      <c r="DV151" s="1641"/>
      <c r="DW151" s="1641"/>
      <c r="DX151" s="1641"/>
      <c r="DY151" s="1641"/>
      <c r="DZ151" s="1641"/>
      <c r="EA151" s="1641"/>
      <c r="EB151" s="1641"/>
      <c r="EC151" s="1641"/>
      <c r="ED151" s="1641"/>
      <c r="EE151" s="1641"/>
      <c r="EF151" s="1641"/>
      <c r="EG151" s="1641"/>
      <c r="EH151" s="1641"/>
      <c r="EI151" s="1641"/>
      <c r="EJ151" s="1641"/>
      <c r="EK151" s="1641"/>
      <c r="EL151" s="1641"/>
      <c r="EM151" s="1641"/>
      <c r="EN151" s="1641"/>
      <c r="EO151" s="1641"/>
      <c r="EP151" s="1641"/>
      <c r="EQ151" s="1641"/>
      <c r="ER151" s="1641"/>
      <c r="ES151" s="1641"/>
      <c r="ET151" s="1641"/>
      <c r="EU151" s="1641"/>
      <c r="EV151" s="1641"/>
      <c r="EW151" s="1641"/>
      <c r="EX151" s="1641"/>
      <c r="EY151" s="1641"/>
      <c r="EZ151" s="1641"/>
      <c r="FA151" s="1641"/>
      <c r="FB151" s="1641"/>
      <c r="FC151" s="1641"/>
      <c r="FD151" s="1641"/>
      <c r="FE151" s="1641"/>
      <c r="FF151" s="1641"/>
      <c r="FG151" s="1641"/>
      <c r="FH151" s="1641"/>
      <c r="FI151" s="1636">
        <v>343</v>
      </c>
      <c r="FJ151" s="1641"/>
      <c r="FK151" s="1641"/>
      <c r="FL151" s="1641"/>
      <c r="FM151" s="1641"/>
      <c r="FN151" s="1641"/>
      <c r="FO151" s="1641"/>
      <c r="FP151" s="1641"/>
      <c r="FQ151" s="1641"/>
      <c r="FR151" s="1641"/>
      <c r="FS151" s="1641"/>
      <c r="FT151" s="1641"/>
      <c r="FU151" s="1641"/>
      <c r="FV151" s="1641"/>
      <c r="FW151" s="1641"/>
      <c r="FX151" s="1641"/>
      <c r="FY151" s="1641"/>
      <c r="FZ151" s="1641"/>
      <c r="GA151" s="1641"/>
      <c r="GB151" s="1641"/>
      <c r="GC151" s="1641"/>
      <c r="GD151" s="1641"/>
      <c r="GE151" s="1641"/>
      <c r="GF151" s="1641"/>
      <c r="GG151" s="1641"/>
      <c r="GH151" s="1641"/>
      <c r="GI151" s="1641"/>
      <c r="GJ151" s="1641"/>
      <c r="GK151" s="1641"/>
      <c r="GL151" s="1641"/>
      <c r="GM151" s="1641"/>
      <c r="GN151" s="1641"/>
      <c r="GO151" s="1641"/>
      <c r="GP151" s="1641"/>
      <c r="GQ151" s="1641"/>
      <c r="GR151" s="1641"/>
      <c r="GS151" s="1641"/>
      <c r="GT151" s="1641"/>
      <c r="GU151" s="1641"/>
      <c r="GV151" s="1641"/>
      <c r="GW151" s="1641"/>
      <c r="GX151" s="1641"/>
      <c r="GY151" s="1641"/>
      <c r="GZ151" s="1641"/>
      <c r="HA151" s="1641"/>
      <c r="HB151" s="1641"/>
      <c r="HC151" s="1641"/>
      <c r="HD151" s="1641"/>
      <c r="HE151" s="1641"/>
      <c r="HF151" s="1641"/>
      <c r="HG151" s="1641"/>
      <c r="HH151" s="1641"/>
      <c r="HI151" s="1641"/>
      <c r="HJ151" s="1641">
        <v>149140</v>
      </c>
      <c r="HK151" s="1641">
        <v>49140</v>
      </c>
      <c r="HL151" s="1641">
        <v>49140</v>
      </c>
      <c r="HM151" s="1641">
        <v>49140</v>
      </c>
      <c r="HN151" s="1641"/>
      <c r="HO151" s="1641"/>
      <c r="HP151" s="1641"/>
      <c r="HQ151" s="1641"/>
      <c r="HR151" s="1641"/>
      <c r="HS151" s="1641"/>
      <c r="HT151" s="1641"/>
      <c r="HU151" s="1641"/>
      <c r="HV151" s="1641"/>
      <c r="HW151" s="1641"/>
      <c r="HX151" s="1641"/>
      <c r="HY151" s="1641"/>
      <c r="HZ151" s="1641"/>
      <c r="IA151" s="1641"/>
      <c r="IB151" s="1641"/>
      <c r="IC151" s="1641"/>
      <c r="ID151" s="1641"/>
      <c r="IE151" s="1641"/>
      <c r="IF151" s="1641"/>
      <c r="IG151" s="1641"/>
      <c r="IH151" s="1641"/>
      <c r="II151" s="1641"/>
      <c r="IJ151" s="1641"/>
      <c r="IK151" s="1641"/>
      <c r="IL151" s="1641"/>
      <c r="IM151" s="1641"/>
      <c r="IN151" s="1641"/>
      <c r="IO151" s="1641"/>
      <c r="IP151" s="1410"/>
      <c r="IQ151" s="1410"/>
      <c r="IR151" s="1410"/>
      <c r="IS151" s="1410"/>
      <c r="IT151" s="1410"/>
      <c r="IU151" s="1410"/>
      <c r="IV151" s="1410"/>
      <c r="IW151" s="1410"/>
      <c r="IX151" s="1641"/>
      <c r="IY151" s="1641"/>
      <c r="IZ151" s="1641"/>
      <c r="JA151" s="1641"/>
      <c r="JB151" s="1641"/>
      <c r="JC151" s="1641"/>
      <c r="JD151" s="1641"/>
      <c r="JE151" s="1641"/>
      <c r="JF151" s="1641"/>
      <c r="JG151" s="1641"/>
      <c r="JH151" s="1410"/>
      <c r="JI151" s="1410"/>
      <c r="JJ151" s="1410"/>
      <c r="JK151" s="1410"/>
      <c r="JL151" s="1410"/>
      <c r="JM151" s="1410"/>
      <c r="JN151" s="1410"/>
      <c r="JO151" s="1410"/>
      <c r="JP151" s="1410"/>
      <c r="JQ151" s="1405"/>
      <c r="JR151" s="351"/>
    </row>
    <row r="152" spans="1:278" x14ac:dyDescent="0.25">
      <c r="A152" s="1367">
        <v>152</v>
      </c>
      <c r="B152" s="1411" t="str">
        <f t="shared" si="15"/>
        <v/>
      </c>
      <c r="C152" s="1435" t="s">
        <v>4067</v>
      </c>
      <c r="D152" s="1361" t="s">
        <v>4044</v>
      </c>
      <c r="E152" s="1639"/>
      <c r="F152" s="1639"/>
      <c r="G152" s="1639"/>
      <c r="H152" s="1639"/>
      <c r="I152" s="1639"/>
      <c r="J152" s="1639"/>
      <c r="K152" s="1639"/>
      <c r="L152" s="1639"/>
      <c r="M152" s="1639"/>
      <c r="N152" s="1639"/>
      <c r="O152" s="1639"/>
      <c r="P152" s="1639"/>
      <c r="Q152" s="1639"/>
      <c r="R152" s="1639"/>
      <c r="S152" s="1639"/>
      <c r="T152" s="1639"/>
      <c r="U152" s="1639"/>
      <c r="V152" s="1639"/>
      <c r="W152" s="1639"/>
      <c r="X152" s="1639"/>
      <c r="Y152" s="1639"/>
      <c r="Z152" s="1639"/>
      <c r="AA152" s="1639"/>
      <c r="AB152" s="1639"/>
      <c r="AC152" s="1639"/>
      <c r="AD152" s="1639"/>
      <c r="AE152" s="1639"/>
      <c r="AF152" s="1639"/>
      <c r="AG152" s="1639"/>
      <c r="AH152" s="1639"/>
      <c r="AI152" s="1639"/>
      <c r="AJ152" s="1639"/>
      <c r="AK152" s="1639"/>
      <c r="AL152" s="1639"/>
      <c r="AM152" s="1639"/>
      <c r="AN152" s="1639"/>
      <c r="AO152" s="1639"/>
      <c r="AP152" s="1639"/>
      <c r="AQ152" s="1639"/>
      <c r="AR152" s="1639"/>
      <c r="AS152" s="1639"/>
      <c r="AT152" s="1639"/>
      <c r="AU152" s="1639"/>
      <c r="AV152" s="1639"/>
      <c r="AW152" s="1639"/>
      <c r="AX152" s="1639"/>
      <c r="AY152" s="1639"/>
      <c r="AZ152" s="1639"/>
      <c r="BA152" s="1639"/>
      <c r="BB152" s="1639"/>
      <c r="BC152" s="1639"/>
      <c r="BD152" s="1639"/>
      <c r="BE152" s="1639"/>
      <c r="BF152" s="1639"/>
      <c r="BG152" s="1638" t="s">
        <v>1707</v>
      </c>
      <c r="BH152" s="1639"/>
      <c r="BI152" s="1639"/>
      <c r="BJ152" s="1639"/>
      <c r="BK152" s="1639"/>
      <c r="BL152" s="1639"/>
      <c r="BM152" s="1639"/>
      <c r="BN152" s="1639"/>
      <c r="BO152" s="1639"/>
      <c r="BP152" s="1639"/>
      <c r="BQ152" s="1639"/>
      <c r="BR152" s="1639"/>
      <c r="BS152" s="1639"/>
      <c r="BT152" s="1639"/>
      <c r="BU152" s="1639"/>
      <c r="BV152" s="1639"/>
      <c r="BW152" s="1639"/>
      <c r="BX152" s="1639"/>
      <c r="BY152" s="1639"/>
      <c r="BZ152" s="1639"/>
      <c r="CA152" s="1639"/>
      <c r="CB152" s="1639"/>
      <c r="CC152" s="1639"/>
      <c r="CD152" s="1639"/>
      <c r="CE152" s="1639"/>
      <c r="CF152" s="1639"/>
      <c r="CG152" s="1639"/>
      <c r="CH152" s="1639"/>
      <c r="CI152" s="1639"/>
      <c r="CJ152" s="1639"/>
      <c r="CK152" s="1639"/>
      <c r="CL152" s="1639"/>
      <c r="CM152" s="1639"/>
      <c r="CN152" s="1639"/>
      <c r="CO152" s="1639"/>
      <c r="CP152" s="1639"/>
      <c r="CQ152" s="1639"/>
      <c r="CR152" s="1639"/>
      <c r="CS152" s="1639"/>
      <c r="CT152" s="1639"/>
      <c r="CU152" s="1639"/>
      <c r="CV152" s="1639"/>
      <c r="CW152" s="1639"/>
      <c r="CX152" s="1639"/>
      <c r="CY152" s="1639"/>
      <c r="CZ152" s="1639"/>
      <c r="DA152" s="1639"/>
      <c r="DB152" s="1639"/>
      <c r="DC152" s="1639"/>
      <c r="DD152" s="1639"/>
      <c r="DE152" s="1639"/>
      <c r="DF152" s="1639"/>
      <c r="DG152" s="1639"/>
      <c r="DH152" s="1639"/>
      <c r="DI152" s="1639"/>
      <c r="DJ152" s="1639"/>
      <c r="DK152" s="1639"/>
      <c r="DL152" s="1639"/>
      <c r="DM152" s="1639"/>
      <c r="DN152" s="1639"/>
      <c r="DO152" s="1639"/>
      <c r="DP152" s="1639"/>
      <c r="DQ152" s="1639"/>
      <c r="DR152" s="1639"/>
      <c r="DS152" s="1639"/>
      <c r="DT152" s="1639"/>
      <c r="DU152" s="1639"/>
      <c r="DV152" s="1639"/>
      <c r="DW152" s="1639"/>
      <c r="DX152" s="1639"/>
      <c r="DY152" s="1639"/>
      <c r="DZ152" s="1639"/>
      <c r="EA152" s="1639"/>
      <c r="EB152" s="1639"/>
      <c r="EC152" s="1639"/>
      <c r="ED152" s="1639"/>
      <c r="EE152" s="1639"/>
      <c r="EF152" s="1639"/>
      <c r="EG152" s="1639"/>
      <c r="EH152" s="1639"/>
      <c r="EI152" s="1639"/>
      <c r="EJ152" s="1639"/>
      <c r="EK152" s="1639"/>
      <c r="EL152" s="1639"/>
      <c r="EM152" s="1639"/>
      <c r="EN152" s="1639"/>
      <c r="EO152" s="1639"/>
      <c r="EP152" s="1639"/>
      <c r="EQ152" s="1639"/>
      <c r="ER152" s="1639"/>
      <c r="ES152" s="1639"/>
      <c r="ET152" s="1639"/>
      <c r="EU152" s="1639"/>
      <c r="EV152" s="1639"/>
      <c r="EW152" s="1639"/>
      <c r="EX152" s="1639"/>
      <c r="EY152" s="1639"/>
      <c r="EZ152" s="1639"/>
      <c r="FA152" s="1639"/>
      <c r="FB152" s="1639"/>
      <c r="FC152" s="1639"/>
      <c r="FD152" s="1639"/>
      <c r="FE152" s="1639"/>
      <c r="FF152" s="1639"/>
      <c r="FG152" s="1639"/>
      <c r="FH152" s="1639"/>
      <c r="FI152" s="1639"/>
      <c r="FJ152" s="1639"/>
      <c r="FK152" s="1639"/>
      <c r="FL152" s="1639"/>
      <c r="FM152" s="1639"/>
      <c r="FN152" s="1639"/>
      <c r="FO152" s="1639"/>
      <c r="FP152" s="1639"/>
      <c r="FQ152" s="1639"/>
      <c r="FR152" s="1639"/>
      <c r="FS152" s="1639"/>
      <c r="FT152" s="1639"/>
      <c r="FU152" s="1639"/>
      <c r="FV152" s="1639"/>
      <c r="FW152" s="1639"/>
      <c r="FX152" s="1639"/>
      <c r="FY152" s="1639"/>
      <c r="FZ152" s="1639"/>
      <c r="GA152" s="1639"/>
      <c r="GB152" s="1639"/>
      <c r="GC152" s="1639"/>
      <c r="GD152" s="1639"/>
      <c r="GE152" s="1639"/>
      <c r="GF152" s="1639"/>
      <c r="GG152" s="1639"/>
      <c r="GH152" s="1639"/>
      <c r="GI152" s="1639"/>
      <c r="GJ152" s="1639"/>
      <c r="GK152" s="1639"/>
      <c r="GL152" s="1639"/>
      <c r="GM152" s="1639"/>
      <c r="GN152" s="1639"/>
      <c r="GO152" s="1639"/>
      <c r="GP152" s="1639"/>
      <c r="GQ152" s="1639"/>
      <c r="GR152" s="1639"/>
      <c r="GS152" s="1639"/>
      <c r="GT152" s="1639"/>
      <c r="GU152" s="1639"/>
      <c r="GV152" s="1639"/>
      <c r="GW152" s="1639"/>
      <c r="GX152" s="1639"/>
      <c r="GY152" s="1639"/>
      <c r="GZ152" s="1639"/>
      <c r="HA152" s="1639"/>
      <c r="HB152" s="1639"/>
      <c r="HC152" s="1639"/>
      <c r="HD152" s="1639"/>
      <c r="HE152" s="1639"/>
      <c r="HF152" s="1639"/>
      <c r="HG152" s="1639"/>
      <c r="HH152" s="1639"/>
      <c r="HI152" s="1639"/>
      <c r="HJ152" s="1639" t="s">
        <v>1707</v>
      </c>
      <c r="HK152" s="1639" t="s">
        <v>1707</v>
      </c>
      <c r="HL152" s="1639" t="s">
        <v>1707</v>
      </c>
      <c r="HM152" s="1639" t="s">
        <v>1707</v>
      </c>
      <c r="HN152" s="1639"/>
      <c r="HO152" s="1639"/>
      <c r="HP152" s="1639"/>
      <c r="HQ152" s="1639"/>
      <c r="HR152" s="1639"/>
      <c r="HS152" s="1639"/>
      <c r="HT152" s="1639"/>
      <c r="HU152" s="1639"/>
      <c r="HV152" s="1639"/>
      <c r="HW152" s="1639"/>
      <c r="HX152" s="1639"/>
      <c r="HY152" s="1639"/>
      <c r="HZ152" s="1639"/>
      <c r="IA152" s="1639"/>
      <c r="IB152" s="1639"/>
      <c r="IC152" s="1639"/>
      <c r="ID152" s="1639"/>
      <c r="IE152" s="1639"/>
      <c r="IF152" s="1639"/>
      <c r="IG152" s="1639"/>
      <c r="IH152" s="1639"/>
      <c r="II152" s="1639"/>
      <c r="IJ152" s="1639"/>
      <c r="IK152" s="1639"/>
      <c r="IL152" s="1639"/>
      <c r="IM152" s="1639"/>
      <c r="IN152" s="1639"/>
      <c r="IO152" s="1639"/>
      <c r="IP152" s="1410"/>
      <c r="IQ152" s="1410"/>
      <c r="IR152" s="1410"/>
      <c r="IS152" s="1410"/>
      <c r="IT152" s="1410"/>
      <c r="IU152" s="1410"/>
      <c r="IV152" s="1410"/>
      <c r="IW152" s="1410"/>
      <c r="IX152" s="1639"/>
      <c r="IY152" s="1639"/>
      <c r="IZ152" s="1639"/>
      <c r="JA152" s="1639"/>
      <c r="JB152" s="1639"/>
      <c r="JC152" s="1639"/>
      <c r="JD152" s="1639"/>
      <c r="JE152" s="1639"/>
      <c r="JF152" s="1639"/>
      <c r="JG152" s="1639"/>
      <c r="JH152" s="1410"/>
      <c r="JI152" s="1410"/>
      <c r="JJ152" s="1410"/>
      <c r="JK152" s="1410"/>
      <c r="JL152" s="1410"/>
      <c r="JM152" s="1410"/>
      <c r="JN152" s="1410"/>
      <c r="JO152" s="1410"/>
      <c r="JP152" s="1410"/>
      <c r="JQ152" s="1405"/>
      <c r="JR152" s="351"/>
    </row>
    <row r="153" spans="1:278" x14ac:dyDescent="0.25">
      <c r="A153" s="1367">
        <v>153</v>
      </c>
      <c r="B153" s="1411" t="str">
        <f t="shared" si="15"/>
        <v/>
      </c>
      <c r="C153" s="1435" t="s">
        <v>4068</v>
      </c>
      <c r="D153" s="1361" t="s">
        <v>4069</v>
      </c>
      <c r="E153" s="1641"/>
      <c r="F153" s="1641"/>
      <c r="G153" s="1641"/>
      <c r="H153" s="1641"/>
      <c r="I153" s="1641"/>
      <c r="J153" s="1641"/>
      <c r="K153" s="1641"/>
      <c r="L153" s="1641"/>
      <c r="M153" s="1641"/>
      <c r="N153" s="1641"/>
      <c r="O153" s="1641"/>
      <c r="P153" s="1641"/>
      <c r="Q153" s="1641"/>
      <c r="R153" s="1641"/>
      <c r="S153" s="1641"/>
      <c r="T153" s="1641"/>
      <c r="U153" s="1641"/>
      <c r="V153" s="1641"/>
      <c r="W153" s="1641"/>
      <c r="X153" s="1641"/>
      <c r="Y153" s="1641"/>
      <c r="Z153" s="1641"/>
      <c r="AA153" s="1641"/>
      <c r="AB153" s="1641"/>
      <c r="AC153" s="1641"/>
      <c r="AD153" s="1641"/>
      <c r="AE153" s="1641"/>
      <c r="AF153" s="1641"/>
      <c r="AG153" s="1641"/>
      <c r="AH153" s="1641"/>
      <c r="AI153" s="1641"/>
      <c r="AJ153" s="1641"/>
      <c r="AK153" s="1641"/>
      <c r="AL153" s="1641"/>
      <c r="AM153" s="1641"/>
      <c r="AN153" s="1641"/>
      <c r="AO153" s="1641"/>
      <c r="AP153" s="1641"/>
      <c r="AQ153" s="1641"/>
      <c r="AR153" s="1641"/>
      <c r="AS153" s="1641"/>
      <c r="AT153" s="1641"/>
      <c r="AU153" s="1641"/>
      <c r="AV153" s="1641"/>
      <c r="AW153" s="1641"/>
      <c r="AX153" s="1641"/>
      <c r="AY153" s="1641"/>
      <c r="AZ153" s="1641"/>
      <c r="BA153" s="1641"/>
      <c r="BB153" s="1636">
        <v>56708</v>
      </c>
      <c r="BC153" s="1641"/>
      <c r="BD153" s="1641"/>
      <c r="BE153" s="1641"/>
      <c r="BF153" s="1641"/>
      <c r="BG153" s="2567">
        <v>138165.75</v>
      </c>
      <c r="BH153" s="1641"/>
      <c r="BI153" s="1641"/>
      <c r="BJ153" s="1641"/>
      <c r="BK153" s="1641"/>
      <c r="BL153" s="1641"/>
      <c r="BM153" s="1641"/>
      <c r="BN153" s="1641"/>
      <c r="BO153" s="1641"/>
      <c r="BP153" s="1641"/>
      <c r="BQ153" s="1641"/>
      <c r="BR153" s="1641"/>
      <c r="BS153" s="1641"/>
      <c r="BT153" s="1641"/>
      <c r="BU153" s="1641"/>
      <c r="BV153" s="1641"/>
      <c r="BW153" s="1641"/>
      <c r="BX153" s="1641"/>
      <c r="BY153" s="1641"/>
      <c r="BZ153" s="1641"/>
      <c r="CA153" s="1641"/>
      <c r="CB153" s="1641"/>
      <c r="CC153" s="1641"/>
      <c r="CD153" s="1641"/>
      <c r="CE153" s="1641"/>
      <c r="CF153" s="1641"/>
      <c r="CG153" s="1641"/>
      <c r="CH153" s="1641"/>
      <c r="CI153" s="1641"/>
      <c r="CJ153" s="1641"/>
      <c r="CK153" s="1641"/>
      <c r="CL153" s="1641"/>
      <c r="CM153" s="1641"/>
      <c r="CN153" s="1641"/>
      <c r="CO153" s="1641"/>
      <c r="CP153" s="1641"/>
      <c r="CQ153" s="1641"/>
      <c r="CR153" s="1641"/>
      <c r="CS153" s="1641"/>
      <c r="CT153" s="1641"/>
      <c r="CU153" s="1641"/>
      <c r="CV153" s="1641"/>
      <c r="CW153" s="1641"/>
      <c r="CX153" s="1641"/>
      <c r="CY153" s="1641"/>
      <c r="CZ153" s="1641"/>
      <c r="DA153" s="1641"/>
      <c r="DB153" s="1641"/>
      <c r="DC153" s="1641"/>
      <c r="DD153" s="1641"/>
      <c r="DE153" s="1641"/>
      <c r="DF153" s="1641"/>
      <c r="DG153" s="1641"/>
      <c r="DH153" s="1641"/>
      <c r="DI153" s="1641"/>
      <c r="DJ153" s="1641"/>
      <c r="DK153" s="1641"/>
      <c r="DL153" s="1641"/>
      <c r="DM153" s="1641"/>
      <c r="DN153" s="1641"/>
      <c r="DO153" s="1641"/>
      <c r="DP153" s="1641"/>
      <c r="DQ153" s="1641"/>
      <c r="DR153" s="1641"/>
      <c r="DS153" s="1641"/>
      <c r="DT153" s="1641"/>
      <c r="DU153" s="1641"/>
      <c r="DV153" s="1641"/>
      <c r="DW153" s="1641"/>
      <c r="DX153" s="1641"/>
      <c r="DY153" s="1641"/>
      <c r="DZ153" s="1641"/>
      <c r="EA153" s="1641"/>
      <c r="EB153" s="1641"/>
      <c r="EC153" s="1641"/>
      <c r="ED153" s="1641"/>
      <c r="EE153" s="1641"/>
      <c r="EF153" s="1641"/>
      <c r="EG153" s="1641"/>
      <c r="EH153" s="1641"/>
      <c r="EI153" s="1641"/>
      <c r="EJ153" s="1641"/>
      <c r="EK153" s="1641"/>
      <c r="EL153" s="1641"/>
      <c r="EM153" s="1641"/>
      <c r="EN153" s="1641"/>
      <c r="EO153" s="1641"/>
      <c r="EP153" s="1641"/>
      <c r="EQ153" s="1641"/>
      <c r="ER153" s="1641"/>
      <c r="ES153" s="1641"/>
      <c r="ET153" s="1641"/>
      <c r="EU153" s="1641"/>
      <c r="EV153" s="1641"/>
      <c r="EW153" s="1641"/>
      <c r="EX153" s="1641"/>
      <c r="EY153" s="1641"/>
      <c r="EZ153" s="1641"/>
      <c r="FA153" s="1641"/>
      <c r="FB153" s="1641"/>
      <c r="FC153" s="1641"/>
      <c r="FD153" s="1641"/>
      <c r="FE153" s="1641"/>
      <c r="FF153" s="1636">
        <v>15416</v>
      </c>
      <c r="FG153" s="1641"/>
      <c r="FH153" s="1641"/>
      <c r="FI153" s="1636">
        <v>343</v>
      </c>
      <c r="FJ153" s="1641"/>
      <c r="FK153" s="1641"/>
      <c r="FL153" s="1641"/>
      <c r="FM153" s="1641"/>
      <c r="FN153" s="1641"/>
      <c r="FO153" s="1641"/>
      <c r="FP153" s="1641"/>
      <c r="FQ153" s="1641"/>
      <c r="FR153" s="1641"/>
      <c r="FS153" s="1641"/>
      <c r="FT153" s="1641"/>
      <c r="FU153" s="1641"/>
      <c r="FV153" s="1641"/>
      <c r="FW153" s="1641"/>
      <c r="FX153" s="1641"/>
      <c r="FY153" s="1641"/>
      <c r="FZ153" s="1641"/>
      <c r="GA153" s="1641"/>
      <c r="GB153" s="1641"/>
      <c r="GC153" s="1641"/>
      <c r="GD153" s="1641"/>
      <c r="GE153" s="1641"/>
      <c r="GF153" s="1641"/>
      <c r="GG153" s="1641"/>
      <c r="GH153" s="1641"/>
      <c r="GI153" s="1641"/>
      <c r="GJ153" s="1641"/>
      <c r="GK153" s="1641"/>
      <c r="GL153" s="1641"/>
      <c r="GM153" s="1641"/>
      <c r="GN153" s="1641"/>
      <c r="GO153" s="1641"/>
      <c r="GP153" s="1641"/>
      <c r="GQ153" s="1641"/>
      <c r="GR153" s="1641"/>
      <c r="GS153" s="1641"/>
      <c r="GT153" s="1641"/>
      <c r="GU153" s="1641"/>
      <c r="GV153" s="1641"/>
      <c r="GW153" s="1641"/>
      <c r="GX153" s="1641"/>
      <c r="GY153" s="1641"/>
      <c r="GZ153" s="1641"/>
      <c r="HA153" s="1641"/>
      <c r="HB153" s="1641"/>
      <c r="HC153" s="1641"/>
      <c r="HD153" s="1641"/>
      <c r="HE153" s="1641"/>
      <c r="HF153" s="1641"/>
      <c r="HG153" s="1641"/>
      <c r="HH153" s="1641"/>
      <c r="HI153" s="1641"/>
      <c r="HJ153" s="1641">
        <v>63400</v>
      </c>
      <c r="HK153" s="1641">
        <v>11793</v>
      </c>
      <c r="HL153" s="1641">
        <v>11793</v>
      </c>
      <c r="HM153" s="1641">
        <v>11073</v>
      </c>
      <c r="HN153" s="1641"/>
      <c r="HO153" s="1641"/>
      <c r="HP153" s="1641"/>
      <c r="HQ153" s="1641"/>
      <c r="HR153" s="1641"/>
      <c r="HS153" s="1641"/>
      <c r="HT153" s="1641"/>
      <c r="HU153" s="1641"/>
      <c r="HV153" s="1641"/>
      <c r="HW153" s="1641"/>
      <c r="HX153" s="1641"/>
      <c r="HY153" s="1641"/>
      <c r="HZ153" s="1641"/>
      <c r="IA153" s="1641"/>
      <c r="IB153" s="1641"/>
      <c r="IC153" s="1641"/>
      <c r="ID153" s="1641"/>
      <c r="IE153" s="1641"/>
      <c r="IF153" s="1641"/>
      <c r="IG153" s="1641"/>
      <c r="IH153" s="1641"/>
      <c r="II153" s="1641"/>
      <c r="IJ153" s="1641"/>
      <c r="IK153" s="1641"/>
      <c r="IL153" s="1641"/>
      <c r="IM153" s="1641"/>
      <c r="IN153" s="1641"/>
      <c r="IO153" s="1641"/>
      <c r="IP153" s="1410"/>
      <c r="IQ153" s="1410"/>
      <c r="IR153" s="1410"/>
      <c r="IS153" s="1410"/>
      <c r="IT153" s="1410"/>
      <c r="IU153" s="1410"/>
      <c r="IV153" s="1410"/>
      <c r="IW153" s="1410"/>
      <c r="IX153" s="1641"/>
      <c r="IY153" s="1641"/>
      <c r="IZ153" s="1641"/>
      <c r="JA153" s="1641"/>
      <c r="JB153" s="1641"/>
      <c r="JC153" s="1641"/>
      <c r="JD153" s="1641"/>
      <c r="JE153" s="1641"/>
      <c r="JF153" s="1641"/>
      <c r="JG153" s="1641"/>
      <c r="JH153" s="1410"/>
      <c r="JI153" s="1410"/>
      <c r="JJ153" s="1410"/>
      <c r="JK153" s="1410"/>
      <c r="JL153" s="1410"/>
      <c r="JM153" s="1410"/>
      <c r="JN153" s="1410"/>
      <c r="JO153" s="1410"/>
      <c r="JP153" s="1410"/>
      <c r="JQ153" s="1405"/>
      <c r="JR153" s="351"/>
    </row>
    <row r="154" spans="1:278" x14ac:dyDescent="0.25">
      <c r="A154" s="1367">
        <v>154</v>
      </c>
      <c r="B154" s="1411" t="str">
        <f t="shared" si="15"/>
        <v/>
      </c>
      <c r="C154" s="1435" t="s">
        <v>4070</v>
      </c>
      <c r="D154" s="1361" t="s">
        <v>4071</v>
      </c>
      <c r="E154" s="1641"/>
      <c r="F154" s="1641"/>
      <c r="G154" s="1641"/>
      <c r="H154" s="1641"/>
      <c r="I154" s="1641"/>
      <c r="J154" s="1641"/>
      <c r="K154" s="1641"/>
      <c r="L154" s="1641"/>
      <c r="M154" s="1641"/>
      <c r="N154" s="1641"/>
      <c r="O154" s="1641"/>
      <c r="P154" s="1641"/>
      <c r="Q154" s="1641"/>
      <c r="R154" s="1641"/>
      <c r="S154" s="1641"/>
      <c r="T154" s="1641"/>
      <c r="U154" s="1641"/>
      <c r="V154" s="1641"/>
      <c r="W154" s="1641"/>
      <c r="X154" s="1641"/>
      <c r="Y154" s="1641"/>
      <c r="Z154" s="1641"/>
      <c r="AA154" s="1641"/>
      <c r="AB154" s="1641"/>
      <c r="AC154" s="1641"/>
      <c r="AD154" s="1641"/>
      <c r="AE154" s="1641"/>
      <c r="AF154" s="1641"/>
      <c r="AG154" s="1641"/>
      <c r="AH154" s="1641"/>
      <c r="AI154" s="1641"/>
      <c r="AJ154" s="1641"/>
      <c r="AK154" s="1641"/>
      <c r="AL154" s="1641"/>
      <c r="AM154" s="1641"/>
      <c r="AN154" s="1641"/>
      <c r="AO154" s="1641"/>
      <c r="AP154" s="1641"/>
      <c r="AQ154" s="1641"/>
      <c r="AR154" s="1641"/>
      <c r="AS154" s="1641"/>
      <c r="AT154" s="1641"/>
      <c r="AU154" s="1641"/>
      <c r="AV154" s="1641"/>
      <c r="AW154" s="1641"/>
      <c r="AX154" s="1641"/>
      <c r="AY154" s="1641"/>
      <c r="AZ154" s="1641"/>
      <c r="BA154" s="1641"/>
      <c r="BB154" s="1641"/>
      <c r="BC154" s="1641"/>
      <c r="BD154" s="1641"/>
      <c r="BE154" s="1641"/>
      <c r="BF154" s="1641"/>
      <c r="BG154" s="1641"/>
      <c r="BH154" s="1641"/>
      <c r="BI154" s="1641"/>
      <c r="BJ154" s="1641"/>
      <c r="BK154" s="1641"/>
      <c r="BL154" s="1641"/>
      <c r="BM154" s="1641"/>
      <c r="BN154" s="1641"/>
      <c r="BO154" s="1641"/>
      <c r="BP154" s="1641"/>
      <c r="BQ154" s="1641"/>
      <c r="BR154" s="1641"/>
      <c r="BS154" s="1641"/>
      <c r="BT154" s="1641"/>
      <c r="BU154" s="1641"/>
      <c r="BV154" s="1641"/>
      <c r="BW154" s="1641"/>
      <c r="BX154" s="1641"/>
      <c r="BY154" s="1641"/>
      <c r="BZ154" s="1641"/>
      <c r="CA154" s="1641"/>
      <c r="CB154" s="1641"/>
      <c r="CC154" s="1641"/>
      <c r="CD154" s="1641"/>
      <c r="CE154" s="1641"/>
      <c r="CF154" s="1641"/>
      <c r="CG154" s="1641"/>
      <c r="CH154" s="1641"/>
      <c r="CI154" s="1641"/>
      <c r="CJ154" s="1641"/>
      <c r="CK154" s="1641"/>
      <c r="CL154" s="1641"/>
      <c r="CM154" s="1641"/>
      <c r="CN154" s="1641"/>
      <c r="CO154" s="1641"/>
      <c r="CP154" s="1641"/>
      <c r="CQ154" s="1641"/>
      <c r="CR154" s="1641"/>
      <c r="CS154" s="1641"/>
      <c r="CT154" s="1641"/>
      <c r="CU154" s="1641"/>
      <c r="CV154" s="1641"/>
      <c r="CW154" s="1641"/>
      <c r="CX154" s="1641"/>
      <c r="CY154" s="1641"/>
      <c r="CZ154" s="1641"/>
      <c r="DA154" s="1641"/>
      <c r="DB154" s="1641"/>
      <c r="DC154" s="1641"/>
      <c r="DD154" s="1641"/>
      <c r="DE154" s="1641"/>
      <c r="DF154" s="1641"/>
      <c r="DG154" s="1641"/>
      <c r="DH154" s="1641"/>
      <c r="DI154" s="1641"/>
      <c r="DJ154" s="1641"/>
      <c r="DK154" s="1641"/>
      <c r="DL154" s="1641"/>
      <c r="DM154" s="1641"/>
      <c r="DN154" s="1641"/>
      <c r="DO154" s="1641"/>
      <c r="DP154" s="1641"/>
      <c r="DQ154" s="1641"/>
      <c r="DR154" s="1641"/>
      <c r="DS154" s="1641"/>
      <c r="DT154" s="1641"/>
      <c r="DU154" s="1641"/>
      <c r="DV154" s="1641"/>
      <c r="DW154" s="1641"/>
      <c r="DX154" s="1641"/>
      <c r="DY154" s="1641"/>
      <c r="DZ154" s="1641"/>
      <c r="EA154" s="1641"/>
      <c r="EB154" s="1641"/>
      <c r="EC154" s="1641"/>
      <c r="ED154" s="1641"/>
      <c r="EE154" s="1641"/>
      <c r="EF154" s="1641"/>
      <c r="EG154" s="1641"/>
      <c r="EH154" s="1641"/>
      <c r="EI154" s="1641"/>
      <c r="EJ154" s="1641"/>
      <c r="EK154" s="1641"/>
      <c r="EL154" s="1641"/>
      <c r="EM154" s="1641"/>
      <c r="EN154" s="1641"/>
      <c r="EO154" s="1641"/>
      <c r="EP154" s="1641"/>
      <c r="EQ154" s="1641"/>
      <c r="ER154" s="1641"/>
      <c r="ES154" s="1641"/>
      <c r="ET154" s="1641"/>
      <c r="EU154" s="1641"/>
      <c r="EV154" s="1641"/>
      <c r="EW154" s="1641"/>
      <c r="EX154" s="1641"/>
      <c r="EY154" s="1641"/>
      <c r="EZ154" s="1641"/>
      <c r="FA154" s="1641"/>
      <c r="FB154" s="1641"/>
      <c r="FC154" s="1641"/>
      <c r="FD154" s="1641"/>
      <c r="FE154" s="1641"/>
      <c r="FF154" s="1641"/>
      <c r="FG154" s="1641"/>
      <c r="FH154" s="1641"/>
      <c r="FI154" s="1641"/>
      <c r="FJ154" s="1641"/>
      <c r="FK154" s="1641"/>
      <c r="FL154" s="1641"/>
      <c r="FM154" s="1641"/>
      <c r="FN154" s="1641"/>
      <c r="FO154" s="1641"/>
      <c r="FP154" s="1641"/>
      <c r="FQ154" s="1641"/>
      <c r="FR154" s="1641"/>
      <c r="FS154" s="1641"/>
      <c r="FT154" s="1641"/>
      <c r="FU154" s="1641"/>
      <c r="FV154" s="1641"/>
      <c r="FW154" s="1641"/>
      <c r="FX154" s="1641"/>
      <c r="FY154" s="1641"/>
      <c r="FZ154" s="1641"/>
      <c r="GA154" s="1641"/>
      <c r="GB154" s="1641"/>
      <c r="GC154" s="1641"/>
      <c r="GD154" s="1641"/>
      <c r="GE154" s="1641"/>
      <c r="GF154" s="1641"/>
      <c r="GG154" s="1641"/>
      <c r="GH154" s="1641"/>
      <c r="GI154" s="1641"/>
      <c r="GJ154" s="1641"/>
      <c r="GK154" s="1641"/>
      <c r="GL154" s="1641"/>
      <c r="GM154" s="1641"/>
      <c r="GN154" s="1641"/>
      <c r="GO154" s="1641"/>
      <c r="GP154" s="1641"/>
      <c r="GQ154" s="1641"/>
      <c r="GR154" s="1641"/>
      <c r="GS154" s="1641"/>
      <c r="GT154" s="1641"/>
      <c r="GU154" s="1641"/>
      <c r="GV154" s="1641"/>
      <c r="GW154" s="1641"/>
      <c r="GX154" s="1641"/>
      <c r="GY154" s="1641"/>
      <c r="GZ154" s="1641"/>
      <c r="HA154" s="1641"/>
      <c r="HB154" s="1641"/>
      <c r="HC154" s="1641"/>
      <c r="HD154" s="1641"/>
      <c r="HE154" s="1641"/>
      <c r="HF154" s="1641"/>
      <c r="HG154" s="1641"/>
      <c r="HH154" s="1641"/>
      <c r="HI154" s="1641"/>
      <c r="HJ154" s="1641"/>
      <c r="HK154" s="1641"/>
      <c r="HL154" s="1641"/>
      <c r="HM154" s="1641"/>
      <c r="HN154" s="1641"/>
      <c r="HO154" s="1641"/>
      <c r="HP154" s="1641"/>
      <c r="HQ154" s="1641"/>
      <c r="HR154" s="1641"/>
      <c r="HS154" s="1641"/>
      <c r="HT154" s="1641"/>
      <c r="HU154" s="1641"/>
      <c r="HV154" s="1641"/>
      <c r="HW154" s="1641"/>
      <c r="HX154" s="1641"/>
      <c r="HY154" s="1641"/>
      <c r="HZ154" s="1641"/>
      <c r="IA154" s="1641"/>
      <c r="IB154" s="1641"/>
      <c r="IC154" s="1641"/>
      <c r="ID154" s="1641"/>
      <c r="IE154" s="1641"/>
      <c r="IF154" s="1641"/>
      <c r="IG154" s="1641"/>
      <c r="IH154" s="1641"/>
      <c r="II154" s="1641"/>
      <c r="IJ154" s="1641"/>
      <c r="IK154" s="1641"/>
      <c r="IL154" s="1641"/>
      <c r="IM154" s="1641"/>
      <c r="IN154" s="1641"/>
      <c r="IO154" s="1641"/>
      <c r="IP154" s="1410"/>
      <c r="IQ154" s="1410"/>
      <c r="IR154" s="1410"/>
      <c r="IS154" s="1410"/>
      <c r="IT154" s="1410"/>
      <c r="IU154" s="1410"/>
      <c r="IV154" s="1410"/>
      <c r="IW154" s="1410"/>
      <c r="IX154" s="1641"/>
      <c r="IY154" s="1641"/>
      <c r="IZ154" s="1641"/>
      <c r="JA154" s="1641"/>
      <c r="JB154" s="1641"/>
      <c r="JC154" s="1641"/>
      <c r="JD154" s="1641"/>
      <c r="JE154" s="1641"/>
      <c r="JF154" s="1641"/>
      <c r="JG154" s="1641"/>
      <c r="JH154" s="1410"/>
      <c r="JI154" s="1410"/>
      <c r="JJ154" s="1410"/>
      <c r="JK154" s="1410"/>
      <c r="JL154" s="1410"/>
      <c r="JM154" s="1410"/>
      <c r="JN154" s="1410"/>
      <c r="JO154" s="1410"/>
      <c r="JP154" s="1410"/>
      <c r="JQ154" s="1405"/>
      <c r="JR154" s="351"/>
    </row>
    <row r="155" spans="1:278" x14ac:dyDescent="0.25">
      <c r="A155" s="1367">
        <v>155</v>
      </c>
      <c r="B155" s="1411" t="str">
        <f t="shared" si="15"/>
        <v/>
      </c>
      <c r="C155" s="1647" t="s">
        <v>4072</v>
      </c>
      <c r="D155" s="1648" t="s">
        <v>4073</v>
      </c>
      <c r="E155" s="1641"/>
      <c r="F155" s="1641"/>
      <c r="G155" s="1641"/>
      <c r="H155" s="1641"/>
      <c r="I155" s="1641"/>
      <c r="J155" s="1641"/>
      <c r="K155" s="1641"/>
      <c r="L155" s="1641"/>
      <c r="M155" s="1641"/>
      <c r="N155" s="1641"/>
      <c r="O155" s="1641"/>
      <c r="P155" s="1641"/>
      <c r="Q155" s="1641"/>
      <c r="R155" s="1641"/>
      <c r="S155" s="1641"/>
      <c r="T155" s="1641"/>
      <c r="U155" s="1641"/>
      <c r="V155" s="1641"/>
      <c r="W155" s="1641"/>
      <c r="X155" s="1641"/>
      <c r="Y155" s="1641"/>
      <c r="Z155" s="1641"/>
      <c r="AA155" s="1641"/>
      <c r="AB155" s="1641"/>
      <c r="AC155" s="1641"/>
      <c r="AD155" s="1641"/>
      <c r="AE155" s="1641"/>
      <c r="AF155" s="1641"/>
      <c r="AG155" s="1641"/>
      <c r="AH155" s="1641"/>
      <c r="AI155" s="1641"/>
      <c r="AJ155" s="1641"/>
      <c r="AK155" s="1641"/>
      <c r="AL155" s="1641"/>
      <c r="AM155" s="1641"/>
      <c r="AN155" s="1641"/>
      <c r="AO155" s="1641"/>
      <c r="AP155" s="1641"/>
      <c r="AQ155" s="1641"/>
      <c r="AR155" s="1641"/>
      <c r="AS155" s="1641"/>
      <c r="AT155" s="1641"/>
      <c r="AU155" s="1641"/>
      <c r="AV155" s="1641"/>
      <c r="AW155" s="1641"/>
      <c r="AX155" s="1641"/>
      <c r="AY155" s="1641"/>
      <c r="AZ155" s="1641"/>
      <c r="BA155" s="1641"/>
      <c r="BB155" s="1641"/>
      <c r="BC155" s="1641"/>
      <c r="BD155" s="1641"/>
      <c r="BE155" s="1641"/>
      <c r="BF155" s="1641"/>
      <c r="BG155" s="2562">
        <v>72838</v>
      </c>
      <c r="BH155" s="1641"/>
      <c r="BI155" s="1641"/>
      <c r="BJ155" s="1641"/>
      <c r="BK155" s="1641"/>
      <c r="BL155" s="1641"/>
      <c r="BM155" s="1641"/>
      <c r="BN155" s="1641"/>
      <c r="BO155" s="1641"/>
      <c r="BP155" s="1641"/>
      <c r="BQ155" s="1641"/>
      <c r="BR155" s="1641"/>
      <c r="BS155" s="1641"/>
      <c r="BT155" s="1641"/>
      <c r="BU155" s="1641"/>
      <c r="BV155" s="1641"/>
      <c r="BW155" s="1641"/>
      <c r="BX155" s="1641"/>
      <c r="BY155" s="1641"/>
      <c r="BZ155" s="1641"/>
      <c r="CA155" s="1641"/>
      <c r="CB155" s="1641"/>
      <c r="CC155" s="1641"/>
      <c r="CD155" s="1641"/>
      <c r="CE155" s="1641"/>
      <c r="CF155" s="1641"/>
      <c r="CG155" s="1641"/>
      <c r="CH155" s="1641"/>
      <c r="CI155" s="1641"/>
      <c r="CJ155" s="1641"/>
      <c r="CK155" s="1641"/>
      <c r="CL155" s="1641"/>
      <c r="CM155" s="1641"/>
      <c r="CN155" s="1641"/>
      <c r="CO155" s="1641"/>
      <c r="CP155" s="1641"/>
      <c r="CQ155" s="1641"/>
      <c r="CR155" s="1641"/>
      <c r="CS155" s="1641"/>
      <c r="CT155" s="1641"/>
      <c r="CU155" s="1641"/>
      <c r="CV155" s="1641"/>
      <c r="CW155" s="1641"/>
      <c r="CX155" s="1641"/>
      <c r="CY155" s="1641"/>
      <c r="CZ155" s="1641"/>
      <c r="DA155" s="1641"/>
      <c r="DB155" s="1641"/>
      <c r="DC155" s="1641"/>
      <c r="DD155" s="1641"/>
      <c r="DE155" s="1641"/>
      <c r="DF155" s="1641"/>
      <c r="DG155" s="1641"/>
      <c r="DH155" s="1641"/>
      <c r="DI155" s="1641"/>
      <c r="DJ155" s="1641"/>
      <c r="DK155" s="1641"/>
      <c r="DL155" s="1641"/>
      <c r="DM155" s="1641"/>
      <c r="DN155" s="1641"/>
      <c r="DO155" s="1641"/>
      <c r="DP155" s="1641"/>
      <c r="DQ155" s="1641"/>
      <c r="DR155" s="1641"/>
      <c r="DS155" s="1641"/>
      <c r="DT155" s="1641"/>
      <c r="DU155" s="1641"/>
      <c r="DV155" s="1641"/>
      <c r="DW155" s="1641"/>
      <c r="DX155" s="1641"/>
      <c r="DY155" s="1641"/>
      <c r="DZ155" s="1641"/>
      <c r="EA155" s="1641"/>
      <c r="EB155" s="1641"/>
      <c r="EC155" s="1641"/>
      <c r="ED155" s="1641"/>
      <c r="EE155" s="1641"/>
      <c r="EF155" s="1641"/>
      <c r="EG155" s="1641"/>
      <c r="EH155" s="1641"/>
      <c r="EI155" s="1641"/>
      <c r="EJ155" s="1641"/>
      <c r="EK155" s="1641"/>
      <c r="EL155" s="1641"/>
      <c r="EM155" s="1641"/>
      <c r="EN155" s="1641"/>
      <c r="EO155" s="1641"/>
      <c r="EP155" s="1641"/>
      <c r="EQ155" s="1641"/>
      <c r="ER155" s="1641"/>
      <c r="ES155" s="1641"/>
      <c r="ET155" s="1641"/>
      <c r="EU155" s="1641"/>
      <c r="EV155" s="1641"/>
      <c r="EW155" s="1641"/>
      <c r="EX155" s="1641"/>
      <c r="EY155" s="1641"/>
      <c r="EZ155" s="1641"/>
      <c r="FA155" s="1641"/>
      <c r="FB155" s="1641"/>
      <c r="FC155" s="1641"/>
      <c r="FD155" s="1641"/>
      <c r="FE155" s="1641"/>
      <c r="FF155" s="1641"/>
      <c r="FG155" s="1641"/>
      <c r="FH155" s="1641"/>
      <c r="FI155" s="1641"/>
      <c r="FJ155" s="1641"/>
      <c r="FK155" s="1641"/>
      <c r="FL155" s="1641"/>
      <c r="FM155" s="1641"/>
      <c r="FN155" s="1641"/>
      <c r="FO155" s="1641"/>
      <c r="FP155" s="1641"/>
      <c r="FQ155" s="1641"/>
      <c r="FR155" s="1641"/>
      <c r="FS155" s="1641"/>
      <c r="FT155" s="1641"/>
      <c r="FU155" s="1641"/>
      <c r="FV155" s="1641"/>
      <c r="FW155" s="1641"/>
      <c r="FX155" s="1641"/>
      <c r="FY155" s="1641"/>
      <c r="FZ155" s="1641"/>
      <c r="GA155" s="1641"/>
      <c r="GB155" s="1641"/>
      <c r="GC155" s="1641"/>
      <c r="GD155" s="1641"/>
      <c r="GE155" s="1641"/>
      <c r="GF155" s="1641"/>
      <c r="GG155" s="1641"/>
      <c r="GH155" s="1641"/>
      <c r="GI155" s="1641"/>
      <c r="GJ155" s="1641"/>
      <c r="GK155" s="1641"/>
      <c r="GL155" s="1641"/>
      <c r="GM155" s="1641"/>
      <c r="GN155" s="1641"/>
      <c r="GO155" s="1641"/>
      <c r="GP155" s="1641"/>
      <c r="GQ155" s="1641"/>
      <c r="GR155" s="1641"/>
      <c r="GS155" s="1641"/>
      <c r="GT155" s="1641"/>
      <c r="GU155" s="1641"/>
      <c r="GV155" s="1641"/>
      <c r="GW155" s="1641"/>
      <c r="GX155" s="1641"/>
      <c r="GY155" s="1641"/>
      <c r="GZ155" s="1641"/>
      <c r="HA155" s="1641"/>
      <c r="HB155" s="1641"/>
      <c r="HC155" s="1641"/>
      <c r="HD155" s="1641"/>
      <c r="HE155" s="1641"/>
      <c r="HF155" s="1641"/>
      <c r="HG155" s="1641"/>
      <c r="HH155" s="1641"/>
      <c r="HI155" s="1641"/>
      <c r="HJ155" s="1641"/>
      <c r="HK155" s="1641"/>
      <c r="HL155" s="1641"/>
      <c r="HM155" s="1641"/>
      <c r="HN155" s="1641"/>
      <c r="HO155" s="1641"/>
      <c r="HP155" s="1641"/>
      <c r="HQ155" s="1641"/>
      <c r="HR155" s="1641"/>
      <c r="HS155" s="1641"/>
      <c r="HT155" s="1641"/>
      <c r="HU155" s="1641"/>
      <c r="HV155" s="1641"/>
      <c r="HW155" s="1641"/>
      <c r="HX155" s="1641"/>
      <c r="HY155" s="1641"/>
      <c r="HZ155" s="1641"/>
      <c r="IA155" s="1641"/>
      <c r="IB155" s="1641"/>
      <c r="IC155" s="1641"/>
      <c r="ID155" s="1641"/>
      <c r="IE155" s="1641"/>
      <c r="IF155" s="1641"/>
      <c r="IG155" s="1641"/>
      <c r="IH155" s="1641"/>
      <c r="II155" s="1641"/>
      <c r="IJ155" s="1641"/>
      <c r="IK155" s="1641"/>
      <c r="IL155" s="1641"/>
      <c r="IM155" s="1641"/>
      <c r="IN155" s="1641"/>
      <c r="IO155" s="1641"/>
      <c r="IP155" s="1410"/>
      <c r="IQ155" s="1410"/>
      <c r="IR155" s="1410"/>
      <c r="IS155" s="1410"/>
      <c r="IT155" s="1410"/>
      <c r="IU155" s="1410"/>
      <c r="IV155" s="1410"/>
      <c r="IW155" s="1410"/>
      <c r="IX155" s="1641"/>
      <c r="IY155" s="1641"/>
      <c r="IZ155" s="1641"/>
      <c r="JA155" s="1641"/>
      <c r="JB155" s="1641"/>
      <c r="JC155" s="1641"/>
      <c r="JD155" s="1641"/>
      <c r="JE155" s="1641"/>
      <c r="JF155" s="1641"/>
      <c r="JG155" s="1641"/>
      <c r="JH155" s="1410"/>
      <c r="JI155" s="1410"/>
      <c r="JJ155" s="1410"/>
      <c r="JK155" s="1410"/>
      <c r="JL155" s="1410"/>
      <c r="JM155" s="1410"/>
      <c r="JN155" s="1410"/>
      <c r="JO155" s="1410"/>
      <c r="JP155" s="1410"/>
      <c r="JQ155" s="1405"/>
      <c r="JR155" s="351"/>
    </row>
    <row r="156" spans="1:278" x14ac:dyDescent="0.25">
      <c r="A156" s="1367">
        <v>156</v>
      </c>
      <c r="B156" s="1411" t="str">
        <f t="shared" si="15"/>
        <v/>
      </c>
      <c r="C156" s="1647" t="s">
        <v>4074</v>
      </c>
      <c r="D156" s="1648" t="s">
        <v>4075</v>
      </c>
      <c r="E156" s="1641"/>
      <c r="F156" s="1641"/>
      <c r="G156" s="1641"/>
      <c r="H156" s="1641"/>
      <c r="I156" s="1641"/>
      <c r="J156" s="1641"/>
      <c r="K156" s="1641"/>
      <c r="L156" s="1641"/>
      <c r="M156" s="1641"/>
      <c r="N156" s="1641"/>
      <c r="O156" s="1641"/>
      <c r="P156" s="1641"/>
      <c r="Q156" s="1641"/>
      <c r="R156" s="1641"/>
      <c r="S156" s="1641"/>
      <c r="T156" s="1641"/>
      <c r="U156" s="1641"/>
      <c r="V156" s="1641"/>
      <c r="W156" s="1641"/>
      <c r="X156" s="1641"/>
      <c r="Y156" s="1641"/>
      <c r="Z156" s="1641"/>
      <c r="AA156" s="1641"/>
      <c r="AB156" s="1641"/>
      <c r="AC156" s="1641"/>
      <c r="AD156" s="1641"/>
      <c r="AE156" s="1641"/>
      <c r="AF156" s="1641"/>
      <c r="AG156" s="1641"/>
      <c r="AH156" s="1641"/>
      <c r="AI156" s="1641"/>
      <c r="AJ156" s="1641"/>
      <c r="AK156" s="1641"/>
      <c r="AL156" s="1641"/>
      <c r="AM156" s="1641"/>
      <c r="AN156" s="1641"/>
      <c r="AO156" s="1641"/>
      <c r="AP156" s="1641"/>
      <c r="AQ156" s="1641"/>
      <c r="AR156" s="1641"/>
      <c r="AS156" s="1641"/>
      <c r="AT156" s="1641"/>
      <c r="AU156" s="1641"/>
      <c r="AV156" s="1641"/>
      <c r="AW156" s="1641"/>
      <c r="AX156" s="1641"/>
      <c r="AY156" s="1641"/>
      <c r="AZ156" s="1641"/>
      <c r="BA156" s="1641"/>
      <c r="BB156" s="1641"/>
      <c r="BC156" s="1641"/>
      <c r="BD156" s="1641"/>
      <c r="BE156" s="1641"/>
      <c r="BF156" s="1641"/>
      <c r="BG156" s="1641"/>
      <c r="BH156" s="1641"/>
      <c r="BI156" s="1641"/>
      <c r="BJ156" s="1641"/>
      <c r="BK156" s="1641"/>
      <c r="BL156" s="1641"/>
      <c r="BM156" s="1641"/>
      <c r="BN156" s="1641"/>
      <c r="BO156" s="1641"/>
      <c r="BP156" s="1641"/>
      <c r="BQ156" s="1641"/>
      <c r="BR156" s="1641"/>
      <c r="BS156" s="1641"/>
      <c r="BT156" s="1641"/>
      <c r="BU156" s="1641"/>
      <c r="BV156" s="1641"/>
      <c r="BW156" s="1641"/>
      <c r="BX156" s="1641"/>
      <c r="BY156" s="1641"/>
      <c r="BZ156" s="1641"/>
      <c r="CA156" s="1641"/>
      <c r="CB156" s="1641"/>
      <c r="CC156" s="1641"/>
      <c r="CD156" s="1641"/>
      <c r="CE156" s="1641"/>
      <c r="CF156" s="1641"/>
      <c r="CG156" s="1641"/>
      <c r="CH156" s="1641"/>
      <c r="CI156" s="1641"/>
      <c r="CJ156" s="1641"/>
      <c r="CK156" s="1641"/>
      <c r="CL156" s="1641"/>
      <c r="CM156" s="1641"/>
      <c r="CN156" s="1641"/>
      <c r="CO156" s="1641"/>
      <c r="CP156" s="1641"/>
      <c r="CQ156" s="1641"/>
      <c r="CR156" s="1641"/>
      <c r="CS156" s="1641"/>
      <c r="CT156" s="1641"/>
      <c r="CU156" s="1641"/>
      <c r="CV156" s="1641"/>
      <c r="CW156" s="1641"/>
      <c r="CX156" s="1641"/>
      <c r="CY156" s="1641"/>
      <c r="CZ156" s="1641"/>
      <c r="DA156" s="1641"/>
      <c r="DB156" s="1641"/>
      <c r="DC156" s="1641"/>
      <c r="DD156" s="1641"/>
      <c r="DE156" s="1641"/>
      <c r="DF156" s="1641"/>
      <c r="DG156" s="1641"/>
      <c r="DH156" s="1641"/>
      <c r="DI156" s="1641"/>
      <c r="DJ156" s="1641"/>
      <c r="DK156" s="1641"/>
      <c r="DL156" s="1641"/>
      <c r="DM156" s="1641"/>
      <c r="DN156" s="1641"/>
      <c r="DO156" s="1641"/>
      <c r="DP156" s="1641"/>
      <c r="DQ156" s="1641"/>
      <c r="DR156" s="1641"/>
      <c r="DS156" s="1641"/>
      <c r="DT156" s="1641"/>
      <c r="DU156" s="1641"/>
      <c r="DV156" s="1641"/>
      <c r="DW156" s="1641"/>
      <c r="DX156" s="1641"/>
      <c r="DY156" s="1641"/>
      <c r="DZ156" s="1641"/>
      <c r="EA156" s="1641"/>
      <c r="EB156" s="1641"/>
      <c r="EC156" s="1641"/>
      <c r="ED156" s="1641"/>
      <c r="EE156" s="1641"/>
      <c r="EF156" s="1641"/>
      <c r="EG156" s="1641"/>
      <c r="EH156" s="1641"/>
      <c r="EI156" s="1641"/>
      <c r="EJ156" s="1641"/>
      <c r="EK156" s="1641"/>
      <c r="EL156" s="1641"/>
      <c r="EM156" s="1641"/>
      <c r="EN156" s="1641"/>
      <c r="EO156" s="1641"/>
      <c r="EP156" s="1641"/>
      <c r="EQ156" s="1641"/>
      <c r="ER156" s="1641"/>
      <c r="ES156" s="1641"/>
      <c r="ET156" s="1641"/>
      <c r="EU156" s="1641"/>
      <c r="EV156" s="1641"/>
      <c r="EW156" s="1641"/>
      <c r="EX156" s="1641"/>
      <c r="EY156" s="1641"/>
      <c r="EZ156" s="1641"/>
      <c r="FA156" s="1641"/>
      <c r="FB156" s="1641">
        <v>657285</v>
      </c>
      <c r="FC156" s="1641"/>
      <c r="FD156" s="1641"/>
      <c r="FE156" s="1641"/>
      <c r="FF156" s="1641"/>
      <c r="FG156" s="1641"/>
      <c r="FH156" s="1641"/>
      <c r="FI156" s="1641"/>
      <c r="FJ156" s="1641"/>
      <c r="FK156" s="1641"/>
      <c r="FL156" s="1641"/>
      <c r="FM156" s="1641"/>
      <c r="FN156" s="1641"/>
      <c r="FO156" s="1641"/>
      <c r="FP156" s="1641"/>
      <c r="FQ156" s="1641"/>
      <c r="FR156" s="1641"/>
      <c r="FS156" s="1641"/>
      <c r="FT156" s="1641"/>
      <c r="FU156" s="1641"/>
      <c r="FV156" s="1641"/>
      <c r="FW156" s="1641"/>
      <c r="FX156" s="1641"/>
      <c r="FY156" s="1641"/>
      <c r="FZ156" s="1641"/>
      <c r="GA156" s="1641"/>
      <c r="GB156" s="1641"/>
      <c r="GC156" s="1641"/>
      <c r="GD156" s="1641"/>
      <c r="GE156" s="1641"/>
      <c r="GF156" s="1641"/>
      <c r="GG156" s="1641"/>
      <c r="GH156" s="1641"/>
      <c r="GI156" s="1641"/>
      <c r="GJ156" s="1641"/>
      <c r="GK156" s="1641"/>
      <c r="GL156" s="1641"/>
      <c r="GM156" s="1641"/>
      <c r="GN156" s="1641"/>
      <c r="GO156" s="1641"/>
      <c r="GP156" s="1641"/>
      <c r="GQ156" s="1641"/>
      <c r="GR156" s="1641"/>
      <c r="GS156" s="1641"/>
      <c r="GT156" s="1641"/>
      <c r="GU156" s="1641"/>
      <c r="GV156" s="1641"/>
      <c r="GW156" s="1641"/>
      <c r="GX156" s="1641"/>
      <c r="GY156" s="1641"/>
      <c r="GZ156" s="1641"/>
      <c r="HA156" s="1641"/>
      <c r="HB156" s="1641"/>
      <c r="HC156" s="1641"/>
      <c r="HD156" s="1641"/>
      <c r="HE156" s="1641"/>
      <c r="HF156" s="1641"/>
      <c r="HG156" s="1641"/>
      <c r="HH156" s="1641"/>
      <c r="HI156" s="1641"/>
      <c r="HJ156" s="1641"/>
      <c r="HK156" s="1641"/>
      <c r="HL156" s="1641"/>
      <c r="HM156" s="1641"/>
      <c r="HN156" s="1641"/>
      <c r="HO156" s="1641"/>
      <c r="HP156" s="1641"/>
      <c r="HQ156" s="1641"/>
      <c r="HR156" s="1641"/>
      <c r="HS156" s="1641"/>
      <c r="HT156" s="1641"/>
      <c r="HU156" s="1641"/>
      <c r="HV156" s="1641"/>
      <c r="HW156" s="1641"/>
      <c r="HX156" s="1641"/>
      <c r="HY156" s="1641"/>
      <c r="HZ156" s="1641"/>
      <c r="IA156" s="1641"/>
      <c r="IB156" s="1641"/>
      <c r="IC156" s="1641"/>
      <c r="ID156" s="1641"/>
      <c r="IE156" s="1641"/>
      <c r="IF156" s="1641"/>
      <c r="IG156" s="1641"/>
      <c r="IH156" s="1641"/>
      <c r="II156" s="1641"/>
      <c r="IJ156" s="1641"/>
      <c r="IK156" s="1641"/>
      <c r="IL156" s="1641"/>
      <c r="IM156" s="1641"/>
      <c r="IN156" s="1641"/>
      <c r="IO156" s="1641"/>
      <c r="IP156" s="1410"/>
      <c r="IQ156" s="1410"/>
      <c r="IR156" s="1410"/>
      <c r="IS156" s="1410"/>
      <c r="IT156" s="1410"/>
      <c r="IU156" s="1410"/>
      <c r="IV156" s="1410"/>
      <c r="IW156" s="1410"/>
      <c r="IX156" s="1641"/>
      <c r="IY156" s="1641"/>
      <c r="IZ156" s="1641"/>
      <c r="JA156" s="1641"/>
      <c r="JB156" s="1641"/>
      <c r="JC156" s="1641"/>
      <c r="JD156" s="1641"/>
      <c r="JE156" s="1641"/>
      <c r="JF156" s="1641"/>
      <c r="JG156" s="1641"/>
      <c r="JH156" s="1410"/>
      <c r="JI156" s="1410"/>
      <c r="JJ156" s="1410"/>
      <c r="JK156" s="1410"/>
      <c r="JL156" s="1410"/>
      <c r="JM156" s="1410"/>
      <c r="JN156" s="1410"/>
      <c r="JO156" s="1410"/>
      <c r="JP156" s="1410"/>
      <c r="JQ156" s="1405"/>
      <c r="JR156" s="351"/>
    </row>
    <row r="157" spans="1:278" x14ac:dyDescent="0.25">
      <c r="A157" s="1367">
        <v>157</v>
      </c>
      <c r="B157" s="1411" t="str">
        <f t="shared" si="15"/>
        <v/>
      </c>
      <c r="C157" s="1435" t="s">
        <v>4076</v>
      </c>
      <c r="D157" s="1361" t="s">
        <v>4077</v>
      </c>
      <c r="E157" s="1641"/>
      <c r="F157" s="1641"/>
      <c r="G157" s="1641"/>
      <c r="H157" s="1641"/>
      <c r="I157" s="1641"/>
      <c r="J157" s="1641"/>
      <c r="K157" s="1641"/>
      <c r="L157" s="1641"/>
      <c r="M157" s="1641"/>
      <c r="N157" s="1641"/>
      <c r="O157" s="1641"/>
      <c r="P157" s="1641"/>
      <c r="Q157" s="1641"/>
      <c r="R157" s="1641"/>
      <c r="S157" s="1641"/>
      <c r="T157" s="1641"/>
      <c r="U157" s="1641"/>
      <c r="V157" s="1641"/>
      <c r="W157" s="1641"/>
      <c r="X157" s="1641"/>
      <c r="Y157" s="1641"/>
      <c r="Z157" s="1641"/>
      <c r="AA157" s="1641"/>
      <c r="AB157" s="1641"/>
      <c r="AC157" s="1641"/>
      <c r="AD157" s="1641"/>
      <c r="AE157" s="1641"/>
      <c r="AF157" s="1641"/>
      <c r="AG157" s="1641"/>
      <c r="AH157" s="1641"/>
      <c r="AI157" s="1641"/>
      <c r="AJ157" s="1641"/>
      <c r="AK157" s="1641"/>
      <c r="AL157" s="1641"/>
      <c r="AM157" s="1641"/>
      <c r="AN157" s="1641"/>
      <c r="AO157" s="1641"/>
      <c r="AP157" s="1641"/>
      <c r="AQ157" s="1641"/>
      <c r="AR157" s="1641"/>
      <c r="AS157" s="1641"/>
      <c r="AT157" s="1641"/>
      <c r="AU157" s="1641"/>
      <c r="AV157" s="1641"/>
      <c r="AW157" s="1641">
        <v>60345</v>
      </c>
      <c r="AX157" s="1641"/>
      <c r="AY157" s="1641"/>
      <c r="AZ157" s="1641"/>
      <c r="BA157" s="1641"/>
      <c r="BB157" s="1641"/>
      <c r="BC157" s="1641"/>
      <c r="BD157" s="1641"/>
      <c r="BE157" s="1641"/>
      <c r="BF157" s="1641"/>
      <c r="BG157" s="1641"/>
      <c r="BH157" s="1641"/>
      <c r="BI157" s="1641"/>
      <c r="BJ157" s="1641"/>
      <c r="BK157" s="1641"/>
      <c r="BL157" s="1641"/>
      <c r="BM157" s="1641"/>
      <c r="BN157" s="1641"/>
      <c r="BO157" s="1641"/>
      <c r="BP157" s="1641"/>
      <c r="BQ157" s="1641"/>
      <c r="BR157" s="1641"/>
      <c r="BS157" s="1641"/>
      <c r="BT157" s="1641"/>
      <c r="BU157" s="1641"/>
      <c r="BV157" s="1641"/>
      <c r="BW157" s="1641"/>
      <c r="BX157" s="1641"/>
      <c r="BY157" s="1641"/>
      <c r="BZ157" s="1641"/>
      <c r="CA157" s="1641"/>
      <c r="CB157" s="1641"/>
      <c r="CC157" s="1641"/>
      <c r="CD157" s="1641"/>
      <c r="CE157" s="1641"/>
      <c r="CF157" s="1641"/>
      <c r="CG157" s="1641"/>
      <c r="CH157" s="1641"/>
      <c r="CI157" s="1641"/>
      <c r="CJ157" s="1641"/>
      <c r="CK157" s="1641"/>
      <c r="CL157" s="1641"/>
      <c r="CM157" s="1641"/>
      <c r="CN157" s="1641"/>
      <c r="CO157" s="1641"/>
      <c r="CP157" s="1641"/>
      <c r="CQ157" s="1641"/>
      <c r="CR157" s="1641"/>
      <c r="CS157" s="1641"/>
      <c r="CT157" s="1641"/>
      <c r="CU157" s="1641"/>
      <c r="CV157" s="1641"/>
      <c r="CW157" s="1641"/>
      <c r="CX157" s="1641"/>
      <c r="CY157" s="1641"/>
      <c r="CZ157" s="1641"/>
      <c r="DA157" s="1641"/>
      <c r="DB157" s="1641"/>
      <c r="DC157" s="1641"/>
      <c r="DD157" s="1641"/>
      <c r="DE157" s="1641"/>
      <c r="DF157" s="1641"/>
      <c r="DG157" s="1641"/>
      <c r="DH157" s="1641"/>
      <c r="DI157" s="1641"/>
      <c r="DJ157" s="1641"/>
      <c r="DK157" s="1641"/>
      <c r="DL157" s="1641"/>
      <c r="DM157" s="1641"/>
      <c r="DN157" s="1641"/>
      <c r="DO157" s="1641"/>
      <c r="DP157" s="1641"/>
      <c r="DQ157" s="1641"/>
      <c r="DR157" s="1641"/>
      <c r="DS157" s="1641"/>
      <c r="DT157" s="1641"/>
      <c r="DU157" s="1641"/>
      <c r="DV157" s="1641"/>
      <c r="DW157" s="1641"/>
      <c r="DX157" s="1641"/>
      <c r="DY157" s="1641"/>
      <c r="DZ157" s="1641"/>
      <c r="EA157" s="1641"/>
      <c r="EB157" s="1641"/>
      <c r="EC157" s="1641"/>
      <c r="ED157" s="1641"/>
      <c r="EE157" s="1641"/>
      <c r="EF157" s="1641"/>
      <c r="EG157" s="1641"/>
      <c r="EH157" s="1641"/>
      <c r="EI157" s="1641"/>
      <c r="EJ157" s="1641"/>
      <c r="EK157" s="1641"/>
      <c r="EL157" s="1641"/>
      <c r="EM157" s="1641"/>
      <c r="EN157" s="1641"/>
      <c r="EO157" s="1641"/>
      <c r="EP157" s="1641"/>
      <c r="EQ157" s="1641"/>
      <c r="ER157" s="1641"/>
      <c r="ES157" s="1641"/>
      <c r="ET157" s="1641"/>
      <c r="EU157" s="1641"/>
      <c r="EV157" s="1641"/>
      <c r="EW157" s="1641"/>
      <c r="EX157" s="1641"/>
      <c r="EY157" s="1641"/>
      <c r="EZ157" s="1641"/>
      <c r="FA157" s="1641"/>
      <c r="FB157" s="1641"/>
      <c r="FC157" s="1641"/>
      <c r="FD157" s="1641"/>
      <c r="FE157" s="1641"/>
      <c r="FF157" s="1641"/>
      <c r="FG157" s="1641"/>
      <c r="FH157" s="1641"/>
      <c r="FI157" s="1641"/>
      <c r="FJ157" s="1641"/>
      <c r="FK157" s="1641"/>
      <c r="FL157" s="1641"/>
      <c r="FM157" s="1641"/>
      <c r="FN157" s="1641"/>
      <c r="FO157" s="1641"/>
      <c r="FP157" s="1641"/>
      <c r="FQ157" s="1641"/>
      <c r="FR157" s="1641"/>
      <c r="FS157" s="1641"/>
      <c r="FT157" s="1641"/>
      <c r="FU157" s="1641"/>
      <c r="FV157" s="1641"/>
      <c r="FW157" s="1641"/>
      <c r="FX157" s="1641"/>
      <c r="FY157" s="1641"/>
      <c r="FZ157" s="1641"/>
      <c r="GA157" s="1641"/>
      <c r="GB157" s="1641"/>
      <c r="GC157" s="1641"/>
      <c r="GD157" s="1641"/>
      <c r="GE157" s="1641"/>
      <c r="GF157" s="1641"/>
      <c r="GG157" s="1641"/>
      <c r="GH157" s="1641"/>
      <c r="GI157" s="1641"/>
      <c r="GJ157" s="1641"/>
      <c r="GK157" s="1641"/>
      <c r="GL157" s="1641"/>
      <c r="GM157" s="1641"/>
      <c r="GN157" s="1641"/>
      <c r="GO157" s="1641"/>
      <c r="GP157" s="1641"/>
      <c r="GQ157" s="1641"/>
      <c r="GR157" s="1641"/>
      <c r="GS157" s="1641"/>
      <c r="GT157" s="1641"/>
      <c r="GU157" s="1641"/>
      <c r="GV157" s="1641"/>
      <c r="GW157" s="1641"/>
      <c r="GX157" s="1641"/>
      <c r="GY157" s="1641"/>
      <c r="GZ157" s="1641"/>
      <c r="HA157" s="1641"/>
      <c r="HB157" s="1641"/>
      <c r="HC157" s="1641"/>
      <c r="HD157" s="1641"/>
      <c r="HE157" s="1641"/>
      <c r="HF157" s="1641"/>
      <c r="HG157" s="1641"/>
      <c r="HH157" s="1641"/>
      <c r="HI157" s="1641"/>
      <c r="HJ157" s="1641"/>
      <c r="HK157" s="1641"/>
      <c r="HL157" s="1641"/>
      <c r="HM157" s="1641"/>
      <c r="HN157" s="1641"/>
      <c r="HO157" s="1641"/>
      <c r="HP157" s="1641"/>
      <c r="HQ157" s="1641"/>
      <c r="HR157" s="1641"/>
      <c r="HS157" s="1641"/>
      <c r="HT157" s="1641"/>
      <c r="HU157" s="1641"/>
      <c r="HV157" s="1641"/>
      <c r="HW157" s="1641"/>
      <c r="HX157" s="1641"/>
      <c r="HY157" s="1641"/>
      <c r="HZ157" s="1641"/>
      <c r="IA157" s="1641"/>
      <c r="IB157" s="1641"/>
      <c r="IC157" s="1641"/>
      <c r="ID157" s="1641"/>
      <c r="IE157" s="1641"/>
      <c r="IF157" s="1641"/>
      <c r="IG157" s="1641"/>
      <c r="IH157" s="1641"/>
      <c r="II157" s="1641"/>
      <c r="IJ157" s="1641"/>
      <c r="IK157" s="1641"/>
      <c r="IL157" s="1641"/>
      <c r="IM157" s="1641"/>
      <c r="IN157" s="1641"/>
      <c r="IO157" s="1641"/>
      <c r="IP157" s="1410"/>
      <c r="IQ157" s="1410"/>
      <c r="IR157" s="1410"/>
      <c r="IS157" s="1410"/>
      <c r="IT157" s="1410"/>
      <c r="IU157" s="1410"/>
      <c r="IV157" s="1410"/>
      <c r="IW157" s="1410"/>
      <c r="IX157" s="1641"/>
      <c r="IY157" s="1641"/>
      <c r="IZ157" s="1641"/>
      <c r="JA157" s="1641"/>
      <c r="JB157" s="1641"/>
      <c r="JC157" s="1641"/>
      <c r="JD157" s="1641"/>
      <c r="JE157" s="1641"/>
      <c r="JF157" s="1641"/>
      <c r="JG157" s="1641"/>
      <c r="JH157" s="1410"/>
      <c r="JI157" s="1410"/>
      <c r="JJ157" s="1410"/>
      <c r="JK157" s="1410"/>
      <c r="JL157" s="1410"/>
      <c r="JM157" s="1410"/>
      <c r="JN157" s="1410"/>
      <c r="JO157" s="1410"/>
      <c r="JP157" s="1410"/>
      <c r="JQ157" s="1405"/>
      <c r="JR157" s="351"/>
    </row>
    <row r="158" spans="1:278" x14ac:dyDescent="0.25">
      <c r="A158" s="1367">
        <v>158</v>
      </c>
      <c r="B158" s="1411" t="str">
        <f t="shared" si="15"/>
        <v/>
      </c>
      <c r="C158" s="1435" t="s">
        <v>4078</v>
      </c>
      <c r="D158" s="1361" t="s">
        <v>4079</v>
      </c>
      <c r="E158" s="1641"/>
      <c r="F158" s="1641"/>
      <c r="G158" s="1641"/>
      <c r="H158" s="1641"/>
      <c r="I158" s="1641"/>
      <c r="J158" s="1641"/>
      <c r="K158" s="1641"/>
      <c r="L158" s="1641"/>
      <c r="M158" s="1641"/>
      <c r="N158" s="1641"/>
      <c r="O158" s="1641"/>
      <c r="P158" s="1641"/>
      <c r="Q158" s="1641"/>
      <c r="R158" s="1641"/>
      <c r="S158" s="1641"/>
      <c r="T158" s="1641"/>
      <c r="U158" s="1641"/>
      <c r="V158" s="1641"/>
      <c r="W158" s="1641"/>
      <c r="X158" s="1641"/>
      <c r="Y158" s="1641"/>
      <c r="Z158" s="1641"/>
      <c r="AA158" s="1641"/>
      <c r="AB158" s="1641"/>
      <c r="AC158" s="1641"/>
      <c r="AD158" s="1641"/>
      <c r="AE158" s="1641"/>
      <c r="AF158" s="1641"/>
      <c r="AG158" s="1641"/>
      <c r="AH158" s="1641"/>
      <c r="AI158" s="1641"/>
      <c r="AJ158" s="1641"/>
      <c r="AK158" s="1641"/>
      <c r="AL158" s="1641"/>
      <c r="AM158" s="1641"/>
      <c r="AN158" s="1641"/>
      <c r="AO158" s="1641"/>
      <c r="AP158" s="1641"/>
      <c r="AQ158" s="1641"/>
      <c r="AR158" s="1641"/>
      <c r="AS158" s="1641"/>
      <c r="AT158" s="1641"/>
      <c r="AU158" s="1641"/>
      <c r="AV158" s="1641"/>
      <c r="AW158" s="1641">
        <v>17</v>
      </c>
      <c r="AX158" s="1641"/>
      <c r="AY158" s="1641"/>
      <c r="AZ158" s="1641"/>
      <c r="BA158" s="1641"/>
      <c r="BB158" s="1641"/>
      <c r="BC158" s="1641"/>
      <c r="BD158" s="1641"/>
      <c r="BE158" s="1641"/>
      <c r="BF158" s="1641"/>
      <c r="BG158" s="1641"/>
      <c r="BH158" s="1641"/>
      <c r="BI158" s="1641"/>
      <c r="BJ158" s="1641"/>
      <c r="BK158" s="1641"/>
      <c r="BL158" s="1641"/>
      <c r="BM158" s="1641"/>
      <c r="BN158" s="1641"/>
      <c r="BO158" s="1641"/>
      <c r="BP158" s="1641"/>
      <c r="BQ158" s="1641"/>
      <c r="BR158" s="1641"/>
      <c r="BS158" s="1641"/>
      <c r="BT158" s="1641"/>
      <c r="BU158" s="1641"/>
      <c r="BV158" s="1641"/>
      <c r="BW158" s="1641"/>
      <c r="BX158" s="1641"/>
      <c r="BY158" s="1641"/>
      <c r="BZ158" s="1641"/>
      <c r="CA158" s="1641"/>
      <c r="CB158" s="1641"/>
      <c r="CC158" s="1641"/>
      <c r="CD158" s="1641"/>
      <c r="CE158" s="1641"/>
      <c r="CF158" s="1641"/>
      <c r="CG158" s="1641"/>
      <c r="CH158" s="1641"/>
      <c r="CI158" s="1641"/>
      <c r="CJ158" s="1641"/>
      <c r="CK158" s="1641"/>
      <c r="CL158" s="1641"/>
      <c r="CM158" s="1641"/>
      <c r="CN158" s="1641"/>
      <c r="CO158" s="1641"/>
      <c r="CP158" s="1641"/>
      <c r="CQ158" s="1641"/>
      <c r="CR158" s="1641"/>
      <c r="CS158" s="1641"/>
      <c r="CT158" s="1641"/>
      <c r="CU158" s="1641"/>
      <c r="CV158" s="1641"/>
      <c r="CW158" s="1641"/>
      <c r="CX158" s="1641"/>
      <c r="CY158" s="1641"/>
      <c r="CZ158" s="1641"/>
      <c r="DA158" s="1641"/>
      <c r="DB158" s="1641"/>
      <c r="DC158" s="1641"/>
      <c r="DD158" s="1641"/>
      <c r="DE158" s="1641"/>
      <c r="DF158" s="1641"/>
      <c r="DG158" s="1641"/>
      <c r="DH158" s="1641"/>
      <c r="DI158" s="1641"/>
      <c r="DJ158" s="1641"/>
      <c r="DK158" s="1641"/>
      <c r="DL158" s="1641"/>
      <c r="DM158" s="1641"/>
      <c r="DN158" s="1641"/>
      <c r="DO158" s="1641"/>
      <c r="DP158" s="1641"/>
      <c r="DQ158" s="1641"/>
      <c r="DR158" s="1641"/>
      <c r="DS158" s="1641"/>
      <c r="DT158" s="1641"/>
      <c r="DU158" s="1641"/>
      <c r="DV158" s="1641"/>
      <c r="DW158" s="1641"/>
      <c r="DX158" s="1641"/>
      <c r="DY158" s="1641"/>
      <c r="DZ158" s="1641"/>
      <c r="EA158" s="1641"/>
      <c r="EB158" s="1641"/>
      <c r="EC158" s="1641"/>
      <c r="ED158" s="1641"/>
      <c r="EE158" s="1641"/>
      <c r="EF158" s="1641"/>
      <c r="EG158" s="1641"/>
      <c r="EH158" s="1641"/>
      <c r="EI158" s="1641"/>
      <c r="EJ158" s="1641"/>
      <c r="EK158" s="1641"/>
      <c r="EL158" s="1641"/>
      <c r="EM158" s="1641"/>
      <c r="EN158" s="1641"/>
      <c r="EO158" s="1641"/>
      <c r="EP158" s="1641"/>
      <c r="EQ158" s="1641"/>
      <c r="ER158" s="1641"/>
      <c r="ES158" s="1641"/>
      <c r="ET158" s="1641"/>
      <c r="EU158" s="1641"/>
      <c r="EV158" s="1641"/>
      <c r="EW158" s="1641"/>
      <c r="EX158" s="1641"/>
      <c r="EY158" s="1641"/>
      <c r="EZ158" s="1641"/>
      <c r="FA158" s="1641"/>
      <c r="FB158" s="1641"/>
      <c r="FC158" s="1641"/>
      <c r="FD158" s="1641"/>
      <c r="FE158" s="1641"/>
      <c r="FF158" s="1641"/>
      <c r="FG158" s="1641"/>
      <c r="FH158" s="1641"/>
      <c r="FI158" s="1641"/>
      <c r="FJ158" s="1641"/>
      <c r="FK158" s="1641"/>
      <c r="FL158" s="1641"/>
      <c r="FM158" s="1641"/>
      <c r="FN158" s="1641"/>
      <c r="FO158" s="1641"/>
      <c r="FP158" s="1641"/>
      <c r="FQ158" s="1641"/>
      <c r="FR158" s="1641"/>
      <c r="FS158" s="1641"/>
      <c r="FT158" s="1641"/>
      <c r="FU158" s="1641"/>
      <c r="FV158" s="1641"/>
      <c r="FW158" s="1641"/>
      <c r="FX158" s="1641"/>
      <c r="FY158" s="1641"/>
      <c r="FZ158" s="1641"/>
      <c r="GA158" s="1641"/>
      <c r="GB158" s="1641"/>
      <c r="GC158" s="1641"/>
      <c r="GD158" s="1641"/>
      <c r="GE158" s="1641"/>
      <c r="GF158" s="1641"/>
      <c r="GG158" s="1641"/>
      <c r="GH158" s="1641"/>
      <c r="GI158" s="1641"/>
      <c r="GJ158" s="1641"/>
      <c r="GK158" s="1641"/>
      <c r="GL158" s="1641"/>
      <c r="GM158" s="1641"/>
      <c r="GN158" s="1641"/>
      <c r="GO158" s="1641"/>
      <c r="GP158" s="1641"/>
      <c r="GQ158" s="1641"/>
      <c r="GR158" s="1641"/>
      <c r="GS158" s="1641"/>
      <c r="GT158" s="1641"/>
      <c r="GU158" s="1641"/>
      <c r="GV158" s="1641"/>
      <c r="GW158" s="1641"/>
      <c r="GX158" s="1641"/>
      <c r="GY158" s="1641"/>
      <c r="GZ158" s="1641"/>
      <c r="HA158" s="1641"/>
      <c r="HB158" s="1641"/>
      <c r="HC158" s="1641"/>
      <c r="HD158" s="1641"/>
      <c r="HE158" s="1641"/>
      <c r="HF158" s="1641"/>
      <c r="HG158" s="1641"/>
      <c r="HH158" s="1641"/>
      <c r="HI158" s="1641"/>
      <c r="HJ158" s="1641"/>
      <c r="HK158" s="1641"/>
      <c r="HL158" s="1641"/>
      <c r="HM158" s="1641"/>
      <c r="HN158" s="1641"/>
      <c r="HO158" s="1641"/>
      <c r="HP158" s="1641"/>
      <c r="HQ158" s="1641"/>
      <c r="HR158" s="1641"/>
      <c r="HS158" s="1641"/>
      <c r="HT158" s="1641"/>
      <c r="HU158" s="1641"/>
      <c r="HV158" s="1641"/>
      <c r="HW158" s="1641"/>
      <c r="HX158" s="1641"/>
      <c r="HY158" s="1641"/>
      <c r="HZ158" s="1641"/>
      <c r="IA158" s="1641"/>
      <c r="IB158" s="1641"/>
      <c r="IC158" s="1641"/>
      <c r="ID158" s="1641"/>
      <c r="IE158" s="1641"/>
      <c r="IF158" s="1641"/>
      <c r="IG158" s="1641"/>
      <c r="IH158" s="1641"/>
      <c r="II158" s="1641"/>
      <c r="IJ158" s="1641"/>
      <c r="IK158" s="1641"/>
      <c r="IL158" s="1641"/>
      <c r="IM158" s="1641"/>
      <c r="IN158" s="1641"/>
      <c r="IO158" s="1641"/>
      <c r="IP158" s="1410"/>
      <c r="IQ158" s="1410"/>
      <c r="IR158" s="1410"/>
      <c r="IS158" s="1410"/>
      <c r="IT158" s="1410"/>
      <c r="IU158" s="1410"/>
      <c r="IV158" s="1410"/>
      <c r="IW158" s="1410"/>
      <c r="IX158" s="1641"/>
      <c r="IY158" s="1641"/>
      <c r="IZ158" s="1641"/>
      <c r="JA158" s="1641"/>
      <c r="JB158" s="1641"/>
      <c r="JC158" s="1641"/>
      <c r="JD158" s="1641"/>
      <c r="JE158" s="1641"/>
      <c r="JF158" s="1641"/>
      <c r="JG158" s="1641"/>
      <c r="JH158" s="1410"/>
      <c r="JI158" s="1410"/>
      <c r="JJ158" s="1410"/>
      <c r="JK158" s="1410"/>
      <c r="JL158" s="1410"/>
      <c r="JM158" s="1410"/>
      <c r="JN158" s="1410"/>
      <c r="JO158" s="1410"/>
      <c r="JP158" s="1410"/>
      <c r="JQ158" s="1405"/>
      <c r="JR158" s="351"/>
    </row>
    <row r="159" spans="1:278" x14ac:dyDescent="0.25">
      <c r="A159" s="1367">
        <v>159</v>
      </c>
      <c r="B159" s="1411" t="str">
        <f t="shared" si="15"/>
        <v/>
      </c>
      <c r="C159" s="1435" t="s">
        <v>4080</v>
      </c>
      <c r="D159" s="1361" t="s">
        <v>4081</v>
      </c>
      <c r="E159" s="1641"/>
      <c r="F159" s="1641"/>
      <c r="G159" s="1641"/>
      <c r="H159" s="1641"/>
      <c r="I159" s="1641"/>
      <c r="J159" s="1641"/>
      <c r="K159" s="1641"/>
      <c r="L159" s="1641"/>
      <c r="M159" s="1641"/>
      <c r="N159" s="1641"/>
      <c r="O159" s="1641"/>
      <c r="P159" s="1641"/>
      <c r="Q159" s="1641"/>
      <c r="R159" s="1641"/>
      <c r="S159" s="1641"/>
      <c r="T159" s="1641"/>
      <c r="U159" s="1641"/>
      <c r="V159" s="1641"/>
      <c r="W159" s="1641"/>
      <c r="X159" s="1641"/>
      <c r="Y159" s="1641"/>
      <c r="Z159" s="1641"/>
      <c r="AA159" s="1641"/>
      <c r="AB159" s="1641"/>
      <c r="AC159" s="1641"/>
      <c r="AD159" s="1641"/>
      <c r="AE159" s="1641"/>
      <c r="AF159" s="1641"/>
      <c r="AG159" s="1641"/>
      <c r="AH159" s="1641"/>
      <c r="AI159" s="1641"/>
      <c r="AJ159" s="1641"/>
      <c r="AK159" s="1641"/>
      <c r="AL159" s="1641"/>
      <c r="AM159" s="1641"/>
      <c r="AN159" s="1641"/>
      <c r="AO159" s="1641"/>
      <c r="AP159" s="1641"/>
      <c r="AQ159" s="1641"/>
      <c r="AR159" s="1641"/>
      <c r="AS159" s="1641"/>
      <c r="AT159" s="1641"/>
      <c r="AU159" s="1641"/>
      <c r="AV159" s="1641"/>
      <c r="AW159" s="1641">
        <v>12069</v>
      </c>
      <c r="AX159" s="1641"/>
      <c r="AY159" s="1641"/>
      <c r="AZ159" s="1641"/>
      <c r="BA159" s="1641"/>
      <c r="BB159" s="1641"/>
      <c r="BC159" s="1641"/>
      <c r="BD159" s="1641"/>
      <c r="BE159" s="1641"/>
      <c r="BF159" s="1641"/>
      <c r="BG159" s="1641"/>
      <c r="BH159" s="1641"/>
      <c r="BI159" s="1641"/>
      <c r="BJ159" s="1641"/>
      <c r="BK159" s="1641"/>
      <c r="BL159" s="1641"/>
      <c r="BM159" s="1641"/>
      <c r="BN159" s="1641"/>
      <c r="BO159" s="1641"/>
      <c r="BP159" s="1641"/>
      <c r="BQ159" s="1641"/>
      <c r="BR159" s="1641"/>
      <c r="BS159" s="1641"/>
      <c r="BT159" s="1641"/>
      <c r="BU159" s="1641"/>
      <c r="BV159" s="1641"/>
      <c r="BW159" s="1641"/>
      <c r="BX159" s="1641"/>
      <c r="BY159" s="1641"/>
      <c r="BZ159" s="1641"/>
      <c r="CA159" s="1641"/>
      <c r="CB159" s="1641"/>
      <c r="CC159" s="1641"/>
      <c r="CD159" s="1641"/>
      <c r="CE159" s="1641"/>
      <c r="CF159" s="1641"/>
      <c r="CG159" s="1641"/>
      <c r="CH159" s="1641"/>
      <c r="CI159" s="1641"/>
      <c r="CJ159" s="1641"/>
      <c r="CK159" s="1641"/>
      <c r="CL159" s="1641"/>
      <c r="CM159" s="1641"/>
      <c r="CN159" s="1641"/>
      <c r="CO159" s="1641"/>
      <c r="CP159" s="1641"/>
      <c r="CQ159" s="1641"/>
      <c r="CR159" s="1641"/>
      <c r="CS159" s="1641"/>
      <c r="CT159" s="1641"/>
      <c r="CU159" s="1641"/>
      <c r="CV159" s="1641"/>
      <c r="CW159" s="1641"/>
      <c r="CX159" s="1641"/>
      <c r="CY159" s="1641"/>
      <c r="CZ159" s="1641"/>
      <c r="DA159" s="1641"/>
      <c r="DB159" s="1641"/>
      <c r="DC159" s="1641"/>
      <c r="DD159" s="1641"/>
      <c r="DE159" s="1641"/>
      <c r="DF159" s="1641"/>
      <c r="DG159" s="1641"/>
      <c r="DH159" s="1641"/>
      <c r="DI159" s="1641"/>
      <c r="DJ159" s="1641"/>
      <c r="DK159" s="1641"/>
      <c r="DL159" s="1641"/>
      <c r="DM159" s="1641"/>
      <c r="DN159" s="1641"/>
      <c r="DO159" s="1641"/>
      <c r="DP159" s="1641"/>
      <c r="DQ159" s="1641"/>
      <c r="DR159" s="1641"/>
      <c r="DS159" s="1641"/>
      <c r="DT159" s="1641"/>
      <c r="DU159" s="1641"/>
      <c r="DV159" s="1641"/>
      <c r="DW159" s="1641"/>
      <c r="DX159" s="1641"/>
      <c r="DY159" s="1641"/>
      <c r="DZ159" s="1641"/>
      <c r="EA159" s="1641"/>
      <c r="EB159" s="1641"/>
      <c r="EC159" s="1641"/>
      <c r="ED159" s="1641"/>
      <c r="EE159" s="1641"/>
      <c r="EF159" s="1641"/>
      <c r="EG159" s="1641"/>
      <c r="EH159" s="1641"/>
      <c r="EI159" s="1641"/>
      <c r="EJ159" s="1641"/>
      <c r="EK159" s="1641"/>
      <c r="EL159" s="1641"/>
      <c r="EM159" s="1641"/>
      <c r="EN159" s="1641"/>
      <c r="EO159" s="1641"/>
      <c r="EP159" s="1641"/>
      <c r="EQ159" s="1641"/>
      <c r="ER159" s="1641"/>
      <c r="ES159" s="1641"/>
      <c r="ET159" s="1641"/>
      <c r="EU159" s="1641"/>
      <c r="EV159" s="1641"/>
      <c r="EW159" s="1641"/>
      <c r="EX159" s="1641"/>
      <c r="EY159" s="1641"/>
      <c r="EZ159" s="1641"/>
      <c r="FA159" s="1641"/>
      <c r="FB159" s="1641"/>
      <c r="FC159" s="1641"/>
      <c r="FD159" s="1641"/>
      <c r="FE159" s="1641"/>
      <c r="FF159" s="1641"/>
      <c r="FG159" s="1641"/>
      <c r="FH159" s="1641"/>
      <c r="FI159" s="1641"/>
      <c r="FJ159" s="1641"/>
      <c r="FK159" s="1641"/>
      <c r="FL159" s="1641"/>
      <c r="FM159" s="1641"/>
      <c r="FN159" s="1641"/>
      <c r="FO159" s="1641"/>
      <c r="FP159" s="1641"/>
      <c r="FQ159" s="1641"/>
      <c r="FR159" s="1641"/>
      <c r="FS159" s="1641"/>
      <c r="FT159" s="1641"/>
      <c r="FU159" s="1641"/>
      <c r="FV159" s="1641"/>
      <c r="FW159" s="1641"/>
      <c r="FX159" s="1641"/>
      <c r="FY159" s="1641"/>
      <c r="FZ159" s="1641"/>
      <c r="GA159" s="1641"/>
      <c r="GB159" s="1641"/>
      <c r="GC159" s="1641"/>
      <c r="GD159" s="1641"/>
      <c r="GE159" s="1641"/>
      <c r="GF159" s="1641"/>
      <c r="GG159" s="1641"/>
      <c r="GH159" s="1641"/>
      <c r="GI159" s="1641"/>
      <c r="GJ159" s="1641"/>
      <c r="GK159" s="1641"/>
      <c r="GL159" s="1641"/>
      <c r="GM159" s="1641"/>
      <c r="GN159" s="1641"/>
      <c r="GO159" s="1641"/>
      <c r="GP159" s="1641"/>
      <c r="GQ159" s="1641"/>
      <c r="GR159" s="1641"/>
      <c r="GS159" s="1641"/>
      <c r="GT159" s="1641"/>
      <c r="GU159" s="1641"/>
      <c r="GV159" s="1641"/>
      <c r="GW159" s="1641"/>
      <c r="GX159" s="1641"/>
      <c r="GY159" s="1641"/>
      <c r="GZ159" s="1641"/>
      <c r="HA159" s="1641"/>
      <c r="HB159" s="1641"/>
      <c r="HC159" s="1641"/>
      <c r="HD159" s="1641"/>
      <c r="HE159" s="1641"/>
      <c r="HF159" s="1641"/>
      <c r="HG159" s="1641"/>
      <c r="HH159" s="1641"/>
      <c r="HI159" s="1641"/>
      <c r="HJ159" s="1641"/>
      <c r="HK159" s="1641"/>
      <c r="HL159" s="1641"/>
      <c r="HM159" s="1641"/>
      <c r="HN159" s="1641"/>
      <c r="HO159" s="1641"/>
      <c r="HP159" s="1641"/>
      <c r="HQ159" s="1641"/>
      <c r="HR159" s="1641"/>
      <c r="HS159" s="1641"/>
      <c r="HT159" s="1641"/>
      <c r="HU159" s="1641"/>
      <c r="HV159" s="1641"/>
      <c r="HW159" s="1641"/>
      <c r="HX159" s="1641"/>
      <c r="HY159" s="1641"/>
      <c r="HZ159" s="1641"/>
      <c r="IA159" s="1641"/>
      <c r="IB159" s="1641"/>
      <c r="IC159" s="1641"/>
      <c r="ID159" s="1641"/>
      <c r="IE159" s="1641"/>
      <c r="IF159" s="1641"/>
      <c r="IG159" s="1641"/>
      <c r="IH159" s="1641"/>
      <c r="II159" s="1641"/>
      <c r="IJ159" s="1641"/>
      <c r="IK159" s="1641"/>
      <c r="IL159" s="1641"/>
      <c r="IM159" s="1641"/>
      <c r="IN159" s="1641"/>
      <c r="IO159" s="1641"/>
      <c r="IP159" s="1410"/>
      <c r="IQ159" s="1410"/>
      <c r="IR159" s="1410"/>
      <c r="IS159" s="1410"/>
      <c r="IT159" s="1410"/>
      <c r="IU159" s="1410"/>
      <c r="IV159" s="1410"/>
      <c r="IW159" s="1410"/>
      <c r="IX159" s="1641"/>
      <c r="IY159" s="1641"/>
      <c r="IZ159" s="1641"/>
      <c r="JA159" s="1641"/>
      <c r="JB159" s="1641"/>
      <c r="JC159" s="1641"/>
      <c r="JD159" s="1641"/>
      <c r="JE159" s="1641"/>
      <c r="JF159" s="1641"/>
      <c r="JG159" s="1641"/>
      <c r="JH159" s="1410"/>
      <c r="JI159" s="1410"/>
      <c r="JJ159" s="1410"/>
      <c r="JK159" s="1410"/>
      <c r="JL159" s="1410"/>
      <c r="JM159" s="1410"/>
      <c r="JN159" s="1410"/>
      <c r="JO159" s="1410"/>
      <c r="JP159" s="1410"/>
      <c r="JQ159" s="1405"/>
      <c r="JR159" s="351"/>
    </row>
    <row r="160" spans="1:278" x14ac:dyDescent="0.25">
      <c r="A160" s="1367">
        <v>160</v>
      </c>
      <c r="B160" s="1411" t="str">
        <f t="shared" ref="B160:B191" si="17">IF(FOR_IND&gt;1,IF(HLOOKUP(FOR_IND-1,FOR_RANGE,A160)="","",HLOOKUP(FOR_IND-1,FOR_RANGE,A160)),"")</f>
        <v/>
      </c>
      <c r="C160" s="1435" t="s">
        <v>4082</v>
      </c>
      <c r="D160" s="1361" t="s">
        <v>4083</v>
      </c>
      <c r="E160" s="1641"/>
      <c r="F160" s="1641"/>
      <c r="G160" s="1641"/>
      <c r="H160" s="1641"/>
      <c r="I160" s="1641"/>
      <c r="J160" s="1641"/>
      <c r="K160" s="1641"/>
      <c r="L160" s="1641"/>
      <c r="M160" s="1641"/>
      <c r="N160" s="1641"/>
      <c r="O160" s="1641"/>
      <c r="P160" s="1641"/>
      <c r="Q160" s="1641"/>
      <c r="R160" s="1641"/>
      <c r="S160" s="1641"/>
      <c r="T160" s="1641"/>
      <c r="U160" s="1641"/>
      <c r="V160" s="1641"/>
      <c r="W160" s="1641"/>
      <c r="X160" s="1641"/>
      <c r="Y160" s="1641"/>
      <c r="Z160" s="1641"/>
      <c r="AA160" s="1641"/>
      <c r="AB160" s="1641"/>
      <c r="AC160" s="1641"/>
      <c r="AD160" s="1641"/>
      <c r="AE160" s="1641"/>
      <c r="AF160" s="1641"/>
      <c r="AG160" s="1641"/>
      <c r="AH160" s="1641"/>
      <c r="AI160" s="1641"/>
      <c r="AJ160" s="1641"/>
      <c r="AK160" s="1641"/>
      <c r="AL160" s="1641"/>
      <c r="AM160" s="1641"/>
      <c r="AN160" s="1641"/>
      <c r="AO160" s="1641"/>
      <c r="AP160" s="1641"/>
      <c r="AQ160" s="1641"/>
      <c r="AR160" s="1641"/>
      <c r="AS160" s="1641"/>
      <c r="AT160" s="1641"/>
      <c r="AU160" s="1641"/>
      <c r="AV160" s="1641"/>
      <c r="AW160" s="1641"/>
      <c r="AX160" s="1641"/>
      <c r="AY160" s="1641"/>
      <c r="AZ160" s="1641"/>
      <c r="BA160" s="1641"/>
      <c r="BB160" s="1641"/>
      <c r="BC160" s="1641"/>
      <c r="BD160" s="1641"/>
      <c r="BE160" s="1641"/>
      <c r="BF160" s="1641"/>
      <c r="BG160" s="1641"/>
      <c r="BH160" s="1641"/>
      <c r="BI160" s="1641"/>
      <c r="BJ160" s="1641"/>
      <c r="BK160" s="1641"/>
      <c r="BL160" s="1641"/>
      <c r="BM160" s="1641"/>
      <c r="BN160" s="1641"/>
      <c r="BO160" s="1641"/>
      <c r="BP160" s="1641"/>
      <c r="BQ160" s="1641"/>
      <c r="BR160" s="1641"/>
      <c r="BS160" s="1641"/>
      <c r="BT160" s="1641"/>
      <c r="BU160" s="1641"/>
      <c r="BV160" s="1641"/>
      <c r="BW160" s="1641"/>
      <c r="BX160" s="1641"/>
      <c r="BY160" s="1641"/>
      <c r="BZ160" s="1641"/>
      <c r="CA160" s="1641"/>
      <c r="CB160" s="1641"/>
      <c r="CC160" s="1641"/>
      <c r="CD160" s="1641"/>
      <c r="CE160" s="1641"/>
      <c r="CF160" s="1641"/>
      <c r="CG160" s="1641"/>
      <c r="CH160" s="1641"/>
      <c r="CI160" s="1641"/>
      <c r="CJ160" s="1641"/>
      <c r="CK160" s="1641"/>
      <c r="CL160" s="1641"/>
      <c r="CM160" s="1641"/>
      <c r="CN160" s="1641"/>
      <c r="CO160" s="1641"/>
      <c r="CP160" s="1641"/>
      <c r="CQ160" s="1641"/>
      <c r="CR160" s="1641"/>
      <c r="CS160" s="1641"/>
      <c r="CT160" s="1641"/>
      <c r="CU160" s="1641"/>
      <c r="CV160" s="1641"/>
      <c r="CW160" s="1641"/>
      <c r="CX160" s="1641"/>
      <c r="CY160" s="1641"/>
      <c r="CZ160" s="1641"/>
      <c r="DA160" s="1641"/>
      <c r="DB160" s="1641"/>
      <c r="DC160" s="1641"/>
      <c r="DD160" s="1641"/>
      <c r="DE160" s="1641"/>
      <c r="DF160" s="1641"/>
      <c r="DG160" s="1641"/>
      <c r="DH160" s="1641"/>
      <c r="DI160" s="1641"/>
      <c r="DJ160" s="1641"/>
      <c r="DK160" s="1641"/>
      <c r="DL160" s="1641"/>
      <c r="DM160" s="1641"/>
      <c r="DN160" s="1641"/>
      <c r="DO160" s="1641"/>
      <c r="DP160" s="1641"/>
      <c r="DQ160" s="1641"/>
      <c r="DR160" s="1641"/>
      <c r="DS160" s="1641"/>
      <c r="DT160" s="1641"/>
      <c r="DU160" s="1641"/>
      <c r="DV160" s="1641"/>
      <c r="DW160" s="1641"/>
      <c r="DX160" s="1641"/>
      <c r="DY160" s="1641"/>
      <c r="DZ160" s="1641"/>
      <c r="EA160" s="1641"/>
      <c r="EB160" s="1641"/>
      <c r="EC160" s="1641"/>
      <c r="ED160" s="1641"/>
      <c r="EE160" s="1641"/>
      <c r="EF160" s="1641"/>
      <c r="EG160" s="1641"/>
      <c r="EH160" s="1641"/>
      <c r="EI160" s="1641"/>
      <c r="EJ160" s="1641"/>
      <c r="EK160" s="1641"/>
      <c r="EL160" s="1641"/>
      <c r="EM160" s="1641"/>
      <c r="EN160" s="1641"/>
      <c r="EO160" s="1641"/>
      <c r="EP160" s="1641"/>
      <c r="EQ160" s="1641"/>
      <c r="ER160" s="1641"/>
      <c r="ES160" s="1641"/>
      <c r="ET160" s="1641"/>
      <c r="EU160" s="1641"/>
      <c r="EV160" s="1641"/>
      <c r="EW160" s="1641"/>
      <c r="EX160" s="1641"/>
      <c r="EY160" s="1641"/>
      <c r="EZ160" s="1641"/>
      <c r="FA160" s="1641"/>
      <c r="FB160" s="1641"/>
      <c r="FC160" s="1641"/>
      <c r="FD160" s="1641"/>
      <c r="FE160" s="1641"/>
      <c r="FF160" s="1641"/>
      <c r="FG160" s="1641"/>
      <c r="FH160" s="1641"/>
      <c r="FI160" s="1641"/>
      <c r="FJ160" s="1641"/>
      <c r="FK160" s="1641"/>
      <c r="FL160" s="1641"/>
      <c r="FM160" s="1641"/>
      <c r="FN160" s="1641"/>
      <c r="FO160" s="1641"/>
      <c r="FP160" s="1641"/>
      <c r="FQ160" s="1641"/>
      <c r="FR160" s="1641"/>
      <c r="FS160" s="1641"/>
      <c r="FT160" s="1641"/>
      <c r="FU160" s="1641"/>
      <c r="FV160" s="1641"/>
      <c r="FW160" s="1641"/>
      <c r="FX160" s="1641"/>
      <c r="FY160" s="1641"/>
      <c r="FZ160" s="1641"/>
      <c r="GA160" s="1641"/>
      <c r="GB160" s="1641"/>
      <c r="GC160" s="1641"/>
      <c r="GD160" s="1641"/>
      <c r="GE160" s="1641"/>
      <c r="GF160" s="1641"/>
      <c r="GG160" s="1641"/>
      <c r="GH160" s="1641"/>
      <c r="GI160" s="1641"/>
      <c r="GJ160" s="1641"/>
      <c r="GK160" s="1641"/>
      <c r="GL160" s="1641"/>
      <c r="GM160" s="1641"/>
      <c r="GN160" s="1641"/>
      <c r="GO160" s="1641"/>
      <c r="GP160" s="1641"/>
      <c r="GQ160" s="1641"/>
      <c r="GR160" s="1641"/>
      <c r="GS160" s="1641"/>
      <c r="GT160" s="1641"/>
      <c r="GU160" s="1641"/>
      <c r="GV160" s="1641"/>
      <c r="GW160" s="1641"/>
      <c r="GX160" s="1641"/>
      <c r="GY160" s="1641"/>
      <c r="GZ160" s="1641"/>
      <c r="HA160" s="1641"/>
      <c r="HB160" s="1641"/>
      <c r="HC160" s="1641"/>
      <c r="HD160" s="1641"/>
      <c r="HE160" s="1641"/>
      <c r="HF160" s="1641"/>
      <c r="HG160" s="1641"/>
      <c r="HH160" s="1641"/>
      <c r="HI160" s="1641"/>
      <c r="HJ160" s="1641"/>
      <c r="HK160" s="1641"/>
      <c r="HL160" s="1641"/>
      <c r="HM160" s="1641"/>
      <c r="HN160" s="1641"/>
      <c r="HO160" s="1641"/>
      <c r="HP160" s="1641"/>
      <c r="HQ160" s="1641"/>
      <c r="HR160" s="1641"/>
      <c r="HS160" s="1641"/>
      <c r="HT160" s="1641"/>
      <c r="HU160" s="1641"/>
      <c r="HV160" s="1641"/>
      <c r="HW160" s="1641"/>
      <c r="HX160" s="1641"/>
      <c r="HY160" s="1641"/>
      <c r="HZ160" s="1641"/>
      <c r="IA160" s="1641"/>
      <c r="IB160" s="1641"/>
      <c r="IC160" s="1641"/>
      <c r="ID160" s="1641"/>
      <c r="IE160" s="1641"/>
      <c r="IF160" s="1641"/>
      <c r="IG160" s="1641"/>
      <c r="IH160" s="1641"/>
      <c r="II160" s="1641"/>
      <c r="IJ160" s="1641"/>
      <c r="IK160" s="1641"/>
      <c r="IL160" s="1641"/>
      <c r="IM160" s="1641"/>
      <c r="IN160" s="1641"/>
      <c r="IO160" s="1641"/>
      <c r="IP160" s="1410"/>
      <c r="IQ160" s="1410"/>
      <c r="IR160" s="1410"/>
      <c r="IS160" s="1410"/>
      <c r="IT160" s="1410"/>
      <c r="IU160" s="1410"/>
      <c r="IV160" s="1410"/>
      <c r="IW160" s="1410"/>
      <c r="IX160" s="1641"/>
      <c r="IY160" s="1641"/>
      <c r="IZ160" s="1641"/>
      <c r="JA160" s="1641"/>
      <c r="JB160" s="1641"/>
      <c r="JC160" s="1641"/>
      <c r="JD160" s="1641"/>
      <c r="JE160" s="1641"/>
      <c r="JF160" s="1641"/>
      <c r="JG160" s="1641"/>
      <c r="JH160" s="1410"/>
      <c r="JI160" s="1410"/>
      <c r="JJ160" s="1410"/>
      <c r="JK160" s="1410"/>
      <c r="JL160" s="1410"/>
      <c r="JM160" s="1410"/>
      <c r="JN160" s="1410"/>
      <c r="JO160" s="1410"/>
      <c r="JP160" s="1410"/>
      <c r="JQ160" s="1405"/>
      <c r="JR160" s="351"/>
    </row>
    <row r="161" spans="1:278" x14ac:dyDescent="0.25">
      <c r="A161" s="1367">
        <v>161</v>
      </c>
      <c r="B161" s="1411" t="str">
        <f t="shared" si="17"/>
        <v/>
      </c>
      <c r="C161" s="1644" t="s">
        <v>4084</v>
      </c>
      <c r="D161" s="1645" t="s">
        <v>3851</v>
      </c>
      <c r="E161" s="1641"/>
      <c r="F161" s="1641"/>
      <c r="G161" s="1641"/>
      <c r="H161" s="1641"/>
      <c r="I161" s="1641"/>
      <c r="J161" s="1641"/>
      <c r="K161" s="1641"/>
      <c r="L161" s="1641"/>
      <c r="M161" s="1641"/>
      <c r="N161" s="1641"/>
      <c r="O161" s="1641"/>
      <c r="P161" s="1641"/>
      <c r="Q161" s="1641"/>
      <c r="R161" s="1641"/>
      <c r="S161" s="1641"/>
      <c r="T161" s="1641"/>
      <c r="U161" s="1641"/>
      <c r="V161" s="1641"/>
      <c r="W161" s="1641"/>
      <c r="X161" s="1641"/>
      <c r="Y161" s="1641"/>
      <c r="Z161" s="1641"/>
      <c r="AA161" s="1641"/>
      <c r="AB161" s="1641"/>
      <c r="AC161" s="1641"/>
      <c r="AD161" s="1641"/>
      <c r="AE161" s="1641"/>
      <c r="AF161" s="1641"/>
      <c r="AG161" s="1641"/>
      <c r="AH161" s="1641"/>
      <c r="AI161" s="1641"/>
      <c r="AJ161" s="1641"/>
      <c r="AK161" s="1641"/>
      <c r="AL161" s="1641"/>
      <c r="AM161" s="1641"/>
      <c r="AN161" s="1641"/>
      <c r="AO161" s="1641"/>
      <c r="AP161" s="1641"/>
      <c r="AQ161" s="1641"/>
      <c r="AR161" s="1641"/>
      <c r="AS161" s="1641"/>
      <c r="AT161" s="1641"/>
      <c r="AU161" s="1641"/>
      <c r="AV161" s="1641"/>
      <c r="AW161" s="1641"/>
      <c r="AX161" s="1641"/>
      <c r="AY161" s="1641"/>
      <c r="AZ161" s="1641"/>
      <c r="BA161" s="1641"/>
      <c r="BB161" s="1641"/>
      <c r="BC161" s="1641"/>
      <c r="BD161" s="1641"/>
      <c r="BE161" s="1641"/>
      <c r="BF161" s="1641"/>
      <c r="BG161" s="1641"/>
      <c r="BH161" s="1641"/>
      <c r="BI161" s="1641"/>
      <c r="BJ161" s="1641"/>
      <c r="BK161" s="1641"/>
      <c r="BL161" s="1641"/>
      <c r="BM161" s="1641"/>
      <c r="BN161" s="1641"/>
      <c r="BO161" s="1641"/>
      <c r="BP161" s="1641"/>
      <c r="BQ161" s="1641"/>
      <c r="BR161" s="1641"/>
      <c r="BS161" s="1641"/>
      <c r="BT161" s="1641"/>
      <c r="BU161" s="1641"/>
      <c r="BV161" s="1641"/>
      <c r="BW161" s="1641"/>
      <c r="BX161" s="1641"/>
      <c r="BY161" s="1641"/>
      <c r="BZ161" s="1641"/>
      <c r="CA161" s="1641"/>
      <c r="CB161" s="1641"/>
      <c r="CC161" s="1641"/>
      <c r="CD161" s="1641"/>
      <c r="CE161" s="1641"/>
      <c r="CF161" s="1641"/>
      <c r="CG161" s="1641"/>
      <c r="CH161" s="1641"/>
      <c r="CI161" s="1641"/>
      <c r="CJ161" s="1641"/>
      <c r="CK161" s="1641"/>
      <c r="CL161" s="1641"/>
      <c r="CM161" s="1641"/>
      <c r="CN161" s="1641"/>
      <c r="CO161" s="1641"/>
      <c r="CP161" s="1641"/>
      <c r="CQ161" s="1641"/>
      <c r="CR161" s="1641"/>
      <c r="CS161" s="1641"/>
      <c r="CT161" s="1641"/>
      <c r="CU161" s="1641"/>
      <c r="CV161" s="1641"/>
      <c r="CW161" s="1641"/>
      <c r="CX161" s="1641"/>
      <c r="CY161" s="1641"/>
      <c r="CZ161" s="1641"/>
      <c r="DA161" s="1641"/>
      <c r="DB161" s="1641"/>
      <c r="DC161" s="1641"/>
      <c r="DD161" s="1641"/>
      <c r="DE161" s="1641"/>
      <c r="DF161" s="1641"/>
      <c r="DG161" s="1641"/>
      <c r="DH161" s="1641"/>
      <c r="DI161" s="1641"/>
      <c r="DJ161" s="1641"/>
      <c r="DK161" s="1641"/>
      <c r="DL161" s="1641"/>
      <c r="DM161" s="1641"/>
      <c r="DN161" s="1641"/>
      <c r="DO161" s="1641"/>
      <c r="DP161" s="1641"/>
      <c r="DQ161" s="1641"/>
      <c r="DR161" s="1641"/>
      <c r="DS161" s="1641"/>
      <c r="DT161" s="1641"/>
      <c r="DU161" s="1641"/>
      <c r="DV161" s="1641"/>
      <c r="DW161" s="1641"/>
      <c r="DX161" s="1641"/>
      <c r="DY161" s="1641"/>
      <c r="DZ161" s="1641"/>
      <c r="EA161" s="1641"/>
      <c r="EB161" s="1641"/>
      <c r="EC161" s="1641"/>
      <c r="ED161" s="1641"/>
      <c r="EE161" s="1641"/>
      <c r="EF161" s="1641"/>
      <c r="EG161" s="1641"/>
      <c r="EH161" s="1641"/>
      <c r="EI161" s="1641"/>
      <c r="EJ161" s="1641"/>
      <c r="EK161" s="1641"/>
      <c r="EL161" s="1641"/>
      <c r="EM161" s="1641"/>
      <c r="EN161" s="1641"/>
      <c r="EO161" s="1641"/>
      <c r="EP161" s="1641"/>
      <c r="EQ161" s="1641"/>
      <c r="ER161" s="1641"/>
      <c r="ES161" s="1641"/>
      <c r="ET161" s="1641"/>
      <c r="EU161" s="1641"/>
      <c r="EV161" s="1641"/>
      <c r="EW161" s="1641"/>
      <c r="EX161" s="1641"/>
      <c r="EY161" s="1641"/>
      <c r="EZ161" s="1641"/>
      <c r="FA161" s="1641"/>
      <c r="FB161" s="1641"/>
      <c r="FC161" s="1641"/>
      <c r="FD161" s="1641"/>
      <c r="FE161" s="1641"/>
      <c r="FF161" s="1641"/>
      <c r="FG161" s="1641"/>
      <c r="FH161" s="1641"/>
      <c r="FI161" s="1641"/>
      <c r="FJ161" s="1641"/>
      <c r="FK161" s="1641"/>
      <c r="FL161" s="1641"/>
      <c r="FM161" s="1641"/>
      <c r="FN161" s="1641"/>
      <c r="FO161" s="1641"/>
      <c r="FP161" s="1641"/>
      <c r="FQ161" s="1641"/>
      <c r="FR161" s="1641"/>
      <c r="FS161" s="1641"/>
      <c r="FT161" s="1641"/>
      <c r="FU161" s="1641"/>
      <c r="FV161" s="1641"/>
      <c r="FW161" s="1641"/>
      <c r="FX161" s="1641"/>
      <c r="FY161" s="1641"/>
      <c r="FZ161" s="1641"/>
      <c r="GA161" s="1641"/>
      <c r="GB161" s="1641"/>
      <c r="GC161" s="1641"/>
      <c r="GD161" s="1641"/>
      <c r="GE161" s="1641"/>
      <c r="GF161" s="1641"/>
      <c r="GG161" s="1641"/>
      <c r="GH161" s="1641"/>
      <c r="GI161" s="1641"/>
      <c r="GJ161" s="1641"/>
      <c r="GK161" s="1641"/>
      <c r="GL161" s="1641"/>
      <c r="GM161" s="1641"/>
      <c r="GN161" s="1641"/>
      <c r="GO161" s="1641"/>
      <c r="GP161" s="1641"/>
      <c r="GQ161" s="1641"/>
      <c r="GR161" s="1641"/>
      <c r="GS161" s="1641"/>
      <c r="GT161" s="1641"/>
      <c r="GU161" s="1641"/>
      <c r="GV161" s="1641"/>
      <c r="GW161" s="1641"/>
      <c r="GX161" s="1641"/>
      <c r="GY161" s="1641"/>
      <c r="GZ161" s="1641"/>
      <c r="HA161" s="1641"/>
      <c r="HB161" s="1641"/>
      <c r="HC161" s="1641"/>
      <c r="HD161" s="1641"/>
      <c r="HE161" s="1641"/>
      <c r="HF161" s="1641"/>
      <c r="HG161" s="1641"/>
      <c r="HH161" s="1641"/>
      <c r="HI161" s="1641"/>
      <c r="HJ161" s="1641"/>
      <c r="HK161" s="1641"/>
      <c r="HL161" s="1641"/>
      <c r="HM161" s="1641"/>
      <c r="HN161" s="1641"/>
      <c r="HO161" s="1641"/>
      <c r="HP161" s="1641"/>
      <c r="HQ161" s="1641"/>
      <c r="HR161" s="1641"/>
      <c r="HS161" s="1641"/>
      <c r="HT161" s="1641"/>
      <c r="HU161" s="1641"/>
      <c r="HV161" s="1641"/>
      <c r="HW161" s="1641"/>
      <c r="HX161" s="1641"/>
      <c r="HY161" s="1641"/>
      <c r="HZ161" s="1641"/>
      <c r="IA161" s="1641"/>
      <c r="IB161" s="1641"/>
      <c r="IC161" s="1641"/>
      <c r="ID161" s="1641"/>
      <c r="IE161" s="1641"/>
      <c r="IF161" s="1641"/>
      <c r="IG161" s="1641"/>
      <c r="IH161" s="1641"/>
      <c r="II161" s="1641"/>
      <c r="IJ161" s="1641"/>
      <c r="IK161" s="1638" t="s">
        <v>3862</v>
      </c>
      <c r="IL161" s="1638" t="s">
        <v>3860</v>
      </c>
      <c r="IM161" s="1641"/>
      <c r="IN161" s="1641"/>
      <c r="IO161" s="1641"/>
      <c r="IP161" s="1410"/>
      <c r="IQ161" s="1410"/>
      <c r="IR161" s="1410"/>
      <c r="IS161" s="1410"/>
      <c r="IT161" s="1410"/>
      <c r="IU161" s="1410"/>
      <c r="IV161" s="1410"/>
      <c r="IW161" s="1410"/>
      <c r="IX161" s="1641"/>
      <c r="IY161" s="1641"/>
      <c r="IZ161" s="1641"/>
      <c r="JA161" s="1641"/>
      <c r="JB161" s="1641"/>
      <c r="JC161" s="1641"/>
      <c r="JD161" s="1641"/>
      <c r="JE161" s="1641"/>
      <c r="JF161" s="1641"/>
      <c r="JG161" s="1641"/>
      <c r="JH161" s="1410"/>
      <c r="JI161" s="1410"/>
      <c r="JJ161" s="1410"/>
      <c r="JK161" s="1410"/>
      <c r="JL161" s="1410"/>
      <c r="JM161" s="1410"/>
      <c r="JN161" s="1410"/>
      <c r="JO161" s="1410"/>
      <c r="JP161" s="1410"/>
      <c r="JQ161" s="1405"/>
      <c r="JR161" s="351"/>
    </row>
    <row r="162" spans="1:278" x14ac:dyDescent="0.25">
      <c r="A162" s="1367">
        <v>162</v>
      </c>
      <c r="B162" s="1411" t="str">
        <f t="shared" si="17"/>
        <v/>
      </c>
      <c r="C162" s="1644" t="s">
        <v>4085</v>
      </c>
      <c r="D162" s="1645" t="s">
        <v>3867</v>
      </c>
      <c r="E162" s="1641"/>
      <c r="F162" s="1641"/>
      <c r="G162" s="1641"/>
      <c r="H162" s="1641"/>
      <c r="I162" s="1641"/>
      <c r="J162" s="1641"/>
      <c r="K162" s="1641"/>
      <c r="L162" s="1641"/>
      <c r="M162" s="1641"/>
      <c r="N162" s="1641"/>
      <c r="O162" s="1641"/>
      <c r="P162" s="1641"/>
      <c r="Q162" s="1641"/>
      <c r="R162" s="1641"/>
      <c r="S162" s="1641"/>
      <c r="T162" s="1641"/>
      <c r="U162" s="1641"/>
      <c r="V162" s="1641"/>
      <c r="W162" s="1641"/>
      <c r="X162" s="1641"/>
      <c r="Y162" s="1641"/>
      <c r="Z162" s="1641"/>
      <c r="AA162" s="1641"/>
      <c r="AB162" s="1641"/>
      <c r="AC162" s="1641"/>
      <c r="AD162" s="1641"/>
      <c r="AE162" s="1641"/>
      <c r="AF162" s="1641"/>
      <c r="AG162" s="1641"/>
      <c r="AH162" s="1641"/>
      <c r="AI162" s="1641"/>
      <c r="AJ162" s="1641"/>
      <c r="AK162" s="1641"/>
      <c r="AL162" s="1641"/>
      <c r="AM162" s="1641"/>
      <c r="AN162" s="1641"/>
      <c r="AO162" s="1641"/>
      <c r="AP162" s="1641"/>
      <c r="AQ162" s="1641"/>
      <c r="AR162" s="1641"/>
      <c r="AS162" s="1641"/>
      <c r="AT162" s="1641"/>
      <c r="AU162" s="1641"/>
      <c r="AV162" s="1641"/>
      <c r="AW162" s="1641"/>
      <c r="AX162" s="1641"/>
      <c r="AY162" s="1641"/>
      <c r="AZ162" s="1641"/>
      <c r="BA162" s="1641"/>
      <c r="BB162" s="1641"/>
      <c r="BC162" s="1641"/>
      <c r="BD162" s="1641"/>
      <c r="BE162" s="1641"/>
      <c r="BF162" s="1641"/>
      <c r="BG162" s="1641"/>
      <c r="BH162" s="1641"/>
      <c r="BI162" s="1641"/>
      <c r="BJ162" s="1641"/>
      <c r="BK162" s="1641"/>
      <c r="BL162" s="1641"/>
      <c r="BM162" s="1641"/>
      <c r="BN162" s="1641"/>
      <c r="BO162" s="1641"/>
      <c r="BP162" s="1641"/>
      <c r="BQ162" s="1641"/>
      <c r="BR162" s="1641"/>
      <c r="BS162" s="1641"/>
      <c r="BT162" s="1641"/>
      <c r="BU162" s="1641"/>
      <c r="BV162" s="1641"/>
      <c r="BW162" s="1641"/>
      <c r="BX162" s="1641"/>
      <c r="BY162" s="1641"/>
      <c r="BZ162" s="1641"/>
      <c r="CA162" s="1641"/>
      <c r="CB162" s="1641"/>
      <c r="CC162" s="1641"/>
      <c r="CD162" s="1641"/>
      <c r="CE162" s="1641"/>
      <c r="CF162" s="1641"/>
      <c r="CG162" s="1641"/>
      <c r="CH162" s="1641"/>
      <c r="CI162" s="1641"/>
      <c r="CJ162" s="1641"/>
      <c r="CK162" s="1641"/>
      <c r="CL162" s="1641"/>
      <c r="CM162" s="1641"/>
      <c r="CN162" s="1641"/>
      <c r="CO162" s="1641"/>
      <c r="CP162" s="1641"/>
      <c r="CQ162" s="1641"/>
      <c r="CR162" s="1641"/>
      <c r="CS162" s="1641"/>
      <c r="CT162" s="1641"/>
      <c r="CU162" s="1641"/>
      <c r="CV162" s="1641"/>
      <c r="CW162" s="1641"/>
      <c r="CX162" s="1641"/>
      <c r="CY162" s="1641"/>
      <c r="CZ162" s="1641"/>
      <c r="DA162" s="1641"/>
      <c r="DB162" s="1641"/>
      <c r="DC162" s="1641"/>
      <c r="DD162" s="1641"/>
      <c r="DE162" s="1641"/>
      <c r="DF162" s="1641"/>
      <c r="DG162" s="1641"/>
      <c r="DH162" s="1641"/>
      <c r="DI162" s="1641"/>
      <c r="DJ162" s="1641"/>
      <c r="DK162" s="1641"/>
      <c r="DL162" s="1641"/>
      <c r="DM162" s="1641"/>
      <c r="DN162" s="1641"/>
      <c r="DO162" s="1641"/>
      <c r="DP162" s="1641"/>
      <c r="DQ162" s="1641"/>
      <c r="DR162" s="1641"/>
      <c r="DS162" s="1641"/>
      <c r="DT162" s="1641"/>
      <c r="DU162" s="1641"/>
      <c r="DV162" s="1641"/>
      <c r="DW162" s="1641"/>
      <c r="DX162" s="1641"/>
      <c r="DY162" s="1641"/>
      <c r="DZ162" s="1641"/>
      <c r="EA162" s="1641"/>
      <c r="EB162" s="1641"/>
      <c r="EC162" s="1641"/>
      <c r="ED162" s="1641"/>
      <c r="EE162" s="1641"/>
      <c r="EF162" s="1641"/>
      <c r="EG162" s="1641"/>
      <c r="EH162" s="1641"/>
      <c r="EI162" s="1641"/>
      <c r="EJ162" s="1641"/>
      <c r="EK162" s="1641"/>
      <c r="EL162" s="1641"/>
      <c r="EM162" s="1641"/>
      <c r="EN162" s="1641"/>
      <c r="EO162" s="1641"/>
      <c r="EP162" s="1641"/>
      <c r="EQ162" s="1641"/>
      <c r="ER162" s="1641"/>
      <c r="ES162" s="1641"/>
      <c r="ET162" s="1641"/>
      <c r="EU162" s="1641"/>
      <c r="EV162" s="1641"/>
      <c r="EW162" s="1641"/>
      <c r="EX162" s="1641"/>
      <c r="EY162" s="1641"/>
      <c r="EZ162" s="1641"/>
      <c r="FA162" s="1641"/>
      <c r="FB162" s="1641"/>
      <c r="FC162" s="1641"/>
      <c r="FD162" s="1641"/>
      <c r="FE162" s="1641"/>
      <c r="FF162" s="1641"/>
      <c r="FG162" s="1641"/>
      <c r="FH162" s="1641"/>
      <c r="FI162" s="1641"/>
      <c r="FJ162" s="1641"/>
      <c r="FK162" s="1641"/>
      <c r="FL162" s="1641"/>
      <c r="FM162" s="1641"/>
      <c r="FN162" s="1641"/>
      <c r="FO162" s="1641"/>
      <c r="FP162" s="1641"/>
      <c r="FQ162" s="1641"/>
      <c r="FR162" s="1641"/>
      <c r="FS162" s="1641"/>
      <c r="FT162" s="1641"/>
      <c r="FU162" s="1641"/>
      <c r="FV162" s="1641"/>
      <c r="FW162" s="1641"/>
      <c r="FX162" s="1641"/>
      <c r="FY162" s="1641"/>
      <c r="FZ162" s="1641"/>
      <c r="GA162" s="1641"/>
      <c r="GB162" s="1641"/>
      <c r="GC162" s="1641"/>
      <c r="GD162" s="1641"/>
      <c r="GE162" s="1641"/>
      <c r="GF162" s="1641"/>
      <c r="GG162" s="1641"/>
      <c r="GH162" s="1641"/>
      <c r="GI162" s="1641"/>
      <c r="GJ162" s="1641"/>
      <c r="GK162" s="1641"/>
      <c r="GL162" s="1641"/>
      <c r="GM162" s="1641"/>
      <c r="GN162" s="1641"/>
      <c r="GO162" s="1641"/>
      <c r="GP162" s="1641"/>
      <c r="GQ162" s="1641"/>
      <c r="GR162" s="1641"/>
      <c r="GS162" s="1641"/>
      <c r="GT162" s="1641"/>
      <c r="GU162" s="1641"/>
      <c r="GV162" s="1641"/>
      <c r="GW162" s="1641"/>
      <c r="GX162" s="1641"/>
      <c r="GY162" s="1641"/>
      <c r="GZ162" s="1641"/>
      <c r="HA162" s="1641"/>
      <c r="HB162" s="1641"/>
      <c r="HC162" s="1641"/>
      <c r="HD162" s="1641"/>
      <c r="HE162" s="1641"/>
      <c r="HF162" s="1641"/>
      <c r="HG162" s="1641"/>
      <c r="HH162" s="1641"/>
      <c r="HI162" s="1641"/>
      <c r="HJ162" s="1641"/>
      <c r="HK162" s="1641"/>
      <c r="HL162" s="1641"/>
      <c r="HM162" s="1641"/>
      <c r="HN162" s="1641"/>
      <c r="HO162" s="1641"/>
      <c r="HP162" s="1641"/>
      <c r="HQ162" s="1641"/>
      <c r="HR162" s="1641"/>
      <c r="HS162" s="1641"/>
      <c r="HT162" s="1641"/>
      <c r="HU162" s="1641"/>
      <c r="HV162" s="1641"/>
      <c r="HW162" s="1641"/>
      <c r="HX162" s="1641"/>
      <c r="HY162" s="1641"/>
      <c r="HZ162" s="1641"/>
      <c r="IA162" s="1641"/>
      <c r="IB162" s="1641"/>
      <c r="IC162" s="1641"/>
      <c r="ID162" s="1641"/>
      <c r="IE162" s="1641"/>
      <c r="IF162" s="1641"/>
      <c r="IG162" s="1641"/>
      <c r="IH162" s="1641"/>
      <c r="II162" s="1641"/>
      <c r="IJ162" s="1641"/>
      <c r="IK162" s="1636">
        <v>1000</v>
      </c>
      <c r="IL162" s="1636">
        <v>1428</v>
      </c>
      <c r="IM162" s="1641"/>
      <c r="IN162" s="1641"/>
      <c r="IO162" s="1641"/>
      <c r="IP162" s="1410"/>
      <c r="IQ162" s="1410"/>
      <c r="IR162" s="1410"/>
      <c r="IS162" s="1410"/>
      <c r="IT162" s="1410"/>
      <c r="IU162" s="1410"/>
      <c r="IV162" s="1410"/>
      <c r="IW162" s="1410"/>
      <c r="IX162" s="1641"/>
      <c r="IY162" s="1641"/>
      <c r="IZ162" s="1641"/>
      <c r="JA162" s="1641"/>
      <c r="JB162" s="1641"/>
      <c r="JC162" s="1641"/>
      <c r="JD162" s="1641"/>
      <c r="JE162" s="1641"/>
      <c r="JF162" s="1641"/>
      <c r="JG162" s="1641"/>
      <c r="JH162" s="1410"/>
      <c r="JI162" s="1410"/>
      <c r="JJ162" s="1410"/>
      <c r="JK162" s="1410"/>
      <c r="JL162" s="1410"/>
      <c r="JM162" s="1410"/>
      <c r="JN162" s="1410"/>
      <c r="JO162" s="1410"/>
      <c r="JP162" s="1410"/>
      <c r="JQ162" s="1405"/>
      <c r="JR162" s="351"/>
    </row>
    <row r="163" spans="1:278" x14ac:dyDescent="0.25">
      <c r="A163" s="1367">
        <v>163</v>
      </c>
      <c r="B163" s="1411" t="str">
        <f t="shared" si="17"/>
        <v/>
      </c>
      <c r="C163" s="1644" t="s">
        <v>4086</v>
      </c>
      <c r="D163" s="1645" t="s">
        <v>3869</v>
      </c>
      <c r="E163" s="1641"/>
      <c r="F163" s="1641"/>
      <c r="G163" s="1641"/>
      <c r="H163" s="1641"/>
      <c r="I163" s="1641"/>
      <c r="J163" s="1641"/>
      <c r="K163" s="1641"/>
      <c r="L163" s="1641"/>
      <c r="M163" s="1641"/>
      <c r="N163" s="1641"/>
      <c r="O163" s="1641"/>
      <c r="P163" s="1641"/>
      <c r="Q163" s="1641"/>
      <c r="R163" s="1641"/>
      <c r="S163" s="1641"/>
      <c r="T163" s="1641"/>
      <c r="U163" s="1641"/>
      <c r="V163" s="1641"/>
      <c r="W163" s="1641"/>
      <c r="X163" s="1641"/>
      <c r="Y163" s="1641"/>
      <c r="Z163" s="1641"/>
      <c r="AA163" s="1641"/>
      <c r="AB163" s="1641"/>
      <c r="AC163" s="1641"/>
      <c r="AD163" s="1641"/>
      <c r="AE163" s="1641"/>
      <c r="AF163" s="1641"/>
      <c r="AG163" s="1641"/>
      <c r="AH163" s="1641"/>
      <c r="AI163" s="1641"/>
      <c r="AJ163" s="1641"/>
      <c r="AK163" s="1641"/>
      <c r="AL163" s="1641"/>
      <c r="AM163" s="1641"/>
      <c r="AN163" s="1641"/>
      <c r="AO163" s="1641"/>
      <c r="AP163" s="1641"/>
      <c r="AQ163" s="1641"/>
      <c r="AR163" s="1641"/>
      <c r="AS163" s="1641"/>
      <c r="AT163" s="1641"/>
      <c r="AU163" s="1641"/>
      <c r="AV163" s="1641"/>
      <c r="AW163" s="1641"/>
      <c r="AX163" s="1641"/>
      <c r="AY163" s="1641"/>
      <c r="AZ163" s="1641"/>
      <c r="BA163" s="1641"/>
      <c r="BB163" s="1641"/>
      <c r="BC163" s="1641"/>
      <c r="BD163" s="1641"/>
      <c r="BE163" s="1641"/>
      <c r="BF163" s="1641"/>
      <c r="BG163" s="1641"/>
      <c r="BH163" s="1641"/>
      <c r="BI163" s="1641"/>
      <c r="BJ163" s="1641"/>
      <c r="BK163" s="1641"/>
      <c r="BL163" s="1641"/>
      <c r="BM163" s="1641"/>
      <c r="BN163" s="1641"/>
      <c r="BO163" s="1641"/>
      <c r="BP163" s="1641"/>
      <c r="BQ163" s="1641"/>
      <c r="BR163" s="1641"/>
      <c r="BS163" s="1641"/>
      <c r="BT163" s="1641"/>
      <c r="BU163" s="1641"/>
      <c r="BV163" s="1641"/>
      <c r="BW163" s="1641"/>
      <c r="BX163" s="1641"/>
      <c r="BY163" s="1641"/>
      <c r="BZ163" s="1641"/>
      <c r="CA163" s="1641"/>
      <c r="CB163" s="1641"/>
      <c r="CC163" s="1641"/>
      <c r="CD163" s="1641"/>
      <c r="CE163" s="1641"/>
      <c r="CF163" s="1641"/>
      <c r="CG163" s="1641"/>
      <c r="CH163" s="1641"/>
      <c r="CI163" s="1641"/>
      <c r="CJ163" s="1641"/>
      <c r="CK163" s="1641"/>
      <c r="CL163" s="1641"/>
      <c r="CM163" s="1641"/>
      <c r="CN163" s="1641"/>
      <c r="CO163" s="1641"/>
      <c r="CP163" s="1641"/>
      <c r="CQ163" s="1641"/>
      <c r="CR163" s="1641"/>
      <c r="CS163" s="1641"/>
      <c r="CT163" s="1641"/>
      <c r="CU163" s="1641"/>
      <c r="CV163" s="1641"/>
      <c r="CW163" s="1641"/>
      <c r="CX163" s="1641"/>
      <c r="CY163" s="1641"/>
      <c r="CZ163" s="1641"/>
      <c r="DA163" s="1641"/>
      <c r="DB163" s="1641"/>
      <c r="DC163" s="1641"/>
      <c r="DD163" s="1641"/>
      <c r="DE163" s="1641"/>
      <c r="DF163" s="1641"/>
      <c r="DG163" s="1641"/>
      <c r="DH163" s="1641"/>
      <c r="DI163" s="1641"/>
      <c r="DJ163" s="1641"/>
      <c r="DK163" s="1641"/>
      <c r="DL163" s="1641"/>
      <c r="DM163" s="1641"/>
      <c r="DN163" s="1641"/>
      <c r="DO163" s="1641"/>
      <c r="DP163" s="1641"/>
      <c r="DQ163" s="1641"/>
      <c r="DR163" s="1641"/>
      <c r="DS163" s="1641"/>
      <c r="DT163" s="1641"/>
      <c r="DU163" s="1641"/>
      <c r="DV163" s="1641"/>
      <c r="DW163" s="1641"/>
      <c r="DX163" s="1641"/>
      <c r="DY163" s="1641"/>
      <c r="DZ163" s="1641"/>
      <c r="EA163" s="1641"/>
      <c r="EB163" s="1641"/>
      <c r="EC163" s="1641"/>
      <c r="ED163" s="1641"/>
      <c r="EE163" s="1641"/>
      <c r="EF163" s="1641"/>
      <c r="EG163" s="1641"/>
      <c r="EH163" s="1641"/>
      <c r="EI163" s="1641"/>
      <c r="EJ163" s="1641"/>
      <c r="EK163" s="1641"/>
      <c r="EL163" s="1641"/>
      <c r="EM163" s="1641"/>
      <c r="EN163" s="1641"/>
      <c r="EO163" s="1641"/>
      <c r="EP163" s="1641"/>
      <c r="EQ163" s="1641"/>
      <c r="ER163" s="1641"/>
      <c r="ES163" s="1641"/>
      <c r="ET163" s="1641"/>
      <c r="EU163" s="1641"/>
      <c r="EV163" s="1641"/>
      <c r="EW163" s="1641"/>
      <c r="EX163" s="1641"/>
      <c r="EY163" s="1641"/>
      <c r="EZ163" s="1641"/>
      <c r="FA163" s="1641"/>
      <c r="FB163" s="1641"/>
      <c r="FC163" s="1641"/>
      <c r="FD163" s="1641"/>
      <c r="FE163" s="1641"/>
      <c r="FF163" s="1641"/>
      <c r="FG163" s="1641"/>
      <c r="FH163" s="1641"/>
      <c r="FI163" s="1641"/>
      <c r="FJ163" s="1641"/>
      <c r="FK163" s="1641"/>
      <c r="FL163" s="1641"/>
      <c r="FM163" s="1641"/>
      <c r="FN163" s="1641"/>
      <c r="FO163" s="1641"/>
      <c r="FP163" s="1641"/>
      <c r="FQ163" s="1641"/>
      <c r="FR163" s="1641"/>
      <c r="FS163" s="1641"/>
      <c r="FT163" s="1641"/>
      <c r="FU163" s="1641"/>
      <c r="FV163" s="1641"/>
      <c r="FW163" s="1641"/>
      <c r="FX163" s="1641"/>
      <c r="FY163" s="1641"/>
      <c r="FZ163" s="1641"/>
      <c r="GA163" s="1641"/>
      <c r="GB163" s="1641"/>
      <c r="GC163" s="1641"/>
      <c r="GD163" s="1641"/>
      <c r="GE163" s="1641"/>
      <c r="GF163" s="1641"/>
      <c r="GG163" s="1641"/>
      <c r="GH163" s="1641"/>
      <c r="GI163" s="1641"/>
      <c r="GJ163" s="1641"/>
      <c r="GK163" s="1641"/>
      <c r="GL163" s="1641"/>
      <c r="GM163" s="1641"/>
      <c r="GN163" s="1641"/>
      <c r="GO163" s="1641"/>
      <c r="GP163" s="1641"/>
      <c r="GQ163" s="1641"/>
      <c r="GR163" s="1641"/>
      <c r="GS163" s="1641"/>
      <c r="GT163" s="1641"/>
      <c r="GU163" s="1641"/>
      <c r="GV163" s="1641"/>
      <c r="GW163" s="1641"/>
      <c r="GX163" s="1641"/>
      <c r="GY163" s="1641"/>
      <c r="GZ163" s="1641"/>
      <c r="HA163" s="1641"/>
      <c r="HB163" s="1641"/>
      <c r="HC163" s="1641"/>
      <c r="HD163" s="1641"/>
      <c r="HE163" s="1641"/>
      <c r="HF163" s="1641"/>
      <c r="HG163" s="1641"/>
      <c r="HH163" s="1641"/>
      <c r="HI163" s="1641"/>
      <c r="HJ163" s="1641"/>
      <c r="HK163" s="1641"/>
      <c r="HL163" s="1641"/>
      <c r="HM163" s="1641"/>
      <c r="HN163" s="1641"/>
      <c r="HO163" s="1641"/>
      <c r="HP163" s="1641"/>
      <c r="HQ163" s="1641"/>
      <c r="HR163" s="1641"/>
      <c r="HS163" s="1641"/>
      <c r="HT163" s="1641"/>
      <c r="HU163" s="1641"/>
      <c r="HV163" s="1641"/>
      <c r="HW163" s="1641"/>
      <c r="HX163" s="1641"/>
      <c r="HY163" s="1641"/>
      <c r="HZ163" s="1641"/>
      <c r="IA163" s="1641"/>
      <c r="IB163" s="1641"/>
      <c r="IC163" s="1641"/>
      <c r="ID163" s="1641"/>
      <c r="IE163" s="1641"/>
      <c r="IF163" s="1641"/>
      <c r="IG163" s="1641"/>
      <c r="IH163" s="1641"/>
      <c r="II163" s="1641"/>
      <c r="IJ163" s="1641"/>
      <c r="IK163" s="1636">
        <v>100</v>
      </c>
      <c r="IL163" s="1636">
        <v>357</v>
      </c>
      <c r="IM163" s="1641"/>
      <c r="IN163" s="1641"/>
      <c r="IO163" s="1641"/>
      <c r="IP163" s="1410"/>
      <c r="IQ163" s="1410"/>
      <c r="IR163" s="1410"/>
      <c r="IS163" s="1410"/>
      <c r="IT163" s="1410"/>
      <c r="IU163" s="1410"/>
      <c r="IV163" s="1410"/>
      <c r="IW163" s="1410"/>
      <c r="IX163" s="1641"/>
      <c r="IY163" s="1641"/>
      <c r="IZ163" s="1641"/>
      <c r="JA163" s="1641"/>
      <c r="JB163" s="1641"/>
      <c r="JC163" s="1641"/>
      <c r="JD163" s="1641"/>
      <c r="JE163" s="1641"/>
      <c r="JF163" s="1641"/>
      <c r="JG163" s="1641"/>
      <c r="JH163" s="1410"/>
      <c r="JI163" s="1410"/>
      <c r="JJ163" s="1410"/>
      <c r="JK163" s="1410"/>
      <c r="JL163" s="1410"/>
      <c r="JM163" s="1410"/>
      <c r="JN163" s="1410"/>
      <c r="JO163" s="1410"/>
      <c r="JP163" s="1410"/>
      <c r="JQ163" s="1405"/>
      <c r="JR163" s="351"/>
    </row>
    <row r="164" spans="1:278" x14ac:dyDescent="0.25">
      <c r="A164" s="1367">
        <v>164</v>
      </c>
      <c r="B164" s="1411" t="str">
        <f t="shared" si="17"/>
        <v/>
      </c>
      <c r="C164" s="1644" t="s">
        <v>4087</v>
      </c>
      <c r="D164" s="1645" t="s">
        <v>3871</v>
      </c>
      <c r="E164" s="1641"/>
      <c r="F164" s="1641"/>
      <c r="G164" s="1641"/>
      <c r="H164" s="1641"/>
      <c r="I164" s="1641"/>
      <c r="J164" s="1641"/>
      <c r="K164" s="1641"/>
      <c r="L164" s="1641"/>
      <c r="M164" s="1641"/>
      <c r="N164" s="1641"/>
      <c r="O164" s="1641"/>
      <c r="P164" s="1641"/>
      <c r="Q164" s="1641"/>
      <c r="R164" s="1641"/>
      <c r="S164" s="1641"/>
      <c r="T164" s="1641"/>
      <c r="U164" s="1641"/>
      <c r="V164" s="1641"/>
      <c r="W164" s="1641"/>
      <c r="X164" s="1641"/>
      <c r="Y164" s="1641"/>
      <c r="Z164" s="1641"/>
      <c r="AA164" s="1641"/>
      <c r="AB164" s="1641"/>
      <c r="AC164" s="1641"/>
      <c r="AD164" s="1641"/>
      <c r="AE164" s="1641"/>
      <c r="AF164" s="1641"/>
      <c r="AG164" s="1641"/>
      <c r="AH164" s="1641"/>
      <c r="AI164" s="1641"/>
      <c r="AJ164" s="1641"/>
      <c r="AK164" s="1641"/>
      <c r="AL164" s="1641"/>
      <c r="AM164" s="1641"/>
      <c r="AN164" s="1641"/>
      <c r="AO164" s="1641"/>
      <c r="AP164" s="1641"/>
      <c r="AQ164" s="1641"/>
      <c r="AR164" s="1641"/>
      <c r="AS164" s="1641"/>
      <c r="AT164" s="1641"/>
      <c r="AU164" s="1641"/>
      <c r="AV164" s="1641"/>
      <c r="AW164" s="1641"/>
      <c r="AX164" s="1641"/>
      <c r="AY164" s="1641"/>
      <c r="AZ164" s="1641"/>
      <c r="BA164" s="1641"/>
      <c r="BB164" s="1641"/>
      <c r="BC164" s="1641"/>
      <c r="BD164" s="1641"/>
      <c r="BE164" s="1641"/>
      <c r="BF164" s="1641"/>
      <c r="BG164" s="1641"/>
      <c r="BH164" s="1641"/>
      <c r="BI164" s="1641"/>
      <c r="BJ164" s="1641"/>
      <c r="BK164" s="1641"/>
      <c r="BL164" s="1641"/>
      <c r="BM164" s="1641"/>
      <c r="BN164" s="1641"/>
      <c r="BO164" s="1641"/>
      <c r="BP164" s="1641"/>
      <c r="BQ164" s="1641"/>
      <c r="BR164" s="1641"/>
      <c r="BS164" s="1641"/>
      <c r="BT164" s="1641"/>
      <c r="BU164" s="1641"/>
      <c r="BV164" s="1641"/>
      <c r="BW164" s="1641"/>
      <c r="BX164" s="1641"/>
      <c r="BY164" s="1641"/>
      <c r="BZ164" s="1641"/>
      <c r="CA164" s="1641"/>
      <c r="CB164" s="1641"/>
      <c r="CC164" s="1641"/>
      <c r="CD164" s="1641"/>
      <c r="CE164" s="1641"/>
      <c r="CF164" s="1641"/>
      <c r="CG164" s="1641"/>
      <c r="CH164" s="1641"/>
      <c r="CI164" s="1641"/>
      <c r="CJ164" s="1641"/>
      <c r="CK164" s="1641"/>
      <c r="CL164" s="1641"/>
      <c r="CM164" s="1641"/>
      <c r="CN164" s="1641"/>
      <c r="CO164" s="1641"/>
      <c r="CP164" s="1641"/>
      <c r="CQ164" s="1641"/>
      <c r="CR164" s="1641"/>
      <c r="CS164" s="1641"/>
      <c r="CT164" s="1641"/>
      <c r="CU164" s="1641"/>
      <c r="CV164" s="1641"/>
      <c r="CW164" s="1641"/>
      <c r="CX164" s="1641"/>
      <c r="CY164" s="1641"/>
      <c r="CZ164" s="1641"/>
      <c r="DA164" s="1641"/>
      <c r="DB164" s="1641"/>
      <c r="DC164" s="1641"/>
      <c r="DD164" s="1641"/>
      <c r="DE164" s="1641"/>
      <c r="DF164" s="1641"/>
      <c r="DG164" s="1641"/>
      <c r="DH164" s="1641"/>
      <c r="DI164" s="1641"/>
      <c r="DJ164" s="1641"/>
      <c r="DK164" s="1641"/>
      <c r="DL164" s="1641"/>
      <c r="DM164" s="1641"/>
      <c r="DN164" s="1641"/>
      <c r="DO164" s="1641"/>
      <c r="DP164" s="1641"/>
      <c r="DQ164" s="1641"/>
      <c r="DR164" s="1641"/>
      <c r="DS164" s="1641"/>
      <c r="DT164" s="1641"/>
      <c r="DU164" s="1641"/>
      <c r="DV164" s="1641"/>
      <c r="DW164" s="1641"/>
      <c r="DX164" s="1641"/>
      <c r="DY164" s="1641"/>
      <c r="DZ164" s="1641"/>
      <c r="EA164" s="1641"/>
      <c r="EB164" s="1641"/>
      <c r="EC164" s="1641"/>
      <c r="ED164" s="1641"/>
      <c r="EE164" s="1641"/>
      <c r="EF164" s="1641"/>
      <c r="EG164" s="1641"/>
      <c r="EH164" s="1641"/>
      <c r="EI164" s="1641"/>
      <c r="EJ164" s="1641"/>
      <c r="EK164" s="1641"/>
      <c r="EL164" s="1641"/>
      <c r="EM164" s="1641"/>
      <c r="EN164" s="1641"/>
      <c r="EO164" s="1641"/>
      <c r="EP164" s="1641"/>
      <c r="EQ164" s="1641"/>
      <c r="ER164" s="1641"/>
      <c r="ES164" s="1641"/>
      <c r="ET164" s="1641"/>
      <c r="EU164" s="1641"/>
      <c r="EV164" s="1641"/>
      <c r="EW164" s="1641"/>
      <c r="EX164" s="1641"/>
      <c r="EY164" s="1641"/>
      <c r="EZ164" s="1641"/>
      <c r="FA164" s="1641"/>
      <c r="FB164" s="1641"/>
      <c r="FC164" s="1641"/>
      <c r="FD164" s="1641"/>
      <c r="FE164" s="1641"/>
      <c r="FF164" s="1641"/>
      <c r="FG164" s="1641"/>
      <c r="FH164" s="1641"/>
      <c r="FI164" s="1641"/>
      <c r="FJ164" s="1641"/>
      <c r="FK164" s="1641"/>
      <c r="FL164" s="1641"/>
      <c r="FM164" s="1641"/>
      <c r="FN164" s="1641"/>
      <c r="FO164" s="1641"/>
      <c r="FP164" s="1641"/>
      <c r="FQ164" s="1641"/>
      <c r="FR164" s="1641"/>
      <c r="FS164" s="1641"/>
      <c r="FT164" s="1641"/>
      <c r="FU164" s="1641"/>
      <c r="FV164" s="1641"/>
      <c r="FW164" s="1641"/>
      <c r="FX164" s="1641"/>
      <c r="FY164" s="1641"/>
      <c r="FZ164" s="1641"/>
      <c r="GA164" s="1641"/>
      <c r="GB164" s="1641"/>
      <c r="GC164" s="1641"/>
      <c r="GD164" s="1641"/>
      <c r="GE164" s="1641"/>
      <c r="GF164" s="1641"/>
      <c r="GG164" s="1641"/>
      <c r="GH164" s="1641"/>
      <c r="GI164" s="1641"/>
      <c r="GJ164" s="1641"/>
      <c r="GK164" s="1641"/>
      <c r="GL164" s="1641"/>
      <c r="GM164" s="1641"/>
      <c r="GN164" s="1641"/>
      <c r="GO164" s="1641"/>
      <c r="GP164" s="1641"/>
      <c r="GQ164" s="1641"/>
      <c r="GR164" s="1641"/>
      <c r="GS164" s="1641"/>
      <c r="GT164" s="1641"/>
      <c r="GU164" s="1641"/>
      <c r="GV164" s="1641"/>
      <c r="GW164" s="1641"/>
      <c r="GX164" s="1641"/>
      <c r="GY164" s="1641"/>
      <c r="GZ164" s="1641"/>
      <c r="HA164" s="1641"/>
      <c r="HB164" s="1641"/>
      <c r="HC164" s="1641"/>
      <c r="HD164" s="1641"/>
      <c r="HE164" s="1641"/>
      <c r="HF164" s="1641"/>
      <c r="HG164" s="1641"/>
      <c r="HH164" s="1641"/>
      <c r="HI164" s="1641"/>
      <c r="HJ164" s="1641"/>
      <c r="HK164" s="1641"/>
      <c r="HL164" s="1641"/>
      <c r="HM164" s="1641"/>
      <c r="HN164" s="1641"/>
      <c r="HO164" s="1641"/>
      <c r="HP164" s="1641"/>
      <c r="HQ164" s="1641"/>
      <c r="HR164" s="1641"/>
      <c r="HS164" s="1641"/>
      <c r="HT164" s="1641"/>
      <c r="HU164" s="1641"/>
      <c r="HV164" s="1641"/>
      <c r="HW164" s="1641"/>
      <c r="HX164" s="1641"/>
      <c r="HY164" s="1641"/>
      <c r="HZ164" s="1641"/>
      <c r="IA164" s="1641"/>
      <c r="IB164" s="1641"/>
      <c r="IC164" s="1641"/>
      <c r="ID164" s="1641"/>
      <c r="IE164" s="1641"/>
      <c r="IF164" s="1641"/>
      <c r="IG164" s="1641"/>
      <c r="IH164" s="1641"/>
      <c r="II164" s="1641"/>
      <c r="IJ164" s="1641"/>
      <c r="IK164" s="1641"/>
      <c r="IL164" s="1641"/>
      <c r="IM164" s="1641"/>
      <c r="IN164" s="1641"/>
      <c r="IO164" s="1641"/>
      <c r="IP164" s="1410"/>
      <c r="IQ164" s="1410"/>
      <c r="IR164" s="1410"/>
      <c r="IS164" s="1410"/>
      <c r="IT164" s="1410"/>
      <c r="IU164" s="1410"/>
      <c r="IV164" s="1410"/>
      <c r="IW164" s="1410"/>
      <c r="IX164" s="1641"/>
      <c r="IY164" s="1641"/>
      <c r="IZ164" s="1641"/>
      <c r="JA164" s="1641"/>
      <c r="JB164" s="1641"/>
      <c r="JC164" s="1641"/>
      <c r="JD164" s="1641"/>
      <c r="JE164" s="1641"/>
      <c r="JF164" s="1641"/>
      <c r="JG164" s="1641"/>
      <c r="JH164" s="1410"/>
      <c r="JI164" s="1410"/>
      <c r="JJ164" s="1410"/>
      <c r="JK164" s="1410"/>
      <c r="JL164" s="1410"/>
      <c r="JM164" s="1410"/>
      <c r="JN164" s="1410"/>
      <c r="JO164" s="1410"/>
      <c r="JP164" s="1410"/>
      <c r="JQ164" s="1405"/>
      <c r="JR164" s="351"/>
    </row>
    <row r="165" spans="1:278" x14ac:dyDescent="0.25">
      <c r="A165" s="1367">
        <v>165</v>
      </c>
      <c r="B165" s="1411" t="str">
        <f t="shared" si="17"/>
        <v/>
      </c>
      <c r="C165" s="1644" t="s">
        <v>4088</v>
      </c>
      <c r="D165" s="1645" t="s">
        <v>3873</v>
      </c>
      <c r="E165" s="1641"/>
      <c r="F165" s="1641"/>
      <c r="G165" s="1641"/>
      <c r="H165" s="1641"/>
      <c r="I165" s="1641"/>
      <c r="J165" s="1641"/>
      <c r="K165" s="1641"/>
      <c r="L165" s="1641"/>
      <c r="M165" s="1641"/>
      <c r="N165" s="1641"/>
      <c r="O165" s="1641"/>
      <c r="P165" s="1641"/>
      <c r="Q165" s="1641"/>
      <c r="R165" s="1641"/>
      <c r="S165" s="1641"/>
      <c r="T165" s="1641"/>
      <c r="U165" s="1641"/>
      <c r="V165" s="1641"/>
      <c r="W165" s="1641"/>
      <c r="X165" s="1641"/>
      <c r="Y165" s="1641"/>
      <c r="Z165" s="1641"/>
      <c r="AA165" s="1641"/>
      <c r="AB165" s="1641"/>
      <c r="AC165" s="1641"/>
      <c r="AD165" s="1641"/>
      <c r="AE165" s="1641"/>
      <c r="AF165" s="1641"/>
      <c r="AG165" s="1641"/>
      <c r="AH165" s="1641"/>
      <c r="AI165" s="1641"/>
      <c r="AJ165" s="1641"/>
      <c r="AK165" s="1641"/>
      <c r="AL165" s="1641"/>
      <c r="AM165" s="1641"/>
      <c r="AN165" s="1641"/>
      <c r="AO165" s="1641"/>
      <c r="AP165" s="1641"/>
      <c r="AQ165" s="1641"/>
      <c r="AR165" s="1641"/>
      <c r="AS165" s="1641"/>
      <c r="AT165" s="1641"/>
      <c r="AU165" s="1641"/>
      <c r="AV165" s="1641"/>
      <c r="AW165" s="1641"/>
      <c r="AX165" s="1641"/>
      <c r="AY165" s="1641"/>
      <c r="AZ165" s="1641"/>
      <c r="BA165" s="1641"/>
      <c r="BB165" s="1641"/>
      <c r="BC165" s="1641"/>
      <c r="BD165" s="1641"/>
      <c r="BE165" s="1641"/>
      <c r="BF165" s="1641"/>
      <c r="BG165" s="1641"/>
      <c r="BH165" s="1641"/>
      <c r="BI165" s="1641"/>
      <c r="BJ165" s="1641"/>
      <c r="BK165" s="1641"/>
      <c r="BL165" s="1641"/>
      <c r="BM165" s="1641"/>
      <c r="BN165" s="1641"/>
      <c r="BO165" s="1641"/>
      <c r="BP165" s="1641"/>
      <c r="BQ165" s="1641"/>
      <c r="BR165" s="1641"/>
      <c r="BS165" s="1641"/>
      <c r="BT165" s="1641"/>
      <c r="BU165" s="1641"/>
      <c r="BV165" s="1641"/>
      <c r="BW165" s="1641"/>
      <c r="BX165" s="1641"/>
      <c r="BY165" s="1641"/>
      <c r="BZ165" s="1641"/>
      <c r="CA165" s="1641"/>
      <c r="CB165" s="1641"/>
      <c r="CC165" s="1641"/>
      <c r="CD165" s="1641"/>
      <c r="CE165" s="1641"/>
      <c r="CF165" s="1641"/>
      <c r="CG165" s="1641"/>
      <c r="CH165" s="1641"/>
      <c r="CI165" s="1641"/>
      <c r="CJ165" s="1641"/>
      <c r="CK165" s="1641"/>
      <c r="CL165" s="1641"/>
      <c r="CM165" s="1641"/>
      <c r="CN165" s="1641"/>
      <c r="CO165" s="1641"/>
      <c r="CP165" s="1641"/>
      <c r="CQ165" s="1641"/>
      <c r="CR165" s="1641"/>
      <c r="CS165" s="1641"/>
      <c r="CT165" s="1641"/>
      <c r="CU165" s="1641"/>
      <c r="CV165" s="1641"/>
      <c r="CW165" s="1641"/>
      <c r="CX165" s="1641"/>
      <c r="CY165" s="1641"/>
      <c r="CZ165" s="1641"/>
      <c r="DA165" s="1641"/>
      <c r="DB165" s="1641"/>
      <c r="DC165" s="1641"/>
      <c r="DD165" s="1641"/>
      <c r="DE165" s="1641"/>
      <c r="DF165" s="1641"/>
      <c r="DG165" s="1641"/>
      <c r="DH165" s="1641"/>
      <c r="DI165" s="1641"/>
      <c r="DJ165" s="1641"/>
      <c r="DK165" s="1641"/>
      <c r="DL165" s="1641"/>
      <c r="DM165" s="1641"/>
      <c r="DN165" s="1641"/>
      <c r="DO165" s="1641"/>
      <c r="DP165" s="1641"/>
      <c r="DQ165" s="1641"/>
      <c r="DR165" s="1641"/>
      <c r="DS165" s="1641"/>
      <c r="DT165" s="1641"/>
      <c r="DU165" s="1641"/>
      <c r="DV165" s="1641"/>
      <c r="DW165" s="1641"/>
      <c r="DX165" s="1641"/>
      <c r="DY165" s="1641"/>
      <c r="DZ165" s="1641"/>
      <c r="EA165" s="1641"/>
      <c r="EB165" s="1641"/>
      <c r="EC165" s="1641"/>
      <c r="ED165" s="1641"/>
      <c r="EE165" s="1641"/>
      <c r="EF165" s="1641"/>
      <c r="EG165" s="1641"/>
      <c r="EH165" s="1641"/>
      <c r="EI165" s="1641"/>
      <c r="EJ165" s="1641"/>
      <c r="EK165" s="1641"/>
      <c r="EL165" s="1641"/>
      <c r="EM165" s="1641"/>
      <c r="EN165" s="1641"/>
      <c r="EO165" s="1641"/>
      <c r="EP165" s="1641"/>
      <c r="EQ165" s="1641"/>
      <c r="ER165" s="1641"/>
      <c r="ES165" s="1641"/>
      <c r="ET165" s="1641"/>
      <c r="EU165" s="1641"/>
      <c r="EV165" s="1641"/>
      <c r="EW165" s="1641"/>
      <c r="EX165" s="1641"/>
      <c r="EY165" s="1641"/>
      <c r="EZ165" s="1641"/>
      <c r="FA165" s="1641"/>
      <c r="FB165" s="1641"/>
      <c r="FC165" s="1641"/>
      <c r="FD165" s="1641"/>
      <c r="FE165" s="1641"/>
      <c r="FF165" s="1641"/>
      <c r="FG165" s="1641"/>
      <c r="FH165" s="1641"/>
      <c r="FI165" s="1641"/>
      <c r="FJ165" s="1641"/>
      <c r="FK165" s="1641"/>
      <c r="FL165" s="1641"/>
      <c r="FM165" s="1641"/>
      <c r="FN165" s="1641"/>
      <c r="FO165" s="1641"/>
      <c r="FP165" s="1641"/>
      <c r="FQ165" s="1641"/>
      <c r="FR165" s="1641"/>
      <c r="FS165" s="1641"/>
      <c r="FT165" s="1641"/>
      <c r="FU165" s="1641"/>
      <c r="FV165" s="1641"/>
      <c r="FW165" s="1641"/>
      <c r="FX165" s="1641"/>
      <c r="FY165" s="1641"/>
      <c r="FZ165" s="1641"/>
      <c r="GA165" s="1641"/>
      <c r="GB165" s="1641"/>
      <c r="GC165" s="1641"/>
      <c r="GD165" s="1641"/>
      <c r="GE165" s="1641"/>
      <c r="GF165" s="1641"/>
      <c r="GG165" s="1641"/>
      <c r="GH165" s="1641"/>
      <c r="GI165" s="1641"/>
      <c r="GJ165" s="1641"/>
      <c r="GK165" s="1641"/>
      <c r="GL165" s="1641"/>
      <c r="GM165" s="1641"/>
      <c r="GN165" s="1641"/>
      <c r="GO165" s="1641"/>
      <c r="GP165" s="1641"/>
      <c r="GQ165" s="1641"/>
      <c r="GR165" s="1641"/>
      <c r="GS165" s="1641"/>
      <c r="GT165" s="1641"/>
      <c r="GU165" s="1641"/>
      <c r="GV165" s="1641"/>
      <c r="GW165" s="1641"/>
      <c r="GX165" s="1641"/>
      <c r="GY165" s="1641"/>
      <c r="GZ165" s="1641"/>
      <c r="HA165" s="1641"/>
      <c r="HB165" s="1641"/>
      <c r="HC165" s="1641"/>
      <c r="HD165" s="1641"/>
      <c r="HE165" s="1641"/>
      <c r="HF165" s="1641"/>
      <c r="HG165" s="1641"/>
      <c r="HH165" s="1641"/>
      <c r="HI165" s="1641"/>
      <c r="HJ165" s="1641"/>
      <c r="HK165" s="1641"/>
      <c r="HL165" s="1641"/>
      <c r="HM165" s="1641"/>
      <c r="HN165" s="1641"/>
      <c r="HO165" s="1641"/>
      <c r="HP165" s="1641"/>
      <c r="HQ165" s="1641"/>
      <c r="HR165" s="1641"/>
      <c r="HS165" s="1641"/>
      <c r="HT165" s="1641"/>
      <c r="HU165" s="1641"/>
      <c r="HV165" s="1641"/>
      <c r="HW165" s="1641"/>
      <c r="HX165" s="1641"/>
      <c r="HY165" s="1641"/>
      <c r="HZ165" s="1641"/>
      <c r="IA165" s="1641"/>
      <c r="IB165" s="1641"/>
      <c r="IC165" s="1641"/>
      <c r="ID165" s="1641"/>
      <c r="IE165" s="1641"/>
      <c r="IF165" s="1641"/>
      <c r="IG165" s="1641"/>
      <c r="IH165" s="1641"/>
      <c r="II165" s="1641"/>
      <c r="IJ165" s="1641"/>
      <c r="IK165" s="1641"/>
      <c r="IL165" s="1638" t="s">
        <v>1707</v>
      </c>
      <c r="IM165" s="1641"/>
      <c r="IN165" s="1641"/>
      <c r="IO165" s="1641"/>
      <c r="IP165" s="1410"/>
      <c r="IQ165" s="1410"/>
      <c r="IR165" s="1410"/>
      <c r="IS165" s="1410"/>
      <c r="IT165" s="1410"/>
      <c r="IU165" s="1410"/>
      <c r="IV165" s="1410"/>
      <c r="IW165" s="1410"/>
      <c r="IX165" s="1641"/>
      <c r="IY165" s="1641"/>
      <c r="IZ165" s="1641"/>
      <c r="JA165" s="1641"/>
      <c r="JB165" s="1641"/>
      <c r="JC165" s="1641"/>
      <c r="JD165" s="1641"/>
      <c r="JE165" s="1641"/>
      <c r="JF165" s="1641"/>
      <c r="JG165" s="1641"/>
      <c r="JH165" s="1410"/>
      <c r="JI165" s="1410"/>
      <c r="JJ165" s="1410"/>
      <c r="JK165" s="1410"/>
      <c r="JL165" s="1410"/>
      <c r="JM165" s="1410"/>
      <c r="JN165" s="1410"/>
      <c r="JO165" s="1410"/>
      <c r="JP165" s="1410"/>
      <c r="JQ165" s="1405"/>
      <c r="JR165" s="351"/>
    </row>
    <row r="166" spans="1:278" x14ac:dyDescent="0.25">
      <c r="A166" s="1367">
        <v>166</v>
      </c>
      <c r="B166" s="1411" t="str">
        <f t="shared" si="17"/>
        <v/>
      </c>
      <c r="C166" s="1644" t="s">
        <v>4089</v>
      </c>
      <c r="D166" s="1645" t="s">
        <v>3875</v>
      </c>
      <c r="E166" s="1641"/>
      <c r="F166" s="1641"/>
      <c r="G166" s="1641"/>
      <c r="H166" s="1641"/>
      <c r="I166" s="1641"/>
      <c r="J166" s="1641"/>
      <c r="K166" s="1641"/>
      <c r="L166" s="1641"/>
      <c r="M166" s="1641"/>
      <c r="N166" s="1641"/>
      <c r="O166" s="1641"/>
      <c r="P166" s="1641"/>
      <c r="Q166" s="1641"/>
      <c r="R166" s="1641"/>
      <c r="S166" s="1641"/>
      <c r="T166" s="1641"/>
      <c r="U166" s="1641"/>
      <c r="V166" s="1641"/>
      <c r="W166" s="1641"/>
      <c r="X166" s="1641"/>
      <c r="Y166" s="1641"/>
      <c r="Z166" s="1641"/>
      <c r="AA166" s="1641"/>
      <c r="AB166" s="1641"/>
      <c r="AC166" s="1641"/>
      <c r="AD166" s="1641"/>
      <c r="AE166" s="1641"/>
      <c r="AF166" s="1641"/>
      <c r="AG166" s="1641"/>
      <c r="AH166" s="1641"/>
      <c r="AI166" s="1641"/>
      <c r="AJ166" s="1641"/>
      <c r="AK166" s="1641"/>
      <c r="AL166" s="1641"/>
      <c r="AM166" s="1641"/>
      <c r="AN166" s="1641"/>
      <c r="AO166" s="1641"/>
      <c r="AP166" s="1641"/>
      <c r="AQ166" s="1641"/>
      <c r="AR166" s="1641"/>
      <c r="AS166" s="1641"/>
      <c r="AT166" s="1641"/>
      <c r="AU166" s="1641"/>
      <c r="AV166" s="1641"/>
      <c r="AW166" s="1641"/>
      <c r="AX166" s="1641"/>
      <c r="AY166" s="1641"/>
      <c r="AZ166" s="1641"/>
      <c r="BA166" s="1641"/>
      <c r="BB166" s="1641"/>
      <c r="BC166" s="1641"/>
      <c r="BD166" s="1641"/>
      <c r="BE166" s="1641"/>
      <c r="BF166" s="1641"/>
      <c r="BG166" s="1641"/>
      <c r="BH166" s="1641"/>
      <c r="BI166" s="1641"/>
      <c r="BJ166" s="1641"/>
      <c r="BK166" s="1641"/>
      <c r="BL166" s="1641"/>
      <c r="BM166" s="1641"/>
      <c r="BN166" s="1641"/>
      <c r="BO166" s="1641"/>
      <c r="BP166" s="1641"/>
      <c r="BQ166" s="1641"/>
      <c r="BR166" s="1641"/>
      <c r="BS166" s="1641"/>
      <c r="BT166" s="1641"/>
      <c r="BU166" s="1641"/>
      <c r="BV166" s="1641"/>
      <c r="BW166" s="1641"/>
      <c r="BX166" s="1641"/>
      <c r="BY166" s="1641"/>
      <c r="BZ166" s="1641"/>
      <c r="CA166" s="1641"/>
      <c r="CB166" s="1641"/>
      <c r="CC166" s="1641"/>
      <c r="CD166" s="1641"/>
      <c r="CE166" s="1641"/>
      <c r="CF166" s="1641"/>
      <c r="CG166" s="1641"/>
      <c r="CH166" s="1641"/>
      <c r="CI166" s="1641"/>
      <c r="CJ166" s="1641"/>
      <c r="CK166" s="1641"/>
      <c r="CL166" s="1641"/>
      <c r="CM166" s="1641"/>
      <c r="CN166" s="1641"/>
      <c r="CO166" s="1641"/>
      <c r="CP166" s="1641"/>
      <c r="CQ166" s="1641"/>
      <c r="CR166" s="1641"/>
      <c r="CS166" s="1641"/>
      <c r="CT166" s="1641"/>
      <c r="CU166" s="1641"/>
      <c r="CV166" s="1641"/>
      <c r="CW166" s="1641"/>
      <c r="CX166" s="1641"/>
      <c r="CY166" s="1641"/>
      <c r="CZ166" s="1641"/>
      <c r="DA166" s="1641"/>
      <c r="DB166" s="1641"/>
      <c r="DC166" s="1641"/>
      <c r="DD166" s="1641"/>
      <c r="DE166" s="1641"/>
      <c r="DF166" s="1641"/>
      <c r="DG166" s="1641"/>
      <c r="DH166" s="1641"/>
      <c r="DI166" s="1641"/>
      <c r="DJ166" s="1641"/>
      <c r="DK166" s="1641"/>
      <c r="DL166" s="1641"/>
      <c r="DM166" s="1641"/>
      <c r="DN166" s="1641"/>
      <c r="DO166" s="1641"/>
      <c r="DP166" s="1641"/>
      <c r="DQ166" s="1641"/>
      <c r="DR166" s="1641"/>
      <c r="DS166" s="1641"/>
      <c r="DT166" s="1641"/>
      <c r="DU166" s="1641"/>
      <c r="DV166" s="1641"/>
      <c r="DW166" s="1641"/>
      <c r="DX166" s="1641"/>
      <c r="DY166" s="1641"/>
      <c r="DZ166" s="1641"/>
      <c r="EA166" s="1641"/>
      <c r="EB166" s="1641"/>
      <c r="EC166" s="1641"/>
      <c r="ED166" s="1641"/>
      <c r="EE166" s="1641"/>
      <c r="EF166" s="1641"/>
      <c r="EG166" s="1641"/>
      <c r="EH166" s="1641"/>
      <c r="EI166" s="1641"/>
      <c r="EJ166" s="1641"/>
      <c r="EK166" s="1641"/>
      <c r="EL166" s="1641"/>
      <c r="EM166" s="1641"/>
      <c r="EN166" s="1641"/>
      <c r="EO166" s="1641"/>
      <c r="EP166" s="1641"/>
      <c r="EQ166" s="1641"/>
      <c r="ER166" s="1641"/>
      <c r="ES166" s="1641"/>
      <c r="ET166" s="1641"/>
      <c r="EU166" s="1641"/>
      <c r="EV166" s="1641"/>
      <c r="EW166" s="1641"/>
      <c r="EX166" s="1641"/>
      <c r="EY166" s="1641"/>
      <c r="EZ166" s="1641"/>
      <c r="FA166" s="1641"/>
      <c r="FB166" s="1641"/>
      <c r="FC166" s="1641"/>
      <c r="FD166" s="1641"/>
      <c r="FE166" s="1641"/>
      <c r="FF166" s="1641"/>
      <c r="FG166" s="1641"/>
      <c r="FH166" s="1641"/>
      <c r="FI166" s="1641"/>
      <c r="FJ166" s="1641"/>
      <c r="FK166" s="1641"/>
      <c r="FL166" s="1641"/>
      <c r="FM166" s="1641"/>
      <c r="FN166" s="1641"/>
      <c r="FO166" s="1641"/>
      <c r="FP166" s="1641"/>
      <c r="FQ166" s="1641"/>
      <c r="FR166" s="1641"/>
      <c r="FS166" s="1641"/>
      <c r="FT166" s="1641"/>
      <c r="FU166" s="1641"/>
      <c r="FV166" s="1641"/>
      <c r="FW166" s="1641"/>
      <c r="FX166" s="1641"/>
      <c r="FY166" s="1641"/>
      <c r="FZ166" s="1641"/>
      <c r="GA166" s="1641"/>
      <c r="GB166" s="1641"/>
      <c r="GC166" s="1641"/>
      <c r="GD166" s="1641"/>
      <c r="GE166" s="1641"/>
      <c r="GF166" s="1641"/>
      <c r="GG166" s="1641"/>
      <c r="GH166" s="1641"/>
      <c r="GI166" s="1641"/>
      <c r="GJ166" s="1641"/>
      <c r="GK166" s="1641"/>
      <c r="GL166" s="1641"/>
      <c r="GM166" s="1641"/>
      <c r="GN166" s="1641"/>
      <c r="GO166" s="1641"/>
      <c r="GP166" s="1641"/>
      <c r="GQ166" s="1641"/>
      <c r="GR166" s="1641"/>
      <c r="GS166" s="1641"/>
      <c r="GT166" s="1641"/>
      <c r="GU166" s="1641"/>
      <c r="GV166" s="1641"/>
      <c r="GW166" s="1641"/>
      <c r="GX166" s="1641"/>
      <c r="GY166" s="1641"/>
      <c r="GZ166" s="1641"/>
      <c r="HA166" s="1641"/>
      <c r="HB166" s="1641"/>
      <c r="HC166" s="1641"/>
      <c r="HD166" s="1641"/>
      <c r="HE166" s="1641"/>
      <c r="HF166" s="1641"/>
      <c r="HG166" s="1641"/>
      <c r="HH166" s="1641"/>
      <c r="HI166" s="1641"/>
      <c r="HJ166" s="1641"/>
      <c r="HK166" s="1641"/>
      <c r="HL166" s="1641"/>
      <c r="HM166" s="1641"/>
      <c r="HN166" s="1641"/>
      <c r="HO166" s="1641"/>
      <c r="HP166" s="1641"/>
      <c r="HQ166" s="1641"/>
      <c r="HR166" s="1641"/>
      <c r="HS166" s="1641"/>
      <c r="HT166" s="1641"/>
      <c r="HU166" s="1641"/>
      <c r="HV166" s="1641"/>
      <c r="HW166" s="1641"/>
      <c r="HX166" s="1641"/>
      <c r="HY166" s="1641"/>
      <c r="HZ166" s="1641"/>
      <c r="IA166" s="1641"/>
      <c r="IB166" s="1641"/>
      <c r="IC166" s="1641"/>
      <c r="ID166" s="1641"/>
      <c r="IE166" s="1641"/>
      <c r="IF166" s="1641"/>
      <c r="IG166" s="1641"/>
      <c r="IH166" s="1641"/>
      <c r="II166" s="1641"/>
      <c r="IJ166" s="1641"/>
      <c r="IK166" s="1636">
        <v>900</v>
      </c>
      <c r="IL166" s="1636">
        <v>1428</v>
      </c>
      <c r="IM166" s="1641"/>
      <c r="IN166" s="1641"/>
      <c r="IO166" s="1641"/>
      <c r="IP166" s="1410"/>
      <c r="IQ166" s="1410"/>
      <c r="IR166" s="1410"/>
      <c r="IS166" s="1410"/>
      <c r="IT166" s="1410"/>
      <c r="IU166" s="1410"/>
      <c r="IV166" s="1410"/>
      <c r="IW166" s="1410"/>
      <c r="IX166" s="1641"/>
      <c r="IY166" s="1641"/>
      <c r="IZ166" s="1641"/>
      <c r="JA166" s="1641"/>
      <c r="JB166" s="1641"/>
      <c r="JC166" s="1641"/>
      <c r="JD166" s="1641"/>
      <c r="JE166" s="1641"/>
      <c r="JF166" s="1641"/>
      <c r="JG166" s="1641"/>
      <c r="JH166" s="1410"/>
      <c r="JI166" s="1410"/>
      <c r="JJ166" s="1410"/>
      <c r="JK166" s="1410"/>
      <c r="JL166" s="1410"/>
      <c r="JM166" s="1410"/>
      <c r="JN166" s="1410"/>
      <c r="JO166" s="1410"/>
      <c r="JP166" s="1410"/>
      <c r="JQ166" s="1405"/>
      <c r="JR166" s="351"/>
    </row>
    <row r="167" spans="1:278" x14ac:dyDescent="0.25">
      <c r="A167" s="1367">
        <v>167</v>
      </c>
      <c r="B167" s="1411" t="str">
        <f t="shared" si="17"/>
        <v/>
      </c>
      <c r="C167" s="1644" t="s">
        <v>4090</v>
      </c>
      <c r="D167" s="1645" t="s">
        <v>3887</v>
      </c>
      <c r="E167" s="1641"/>
      <c r="F167" s="1641"/>
      <c r="G167" s="1641"/>
      <c r="H167" s="1641"/>
      <c r="I167" s="1641"/>
      <c r="J167" s="1641"/>
      <c r="K167" s="1641"/>
      <c r="L167" s="1641"/>
      <c r="M167" s="1641"/>
      <c r="N167" s="1641"/>
      <c r="O167" s="1641"/>
      <c r="P167" s="1641"/>
      <c r="Q167" s="1641"/>
      <c r="R167" s="1641"/>
      <c r="S167" s="1641"/>
      <c r="T167" s="1641"/>
      <c r="U167" s="1641"/>
      <c r="V167" s="1641"/>
      <c r="W167" s="1641"/>
      <c r="X167" s="1641"/>
      <c r="Y167" s="1641"/>
      <c r="Z167" s="1641"/>
      <c r="AA167" s="1641"/>
      <c r="AB167" s="1641"/>
      <c r="AC167" s="1641"/>
      <c r="AD167" s="1641"/>
      <c r="AE167" s="1641"/>
      <c r="AF167" s="1641"/>
      <c r="AG167" s="1641"/>
      <c r="AH167" s="1641"/>
      <c r="AI167" s="1641"/>
      <c r="AJ167" s="1641"/>
      <c r="AK167" s="1641"/>
      <c r="AL167" s="1641"/>
      <c r="AM167" s="1641"/>
      <c r="AN167" s="1641"/>
      <c r="AO167" s="1641"/>
      <c r="AP167" s="1641"/>
      <c r="AQ167" s="1641"/>
      <c r="AR167" s="1641"/>
      <c r="AS167" s="1641"/>
      <c r="AT167" s="1641"/>
      <c r="AU167" s="1641"/>
      <c r="AV167" s="1641"/>
      <c r="AW167" s="1641"/>
      <c r="AX167" s="1641"/>
      <c r="AY167" s="1641"/>
      <c r="AZ167" s="1641"/>
      <c r="BA167" s="1641"/>
      <c r="BB167" s="1641"/>
      <c r="BC167" s="1641"/>
      <c r="BD167" s="1641"/>
      <c r="BE167" s="1641"/>
      <c r="BF167" s="1641"/>
      <c r="BG167" s="1641"/>
      <c r="BH167" s="1641"/>
      <c r="BI167" s="1641"/>
      <c r="BJ167" s="1641"/>
      <c r="BK167" s="1641"/>
      <c r="BL167" s="1641"/>
      <c r="BM167" s="1641"/>
      <c r="BN167" s="1641"/>
      <c r="BO167" s="1641"/>
      <c r="BP167" s="1641"/>
      <c r="BQ167" s="1641"/>
      <c r="BR167" s="1641"/>
      <c r="BS167" s="1641"/>
      <c r="BT167" s="1641"/>
      <c r="BU167" s="1641"/>
      <c r="BV167" s="1641"/>
      <c r="BW167" s="1641"/>
      <c r="BX167" s="1641"/>
      <c r="BY167" s="1641"/>
      <c r="BZ167" s="1641"/>
      <c r="CA167" s="1641"/>
      <c r="CB167" s="1641"/>
      <c r="CC167" s="1641"/>
      <c r="CD167" s="1641"/>
      <c r="CE167" s="1641"/>
      <c r="CF167" s="1641"/>
      <c r="CG167" s="1641"/>
      <c r="CH167" s="1641"/>
      <c r="CI167" s="1641"/>
      <c r="CJ167" s="1641"/>
      <c r="CK167" s="1641"/>
      <c r="CL167" s="1641"/>
      <c r="CM167" s="1641"/>
      <c r="CN167" s="1641"/>
      <c r="CO167" s="1641"/>
      <c r="CP167" s="1641"/>
      <c r="CQ167" s="1641"/>
      <c r="CR167" s="1641"/>
      <c r="CS167" s="1641"/>
      <c r="CT167" s="1641"/>
      <c r="CU167" s="1641"/>
      <c r="CV167" s="1641"/>
      <c r="CW167" s="1641"/>
      <c r="CX167" s="1641"/>
      <c r="CY167" s="1641"/>
      <c r="CZ167" s="1641"/>
      <c r="DA167" s="1641"/>
      <c r="DB167" s="1641"/>
      <c r="DC167" s="1641"/>
      <c r="DD167" s="1641"/>
      <c r="DE167" s="1641"/>
      <c r="DF167" s="1641"/>
      <c r="DG167" s="1641"/>
      <c r="DH167" s="1641"/>
      <c r="DI167" s="1641"/>
      <c r="DJ167" s="1641"/>
      <c r="DK167" s="1641"/>
      <c r="DL167" s="1641"/>
      <c r="DM167" s="1641"/>
      <c r="DN167" s="1641"/>
      <c r="DO167" s="1641"/>
      <c r="DP167" s="1641"/>
      <c r="DQ167" s="1641"/>
      <c r="DR167" s="1641"/>
      <c r="DS167" s="1641"/>
      <c r="DT167" s="1641"/>
      <c r="DU167" s="1641"/>
      <c r="DV167" s="1641"/>
      <c r="DW167" s="1641"/>
      <c r="DX167" s="1641"/>
      <c r="DY167" s="1641"/>
      <c r="DZ167" s="1641"/>
      <c r="EA167" s="1641"/>
      <c r="EB167" s="1641"/>
      <c r="EC167" s="1641"/>
      <c r="ED167" s="1641"/>
      <c r="EE167" s="1641"/>
      <c r="EF167" s="1641"/>
      <c r="EG167" s="1641"/>
      <c r="EH167" s="1641"/>
      <c r="EI167" s="1641"/>
      <c r="EJ167" s="1641"/>
      <c r="EK167" s="1641"/>
      <c r="EL167" s="1641"/>
      <c r="EM167" s="1641"/>
      <c r="EN167" s="1641"/>
      <c r="EO167" s="1641"/>
      <c r="EP167" s="1641"/>
      <c r="EQ167" s="1641"/>
      <c r="ER167" s="1641"/>
      <c r="ES167" s="1641"/>
      <c r="ET167" s="1641"/>
      <c r="EU167" s="1641"/>
      <c r="EV167" s="1641"/>
      <c r="EW167" s="1641"/>
      <c r="EX167" s="1641"/>
      <c r="EY167" s="1641"/>
      <c r="EZ167" s="1641"/>
      <c r="FA167" s="1641"/>
      <c r="FB167" s="1641"/>
      <c r="FC167" s="1641"/>
      <c r="FD167" s="1641"/>
      <c r="FE167" s="1641"/>
      <c r="FF167" s="1641"/>
      <c r="FG167" s="1641"/>
      <c r="FH167" s="1641"/>
      <c r="FI167" s="1641"/>
      <c r="FJ167" s="1641"/>
      <c r="FK167" s="1641"/>
      <c r="FL167" s="1641"/>
      <c r="FM167" s="1641"/>
      <c r="FN167" s="1641"/>
      <c r="FO167" s="1641"/>
      <c r="FP167" s="1641"/>
      <c r="FQ167" s="1641"/>
      <c r="FR167" s="1641"/>
      <c r="FS167" s="1641"/>
      <c r="FT167" s="1641"/>
      <c r="FU167" s="1641"/>
      <c r="FV167" s="1641"/>
      <c r="FW167" s="1641"/>
      <c r="FX167" s="1641"/>
      <c r="FY167" s="1641"/>
      <c r="FZ167" s="1641"/>
      <c r="GA167" s="1641"/>
      <c r="GB167" s="1641"/>
      <c r="GC167" s="1641"/>
      <c r="GD167" s="1641"/>
      <c r="GE167" s="1641"/>
      <c r="GF167" s="1641"/>
      <c r="GG167" s="1641"/>
      <c r="GH167" s="1641"/>
      <c r="GI167" s="1641"/>
      <c r="GJ167" s="1641"/>
      <c r="GK167" s="1641"/>
      <c r="GL167" s="1641"/>
      <c r="GM167" s="1641"/>
      <c r="GN167" s="1641"/>
      <c r="GO167" s="1641"/>
      <c r="GP167" s="1641"/>
      <c r="GQ167" s="1641"/>
      <c r="GR167" s="1641"/>
      <c r="GS167" s="1641"/>
      <c r="GT167" s="1641"/>
      <c r="GU167" s="1641"/>
      <c r="GV167" s="1641"/>
      <c r="GW167" s="1641"/>
      <c r="GX167" s="1641"/>
      <c r="GY167" s="1641"/>
      <c r="GZ167" s="1641"/>
      <c r="HA167" s="1641"/>
      <c r="HB167" s="1641"/>
      <c r="HC167" s="1641"/>
      <c r="HD167" s="1641"/>
      <c r="HE167" s="1641"/>
      <c r="HF167" s="1641"/>
      <c r="HG167" s="1641"/>
      <c r="HH167" s="1641"/>
      <c r="HI167" s="1641"/>
      <c r="HJ167" s="1641"/>
      <c r="HK167" s="1641"/>
      <c r="HL167" s="1641"/>
      <c r="HM167" s="1641"/>
      <c r="HN167" s="1641"/>
      <c r="HO167" s="1641"/>
      <c r="HP167" s="1641"/>
      <c r="HQ167" s="1641"/>
      <c r="HR167" s="1641"/>
      <c r="HS167" s="1641"/>
      <c r="HT167" s="1641"/>
      <c r="HU167" s="1641"/>
      <c r="HV167" s="1641"/>
      <c r="HW167" s="1641"/>
      <c r="HX167" s="1641"/>
      <c r="HY167" s="1641"/>
      <c r="HZ167" s="1641"/>
      <c r="IA167" s="1641"/>
      <c r="IB167" s="1641"/>
      <c r="IC167" s="1641"/>
      <c r="ID167" s="1641"/>
      <c r="IE167" s="1641"/>
      <c r="IF167" s="1641"/>
      <c r="IG167" s="1641"/>
      <c r="IH167" s="1641"/>
      <c r="II167" s="1641"/>
      <c r="IJ167" s="1641"/>
      <c r="IL167" s="1641"/>
      <c r="IM167" s="1641"/>
      <c r="IN167" s="1641"/>
      <c r="IO167" s="1641"/>
      <c r="IP167" s="1410"/>
      <c r="IQ167" s="1410"/>
      <c r="IR167" s="1410"/>
      <c r="IS167" s="1410"/>
      <c r="IT167" s="1410"/>
      <c r="IU167" s="1410"/>
      <c r="IV167" s="1410"/>
      <c r="IW167" s="1410"/>
      <c r="IX167" s="1641"/>
      <c r="IY167" s="1641"/>
      <c r="IZ167" s="1641"/>
      <c r="JA167" s="1641"/>
      <c r="JB167" s="1641"/>
      <c r="JC167" s="1641"/>
      <c r="JD167" s="1641"/>
      <c r="JE167" s="1641"/>
      <c r="JF167" s="1641"/>
      <c r="JG167" s="1641"/>
      <c r="JH167" s="1410"/>
      <c r="JI167" s="1410"/>
      <c r="JJ167" s="1410"/>
      <c r="JK167" s="1410"/>
      <c r="JL167" s="1410"/>
      <c r="JM167" s="1410"/>
      <c r="JN167" s="1410"/>
      <c r="JO167" s="1410"/>
      <c r="JP167" s="1410"/>
      <c r="JQ167" s="1405"/>
      <c r="JR167" s="351"/>
    </row>
    <row r="168" spans="1:278" x14ac:dyDescent="0.25">
      <c r="A168" s="1367">
        <v>168</v>
      </c>
      <c r="B168" s="1411" t="str">
        <f t="shared" si="17"/>
        <v/>
      </c>
      <c r="C168" s="1644" t="s">
        <v>4091</v>
      </c>
      <c r="D168" s="1645" t="s">
        <v>3887</v>
      </c>
      <c r="E168" s="1641"/>
      <c r="F168" s="1641"/>
      <c r="G168" s="1641"/>
      <c r="H168" s="1641"/>
      <c r="I168" s="1641"/>
      <c r="J168" s="1641"/>
      <c r="K168" s="1641"/>
      <c r="L168" s="1641"/>
      <c r="M168" s="1641"/>
      <c r="N168" s="1641"/>
      <c r="O168" s="1641"/>
      <c r="P168" s="1641"/>
      <c r="Q168" s="1641"/>
      <c r="R168" s="1641"/>
      <c r="S168" s="1641"/>
      <c r="T168" s="1641"/>
      <c r="U168" s="1641"/>
      <c r="V168" s="1641"/>
      <c r="W168" s="1641"/>
      <c r="X168" s="1641"/>
      <c r="Y168" s="1641"/>
      <c r="Z168" s="1641"/>
      <c r="AA168" s="1641"/>
      <c r="AB168" s="1641"/>
      <c r="AC168" s="1641"/>
      <c r="AD168" s="1641"/>
      <c r="AE168" s="1641"/>
      <c r="AF168" s="1641"/>
      <c r="AG168" s="1641"/>
      <c r="AH168" s="1641"/>
      <c r="AI168" s="1641"/>
      <c r="AJ168" s="1641"/>
      <c r="AK168" s="1641"/>
      <c r="AL168" s="1641"/>
      <c r="AM168" s="1641"/>
      <c r="AN168" s="1641"/>
      <c r="AO168" s="1641"/>
      <c r="AP168" s="1641"/>
      <c r="AQ168" s="1641"/>
      <c r="AR168" s="1641"/>
      <c r="AS168" s="1641"/>
      <c r="AT168" s="1641"/>
      <c r="AU168" s="1641"/>
      <c r="AV168" s="1641"/>
      <c r="AW168" s="1641"/>
      <c r="AX168" s="1641"/>
      <c r="AY168" s="1641"/>
      <c r="AZ168" s="1641"/>
      <c r="BA168" s="1641"/>
      <c r="BB168" s="1641"/>
      <c r="BC168" s="1641"/>
      <c r="BD168" s="1641"/>
      <c r="BE168" s="1641"/>
      <c r="BF168" s="1641"/>
      <c r="BG168" s="1641"/>
      <c r="BH168" s="1641"/>
      <c r="BI168" s="1641"/>
      <c r="BJ168" s="1641"/>
      <c r="BK168" s="1641"/>
      <c r="BL168" s="1641"/>
      <c r="BM168" s="1641"/>
      <c r="BN168" s="1641"/>
      <c r="BO168" s="1641"/>
      <c r="BP168" s="1641"/>
      <c r="BQ168" s="1641"/>
      <c r="BR168" s="1641"/>
      <c r="BS168" s="1641"/>
      <c r="BT168" s="1641"/>
      <c r="BU168" s="1641"/>
      <c r="BV168" s="1641"/>
      <c r="BW168" s="1641"/>
      <c r="BX168" s="1641"/>
      <c r="BY168" s="1641"/>
      <c r="BZ168" s="1641"/>
      <c r="CA168" s="1641"/>
      <c r="CB168" s="1641"/>
      <c r="CC168" s="1641"/>
      <c r="CD168" s="1641"/>
      <c r="CE168" s="1641"/>
      <c r="CF168" s="1641"/>
      <c r="CG168" s="1641"/>
      <c r="CH168" s="1641"/>
      <c r="CI168" s="1641"/>
      <c r="CJ168" s="1641"/>
      <c r="CK168" s="1641"/>
      <c r="CL168" s="1641"/>
      <c r="CM168" s="1641"/>
      <c r="CN168" s="1641"/>
      <c r="CO168" s="1641"/>
      <c r="CP168" s="1641"/>
      <c r="CQ168" s="1641"/>
      <c r="CR168" s="1641"/>
      <c r="CS168" s="1641"/>
      <c r="CT168" s="1641"/>
      <c r="CU168" s="1641"/>
      <c r="CV168" s="1641"/>
      <c r="CW168" s="1641"/>
      <c r="CX168" s="1641"/>
      <c r="CY168" s="1641"/>
      <c r="CZ168" s="1641"/>
      <c r="DA168" s="1641"/>
      <c r="DB168" s="1641"/>
      <c r="DC168" s="1641"/>
      <c r="DD168" s="1641"/>
      <c r="DE168" s="1641"/>
      <c r="DF168" s="1641"/>
      <c r="DG168" s="1641"/>
      <c r="DH168" s="1641"/>
      <c r="DI168" s="1641"/>
      <c r="DJ168" s="1641"/>
      <c r="DK168" s="1641"/>
      <c r="DL168" s="1641"/>
      <c r="DM168" s="1641"/>
      <c r="DN168" s="1641"/>
      <c r="DO168" s="1641"/>
      <c r="DP168" s="1641"/>
      <c r="DQ168" s="1641"/>
      <c r="DR168" s="1641"/>
      <c r="DS168" s="1641"/>
      <c r="DT168" s="1641"/>
      <c r="DU168" s="1641"/>
      <c r="DV168" s="1641"/>
      <c r="DW168" s="1641"/>
      <c r="DX168" s="1641"/>
      <c r="DY168" s="1641"/>
      <c r="DZ168" s="1641"/>
      <c r="EA168" s="1641"/>
      <c r="EB168" s="1641"/>
      <c r="EC168" s="1641"/>
      <c r="ED168" s="1641"/>
      <c r="EE168" s="1641"/>
      <c r="EF168" s="1641"/>
      <c r="EG168" s="1641"/>
      <c r="EH168" s="1641"/>
      <c r="EI168" s="1641"/>
      <c r="EJ168" s="1641"/>
      <c r="EK168" s="1641"/>
      <c r="EL168" s="1641"/>
      <c r="EM168" s="1641"/>
      <c r="EN168" s="1641"/>
      <c r="EO168" s="1641"/>
      <c r="EP168" s="1641"/>
      <c r="EQ168" s="1641"/>
      <c r="ER168" s="1641"/>
      <c r="ES168" s="1641"/>
      <c r="ET168" s="1641"/>
      <c r="EU168" s="1641"/>
      <c r="EV168" s="1641"/>
      <c r="EW168" s="1641"/>
      <c r="EX168" s="1641"/>
      <c r="EY168" s="1641"/>
      <c r="EZ168" s="1641"/>
      <c r="FA168" s="1641"/>
      <c r="FB168" s="1641"/>
      <c r="FC168" s="1641"/>
      <c r="FD168" s="1641"/>
      <c r="FE168" s="1641"/>
      <c r="FF168" s="1641"/>
      <c r="FG168" s="1641"/>
      <c r="FH168" s="1641"/>
      <c r="FI168" s="1641"/>
      <c r="FJ168" s="1641"/>
      <c r="FK168" s="1641"/>
      <c r="FL168" s="1641"/>
      <c r="FM168" s="1641"/>
      <c r="FN168" s="1641"/>
      <c r="FO168" s="1641"/>
      <c r="FP168" s="1641"/>
      <c r="FQ168" s="1641"/>
      <c r="FR168" s="1641"/>
      <c r="FS168" s="1641"/>
      <c r="FT168" s="1641"/>
      <c r="FU168" s="1641"/>
      <c r="FV168" s="1641"/>
      <c r="FW168" s="1641"/>
      <c r="FX168" s="1641"/>
      <c r="FY168" s="1641"/>
      <c r="FZ168" s="1641"/>
      <c r="GA168" s="1641"/>
      <c r="GB168" s="1641"/>
      <c r="GC168" s="1641"/>
      <c r="GD168" s="1641"/>
      <c r="GE168" s="1641"/>
      <c r="GF168" s="1641"/>
      <c r="GG168" s="1641"/>
      <c r="GH168" s="1641"/>
      <c r="GI168" s="1641"/>
      <c r="GJ168" s="1641"/>
      <c r="GK168" s="1641"/>
      <c r="GL168" s="1641"/>
      <c r="GM168" s="1641"/>
      <c r="GN168" s="1641"/>
      <c r="GO168" s="1641"/>
      <c r="GP168" s="1641"/>
      <c r="GQ168" s="1641"/>
      <c r="GR168" s="1641"/>
      <c r="GS168" s="1641"/>
      <c r="GT168" s="1641"/>
      <c r="GU168" s="1641"/>
      <c r="GV168" s="1641"/>
      <c r="GW168" s="1641"/>
      <c r="GX168" s="1641"/>
      <c r="GY168" s="1641"/>
      <c r="GZ168" s="1641"/>
      <c r="HA168" s="1641"/>
      <c r="HB168" s="1641"/>
      <c r="HC168" s="1641"/>
      <c r="HD168" s="1641"/>
      <c r="HE168" s="1641"/>
      <c r="HF168" s="1641"/>
      <c r="HG168" s="1641"/>
      <c r="HH168" s="1641"/>
      <c r="HI168" s="1641"/>
      <c r="HJ168" s="1641"/>
      <c r="HK168" s="1641"/>
      <c r="HL168" s="1641"/>
      <c r="HM168" s="1641"/>
      <c r="HN168" s="1641"/>
      <c r="HO168" s="1641"/>
      <c r="HP168" s="1641"/>
      <c r="HQ168" s="1641"/>
      <c r="HR168" s="1641"/>
      <c r="HS168" s="1641"/>
      <c r="HT168" s="1641"/>
      <c r="HU168" s="1641"/>
      <c r="HV168" s="1641"/>
      <c r="HW168" s="1641"/>
      <c r="HX168" s="1641"/>
      <c r="HY168" s="1641"/>
      <c r="HZ168" s="1641"/>
      <c r="IA168" s="1641"/>
      <c r="IB168" s="1641"/>
      <c r="IC168" s="1641"/>
      <c r="ID168" s="1641"/>
      <c r="IE168" s="1641"/>
      <c r="IF168" s="1641"/>
      <c r="IG168" s="1641"/>
      <c r="IH168" s="1641"/>
      <c r="II168" s="1641"/>
      <c r="IJ168" s="1641"/>
      <c r="IK168" s="1636">
        <v>900</v>
      </c>
      <c r="IL168" s="1636">
        <v>1428</v>
      </c>
      <c r="IM168" s="1641"/>
      <c r="IN168" s="1641"/>
      <c r="IO168" s="1641"/>
      <c r="IP168" s="1410"/>
      <c r="IQ168" s="1410"/>
      <c r="IR168" s="1410"/>
      <c r="IS168" s="1410"/>
      <c r="IT168" s="1410"/>
      <c r="IU168" s="1410"/>
      <c r="IV168" s="1410"/>
      <c r="IW168" s="1410"/>
      <c r="IX168" s="1641"/>
      <c r="IY168" s="1641"/>
      <c r="IZ168" s="1641"/>
      <c r="JA168" s="1641"/>
      <c r="JB168" s="1641"/>
      <c r="JC168" s="1641"/>
      <c r="JD168" s="1641"/>
      <c r="JE168" s="1641"/>
      <c r="JF168" s="1641"/>
      <c r="JG168" s="1641"/>
      <c r="JH168" s="1410"/>
      <c r="JI168" s="1410"/>
      <c r="JJ168" s="1410"/>
      <c r="JK168" s="1410"/>
      <c r="JL168" s="1410"/>
      <c r="JM168" s="1410"/>
      <c r="JN168" s="1410"/>
      <c r="JO168" s="1410"/>
      <c r="JP168" s="1410"/>
      <c r="JQ168" s="1405"/>
      <c r="JR168" s="351"/>
    </row>
    <row r="169" spans="1:278" x14ac:dyDescent="0.25">
      <c r="A169" s="1367">
        <v>169</v>
      </c>
      <c r="B169" s="1411" t="str">
        <f t="shared" si="17"/>
        <v/>
      </c>
      <c r="C169" s="1644" t="s">
        <v>4092</v>
      </c>
      <c r="D169" s="1645" t="s">
        <v>3890</v>
      </c>
      <c r="E169" s="1641"/>
      <c r="F169" s="1641"/>
      <c r="G169" s="1641"/>
      <c r="H169" s="1641"/>
      <c r="I169" s="1641"/>
      <c r="J169" s="1641"/>
      <c r="K169" s="1641"/>
      <c r="L169" s="1641"/>
      <c r="M169" s="1641"/>
      <c r="N169" s="1641"/>
      <c r="O169" s="1641"/>
      <c r="P169" s="1641"/>
      <c r="Q169" s="1641"/>
      <c r="R169" s="1641"/>
      <c r="S169" s="1641"/>
      <c r="T169" s="1641"/>
      <c r="U169" s="1641"/>
      <c r="V169" s="1641"/>
      <c r="W169" s="1641"/>
      <c r="X169" s="1641"/>
      <c r="Y169" s="1641"/>
      <c r="Z169" s="1641"/>
      <c r="AA169" s="1641"/>
      <c r="AB169" s="1641"/>
      <c r="AC169" s="1641"/>
      <c r="AD169" s="1641"/>
      <c r="AE169" s="1641"/>
      <c r="AF169" s="1641"/>
      <c r="AG169" s="1641"/>
      <c r="AH169" s="1641"/>
      <c r="AI169" s="1641"/>
      <c r="AJ169" s="1641"/>
      <c r="AK169" s="1641"/>
      <c r="AL169" s="1641"/>
      <c r="AM169" s="1641"/>
      <c r="AN169" s="1641"/>
      <c r="AO169" s="1641"/>
      <c r="AP169" s="1641"/>
      <c r="AQ169" s="1641"/>
      <c r="AR169" s="1641"/>
      <c r="AS169" s="1641"/>
      <c r="AT169" s="1641"/>
      <c r="AU169" s="1641"/>
      <c r="AV169" s="1641"/>
      <c r="AW169" s="1641"/>
      <c r="AX169" s="1641"/>
      <c r="AY169" s="1641"/>
      <c r="AZ169" s="1641"/>
      <c r="BA169" s="1641"/>
      <c r="BB169" s="1641"/>
      <c r="BC169" s="1641"/>
      <c r="BD169" s="1641"/>
      <c r="BE169" s="1641"/>
      <c r="BF169" s="1641"/>
      <c r="BG169" s="1641"/>
      <c r="BH169" s="1641"/>
      <c r="BI169" s="1641"/>
      <c r="BJ169" s="1641"/>
      <c r="BK169" s="1641"/>
      <c r="BL169" s="1641"/>
      <c r="BM169" s="1641"/>
      <c r="BN169" s="1641"/>
      <c r="BO169" s="1641"/>
      <c r="BP169" s="1641"/>
      <c r="BQ169" s="1641"/>
      <c r="BR169" s="1641"/>
      <c r="BS169" s="1641"/>
      <c r="BT169" s="1641"/>
      <c r="BU169" s="1641"/>
      <c r="BV169" s="1641"/>
      <c r="BW169" s="1641"/>
      <c r="BX169" s="1641"/>
      <c r="BY169" s="1641"/>
      <c r="BZ169" s="1641"/>
      <c r="CA169" s="1641"/>
      <c r="CB169" s="1641"/>
      <c r="CC169" s="1641"/>
      <c r="CD169" s="1641"/>
      <c r="CE169" s="1641"/>
      <c r="CF169" s="1641"/>
      <c r="CG169" s="1641"/>
      <c r="CH169" s="1641"/>
      <c r="CI169" s="1641"/>
      <c r="CJ169" s="1641"/>
      <c r="CK169" s="1641"/>
      <c r="CL169" s="1641"/>
      <c r="CM169" s="1641"/>
      <c r="CN169" s="1641"/>
      <c r="CO169" s="1641"/>
      <c r="CP169" s="1641"/>
      <c r="CQ169" s="1641"/>
      <c r="CR169" s="1641"/>
      <c r="CS169" s="1641"/>
      <c r="CT169" s="1641"/>
      <c r="CU169" s="1641"/>
      <c r="CV169" s="1641"/>
      <c r="CW169" s="1641"/>
      <c r="CX169" s="1641"/>
      <c r="CY169" s="1641"/>
      <c r="CZ169" s="1641"/>
      <c r="DA169" s="1641"/>
      <c r="DB169" s="1641"/>
      <c r="DC169" s="1641"/>
      <c r="DD169" s="1641"/>
      <c r="DE169" s="1641"/>
      <c r="DF169" s="1641"/>
      <c r="DG169" s="1641"/>
      <c r="DH169" s="1641"/>
      <c r="DI169" s="1641"/>
      <c r="DJ169" s="1641"/>
      <c r="DK169" s="1641"/>
      <c r="DL169" s="1641"/>
      <c r="DM169" s="1641"/>
      <c r="DN169" s="1641"/>
      <c r="DO169" s="1641"/>
      <c r="DP169" s="1641"/>
      <c r="DQ169" s="1641"/>
      <c r="DR169" s="1641"/>
      <c r="DS169" s="1641"/>
      <c r="DT169" s="1641"/>
      <c r="DU169" s="1641"/>
      <c r="DV169" s="1641"/>
      <c r="DW169" s="1641"/>
      <c r="DX169" s="1641"/>
      <c r="DY169" s="1641"/>
      <c r="DZ169" s="1641"/>
      <c r="EA169" s="1641"/>
      <c r="EB169" s="1641"/>
      <c r="EC169" s="1641"/>
      <c r="ED169" s="1641"/>
      <c r="EE169" s="1641"/>
      <c r="EF169" s="1641"/>
      <c r="EG169" s="1641"/>
      <c r="EH169" s="1641"/>
      <c r="EI169" s="1641"/>
      <c r="EJ169" s="1641"/>
      <c r="EK169" s="1641"/>
      <c r="EL169" s="1641"/>
      <c r="EM169" s="1641"/>
      <c r="EN169" s="1641"/>
      <c r="EO169" s="1641"/>
      <c r="EP169" s="1641"/>
      <c r="EQ169" s="1641"/>
      <c r="ER169" s="1641"/>
      <c r="ES169" s="1641"/>
      <c r="ET169" s="1641"/>
      <c r="EU169" s="1641"/>
      <c r="EV169" s="1641"/>
      <c r="EW169" s="1641"/>
      <c r="EX169" s="1641"/>
      <c r="EY169" s="1641"/>
      <c r="EZ169" s="1641"/>
      <c r="FA169" s="1641"/>
      <c r="FB169" s="1641"/>
      <c r="FC169" s="1641"/>
      <c r="FD169" s="1641"/>
      <c r="FE169" s="1641"/>
      <c r="FF169" s="1641"/>
      <c r="FG169" s="1641"/>
      <c r="FH169" s="1641"/>
      <c r="FI169" s="1641"/>
      <c r="FJ169" s="1641"/>
      <c r="FK169" s="1641"/>
      <c r="FL169" s="1641"/>
      <c r="FM169" s="1641"/>
      <c r="FN169" s="1641"/>
      <c r="FO169" s="1641"/>
      <c r="FP169" s="1641"/>
      <c r="FQ169" s="1641"/>
      <c r="FR169" s="1641"/>
      <c r="FS169" s="1641"/>
      <c r="FT169" s="1641"/>
      <c r="FU169" s="1641"/>
      <c r="FV169" s="1641"/>
      <c r="FW169" s="1641"/>
      <c r="FX169" s="1641"/>
      <c r="FY169" s="1641"/>
      <c r="FZ169" s="1641"/>
      <c r="GA169" s="1641"/>
      <c r="GB169" s="1641"/>
      <c r="GC169" s="1641"/>
      <c r="GD169" s="1641"/>
      <c r="GE169" s="1641"/>
      <c r="GF169" s="1641"/>
      <c r="GG169" s="1641"/>
      <c r="GH169" s="1641"/>
      <c r="GI169" s="1641"/>
      <c r="GJ169" s="1641"/>
      <c r="GK169" s="1641"/>
      <c r="GL169" s="1641"/>
      <c r="GM169" s="1641"/>
      <c r="GN169" s="1641"/>
      <c r="GO169" s="1641"/>
      <c r="GP169" s="1641"/>
      <c r="GQ169" s="1641"/>
      <c r="GR169" s="1641"/>
      <c r="GS169" s="1641"/>
      <c r="GT169" s="1641"/>
      <c r="GU169" s="1641"/>
      <c r="GV169" s="1641"/>
      <c r="GW169" s="1641"/>
      <c r="GX169" s="1641"/>
      <c r="GY169" s="1641"/>
      <c r="GZ169" s="1641"/>
      <c r="HA169" s="1641"/>
      <c r="HB169" s="1641"/>
      <c r="HC169" s="1641"/>
      <c r="HD169" s="1641"/>
      <c r="HE169" s="1641"/>
      <c r="HF169" s="1641"/>
      <c r="HG169" s="1641"/>
      <c r="HH169" s="1641"/>
      <c r="HI169" s="1641"/>
      <c r="HJ169" s="1641"/>
      <c r="HK169" s="1641"/>
      <c r="HL169" s="1641"/>
      <c r="HM169" s="1641"/>
      <c r="HN169" s="1641"/>
      <c r="HO169" s="1641"/>
      <c r="HP169" s="1641"/>
      <c r="HQ169" s="1641"/>
      <c r="HR169" s="1641"/>
      <c r="HS169" s="1641"/>
      <c r="HT169" s="1641"/>
      <c r="HU169" s="1641"/>
      <c r="HV169" s="1641"/>
      <c r="HW169" s="1641"/>
      <c r="HX169" s="1641"/>
      <c r="HY169" s="1641"/>
      <c r="HZ169" s="1641"/>
      <c r="IA169" s="1641"/>
      <c r="IB169" s="1641"/>
      <c r="IC169" s="1641"/>
      <c r="ID169" s="1641"/>
      <c r="IE169" s="1641"/>
      <c r="IF169" s="1641"/>
      <c r="IG169" s="1641"/>
      <c r="IH169" s="1641"/>
      <c r="II169" s="1641"/>
      <c r="IJ169" s="1641"/>
      <c r="IK169" s="1636">
        <v>900</v>
      </c>
      <c r="IL169" s="1641"/>
      <c r="IM169" s="1641"/>
      <c r="IN169" s="1641"/>
      <c r="IO169" s="1641"/>
      <c r="IP169" s="1410"/>
      <c r="IQ169" s="1410"/>
      <c r="IR169" s="1410"/>
      <c r="IS169" s="1410"/>
      <c r="IT169" s="1410"/>
      <c r="IU169" s="1410"/>
      <c r="IV169" s="1410"/>
      <c r="IW169" s="1410"/>
      <c r="IX169" s="1641"/>
      <c r="IY169" s="1641"/>
      <c r="IZ169" s="1641"/>
      <c r="JA169" s="1641"/>
      <c r="JB169" s="1641"/>
      <c r="JC169" s="1641"/>
      <c r="JD169" s="1641"/>
      <c r="JE169" s="1641"/>
      <c r="JF169" s="1641"/>
      <c r="JG169" s="1641"/>
      <c r="JH169" s="1410"/>
      <c r="JI169" s="1410"/>
      <c r="JJ169" s="1410"/>
      <c r="JK169" s="1410"/>
      <c r="JL169" s="1410"/>
      <c r="JM169" s="1410"/>
      <c r="JN169" s="1410"/>
      <c r="JO169" s="1410"/>
      <c r="JP169" s="1410"/>
      <c r="JQ169" s="1405"/>
      <c r="JR169" s="351"/>
    </row>
    <row r="170" spans="1:278" x14ac:dyDescent="0.25">
      <c r="A170" s="1367">
        <v>170</v>
      </c>
      <c r="B170" s="1411" t="str">
        <f t="shared" si="17"/>
        <v/>
      </c>
      <c r="C170" s="1644" t="s">
        <v>4093</v>
      </c>
      <c r="D170" s="1645" t="s">
        <v>3983</v>
      </c>
      <c r="E170" s="1641"/>
      <c r="F170" s="1641"/>
      <c r="G170" s="1641"/>
      <c r="H170" s="1641"/>
      <c r="I170" s="1641"/>
      <c r="J170" s="1641"/>
      <c r="K170" s="1641"/>
      <c r="L170" s="1641"/>
      <c r="M170" s="1641"/>
      <c r="N170" s="1641"/>
      <c r="O170" s="1641"/>
      <c r="P170" s="1641"/>
      <c r="Q170" s="1641"/>
      <c r="R170" s="1641"/>
      <c r="S170" s="1641"/>
      <c r="T170" s="1641"/>
      <c r="U170" s="1641"/>
      <c r="V170" s="1641"/>
      <c r="W170" s="1641"/>
      <c r="X170" s="1641"/>
      <c r="Y170" s="1641"/>
      <c r="Z170" s="1641"/>
      <c r="AA170" s="1641"/>
      <c r="AB170" s="1641"/>
      <c r="AC170" s="1641"/>
      <c r="AD170" s="1641"/>
      <c r="AE170" s="1641"/>
      <c r="AF170" s="1641"/>
      <c r="AG170" s="1641"/>
      <c r="AH170" s="1641"/>
      <c r="AI170" s="1641"/>
      <c r="AJ170" s="1641"/>
      <c r="AK170" s="1641"/>
      <c r="AL170" s="1641"/>
      <c r="AM170" s="1641"/>
      <c r="AN170" s="1641"/>
      <c r="AO170" s="1641"/>
      <c r="AP170" s="1641"/>
      <c r="AQ170" s="1641"/>
      <c r="AR170" s="1641"/>
      <c r="AS170" s="1641"/>
      <c r="AT170" s="1641"/>
      <c r="AU170" s="1641"/>
      <c r="AV170" s="1641"/>
      <c r="AW170" s="1641"/>
      <c r="AX170" s="1641"/>
      <c r="AY170" s="1641"/>
      <c r="AZ170" s="1641"/>
      <c r="BA170" s="1641"/>
      <c r="BB170" s="1641"/>
      <c r="BC170" s="1641"/>
      <c r="BD170" s="1641"/>
      <c r="BE170" s="1641"/>
      <c r="BF170" s="1641"/>
      <c r="BG170" s="1641"/>
      <c r="BH170" s="1641"/>
      <c r="BI170" s="1641"/>
      <c r="BJ170" s="1641"/>
      <c r="BK170" s="1641"/>
      <c r="BL170" s="1641"/>
      <c r="BM170" s="1641"/>
      <c r="BN170" s="1641"/>
      <c r="BO170" s="1641"/>
      <c r="BP170" s="1641"/>
      <c r="BQ170" s="1641"/>
      <c r="BR170" s="1641"/>
      <c r="BS170" s="1641"/>
      <c r="BT170" s="1641"/>
      <c r="BU170" s="1641"/>
      <c r="BV170" s="1641"/>
      <c r="BW170" s="1641"/>
      <c r="BX170" s="1641"/>
      <c r="BY170" s="1641"/>
      <c r="BZ170" s="1641"/>
      <c r="CA170" s="1641"/>
      <c r="CB170" s="1641"/>
      <c r="CC170" s="1641"/>
      <c r="CD170" s="1641"/>
      <c r="CE170" s="1641"/>
      <c r="CF170" s="1641"/>
      <c r="CG170" s="1641"/>
      <c r="CH170" s="1641"/>
      <c r="CI170" s="1641"/>
      <c r="CJ170" s="1641"/>
      <c r="CK170" s="1641"/>
      <c r="CL170" s="1641"/>
      <c r="CM170" s="1641"/>
      <c r="CN170" s="1641"/>
      <c r="CO170" s="1641"/>
      <c r="CP170" s="1641"/>
      <c r="CQ170" s="1641"/>
      <c r="CR170" s="1641"/>
      <c r="CS170" s="1641"/>
      <c r="CT170" s="1641"/>
      <c r="CU170" s="1641"/>
      <c r="CV170" s="1641"/>
      <c r="CW170" s="1641"/>
      <c r="CX170" s="1641"/>
      <c r="CY170" s="1641"/>
      <c r="CZ170" s="1641"/>
      <c r="DA170" s="1641"/>
      <c r="DB170" s="1641"/>
      <c r="DC170" s="1641"/>
      <c r="DD170" s="1641"/>
      <c r="DE170" s="1641"/>
      <c r="DF170" s="1641"/>
      <c r="DG170" s="1641"/>
      <c r="DH170" s="1641"/>
      <c r="DI170" s="1641"/>
      <c r="DJ170" s="1641"/>
      <c r="DK170" s="1641"/>
      <c r="DL170" s="1641"/>
      <c r="DM170" s="1641"/>
      <c r="DN170" s="1641"/>
      <c r="DO170" s="1641"/>
      <c r="DP170" s="1641"/>
      <c r="DQ170" s="1641"/>
      <c r="DR170" s="1641"/>
      <c r="DS170" s="1641"/>
      <c r="DT170" s="1641"/>
      <c r="DU170" s="1641"/>
      <c r="DV170" s="1641"/>
      <c r="DW170" s="1641"/>
      <c r="DX170" s="1641"/>
      <c r="DY170" s="1641"/>
      <c r="DZ170" s="1641"/>
      <c r="EA170" s="1641"/>
      <c r="EB170" s="1641"/>
      <c r="EC170" s="1641"/>
      <c r="ED170" s="1641"/>
      <c r="EE170" s="1641"/>
      <c r="EF170" s="1641"/>
      <c r="EG170" s="1641"/>
      <c r="EH170" s="1641"/>
      <c r="EI170" s="1641"/>
      <c r="EJ170" s="1641"/>
      <c r="EK170" s="1641"/>
      <c r="EL170" s="1641"/>
      <c r="EM170" s="1641"/>
      <c r="EN170" s="1641"/>
      <c r="EO170" s="1641"/>
      <c r="EP170" s="1641"/>
      <c r="EQ170" s="1641"/>
      <c r="ER170" s="1641"/>
      <c r="ES170" s="1641"/>
      <c r="ET170" s="1641"/>
      <c r="EU170" s="1641"/>
      <c r="EV170" s="1641"/>
      <c r="EW170" s="1641"/>
      <c r="EX170" s="1641"/>
      <c r="EY170" s="1641"/>
      <c r="EZ170" s="1641"/>
      <c r="FA170" s="1641"/>
      <c r="FB170" s="1641"/>
      <c r="FC170" s="1641"/>
      <c r="FD170" s="1641"/>
      <c r="FE170" s="1641"/>
      <c r="FF170" s="1641"/>
      <c r="FG170" s="1641"/>
      <c r="FH170" s="1641"/>
      <c r="FI170" s="1641"/>
      <c r="FJ170" s="1641"/>
      <c r="FK170" s="1641"/>
      <c r="FL170" s="1641"/>
      <c r="FM170" s="1641"/>
      <c r="FN170" s="1641"/>
      <c r="FO170" s="1641"/>
      <c r="FP170" s="1641"/>
      <c r="FQ170" s="1641"/>
      <c r="FR170" s="1641"/>
      <c r="FS170" s="1641"/>
      <c r="FT170" s="1641"/>
      <c r="FU170" s="1641"/>
      <c r="FV170" s="1641"/>
      <c r="FW170" s="1641"/>
      <c r="FX170" s="1641"/>
      <c r="FY170" s="1641"/>
      <c r="FZ170" s="1641"/>
      <c r="GA170" s="1641"/>
      <c r="GB170" s="1641"/>
      <c r="GC170" s="1641"/>
      <c r="GD170" s="1641"/>
      <c r="GE170" s="1641"/>
      <c r="GF170" s="1641"/>
      <c r="GG170" s="1641"/>
      <c r="GH170" s="1641"/>
      <c r="GI170" s="1641"/>
      <c r="GJ170" s="1641"/>
      <c r="GK170" s="1641"/>
      <c r="GL170" s="1641"/>
      <c r="GM170" s="1641"/>
      <c r="GN170" s="1641"/>
      <c r="GO170" s="1641"/>
      <c r="GP170" s="1641"/>
      <c r="GQ170" s="1641"/>
      <c r="GR170" s="1641"/>
      <c r="GS170" s="1641"/>
      <c r="GT170" s="1641"/>
      <c r="GU170" s="1641"/>
      <c r="GV170" s="1641"/>
      <c r="GW170" s="1641"/>
      <c r="GX170" s="1641"/>
      <c r="GY170" s="1641"/>
      <c r="GZ170" s="1641"/>
      <c r="HA170" s="1641"/>
      <c r="HB170" s="1641"/>
      <c r="HC170" s="1641"/>
      <c r="HD170" s="1641"/>
      <c r="HE170" s="1641"/>
      <c r="HF170" s="1641"/>
      <c r="HG170" s="1641"/>
      <c r="HH170" s="1641"/>
      <c r="HI170" s="1641"/>
      <c r="HJ170" s="1641"/>
      <c r="HK170" s="1641"/>
      <c r="HL170" s="1641"/>
      <c r="HM170" s="1641"/>
      <c r="HN170" s="1641"/>
      <c r="HO170" s="1641"/>
      <c r="HP170" s="1641"/>
      <c r="HQ170" s="1641"/>
      <c r="HR170" s="1641"/>
      <c r="HS170" s="1641"/>
      <c r="HT170" s="1641"/>
      <c r="HU170" s="1641"/>
      <c r="HV170" s="1641"/>
      <c r="HW170" s="1641"/>
      <c r="HX170" s="1641"/>
      <c r="HY170" s="1641"/>
      <c r="HZ170" s="1641"/>
      <c r="IA170" s="1641"/>
      <c r="IB170" s="1641"/>
      <c r="IC170" s="1641"/>
      <c r="ID170" s="1641"/>
      <c r="IE170" s="1641"/>
      <c r="IF170" s="1641"/>
      <c r="IG170" s="1641"/>
      <c r="IH170" s="1641"/>
      <c r="II170" s="1641"/>
      <c r="IJ170" s="1641"/>
      <c r="IK170" s="1641"/>
      <c r="IL170" s="1641"/>
      <c r="IM170" s="1641"/>
      <c r="IN170" s="1641"/>
      <c r="IO170" s="1641"/>
      <c r="IP170" s="1410"/>
      <c r="IQ170" s="1410"/>
      <c r="IR170" s="1410"/>
      <c r="IS170" s="1410"/>
      <c r="IT170" s="1410"/>
      <c r="IU170" s="1410"/>
      <c r="IV170" s="1410"/>
      <c r="IW170" s="1410"/>
      <c r="IX170" s="1641"/>
      <c r="IY170" s="1641"/>
      <c r="IZ170" s="1641"/>
      <c r="JA170" s="1641"/>
      <c r="JB170" s="1641"/>
      <c r="JC170" s="1641"/>
      <c r="JD170" s="1641"/>
      <c r="JE170" s="1641"/>
      <c r="JF170" s="1641"/>
      <c r="JG170" s="1641"/>
      <c r="JH170" s="1410"/>
      <c r="JI170" s="1410"/>
      <c r="JJ170" s="1410"/>
      <c r="JK170" s="1410"/>
      <c r="JL170" s="1410"/>
      <c r="JM170" s="1410"/>
      <c r="JN170" s="1410"/>
      <c r="JO170" s="1410"/>
      <c r="JP170" s="1410"/>
      <c r="JQ170" s="1405"/>
      <c r="JR170" s="351"/>
    </row>
    <row r="171" spans="1:278" x14ac:dyDescent="0.25">
      <c r="A171" s="1367">
        <v>171</v>
      </c>
      <c r="B171" s="1411" t="str">
        <f t="shared" si="17"/>
        <v/>
      </c>
      <c r="C171" s="1644" t="s">
        <v>4094</v>
      </c>
      <c r="D171" s="1645" t="s">
        <v>3985</v>
      </c>
      <c r="E171" s="1641"/>
      <c r="F171" s="1641"/>
      <c r="G171" s="1641"/>
      <c r="H171" s="1641"/>
      <c r="I171" s="1641"/>
      <c r="J171" s="1641"/>
      <c r="K171" s="1641"/>
      <c r="L171" s="1641"/>
      <c r="M171" s="1641"/>
      <c r="N171" s="1641"/>
      <c r="O171" s="1641"/>
      <c r="P171" s="1641"/>
      <c r="Q171" s="1641"/>
      <c r="R171" s="1641"/>
      <c r="S171" s="1641"/>
      <c r="T171" s="1641"/>
      <c r="U171" s="1641"/>
      <c r="V171" s="1641"/>
      <c r="W171" s="1641"/>
      <c r="X171" s="1641"/>
      <c r="Y171" s="1641"/>
      <c r="Z171" s="1641"/>
      <c r="AA171" s="1641"/>
      <c r="AB171" s="1641"/>
      <c r="AC171" s="1641"/>
      <c r="AD171" s="1641"/>
      <c r="AE171" s="1641"/>
      <c r="AF171" s="1641"/>
      <c r="AG171" s="1641"/>
      <c r="AH171" s="1641"/>
      <c r="AI171" s="1641"/>
      <c r="AJ171" s="1641"/>
      <c r="AK171" s="1641"/>
      <c r="AL171" s="1641"/>
      <c r="AM171" s="1641"/>
      <c r="AN171" s="1641"/>
      <c r="AO171" s="1641"/>
      <c r="AP171" s="1641"/>
      <c r="AQ171" s="1641"/>
      <c r="AR171" s="1641"/>
      <c r="AS171" s="1641"/>
      <c r="AT171" s="1641"/>
      <c r="AU171" s="1641"/>
      <c r="AV171" s="1641"/>
      <c r="AW171" s="1641"/>
      <c r="AX171" s="1641"/>
      <c r="AY171" s="1641"/>
      <c r="AZ171" s="1641"/>
      <c r="BA171" s="1641"/>
      <c r="BB171" s="1641"/>
      <c r="BC171" s="1641"/>
      <c r="BD171" s="1641"/>
      <c r="BE171" s="1641"/>
      <c r="BF171" s="1641"/>
      <c r="BG171" s="1641"/>
      <c r="BH171" s="1641"/>
      <c r="BI171" s="1641"/>
      <c r="BJ171" s="1641"/>
      <c r="BK171" s="1641"/>
      <c r="BL171" s="1641"/>
      <c r="BM171" s="1641"/>
      <c r="BN171" s="1641"/>
      <c r="BO171" s="1641"/>
      <c r="BP171" s="1641"/>
      <c r="BQ171" s="1641"/>
      <c r="BR171" s="1641"/>
      <c r="BS171" s="1641"/>
      <c r="BT171" s="1641"/>
      <c r="BU171" s="1641"/>
      <c r="BV171" s="1641"/>
      <c r="BW171" s="1641"/>
      <c r="BX171" s="1641"/>
      <c r="BY171" s="1641"/>
      <c r="BZ171" s="1641"/>
      <c r="CA171" s="1641"/>
      <c r="CB171" s="1641"/>
      <c r="CC171" s="1641"/>
      <c r="CD171" s="1641"/>
      <c r="CE171" s="1641"/>
      <c r="CF171" s="1641"/>
      <c r="CG171" s="1641"/>
      <c r="CH171" s="1641"/>
      <c r="CI171" s="1641"/>
      <c r="CJ171" s="1641"/>
      <c r="CK171" s="1641"/>
      <c r="CL171" s="1641"/>
      <c r="CM171" s="1641"/>
      <c r="CN171" s="1641"/>
      <c r="CO171" s="1641"/>
      <c r="CP171" s="1641"/>
      <c r="CQ171" s="1641"/>
      <c r="CR171" s="1641"/>
      <c r="CS171" s="1641"/>
      <c r="CT171" s="1641"/>
      <c r="CU171" s="1641"/>
      <c r="CV171" s="1641"/>
      <c r="CW171" s="1641"/>
      <c r="CX171" s="1641"/>
      <c r="CY171" s="1641"/>
      <c r="CZ171" s="1641"/>
      <c r="DA171" s="1641"/>
      <c r="DB171" s="1641"/>
      <c r="DC171" s="1641"/>
      <c r="DD171" s="1641"/>
      <c r="DE171" s="1641"/>
      <c r="DF171" s="1641"/>
      <c r="DG171" s="1641"/>
      <c r="DH171" s="1641"/>
      <c r="DI171" s="1641"/>
      <c r="DJ171" s="1641"/>
      <c r="DK171" s="1641"/>
      <c r="DL171" s="1641"/>
      <c r="DM171" s="1641"/>
      <c r="DN171" s="1641"/>
      <c r="DO171" s="1641"/>
      <c r="DP171" s="1641"/>
      <c r="DQ171" s="1641"/>
      <c r="DR171" s="1641"/>
      <c r="DS171" s="1641"/>
      <c r="DT171" s="1641"/>
      <c r="DU171" s="1641"/>
      <c r="DV171" s="1641"/>
      <c r="DW171" s="1641"/>
      <c r="DX171" s="1641"/>
      <c r="DY171" s="1641"/>
      <c r="DZ171" s="1641"/>
      <c r="EA171" s="1641"/>
      <c r="EB171" s="1641"/>
      <c r="EC171" s="1641"/>
      <c r="ED171" s="1641"/>
      <c r="EE171" s="1641"/>
      <c r="EF171" s="1641"/>
      <c r="EG171" s="1641"/>
      <c r="EH171" s="1641"/>
      <c r="EI171" s="1641"/>
      <c r="EJ171" s="1641"/>
      <c r="EK171" s="1641"/>
      <c r="EL171" s="1641"/>
      <c r="EM171" s="1641"/>
      <c r="EN171" s="1641"/>
      <c r="EO171" s="1641"/>
      <c r="EP171" s="1641"/>
      <c r="EQ171" s="1641"/>
      <c r="ER171" s="1641"/>
      <c r="ES171" s="1641"/>
      <c r="ET171" s="1641"/>
      <c r="EU171" s="1641"/>
      <c r="EV171" s="1641"/>
      <c r="EW171" s="1641"/>
      <c r="EX171" s="1641"/>
      <c r="EY171" s="1641"/>
      <c r="EZ171" s="1641"/>
      <c r="FA171" s="1641"/>
      <c r="FB171" s="1641"/>
      <c r="FC171" s="1641"/>
      <c r="FD171" s="1641"/>
      <c r="FE171" s="1641"/>
      <c r="FF171" s="1641"/>
      <c r="FG171" s="1641"/>
      <c r="FH171" s="1641"/>
      <c r="FI171" s="1641"/>
      <c r="FJ171" s="1641"/>
      <c r="FK171" s="1641"/>
      <c r="FL171" s="1641"/>
      <c r="FM171" s="1641"/>
      <c r="FN171" s="1641"/>
      <c r="FO171" s="1641"/>
      <c r="FP171" s="1641"/>
      <c r="FQ171" s="1641"/>
      <c r="FR171" s="1641"/>
      <c r="FS171" s="1641"/>
      <c r="FT171" s="1641"/>
      <c r="FU171" s="1641"/>
      <c r="FV171" s="1641"/>
      <c r="FW171" s="1641"/>
      <c r="FX171" s="1641"/>
      <c r="FY171" s="1641"/>
      <c r="FZ171" s="1641"/>
      <c r="GA171" s="1641"/>
      <c r="GB171" s="1641"/>
      <c r="GC171" s="1641"/>
      <c r="GD171" s="1641"/>
      <c r="GE171" s="1641"/>
      <c r="GF171" s="1641"/>
      <c r="GG171" s="1641"/>
      <c r="GH171" s="1641"/>
      <c r="GI171" s="1641"/>
      <c r="GJ171" s="1641"/>
      <c r="GK171" s="1641"/>
      <c r="GL171" s="1641"/>
      <c r="GM171" s="1641"/>
      <c r="GN171" s="1641"/>
      <c r="GO171" s="1641"/>
      <c r="GP171" s="1641"/>
      <c r="GQ171" s="1641"/>
      <c r="GR171" s="1641"/>
      <c r="GS171" s="1641"/>
      <c r="GT171" s="1641"/>
      <c r="GU171" s="1641"/>
      <c r="GV171" s="1641"/>
      <c r="GW171" s="1641"/>
      <c r="GX171" s="1641"/>
      <c r="GY171" s="1641"/>
      <c r="GZ171" s="1641"/>
      <c r="HA171" s="1641"/>
      <c r="HB171" s="1641"/>
      <c r="HC171" s="1641"/>
      <c r="HD171" s="1641"/>
      <c r="HE171" s="1641"/>
      <c r="HF171" s="1641"/>
      <c r="HG171" s="1641"/>
      <c r="HH171" s="1641"/>
      <c r="HI171" s="1641"/>
      <c r="HJ171" s="1641"/>
      <c r="HK171" s="1641"/>
      <c r="HL171" s="1641"/>
      <c r="HM171" s="1641"/>
      <c r="HN171" s="1641"/>
      <c r="HO171" s="1641"/>
      <c r="HP171" s="1641"/>
      <c r="HQ171" s="1641"/>
      <c r="HR171" s="1641"/>
      <c r="HS171" s="1641"/>
      <c r="HT171" s="1641"/>
      <c r="HU171" s="1641"/>
      <c r="HV171" s="1641"/>
      <c r="HW171" s="1641"/>
      <c r="HX171" s="1641"/>
      <c r="HY171" s="1641"/>
      <c r="HZ171" s="1641"/>
      <c r="IA171" s="1641"/>
      <c r="IB171" s="1641"/>
      <c r="IC171" s="1641"/>
      <c r="ID171" s="1641"/>
      <c r="IE171" s="1641"/>
      <c r="IF171" s="1641"/>
      <c r="IG171" s="1641"/>
      <c r="IH171" s="1641"/>
      <c r="II171" s="1641"/>
      <c r="IJ171" s="1641"/>
      <c r="IL171" s="1641"/>
      <c r="IM171" s="1641"/>
      <c r="IN171" s="1641"/>
      <c r="IO171" s="1641"/>
      <c r="IP171" s="1410"/>
      <c r="IQ171" s="1410"/>
      <c r="IR171" s="1410"/>
      <c r="IS171" s="1410"/>
      <c r="IT171" s="1410"/>
      <c r="IU171" s="1410"/>
      <c r="IV171" s="1410"/>
      <c r="IW171" s="1410"/>
      <c r="IX171" s="1641"/>
      <c r="IY171" s="1641"/>
      <c r="IZ171" s="1641"/>
      <c r="JA171" s="1641"/>
      <c r="JB171" s="1641"/>
      <c r="JC171" s="1641"/>
      <c r="JD171" s="1641"/>
      <c r="JE171" s="1641"/>
      <c r="JF171" s="1641"/>
      <c r="JG171" s="1641"/>
      <c r="JH171" s="1410"/>
      <c r="JI171" s="1410"/>
      <c r="JJ171" s="1410"/>
      <c r="JK171" s="1410"/>
      <c r="JL171" s="1410"/>
      <c r="JM171" s="1410"/>
      <c r="JN171" s="1410"/>
      <c r="JO171" s="1410"/>
      <c r="JP171" s="1410"/>
      <c r="JQ171" s="1405"/>
      <c r="JR171" s="351"/>
    </row>
    <row r="172" spans="1:278" x14ac:dyDescent="0.25">
      <c r="A172" s="1367">
        <v>172</v>
      </c>
      <c r="B172" s="1411" t="str">
        <f t="shared" si="17"/>
        <v/>
      </c>
      <c r="C172" s="1644" t="s">
        <v>4095</v>
      </c>
      <c r="D172" s="1645" t="s">
        <v>3851</v>
      </c>
      <c r="E172" s="1641"/>
      <c r="F172" s="1641"/>
      <c r="G172" s="1641"/>
      <c r="H172" s="1641"/>
      <c r="I172" s="1641"/>
      <c r="J172" s="1641"/>
      <c r="K172" s="1641"/>
      <c r="L172" s="1641"/>
      <c r="M172" s="1641"/>
      <c r="N172" s="1641"/>
      <c r="O172" s="1641"/>
      <c r="P172" s="1641"/>
      <c r="Q172" s="1641"/>
      <c r="R172" s="1641"/>
      <c r="S172" s="1641"/>
      <c r="T172" s="1641"/>
      <c r="U172" s="1641"/>
      <c r="V172" s="1641"/>
      <c r="W172" s="1641"/>
      <c r="X172" s="1641"/>
      <c r="Y172" s="1641"/>
      <c r="Z172" s="1641"/>
      <c r="AA172" s="1641"/>
      <c r="AB172" s="1641"/>
      <c r="AC172" s="1641"/>
      <c r="AD172" s="1641"/>
      <c r="AE172" s="1641"/>
      <c r="AF172" s="1641"/>
      <c r="AG172" s="1641"/>
      <c r="AH172" s="1641"/>
      <c r="AI172" s="1641"/>
      <c r="AJ172" s="1641"/>
      <c r="AK172" s="1641"/>
      <c r="AL172" s="1641"/>
      <c r="AM172" s="1641"/>
      <c r="AN172" s="1641"/>
      <c r="AO172" s="1641"/>
      <c r="AP172" s="1641"/>
      <c r="AQ172" s="1641"/>
      <c r="AR172" s="1641"/>
      <c r="AS172" s="1641"/>
      <c r="AT172" s="1641"/>
      <c r="AU172" s="1641"/>
      <c r="AV172" s="1641"/>
      <c r="AW172" s="1641"/>
      <c r="AX172" s="1641"/>
      <c r="AY172" s="1641"/>
      <c r="AZ172" s="1641"/>
      <c r="BA172" s="1641"/>
      <c r="BB172" s="1641"/>
      <c r="BC172" s="1641"/>
      <c r="BD172" s="1641"/>
      <c r="BE172" s="1641"/>
      <c r="BF172" s="1641"/>
      <c r="BG172" s="1641"/>
      <c r="BH172" s="1641"/>
      <c r="BI172" s="1641"/>
      <c r="BJ172" s="1641"/>
      <c r="BK172" s="1641"/>
      <c r="BL172" s="1641"/>
      <c r="BM172" s="1641"/>
      <c r="BN172" s="1641"/>
      <c r="BO172" s="1641"/>
      <c r="BP172" s="1641"/>
      <c r="BQ172" s="1641"/>
      <c r="BR172" s="1641"/>
      <c r="BS172" s="1641"/>
      <c r="BT172" s="1641"/>
      <c r="BU172" s="1641"/>
      <c r="BV172" s="1641"/>
      <c r="BW172" s="1641"/>
      <c r="BX172" s="1641"/>
      <c r="BY172" s="1641"/>
      <c r="BZ172" s="1641"/>
      <c r="CA172" s="1641"/>
      <c r="CB172" s="1641"/>
      <c r="CC172" s="1641"/>
      <c r="CD172" s="1641"/>
      <c r="CE172" s="1641"/>
      <c r="CF172" s="1641"/>
      <c r="CG172" s="1641"/>
      <c r="CH172" s="1641"/>
      <c r="CI172" s="1641"/>
      <c r="CJ172" s="1641"/>
      <c r="CK172" s="1641"/>
      <c r="CL172" s="1641"/>
      <c r="CM172" s="1641"/>
      <c r="CN172" s="1641"/>
      <c r="CO172" s="1641"/>
      <c r="CP172" s="1641"/>
      <c r="CQ172" s="1641"/>
      <c r="CR172" s="1641"/>
      <c r="CS172" s="1641"/>
      <c r="CT172" s="1641"/>
      <c r="CU172" s="1641"/>
      <c r="CV172" s="1641"/>
      <c r="CW172" s="1641"/>
      <c r="CX172" s="1641"/>
      <c r="CY172" s="1641"/>
      <c r="CZ172" s="1641"/>
      <c r="DA172" s="1641"/>
      <c r="DB172" s="1641"/>
      <c r="DC172" s="1641"/>
      <c r="DD172" s="1641"/>
      <c r="DE172" s="1641"/>
      <c r="DF172" s="1641"/>
      <c r="DG172" s="1641"/>
      <c r="DH172" s="1641"/>
      <c r="DI172" s="1641"/>
      <c r="DJ172" s="1641"/>
      <c r="DK172" s="1641"/>
      <c r="DL172" s="1641"/>
      <c r="DM172" s="1641"/>
      <c r="DN172" s="1641"/>
      <c r="DO172" s="1641"/>
      <c r="DP172" s="1641"/>
      <c r="DQ172" s="1641"/>
      <c r="DR172" s="1641"/>
      <c r="DS172" s="1641"/>
      <c r="DT172" s="1641"/>
      <c r="DU172" s="1641"/>
      <c r="DV172" s="1641"/>
      <c r="DW172" s="1641"/>
      <c r="DX172" s="1641"/>
      <c r="DY172" s="1641"/>
      <c r="DZ172" s="1641"/>
      <c r="EA172" s="1641"/>
      <c r="EB172" s="1641"/>
      <c r="EC172" s="1641"/>
      <c r="ED172" s="1641"/>
      <c r="EE172" s="1641"/>
      <c r="EF172" s="1641"/>
      <c r="EG172" s="1641"/>
      <c r="EH172" s="1641"/>
      <c r="EI172" s="1641"/>
      <c r="EJ172" s="1641"/>
      <c r="EK172" s="1641"/>
      <c r="EL172" s="1641"/>
      <c r="EM172" s="1641"/>
      <c r="EN172" s="1641"/>
      <c r="EO172" s="1641"/>
      <c r="EP172" s="1641"/>
      <c r="EQ172" s="1641"/>
      <c r="ER172" s="1641"/>
      <c r="ES172" s="1641"/>
      <c r="ET172" s="1641"/>
      <c r="EU172" s="1641"/>
      <c r="EV172" s="1641"/>
      <c r="EW172" s="1641"/>
      <c r="EX172" s="1641"/>
      <c r="EY172" s="1641"/>
      <c r="EZ172" s="1641"/>
      <c r="FA172" s="1641"/>
      <c r="FB172" s="1641"/>
      <c r="FC172" s="1641"/>
      <c r="FD172" s="1641"/>
      <c r="FE172" s="1641"/>
      <c r="FF172" s="1641"/>
      <c r="FG172" s="1641"/>
      <c r="FH172" s="1641"/>
      <c r="FI172" s="1641"/>
      <c r="FJ172" s="1641"/>
      <c r="FK172" s="1641"/>
      <c r="FL172" s="1641"/>
      <c r="FM172" s="1641"/>
      <c r="FN172" s="1641"/>
      <c r="FO172" s="1641"/>
      <c r="FP172" s="1641"/>
      <c r="FQ172" s="1641"/>
      <c r="FR172" s="1641"/>
      <c r="FS172" s="1641"/>
      <c r="FT172" s="1641"/>
      <c r="FU172" s="1641"/>
      <c r="FV172" s="1641"/>
      <c r="FW172" s="1641"/>
      <c r="FX172" s="1641"/>
      <c r="FY172" s="1641"/>
      <c r="FZ172" s="1641"/>
      <c r="GA172" s="1641"/>
      <c r="GB172" s="1641"/>
      <c r="GC172" s="1641"/>
      <c r="GD172" s="1641"/>
      <c r="GE172" s="1641"/>
      <c r="GF172" s="1641"/>
      <c r="GG172" s="1641"/>
      <c r="GH172" s="1641"/>
      <c r="GI172" s="1641"/>
      <c r="GJ172" s="1641"/>
      <c r="GK172" s="1641"/>
      <c r="GL172" s="1641"/>
      <c r="GM172" s="1641"/>
      <c r="GN172" s="1641"/>
      <c r="GO172" s="1641"/>
      <c r="GP172" s="1641"/>
      <c r="GQ172" s="1641"/>
      <c r="GR172" s="1641"/>
      <c r="GS172" s="1641"/>
      <c r="GT172" s="1641"/>
      <c r="GU172" s="1641"/>
      <c r="GV172" s="1641"/>
      <c r="GW172" s="1641"/>
      <c r="GX172" s="1641"/>
      <c r="GY172" s="1641"/>
      <c r="GZ172" s="1641"/>
      <c r="HA172" s="1641"/>
      <c r="HB172" s="1641"/>
      <c r="HC172" s="1641"/>
      <c r="HD172" s="1641"/>
      <c r="HE172" s="1641"/>
      <c r="HF172" s="1641"/>
      <c r="HG172" s="1641"/>
      <c r="HH172" s="1641"/>
      <c r="HI172" s="1641"/>
      <c r="HJ172" s="1641"/>
      <c r="HK172" s="1641"/>
      <c r="HL172" s="1641"/>
      <c r="HM172" s="1641"/>
      <c r="HN172" s="1641"/>
      <c r="HO172" s="1641"/>
      <c r="HP172" s="1641"/>
      <c r="HQ172" s="1641"/>
      <c r="HR172" s="1641"/>
      <c r="HS172" s="1641"/>
      <c r="HT172" s="1641"/>
      <c r="HU172" s="1641"/>
      <c r="HV172" s="1641"/>
      <c r="HW172" s="1641"/>
      <c r="HX172" s="1641"/>
      <c r="HY172" s="1641"/>
      <c r="HZ172" s="1641"/>
      <c r="IA172" s="1641"/>
      <c r="IB172" s="1641"/>
      <c r="IC172" s="1641"/>
      <c r="ID172" s="1641"/>
      <c r="IE172" s="1641"/>
      <c r="IF172" s="1641"/>
      <c r="IG172" s="1641"/>
      <c r="IH172" s="1641"/>
      <c r="II172" s="1641"/>
      <c r="IJ172" s="1641"/>
      <c r="IK172" s="1638" t="s">
        <v>3854</v>
      </c>
      <c r="IL172" s="1638" t="s">
        <v>3861</v>
      </c>
      <c r="IM172" s="1641"/>
      <c r="IN172" s="1641"/>
      <c r="IO172" s="1641"/>
      <c r="IP172" s="1410"/>
      <c r="IQ172" s="1410"/>
      <c r="IR172" s="1410"/>
      <c r="IS172" s="1410"/>
      <c r="IT172" s="1410"/>
      <c r="IU172" s="1410"/>
      <c r="IV172" s="1410"/>
      <c r="IW172" s="1410"/>
      <c r="IX172" s="1641"/>
      <c r="IY172" s="1641"/>
      <c r="IZ172" s="1641"/>
      <c r="JA172" s="1641"/>
      <c r="JB172" s="1641"/>
      <c r="JC172" s="1641"/>
      <c r="JD172" s="1641"/>
      <c r="JE172" s="1641"/>
      <c r="JF172" s="1641"/>
      <c r="JG172" s="1641"/>
      <c r="JH172" s="1410"/>
      <c r="JI172" s="1410"/>
      <c r="JJ172" s="1410"/>
      <c r="JK172" s="1410"/>
      <c r="JL172" s="1410"/>
      <c r="JM172" s="1410"/>
      <c r="JN172" s="1410"/>
      <c r="JO172" s="1410"/>
      <c r="JP172" s="1410"/>
      <c r="JQ172" s="1405"/>
      <c r="JR172" s="351"/>
    </row>
    <row r="173" spans="1:278" x14ac:dyDescent="0.25">
      <c r="A173" s="1367">
        <v>173</v>
      </c>
      <c r="B173" s="1411" t="str">
        <f t="shared" si="17"/>
        <v/>
      </c>
      <c r="C173" s="1644" t="s">
        <v>4096</v>
      </c>
      <c r="D173" s="1645" t="s">
        <v>3867</v>
      </c>
      <c r="E173" s="1641"/>
      <c r="F173" s="1641"/>
      <c r="G173" s="1641"/>
      <c r="H173" s="1641"/>
      <c r="I173" s="1641"/>
      <c r="J173" s="1641"/>
      <c r="K173" s="1641"/>
      <c r="L173" s="1641"/>
      <c r="M173" s="1641"/>
      <c r="N173" s="1641"/>
      <c r="O173" s="1641"/>
      <c r="P173" s="1641"/>
      <c r="Q173" s="1641"/>
      <c r="R173" s="1641"/>
      <c r="S173" s="1641"/>
      <c r="T173" s="1641"/>
      <c r="U173" s="1641"/>
      <c r="V173" s="1641"/>
      <c r="W173" s="1641"/>
      <c r="X173" s="1641"/>
      <c r="Y173" s="1641"/>
      <c r="Z173" s="1641"/>
      <c r="AA173" s="1641"/>
      <c r="AB173" s="1641"/>
      <c r="AC173" s="1641"/>
      <c r="AD173" s="1641"/>
      <c r="AE173" s="1641"/>
      <c r="AF173" s="1641"/>
      <c r="AG173" s="1641"/>
      <c r="AH173" s="1641"/>
      <c r="AI173" s="1641"/>
      <c r="AJ173" s="1641"/>
      <c r="AK173" s="1641"/>
      <c r="AL173" s="1641"/>
      <c r="AM173" s="1641"/>
      <c r="AN173" s="1641"/>
      <c r="AO173" s="1641"/>
      <c r="AP173" s="1641"/>
      <c r="AQ173" s="1641"/>
      <c r="AR173" s="1641"/>
      <c r="AS173" s="1641"/>
      <c r="AT173" s="1641"/>
      <c r="AU173" s="1641"/>
      <c r="AV173" s="1641"/>
      <c r="AW173" s="1641"/>
      <c r="AX173" s="1641"/>
      <c r="AY173" s="1641"/>
      <c r="AZ173" s="1641"/>
      <c r="BA173" s="1641"/>
      <c r="BB173" s="1641"/>
      <c r="BC173" s="1641"/>
      <c r="BD173" s="1641"/>
      <c r="BE173" s="1641"/>
      <c r="BF173" s="1641"/>
      <c r="BG173" s="1641"/>
      <c r="BH173" s="1641"/>
      <c r="BI173" s="1641"/>
      <c r="BJ173" s="1641"/>
      <c r="BK173" s="1641"/>
      <c r="BL173" s="1641"/>
      <c r="BM173" s="1641"/>
      <c r="BN173" s="1641"/>
      <c r="BO173" s="1641"/>
      <c r="BP173" s="1641"/>
      <c r="BQ173" s="1641"/>
      <c r="BR173" s="1641"/>
      <c r="BS173" s="1641"/>
      <c r="BT173" s="1641"/>
      <c r="BU173" s="1641"/>
      <c r="BV173" s="1641"/>
      <c r="BW173" s="1641"/>
      <c r="BX173" s="1641"/>
      <c r="BY173" s="1641"/>
      <c r="BZ173" s="1641"/>
      <c r="CA173" s="1641"/>
      <c r="CB173" s="1641"/>
      <c r="CC173" s="1641"/>
      <c r="CD173" s="1641"/>
      <c r="CE173" s="1641"/>
      <c r="CF173" s="1641"/>
      <c r="CG173" s="1641"/>
      <c r="CH173" s="1641"/>
      <c r="CI173" s="1641"/>
      <c r="CJ173" s="1641"/>
      <c r="CK173" s="1641"/>
      <c r="CL173" s="1641"/>
      <c r="CM173" s="1641"/>
      <c r="CN173" s="1641"/>
      <c r="CO173" s="1641"/>
      <c r="CP173" s="1641"/>
      <c r="CQ173" s="1641"/>
      <c r="CR173" s="1641"/>
      <c r="CS173" s="1641"/>
      <c r="CT173" s="1641"/>
      <c r="CU173" s="1641"/>
      <c r="CV173" s="1641"/>
      <c r="CW173" s="1641"/>
      <c r="CX173" s="1641"/>
      <c r="CY173" s="1641"/>
      <c r="CZ173" s="1641"/>
      <c r="DA173" s="1641"/>
      <c r="DB173" s="1641"/>
      <c r="DC173" s="1641"/>
      <c r="DD173" s="1641"/>
      <c r="DE173" s="1641"/>
      <c r="DF173" s="1641"/>
      <c r="DG173" s="1641"/>
      <c r="DH173" s="1641"/>
      <c r="DI173" s="1641"/>
      <c r="DJ173" s="1641"/>
      <c r="DK173" s="1641"/>
      <c r="DL173" s="1641"/>
      <c r="DM173" s="1641"/>
      <c r="DN173" s="1641"/>
      <c r="DO173" s="1641"/>
      <c r="DP173" s="1641"/>
      <c r="DQ173" s="1641"/>
      <c r="DR173" s="1641"/>
      <c r="DS173" s="1641"/>
      <c r="DT173" s="1641"/>
      <c r="DU173" s="1641"/>
      <c r="DV173" s="1641"/>
      <c r="DW173" s="1641"/>
      <c r="DX173" s="1641"/>
      <c r="DY173" s="1641"/>
      <c r="DZ173" s="1641"/>
      <c r="EA173" s="1641"/>
      <c r="EB173" s="1641"/>
      <c r="EC173" s="1641"/>
      <c r="ED173" s="1641"/>
      <c r="EE173" s="1641"/>
      <c r="EF173" s="1641"/>
      <c r="EG173" s="1641"/>
      <c r="EH173" s="1641"/>
      <c r="EI173" s="1641"/>
      <c r="EJ173" s="1641"/>
      <c r="EK173" s="1641"/>
      <c r="EL173" s="1641"/>
      <c r="EM173" s="1641"/>
      <c r="EN173" s="1641"/>
      <c r="EO173" s="1641"/>
      <c r="EP173" s="1641"/>
      <c r="EQ173" s="1641"/>
      <c r="ER173" s="1641"/>
      <c r="ES173" s="1641"/>
      <c r="ET173" s="1641"/>
      <c r="EU173" s="1641"/>
      <c r="EV173" s="1641"/>
      <c r="EW173" s="1641"/>
      <c r="EX173" s="1641"/>
      <c r="EY173" s="1641"/>
      <c r="EZ173" s="1641"/>
      <c r="FA173" s="1641"/>
      <c r="FB173" s="1641"/>
      <c r="FC173" s="1641"/>
      <c r="FD173" s="1641"/>
      <c r="FE173" s="1641"/>
      <c r="FF173" s="1641"/>
      <c r="FG173" s="1641"/>
      <c r="FH173" s="1641"/>
      <c r="FI173" s="1641"/>
      <c r="FJ173" s="1641"/>
      <c r="FK173" s="1641"/>
      <c r="FL173" s="1641"/>
      <c r="FM173" s="1641"/>
      <c r="FN173" s="1641"/>
      <c r="FO173" s="1641"/>
      <c r="FP173" s="1641"/>
      <c r="FQ173" s="1641"/>
      <c r="FR173" s="1641"/>
      <c r="FS173" s="1641"/>
      <c r="FT173" s="1641"/>
      <c r="FU173" s="1641"/>
      <c r="FV173" s="1641"/>
      <c r="FW173" s="1641"/>
      <c r="FX173" s="1641"/>
      <c r="FY173" s="1641"/>
      <c r="FZ173" s="1641"/>
      <c r="GA173" s="1641"/>
      <c r="GB173" s="1641"/>
      <c r="GC173" s="1641"/>
      <c r="GD173" s="1641"/>
      <c r="GE173" s="1641"/>
      <c r="GF173" s="1641"/>
      <c r="GG173" s="1641"/>
      <c r="GH173" s="1641"/>
      <c r="GI173" s="1641"/>
      <c r="GJ173" s="1641"/>
      <c r="GK173" s="1641"/>
      <c r="GL173" s="1641"/>
      <c r="GM173" s="1641"/>
      <c r="GN173" s="1641"/>
      <c r="GO173" s="1641"/>
      <c r="GP173" s="1641"/>
      <c r="GQ173" s="1641"/>
      <c r="GR173" s="1641"/>
      <c r="GS173" s="1641"/>
      <c r="GT173" s="1641"/>
      <c r="GU173" s="1641"/>
      <c r="GV173" s="1641"/>
      <c r="GW173" s="1641"/>
      <c r="GX173" s="1641"/>
      <c r="GY173" s="1641"/>
      <c r="GZ173" s="1641"/>
      <c r="HA173" s="1641"/>
      <c r="HB173" s="1641"/>
      <c r="HC173" s="1641"/>
      <c r="HD173" s="1641"/>
      <c r="HE173" s="1641"/>
      <c r="HF173" s="1641"/>
      <c r="HG173" s="1641"/>
      <c r="HH173" s="1641"/>
      <c r="HI173" s="1641"/>
      <c r="HJ173" s="1641"/>
      <c r="HK173" s="1641"/>
      <c r="HL173" s="1641"/>
      <c r="HM173" s="1641"/>
      <c r="HN173" s="1641"/>
      <c r="HO173" s="1641"/>
      <c r="HP173" s="1641"/>
      <c r="HQ173" s="1641"/>
      <c r="HR173" s="1641"/>
      <c r="HS173" s="1641"/>
      <c r="HT173" s="1641"/>
      <c r="HU173" s="1641"/>
      <c r="HV173" s="1641"/>
      <c r="HW173" s="1641"/>
      <c r="HX173" s="1641"/>
      <c r="HY173" s="1641"/>
      <c r="HZ173" s="1641"/>
      <c r="IA173" s="1641"/>
      <c r="IB173" s="1641"/>
      <c r="IC173" s="1641"/>
      <c r="ID173" s="1641"/>
      <c r="IE173" s="1641"/>
      <c r="IF173" s="1641"/>
      <c r="IG173" s="1641"/>
      <c r="IH173" s="1641"/>
      <c r="II173" s="1641"/>
      <c r="IJ173" s="1641"/>
      <c r="IK173" s="1636">
        <v>2798</v>
      </c>
      <c r="IL173" s="1636">
        <v>3770</v>
      </c>
      <c r="IM173" s="1641"/>
      <c r="IN173" s="1641"/>
      <c r="IO173" s="1641"/>
      <c r="IP173" s="1410"/>
      <c r="IQ173" s="1410"/>
      <c r="IR173" s="1410"/>
      <c r="IS173" s="1410"/>
      <c r="IT173" s="1410"/>
      <c r="IU173" s="1410"/>
      <c r="IV173" s="1410"/>
      <c r="IW173" s="1410"/>
      <c r="IX173" s="1641"/>
      <c r="IY173" s="1641"/>
      <c r="IZ173" s="1641"/>
      <c r="JA173" s="1641"/>
      <c r="JB173" s="1641"/>
      <c r="JC173" s="1641"/>
      <c r="JD173" s="1641"/>
      <c r="JE173" s="1641"/>
      <c r="JF173" s="1641"/>
      <c r="JG173" s="1641"/>
      <c r="JH173" s="1410"/>
      <c r="JI173" s="1410"/>
      <c r="JJ173" s="1410"/>
      <c r="JK173" s="1410"/>
      <c r="JL173" s="1410"/>
      <c r="JM173" s="1410"/>
      <c r="JN173" s="1410"/>
      <c r="JO173" s="1410"/>
      <c r="JP173" s="1410"/>
      <c r="JQ173" s="1405"/>
      <c r="JR173" s="351"/>
    </row>
    <row r="174" spans="1:278" x14ac:dyDescent="0.25">
      <c r="A174" s="1367">
        <v>174</v>
      </c>
      <c r="B174" s="1411" t="str">
        <f t="shared" si="17"/>
        <v/>
      </c>
      <c r="C174" s="1644" t="s">
        <v>4097</v>
      </c>
      <c r="D174" s="1645" t="s">
        <v>3869</v>
      </c>
      <c r="E174" s="1641"/>
      <c r="F174" s="1641"/>
      <c r="G174" s="1641"/>
      <c r="H174" s="1641"/>
      <c r="I174" s="1641"/>
      <c r="J174" s="1641"/>
      <c r="K174" s="1641"/>
      <c r="L174" s="1641"/>
      <c r="M174" s="1641"/>
      <c r="N174" s="1641"/>
      <c r="O174" s="1641"/>
      <c r="P174" s="1641"/>
      <c r="Q174" s="1641"/>
      <c r="R174" s="1641"/>
      <c r="S174" s="1641"/>
      <c r="T174" s="1641"/>
      <c r="U174" s="1641"/>
      <c r="V174" s="1641"/>
      <c r="W174" s="1641"/>
      <c r="X174" s="1641"/>
      <c r="Y174" s="1641"/>
      <c r="Z174" s="1641"/>
      <c r="AA174" s="1641"/>
      <c r="AB174" s="1641"/>
      <c r="AC174" s="1641"/>
      <c r="AD174" s="1641"/>
      <c r="AE174" s="1641"/>
      <c r="AF174" s="1641"/>
      <c r="AG174" s="1641"/>
      <c r="AH174" s="1641"/>
      <c r="AI174" s="1641"/>
      <c r="AJ174" s="1641"/>
      <c r="AK174" s="1641"/>
      <c r="AL174" s="1641"/>
      <c r="AM174" s="1641"/>
      <c r="AN174" s="1641"/>
      <c r="AO174" s="1641"/>
      <c r="AP174" s="1641"/>
      <c r="AQ174" s="1641"/>
      <c r="AR174" s="1641"/>
      <c r="AS174" s="1641"/>
      <c r="AT174" s="1641"/>
      <c r="AU174" s="1641"/>
      <c r="AV174" s="1641"/>
      <c r="AW174" s="1641"/>
      <c r="AX174" s="1641"/>
      <c r="AY174" s="1641"/>
      <c r="AZ174" s="1641"/>
      <c r="BA174" s="1641"/>
      <c r="BB174" s="1641"/>
      <c r="BC174" s="1641"/>
      <c r="BD174" s="1641"/>
      <c r="BE174" s="1641"/>
      <c r="BF174" s="1641"/>
      <c r="BG174" s="1641"/>
      <c r="BH174" s="1641"/>
      <c r="BI174" s="1641"/>
      <c r="BJ174" s="1641"/>
      <c r="BK174" s="1641"/>
      <c r="BL174" s="1641"/>
      <c r="BM174" s="1641"/>
      <c r="BN174" s="1641"/>
      <c r="BO174" s="1641"/>
      <c r="BP174" s="1641"/>
      <c r="BQ174" s="1641"/>
      <c r="BR174" s="1641"/>
      <c r="BS174" s="1641"/>
      <c r="BT174" s="1641"/>
      <c r="BU174" s="1641"/>
      <c r="BV174" s="1641"/>
      <c r="BW174" s="1641"/>
      <c r="BX174" s="1641"/>
      <c r="BY174" s="1641"/>
      <c r="BZ174" s="1641"/>
      <c r="CA174" s="1641"/>
      <c r="CB174" s="1641"/>
      <c r="CC174" s="1641"/>
      <c r="CD174" s="1641"/>
      <c r="CE174" s="1641"/>
      <c r="CF174" s="1641"/>
      <c r="CG174" s="1641"/>
      <c r="CH174" s="1641"/>
      <c r="CI174" s="1641"/>
      <c r="CJ174" s="1641"/>
      <c r="CK174" s="1641"/>
      <c r="CL174" s="1641"/>
      <c r="CM174" s="1641"/>
      <c r="CN174" s="1641"/>
      <c r="CO174" s="1641"/>
      <c r="CP174" s="1641"/>
      <c r="CQ174" s="1641"/>
      <c r="CR174" s="1641"/>
      <c r="CS174" s="1641"/>
      <c r="CT174" s="1641"/>
      <c r="CU174" s="1641"/>
      <c r="CV174" s="1641"/>
      <c r="CW174" s="1641"/>
      <c r="CX174" s="1641"/>
      <c r="CY174" s="1641"/>
      <c r="CZ174" s="1641"/>
      <c r="DA174" s="1641"/>
      <c r="DB174" s="1641"/>
      <c r="DC174" s="1641"/>
      <c r="DD174" s="1641"/>
      <c r="DE174" s="1641"/>
      <c r="DF174" s="1641"/>
      <c r="DG174" s="1641"/>
      <c r="DH174" s="1641"/>
      <c r="DI174" s="1641"/>
      <c r="DJ174" s="1641"/>
      <c r="DK174" s="1641"/>
      <c r="DL174" s="1641"/>
      <c r="DM174" s="1641"/>
      <c r="DN174" s="1641"/>
      <c r="DO174" s="1641"/>
      <c r="DP174" s="1641"/>
      <c r="DQ174" s="1641"/>
      <c r="DR174" s="1641"/>
      <c r="DS174" s="1641"/>
      <c r="DT174" s="1641"/>
      <c r="DU174" s="1641"/>
      <c r="DV174" s="1641"/>
      <c r="DW174" s="1641"/>
      <c r="DX174" s="1641"/>
      <c r="DY174" s="1641"/>
      <c r="DZ174" s="1641"/>
      <c r="EA174" s="1641"/>
      <c r="EB174" s="1641"/>
      <c r="EC174" s="1641"/>
      <c r="ED174" s="1641"/>
      <c r="EE174" s="1641"/>
      <c r="EF174" s="1641"/>
      <c r="EG174" s="1641"/>
      <c r="EH174" s="1641"/>
      <c r="EI174" s="1641"/>
      <c r="EJ174" s="1641"/>
      <c r="EK174" s="1641"/>
      <c r="EL174" s="1641"/>
      <c r="EM174" s="1641"/>
      <c r="EN174" s="1641"/>
      <c r="EO174" s="1641"/>
      <c r="EP174" s="1641"/>
      <c r="EQ174" s="1641"/>
      <c r="ER174" s="1641"/>
      <c r="ES174" s="1641"/>
      <c r="ET174" s="1641"/>
      <c r="EU174" s="1641"/>
      <c r="EV174" s="1641"/>
      <c r="EW174" s="1641"/>
      <c r="EX174" s="1641"/>
      <c r="EY174" s="1641"/>
      <c r="EZ174" s="1641"/>
      <c r="FA174" s="1641"/>
      <c r="FB174" s="1641"/>
      <c r="FC174" s="1641"/>
      <c r="FD174" s="1641"/>
      <c r="FE174" s="1641"/>
      <c r="FF174" s="1641"/>
      <c r="FG174" s="1641"/>
      <c r="FH174" s="1641"/>
      <c r="FI174" s="1641"/>
      <c r="FJ174" s="1641"/>
      <c r="FK174" s="1641"/>
      <c r="FL174" s="1641"/>
      <c r="FM174" s="1641"/>
      <c r="FN174" s="1641"/>
      <c r="FO174" s="1641"/>
      <c r="FP174" s="1641"/>
      <c r="FQ174" s="1641"/>
      <c r="FR174" s="1641"/>
      <c r="FS174" s="1641"/>
      <c r="FT174" s="1641"/>
      <c r="FU174" s="1641"/>
      <c r="FV174" s="1641"/>
      <c r="FW174" s="1641"/>
      <c r="FX174" s="1641"/>
      <c r="FY174" s="1641"/>
      <c r="FZ174" s="1641"/>
      <c r="GA174" s="1641"/>
      <c r="GB174" s="1641"/>
      <c r="GC174" s="1641"/>
      <c r="GD174" s="1641"/>
      <c r="GE174" s="1641"/>
      <c r="GF174" s="1641"/>
      <c r="GG174" s="1641"/>
      <c r="GH174" s="1641"/>
      <c r="GI174" s="1641"/>
      <c r="GJ174" s="1641"/>
      <c r="GK174" s="1641"/>
      <c r="GL174" s="1641"/>
      <c r="GM174" s="1641"/>
      <c r="GN174" s="1641"/>
      <c r="GO174" s="1641"/>
      <c r="GP174" s="1641"/>
      <c r="GQ174" s="1641"/>
      <c r="GR174" s="1641"/>
      <c r="GS174" s="1641"/>
      <c r="GT174" s="1641"/>
      <c r="GU174" s="1641"/>
      <c r="GV174" s="1641"/>
      <c r="GW174" s="1641"/>
      <c r="GX174" s="1641"/>
      <c r="GY174" s="1641"/>
      <c r="GZ174" s="1641"/>
      <c r="HA174" s="1641"/>
      <c r="HB174" s="1641"/>
      <c r="HC174" s="1641"/>
      <c r="HD174" s="1641"/>
      <c r="HE174" s="1641"/>
      <c r="HF174" s="1641"/>
      <c r="HG174" s="1641"/>
      <c r="HH174" s="1641"/>
      <c r="HI174" s="1641"/>
      <c r="HJ174" s="1641"/>
      <c r="HK174" s="1641"/>
      <c r="HL174" s="1641"/>
      <c r="HM174" s="1641"/>
      <c r="HN174" s="1641"/>
      <c r="HO174" s="1641"/>
      <c r="HP174" s="1641"/>
      <c r="HQ174" s="1641"/>
      <c r="HR174" s="1641"/>
      <c r="HS174" s="1641"/>
      <c r="HT174" s="1641"/>
      <c r="HU174" s="1641"/>
      <c r="HV174" s="1641"/>
      <c r="HW174" s="1641"/>
      <c r="HX174" s="1641"/>
      <c r="HY174" s="1641"/>
      <c r="HZ174" s="1641"/>
      <c r="IA174" s="1641"/>
      <c r="IB174" s="1641"/>
      <c r="IC174" s="1641"/>
      <c r="ID174" s="1641"/>
      <c r="IE174" s="1641"/>
      <c r="IF174" s="1641"/>
      <c r="IG174" s="1641"/>
      <c r="IH174" s="1641"/>
      <c r="II174" s="1641"/>
      <c r="IJ174" s="1641"/>
      <c r="IK174" s="1641"/>
      <c r="IL174" s="1636">
        <v>867</v>
      </c>
      <c r="IM174" s="1641"/>
      <c r="IN174" s="1641"/>
      <c r="IO174" s="1641"/>
      <c r="IP174" s="1410"/>
      <c r="IQ174" s="1410"/>
      <c r="IR174" s="1410"/>
      <c r="IS174" s="1410"/>
      <c r="IT174" s="1410"/>
      <c r="IU174" s="1410"/>
      <c r="IV174" s="1410"/>
      <c r="IW174" s="1410"/>
      <c r="IX174" s="1641"/>
      <c r="IY174" s="1641"/>
      <c r="IZ174" s="1641"/>
      <c r="JA174" s="1641"/>
      <c r="JB174" s="1641"/>
      <c r="JC174" s="1641"/>
      <c r="JD174" s="1641"/>
      <c r="JE174" s="1641"/>
      <c r="JF174" s="1641"/>
      <c r="JG174" s="1641"/>
      <c r="JH174" s="1410"/>
      <c r="JI174" s="1410"/>
      <c r="JJ174" s="1410"/>
      <c r="JK174" s="1410"/>
      <c r="JL174" s="1410"/>
      <c r="JM174" s="1410"/>
      <c r="JN174" s="1410"/>
      <c r="JO174" s="1410"/>
      <c r="JP174" s="1410"/>
      <c r="JQ174" s="1405"/>
      <c r="JR174" s="351"/>
    </row>
    <row r="175" spans="1:278" x14ac:dyDescent="0.25">
      <c r="A175" s="1367">
        <v>175</v>
      </c>
      <c r="B175" s="1411" t="str">
        <f t="shared" si="17"/>
        <v/>
      </c>
      <c r="C175" s="1644" t="s">
        <v>4098</v>
      </c>
      <c r="D175" s="1645" t="s">
        <v>3871</v>
      </c>
      <c r="E175" s="1641"/>
      <c r="F175" s="1641"/>
      <c r="G175" s="1641"/>
      <c r="H175" s="1641"/>
      <c r="I175" s="1641"/>
      <c r="J175" s="1641"/>
      <c r="K175" s="1641"/>
      <c r="L175" s="1641"/>
      <c r="M175" s="1641"/>
      <c r="N175" s="1641"/>
      <c r="O175" s="1641"/>
      <c r="P175" s="1641"/>
      <c r="Q175" s="1641"/>
      <c r="R175" s="1641"/>
      <c r="S175" s="1641"/>
      <c r="T175" s="1641"/>
      <c r="U175" s="1641"/>
      <c r="V175" s="1641"/>
      <c r="W175" s="1641"/>
      <c r="X175" s="1641"/>
      <c r="Y175" s="1641"/>
      <c r="Z175" s="1641"/>
      <c r="AA175" s="1641"/>
      <c r="AB175" s="1641"/>
      <c r="AC175" s="1641"/>
      <c r="AD175" s="1641"/>
      <c r="AE175" s="1641"/>
      <c r="AF175" s="1641"/>
      <c r="AG175" s="1641"/>
      <c r="AH175" s="1641"/>
      <c r="AI175" s="1641"/>
      <c r="AJ175" s="1641"/>
      <c r="AK175" s="1641"/>
      <c r="AL175" s="1641"/>
      <c r="AM175" s="1641"/>
      <c r="AN175" s="1641"/>
      <c r="AO175" s="1641"/>
      <c r="AP175" s="1641"/>
      <c r="AQ175" s="1641"/>
      <c r="AR175" s="1641"/>
      <c r="AS175" s="1641"/>
      <c r="AT175" s="1641"/>
      <c r="AU175" s="1641"/>
      <c r="AV175" s="1641"/>
      <c r="AW175" s="1641"/>
      <c r="AX175" s="1641"/>
      <c r="AY175" s="1641"/>
      <c r="AZ175" s="1641"/>
      <c r="BA175" s="1641"/>
      <c r="BB175" s="1641"/>
      <c r="BC175" s="1641"/>
      <c r="BD175" s="1641"/>
      <c r="BE175" s="1641"/>
      <c r="BF175" s="1641"/>
      <c r="BG175" s="1641"/>
      <c r="BH175" s="1641"/>
      <c r="BI175" s="1641"/>
      <c r="BJ175" s="1641"/>
      <c r="BK175" s="1641"/>
      <c r="BL175" s="1641"/>
      <c r="BM175" s="1641"/>
      <c r="BN175" s="1641"/>
      <c r="BO175" s="1641"/>
      <c r="BP175" s="1641"/>
      <c r="BQ175" s="1641"/>
      <c r="BR175" s="1641"/>
      <c r="BS175" s="1641"/>
      <c r="BT175" s="1641"/>
      <c r="BU175" s="1641"/>
      <c r="BV175" s="1641"/>
      <c r="BW175" s="1641"/>
      <c r="BX175" s="1641"/>
      <c r="BY175" s="1641"/>
      <c r="BZ175" s="1641"/>
      <c r="CA175" s="1641"/>
      <c r="CB175" s="1641"/>
      <c r="CC175" s="1641"/>
      <c r="CD175" s="1641"/>
      <c r="CE175" s="1641"/>
      <c r="CF175" s="1641"/>
      <c r="CG175" s="1641"/>
      <c r="CH175" s="1641"/>
      <c r="CI175" s="1641"/>
      <c r="CJ175" s="1641"/>
      <c r="CK175" s="1641"/>
      <c r="CL175" s="1641"/>
      <c r="CM175" s="1641"/>
      <c r="CN175" s="1641"/>
      <c r="CO175" s="1641"/>
      <c r="CP175" s="1641"/>
      <c r="CQ175" s="1641"/>
      <c r="CR175" s="1641"/>
      <c r="CS175" s="1641"/>
      <c r="CT175" s="1641"/>
      <c r="CU175" s="1641"/>
      <c r="CV175" s="1641"/>
      <c r="CW175" s="1641"/>
      <c r="CX175" s="1641"/>
      <c r="CY175" s="1641"/>
      <c r="CZ175" s="1641"/>
      <c r="DA175" s="1641"/>
      <c r="DB175" s="1641"/>
      <c r="DC175" s="1641"/>
      <c r="DD175" s="1641"/>
      <c r="DE175" s="1641"/>
      <c r="DF175" s="1641"/>
      <c r="DG175" s="1641"/>
      <c r="DH175" s="1641"/>
      <c r="DI175" s="1641"/>
      <c r="DJ175" s="1641"/>
      <c r="DK175" s="1641"/>
      <c r="DL175" s="1641"/>
      <c r="DM175" s="1641"/>
      <c r="DN175" s="1641"/>
      <c r="DO175" s="1641"/>
      <c r="DP175" s="1641"/>
      <c r="DQ175" s="1641"/>
      <c r="DR175" s="1641"/>
      <c r="DS175" s="1641"/>
      <c r="DT175" s="1641"/>
      <c r="DU175" s="1641"/>
      <c r="DV175" s="1641"/>
      <c r="DW175" s="1641"/>
      <c r="DX175" s="1641"/>
      <c r="DY175" s="1641"/>
      <c r="DZ175" s="1641"/>
      <c r="EA175" s="1641"/>
      <c r="EB175" s="1641"/>
      <c r="EC175" s="1641"/>
      <c r="ED175" s="1641"/>
      <c r="EE175" s="1641"/>
      <c r="EF175" s="1641"/>
      <c r="EG175" s="1641"/>
      <c r="EH175" s="1641"/>
      <c r="EI175" s="1641"/>
      <c r="EJ175" s="1641"/>
      <c r="EK175" s="1641"/>
      <c r="EL175" s="1641"/>
      <c r="EM175" s="1641"/>
      <c r="EN175" s="1641"/>
      <c r="EO175" s="1641"/>
      <c r="EP175" s="1641"/>
      <c r="EQ175" s="1641"/>
      <c r="ER175" s="1641"/>
      <c r="ES175" s="1641"/>
      <c r="ET175" s="1641"/>
      <c r="EU175" s="1641"/>
      <c r="EV175" s="1641"/>
      <c r="EW175" s="1641"/>
      <c r="EX175" s="1641"/>
      <c r="EY175" s="1641"/>
      <c r="EZ175" s="1641"/>
      <c r="FA175" s="1641"/>
      <c r="FB175" s="1641"/>
      <c r="FC175" s="1641"/>
      <c r="FD175" s="1641"/>
      <c r="FE175" s="1641"/>
      <c r="FF175" s="1641"/>
      <c r="FG175" s="1641"/>
      <c r="FH175" s="1641"/>
      <c r="FI175" s="1641"/>
      <c r="FJ175" s="1641"/>
      <c r="FK175" s="1641"/>
      <c r="FL175" s="1641"/>
      <c r="FM175" s="1641"/>
      <c r="FN175" s="1641"/>
      <c r="FO175" s="1641"/>
      <c r="FP175" s="1641"/>
      <c r="FQ175" s="1641"/>
      <c r="FR175" s="1641"/>
      <c r="FS175" s="1641"/>
      <c r="FT175" s="1641"/>
      <c r="FU175" s="1641"/>
      <c r="FV175" s="1641"/>
      <c r="FW175" s="1641"/>
      <c r="FX175" s="1641"/>
      <c r="FY175" s="1641"/>
      <c r="FZ175" s="1641"/>
      <c r="GA175" s="1641"/>
      <c r="GB175" s="1641"/>
      <c r="GC175" s="1641"/>
      <c r="GD175" s="1641"/>
      <c r="GE175" s="1641"/>
      <c r="GF175" s="1641"/>
      <c r="GG175" s="1641"/>
      <c r="GH175" s="1641"/>
      <c r="GI175" s="1641"/>
      <c r="GJ175" s="1641"/>
      <c r="GK175" s="1641"/>
      <c r="GL175" s="1641"/>
      <c r="GM175" s="1641"/>
      <c r="GN175" s="1641"/>
      <c r="GO175" s="1641"/>
      <c r="GP175" s="1641"/>
      <c r="GQ175" s="1641"/>
      <c r="GR175" s="1641"/>
      <c r="GS175" s="1641"/>
      <c r="GT175" s="1641"/>
      <c r="GU175" s="1641"/>
      <c r="GV175" s="1641"/>
      <c r="GW175" s="1641"/>
      <c r="GX175" s="1641"/>
      <c r="GY175" s="1641"/>
      <c r="GZ175" s="1641"/>
      <c r="HA175" s="1641"/>
      <c r="HB175" s="1641"/>
      <c r="HC175" s="1641"/>
      <c r="HD175" s="1641"/>
      <c r="HE175" s="1641"/>
      <c r="HF175" s="1641"/>
      <c r="HG175" s="1641"/>
      <c r="HH175" s="1641"/>
      <c r="HI175" s="1641"/>
      <c r="HJ175" s="1641"/>
      <c r="HK175" s="1641"/>
      <c r="HL175" s="1641"/>
      <c r="HM175" s="1641"/>
      <c r="HN175" s="1641"/>
      <c r="HO175" s="1641"/>
      <c r="HP175" s="1641"/>
      <c r="HQ175" s="1641"/>
      <c r="HR175" s="1641"/>
      <c r="HS175" s="1641"/>
      <c r="HT175" s="1641"/>
      <c r="HU175" s="1641"/>
      <c r="HV175" s="1641"/>
      <c r="HW175" s="1641"/>
      <c r="HX175" s="1641"/>
      <c r="HY175" s="1641"/>
      <c r="HZ175" s="1641"/>
      <c r="IA175" s="1641"/>
      <c r="IB175" s="1641"/>
      <c r="IC175" s="1641"/>
      <c r="ID175" s="1641"/>
      <c r="IE175" s="1641"/>
      <c r="IF175" s="1641"/>
      <c r="IG175" s="1641"/>
      <c r="IH175" s="1641"/>
      <c r="II175" s="1641"/>
      <c r="IJ175" s="1641"/>
      <c r="IK175" s="1641"/>
      <c r="IL175" s="1641"/>
      <c r="IM175" s="1641"/>
      <c r="IN175" s="1641"/>
      <c r="IO175" s="1641"/>
      <c r="IP175" s="1410"/>
      <c r="IQ175" s="1410"/>
      <c r="IR175" s="1410"/>
      <c r="IS175" s="1410"/>
      <c r="IT175" s="1410"/>
      <c r="IU175" s="1410"/>
      <c r="IV175" s="1410"/>
      <c r="IW175" s="1410"/>
      <c r="IX175" s="1641"/>
      <c r="IY175" s="1641"/>
      <c r="IZ175" s="1641"/>
      <c r="JA175" s="1641"/>
      <c r="JB175" s="1641"/>
      <c r="JC175" s="1641"/>
      <c r="JD175" s="1641"/>
      <c r="JE175" s="1641"/>
      <c r="JF175" s="1641"/>
      <c r="JG175" s="1641"/>
      <c r="JH175" s="1410"/>
      <c r="JI175" s="1410"/>
      <c r="JJ175" s="1410"/>
      <c r="JK175" s="1410"/>
      <c r="JL175" s="1410"/>
      <c r="JM175" s="1410"/>
      <c r="JN175" s="1410"/>
      <c r="JO175" s="1410"/>
      <c r="JP175" s="1410"/>
      <c r="JQ175" s="1405"/>
      <c r="JR175" s="351"/>
    </row>
    <row r="176" spans="1:278" x14ac:dyDescent="0.25">
      <c r="A176" s="1367">
        <v>176</v>
      </c>
      <c r="B176" s="1411" t="str">
        <f t="shared" si="17"/>
        <v/>
      </c>
      <c r="C176" s="1644" t="s">
        <v>4099</v>
      </c>
      <c r="D176" s="1645" t="s">
        <v>3873</v>
      </c>
      <c r="E176" s="1641"/>
      <c r="F176" s="1641"/>
      <c r="G176" s="1641"/>
      <c r="H176" s="1641"/>
      <c r="I176" s="1641"/>
      <c r="J176" s="1641"/>
      <c r="K176" s="1641"/>
      <c r="L176" s="1641"/>
      <c r="M176" s="1641"/>
      <c r="N176" s="1641"/>
      <c r="O176" s="1641"/>
      <c r="P176" s="1641"/>
      <c r="Q176" s="1641"/>
      <c r="R176" s="1641"/>
      <c r="S176" s="1641"/>
      <c r="T176" s="1641"/>
      <c r="U176" s="1641"/>
      <c r="V176" s="1641"/>
      <c r="W176" s="1641"/>
      <c r="X176" s="1641"/>
      <c r="Y176" s="1641"/>
      <c r="Z176" s="1641"/>
      <c r="AA176" s="1641"/>
      <c r="AB176" s="1641"/>
      <c r="AC176" s="1641"/>
      <c r="AD176" s="1641"/>
      <c r="AE176" s="1641"/>
      <c r="AF176" s="1641"/>
      <c r="AG176" s="1641"/>
      <c r="AH176" s="1641"/>
      <c r="AI176" s="1641"/>
      <c r="AJ176" s="1641"/>
      <c r="AK176" s="1641"/>
      <c r="AL176" s="1641"/>
      <c r="AM176" s="1641"/>
      <c r="AN176" s="1641"/>
      <c r="AO176" s="1641"/>
      <c r="AP176" s="1641"/>
      <c r="AQ176" s="1641"/>
      <c r="AR176" s="1641"/>
      <c r="AS176" s="1641"/>
      <c r="AT176" s="1641"/>
      <c r="AU176" s="1641"/>
      <c r="AV176" s="1641"/>
      <c r="AW176" s="1641"/>
      <c r="AX176" s="1641"/>
      <c r="AY176" s="1641"/>
      <c r="AZ176" s="1641"/>
      <c r="BA176" s="1641"/>
      <c r="BB176" s="1641"/>
      <c r="BC176" s="1641"/>
      <c r="BD176" s="1641"/>
      <c r="BE176" s="1641"/>
      <c r="BF176" s="1641"/>
      <c r="BG176" s="1641"/>
      <c r="BH176" s="1641"/>
      <c r="BI176" s="1641"/>
      <c r="BJ176" s="1641"/>
      <c r="BK176" s="1641"/>
      <c r="BL176" s="1641"/>
      <c r="BM176" s="1641"/>
      <c r="BN176" s="1641"/>
      <c r="BO176" s="1641"/>
      <c r="BP176" s="1641"/>
      <c r="BQ176" s="1641"/>
      <c r="BR176" s="1641"/>
      <c r="BS176" s="1641"/>
      <c r="BT176" s="1641"/>
      <c r="BU176" s="1641"/>
      <c r="BV176" s="1641"/>
      <c r="BW176" s="1641"/>
      <c r="BX176" s="1641"/>
      <c r="BY176" s="1641"/>
      <c r="BZ176" s="1641"/>
      <c r="CA176" s="1641"/>
      <c r="CB176" s="1641"/>
      <c r="CC176" s="1641"/>
      <c r="CD176" s="1641"/>
      <c r="CE176" s="1641"/>
      <c r="CF176" s="1641"/>
      <c r="CG176" s="1641"/>
      <c r="CH176" s="1641"/>
      <c r="CI176" s="1641"/>
      <c r="CJ176" s="1641"/>
      <c r="CK176" s="1641"/>
      <c r="CL176" s="1641"/>
      <c r="CM176" s="1641"/>
      <c r="CN176" s="1641"/>
      <c r="CO176" s="1641"/>
      <c r="CP176" s="1641"/>
      <c r="CQ176" s="1641"/>
      <c r="CR176" s="1641"/>
      <c r="CS176" s="1641"/>
      <c r="CT176" s="1641"/>
      <c r="CU176" s="1641"/>
      <c r="CV176" s="1641"/>
      <c r="CW176" s="1641"/>
      <c r="CX176" s="1641"/>
      <c r="CY176" s="1641"/>
      <c r="CZ176" s="1641"/>
      <c r="DA176" s="1641"/>
      <c r="DB176" s="1641"/>
      <c r="DC176" s="1641"/>
      <c r="DD176" s="1641"/>
      <c r="DE176" s="1641"/>
      <c r="DF176" s="1641"/>
      <c r="DG176" s="1641"/>
      <c r="DH176" s="1641"/>
      <c r="DI176" s="1641"/>
      <c r="DJ176" s="1641"/>
      <c r="DK176" s="1641"/>
      <c r="DL176" s="1641"/>
      <c r="DM176" s="1641"/>
      <c r="DN176" s="1641"/>
      <c r="DO176" s="1641"/>
      <c r="DP176" s="1641"/>
      <c r="DQ176" s="1641"/>
      <c r="DR176" s="1641"/>
      <c r="DS176" s="1641"/>
      <c r="DT176" s="1641"/>
      <c r="DU176" s="1641"/>
      <c r="DV176" s="1641"/>
      <c r="DW176" s="1641"/>
      <c r="DX176" s="1641"/>
      <c r="DY176" s="1641"/>
      <c r="DZ176" s="1641"/>
      <c r="EA176" s="1641"/>
      <c r="EB176" s="1641"/>
      <c r="EC176" s="1641"/>
      <c r="ED176" s="1641"/>
      <c r="EE176" s="1641"/>
      <c r="EF176" s="1641"/>
      <c r="EG176" s="1641"/>
      <c r="EH176" s="1641"/>
      <c r="EI176" s="1641"/>
      <c r="EJ176" s="1641"/>
      <c r="EK176" s="1641"/>
      <c r="EL176" s="1641"/>
      <c r="EM176" s="1641"/>
      <c r="EN176" s="1641"/>
      <c r="EO176" s="1641"/>
      <c r="EP176" s="1641"/>
      <c r="EQ176" s="1641"/>
      <c r="ER176" s="1641"/>
      <c r="ES176" s="1641"/>
      <c r="ET176" s="1641"/>
      <c r="EU176" s="1641"/>
      <c r="EV176" s="1641"/>
      <c r="EW176" s="1641"/>
      <c r="EX176" s="1641"/>
      <c r="EY176" s="1641"/>
      <c r="EZ176" s="1641"/>
      <c r="FA176" s="1641"/>
      <c r="FB176" s="1641"/>
      <c r="FC176" s="1641"/>
      <c r="FD176" s="1641"/>
      <c r="FE176" s="1641"/>
      <c r="FF176" s="1641"/>
      <c r="FG176" s="1641"/>
      <c r="FH176" s="1641"/>
      <c r="FI176" s="1641"/>
      <c r="FJ176" s="1641"/>
      <c r="FK176" s="1641"/>
      <c r="FL176" s="1641"/>
      <c r="FM176" s="1641"/>
      <c r="FN176" s="1641"/>
      <c r="FO176" s="1641"/>
      <c r="FP176" s="1641"/>
      <c r="FQ176" s="1641"/>
      <c r="FR176" s="1641"/>
      <c r="FS176" s="1641"/>
      <c r="FT176" s="1641"/>
      <c r="FU176" s="1641"/>
      <c r="FV176" s="1641"/>
      <c r="FW176" s="1641"/>
      <c r="FX176" s="1641"/>
      <c r="FY176" s="1641"/>
      <c r="FZ176" s="1641"/>
      <c r="GA176" s="1641"/>
      <c r="GB176" s="1641"/>
      <c r="GC176" s="1641"/>
      <c r="GD176" s="1641"/>
      <c r="GE176" s="1641"/>
      <c r="GF176" s="1641"/>
      <c r="GG176" s="1641"/>
      <c r="GH176" s="1641"/>
      <c r="GI176" s="1641"/>
      <c r="GJ176" s="1641"/>
      <c r="GK176" s="1641"/>
      <c r="GL176" s="1641"/>
      <c r="GM176" s="1641"/>
      <c r="GN176" s="1641"/>
      <c r="GO176" s="1641"/>
      <c r="GP176" s="1641"/>
      <c r="GQ176" s="1641"/>
      <c r="GR176" s="1641"/>
      <c r="GS176" s="1641"/>
      <c r="GT176" s="1641"/>
      <c r="GU176" s="1641"/>
      <c r="GV176" s="1641"/>
      <c r="GW176" s="1641"/>
      <c r="GX176" s="1641"/>
      <c r="GY176" s="1641"/>
      <c r="GZ176" s="1641"/>
      <c r="HA176" s="1641"/>
      <c r="HB176" s="1641"/>
      <c r="HC176" s="1641"/>
      <c r="HD176" s="1641"/>
      <c r="HE176" s="1641"/>
      <c r="HF176" s="1641"/>
      <c r="HG176" s="1641"/>
      <c r="HH176" s="1641"/>
      <c r="HI176" s="1641"/>
      <c r="HJ176" s="1641"/>
      <c r="HK176" s="1641"/>
      <c r="HL176" s="1641"/>
      <c r="HM176" s="1641"/>
      <c r="HN176" s="1641"/>
      <c r="HO176" s="1641"/>
      <c r="HP176" s="1641"/>
      <c r="HQ176" s="1641"/>
      <c r="HR176" s="1641"/>
      <c r="HS176" s="1641"/>
      <c r="HT176" s="1641"/>
      <c r="HU176" s="1641"/>
      <c r="HV176" s="1641"/>
      <c r="HW176" s="1641"/>
      <c r="HX176" s="1641"/>
      <c r="HY176" s="1641"/>
      <c r="HZ176" s="1641"/>
      <c r="IA176" s="1641"/>
      <c r="IB176" s="1641"/>
      <c r="IC176" s="1641"/>
      <c r="ID176" s="1641"/>
      <c r="IE176" s="1641"/>
      <c r="IF176" s="1641"/>
      <c r="IG176" s="1641"/>
      <c r="IH176" s="1641"/>
      <c r="II176" s="1641"/>
      <c r="IJ176" s="1641"/>
      <c r="IK176" s="1641"/>
      <c r="IL176" s="1638" t="s">
        <v>1707</v>
      </c>
      <c r="IM176" s="1641"/>
      <c r="IN176" s="1641"/>
      <c r="IO176" s="1641"/>
      <c r="IP176" s="1410"/>
      <c r="IQ176" s="1410"/>
      <c r="IR176" s="1410"/>
      <c r="IS176" s="1410"/>
      <c r="IT176" s="1410"/>
      <c r="IU176" s="1410"/>
      <c r="IV176" s="1410"/>
      <c r="IW176" s="1410"/>
      <c r="IX176" s="1641"/>
      <c r="IY176" s="1641"/>
      <c r="IZ176" s="1641"/>
      <c r="JA176" s="1641"/>
      <c r="JB176" s="1641"/>
      <c r="JC176" s="1641"/>
      <c r="JD176" s="1641"/>
      <c r="JE176" s="1641"/>
      <c r="JF176" s="1641"/>
      <c r="JG176" s="1641"/>
      <c r="JH176" s="1410"/>
      <c r="JI176" s="1410"/>
      <c r="JJ176" s="1410"/>
      <c r="JK176" s="1410"/>
      <c r="JL176" s="1410"/>
      <c r="JM176" s="1410"/>
      <c r="JN176" s="1410"/>
      <c r="JO176" s="1410"/>
      <c r="JP176" s="1410"/>
      <c r="JQ176" s="1405"/>
      <c r="JR176" s="351"/>
    </row>
    <row r="177" spans="1:278" x14ac:dyDescent="0.25">
      <c r="A177" s="1367">
        <v>177</v>
      </c>
      <c r="B177" s="1411" t="str">
        <f t="shared" si="17"/>
        <v/>
      </c>
      <c r="C177" s="1644" t="s">
        <v>4100</v>
      </c>
      <c r="D177" s="1645" t="s">
        <v>3875</v>
      </c>
      <c r="E177" s="1641"/>
      <c r="F177" s="1641"/>
      <c r="G177" s="1641"/>
      <c r="H177" s="1641"/>
      <c r="I177" s="1641"/>
      <c r="J177" s="1641"/>
      <c r="K177" s="1641"/>
      <c r="L177" s="1641"/>
      <c r="M177" s="1641"/>
      <c r="N177" s="1641"/>
      <c r="O177" s="1641"/>
      <c r="P177" s="1641"/>
      <c r="Q177" s="1641"/>
      <c r="R177" s="1641"/>
      <c r="S177" s="1641"/>
      <c r="T177" s="1641"/>
      <c r="U177" s="1641"/>
      <c r="V177" s="1641"/>
      <c r="W177" s="1641"/>
      <c r="X177" s="1641"/>
      <c r="Y177" s="1641"/>
      <c r="Z177" s="1641"/>
      <c r="AA177" s="1641"/>
      <c r="AB177" s="1641"/>
      <c r="AC177" s="1641"/>
      <c r="AD177" s="1641"/>
      <c r="AE177" s="1641"/>
      <c r="AF177" s="1641"/>
      <c r="AG177" s="1641"/>
      <c r="AH177" s="1641"/>
      <c r="AI177" s="1641"/>
      <c r="AJ177" s="1641"/>
      <c r="AK177" s="1641"/>
      <c r="AL177" s="1641"/>
      <c r="AM177" s="1641"/>
      <c r="AN177" s="1641"/>
      <c r="AO177" s="1641"/>
      <c r="AP177" s="1641"/>
      <c r="AQ177" s="1641"/>
      <c r="AR177" s="1641"/>
      <c r="AS177" s="1641"/>
      <c r="AT177" s="1641"/>
      <c r="AU177" s="1641"/>
      <c r="AV177" s="1641"/>
      <c r="AW177" s="1641"/>
      <c r="AX177" s="1641"/>
      <c r="AY177" s="1641"/>
      <c r="AZ177" s="1641"/>
      <c r="BA177" s="1641"/>
      <c r="BB177" s="1641"/>
      <c r="BC177" s="1641"/>
      <c r="BD177" s="1641"/>
      <c r="BE177" s="1641"/>
      <c r="BF177" s="1641"/>
      <c r="BG177" s="1641"/>
      <c r="BH177" s="1641"/>
      <c r="BI177" s="1641"/>
      <c r="BJ177" s="1641"/>
      <c r="BK177" s="1641"/>
      <c r="BL177" s="1641"/>
      <c r="BM177" s="1641"/>
      <c r="BN177" s="1641"/>
      <c r="BO177" s="1641"/>
      <c r="BP177" s="1641"/>
      <c r="BQ177" s="1641"/>
      <c r="BR177" s="1641"/>
      <c r="BS177" s="1641"/>
      <c r="BT177" s="1641"/>
      <c r="BU177" s="1641"/>
      <c r="BV177" s="1641"/>
      <c r="BW177" s="1641"/>
      <c r="BX177" s="1641"/>
      <c r="BY177" s="1641"/>
      <c r="BZ177" s="1641"/>
      <c r="CA177" s="1641"/>
      <c r="CB177" s="1641"/>
      <c r="CC177" s="1641"/>
      <c r="CD177" s="1641"/>
      <c r="CE177" s="1641"/>
      <c r="CF177" s="1641"/>
      <c r="CG177" s="1641"/>
      <c r="CH177" s="1641"/>
      <c r="CI177" s="1641"/>
      <c r="CJ177" s="1641"/>
      <c r="CK177" s="1641"/>
      <c r="CL177" s="1641"/>
      <c r="CM177" s="1641"/>
      <c r="CN177" s="1641"/>
      <c r="CO177" s="1641"/>
      <c r="CP177" s="1641"/>
      <c r="CQ177" s="1641"/>
      <c r="CR177" s="1641"/>
      <c r="CS177" s="1641"/>
      <c r="CT177" s="1641"/>
      <c r="CU177" s="1641"/>
      <c r="CV177" s="1641"/>
      <c r="CW177" s="1641"/>
      <c r="CX177" s="1641"/>
      <c r="CY177" s="1641"/>
      <c r="CZ177" s="1641"/>
      <c r="DA177" s="1641"/>
      <c r="DB177" s="1641"/>
      <c r="DC177" s="1641"/>
      <c r="DD177" s="1641"/>
      <c r="DE177" s="1641"/>
      <c r="DF177" s="1641"/>
      <c r="DG177" s="1641"/>
      <c r="DH177" s="1641"/>
      <c r="DI177" s="1641"/>
      <c r="DJ177" s="1641"/>
      <c r="DK177" s="1641"/>
      <c r="DL177" s="1641"/>
      <c r="DM177" s="1641"/>
      <c r="DN177" s="1641"/>
      <c r="DO177" s="1641"/>
      <c r="DP177" s="1641"/>
      <c r="DQ177" s="1641"/>
      <c r="DR177" s="1641"/>
      <c r="DS177" s="1641"/>
      <c r="DT177" s="1641"/>
      <c r="DU177" s="1641"/>
      <c r="DV177" s="1641"/>
      <c r="DW177" s="1641"/>
      <c r="DX177" s="1641"/>
      <c r="DY177" s="1641"/>
      <c r="DZ177" s="1641"/>
      <c r="EA177" s="1641"/>
      <c r="EB177" s="1641"/>
      <c r="EC177" s="1641"/>
      <c r="ED177" s="1641"/>
      <c r="EE177" s="1641"/>
      <c r="EF177" s="1641"/>
      <c r="EG177" s="1641"/>
      <c r="EH177" s="1641"/>
      <c r="EI177" s="1641"/>
      <c r="EJ177" s="1641"/>
      <c r="EK177" s="1641"/>
      <c r="EL177" s="1641"/>
      <c r="EM177" s="1641"/>
      <c r="EN177" s="1641"/>
      <c r="EO177" s="1641"/>
      <c r="EP177" s="1641"/>
      <c r="EQ177" s="1641"/>
      <c r="ER177" s="1641"/>
      <c r="ES177" s="1641"/>
      <c r="ET177" s="1641"/>
      <c r="EU177" s="1641"/>
      <c r="EV177" s="1641"/>
      <c r="EW177" s="1641"/>
      <c r="EX177" s="1641"/>
      <c r="EY177" s="1641"/>
      <c r="EZ177" s="1641"/>
      <c r="FA177" s="1641"/>
      <c r="FB177" s="1641"/>
      <c r="FC177" s="1641"/>
      <c r="FD177" s="1641"/>
      <c r="FE177" s="1641"/>
      <c r="FF177" s="1641"/>
      <c r="FG177" s="1641"/>
      <c r="FH177" s="1641"/>
      <c r="FI177" s="1641"/>
      <c r="FJ177" s="1641"/>
      <c r="FK177" s="1641"/>
      <c r="FL177" s="1641"/>
      <c r="FM177" s="1641"/>
      <c r="FN177" s="1641"/>
      <c r="FO177" s="1641"/>
      <c r="FP177" s="1641"/>
      <c r="FQ177" s="1641"/>
      <c r="FR177" s="1641"/>
      <c r="FS177" s="1641"/>
      <c r="FT177" s="1641"/>
      <c r="FU177" s="1641"/>
      <c r="FV177" s="1641"/>
      <c r="FW177" s="1641"/>
      <c r="FX177" s="1641"/>
      <c r="FY177" s="1641"/>
      <c r="FZ177" s="1641"/>
      <c r="GA177" s="1641"/>
      <c r="GB177" s="1641"/>
      <c r="GC177" s="1641"/>
      <c r="GD177" s="1641"/>
      <c r="GE177" s="1641"/>
      <c r="GF177" s="1641"/>
      <c r="GG177" s="1641"/>
      <c r="GH177" s="1641"/>
      <c r="GI177" s="1641"/>
      <c r="GJ177" s="1641"/>
      <c r="GK177" s="1641"/>
      <c r="GL177" s="1641"/>
      <c r="GM177" s="1641"/>
      <c r="GN177" s="1641"/>
      <c r="GO177" s="1641"/>
      <c r="GP177" s="1641"/>
      <c r="GQ177" s="1641"/>
      <c r="GR177" s="1641"/>
      <c r="GS177" s="1641"/>
      <c r="GT177" s="1641"/>
      <c r="GU177" s="1641"/>
      <c r="GV177" s="1641"/>
      <c r="GW177" s="1641"/>
      <c r="GX177" s="1641"/>
      <c r="GY177" s="1641"/>
      <c r="GZ177" s="1641"/>
      <c r="HA177" s="1641"/>
      <c r="HB177" s="1641"/>
      <c r="HC177" s="1641"/>
      <c r="HD177" s="1641"/>
      <c r="HE177" s="1641"/>
      <c r="HF177" s="1641"/>
      <c r="HG177" s="1641"/>
      <c r="HH177" s="1641"/>
      <c r="HI177" s="1641"/>
      <c r="HJ177" s="1641"/>
      <c r="HK177" s="1641"/>
      <c r="HL177" s="1641"/>
      <c r="HM177" s="1641"/>
      <c r="HN177" s="1641"/>
      <c r="HO177" s="1641"/>
      <c r="HP177" s="1641"/>
      <c r="HQ177" s="1641"/>
      <c r="HR177" s="1641"/>
      <c r="HS177" s="1641"/>
      <c r="HT177" s="1641"/>
      <c r="HU177" s="1641"/>
      <c r="HV177" s="1641"/>
      <c r="HW177" s="1641"/>
      <c r="HX177" s="1641"/>
      <c r="HY177" s="1641"/>
      <c r="HZ177" s="1641"/>
      <c r="IA177" s="1641"/>
      <c r="IB177" s="1641"/>
      <c r="IC177" s="1641"/>
      <c r="ID177" s="1641"/>
      <c r="IE177" s="1641"/>
      <c r="IF177" s="1641"/>
      <c r="IG177" s="1641"/>
      <c r="IH177" s="1641"/>
      <c r="II177" s="1641"/>
      <c r="IJ177" s="1641"/>
      <c r="IK177" s="1636">
        <v>2798</v>
      </c>
      <c r="IL177" s="1636">
        <v>3770</v>
      </c>
      <c r="IM177" s="1641"/>
      <c r="IN177" s="1641"/>
      <c r="IO177" s="1641"/>
      <c r="IP177" s="1410"/>
      <c r="IQ177" s="1410"/>
      <c r="IR177" s="1410"/>
      <c r="IS177" s="1410"/>
      <c r="IT177" s="1410"/>
      <c r="IU177" s="1410"/>
      <c r="IV177" s="1410"/>
      <c r="IW177" s="1410"/>
      <c r="IX177" s="1641"/>
      <c r="IY177" s="1641"/>
      <c r="IZ177" s="1641"/>
      <c r="JA177" s="1641"/>
      <c r="JB177" s="1641"/>
      <c r="JC177" s="1641"/>
      <c r="JD177" s="1641"/>
      <c r="JE177" s="1641"/>
      <c r="JF177" s="1641"/>
      <c r="JG177" s="1641"/>
      <c r="JH177" s="1410"/>
      <c r="JI177" s="1410"/>
      <c r="JJ177" s="1410"/>
      <c r="JK177" s="1410"/>
      <c r="JL177" s="1410"/>
      <c r="JM177" s="1410"/>
      <c r="JN177" s="1410"/>
      <c r="JO177" s="1410"/>
      <c r="JP177" s="1410"/>
      <c r="JQ177" s="1405"/>
      <c r="JR177" s="351"/>
    </row>
    <row r="178" spans="1:278" x14ac:dyDescent="0.25">
      <c r="A178" s="1367">
        <v>178</v>
      </c>
      <c r="B178" s="1411" t="str">
        <f t="shared" si="17"/>
        <v/>
      </c>
      <c r="C178" s="1644" t="s">
        <v>4101</v>
      </c>
      <c r="D178" s="1645" t="s">
        <v>3887</v>
      </c>
      <c r="E178" s="1641"/>
      <c r="F178" s="1641"/>
      <c r="G178" s="1641"/>
      <c r="H178" s="1641"/>
      <c r="I178" s="1641"/>
      <c r="J178" s="1641"/>
      <c r="K178" s="1641"/>
      <c r="L178" s="1641"/>
      <c r="M178" s="1641"/>
      <c r="N178" s="1641"/>
      <c r="O178" s="1641"/>
      <c r="P178" s="1641"/>
      <c r="Q178" s="1641"/>
      <c r="R178" s="1641"/>
      <c r="S178" s="1641"/>
      <c r="T178" s="1641"/>
      <c r="U178" s="1641"/>
      <c r="V178" s="1641"/>
      <c r="W178" s="1641"/>
      <c r="X178" s="1641"/>
      <c r="Y178" s="1641"/>
      <c r="Z178" s="1641"/>
      <c r="AA178" s="1641"/>
      <c r="AB178" s="1641"/>
      <c r="AC178" s="1641"/>
      <c r="AD178" s="1641"/>
      <c r="AE178" s="1641"/>
      <c r="AF178" s="1641"/>
      <c r="AG178" s="1641"/>
      <c r="AH178" s="1641"/>
      <c r="AI178" s="1641"/>
      <c r="AJ178" s="1641"/>
      <c r="AK178" s="1641"/>
      <c r="AL178" s="1641"/>
      <c r="AM178" s="1641"/>
      <c r="AN178" s="1641"/>
      <c r="AO178" s="1641"/>
      <c r="AP178" s="1641"/>
      <c r="AQ178" s="1641"/>
      <c r="AR178" s="1641"/>
      <c r="AS178" s="1641"/>
      <c r="AT178" s="1641"/>
      <c r="AU178" s="1641"/>
      <c r="AV178" s="1641"/>
      <c r="AW178" s="1641"/>
      <c r="AX178" s="1641"/>
      <c r="AY178" s="1641"/>
      <c r="AZ178" s="1641"/>
      <c r="BA178" s="1641"/>
      <c r="BB178" s="1641"/>
      <c r="BC178" s="1641"/>
      <c r="BD178" s="1641"/>
      <c r="BE178" s="1641"/>
      <c r="BF178" s="1641"/>
      <c r="BG178" s="1641"/>
      <c r="BH178" s="1641"/>
      <c r="BI178" s="1641"/>
      <c r="BJ178" s="1641"/>
      <c r="BK178" s="1641"/>
      <c r="BL178" s="1641"/>
      <c r="BM178" s="1641"/>
      <c r="BN178" s="1641"/>
      <c r="BO178" s="1641"/>
      <c r="BP178" s="1641"/>
      <c r="BQ178" s="1641"/>
      <c r="BR178" s="1641"/>
      <c r="BS178" s="1641"/>
      <c r="BT178" s="1641"/>
      <c r="BU178" s="1641"/>
      <c r="BV178" s="1641"/>
      <c r="BW178" s="1641"/>
      <c r="BX178" s="1641"/>
      <c r="BY178" s="1641"/>
      <c r="BZ178" s="1641"/>
      <c r="CA178" s="1641"/>
      <c r="CB178" s="1641"/>
      <c r="CC178" s="1641"/>
      <c r="CD178" s="1641"/>
      <c r="CE178" s="1641"/>
      <c r="CF178" s="1641"/>
      <c r="CG178" s="1641"/>
      <c r="CH178" s="1641"/>
      <c r="CI178" s="1641"/>
      <c r="CJ178" s="1641"/>
      <c r="CK178" s="1641"/>
      <c r="CL178" s="1641"/>
      <c r="CM178" s="1641"/>
      <c r="CN178" s="1641"/>
      <c r="CO178" s="1641"/>
      <c r="CP178" s="1641"/>
      <c r="CQ178" s="1641"/>
      <c r="CR178" s="1641"/>
      <c r="CS178" s="1641"/>
      <c r="CT178" s="1641"/>
      <c r="CU178" s="1641"/>
      <c r="CV178" s="1641"/>
      <c r="CW178" s="1641"/>
      <c r="CX178" s="1641"/>
      <c r="CY178" s="1641"/>
      <c r="CZ178" s="1641"/>
      <c r="DA178" s="1641"/>
      <c r="DB178" s="1641"/>
      <c r="DC178" s="1641"/>
      <c r="DD178" s="1641"/>
      <c r="DE178" s="1641"/>
      <c r="DF178" s="1641"/>
      <c r="DG178" s="1641"/>
      <c r="DH178" s="1641"/>
      <c r="DI178" s="1641"/>
      <c r="DJ178" s="1641"/>
      <c r="DK178" s="1641"/>
      <c r="DL178" s="1641"/>
      <c r="DM178" s="1641"/>
      <c r="DN178" s="1641"/>
      <c r="DO178" s="1641"/>
      <c r="DP178" s="1641"/>
      <c r="DQ178" s="1641"/>
      <c r="DR178" s="1641"/>
      <c r="DS178" s="1641"/>
      <c r="DT178" s="1641"/>
      <c r="DU178" s="1641"/>
      <c r="DV178" s="1641"/>
      <c r="DW178" s="1641"/>
      <c r="DX178" s="1641"/>
      <c r="DY178" s="1641"/>
      <c r="DZ178" s="1641"/>
      <c r="EA178" s="1641"/>
      <c r="EB178" s="1641"/>
      <c r="EC178" s="1641"/>
      <c r="ED178" s="1641"/>
      <c r="EE178" s="1641"/>
      <c r="EF178" s="1641"/>
      <c r="EG178" s="1641"/>
      <c r="EH178" s="1641"/>
      <c r="EI178" s="1641"/>
      <c r="EJ178" s="1641"/>
      <c r="EK178" s="1641"/>
      <c r="EL178" s="1641"/>
      <c r="EM178" s="1641"/>
      <c r="EN178" s="1641"/>
      <c r="EO178" s="1641"/>
      <c r="EP178" s="1641"/>
      <c r="EQ178" s="1641"/>
      <c r="ER178" s="1641"/>
      <c r="ES178" s="1641"/>
      <c r="ET178" s="1641"/>
      <c r="EU178" s="1641"/>
      <c r="EV178" s="1641"/>
      <c r="EW178" s="1641"/>
      <c r="EX178" s="1641"/>
      <c r="EY178" s="1641"/>
      <c r="EZ178" s="1641"/>
      <c r="FA178" s="1641"/>
      <c r="FB178" s="1641"/>
      <c r="FC178" s="1641"/>
      <c r="FD178" s="1641"/>
      <c r="FE178" s="1641"/>
      <c r="FF178" s="1641"/>
      <c r="FG178" s="1641"/>
      <c r="FH178" s="1641"/>
      <c r="FI178" s="1641"/>
      <c r="FJ178" s="1641"/>
      <c r="FK178" s="1641"/>
      <c r="FL178" s="1641"/>
      <c r="FM178" s="1641"/>
      <c r="FN178" s="1641"/>
      <c r="FO178" s="1641"/>
      <c r="FP178" s="1641"/>
      <c r="FQ178" s="1641"/>
      <c r="FR178" s="1641"/>
      <c r="FS178" s="1641"/>
      <c r="FT178" s="1641"/>
      <c r="FU178" s="1641"/>
      <c r="FV178" s="1641"/>
      <c r="FW178" s="1641"/>
      <c r="FX178" s="1641"/>
      <c r="FY178" s="1641"/>
      <c r="FZ178" s="1641"/>
      <c r="GA178" s="1641"/>
      <c r="GB178" s="1641"/>
      <c r="GC178" s="1641"/>
      <c r="GD178" s="1641"/>
      <c r="GE178" s="1641"/>
      <c r="GF178" s="1641"/>
      <c r="GG178" s="1641"/>
      <c r="GH178" s="1641"/>
      <c r="GI178" s="1641"/>
      <c r="GJ178" s="1641"/>
      <c r="GK178" s="1641"/>
      <c r="GL178" s="1641"/>
      <c r="GM178" s="1641"/>
      <c r="GN178" s="1641"/>
      <c r="GO178" s="1641"/>
      <c r="GP178" s="1641"/>
      <c r="GQ178" s="1641"/>
      <c r="GR178" s="1641"/>
      <c r="GS178" s="1641"/>
      <c r="GT178" s="1641"/>
      <c r="GU178" s="1641"/>
      <c r="GV178" s="1641"/>
      <c r="GW178" s="1641"/>
      <c r="GX178" s="1641"/>
      <c r="GY178" s="1641"/>
      <c r="GZ178" s="1641"/>
      <c r="HA178" s="1641"/>
      <c r="HB178" s="1641"/>
      <c r="HC178" s="1641"/>
      <c r="HD178" s="1641"/>
      <c r="HE178" s="1641"/>
      <c r="HF178" s="1641"/>
      <c r="HG178" s="1641"/>
      <c r="HH178" s="1641"/>
      <c r="HI178" s="1641"/>
      <c r="HJ178" s="1641"/>
      <c r="HK178" s="1641"/>
      <c r="HL178" s="1641"/>
      <c r="HM178" s="1641"/>
      <c r="HN178" s="1641"/>
      <c r="HO178" s="1641"/>
      <c r="HP178" s="1641"/>
      <c r="HQ178" s="1641"/>
      <c r="HR178" s="1641"/>
      <c r="HS178" s="1641"/>
      <c r="HT178" s="1641"/>
      <c r="HU178" s="1641"/>
      <c r="HV178" s="1641"/>
      <c r="HW178" s="1641"/>
      <c r="HX178" s="1641"/>
      <c r="HY178" s="1641"/>
      <c r="HZ178" s="1641"/>
      <c r="IA178" s="1641"/>
      <c r="IB178" s="1641"/>
      <c r="IC178" s="1641"/>
      <c r="ID178" s="1641"/>
      <c r="IE178" s="1641"/>
      <c r="IF178" s="1641"/>
      <c r="IG178" s="1641"/>
      <c r="IH178" s="1641"/>
      <c r="II178" s="1641"/>
      <c r="IJ178" s="1641"/>
      <c r="IK178" s="1641"/>
      <c r="IL178" s="1641"/>
      <c r="IM178" s="1641"/>
      <c r="IN178" s="1641"/>
      <c r="IO178" s="1641"/>
      <c r="IP178" s="1410"/>
      <c r="IQ178" s="1410"/>
      <c r="IR178" s="1410"/>
      <c r="IS178" s="1410"/>
      <c r="IT178" s="1410"/>
      <c r="IU178" s="1410"/>
      <c r="IV178" s="1410"/>
      <c r="IW178" s="1410"/>
      <c r="IX178" s="1641"/>
      <c r="IY178" s="1641"/>
      <c r="IZ178" s="1641"/>
      <c r="JA178" s="1641"/>
      <c r="JB178" s="1641"/>
      <c r="JC178" s="1641"/>
      <c r="JD178" s="1641"/>
      <c r="JE178" s="1641"/>
      <c r="JF178" s="1641"/>
      <c r="JG178" s="1641"/>
      <c r="JH178" s="1410"/>
      <c r="JI178" s="1410"/>
      <c r="JJ178" s="1410"/>
      <c r="JK178" s="1410"/>
      <c r="JL178" s="1410"/>
      <c r="JM178" s="1410"/>
      <c r="JN178" s="1410"/>
      <c r="JO178" s="1410"/>
      <c r="JP178" s="1410"/>
      <c r="JQ178" s="1405"/>
      <c r="JR178" s="351"/>
    </row>
    <row r="179" spans="1:278" x14ac:dyDescent="0.25">
      <c r="A179" s="1367">
        <v>179</v>
      </c>
      <c r="B179" s="1411" t="str">
        <f t="shared" si="17"/>
        <v/>
      </c>
      <c r="C179" s="1644" t="s">
        <v>4102</v>
      </c>
      <c r="D179" s="1645" t="s">
        <v>3887</v>
      </c>
      <c r="E179" s="1641"/>
      <c r="F179" s="1641"/>
      <c r="G179" s="1641"/>
      <c r="H179" s="1641"/>
      <c r="I179" s="1641"/>
      <c r="J179" s="1641"/>
      <c r="K179" s="1641"/>
      <c r="L179" s="1641"/>
      <c r="M179" s="1641"/>
      <c r="N179" s="1641"/>
      <c r="O179" s="1641"/>
      <c r="P179" s="1641"/>
      <c r="Q179" s="1641"/>
      <c r="R179" s="1641"/>
      <c r="S179" s="1641"/>
      <c r="T179" s="1641"/>
      <c r="U179" s="1641"/>
      <c r="V179" s="1641"/>
      <c r="W179" s="1641"/>
      <c r="X179" s="1641"/>
      <c r="Y179" s="1641"/>
      <c r="Z179" s="1641"/>
      <c r="AA179" s="1641"/>
      <c r="AB179" s="1641"/>
      <c r="AC179" s="1641"/>
      <c r="AD179" s="1641"/>
      <c r="AE179" s="1641"/>
      <c r="AF179" s="1641"/>
      <c r="AG179" s="1641"/>
      <c r="AH179" s="1641"/>
      <c r="AI179" s="1641"/>
      <c r="AJ179" s="1641"/>
      <c r="AK179" s="1641"/>
      <c r="AL179" s="1641"/>
      <c r="AM179" s="1641"/>
      <c r="AN179" s="1641"/>
      <c r="AO179" s="1641"/>
      <c r="AP179" s="1641"/>
      <c r="AQ179" s="1641"/>
      <c r="AR179" s="1641"/>
      <c r="AS179" s="1641"/>
      <c r="AT179" s="1641"/>
      <c r="AU179" s="1641"/>
      <c r="AV179" s="1641"/>
      <c r="AW179" s="1641"/>
      <c r="AX179" s="1641"/>
      <c r="AY179" s="1641"/>
      <c r="AZ179" s="1641"/>
      <c r="BA179" s="1641"/>
      <c r="BB179" s="1641"/>
      <c r="BC179" s="1641"/>
      <c r="BD179" s="1641"/>
      <c r="BE179" s="1641"/>
      <c r="BF179" s="1641"/>
      <c r="BG179" s="1641"/>
      <c r="BH179" s="1641"/>
      <c r="BI179" s="1641"/>
      <c r="BJ179" s="1641"/>
      <c r="BK179" s="1641"/>
      <c r="BL179" s="1641"/>
      <c r="BM179" s="1641"/>
      <c r="BN179" s="1641"/>
      <c r="BO179" s="1641"/>
      <c r="BP179" s="1641"/>
      <c r="BQ179" s="1641"/>
      <c r="BR179" s="1641"/>
      <c r="BS179" s="1641"/>
      <c r="BT179" s="1641"/>
      <c r="BU179" s="1641"/>
      <c r="BV179" s="1641"/>
      <c r="BW179" s="1641"/>
      <c r="BX179" s="1641"/>
      <c r="BY179" s="1641"/>
      <c r="BZ179" s="1641"/>
      <c r="CA179" s="1641"/>
      <c r="CB179" s="1641"/>
      <c r="CC179" s="1641"/>
      <c r="CD179" s="1641"/>
      <c r="CE179" s="1641"/>
      <c r="CF179" s="1641"/>
      <c r="CG179" s="1641"/>
      <c r="CH179" s="1641"/>
      <c r="CI179" s="1641"/>
      <c r="CJ179" s="1641"/>
      <c r="CK179" s="1641"/>
      <c r="CL179" s="1641"/>
      <c r="CM179" s="1641"/>
      <c r="CN179" s="1641"/>
      <c r="CO179" s="1641"/>
      <c r="CP179" s="1641"/>
      <c r="CQ179" s="1641"/>
      <c r="CR179" s="1641"/>
      <c r="CS179" s="1641"/>
      <c r="CT179" s="1641"/>
      <c r="CU179" s="1641"/>
      <c r="CV179" s="1641"/>
      <c r="CW179" s="1641"/>
      <c r="CX179" s="1641"/>
      <c r="CY179" s="1641"/>
      <c r="CZ179" s="1641"/>
      <c r="DA179" s="1641"/>
      <c r="DB179" s="1641"/>
      <c r="DC179" s="1641"/>
      <c r="DD179" s="1641"/>
      <c r="DE179" s="1641"/>
      <c r="DF179" s="1641"/>
      <c r="DG179" s="1641"/>
      <c r="DH179" s="1641"/>
      <c r="DI179" s="1641"/>
      <c r="DJ179" s="1641"/>
      <c r="DK179" s="1641"/>
      <c r="DL179" s="1641"/>
      <c r="DM179" s="1641"/>
      <c r="DN179" s="1641"/>
      <c r="DO179" s="1641"/>
      <c r="DP179" s="1641"/>
      <c r="DQ179" s="1641"/>
      <c r="DR179" s="1641"/>
      <c r="DS179" s="1641"/>
      <c r="DT179" s="1641"/>
      <c r="DU179" s="1641"/>
      <c r="DV179" s="1641"/>
      <c r="DW179" s="1641"/>
      <c r="DX179" s="1641"/>
      <c r="DY179" s="1641"/>
      <c r="DZ179" s="1641"/>
      <c r="EA179" s="1641"/>
      <c r="EB179" s="1641"/>
      <c r="EC179" s="1641"/>
      <c r="ED179" s="1641"/>
      <c r="EE179" s="1641"/>
      <c r="EF179" s="1641"/>
      <c r="EG179" s="1641"/>
      <c r="EH179" s="1641"/>
      <c r="EI179" s="1641"/>
      <c r="EJ179" s="1641"/>
      <c r="EK179" s="1641"/>
      <c r="EL179" s="1641"/>
      <c r="EM179" s="1641"/>
      <c r="EN179" s="1641"/>
      <c r="EO179" s="1641"/>
      <c r="EP179" s="1641"/>
      <c r="EQ179" s="1641"/>
      <c r="ER179" s="1641"/>
      <c r="ES179" s="1641"/>
      <c r="ET179" s="1641"/>
      <c r="EU179" s="1641"/>
      <c r="EV179" s="1641"/>
      <c r="EW179" s="1641"/>
      <c r="EX179" s="1641"/>
      <c r="EY179" s="1641"/>
      <c r="EZ179" s="1641"/>
      <c r="FA179" s="1641"/>
      <c r="FB179" s="1641"/>
      <c r="FC179" s="1641"/>
      <c r="FD179" s="1641"/>
      <c r="FE179" s="1641"/>
      <c r="FF179" s="1641"/>
      <c r="FG179" s="1641"/>
      <c r="FH179" s="1641"/>
      <c r="FI179" s="1641"/>
      <c r="FJ179" s="1641"/>
      <c r="FK179" s="1641"/>
      <c r="FL179" s="1641"/>
      <c r="FM179" s="1641"/>
      <c r="FN179" s="1641"/>
      <c r="FO179" s="1641"/>
      <c r="FP179" s="1641"/>
      <c r="FQ179" s="1641"/>
      <c r="FR179" s="1641"/>
      <c r="FS179" s="1641"/>
      <c r="FT179" s="1641"/>
      <c r="FU179" s="1641"/>
      <c r="FV179" s="1641"/>
      <c r="FW179" s="1641"/>
      <c r="FX179" s="1641"/>
      <c r="FY179" s="1641"/>
      <c r="FZ179" s="1641"/>
      <c r="GA179" s="1641"/>
      <c r="GB179" s="1641"/>
      <c r="GC179" s="1641"/>
      <c r="GD179" s="1641"/>
      <c r="GE179" s="1641"/>
      <c r="GF179" s="1641"/>
      <c r="GG179" s="1641"/>
      <c r="GH179" s="1641"/>
      <c r="GI179" s="1641"/>
      <c r="GJ179" s="1641"/>
      <c r="GK179" s="1641"/>
      <c r="GL179" s="1641"/>
      <c r="GM179" s="1641"/>
      <c r="GN179" s="1641"/>
      <c r="GO179" s="1641"/>
      <c r="GP179" s="1641"/>
      <c r="GQ179" s="1641"/>
      <c r="GR179" s="1641"/>
      <c r="GS179" s="1641"/>
      <c r="GT179" s="1641"/>
      <c r="GU179" s="1641"/>
      <c r="GV179" s="1641"/>
      <c r="GW179" s="1641"/>
      <c r="GX179" s="1641"/>
      <c r="GY179" s="1641"/>
      <c r="GZ179" s="1641"/>
      <c r="HA179" s="1641"/>
      <c r="HB179" s="1641"/>
      <c r="HC179" s="1641"/>
      <c r="HD179" s="1641"/>
      <c r="HE179" s="1641"/>
      <c r="HF179" s="1641"/>
      <c r="HG179" s="1641"/>
      <c r="HH179" s="1641"/>
      <c r="HI179" s="1641"/>
      <c r="HJ179" s="1641"/>
      <c r="HK179" s="1641"/>
      <c r="HL179" s="1641"/>
      <c r="HM179" s="1641"/>
      <c r="HN179" s="1641"/>
      <c r="HO179" s="1641"/>
      <c r="HP179" s="1641"/>
      <c r="HQ179" s="1641"/>
      <c r="HR179" s="1641"/>
      <c r="HS179" s="1641"/>
      <c r="HT179" s="1641"/>
      <c r="HU179" s="1641"/>
      <c r="HV179" s="1641"/>
      <c r="HW179" s="1641"/>
      <c r="HX179" s="1641"/>
      <c r="HY179" s="1641"/>
      <c r="HZ179" s="1641"/>
      <c r="IA179" s="1641"/>
      <c r="IB179" s="1641"/>
      <c r="IC179" s="1641"/>
      <c r="ID179" s="1641"/>
      <c r="IE179" s="1641"/>
      <c r="IF179" s="1641"/>
      <c r="IG179" s="1641"/>
      <c r="IH179" s="1641"/>
      <c r="II179" s="1641"/>
      <c r="IJ179" s="1641"/>
      <c r="IK179" s="1636">
        <v>2798</v>
      </c>
      <c r="IL179" s="1636">
        <v>3770</v>
      </c>
      <c r="IM179" s="1641"/>
      <c r="IN179" s="1641"/>
      <c r="IO179" s="1641"/>
      <c r="IP179" s="1410"/>
      <c r="IQ179" s="1410"/>
      <c r="IR179" s="1410"/>
      <c r="IS179" s="1410"/>
      <c r="IT179" s="1410"/>
      <c r="IU179" s="1410"/>
      <c r="IV179" s="1410"/>
      <c r="IW179" s="1410"/>
      <c r="IX179" s="1641"/>
      <c r="IY179" s="1641"/>
      <c r="IZ179" s="1641"/>
      <c r="JA179" s="1641"/>
      <c r="JB179" s="1641"/>
      <c r="JC179" s="1641"/>
      <c r="JD179" s="1641"/>
      <c r="JE179" s="1641"/>
      <c r="JF179" s="1641"/>
      <c r="JG179" s="1641"/>
      <c r="JH179" s="1410"/>
      <c r="JI179" s="1410"/>
      <c r="JJ179" s="1410"/>
      <c r="JK179" s="1410"/>
      <c r="JL179" s="1410"/>
      <c r="JM179" s="1410"/>
      <c r="JN179" s="1410"/>
      <c r="JO179" s="1410"/>
      <c r="JP179" s="1410"/>
      <c r="JQ179" s="1405"/>
      <c r="JR179" s="351"/>
    </row>
    <row r="180" spans="1:278" x14ac:dyDescent="0.25">
      <c r="A180" s="1367">
        <v>180</v>
      </c>
      <c r="B180" s="1411" t="str">
        <f t="shared" si="17"/>
        <v/>
      </c>
      <c r="C180" s="1644" t="s">
        <v>4103</v>
      </c>
      <c r="D180" s="1645" t="s">
        <v>3890</v>
      </c>
      <c r="E180" s="1641"/>
      <c r="F180" s="1641"/>
      <c r="G180" s="1641"/>
      <c r="H180" s="1641"/>
      <c r="I180" s="1641"/>
      <c r="J180" s="1641"/>
      <c r="K180" s="1641"/>
      <c r="L180" s="1641"/>
      <c r="M180" s="1641"/>
      <c r="N180" s="1641"/>
      <c r="O180" s="1641"/>
      <c r="P180" s="1641"/>
      <c r="Q180" s="1641"/>
      <c r="R180" s="1641"/>
      <c r="S180" s="1641"/>
      <c r="T180" s="1641"/>
      <c r="U180" s="1641"/>
      <c r="V180" s="1641"/>
      <c r="W180" s="1641"/>
      <c r="X180" s="1641"/>
      <c r="Y180" s="1641"/>
      <c r="Z180" s="1641"/>
      <c r="AA180" s="1641"/>
      <c r="AB180" s="1641"/>
      <c r="AC180" s="1641"/>
      <c r="AD180" s="1641"/>
      <c r="AE180" s="1641"/>
      <c r="AF180" s="1641"/>
      <c r="AG180" s="1641"/>
      <c r="AH180" s="1641"/>
      <c r="AI180" s="1641"/>
      <c r="AJ180" s="1641"/>
      <c r="AK180" s="1641"/>
      <c r="AL180" s="1641"/>
      <c r="AM180" s="1641"/>
      <c r="AN180" s="1641"/>
      <c r="AO180" s="1641"/>
      <c r="AP180" s="1641"/>
      <c r="AQ180" s="1641"/>
      <c r="AR180" s="1641"/>
      <c r="AS180" s="1641"/>
      <c r="AT180" s="1641"/>
      <c r="AU180" s="1641"/>
      <c r="AV180" s="1641"/>
      <c r="AW180" s="1641"/>
      <c r="AX180" s="1641"/>
      <c r="AY180" s="1641"/>
      <c r="AZ180" s="1641"/>
      <c r="BA180" s="1641"/>
      <c r="BB180" s="1641"/>
      <c r="BC180" s="1641"/>
      <c r="BD180" s="1641"/>
      <c r="BE180" s="1641"/>
      <c r="BF180" s="1641"/>
      <c r="BG180" s="1641"/>
      <c r="BH180" s="1641"/>
      <c r="BI180" s="1641"/>
      <c r="BJ180" s="1641"/>
      <c r="BK180" s="1641"/>
      <c r="BL180" s="1641"/>
      <c r="BM180" s="1641"/>
      <c r="BN180" s="1641"/>
      <c r="BO180" s="1641"/>
      <c r="BP180" s="1641"/>
      <c r="BQ180" s="1641"/>
      <c r="BR180" s="1641"/>
      <c r="BS180" s="1641"/>
      <c r="BT180" s="1641"/>
      <c r="BU180" s="1641"/>
      <c r="BV180" s="1641"/>
      <c r="BW180" s="1641"/>
      <c r="BX180" s="1641"/>
      <c r="BY180" s="1641"/>
      <c r="BZ180" s="1641"/>
      <c r="CA180" s="1641"/>
      <c r="CB180" s="1641"/>
      <c r="CC180" s="1641"/>
      <c r="CD180" s="1641"/>
      <c r="CE180" s="1641"/>
      <c r="CF180" s="1641"/>
      <c r="CG180" s="1641"/>
      <c r="CH180" s="1641"/>
      <c r="CI180" s="1641"/>
      <c r="CJ180" s="1641"/>
      <c r="CK180" s="1641"/>
      <c r="CL180" s="1641"/>
      <c r="CM180" s="1641"/>
      <c r="CN180" s="1641"/>
      <c r="CO180" s="1641"/>
      <c r="CP180" s="1641"/>
      <c r="CQ180" s="1641"/>
      <c r="CR180" s="1641"/>
      <c r="CS180" s="1641"/>
      <c r="CT180" s="1641"/>
      <c r="CU180" s="1641"/>
      <c r="CV180" s="1641"/>
      <c r="CW180" s="1641"/>
      <c r="CX180" s="1641"/>
      <c r="CY180" s="1641"/>
      <c r="CZ180" s="1641"/>
      <c r="DA180" s="1641"/>
      <c r="DB180" s="1641"/>
      <c r="DC180" s="1641"/>
      <c r="DD180" s="1641"/>
      <c r="DE180" s="1641"/>
      <c r="DF180" s="1641"/>
      <c r="DG180" s="1641"/>
      <c r="DH180" s="1641"/>
      <c r="DI180" s="1641"/>
      <c r="DJ180" s="1641"/>
      <c r="DK180" s="1641"/>
      <c r="DL180" s="1641"/>
      <c r="DM180" s="1641"/>
      <c r="DN180" s="1641"/>
      <c r="DO180" s="1641"/>
      <c r="DP180" s="1641"/>
      <c r="DQ180" s="1641"/>
      <c r="DR180" s="1641"/>
      <c r="DS180" s="1641"/>
      <c r="DT180" s="1641"/>
      <c r="DU180" s="1641"/>
      <c r="DV180" s="1641"/>
      <c r="DW180" s="1641"/>
      <c r="DX180" s="1641"/>
      <c r="DY180" s="1641"/>
      <c r="DZ180" s="1641"/>
      <c r="EA180" s="1641"/>
      <c r="EB180" s="1641"/>
      <c r="EC180" s="1641"/>
      <c r="ED180" s="1641"/>
      <c r="EE180" s="1641"/>
      <c r="EF180" s="1641"/>
      <c r="EG180" s="1641"/>
      <c r="EH180" s="1641"/>
      <c r="EI180" s="1641"/>
      <c r="EJ180" s="1641"/>
      <c r="EK180" s="1641"/>
      <c r="EL180" s="1641"/>
      <c r="EM180" s="1641"/>
      <c r="EN180" s="1641"/>
      <c r="EO180" s="1641"/>
      <c r="EP180" s="1641"/>
      <c r="EQ180" s="1641"/>
      <c r="ER180" s="1641"/>
      <c r="ES180" s="1641"/>
      <c r="ET180" s="1641"/>
      <c r="EU180" s="1641"/>
      <c r="EV180" s="1641"/>
      <c r="EW180" s="1641"/>
      <c r="EX180" s="1641"/>
      <c r="EY180" s="1641"/>
      <c r="EZ180" s="1641"/>
      <c r="FA180" s="1641"/>
      <c r="FB180" s="1641"/>
      <c r="FC180" s="1641"/>
      <c r="FD180" s="1641"/>
      <c r="FE180" s="1641"/>
      <c r="FF180" s="1641"/>
      <c r="FG180" s="1641"/>
      <c r="FH180" s="1641"/>
      <c r="FI180" s="1641"/>
      <c r="FJ180" s="1641"/>
      <c r="FK180" s="1641"/>
      <c r="FL180" s="1641"/>
      <c r="FM180" s="1641"/>
      <c r="FN180" s="1641"/>
      <c r="FO180" s="1641"/>
      <c r="FP180" s="1641"/>
      <c r="FQ180" s="1641"/>
      <c r="FR180" s="1641"/>
      <c r="FS180" s="1641"/>
      <c r="FT180" s="1641"/>
      <c r="FU180" s="1641"/>
      <c r="FV180" s="1641"/>
      <c r="FW180" s="1641"/>
      <c r="FX180" s="1641"/>
      <c r="FY180" s="1641"/>
      <c r="FZ180" s="1641"/>
      <c r="GA180" s="1641"/>
      <c r="GB180" s="1641"/>
      <c r="GC180" s="1641"/>
      <c r="GD180" s="1641"/>
      <c r="GE180" s="1641"/>
      <c r="GF180" s="1641"/>
      <c r="GG180" s="1641"/>
      <c r="GH180" s="1641"/>
      <c r="GI180" s="1641"/>
      <c r="GJ180" s="1641"/>
      <c r="GK180" s="1641"/>
      <c r="GL180" s="1641"/>
      <c r="GM180" s="1641"/>
      <c r="GN180" s="1641"/>
      <c r="GO180" s="1641"/>
      <c r="GP180" s="1641"/>
      <c r="GQ180" s="1641"/>
      <c r="GR180" s="1641"/>
      <c r="GS180" s="1641"/>
      <c r="GT180" s="1641"/>
      <c r="GU180" s="1641"/>
      <c r="GV180" s="1641"/>
      <c r="GW180" s="1641"/>
      <c r="GX180" s="1641"/>
      <c r="GY180" s="1641"/>
      <c r="GZ180" s="1641"/>
      <c r="HA180" s="1641"/>
      <c r="HB180" s="1641"/>
      <c r="HC180" s="1641"/>
      <c r="HD180" s="1641"/>
      <c r="HE180" s="1641"/>
      <c r="HF180" s="1641"/>
      <c r="HG180" s="1641"/>
      <c r="HH180" s="1641"/>
      <c r="HI180" s="1641"/>
      <c r="HJ180" s="1641"/>
      <c r="HK180" s="1641"/>
      <c r="HL180" s="1641"/>
      <c r="HM180" s="1641"/>
      <c r="HN180" s="1641"/>
      <c r="HO180" s="1641"/>
      <c r="HP180" s="1641"/>
      <c r="HQ180" s="1641"/>
      <c r="HR180" s="1641"/>
      <c r="HS180" s="1641"/>
      <c r="HT180" s="1641"/>
      <c r="HU180" s="1641"/>
      <c r="HV180" s="1641"/>
      <c r="HW180" s="1641"/>
      <c r="HX180" s="1641"/>
      <c r="HY180" s="1641"/>
      <c r="HZ180" s="1641"/>
      <c r="IA180" s="1641"/>
      <c r="IB180" s="1641"/>
      <c r="IC180" s="1641"/>
      <c r="ID180" s="1641"/>
      <c r="IE180" s="1641"/>
      <c r="IF180" s="1641"/>
      <c r="IG180" s="1641"/>
      <c r="IH180" s="1641"/>
      <c r="II180" s="1641"/>
      <c r="IJ180" s="1641"/>
      <c r="IK180" s="1636">
        <v>2798</v>
      </c>
      <c r="IL180" s="1641"/>
      <c r="IM180" s="1641"/>
      <c r="IN180" s="1641"/>
      <c r="IO180" s="1641"/>
      <c r="IP180" s="1410"/>
      <c r="IQ180" s="1410"/>
      <c r="IR180" s="1410"/>
      <c r="IS180" s="1410"/>
      <c r="IT180" s="1410"/>
      <c r="IU180" s="1410"/>
      <c r="IV180" s="1410"/>
      <c r="IW180" s="1410"/>
      <c r="IX180" s="1641"/>
      <c r="IY180" s="1641"/>
      <c r="IZ180" s="1641"/>
      <c r="JA180" s="1641"/>
      <c r="JB180" s="1641"/>
      <c r="JC180" s="1641"/>
      <c r="JD180" s="1641"/>
      <c r="JE180" s="1641"/>
      <c r="JF180" s="1641"/>
      <c r="JG180" s="1641"/>
      <c r="JH180" s="1410"/>
      <c r="JI180" s="1410"/>
      <c r="JJ180" s="1410"/>
      <c r="JK180" s="1410"/>
      <c r="JL180" s="1410"/>
      <c r="JM180" s="1410"/>
      <c r="JN180" s="1410"/>
      <c r="JO180" s="1410"/>
      <c r="JP180" s="1410"/>
      <c r="JQ180" s="1405"/>
      <c r="JR180" s="351"/>
    </row>
    <row r="181" spans="1:278" x14ac:dyDescent="0.25">
      <c r="A181" s="1367">
        <v>181</v>
      </c>
      <c r="B181" s="1411" t="str">
        <f t="shared" si="17"/>
        <v/>
      </c>
      <c r="C181" s="1644" t="s">
        <v>4104</v>
      </c>
      <c r="D181" s="1645" t="s">
        <v>3851</v>
      </c>
      <c r="E181" s="1641"/>
      <c r="F181" s="1641"/>
      <c r="G181" s="1641"/>
      <c r="H181" s="1641"/>
      <c r="I181" s="1641"/>
      <c r="J181" s="1641"/>
      <c r="K181" s="1641"/>
      <c r="L181" s="1641"/>
      <c r="M181" s="1641"/>
      <c r="N181" s="1641"/>
      <c r="O181" s="1641"/>
      <c r="P181" s="1641"/>
      <c r="Q181" s="1641"/>
      <c r="R181" s="1641"/>
      <c r="S181" s="1641"/>
      <c r="T181" s="1641"/>
      <c r="U181" s="1641"/>
      <c r="V181" s="1641"/>
      <c r="W181" s="1641"/>
      <c r="X181" s="1641"/>
      <c r="Y181" s="1641"/>
      <c r="Z181" s="1641"/>
      <c r="AA181" s="1641"/>
      <c r="AB181" s="1641"/>
      <c r="AC181" s="1641"/>
      <c r="AD181" s="1641"/>
      <c r="AE181" s="1641"/>
      <c r="AF181" s="1641"/>
      <c r="AG181" s="1641"/>
      <c r="AH181" s="1641"/>
      <c r="AI181" s="1641"/>
      <c r="AJ181" s="1641"/>
      <c r="AK181" s="1641"/>
      <c r="AL181" s="1641"/>
      <c r="AM181" s="1641"/>
      <c r="AN181" s="1641"/>
      <c r="AO181" s="1641"/>
      <c r="AP181" s="1641"/>
      <c r="AQ181" s="1641"/>
      <c r="AR181" s="1641"/>
      <c r="AS181" s="1641"/>
      <c r="AT181" s="1641"/>
      <c r="AU181" s="1641"/>
      <c r="AV181" s="1641"/>
      <c r="AW181" s="1641"/>
      <c r="AX181" s="1641"/>
      <c r="AY181" s="1641"/>
      <c r="AZ181" s="1641"/>
      <c r="BA181" s="1641"/>
      <c r="BB181" s="1641"/>
      <c r="BC181" s="1641"/>
      <c r="BD181" s="1641"/>
      <c r="BE181" s="1641"/>
      <c r="BF181" s="1641"/>
      <c r="BG181" s="1641"/>
      <c r="BH181" s="1641"/>
      <c r="BI181" s="1641"/>
      <c r="BJ181" s="1641"/>
      <c r="BK181" s="1641"/>
      <c r="BL181" s="1641"/>
      <c r="BM181" s="1641"/>
      <c r="BN181" s="1641"/>
      <c r="BO181" s="1641"/>
      <c r="BP181" s="1641"/>
      <c r="BQ181" s="1641"/>
      <c r="BR181" s="1641"/>
      <c r="BS181" s="1641"/>
      <c r="BT181" s="1641"/>
      <c r="BU181" s="1641"/>
      <c r="BV181" s="1641"/>
      <c r="BW181" s="1641"/>
      <c r="BX181" s="1641"/>
      <c r="BY181" s="1641"/>
      <c r="BZ181" s="1641"/>
      <c r="CA181" s="1641"/>
      <c r="CB181" s="1641"/>
      <c r="CC181" s="1641"/>
      <c r="CD181" s="1641"/>
      <c r="CE181" s="1641"/>
      <c r="CF181" s="1641"/>
      <c r="CG181" s="1641"/>
      <c r="CH181" s="1641"/>
      <c r="CI181" s="1641"/>
      <c r="CJ181" s="1641"/>
      <c r="CK181" s="1641"/>
      <c r="CL181" s="1641"/>
      <c r="CM181" s="1641"/>
      <c r="CN181" s="1641"/>
      <c r="CO181" s="1641"/>
      <c r="CP181" s="1641"/>
      <c r="CQ181" s="1641"/>
      <c r="CR181" s="1641"/>
      <c r="CS181" s="1641"/>
      <c r="CT181" s="1641"/>
      <c r="CU181" s="1641"/>
      <c r="CV181" s="1641"/>
      <c r="CW181" s="1641"/>
      <c r="CX181" s="1641"/>
      <c r="CY181" s="1641"/>
      <c r="CZ181" s="1641"/>
      <c r="DA181" s="1641"/>
      <c r="DB181" s="1641"/>
      <c r="DC181" s="1641"/>
      <c r="DD181" s="1641"/>
      <c r="DE181" s="1641"/>
      <c r="DF181" s="1641"/>
      <c r="DG181" s="1641"/>
      <c r="DH181" s="1641"/>
      <c r="DI181" s="1641"/>
      <c r="DJ181" s="1641"/>
      <c r="DK181" s="1641"/>
      <c r="DL181" s="1641"/>
      <c r="DM181" s="1641"/>
      <c r="DN181" s="1641"/>
      <c r="DO181" s="1641"/>
      <c r="DP181" s="1641"/>
      <c r="DQ181" s="1641"/>
      <c r="DR181" s="1641"/>
      <c r="DS181" s="1641"/>
      <c r="DT181" s="1641"/>
      <c r="DU181" s="1641"/>
      <c r="DV181" s="1641"/>
      <c r="DW181" s="1641"/>
      <c r="DX181" s="1641"/>
      <c r="DY181" s="1641"/>
      <c r="DZ181" s="1641"/>
      <c r="EA181" s="1641"/>
      <c r="EB181" s="1641"/>
      <c r="EC181" s="1641"/>
      <c r="ED181" s="1641"/>
      <c r="EE181" s="1641"/>
      <c r="EF181" s="1641"/>
      <c r="EG181" s="1641"/>
      <c r="EH181" s="1641"/>
      <c r="EI181" s="1641"/>
      <c r="EJ181" s="1641"/>
      <c r="EK181" s="1641"/>
      <c r="EL181" s="1641"/>
      <c r="EM181" s="1641"/>
      <c r="EN181" s="1641"/>
      <c r="EO181" s="1641"/>
      <c r="EP181" s="1641"/>
      <c r="EQ181" s="1641"/>
      <c r="ER181" s="1641"/>
      <c r="ES181" s="1641"/>
      <c r="ET181" s="1641"/>
      <c r="EU181" s="1641"/>
      <c r="EV181" s="1641"/>
      <c r="EW181" s="1641"/>
      <c r="EX181" s="1641"/>
      <c r="EY181" s="1641"/>
      <c r="EZ181" s="1641"/>
      <c r="FA181" s="1641"/>
      <c r="FB181" s="1641"/>
      <c r="FC181" s="1641"/>
      <c r="FD181" s="1641"/>
      <c r="FE181" s="1641"/>
      <c r="FF181" s="1641"/>
      <c r="FG181" s="1641"/>
      <c r="FH181" s="1641"/>
      <c r="FI181" s="1641"/>
      <c r="FJ181" s="1641"/>
      <c r="FK181" s="1641"/>
      <c r="FL181" s="1641"/>
      <c r="FM181" s="1641"/>
      <c r="FN181" s="1641"/>
      <c r="FO181" s="1641"/>
      <c r="FP181" s="1641"/>
      <c r="FQ181" s="1641"/>
      <c r="FR181" s="1641"/>
      <c r="FS181" s="1641"/>
      <c r="FT181" s="1641"/>
      <c r="FU181" s="1641"/>
      <c r="FV181" s="1641"/>
      <c r="FW181" s="1641"/>
      <c r="FX181" s="1641"/>
      <c r="FY181" s="1641"/>
      <c r="FZ181" s="1641"/>
      <c r="GA181" s="1641"/>
      <c r="GB181" s="1641"/>
      <c r="GC181" s="1641"/>
      <c r="GD181" s="1641"/>
      <c r="GE181" s="1641"/>
      <c r="GF181" s="1641"/>
      <c r="GG181" s="1641"/>
      <c r="GH181" s="1641"/>
      <c r="GI181" s="1641"/>
      <c r="GJ181" s="1641"/>
      <c r="GK181" s="1641"/>
      <c r="GL181" s="1641"/>
      <c r="GM181" s="1641"/>
      <c r="GN181" s="1641"/>
      <c r="GO181" s="1641"/>
      <c r="GP181" s="1641"/>
      <c r="GQ181" s="1641"/>
      <c r="GR181" s="1641"/>
      <c r="GS181" s="1641"/>
      <c r="GT181" s="1641"/>
      <c r="GU181" s="1641"/>
      <c r="GV181" s="1641"/>
      <c r="GW181" s="1641"/>
      <c r="GX181" s="1641"/>
      <c r="GY181" s="1641"/>
      <c r="GZ181" s="1641"/>
      <c r="HA181" s="1641"/>
      <c r="HB181" s="1641"/>
      <c r="HC181" s="1641"/>
      <c r="HD181" s="1641"/>
      <c r="HE181" s="1641"/>
      <c r="HF181" s="1641"/>
      <c r="HG181" s="1641"/>
      <c r="HH181" s="1641"/>
      <c r="HI181" s="1641"/>
      <c r="HJ181" s="1641"/>
      <c r="HK181" s="1641"/>
      <c r="HL181" s="1641"/>
      <c r="HM181" s="1641"/>
      <c r="HN181" s="1641"/>
      <c r="HO181" s="1641"/>
      <c r="HP181" s="1641"/>
      <c r="HQ181" s="1641"/>
      <c r="HR181" s="1641"/>
      <c r="HS181" s="1641"/>
      <c r="HT181" s="1641"/>
      <c r="HU181" s="1641"/>
      <c r="HV181" s="1641"/>
      <c r="HW181" s="1641"/>
      <c r="HX181" s="1641"/>
      <c r="HY181" s="1641"/>
      <c r="HZ181" s="1641"/>
      <c r="IA181" s="1641"/>
      <c r="IB181" s="1641"/>
      <c r="IC181" s="1641"/>
      <c r="ID181" s="1641"/>
      <c r="IE181" s="1641"/>
      <c r="IF181" s="1641"/>
      <c r="IG181" s="1641"/>
      <c r="IH181" s="1641"/>
      <c r="II181" s="1641"/>
      <c r="IJ181" s="1641"/>
      <c r="IK181" s="1638" t="s">
        <v>3855</v>
      </c>
      <c r="IL181" s="1638" t="s">
        <v>3852</v>
      </c>
      <c r="IM181" s="1641"/>
      <c r="IN181" s="1641"/>
      <c r="IO181" s="1641"/>
      <c r="IP181" s="1410"/>
      <c r="IQ181" s="1410"/>
      <c r="IR181" s="1410"/>
      <c r="IS181" s="1410"/>
      <c r="IT181" s="1410"/>
      <c r="IU181" s="1410"/>
      <c r="IV181" s="1410"/>
      <c r="IW181" s="1410"/>
      <c r="IX181" s="1641"/>
      <c r="IY181" s="1641"/>
      <c r="IZ181" s="1641"/>
      <c r="JA181" s="1641"/>
      <c r="JB181" s="1641"/>
      <c r="JC181" s="1641"/>
      <c r="JD181" s="1641"/>
      <c r="JE181" s="1641"/>
      <c r="JF181" s="1641"/>
      <c r="JG181" s="1641"/>
      <c r="JH181" s="1410"/>
      <c r="JI181" s="1410"/>
      <c r="JJ181" s="1410"/>
      <c r="JK181" s="1410"/>
      <c r="JL181" s="1410"/>
      <c r="JM181" s="1410"/>
      <c r="JN181" s="1410"/>
      <c r="JO181" s="1410"/>
      <c r="JP181" s="1410"/>
      <c r="JQ181" s="1405"/>
      <c r="JR181" s="351"/>
    </row>
    <row r="182" spans="1:278" x14ac:dyDescent="0.25">
      <c r="A182" s="1367">
        <v>182</v>
      </c>
      <c r="B182" s="1411" t="str">
        <f t="shared" si="17"/>
        <v/>
      </c>
      <c r="C182" s="1644" t="s">
        <v>4105</v>
      </c>
      <c r="D182" s="1645" t="s">
        <v>3867</v>
      </c>
      <c r="E182" s="1641"/>
      <c r="F182" s="1641"/>
      <c r="G182" s="1641"/>
      <c r="H182" s="1641"/>
      <c r="I182" s="1641"/>
      <c r="J182" s="1641"/>
      <c r="K182" s="1641"/>
      <c r="L182" s="1641"/>
      <c r="M182" s="1641"/>
      <c r="N182" s="1641"/>
      <c r="O182" s="1641"/>
      <c r="P182" s="1641"/>
      <c r="Q182" s="1641"/>
      <c r="R182" s="1641"/>
      <c r="S182" s="1641"/>
      <c r="T182" s="1641"/>
      <c r="U182" s="1641"/>
      <c r="V182" s="1641"/>
      <c r="W182" s="1641"/>
      <c r="X182" s="1641"/>
      <c r="Y182" s="1641"/>
      <c r="Z182" s="1641"/>
      <c r="AA182" s="1641"/>
      <c r="AB182" s="1641"/>
      <c r="AC182" s="1641"/>
      <c r="AD182" s="1641"/>
      <c r="AE182" s="1641"/>
      <c r="AF182" s="1641"/>
      <c r="AG182" s="1641"/>
      <c r="AH182" s="1641"/>
      <c r="AI182" s="1641"/>
      <c r="AJ182" s="1641"/>
      <c r="AK182" s="1641"/>
      <c r="AL182" s="1641"/>
      <c r="AM182" s="1641"/>
      <c r="AN182" s="1641"/>
      <c r="AO182" s="1641"/>
      <c r="AP182" s="1641"/>
      <c r="AQ182" s="1641"/>
      <c r="AR182" s="1641"/>
      <c r="AS182" s="1641"/>
      <c r="AT182" s="1641"/>
      <c r="AU182" s="1641"/>
      <c r="AV182" s="1641"/>
      <c r="AW182" s="1641"/>
      <c r="AX182" s="1641"/>
      <c r="AY182" s="1641"/>
      <c r="AZ182" s="1641"/>
      <c r="BA182" s="1641"/>
      <c r="BB182" s="1641"/>
      <c r="BC182" s="1641"/>
      <c r="BD182" s="1641"/>
      <c r="BE182" s="1641"/>
      <c r="BF182" s="1641"/>
      <c r="BG182" s="1641"/>
      <c r="BH182" s="1641"/>
      <c r="BI182" s="1641"/>
      <c r="BJ182" s="1641"/>
      <c r="BK182" s="1641"/>
      <c r="BL182" s="1641"/>
      <c r="BM182" s="1641"/>
      <c r="BN182" s="1641"/>
      <c r="BO182" s="1641"/>
      <c r="BP182" s="1641"/>
      <c r="BQ182" s="1641"/>
      <c r="BR182" s="1641"/>
      <c r="BS182" s="1641"/>
      <c r="BT182" s="1641"/>
      <c r="BU182" s="1641"/>
      <c r="BV182" s="1641"/>
      <c r="BW182" s="1641"/>
      <c r="BX182" s="1641"/>
      <c r="BY182" s="1641"/>
      <c r="BZ182" s="1641"/>
      <c r="CA182" s="1641"/>
      <c r="CB182" s="1641"/>
      <c r="CC182" s="1641"/>
      <c r="CD182" s="1641"/>
      <c r="CE182" s="1641"/>
      <c r="CF182" s="1641"/>
      <c r="CG182" s="1641"/>
      <c r="CH182" s="1641"/>
      <c r="CI182" s="1641"/>
      <c r="CJ182" s="1641"/>
      <c r="CK182" s="1641"/>
      <c r="CL182" s="1641"/>
      <c r="CM182" s="1641"/>
      <c r="CN182" s="1641"/>
      <c r="CO182" s="1641"/>
      <c r="CP182" s="1641"/>
      <c r="CQ182" s="1641"/>
      <c r="CR182" s="1641"/>
      <c r="CS182" s="1641"/>
      <c r="CT182" s="1641"/>
      <c r="CU182" s="1641"/>
      <c r="CV182" s="1641"/>
      <c r="CW182" s="1641"/>
      <c r="CX182" s="1641"/>
      <c r="CY182" s="1641"/>
      <c r="CZ182" s="1641"/>
      <c r="DA182" s="1641"/>
      <c r="DB182" s="1641"/>
      <c r="DC182" s="1641"/>
      <c r="DD182" s="1641"/>
      <c r="DE182" s="1641"/>
      <c r="DF182" s="1641"/>
      <c r="DG182" s="1641"/>
      <c r="DH182" s="1641"/>
      <c r="DI182" s="1641"/>
      <c r="DJ182" s="1641"/>
      <c r="DK182" s="1641"/>
      <c r="DL182" s="1641"/>
      <c r="DM182" s="1641"/>
      <c r="DN182" s="1641"/>
      <c r="DO182" s="1641"/>
      <c r="DP182" s="1641"/>
      <c r="DQ182" s="1641"/>
      <c r="DR182" s="1641"/>
      <c r="DS182" s="1641"/>
      <c r="DT182" s="1641"/>
      <c r="DU182" s="1641"/>
      <c r="DV182" s="1641"/>
      <c r="DW182" s="1641"/>
      <c r="DX182" s="1641"/>
      <c r="DY182" s="1641"/>
      <c r="DZ182" s="1641"/>
      <c r="EA182" s="1641"/>
      <c r="EB182" s="1641"/>
      <c r="EC182" s="1641"/>
      <c r="ED182" s="1641"/>
      <c r="EE182" s="1641"/>
      <c r="EF182" s="1641"/>
      <c r="EG182" s="1641"/>
      <c r="EH182" s="1641"/>
      <c r="EI182" s="1641"/>
      <c r="EJ182" s="1641"/>
      <c r="EK182" s="1641"/>
      <c r="EL182" s="1641"/>
      <c r="EM182" s="1641"/>
      <c r="EN182" s="1641"/>
      <c r="EO182" s="1641"/>
      <c r="EP182" s="1641"/>
      <c r="EQ182" s="1641"/>
      <c r="ER182" s="1641"/>
      <c r="ES182" s="1641"/>
      <c r="ET182" s="1641"/>
      <c r="EU182" s="1641"/>
      <c r="EV182" s="1641"/>
      <c r="EW182" s="1641"/>
      <c r="EX182" s="1641"/>
      <c r="EY182" s="1641"/>
      <c r="EZ182" s="1641"/>
      <c r="FA182" s="1641"/>
      <c r="FB182" s="1641"/>
      <c r="FC182" s="1641"/>
      <c r="FD182" s="1641"/>
      <c r="FE182" s="1641"/>
      <c r="FF182" s="1641"/>
      <c r="FG182" s="1641"/>
      <c r="FH182" s="1641"/>
      <c r="FI182" s="1641"/>
      <c r="FJ182" s="1641"/>
      <c r="FK182" s="1641"/>
      <c r="FL182" s="1641"/>
      <c r="FM182" s="1641"/>
      <c r="FN182" s="1641"/>
      <c r="FO182" s="1641"/>
      <c r="FP182" s="1641"/>
      <c r="FQ182" s="1641"/>
      <c r="FR182" s="1641"/>
      <c r="FS182" s="1641"/>
      <c r="FT182" s="1641"/>
      <c r="FU182" s="1641"/>
      <c r="FV182" s="1641"/>
      <c r="FW182" s="1641"/>
      <c r="FX182" s="1641"/>
      <c r="FY182" s="1641"/>
      <c r="FZ182" s="1641"/>
      <c r="GA182" s="1641"/>
      <c r="GB182" s="1641"/>
      <c r="GC182" s="1641"/>
      <c r="GD182" s="1641"/>
      <c r="GE182" s="1641"/>
      <c r="GF182" s="1641"/>
      <c r="GG182" s="1641"/>
      <c r="GH182" s="1641"/>
      <c r="GI182" s="1641"/>
      <c r="GJ182" s="1641"/>
      <c r="GK182" s="1641"/>
      <c r="GL182" s="1641"/>
      <c r="GM182" s="1641"/>
      <c r="GN182" s="1641"/>
      <c r="GO182" s="1641"/>
      <c r="GP182" s="1641"/>
      <c r="GQ182" s="1641"/>
      <c r="GR182" s="1641"/>
      <c r="GS182" s="1641"/>
      <c r="GT182" s="1641"/>
      <c r="GU182" s="1641"/>
      <c r="GV182" s="1641"/>
      <c r="GW182" s="1641"/>
      <c r="GX182" s="1641"/>
      <c r="GY182" s="1641"/>
      <c r="GZ182" s="1641"/>
      <c r="HA182" s="1641"/>
      <c r="HB182" s="1641"/>
      <c r="HC182" s="1641"/>
      <c r="HD182" s="1641"/>
      <c r="HE182" s="1641"/>
      <c r="HF182" s="1641"/>
      <c r="HG182" s="1641"/>
      <c r="HH182" s="1641"/>
      <c r="HI182" s="1641"/>
      <c r="HJ182" s="1641"/>
      <c r="HK182" s="1641"/>
      <c r="HL182" s="1641"/>
      <c r="HM182" s="1641"/>
      <c r="HN182" s="1641"/>
      <c r="HO182" s="1641"/>
      <c r="HP182" s="1641"/>
      <c r="HQ182" s="1641"/>
      <c r="HR182" s="1641"/>
      <c r="HS182" s="1641"/>
      <c r="HT182" s="1641"/>
      <c r="HU182" s="1641"/>
      <c r="HV182" s="1641"/>
      <c r="HW182" s="1641"/>
      <c r="HX182" s="1641"/>
      <c r="HY182" s="1641"/>
      <c r="HZ182" s="1641"/>
      <c r="IA182" s="1641"/>
      <c r="IB182" s="1641"/>
      <c r="IC182" s="1641"/>
      <c r="ID182" s="1641"/>
      <c r="IE182" s="1641"/>
      <c r="IF182" s="1641"/>
      <c r="IG182" s="1641"/>
      <c r="IH182" s="1641"/>
      <c r="II182" s="1641"/>
      <c r="IJ182" s="1641"/>
      <c r="IK182" s="1636">
        <v>3600</v>
      </c>
      <c r="IL182" s="2404">
        <v>1490</v>
      </c>
      <c r="IM182" s="1641"/>
      <c r="IN182" s="1641"/>
      <c r="IO182" s="1641"/>
      <c r="IP182" s="1410"/>
      <c r="IQ182" s="1410"/>
      <c r="IR182" s="1410"/>
      <c r="IS182" s="1410"/>
      <c r="IT182" s="1410"/>
      <c r="IU182" s="1410"/>
      <c r="IV182" s="1410"/>
      <c r="IW182" s="1410"/>
      <c r="IX182" s="1641"/>
      <c r="IY182" s="1641"/>
      <c r="IZ182" s="1641"/>
      <c r="JA182" s="1641"/>
      <c r="JB182" s="1641"/>
      <c r="JC182" s="1641"/>
      <c r="JD182" s="1641"/>
      <c r="JE182" s="1641"/>
      <c r="JF182" s="1641"/>
      <c r="JG182" s="1641"/>
      <c r="JH182" s="1410"/>
      <c r="JI182" s="1410"/>
      <c r="JJ182" s="1410"/>
      <c r="JK182" s="1410"/>
      <c r="JL182" s="1410"/>
      <c r="JM182" s="1410"/>
      <c r="JN182" s="1410"/>
      <c r="JO182" s="1410"/>
      <c r="JP182" s="1410"/>
      <c r="JQ182" s="1405"/>
      <c r="JR182" s="351"/>
    </row>
    <row r="183" spans="1:278" x14ac:dyDescent="0.25">
      <c r="A183" s="1367">
        <v>183</v>
      </c>
      <c r="B183" s="1411" t="str">
        <f t="shared" si="17"/>
        <v/>
      </c>
      <c r="C183" s="1644" t="s">
        <v>4106</v>
      </c>
      <c r="D183" s="1645" t="s">
        <v>3869</v>
      </c>
      <c r="E183" s="1641"/>
      <c r="F183" s="1641"/>
      <c r="G183" s="1641"/>
      <c r="H183" s="1641"/>
      <c r="I183" s="1641"/>
      <c r="J183" s="1641"/>
      <c r="K183" s="1641"/>
      <c r="L183" s="1641"/>
      <c r="M183" s="1641"/>
      <c r="N183" s="1641"/>
      <c r="O183" s="1641"/>
      <c r="P183" s="1641"/>
      <c r="Q183" s="1641"/>
      <c r="R183" s="1641"/>
      <c r="S183" s="1641"/>
      <c r="T183" s="1641"/>
      <c r="U183" s="1641"/>
      <c r="V183" s="1641"/>
      <c r="W183" s="1641"/>
      <c r="X183" s="1641"/>
      <c r="Y183" s="1641"/>
      <c r="Z183" s="1641"/>
      <c r="AA183" s="1641"/>
      <c r="AB183" s="1641"/>
      <c r="AC183" s="1641"/>
      <c r="AD183" s="1641"/>
      <c r="AE183" s="1641"/>
      <c r="AF183" s="1641"/>
      <c r="AG183" s="1641"/>
      <c r="AH183" s="1641"/>
      <c r="AI183" s="1641"/>
      <c r="AJ183" s="1641"/>
      <c r="AK183" s="1641"/>
      <c r="AL183" s="1641"/>
      <c r="AM183" s="1641"/>
      <c r="AN183" s="1641"/>
      <c r="AO183" s="1641"/>
      <c r="AP183" s="1641"/>
      <c r="AQ183" s="1641"/>
      <c r="AR183" s="1641"/>
      <c r="AS183" s="1641"/>
      <c r="AT183" s="1641"/>
      <c r="AU183" s="1641"/>
      <c r="AV183" s="1641"/>
      <c r="AW183" s="1641"/>
      <c r="AX183" s="1641"/>
      <c r="AY183" s="1641"/>
      <c r="AZ183" s="1641"/>
      <c r="BA183" s="1641"/>
      <c r="BB183" s="1641"/>
      <c r="BC183" s="1641"/>
      <c r="BD183" s="1641"/>
      <c r="BE183" s="1641"/>
      <c r="BF183" s="1641"/>
      <c r="BG183" s="1641"/>
      <c r="BH183" s="1641"/>
      <c r="BI183" s="1641"/>
      <c r="BJ183" s="1641"/>
      <c r="BK183" s="1641"/>
      <c r="BL183" s="1641"/>
      <c r="BM183" s="1641"/>
      <c r="BN183" s="1641"/>
      <c r="BO183" s="1641"/>
      <c r="BP183" s="1641"/>
      <c r="BQ183" s="1641"/>
      <c r="BR183" s="1641"/>
      <c r="BS183" s="1641"/>
      <c r="BT183" s="1641"/>
      <c r="BU183" s="1641"/>
      <c r="BV183" s="1641"/>
      <c r="BW183" s="1641"/>
      <c r="BX183" s="1641"/>
      <c r="BY183" s="1641"/>
      <c r="BZ183" s="1641"/>
      <c r="CA183" s="1641"/>
      <c r="CB183" s="1641"/>
      <c r="CC183" s="1641"/>
      <c r="CD183" s="1641"/>
      <c r="CE183" s="1641"/>
      <c r="CF183" s="1641"/>
      <c r="CG183" s="1641"/>
      <c r="CH183" s="1641"/>
      <c r="CI183" s="1641"/>
      <c r="CJ183" s="1641"/>
      <c r="CK183" s="1641"/>
      <c r="CL183" s="1641"/>
      <c r="CM183" s="1641"/>
      <c r="CN183" s="1641"/>
      <c r="CO183" s="1641"/>
      <c r="CP183" s="1641"/>
      <c r="CQ183" s="1641"/>
      <c r="CR183" s="1641"/>
      <c r="CS183" s="1641"/>
      <c r="CT183" s="1641"/>
      <c r="CU183" s="1641"/>
      <c r="CV183" s="1641"/>
      <c r="CW183" s="1641"/>
      <c r="CX183" s="1641"/>
      <c r="CY183" s="1641"/>
      <c r="CZ183" s="1641"/>
      <c r="DA183" s="1641"/>
      <c r="DB183" s="1641"/>
      <c r="DC183" s="1641"/>
      <c r="DD183" s="1641"/>
      <c r="DE183" s="1641"/>
      <c r="DF183" s="1641"/>
      <c r="DG183" s="1641"/>
      <c r="DH183" s="1641"/>
      <c r="DI183" s="1641"/>
      <c r="DJ183" s="1641"/>
      <c r="DK183" s="1641"/>
      <c r="DL183" s="1641"/>
      <c r="DM183" s="1641"/>
      <c r="DN183" s="1641"/>
      <c r="DO183" s="1641"/>
      <c r="DP183" s="1641"/>
      <c r="DQ183" s="1641"/>
      <c r="DR183" s="1641"/>
      <c r="DS183" s="1641"/>
      <c r="DT183" s="1641"/>
      <c r="DU183" s="1641"/>
      <c r="DV183" s="1641"/>
      <c r="DW183" s="1641"/>
      <c r="DX183" s="1641"/>
      <c r="DY183" s="1641"/>
      <c r="DZ183" s="1641"/>
      <c r="EA183" s="1641"/>
      <c r="EB183" s="1641"/>
      <c r="EC183" s="1641"/>
      <c r="ED183" s="1641"/>
      <c r="EE183" s="1641"/>
      <c r="EF183" s="1641"/>
      <c r="EG183" s="1641"/>
      <c r="EH183" s="1641"/>
      <c r="EI183" s="1641"/>
      <c r="EJ183" s="1641"/>
      <c r="EK183" s="1641"/>
      <c r="EL183" s="1641"/>
      <c r="EM183" s="1641"/>
      <c r="EN183" s="1641"/>
      <c r="EO183" s="1641"/>
      <c r="EP183" s="1641"/>
      <c r="EQ183" s="1641"/>
      <c r="ER183" s="1641"/>
      <c r="ES183" s="1641"/>
      <c r="ET183" s="1641"/>
      <c r="EU183" s="1641"/>
      <c r="EV183" s="1641"/>
      <c r="EW183" s="1641"/>
      <c r="EX183" s="1641"/>
      <c r="EY183" s="1641"/>
      <c r="EZ183" s="1641"/>
      <c r="FA183" s="1641"/>
      <c r="FB183" s="1641"/>
      <c r="FC183" s="1641"/>
      <c r="FD183" s="1641"/>
      <c r="FE183" s="1641"/>
      <c r="FF183" s="1641"/>
      <c r="FG183" s="1641"/>
      <c r="FH183" s="1641"/>
      <c r="FI183" s="1641"/>
      <c r="FJ183" s="1641"/>
      <c r="FK183" s="1641"/>
      <c r="FL183" s="1641"/>
      <c r="FM183" s="1641"/>
      <c r="FN183" s="1641"/>
      <c r="FO183" s="1641"/>
      <c r="FP183" s="1641"/>
      <c r="FQ183" s="1641"/>
      <c r="FR183" s="1641"/>
      <c r="FS183" s="1641"/>
      <c r="FT183" s="1641"/>
      <c r="FU183" s="1641"/>
      <c r="FV183" s="1641"/>
      <c r="FW183" s="1641"/>
      <c r="FX183" s="1641"/>
      <c r="FY183" s="1641"/>
      <c r="FZ183" s="1641"/>
      <c r="GA183" s="1641"/>
      <c r="GB183" s="1641"/>
      <c r="GC183" s="1641"/>
      <c r="GD183" s="1641"/>
      <c r="GE183" s="1641"/>
      <c r="GF183" s="1641"/>
      <c r="GG183" s="1641"/>
      <c r="GH183" s="1641"/>
      <c r="GI183" s="1641"/>
      <c r="GJ183" s="1641"/>
      <c r="GK183" s="1641"/>
      <c r="GL183" s="1641"/>
      <c r="GM183" s="1641"/>
      <c r="GN183" s="1641"/>
      <c r="GO183" s="1641"/>
      <c r="GP183" s="1641"/>
      <c r="GQ183" s="1641"/>
      <c r="GR183" s="1641"/>
      <c r="GS183" s="1641"/>
      <c r="GT183" s="1641"/>
      <c r="GU183" s="1641"/>
      <c r="GV183" s="1641"/>
      <c r="GW183" s="1641"/>
      <c r="GX183" s="1641"/>
      <c r="GY183" s="1641"/>
      <c r="GZ183" s="1641"/>
      <c r="HA183" s="1641"/>
      <c r="HB183" s="1641"/>
      <c r="HC183" s="1641"/>
      <c r="HD183" s="1641"/>
      <c r="HE183" s="1641"/>
      <c r="HF183" s="1641"/>
      <c r="HG183" s="1641"/>
      <c r="HH183" s="1641"/>
      <c r="HI183" s="1641"/>
      <c r="HJ183" s="1641"/>
      <c r="HK183" s="1641"/>
      <c r="HL183" s="1641"/>
      <c r="HM183" s="1641"/>
      <c r="HN183" s="1641"/>
      <c r="HO183" s="1641"/>
      <c r="HP183" s="1641"/>
      <c r="HQ183" s="1641"/>
      <c r="HR183" s="1641"/>
      <c r="HS183" s="1641"/>
      <c r="HT183" s="1641"/>
      <c r="HU183" s="1641"/>
      <c r="HV183" s="1641"/>
      <c r="HW183" s="1641"/>
      <c r="HX183" s="1641"/>
      <c r="HY183" s="1641"/>
      <c r="HZ183" s="1641"/>
      <c r="IA183" s="1641"/>
      <c r="IB183" s="1641"/>
      <c r="IC183" s="1641"/>
      <c r="ID183" s="1641"/>
      <c r="IE183" s="1641"/>
      <c r="IF183" s="1641"/>
      <c r="IG183" s="1641"/>
      <c r="IH183" s="1641"/>
      <c r="II183" s="1641"/>
      <c r="IJ183" s="1641"/>
      <c r="IK183" s="1641"/>
      <c r="IL183" s="1636">
        <v>223</v>
      </c>
      <c r="IM183" s="1641"/>
      <c r="IN183" s="1641"/>
      <c r="IO183" s="1641"/>
      <c r="IP183" s="1410"/>
      <c r="IQ183" s="1410"/>
      <c r="IR183" s="1410"/>
      <c r="IS183" s="1410"/>
      <c r="IT183" s="1410"/>
      <c r="IU183" s="1410"/>
      <c r="IV183" s="1410"/>
      <c r="IW183" s="1410"/>
      <c r="IX183" s="1641"/>
      <c r="IY183" s="1641"/>
      <c r="IZ183" s="1641"/>
      <c r="JA183" s="1641"/>
      <c r="JB183" s="1641"/>
      <c r="JC183" s="1641"/>
      <c r="JD183" s="1641"/>
      <c r="JE183" s="1641"/>
      <c r="JF183" s="1641"/>
      <c r="JG183" s="1641"/>
      <c r="JH183" s="1410"/>
      <c r="JI183" s="1410"/>
      <c r="JJ183" s="1410"/>
      <c r="JK183" s="1410"/>
      <c r="JL183" s="1410"/>
      <c r="JM183" s="1410"/>
      <c r="JN183" s="1410"/>
      <c r="JO183" s="1410"/>
      <c r="JP183" s="1410"/>
      <c r="JQ183" s="1405"/>
      <c r="JR183" s="351"/>
    </row>
    <row r="184" spans="1:278" x14ac:dyDescent="0.25">
      <c r="A184" s="1367">
        <v>184</v>
      </c>
      <c r="B184" s="1411" t="str">
        <f t="shared" si="17"/>
        <v/>
      </c>
      <c r="C184" s="1644" t="s">
        <v>4107</v>
      </c>
      <c r="D184" s="1645" t="s">
        <v>3871</v>
      </c>
      <c r="E184" s="1641"/>
      <c r="F184" s="1641"/>
      <c r="G184" s="1641"/>
      <c r="H184" s="1641"/>
      <c r="I184" s="1641"/>
      <c r="J184" s="1641"/>
      <c r="K184" s="1641"/>
      <c r="L184" s="1641"/>
      <c r="M184" s="1641"/>
      <c r="N184" s="1641"/>
      <c r="O184" s="1641"/>
      <c r="P184" s="1641"/>
      <c r="Q184" s="1641"/>
      <c r="R184" s="1641"/>
      <c r="S184" s="1641"/>
      <c r="T184" s="1641"/>
      <c r="U184" s="1641"/>
      <c r="V184" s="1641"/>
      <c r="W184" s="1641"/>
      <c r="X184" s="1641"/>
      <c r="Y184" s="1641"/>
      <c r="Z184" s="1641"/>
      <c r="AA184" s="1641"/>
      <c r="AB184" s="1641"/>
      <c r="AC184" s="1641"/>
      <c r="AD184" s="1641"/>
      <c r="AE184" s="1641"/>
      <c r="AF184" s="1641"/>
      <c r="AG184" s="1641"/>
      <c r="AH184" s="1641"/>
      <c r="AI184" s="1641"/>
      <c r="AJ184" s="1641"/>
      <c r="AK184" s="1641"/>
      <c r="AL184" s="1641"/>
      <c r="AM184" s="1641"/>
      <c r="AN184" s="1641"/>
      <c r="AO184" s="1641"/>
      <c r="AP184" s="1641"/>
      <c r="AQ184" s="1641"/>
      <c r="AR184" s="1641"/>
      <c r="AS184" s="1641"/>
      <c r="AT184" s="1641"/>
      <c r="AU184" s="1641"/>
      <c r="AV184" s="1641"/>
      <c r="AW184" s="1641"/>
      <c r="AX184" s="1641"/>
      <c r="AY184" s="1641"/>
      <c r="AZ184" s="1641"/>
      <c r="BA184" s="1641"/>
      <c r="BB184" s="1641"/>
      <c r="BC184" s="1641"/>
      <c r="BD184" s="1641"/>
      <c r="BE184" s="1641"/>
      <c r="BF184" s="1641"/>
      <c r="BG184" s="1641"/>
      <c r="BH184" s="1641"/>
      <c r="BI184" s="1641"/>
      <c r="BJ184" s="1641"/>
      <c r="BK184" s="1641"/>
      <c r="BL184" s="1641"/>
      <c r="BM184" s="1641"/>
      <c r="BN184" s="1641"/>
      <c r="BO184" s="1641"/>
      <c r="BP184" s="1641"/>
      <c r="BQ184" s="1641"/>
      <c r="BR184" s="1641"/>
      <c r="BS184" s="1641"/>
      <c r="BT184" s="1641"/>
      <c r="BU184" s="1641"/>
      <c r="BV184" s="1641"/>
      <c r="BW184" s="1641"/>
      <c r="BX184" s="1641"/>
      <c r="BY184" s="1641"/>
      <c r="BZ184" s="1641"/>
      <c r="CA184" s="1641"/>
      <c r="CB184" s="1641"/>
      <c r="CC184" s="1641"/>
      <c r="CD184" s="1641"/>
      <c r="CE184" s="1641"/>
      <c r="CF184" s="1641"/>
      <c r="CG184" s="1641"/>
      <c r="CH184" s="1641"/>
      <c r="CI184" s="1641"/>
      <c r="CJ184" s="1641"/>
      <c r="CK184" s="1641"/>
      <c r="CL184" s="1641"/>
      <c r="CM184" s="1641"/>
      <c r="CN184" s="1641"/>
      <c r="CO184" s="1641"/>
      <c r="CP184" s="1641"/>
      <c r="CQ184" s="1641"/>
      <c r="CR184" s="1641"/>
      <c r="CS184" s="1641"/>
      <c r="CT184" s="1641"/>
      <c r="CU184" s="1641"/>
      <c r="CV184" s="1641"/>
      <c r="CW184" s="1641"/>
      <c r="CX184" s="1641"/>
      <c r="CY184" s="1641"/>
      <c r="CZ184" s="1641"/>
      <c r="DA184" s="1641"/>
      <c r="DB184" s="1641"/>
      <c r="DC184" s="1641"/>
      <c r="DD184" s="1641"/>
      <c r="DE184" s="1641"/>
      <c r="DF184" s="1641"/>
      <c r="DG184" s="1641"/>
      <c r="DH184" s="1641"/>
      <c r="DI184" s="1641"/>
      <c r="DJ184" s="1641"/>
      <c r="DK184" s="1641"/>
      <c r="DL184" s="1641"/>
      <c r="DM184" s="1641"/>
      <c r="DN184" s="1641"/>
      <c r="DO184" s="1641"/>
      <c r="DP184" s="1641"/>
      <c r="DQ184" s="1641"/>
      <c r="DR184" s="1641"/>
      <c r="DS184" s="1641"/>
      <c r="DT184" s="1641"/>
      <c r="DU184" s="1641"/>
      <c r="DV184" s="1641"/>
      <c r="DW184" s="1641"/>
      <c r="DX184" s="1641"/>
      <c r="DY184" s="1641"/>
      <c r="DZ184" s="1641"/>
      <c r="EA184" s="1641"/>
      <c r="EB184" s="1641"/>
      <c r="EC184" s="1641"/>
      <c r="ED184" s="1641"/>
      <c r="EE184" s="1641"/>
      <c r="EF184" s="1641"/>
      <c r="EG184" s="1641"/>
      <c r="EH184" s="1641"/>
      <c r="EI184" s="1641"/>
      <c r="EJ184" s="1641"/>
      <c r="EK184" s="1641"/>
      <c r="EL184" s="1641"/>
      <c r="EM184" s="1641"/>
      <c r="EN184" s="1641"/>
      <c r="EO184" s="1641"/>
      <c r="EP184" s="1641"/>
      <c r="EQ184" s="1641"/>
      <c r="ER184" s="1641"/>
      <c r="ES184" s="1641"/>
      <c r="ET184" s="1641"/>
      <c r="EU184" s="1641"/>
      <c r="EV184" s="1641"/>
      <c r="EW184" s="1641"/>
      <c r="EX184" s="1641"/>
      <c r="EY184" s="1641"/>
      <c r="EZ184" s="1641"/>
      <c r="FA184" s="1641"/>
      <c r="FB184" s="1641"/>
      <c r="FC184" s="1641"/>
      <c r="FD184" s="1641"/>
      <c r="FE184" s="1641"/>
      <c r="FF184" s="1641"/>
      <c r="FG184" s="1641"/>
      <c r="FH184" s="1641"/>
      <c r="FI184" s="1641"/>
      <c r="FJ184" s="1641"/>
      <c r="FK184" s="1641"/>
      <c r="FL184" s="1641"/>
      <c r="FM184" s="1641"/>
      <c r="FN184" s="1641"/>
      <c r="FO184" s="1641"/>
      <c r="FP184" s="1641"/>
      <c r="FQ184" s="1641"/>
      <c r="FR184" s="1641"/>
      <c r="FS184" s="1641"/>
      <c r="FT184" s="1641"/>
      <c r="FU184" s="1641"/>
      <c r="FV184" s="1641"/>
      <c r="FW184" s="1641"/>
      <c r="FX184" s="1641"/>
      <c r="FY184" s="1641"/>
      <c r="FZ184" s="1641"/>
      <c r="GA184" s="1641"/>
      <c r="GB184" s="1641"/>
      <c r="GC184" s="1641"/>
      <c r="GD184" s="1641"/>
      <c r="GE184" s="1641"/>
      <c r="GF184" s="1641"/>
      <c r="GG184" s="1641"/>
      <c r="GH184" s="1641"/>
      <c r="GI184" s="1641"/>
      <c r="GJ184" s="1641"/>
      <c r="GK184" s="1641"/>
      <c r="GL184" s="1641"/>
      <c r="GM184" s="1641"/>
      <c r="GN184" s="1641"/>
      <c r="GO184" s="1641"/>
      <c r="GP184" s="1641"/>
      <c r="GQ184" s="1641"/>
      <c r="GR184" s="1641"/>
      <c r="GS184" s="1641"/>
      <c r="GT184" s="1641"/>
      <c r="GU184" s="1641"/>
      <c r="GV184" s="1641"/>
      <c r="GW184" s="1641"/>
      <c r="GX184" s="1641"/>
      <c r="GY184" s="1641"/>
      <c r="GZ184" s="1641"/>
      <c r="HA184" s="1641"/>
      <c r="HB184" s="1641"/>
      <c r="HC184" s="1641"/>
      <c r="HD184" s="1641"/>
      <c r="HE184" s="1641"/>
      <c r="HF184" s="1641"/>
      <c r="HG184" s="1641"/>
      <c r="HH184" s="1641"/>
      <c r="HI184" s="1641"/>
      <c r="HJ184" s="1641"/>
      <c r="HK184" s="1641"/>
      <c r="HL184" s="1641"/>
      <c r="HM184" s="1641"/>
      <c r="HN184" s="1641"/>
      <c r="HO184" s="1641"/>
      <c r="HP184" s="1641"/>
      <c r="HQ184" s="1641"/>
      <c r="HR184" s="1641"/>
      <c r="HS184" s="1641"/>
      <c r="HT184" s="1641"/>
      <c r="HU184" s="1641"/>
      <c r="HV184" s="1641"/>
      <c r="HW184" s="1641"/>
      <c r="HX184" s="1641"/>
      <c r="HY184" s="1641"/>
      <c r="HZ184" s="1641"/>
      <c r="IA184" s="1641"/>
      <c r="IB184" s="1641"/>
      <c r="IC184" s="1641"/>
      <c r="ID184" s="1641"/>
      <c r="IE184" s="1641"/>
      <c r="IF184" s="1641"/>
      <c r="IG184" s="1641"/>
      <c r="IH184" s="1641"/>
      <c r="II184" s="1641"/>
      <c r="IJ184" s="1641"/>
      <c r="IK184" s="1641"/>
      <c r="IL184" s="1641"/>
      <c r="IM184" s="1641"/>
      <c r="IN184" s="1641"/>
      <c r="IO184" s="1641"/>
      <c r="IP184" s="1410"/>
      <c r="IQ184" s="1410"/>
      <c r="IR184" s="1410"/>
      <c r="IS184" s="1410"/>
      <c r="IT184" s="1410"/>
      <c r="IU184" s="1410"/>
      <c r="IV184" s="1410"/>
      <c r="IW184" s="1410"/>
      <c r="IX184" s="1641"/>
      <c r="IY184" s="1641"/>
      <c r="IZ184" s="1641"/>
      <c r="JA184" s="1641"/>
      <c r="JB184" s="1641"/>
      <c r="JC184" s="1641"/>
      <c r="JD184" s="1641"/>
      <c r="JE184" s="1641"/>
      <c r="JF184" s="1641"/>
      <c r="JG184" s="1641"/>
      <c r="JH184" s="1410"/>
      <c r="JI184" s="1410"/>
      <c r="JJ184" s="1410"/>
      <c r="JK184" s="1410"/>
      <c r="JL184" s="1410"/>
      <c r="JM184" s="1410"/>
      <c r="JN184" s="1410"/>
      <c r="JO184" s="1410"/>
      <c r="JP184" s="1410"/>
      <c r="JQ184" s="1405"/>
      <c r="JR184" s="351"/>
    </row>
    <row r="185" spans="1:278" x14ac:dyDescent="0.25">
      <c r="A185" s="1367">
        <v>185</v>
      </c>
      <c r="B185" s="1411" t="str">
        <f t="shared" si="17"/>
        <v/>
      </c>
      <c r="C185" s="1644" t="s">
        <v>4108</v>
      </c>
      <c r="D185" s="1645" t="s">
        <v>3873</v>
      </c>
      <c r="E185" s="1641"/>
      <c r="F185" s="1641"/>
      <c r="G185" s="1641"/>
      <c r="H185" s="1641"/>
      <c r="I185" s="1641"/>
      <c r="J185" s="1641"/>
      <c r="K185" s="1641"/>
      <c r="L185" s="1641"/>
      <c r="M185" s="1641"/>
      <c r="N185" s="1641"/>
      <c r="O185" s="1641"/>
      <c r="P185" s="1641"/>
      <c r="Q185" s="1641"/>
      <c r="R185" s="1641"/>
      <c r="S185" s="1641"/>
      <c r="T185" s="1641"/>
      <c r="U185" s="1641"/>
      <c r="V185" s="1641"/>
      <c r="W185" s="1641"/>
      <c r="X185" s="1641"/>
      <c r="Y185" s="1641"/>
      <c r="Z185" s="1641"/>
      <c r="AA185" s="1641"/>
      <c r="AB185" s="1641"/>
      <c r="AC185" s="1641"/>
      <c r="AD185" s="1641"/>
      <c r="AE185" s="1641"/>
      <c r="AF185" s="1641"/>
      <c r="AG185" s="1641"/>
      <c r="AH185" s="1641"/>
      <c r="AI185" s="1641"/>
      <c r="AJ185" s="1641"/>
      <c r="AK185" s="1641"/>
      <c r="AL185" s="1641"/>
      <c r="AM185" s="1641"/>
      <c r="AN185" s="1641"/>
      <c r="AO185" s="1641"/>
      <c r="AP185" s="1641"/>
      <c r="AQ185" s="1641"/>
      <c r="AR185" s="1641"/>
      <c r="AS185" s="1641"/>
      <c r="AT185" s="1641"/>
      <c r="AU185" s="1641"/>
      <c r="AV185" s="1641"/>
      <c r="AW185" s="1641"/>
      <c r="AX185" s="1641"/>
      <c r="AY185" s="1641"/>
      <c r="AZ185" s="1641"/>
      <c r="BA185" s="1641"/>
      <c r="BB185" s="1641"/>
      <c r="BC185" s="1641"/>
      <c r="BD185" s="1641"/>
      <c r="BE185" s="1641"/>
      <c r="BF185" s="1641"/>
      <c r="BG185" s="1641"/>
      <c r="BH185" s="1641"/>
      <c r="BI185" s="1641"/>
      <c r="BJ185" s="1641"/>
      <c r="BK185" s="1641"/>
      <c r="BL185" s="1641"/>
      <c r="BM185" s="1641"/>
      <c r="BN185" s="1641"/>
      <c r="BO185" s="1641"/>
      <c r="BP185" s="1641"/>
      <c r="BQ185" s="1641"/>
      <c r="BR185" s="1641"/>
      <c r="BS185" s="1641"/>
      <c r="BT185" s="1641"/>
      <c r="BU185" s="1641"/>
      <c r="BV185" s="1641"/>
      <c r="BW185" s="1641"/>
      <c r="BX185" s="1641"/>
      <c r="BY185" s="1641"/>
      <c r="BZ185" s="1641"/>
      <c r="CA185" s="1641"/>
      <c r="CB185" s="1641"/>
      <c r="CC185" s="1641"/>
      <c r="CD185" s="1641"/>
      <c r="CE185" s="1641"/>
      <c r="CF185" s="1641"/>
      <c r="CG185" s="1641"/>
      <c r="CH185" s="1641"/>
      <c r="CI185" s="1641"/>
      <c r="CJ185" s="1641"/>
      <c r="CK185" s="1641"/>
      <c r="CL185" s="1641"/>
      <c r="CM185" s="1641"/>
      <c r="CN185" s="1641"/>
      <c r="CO185" s="1641"/>
      <c r="CP185" s="1641"/>
      <c r="CQ185" s="1641"/>
      <c r="CR185" s="1641"/>
      <c r="CS185" s="1641"/>
      <c r="CT185" s="1641"/>
      <c r="CU185" s="1641"/>
      <c r="CV185" s="1641"/>
      <c r="CW185" s="1641"/>
      <c r="CX185" s="1641"/>
      <c r="CY185" s="1641"/>
      <c r="CZ185" s="1641"/>
      <c r="DA185" s="1641"/>
      <c r="DB185" s="1641"/>
      <c r="DC185" s="1641"/>
      <c r="DD185" s="1641"/>
      <c r="DE185" s="1641"/>
      <c r="DF185" s="1641"/>
      <c r="DG185" s="1641"/>
      <c r="DH185" s="1641"/>
      <c r="DI185" s="1641"/>
      <c r="DJ185" s="1641"/>
      <c r="DK185" s="1641"/>
      <c r="DL185" s="1641"/>
      <c r="DM185" s="1641"/>
      <c r="DN185" s="1641"/>
      <c r="DO185" s="1641"/>
      <c r="DP185" s="1641"/>
      <c r="DQ185" s="1641"/>
      <c r="DR185" s="1641"/>
      <c r="DS185" s="1641"/>
      <c r="DT185" s="1641"/>
      <c r="DU185" s="1641"/>
      <c r="DV185" s="1641"/>
      <c r="DW185" s="1641"/>
      <c r="DX185" s="1641"/>
      <c r="DY185" s="1641"/>
      <c r="DZ185" s="1641"/>
      <c r="EA185" s="1641"/>
      <c r="EB185" s="1641"/>
      <c r="EC185" s="1641"/>
      <c r="ED185" s="1641"/>
      <c r="EE185" s="1641"/>
      <c r="EF185" s="1641"/>
      <c r="EG185" s="1641"/>
      <c r="EH185" s="1641"/>
      <c r="EI185" s="1641"/>
      <c r="EJ185" s="1641"/>
      <c r="EK185" s="1641"/>
      <c r="EL185" s="1641"/>
      <c r="EM185" s="1641"/>
      <c r="EN185" s="1641"/>
      <c r="EO185" s="1641"/>
      <c r="EP185" s="1641"/>
      <c r="EQ185" s="1641"/>
      <c r="ER185" s="1641"/>
      <c r="ES185" s="1641"/>
      <c r="ET185" s="1641"/>
      <c r="EU185" s="1641"/>
      <c r="EV185" s="1641"/>
      <c r="EW185" s="1641"/>
      <c r="EX185" s="1641"/>
      <c r="EY185" s="1641"/>
      <c r="EZ185" s="1641"/>
      <c r="FA185" s="1641"/>
      <c r="FB185" s="1641"/>
      <c r="FC185" s="1641"/>
      <c r="FD185" s="1641"/>
      <c r="FE185" s="1641"/>
      <c r="FF185" s="1641"/>
      <c r="FG185" s="1641"/>
      <c r="FH185" s="1641"/>
      <c r="FI185" s="1641"/>
      <c r="FJ185" s="1641"/>
      <c r="FK185" s="1641"/>
      <c r="FL185" s="1641"/>
      <c r="FM185" s="1641"/>
      <c r="FN185" s="1641"/>
      <c r="FO185" s="1641"/>
      <c r="FP185" s="1641"/>
      <c r="FQ185" s="1641"/>
      <c r="FR185" s="1641"/>
      <c r="FS185" s="1641"/>
      <c r="FT185" s="1641"/>
      <c r="FU185" s="1641"/>
      <c r="FV185" s="1641"/>
      <c r="FW185" s="1641"/>
      <c r="FX185" s="1641"/>
      <c r="FY185" s="1641"/>
      <c r="FZ185" s="1641"/>
      <c r="GA185" s="1641"/>
      <c r="GB185" s="1641"/>
      <c r="GC185" s="1641"/>
      <c r="GD185" s="1641"/>
      <c r="GE185" s="1641"/>
      <c r="GF185" s="1641"/>
      <c r="GG185" s="1641"/>
      <c r="GH185" s="1641"/>
      <c r="GI185" s="1641"/>
      <c r="GJ185" s="1641"/>
      <c r="GK185" s="1641"/>
      <c r="GL185" s="1641"/>
      <c r="GM185" s="1641"/>
      <c r="GN185" s="1641"/>
      <c r="GO185" s="1641"/>
      <c r="GP185" s="1641"/>
      <c r="GQ185" s="1641"/>
      <c r="GR185" s="1641"/>
      <c r="GS185" s="1641"/>
      <c r="GT185" s="1641"/>
      <c r="GU185" s="1641"/>
      <c r="GV185" s="1641"/>
      <c r="GW185" s="1641"/>
      <c r="GX185" s="1641"/>
      <c r="GY185" s="1641"/>
      <c r="GZ185" s="1641"/>
      <c r="HA185" s="1641"/>
      <c r="HB185" s="1641"/>
      <c r="HC185" s="1641"/>
      <c r="HD185" s="1641"/>
      <c r="HE185" s="1641"/>
      <c r="HF185" s="1641"/>
      <c r="HG185" s="1641"/>
      <c r="HH185" s="1641"/>
      <c r="HI185" s="1641"/>
      <c r="HJ185" s="1641"/>
      <c r="HK185" s="1641"/>
      <c r="HL185" s="1641"/>
      <c r="HM185" s="1641"/>
      <c r="HN185" s="1641"/>
      <c r="HO185" s="1641"/>
      <c r="HP185" s="1641"/>
      <c r="HQ185" s="1641"/>
      <c r="HR185" s="1641"/>
      <c r="HS185" s="1641"/>
      <c r="HT185" s="1641"/>
      <c r="HU185" s="1641"/>
      <c r="HV185" s="1641"/>
      <c r="HW185" s="1641"/>
      <c r="HX185" s="1641"/>
      <c r="HY185" s="1641"/>
      <c r="HZ185" s="1641"/>
      <c r="IA185" s="1641"/>
      <c r="IB185" s="1641"/>
      <c r="IC185" s="1641"/>
      <c r="ID185" s="1641"/>
      <c r="IE185" s="1641"/>
      <c r="IF185" s="1641"/>
      <c r="IG185" s="1641"/>
      <c r="IH185" s="1641"/>
      <c r="II185" s="1641"/>
      <c r="IJ185" s="1641"/>
      <c r="IK185" s="1641"/>
      <c r="IL185" s="1638" t="s">
        <v>1707</v>
      </c>
      <c r="IM185" s="1641"/>
      <c r="IN185" s="1641"/>
      <c r="IO185" s="1641"/>
      <c r="IP185" s="1410"/>
      <c r="IQ185" s="1410"/>
      <c r="IR185" s="1410"/>
      <c r="IS185" s="1410"/>
      <c r="IT185" s="1410"/>
      <c r="IU185" s="1410"/>
      <c r="IV185" s="1410"/>
      <c r="IW185" s="1410"/>
      <c r="IX185" s="1641"/>
      <c r="IY185" s="1641"/>
      <c r="IZ185" s="1641"/>
      <c r="JA185" s="1641"/>
      <c r="JB185" s="1641"/>
      <c r="JC185" s="1641"/>
      <c r="JD185" s="1641"/>
      <c r="JE185" s="1641"/>
      <c r="JF185" s="1641"/>
      <c r="JG185" s="1641"/>
      <c r="JH185" s="1410"/>
      <c r="JI185" s="1410"/>
      <c r="JJ185" s="1410"/>
      <c r="JK185" s="1410"/>
      <c r="JL185" s="1410"/>
      <c r="JM185" s="1410"/>
      <c r="JN185" s="1410"/>
      <c r="JO185" s="1410"/>
      <c r="JP185" s="1410"/>
      <c r="JQ185" s="1405"/>
      <c r="JR185" s="351"/>
    </row>
    <row r="186" spans="1:278" x14ac:dyDescent="0.25">
      <c r="A186" s="1367">
        <v>186</v>
      </c>
      <c r="B186" s="1411" t="str">
        <f t="shared" si="17"/>
        <v/>
      </c>
      <c r="C186" s="1644" t="s">
        <v>4109</v>
      </c>
      <c r="D186" s="1645" t="s">
        <v>3875</v>
      </c>
      <c r="E186" s="1641"/>
      <c r="F186" s="1641"/>
      <c r="G186" s="1641"/>
      <c r="H186" s="1641"/>
      <c r="I186" s="1641"/>
      <c r="J186" s="1641"/>
      <c r="K186" s="1641"/>
      <c r="L186" s="1641"/>
      <c r="M186" s="1641"/>
      <c r="N186" s="1641"/>
      <c r="O186" s="1641"/>
      <c r="P186" s="1641"/>
      <c r="Q186" s="1641"/>
      <c r="R186" s="1641"/>
      <c r="S186" s="1641"/>
      <c r="T186" s="1641"/>
      <c r="U186" s="1641"/>
      <c r="V186" s="1641"/>
      <c r="W186" s="1641"/>
      <c r="X186" s="1641"/>
      <c r="Y186" s="1641"/>
      <c r="Z186" s="1641"/>
      <c r="AA186" s="1641"/>
      <c r="AB186" s="1641"/>
      <c r="AC186" s="1641"/>
      <c r="AD186" s="1641"/>
      <c r="AE186" s="1641"/>
      <c r="AF186" s="1641"/>
      <c r="AG186" s="1641"/>
      <c r="AH186" s="1641"/>
      <c r="AI186" s="1641"/>
      <c r="AJ186" s="1641"/>
      <c r="AK186" s="1641"/>
      <c r="AL186" s="1641"/>
      <c r="AM186" s="1641"/>
      <c r="AN186" s="1641"/>
      <c r="AO186" s="1641"/>
      <c r="AP186" s="1641"/>
      <c r="AQ186" s="1641"/>
      <c r="AR186" s="1641"/>
      <c r="AS186" s="1641"/>
      <c r="AT186" s="1641"/>
      <c r="AU186" s="1641"/>
      <c r="AV186" s="1641"/>
      <c r="AW186" s="1641"/>
      <c r="AX186" s="1641"/>
      <c r="AY186" s="1641"/>
      <c r="AZ186" s="1641"/>
      <c r="BA186" s="1641"/>
      <c r="BB186" s="1641"/>
      <c r="BC186" s="1641"/>
      <c r="BD186" s="1641"/>
      <c r="BE186" s="1641"/>
      <c r="BF186" s="1641"/>
      <c r="BG186" s="1641"/>
      <c r="BH186" s="1641"/>
      <c r="BI186" s="1641"/>
      <c r="BJ186" s="1641"/>
      <c r="BK186" s="1641"/>
      <c r="BL186" s="1641"/>
      <c r="BM186" s="1641"/>
      <c r="BN186" s="1641"/>
      <c r="BO186" s="1641"/>
      <c r="BP186" s="1641"/>
      <c r="BQ186" s="1641"/>
      <c r="BR186" s="1641"/>
      <c r="BS186" s="1641"/>
      <c r="BT186" s="1641"/>
      <c r="BU186" s="1641"/>
      <c r="BV186" s="1641"/>
      <c r="BW186" s="1641"/>
      <c r="BX186" s="1641"/>
      <c r="BY186" s="1641"/>
      <c r="BZ186" s="1641"/>
      <c r="CA186" s="1641"/>
      <c r="CB186" s="1641"/>
      <c r="CC186" s="1641"/>
      <c r="CD186" s="1641"/>
      <c r="CE186" s="1641"/>
      <c r="CF186" s="1641"/>
      <c r="CG186" s="1641"/>
      <c r="CH186" s="1641"/>
      <c r="CI186" s="1641"/>
      <c r="CJ186" s="1641"/>
      <c r="CK186" s="1641"/>
      <c r="CL186" s="1641"/>
      <c r="CM186" s="1641"/>
      <c r="CN186" s="1641"/>
      <c r="CO186" s="1641"/>
      <c r="CP186" s="1641"/>
      <c r="CQ186" s="1641"/>
      <c r="CR186" s="1641"/>
      <c r="CS186" s="1641"/>
      <c r="CT186" s="1641"/>
      <c r="CU186" s="1641"/>
      <c r="CV186" s="1641"/>
      <c r="CW186" s="1641"/>
      <c r="CX186" s="1641"/>
      <c r="CY186" s="1641"/>
      <c r="CZ186" s="1641"/>
      <c r="DA186" s="1641"/>
      <c r="DB186" s="1641"/>
      <c r="DC186" s="1641"/>
      <c r="DD186" s="1641"/>
      <c r="DE186" s="1641"/>
      <c r="DF186" s="1641"/>
      <c r="DG186" s="1641"/>
      <c r="DH186" s="1641"/>
      <c r="DI186" s="1641"/>
      <c r="DJ186" s="1641"/>
      <c r="DK186" s="1641"/>
      <c r="DL186" s="1641"/>
      <c r="DM186" s="1641"/>
      <c r="DN186" s="1641"/>
      <c r="DO186" s="1641"/>
      <c r="DP186" s="1641"/>
      <c r="DQ186" s="1641"/>
      <c r="DR186" s="1641"/>
      <c r="DS186" s="1641"/>
      <c r="DT186" s="1641"/>
      <c r="DU186" s="1641"/>
      <c r="DV186" s="1641"/>
      <c r="DW186" s="1641"/>
      <c r="DX186" s="1641"/>
      <c r="DY186" s="1641"/>
      <c r="DZ186" s="1641"/>
      <c r="EA186" s="1641"/>
      <c r="EB186" s="1641"/>
      <c r="EC186" s="1641"/>
      <c r="ED186" s="1641"/>
      <c r="EE186" s="1641"/>
      <c r="EF186" s="1641"/>
      <c r="EG186" s="1641"/>
      <c r="EH186" s="1641"/>
      <c r="EI186" s="1641"/>
      <c r="EJ186" s="1641"/>
      <c r="EK186" s="1641"/>
      <c r="EL186" s="1641"/>
      <c r="EM186" s="1641"/>
      <c r="EN186" s="1641"/>
      <c r="EO186" s="1641"/>
      <c r="EP186" s="1641"/>
      <c r="EQ186" s="1641"/>
      <c r="ER186" s="1641"/>
      <c r="ES186" s="1641"/>
      <c r="ET186" s="1641"/>
      <c r="EU186" s="1641"/>
      <c r="EV186" s="1641"/>
      <c r="EW186" s="1641"/>
      <c r="EX186" s="1641"/>
      <c r="EY186" s="1641"/>
      <c r="EZ186" s="1641"/>
      <c r="FA186" s="1641"/>
      <c r="FB186" s="1641"/>
      <c r="FC186" s="1641"/>
      <c r="FD186" s="1641"/>
      <c r="FE186" s="1641"/>
      <c r="FF186" s="1641"/>
      <c r="FG186" s="1641"/>
      <c r="FH186" s="1641"/>
      <c r="FI186" s="1641"/>
      <c r="FJ186" s="1641"/>
      <c r="FK186" s="1641"/>
      <c r="FL186" s="1641"/>
      <c r="FM186" s="1641"/>
      <c r="FN186" s="1641"/>
      <c r="FO186" s="1641"/>
      <c r="FP186" s="1641"/>
      <c r="FQ186" s="1641"/>
      <c r="FR186" s="1641"/>
      <c r="FS186" s="1641"/>
      <c r="FT186" s="1641"/>
      <c r="FU186" s="1641"/>
      <c r="FV186" s="1641"/>
      <c r="FW186" s="1641"/>
      <c r="FX186" s="1641"/>
      <c r="FY186" s="1641"/>
      <c r="FZ186" s="1641"/>
      <c r="GA186" s="1641"/>
      <c r="GB186" s="1641"/>
      <c r="GC186" s="1641"/>
      <c r="GD186" s="1641"/>
      <c r="GE186" s="1641"/>
      <c r="GF186" s="1641"/>
      <c r="GG186" s="1641"/>
      <c r="GH186" s="1641"/>
      <c r="GI186" s="1641"/>
      <c r="GJ186" s="1641"/>
      <c r="GK186" s="1641"/>
      <c r="GL186" s="1641"/>
      <c r="GM186" s="1641"/>
      <c r="GN186" s="1641"/>
      <c r="GO186" s="1641"/>
      <c r="GP186" s="1641"/>
      <c r="GQ186" s="1641"/>
      <c r="GR186" s="1641"/>
      <c r="GS186" s="1641"/>
      <c r="GT186" s="1641"/>
      <c r="GU186" s="1641"/>
      <c r="GV186" s="1641"/>
      <c r="GW186" s="1641"/>
      <c r="GX186" s="1641"/>
      <c r="GY186" s="1641"/>
      <c r="GZ186" s="1641"/>
      <c r="HA186" s="1641"/>
      <c r="HB186" s="1641"/>
      <c r="HC186" s="1641"/>
      <c r="HD186" s="1641"/>
      <c r="HE186" s="1641"/>
      <c r="HF186" s="1641"/>
      <c r="HG186" s="1641"/>
      <c r="HH186" s="1641"/>
      <c r="HI186" s="1641"/>
      <c r="HJ186" s="1641"/>
      <c r="HK186" s="1641"/>
      <c r="HL186" s="1641"/>
      <c r="HM186" s="1641"/>
      <c r="HN186" s="1641"/>
      <c r="HO186" s="1641"/>
      <c r="HP186" s="1641"/>
      <c r="HQ186" s="1641"/>
      <c r="HR186" s="1641"/>
      <c r="HS186" s="1641"/>
      <c r="HT186" s="1641"/>
      <c r="HU186" s="1641"/>
      <c r="HV186" s="1641"/>
      <c r="HW186" s="1641"/>
      <c r="HX186" s="1641"/>
      <c r="HY186" s="1641"/>
      <c r="HZ186" s="1641"/>
      <c r="IA186" s="1641"/>
      <c r="IB186" s="1641"/>
      <c r="IC186" s="1641"/>
      <c r="ID186" s="1641"/>
      <c r="IE186" s="1641"/>
      <c r="IF186" s="1641"/>
      <c r="IG186" s="1641"/>
      <c r="IH186" s="1641"/>
      <c r="II186" s="1641"/>
      <c r="IJ186" s="1641"/>
      <c r="IK186" s="1636">
        <v>3600</v>
      </c>
      <c r="IL186" s="1636">
        <v>1490</v>
      </c>
      <c r="IM186" s="1641"/>
      <c r="IN186" s="1641"/>
      <c r="IO186" s="1641"/>
      <c r="IP186" s="1410"/>
      <c r="IQ186" s="1410"/>
      <c r="IR186" s="1410"/>
      <c r="IS186" s="1410"/>
      <c r="IT186" s="1410"/>
      <c r="IU186" s="1410"/>
      <c r="IV186" s="1410"/>
      <c r="IW186" s="1410"/>
      <c r="IX186" s="1641"/>
      <c r="IY186" s="1641"/>
      <c r="IZ186" s="1641"/>
      <c r="JA186" s="1641"/>
      <c r="JB186" s="1641"/>
      <c r="JC186" s="1641"/>
      <c r="JD186" s="1641"/>
      <c r="JE186" s="1641"/>
      <c r="JF186" s="1641"/>
      <c r="JG186" s="1641"/>
      <c r="JH186" s="1410"/>
      <c r="JI186" s="1410"/>
      <c r="JJ186" s="1410"/>
      <c r="JK186" s="1410"/>
      <c r="JL186" s="1410"/>
      <c r="JM186" s="1410"/>
      <c r="JN186" s="1410"/>
      <c r="JO186" s="1410"/>
      <c r="JP186" s="1410"/>
      <c r="JQ186" s="1405"/>
      <c r="JR186" s="351"/>
    </row>
    <row r="187" spans="1:278" x14ac:dyDescent="0.25">
      <c r="A187" s="1367">
        <v>187</v>
      </c>
      <c r="B187" s="1411" t="str">
        <f t="shared" si="17"/>
        <v/>
      </c>
      <c r="C187" s="1644" t="s">
        <v>4110</v>
      </c>
      <c r="D187" s="1645" t="s">
        <v>3887</v>
      </c>
      <c r="E187" s="1641"/>
      <c r="F187" s="1641"/>
      <c r="G187" s="1641"/>
      <c r="H187" s="1641"/>
      <c r="I187" s="1641"/>
      <c r="J187" s="1641"/>
      <c r="K187" s="1641"/>
      <c r="L187" s="1641"/>
      <c r="M187" s="1641"/>
      <c r="N187" s="1641"/>
      <c r="O187" s="1641"/>
      <c r="P187" s="1641"/>
      <c r="Q187" s="1641"/>
      <c r="R187" s="1641"/>
      <c r="S187" s="1641"/>
      <c r="T187" s="1641"/>
      <c r="U187" s="1641"/>
      <c r="V187" s="1641"/>
      <c r="W187" s="1641"/>
      <c r="X187" s="1641"/>
      <c r="Y187" s="1641"/>
      <c r="Z187" s="1641"/>
      <c r="AA187" s="1641"/>
      <c r="AB187" s="1641"/>
      <c r="AC187" s="1641"/>
      <c r="AD187" s="1641"/>
      <c r="AE187" s="1641"/>
      <c r="AF187" s="1641"/>
      <c r="AG187" s="1641"/>
      <c r="AH187" s="1641"/>
      <c r="AI187" s="1641"/>
      <c r="AJ187" s="1641"/>
      <c r="AK187" s="1641"/>
      <c r="AL187" s="1641"/>
      <c r="AM187" s="1641"/>
      <c r="AN187" s="1641"/>
      <c r="AO187" s="1641"/>
      <c r="AP187" s="1641"/>
      <c r="AQ187" s="1641"/>
      <c r="AR187" s="1641"/>
      <c r="AS187" s="1641"/>
      <c r="AT187" s="1641"/>
      <c r="AU187" s="1641"/>
      <c r="AV187" s="1641"/>
      <c r="AW187" s="1641"/>
      <c r="AX187" s="1641"/>
      <c r="AY187" s="1641"/>
      <c r="AZ187" s="1641"/>
      <c r="BA187" s="1641"/>
      <c r="BB187" s="1641"/>
      <c r="BC187" s="1641"/>
      <c r="BD187" s="1641"/>
      <c r="BE187" s="1641"/>
      <c r="BF187" s="1641"/>
      <c r="BG187" s="1641"/>
      <c r="BH187" s="1641"/>
      <c r="BI187" s="1641"/>
      <c r="BJ187" s="1641"/>
      <c r="BK187" s="1641"/>
      <c r="BL187" s="1641"/>
      <c r="BM187" s="1641"/>
      <c r="BN187" s="1641"/>
      <c r="BO187" s="1641"/>
      <c r="BP187" s="1641"/>
      <c r="BQ187" s="1641"/>
      <c r="BR187" s="1641"/>
      <c r="BS187" s="1641"/>
      <c r="BT187" s="1641"/>
      <c r="BU187" s="1641"/>
      <c r="BV187" s="1641"/>
      <c r="BW187" s="1641"/>
      <c r="BX187" s="1641"/>
      <c r="BY187" s="1641"/>
      <c r="BZ187" s="1641"/>
      <c r="CA187" s="1641"/>
      <c r="CB187" s="1641"/>
      <c r="CC187" s="1641"/>
      <c r="CD187" s="1641"/>
      <c r="CE187" s="1641"/>
      <c r="CF187" s="1641"/>
      <c r="CG187" s="1641"/>
      <c r="CH187" s="1641"/>
      <c r="CI187" s="1641"/>
      <c r="CJ187" s="1641"/>
      <c r="CK187" s="1641"/>
      <c r="CL187" s="1641"/>
      <c r="CM187" s="1641"/>
      <c r="CN187" s="1641"/>
      <c r="CO187" s="1641"/>
      <c r="CP187" s="1641"/>
      <c r="CQ187" s="1641"/>
      <c r="CR187" s="1641"/>
      <c r="CS187" s="1641"/>
      <c r="CT187" s="1641"/>
      <c r="CU187" s="1641"/>
      <c r="CV187" s="1641"/>
      <c r="CW187" s="1641"/>
      <c r="CX187" s="1641"/>
      <c r="CY187" s="1641"/>
      <c r="CZ187" s="1641"/>
      <c r="DA187" s="1641"/>
      <c r="DB187" s="1641"/>
      <c r="DC187" s="1641"/>
      <c r="DD187" s="1641"/>
      <c r="DE187" s="1641"/>
      <c r="DF187" s="1641"/>
      <c r="DG187" s="1641"/>
      <c r="DH187" s="1641"/>
      <c r="DI187" s="1641"/>
      <c r="DJ187" s="1641"/>
      <c r="DK187" s="1641"/>
      <c r="DL187" s="1641"/>
      <c r="DM187" s="1641"/>
      <c r="DN187" s="1641"/>
      <c r="DO187" s="1641"/>
      <c r="DP187" s="1641"/>
      <c r="DQ187" s="1641"/>
      <c r="DR187" s="1641"/>
      <c r="DS187" s="1641"/>
      <c r="DT187" s="1641"/>
      <c r="DU187" s="1641"/>
      <c r="DV187" s="1641"/>
      <c r="DW187" s="1641"/>
      <c r="DX187" s="1641"/>
      <c r="DY187" s="1641"/>
      <c r="DZ187" s="1641"/>
      <c r="EA187" s="1641"/>
      <c r="EB187" s="1641"/>
      <c r="EC187" s="1641"/>
      <c r="ED187" s="1641"/>
      <c r="EE187" s="1641"/>
      <c r="EF187" s="1641"/>
      <c r="EG187" s="1641"/>
      <c r="EH187" s="1641"/>
      <c r="EI187" s="1641"/>
      <c r="EJ187" s="1641"/>
      <c r="EK187" s="1641"/>
      <c r="EL187" s="1641"/>
      <c r="EM187" s="1641"/>
      <c r="EN187" s="1641"/>
      <c r="EO187" s="1641"/>
      <c r="EP187" s="1641"/>
      <c r="EQ187" s="1641"/>
      <c r="ER187" s="1641"/>
      <c r="ES187" s="1641"/>
      <c r="ET187" s="1641"/>
      <c r="EU187" s="1641"/>
      <c r="EV187" s="1641"/>
      <c r="EW187" s="1641"/>
      <c r="EX187" s="1641"/>
      <c r="EY187" s="1641"/>
      <c r="EZ187" s="1641"/>
      <c r="FA187" s="1641"/>
      <c r="FB187" s="1641"/>
      <c r="FC187" s="1641"/>
      <c r="FD187" s="1641"/>
      <c r="FE187" s="1641"/>
      <c r="FF187" s="1641"/>
      <c r="FG187" s="1641"/>
      <c r="FH187" s="1641"/>
      <c r="FI187" s="1641"/>
      <c r="FJ187" s="1641"/>
      <c r="FK187" s="1641"/>
      <c r="FL187" s="1641"/>
      <c r="FM187" s="1641"/>
      <c r="FN187" s="1641"/>
      <c r="FO187" s="1641"/>
      <c r="FP187" s="1641"/>
      <c r="FQ187" s="1641"/>
      <c r="FR187" s="1641"/>
      <c r="FS187" s="1641"/>
      <c r="FT187" s="1641"/>
      <c r="FU187" s="1641"/>
      <c r="FV187" s="1641"/>
      <c r="FW187" s="1641"/>
      <c r="FX187" s="1641"/>
      <c r="FY187" s="1641"/>
      <c r="FZ187" s="1641"/>
      <c r="GA187" s="1641"/>
      <c r="GB187" s="1641"/>
      <c r="GC187" s="1641"/>
      <c r="GD187" s="1641"/>
      <c r="GE187" s="1641"/>
      <c r="GF187" s="1641"/>
      <c r="GG187" s="1641"/>
      <c r="GH187" s="1641"/>
      <c r="GI187" s="1641"/>
      <c r="GJ187" s="1641"/>
      <c r="GK187" s="1641"/>
      <c r="GL187" s="1641"/>
      <c r="GM187" s="1641"/>
      <c r="GN187" s="1641"/>
      <c r="GO187" s="1641"/>
      <c r="GP187" s="1641"/>
      <c r="GQ187" s="1641"/>
      <c r="GR187" s="1641"/>
      <c r="GS187" s="1641"/>
      <c r="GT187" s="1641"/>
      <c r="GU187" s="1641"/>
      <c r="GV187" s="1641"/>
      <c r="GW187" s="1641"/>
      <c r="GX187" s="1641"/>
      <c r="GY187" s="1641"/>
      <c r="GZ187" s="1641"/>
      <c r="HA187" s="1641"/>
      <c r="HB187" s="1641"/>
      <c r="HC187" s="1641"/>
      <c r="HD187" s="1641"/>
      <c r="HE187" s="1641"/>
      <c r="HF187" s="1641"/>
      <c r="HG187" s="1641"/>
      <c r="HH187" s="1641"/>
      <c r="HI187" s="1641"/>
      <c r="HJ187" s="1641"/>
      <c r="HK187" s="1641"/>
      <c r="HL187" s="1641"/>
      <c r="HM187" s="1641"/>
      <c r="HN187" s="1641"/>
      <c r="HO187" s="1641"/>
      <c r="HP187" s="1641"/>
      <c r="HQ187" s="1641"/>
      <c r="HR187" s="1641"/>
      <c r="HS187" s="1641"/>
      <c r="HT187" s="1641"/>
      <c r="HU187" s="1641"/>
      <c r="HV187" s="1641"/>
      <c r="HW187" s="1641"/>
      <c r="HX187" s="1641"/>
      <c r="HY187" s="1641"/>
      <c r="HZ187" s="1641"/>
      <c r="IA187" s="1641"/>
      <c r="IB187" s="1641"/>
      <c r="IC187" s="1641"/>
      <c r="ID187" s="1641"/>
      <c r="IE187" s="1641"/>
      <c r="IF187" s="1641"/>
      <c r="IG187" s="1641"/>
      <c r="IH187" s="1641"/>
      <c r="II187" s="1641"/>
      <c r="IJ187" s="1641"/>
      <c r="IK187" s="1641"/>
      <c r="IL187" s="1641"/>
      <c r="IM187" s="1641"/>
      <c r="IN187" s="1641"/>
      <c r="IO187" s="1641"/>
      <c r="IP187" s="1410"/>
      <c r="IQ187" s="1410"/>
      <c r="IR187" s="1410"/>
      <c r="IS187" s="1410"/>
      <c r="IT187" s="1410"/>
      <c r="IU187" s="1410"/>
      <c r="IV187" s="1410"/>
      <c r="IW187" s="1410"/>
      <c r="IX187" s="1641"/>
      <c r="IY187" s="1641"/>
      <c r="IZ187" s="1641"/>
      <c r="JA187" s="1641"/>
      <c r="JB187" s="1641"/>
      <c r="JC187" s="1641"/>
      <c r="JD187" s="1641"/>
      <c r="JE187" s="1641"/>
      <c r="JF187" s="1641"/>
      <c r="JG187" s="1641"/>
      <c r="JH187" s="1410"/>
      <c r="JI187" s="1410"/>
      <c r="JJ187" s="1410"/>
      <c r="JK187" s="1410"/>
      <c r="JL187" s="1410"/>
      <c r="JM187" s="1410"/>
      <c r="JN187" s="1410"/>
      <c r="JO187" s="1410"/>
      <c r="JP187" s="1410"/>
      <c r="JQ187" s="1405"/>
      <c r="JR187" s="351"/>
    </row>
    <row r="188" spans="1:278" x14ac:dyDescent="0.25">
      <c r="A188" s="1367">
        <v>188</v>
      </c>
      <c r="B188" s="1411" t="str">
        <f t="shared" si="17"/>
        <v/>
      </c>
      <c r="C188" s="1644" t="s">
        <v>4111</v>
      </c>
      <c r="D188" s="1645" t="s">
        <v>3887</v>
      </c>
      <c r="E188" s="1641"/>
      <c r="F188" s="1641"/>
      <c r="G188" s="1641"/>
      <c r="H188" s="1641"/>
      <c r="I188" s="1641"/>
      <c r="J188" s="1641"/>
      <c r="K188" s="1641"/>
      <c r="L188" s="1641"/>
      <c r="M188" s="1641"/>
      <c r="N188" s="1641"/>
      <c r="O188" s="1641"/>
      <c r="P188" s="1641"/>
      <c r="Q188" s="1641"/>
      <c r="R188" s="1641"/>
      <c r="S188" s="1641"/>
      <c r="T188" s="1641"/>
      <c r="U188" s="1641"/>
      <c r="V188" s="1641"/>
      <c r="W188" s="1641"/>
      <c r="X188" s="1641"/>
      <c r="Y188" s="1641"/>
      <c r="Z188" s="1641"/>
      <c r="AA188" s="1641"/>
      <c r="AB188" s="1641"/>
      <c r="AC188" s="1641"/>
      <c r="AD188" s="1641"/>
      <c r="AE188" s="1641"/>
      <c r="AF188" s="1641"/>
      <c r="AG188" s="1641"/>
      <c r="AH188" s="1641"/>
      <c r="AI188" s="1641"/>
      <c r="AJ188" s="1641"/>
      <c r="AK188" s="1641"/>
      <c r="AL188" s="1641"/>
      <c r="AM188" s="1641"/>
      <c r="AN188" s="1641"/>
      <c r="AO188" s="1641"/>
      <c r="AP188" s="1641"/>
      <c r="AQ188" s="1641"/>
      <c r="AR188" s="1641"/>
      <c r="AS188" s="1641"/>
      <c r="AT188" s="1641"/>
      <c r="AU188" s="1641"/>
      <c r="AV188" s="1641"/>
      <c r="AW188" s="1641"/>
      <c r="AX188" s="1641"/>
      <c r="AY188" s="1641"/>
      <c r="AZ188" s="1641"/>
      <c r="BA188" s="1641"/>
      <c r="BB188" s="1641"/>
      <c r="BC188" s="1641"/>
      <c r="BD188" s="1641"/>
      <c r="BE188" s="1641"/>
      <c r="BF188" s="1641"/>
      <c r="BG188" s="1641"/>
      <c r="BH188" s="1641"/>
      <c r="BI188" s="1641"/>
      <c r="BJ188" s="1641"/>
      <c r="BK188" s="1641"/>
      <c r="BL188" s="1641"/>
      <c r="BM188" s="1641"/>
      <c r="BN188" s="1641"/>
      <c r="BO188" s="1641"/>
      <c r="BP188" s="1641"/>
      <c r="BQ188" s="1641"/>
      <c r="BR188" s="1641"/>
      <c r="BS188" s="1641"/>
      <c r="BT188" s="1641"/>
      <c r="BU188" s="1641"/>
      <c r="BV188" s="1641"/>
      <c r="BW188" s="1641"/>
      <c r="BX188" s="1641"/>
      <c r="BY188" s="1641"/>
      <c r="BZ188" s="1641"/>
      <c r="CA188" s="1641"/>
      <c r="CB188" s="1641"/>
      <c r="CC188" s="1641"/>
      <c r="CD188" s="1641"/>
      <c r="CE188" s="1641"/>
      <c r="CF188" s="1641"/>
      <c r="CG188" s="1641"/>
      <c r="CH188" s="1641"/>
      <c r="CI188" s="1641"/>
      <c r="CJ188" s="1641"/>
      <c r="CK188" s="1641"/>
      <c r="CL188" s="1641"/>
      <c r="CM188" s="1641"/>
      <c r="CN188" s="1641"/>
      <c r="CO188" s="1641"/>
      <c r="CP188" s="1641"/>
      <c r="CQ188" s="1641"/>
      <c r="CR188" s="1641"/>
      <c r="CS188" s="1641"/>
      <c r="CT188" s="1641"/>
      <c r="CU188" s="1641"/>
      <c r="CV188" s="1641"/>
      <c r="CW188" s="1641"/>
      <c r="CX188" s="1641"/>
      <c r="CY188" s="1641"/>
      <c r="CZ188" s="1641"/>
      <c r="DA188" s="1641"/>
      <c r="DB188" s="1641"/>
      <c r="DC188" s="1641"/>
      <c r="DD188" s="1641"/>
      <c r="DE188" s="1641"/>
      <c r="DF188" s="1641"/>
      <c r="DG188" s="1641"/>
      <c r="DH188" s="1641"/>
      <c r="DI188" s="1641"/>
      <c r="DJ188" s="1641"/>
      <c r="DK188" s="1641"/>
      <c r="DL188" s="1641"/>
      <c r="DM188" s="1641"/>
      <c r="DN188" s="1641"/>
      <c r="DO188" s="1641"/>
      <c r="DP188" s="1641"/>
      <c r="DQ188" s="1641"/>
      <c r="DR188" s="1641"/>
      <c r="DS188" s="1641"/>
      <c r="DT188" s="1641"/>
      <c r="DU188" s="1641"/>
      <c r="DV188" s="1641"/>
      <c r="DW188" s="1641"/>
      <c r="DX188" s="1641"/>
      <c r="DY188" s="1641"/>
      <c r="DZ188" s="1641"/>
      <c r="EA188" s="1641"/>
      <c r="EB188" s="1641"/>
      <c r="EC188" s="1641"/>
      <c r="ED188" s="1641"/>
      <c r="EE188" s="1641"/>
      <c r="EF188" s="1641"/>
      <c r="EG188" s="1641"/>
      <c r="EH188" s="1641"/>
      <c r="EI188" s="1641"/>
      <c r="EJ188" s="1641"/>
      <c r="EK188" s="1641"/>
      <c r="EL188" s="1641"/>
      <c r="EM188" s="1641"/>
      <c r="EN188" s="1641"/>
      <c r="EO188" s="1641"/>
      <c r="EP188" s="1641"/>
      <c r="EQ188" s="1641"/>
      <c r="ER188" s="1641"/>
      <c r="ES188" s="1641"/>
      <c r="ET188" s="1641"/>
      <c r="EU188" s="1641"/>
      <c r="EV188" s="1641"/>
      <c r="EW188" s="1641"/>
      <c r="EX188" s="1641"/>
      <c r="EY188" s="1641"/>
      <c r="EZ188" s="1641"/>
      <c r="FA188" s="1641"/>
      <c r="FB188" s="1641"/>
      <c r="FC188" s="1641"/>
      <c r="FD188" s="1641"/>
      <c r="FE188" s="1641"/>
      <c r="FF188" s="1641"/>
      <c r="FG188" s="1641"/>
      <c r="FH188" s="1641"/>
      <c r="FI188" s="1641"/>
      <c r="FJ188" s="1641"/>
      <c r="FK188" s="1641"/>
      <c r="FL188" s="1641"/>
      <c r="FM188" s="1641"/>
      <c r="FN188" s="1641"/>
      <c r="FO188" s="1641"/>
      <c r="FP188" s="1641"/>
      <c r="FQ188" s="1641"/>
      <c r="FR188" s="1641"/>
      <c r="FS188" s="1641"/>
      <c r="FT188" s="1641"/>
      <c r="FU188" s="1641"/>
      <c r="FV188" s="1641"/>
      <c r="FW188" s="1641"/>
      <c r="FX188" s="1641"/>
      <c r="FY188" s="1641"/>
      <c r="FZ188" s="1641"/>
      <c r="GA188" s="1641"/>
      <c r="GB188" s="1641"/>
      <c r="GC188" s="1641"/>
      <c r="GD188" s="1641"/>
      <c r="GE188" s="1641"/>
      <c r="GF188" s="1641"/>
      <c r="GG188" s="1641"/>
      <c r="GH188" s="1641"/>
      <c r="GI188" s="1641"/>
      <c r="GJ188" s="1641"/>
      <c r="GK188" s="1641"/>
      <c r="GL188" s="1641"/>
      <c r="GM188" s="1641"/>
      <c r="GN188" s="1641"/>
      <c r="GO188" s="1641"/>
      <c r="GP188" s="1641"/>
      <c r="GQ188" s="1641"/>
      <c r="GR188" s="1641"/>
      <c r="GS188" s="1641"/>
      <c r="GT188" s="1641"/>
      <c r="GU188" s="1641"/>
      <c r="GV188" s="1641"/>
      <c r="GW188" s="1641"/>
      <c r="GX188" s="1641"/>
      <c r="GY188" s="1641"/>
      <c r="GZ188" s="1641"/>
      <c r="HA188" s="1641"/>
      <c r="HB188" s="1641"/>
      <c r="HC188" s="1641"/>
      <c r="HD188" s="1641"/>
      <c r="HE188" s="1641"/>
      <c r="HF188" s="1641"/>
      <c r="HG188" s="1641"/>
      <c r="HH188" s="1641"/>
      <c r="HI188" s="1641"/>
      <c r="HJ188" s="1641"/>
      <c r="HK188" s="1641"/>
      <c r="HL188" s="1641"/>
      <c r="HM188" s="1641"/>
      <c r="HN188" s="1641"/>
      <c r="HO188" s="1641"/>
      <c r="HP188" s="1641"/>
      <c r="HQ188" s="1641"/>
      <c r="HR188" s="1641"/>
      <c r="HS188" s="1641"/>
      <c r="HT188" s="1641"/>
      <c r="HU188" s="1641"/>
      <c r="HV188" s="1641"/>
      <c r="HW188" s="1641"/>
      <c r="HX188" s="1641"/>
      <c r="HY188" s="1641"/>
      <c r="HZ188" s="1641"/>
      <c r="IA188" s="1641"/>
      <c r="IB188" s="1641"/>
      <c r="IC188" s="1641"/>
      <c r="ID188" s="1641"/>
      <c r="IE188" s="1641"/>
      <c r="IF188" s="1641"/>
      <c r="IG188" s="1641"/>
      <c r="IH188" s="1641"/>
      <c r="II188" s="1641"/>
      <c r="IJ188" s="1641"/>
      <c r="IK188" s="1636">
        <v>3600</v>
      </c>
      <c r="IL188" s="1636">
        <v>1490</v>
      </c>
      <c r="IM188" s="1641"/>
      <c r="IN188" s="1641"/>
      <c r="IO188" s="1641"/>
      <c r="IP188" s="1410"/>
      <c r="IQ188" s="1410"/>
      <c r="IR188" s="1410"/>
      <c r="IS188" s="1410"/>
      <c r="IT188" s="1410"/>
      <c r="IU188" s="1410"/>
      <c r="IV188" s="1410"/>
      <c r="IW188" s="1410"/>
      <c r="IX188" s="1641"/>
      <c r="IY188" s="1641"/>
      <c r="IZ188" s="1641"/>
      <c r="JA188" s="1641"/>
      <c r="JB188" s="1641"/>
      <c r="JC188" s="1641"/>
      <c r="JD188" s="1641"/>
      <c r="JE188" s="1641"/>
      <c r="JF188" s="1641"/>
      <c r="JG188" s="1641"/>
      <c r="JH188" s="1410"/>
      <c r="JI188" s="1410"/>
      <c r="JJ188" s="1410"/>
      <c r="JK188" s="1410"/>
      <c r="JL188" s="1410"/>
      <c r="JM188" s="1410"/>
      <c r="JN188" s="1410"/>
      <c r="JO188" s="1410"/>
      <c r="JP188" s="1410"/>
      <c r="JQ188" s="1405"/>
      <c r="JR188" s="351"/>
    </row>
    <row r="189" spans="1:278" x14ac:dyDescent="0.25">
      <c r="A189" s="1367">
        <v>189</v>
      </c>
      <c r="B189" s="1411" t="str">
        <f t="shared" si="17"/>
        <v/>
      </c>
      <c r="C189" s="1644" t="s">
        <v>4112</v>
      </c>
      <c r="D189" s="1645" t="s">
        <v>3890</v>
      </c>
      <c r="E189" s="1641"/>
      <c r="F189" s="1641"/>
      <c r="G189" s="1641"/>
      <c r="H189" s="1641"/>
      <c r="I189" s="1641"/>
      <c r="J189" s="1641"/>
      <c r="K189" s="1641"/>
      <c r="L189" s="1641"/>
      <c r="M189" s="1641"/>
      <c r="N189" s="1641"/>
      <c r="O189" s="1641"/>
      <c r="P189" s="1641"/>
      <c r="Q189" s="1641"/>
      <c r="R189" s="1641"/>
      <c r="S189" s="1641"/>
      <c r="T189" s="1641"/>
      <c r="U189" s="1641"/>
      <c r="V189" s="1641"/>
      <c r="W189" s="1641"/>
      <c r="X189" s="1641"/>
      <c r="Y189" s="1641"/>
      <c r="Z189" s="1641"/>
      <c r="AA189" s="1641"/>
      <c r="AB189" s="1641"/>
      <c r="AC189" s="1641"/>
      <c r="AD189" s="1641"/>
      <c r="AE189" s="1641"/>
      <c r="AF189" s="1641"/>
      <c r="AG189" s="1641"/>
      <c r="AH189" s="1641"/>
      <c r="AI189" s="1641"/>
      <c r="AJ189" s="1641"/>
      <c r="AK189" s="1641"/>
      <c r="AL189" s="1641"/>
      <c r="AM189" s="1641"/>
      <c r="AN189" s="1641"/>
      <c r="AO189" s="1641"/>
      <c r="AP189" s="1641"/>
      <c r="AQ189" s="1641"/>
      <c r="AR189" s="1641"/>
      <c r="AS189" s="1641"/>
      <c r="AT189" s="1641"/>
      <c r="AU189" s="1641"/>
      <c r="AV189" s="1641"/>
      <c r="AW189" s="1641"/>
      <c r="AX189" s="1641"/>
      <c r="AY189" s="1641"/>
      <c r="AZ189" s="1641"/>
      <c r="BA189" s="1641"/>
      <c r="BB189" s="1641"/>
      <c r="BC189" s="1641"/>
      <c r="BD189" s="1641"/>
      <c r="BE189" s="1641"/>
      <c r="BF189" s="1641"/>
      <c r="BG189" s="1641"/>
      <c r="BH189" s="1641"/>
      <c r="BI189" s="1641"/>
      <c r="BJ189" s="1641"/>
      <c r="BK189" s="1641"/>
      <c r="BL189" s="1641"/>
      <c r="BM189" s="1641"/>
      <c r="BN189" s="1641"/>
      <c r="BO189" s="1641"/>
      <c r="BP189" s="1641"/>
      <c r="BQ189" s="1641"/>
      <c r="BR189" s="1641"/>
      <c r="BS189" s="1641"/>
      <c r="BT189" s="1641"/>
      <c r="BU189" s="1641"/>
      <c r="BV189" s="1641"/>
      <c r="BW189" s="1641"/>
      <c r="BX189" s="1641"/>
      <c r="BY189" s="1641"/>
      <c r="BZ189" s="1641"/>
      <c r="CA189" s="1641"/>
      <c r="CB189" s="1641"/>
      <c r="CC189" s="1641"/>
      <c r="CD189" s="1641"/>
      <c r="CE189" s="1641"/>
      <c r="CF189" s="1641"/>
      <c r="CG189" s="1641"/>
      <c r="CH189" s="1641"/>
      <c r="CI189" s="1641"/>
      <c r="CJ189" s="1641"/>
      <c r="CK189" s="1641"/>
      <c r="CL189" s="1641"/>
      <c r="CM189" s="1641"/>
      <c r="CN189" s="1641"/>
      <c r="CO189" s="1641"/>
      <c r="CP189" s="1641"/>
      <c r="CQ189" s="1641"/>
      <c r="CR189" s="1641"/>
      <c r="CS189" s="1641"/>
      <c r="CT189" s="1641"/>
      <c r="CU189" s="1641"/>
      <c r="CV189" s="1641"/>
      <c r="CW189" s="1641"/>
      <c r="CX189" s="1641"/>
      <c r="CY189" s="1641"/>
      <c r="CZ189" s="1641"/>
      <c r="DA189" s="1641"/>
      <c r="DB189" s="1641"/>
      <c r="DC189" s="1641"/>
      <c r="DD189" s="1641"/>
      <c r="DE189" s="1641"/>
      <c r="DF189" s="1641"/>
      <c r="DG189" s="1641"/>
      <c r="DH189" s="1641"/>
      <c r="DI189" s="1641"/>
      <c r="DJ189" s="1641"/>
      <c r="DK189" s="1641"/>
      <c r="DL189" s="1641"/>
      <c r="DM189" s="1641"/>
      <c r="DN189" s="1641"/>
      <c r="DO189" s="1641"/>
      <c r="DP189" s="1641"/>
      <c r="DQ189" s="1641"/>
      <c r="DR189" s="1641"/>
      <c r="DS189" s="1641"/>
      <c r="DT189" s="1641"/>
      <c r="DU189" s="1641"/>
      <c r="DV189" s="1641"/>
      <c r="DW189" s="1641"/>
      <c r="DX189" s="1641"/>
      <c r="DY189" s="1641"/>
      <c r="DZ189" s="1641"/>
      <c r="EA189" s="1641"/>
      <c r="EB189" s="1641"/>
      <c r="EC189" s="1641"/>
      <c r="ED189" s="1641"/>
      <c r="EE189" s="1641"/>
      <c r="EF189" s="1641"/>
      <c r="EG189" s="1641"/>
      <c r="EH189" s="1641"/>
      <c r="EI189" s="1641"/>
      <c r="EJ189" s="1641"/>
      <c r="EK189" s="1641"/>
      <c r="EL189" s="1641"/>
      <c r="EM189" s="1641"/>
      <c r="EN189" s="1641"/>
      <c r="EO189" s="1641"/>
      <c r="EP189" s="1641"/>
      <c r="EQ189" s="1641"/>
      <c r="ER189" s="1641"/>
      <c r="ES189" s="1641"/>
      <c r="ET189" s="1641"/>
      <c r="EU189" s="1641"/>
      <c r="EV189" s="1641"/>
      <c r="EW189" s="1641"/>
      <c r="EX189" s="1641"/>
      <c r="EY189" s="1641"/>
      <c r="EZ189" s="1641"/>
      <c r="FA189" s="1641"/>
      <c r="FB189" s="1641"/>
      <c r="FC189" s="1641"/>
      <c r="FD189" s="1641"/>
      <c r="FE189" s="1641"/>
      <c r="FF189" s="1641"/>
      <c r="FG189" s="1641"/>
      <c r="FH189" s="1641"/>
      <c r="FI189" s="1641"/>
      <c r="FJ189" s="1641"/>
      <c r="FK189" s="1641"/>
      <c r="FL189" s="1641"/>
      <c r="FM189" s="1641"/>
      <c r="FN189" s="1641"/>
      <c r="FO189" s="1641"/>
      <c r="FP189" s="1641"/>
      <c r="FQ189" s="1641"/>
      <c r="FR189" s="1641"/>
      <c r="FS189" s="1641"/>
      <c r="FT189" s="1641"/>
      <c r="FU189" s="1641"/>
      <c r="FV189" s="1641"/>
      <c r="FW189" s="1641"/>
      <c r="FX189" s="1641"/>
      <c r="FY189" s="1641"/>
      <c r="FZ189" s="1641"/>
      <c r="GA189" s="1641"/>
      <c r="GB189" s="1641"/>
      <c r="GC189" s="1641"/>
      <c r="GD189" s="1641"/>
      <c r="GE189" s="1641"/>
      <c r="GF189" s="1641"/>
      <c r="GG189" s="1641"/>
      <c r="GH189" s="1641"/>
      <c r="GI189" s="1641"/>
      <c r="GJ189" s="1641"/>
      <c r="GK189" s="1641"/>
      <c r="GL189" s="1641"/>
      <c r="GM189" s="1641"/>
      <c r="GN189" s="1641"/>
      <c r="GO189" s="1641"/>
      <c r="GP189" s="1641"/>
      <c r="GQ189" s="1641"/>
      <c r="GR189" s="1641"/>
      <c r="GS189" s="1641"/>
      <c r="GT189" s="1641"/>
      <c r="GU189" s="1641"/>
      <c r="GV189" s="1641"/>
      <c r="GW189" s="1641"/>
      <c r="GX189" s="1641"/>
      <c r="GY189" s="1641"/>
      <c r="GZ189" s="1641"/>
      <c r="HA189" s="1641"/>
      <c r="HB189" s="1641"/>
      <c r="HC189" s="1641"/>
      <c r="HD189" s="1641"/>
      <c r="HE189" s="1641"/>
      <c r="HF189" s="1641"/>
      <c r="HG189" s="1641"/>
      <c r="HH189" s="1641"/>
      <c r="HI189" s="1641"/>
      <c r="HJ189" s="1641"/>
      <c r="HK189" s="1641"/>
      <c r="HL189" s="1641"/>
      <c r="HM189" s="1641"/>
      <c r="HN189" s="1641"/>
      <c r="HO189" s="1641"/>
      <c r="HP189" s="1641"/>
      <c r="HQ189" s="1641"/>
      <c r="HR189" s="1641"/>
      <c r="HS189" s="1641"/>
      <c r="HT189" s="1641"/>
      <c r="HU189" s="1641"/>
      <c r="HV189" s="1641"/>
      <c r="HW189" s="1641"/>
      <c r="HX189" s="1641"/>
      <c r="HY189" s="1641"/>
      <c r="HZ189" s="1641"/>
      <c r="IA189" s="1641"/>
      <c r="IB189" s="1641"/>
      <c r="IC189" s="1641"/>
      <c r="ID189" s="1641"/>
      <c r="IE189" s="1641"/>
      <c r="IF189" s="1641"/>
      <c r="IG189" s="1641"/>
      <c r="IH189" s="1641"/>
      <c r="II189" s="1641"/>
      <c r="IJ189" s="1641"/>
      <c r="IK189" s="1636">
        <v>3600</v>
      </c>
      <c r="IM189" s="1641"/>
      <c r="IN189" s="1641"/>
      <c r="IO189" s="1641"/>
      <c r="IP189" s="1410"/>
      <c r="IQ189" s="1410"/>
      <c r="IR189" s="1410"/>
      <c r="IS189" s="1410"/>
      <c r="IT189" s="1410"/>
      <c r="IU189" s="1410"/>
      <c r="IV189" s="1410"/>
      <c r="IW189" s="1410"/>
      <c r="IX189" s="1641"/>
      <c r="IY189" s="1641"/>
      <c r="IZ189" s="1641"/>
      <c r="JA189" s="1641"/>
      <c r="JB189" s="1641"/>
      <c r="JC189" s="1641"/>
      <c r="JD189" s="1641"/>
      <c r="JE189" s="1641"/>
      <c r="JF189" s="1641"/>
      <c r="JG189" s="1641"/>
      <c r="JH189" s="1410"/>
      <c r="JI189" s="1410"/>
      <c r="JJ189" s="1410"/>
      <c r="JK189" s="1410"/>
      <c r="JL189" s="1410"/>
      <c r="JM189" s="1410"/>
      <c r="JN189" s="1410"/>
      <c r="JO189" s="1410"/>
      <c r="JP189" s="1410"/>
      <c r="JQ189" s="1405"/>
      <c r="JR189" s="351"/>
    </row>
    <row r="190" spans="1:278" x14ac:dyDescent="0.25">
      <c r="A190" s="1367">
        <v>190</v>
      </c>
      <c r="B190" s="1411" t="str">
        <f t="shared" si="17"/>
        <v/>
      </c>
      <c r="C190" s="1644" t="s">
        <v>4113</v>
      </c>
      <c r="D190" s="1645" t="s">
        <v>4114</v>
      </c>
      <c r="E190" s="1641"/>
      <c r="F190" s="1641"/>
      <c r="G190" s="1641"/>
      <c r="H190" s="1641"/>
      <c r="I190" s="1641"/>
      <c r="J190" s="1641"/>
      <c r="K190" s="1641"/>
      <c r="L190" s="1641"/>
      <c r="M190" s="1641"/>
      <c r="N190" s="1641"/>
      <c r="O190" s="1641"/>
      <c r="P190" s="1641"/>
      <c r="Q190" s="1641"/>
      <c r="R190" s="1641"/>
      <c r="S190" s="1641"/>
      <c r="T190" s="1641"/>
      <c r="U190" s="1641"/>
      <c r="V190" s="1641"/>
      <c r="W190" s="1641"/>
      <c r="X190" s="1641"/>
      <c r="Y190" s="1641"/>
      <c r="Z190" s="1641"/>
      <c r="AA190" s="1641"/>
      <c r="AB190" s="1641"/>
      <c r="AC190" s="1641"/>
      <c r="AD190" s="1641"/>
      <c r="AE190" s="1641"/>
      <c r="AF190" s="1641"/>
      <c r="AG190" s="1641"/>
      <c r="AH190" s="1641"/>
      <c r="AI190" s="1641"/>
      <c r="AJ190" s="1641"/>
      <c r="AK190" s="1641"/>
      <c r="AL190" s="1641"/>
      <c r="AM190" s="1641"/>
      <c r="AN190" s="1641"/>
      <c r="AO190" s="1641"/>
      <c r="AP190" s="1641"/>
      <c r="AQ190" s="1641"/>
      <c r="AR190" s="1641"/>
      <c r="AS190" s="1641"/>
      <c r="AT190" s="1641"/>
      <c r="AU190" s="1641"/>
      <c r="AV190" s="1641"/>
      <c r="AW190" s="1641"/>
      <c r="AX190" s="1641"/>
      <c r="AY190" s="1641"/>
      <c r="AZ190" s="1641"/>
      <c r="BA190" s="1641"/>
      <c r="BB190" s="1641"/>
      <c r="BC190" s="1641"/>
      <c r="BD190" s="1641"/>
      <c r="BE190" s="1641"/>
      <c r="BF190" s="1641"/>
      <c r="BG190" s="1641"/>
      <c r="BH190" s="1641"/>
      <c r="BI190" s="1641"/>
      <c r="BJ190" s="1641"/>
      <c r="BK190" s="1641"/>
      <c r="BL190" s="1641"/>
      <c r="BM190" s="1641"/>
      <c r="BN190" s="1641"/>
      <c r="BO190" s="1641"/>
      <c r="BP190" s="1641"/>
      <c r="BQ190" s="1641"/>
      <c r="BR190" s="1641"/>
      <c r="BS190" s="1641"/>
      <c r="BT190" s="1641"/>
      <c r="BU190" s="1641"/>
      <c r="BV190" s="1641"/>
      <c r="BW190" s="1641"/>
      <c r="BX190" s="1641"/>
      <c r="BY190" s="1641"/>
      <c r="BZ190" s="1641"/>
      <c r="CA190" s="1641"/>
      <c r="CB190" s="1641"/>
      <c r="CC190" s="1641"/>
      <c r="CD190" s="1641"/>
      <c r="CE190" s="1641"/>
      <c r="CF190" s="1641"/>
      <c r="CG190" s="1641"/>
      <c r="CH190" s="1641"/>
      <c r="CI190" s="1641"/>
      <c r="CJ190" s="1641"/>
      <c r="CK190" s="1641"/>
      <c r="CL190" s="1641"/>
      <c r="CM190" s="1641"/>
      <c r="CN190" s="1641"/>
      <c r="CO190" s="1641"/>
      <c r="CP190" s="1641"/>
      <c r="CQ190" s="1641"/>
      <c r="CR190" s="1641"/>
      <c r="CS190" s="1641"/>
      <c r="CT190" s="1641"/>
      <c r="CU190" s="1641"/>
      <c r="CV190" s="1641"/>
      <c r="CW190" s="1641"/>
      <c r="CX190" s="1641"/>
      <c r="CY190" s="1641"/>
      <c r="CZ190" s="1641"/>
      <c r="DA190" s="1641"/>
      <c r="DB190" s="1641"/>
      <c r="DC190" s="1641"/>
      <c r="DD190" s="1641"/>
      <c r="DE190" s="1641"/>
      <c r="DF190" s="1641"/>
      <c r="DG190" s="1641"/>
      <c r="DH190" s="1641"/>
      <c r="DI190" s="1641"/>
      <c r="DJ190" s="1641"/>
      <c r="DK190" s="1641"/>
      <c r="DL190" s="1641"/>
      <c r="DM190" s="1641"/>
      <c r="DN190" s="1641"/>
      <c r="DO190" s="1641"/>
      <c r="DP190" s="1641"/>
      <c r="DQ190" s="1641"/>
      <c r="DR190" s="1641"/>
      <c r="DS190" s="1641"/>
      <c r="DT190" s="1641"/>
      <c r="DU190" s="1641"/>
      <c r="DV190" s="1641"/>
      <c r="DW190" s="1641"/>
      <c r="DX190" s="1641"/>
      <c r="DY190" s="1641"/>
      <c r="DZ190" s="1641"/>
      <c r="EA190" s="1641"/>
      <c r="EB190" s="1641"/>
      <c r="EC190" s="1641"/>
      <c r="ED190" s="1641"/>
      <c r="EE190" s="1641"/>
      <c r="EF190" s="1641"/>
      <c r="EG190" s="1641"/>
      <c r="EH190" s="1641"/>
      <c r="EI190" s="1641"/>
      <c r="EJ190" s="1641"/>
      <c r="EK190" s="1641"/>
      <c r="EL190" s="1641"/>
      <c r="EM190" s="1641"/>
      <c r="EN190" s="1641"/>
      <c r="EO190" s="1641"/>
      <c r="EP190" s="1641"/>
      <c r="EQ190" s="1641"/>
      <c r="ER190" s="1641"/>
      <c r="ES190" s="1641"/>
      <c r="ET190" s="1641"/>
      <c r="EU190" s="1641"/>
      <c r="EV190" s="1641"/>
      <c r="EW190" s="1641"/>
      <c r="EX190" s="1641"/>
      <c r="EY190" s="1641"/>
      <c r="EZ190" s="1641"/>
      <c r="FA190" s="1641"/>
      <c r="FB190" s="1641"/>
      <c r="FC190" s="1641"/>
      <c r="FD190" s="1641"/>
      <c r="FE190" s="1641"/>
      <c r="FF190" s="1641"/>
      <c r="FG190" s="1641"/>
      <c r="FH190" s="1641"/>
      <c r="FI190" s="1641"/>
      <c r="FJ190" s="1641"/>
      <c r="FK190" s="1641"/>
      <c r="FL190" s="1641"/>
      <c r="FM190" s="1641"/>
      <c r="FN190" s="1641"/>
      <c r="FO190" s="1641"/>
      <c r="FP190" s="1641"/>
      <c r="FQ190" s="1641"/>
      <c r="FR190" s="1641"/>
      <c r="FS190" s="1641"/>
      <c r="FT190" s="1641"/>
      <c r="FU190" s="1641"/>
      <c r="FV190" s="1641"/>
      <c r="FW190" s="1641"/>
      <c r="FX190" s="1641"/>
      <c r="FY190" s="1641"/>
      <c r="FZ190" s="1641"/>
      <c r="GA190" s="1641"/>
      <c r="GB190" s="1641"/>
      <c r="GC190" s="1641"/>
      <c r="GD190" s="1641"/>
      <c r="GE190" s="1641"/>
      <c r="GF190" s="1641"/>
      <c r="GG190" s="1641"/>
      <c r="GH190" s="1641"/>
      <c r="GI190" s="1641"/>
      <c r="GJ190" s="1641"/>
      <c r="GK190" s="1641"/>
      <c r="GL190" s="1641"/>
      <c r="GM190" s="1641"/>
      <c r="GN190" s="1641"/>
      <c r="GO190" s="1641"/>
      <c r="GP190" s="1641"/>
      <c r="GQ190" s="1641"/>
      <c r="GR190" s="1641"/>
      <c r="GS190" s="1641"/>
      <c r="GT190" s="1641"/>
      <c r="GU190" s="1641"/>
      <c r="GV190" s="1641"/>
      <c r="GW190" s="1641"/>
      <c r="GX190" s="1641"/>
      <c r="GY190" s="1641"/>
      <c r="GZ190" s="1641"/>
      <c r="HA190" s="1641"/>
      <c r="HB190" s="1641"/>
      <c r="HC190" s="1641"/>
      <c r="HD190" s="1641"/>
      <c r="HE190" s="1641"/>
      <c r="HF190" s="1641"/>
      <c r="HG190" s="1641"/>
      <c r="HH190" s="1641"/>
      <c r="HI190" s="1641"/>
      <c r="HJ190" s="1641"/>
      <c r="HK190" s="1641"/>
      <c r="HL190" s="1641"/>
      <c r="HM190" s="1641"/>
      <c r="HN190" s="1641"/>
      <c r="HO190" s="1641"/>
      <c r="HP190" s="1641"/>
      <c r="HQ190" s="1641"/>
      <c r="HR190" s="1641"/>
      <c r="HS190" s="1641"/>
      <c r="HT190" s="1641"/>
      <c r="HU190" s="1641"/>
      <c r="HV190" s="1641"/>
      <c r="HW190" s="1641"/>
      <c r="HX190" s="1641"/>
      <c r="HY190" s="1641"/>
      <c r="HZ190" s="1641"/>
      <c r="IA190" s="1641"/>
      <c r="IB190" s="1641"/>
      <c r="IC190" s="1641"/>
      <c r="ID190" s="1641"/>
      <c r="IE190" s="1641"/>
      <c r="IF190" s="1641"/>
      <c r="IG190" s="1641"/>
      <c r="IH190" s="1641"/>
      <c r="II190" s="1641"/>
      <c r="IJ190" s="1641"/>
      <c r="IK190" s="1636">
        <v>2500</v>
      </c>
      <c r="IL190" s="1636">
        <v>265</v>
      </c>
      <c r="IM190" s="1641"/>
      <c r="IN190" s="1641"/>
      <c r="IO190" s="1641"/>
      <c r="IP190" s="1410"/>
      <c r="IQ190" s="1410"/>
      <c r="IR190" s="1410"/>
      <c r="IS190" s="1410"/>
      <c r="IT190" s="1410"/>
      <c r="IU190" s="1410"/>
      <c r="IV190" s="1410"/>
      <c r="IW190" s="1410"/>
      <c r="IX190" s="1641"/>
      <c r="IY190" s="1641"/>
      <c r="IZ190" s="1641"/>
      <c r="JA190" s="1641"/>
      <c r="JB190" s="1641"/>
      <c r="JC190" s="1641"/>
      <c r="JD190" s="1641"/>
      <c r="JE190" s="1641"/>
      <c r="JF190" s="1641"/>
      <c r="JG190" s="1641"/>
      <c r="JH190" s="1410"/>
      <c r="JI190" s="1410"/>
      <c r="JJ190" s="1410"/>
      <c r="JK190" s="1410"/>
      <c r="JL190" s="1410"/>
      <c r="JM190" s="1410"/>
      <c r="JN190" s="1410"/>
      <c r="JO190" s="1410"/>
      <c r="JP190" s="1410"/>
      <c r="JQ190" s="1405"/>
      <c r="JR190" s="351"/>
    </row>
    <row r="191" spans="1:278" x14ac:dyDescent="0.25">
      <c r="A191" s="1367">
        <v>191</v>
      </c>
      <c r="B191" s="1411" t="str">
        <f t="shared" si="17"/>
        <v/>
      </c>
      <c r="C191" s="1644" t="s">
        <v>4115</v>
      </c>
      <c r="D191" s="1645" t="s">
        <v>3890</v>
      </c>
      <c r="E191" s="1641"/>
      <c r="F191" s="1641"/>
      <c r="G191" s="1641"/>
      <c r="H191" s="1641"/>
      <c r="I191" s="1641"/>
      <c r="J191" s="1641"/>
      <c r="K191" s="1641"/>
      <c r="L191" s="1641"/>
      <c r="M191" s="1641"/>
      <c r="N191" s="1641"/>
      <c r="O191" s="1641"/>
      <c r="P191" s="1641"/>
      <c r="Q191" s="1641"/>
      <c r="R191" s="1641"/>
      <c r="S191" s="1641"/>
      <c r="T191" s="1641"/>
      <c r="U191" s="1641"/>
      <c r="V191" s="1641"/>
      <c r="W191" s="1641"/>
      <c r="X191" s="1641"/>
      <c r="Y191" s="1641"/>
      <c r="Z191" s="1641"/>
      <c r="AA191" s="1641"/>
      <c r="AB191" s="1641"/>
      <c r="AC191" s="1641"/>
      <c r="AD191" s="1641"/>
      <c r="AE191" s="1641"/>
      <c r="AF191" s="1641"/>
      <c r="AG191" s="1641"/>
      <c r="AH191" s="1641"/>
      <c r="AI191" s="1641"/>
      <c r="AJ191" s="1641"/>
      <c r="AK191" s="1641"/>
      <c r="AL191" s="1641"/>
      <c r="AM191" s="1641"/>
      <c r="AN191" s="1641"/>
      <c r="AO191" s="1641"/>
      <c r="AP191" s="1641"/>
      <c r="AQ191" s="1641"/>
      <c r="AR191" s="1641"/>
      <c r="AS191" s="1641"/>
      <c r="AT191" s="1641"/>
      <c r="AU191" s="1641"/>
      <c r="AV191" s="1641"/>
      <c r="AW191" s="1641"/>
      <c r="AX191" s="1641"/>
      <c r="AY191" s="1641"/>
      <c r="AZ191" s="1641"/>
      <c r="BA191" s="1641"/>
      <c r="BB191" s="1641"/>
      <c r="BC191" s="1641"/>
      <c r="BD191" s="1641"/>
      <c r="BE191" s="1641"/>
      <c r="BF191" s="1641"/>
      <c r="BG191" s="1641"/>
      <c r="BH191" s="1641"/>
      <c r="BI191" s="1641"/>
      <c r="BJ191" s="1641"/>
      <c r="BK191" s="1641"/>
      <c r="BL191" s="1641"/>
      <c r="BM191" s="1641"/>
      <c r="BN191" s="1641"/>
      <c r="BO191" s="1641"/>
      <c r="BP191" s="1641"/>
      <c r="BQ191" s="1641"/>
      <c r="BR191" s="1641"/>
      <c r="BS191" s="1641"/>
      <c r="BT191" s="1641"/>
      <c r="BU191" s="1641"/>
      <c r="BV191" s="1641"/>
      <c r="BW191" s="1641"/>
      <c r="BX191" s="1641"/>
      <c r="BY191" s="1641"/>
      <c r="BZ191" s="1641"/>
      <c r="CA191" s="1641"/>
      <c r="CB191" s="1641"/>
      <c r="CC191" s="1641"/>
      <c r="CD191" s="1641"/>
      <c r="CE191" s="1641"/>
      <c r="CF191" s="1641"/>
      <c r="CG191" s="1641"/>
      <c r="CH191" s="1641"/>
      <c r="CI191" s="1641"/>
      <c r="CJ191" s="1641"/>
      <c r="CK191" s="1641"/>
      <c r="CL191" s="1641"/>
      <c r="CM191" s="1641"/>
      <c r="CN191" s="1641"/>
      <c r="CO191" s="1641"/>
      <c r="CP191" s="1641"/>
      <c r="CQ191" s="1641"/>
      <c r="CR191" s="1641"/>
      <c r="CS191" s="1641"/>
      <c r="CT191" s="1641"/>
      <c r="CU191" s="1641"/>
      <c r="CV191" s="1641"/>
      <c r="CW191" s="1641"/>
      <c r="CX191" s="1641"/>
      <c r="CY191" s="1641"/>
      <c r="CZ191" s="1641"/>
      <c r="DA191" s="1641"/>
      <c r="DB191" s="1641"/>
      <c r="DC191" s="1641"/>
      <c r="DD191" s="1641"/>
      <c r="DE191" s="1641"/>
      <c r="DF191" s="1641"/>
      <c r="DG191" s="1641"/>
      <c r="DH191" s="1641"/>
      <c r="DI191" s="1641"/>
      <c r="DJ191" s="1641"/>
      <c r="DK191" s="1641"/>
      <c r="DL191" s="1641"/>
      <c r="DM191" s="1641"/>
      <c r="DN191" s="1641"/>
      <c r="DO191" s="1641"/>
      <c r="DP191" s="1641"/>
      <c r="DQ191" s="1641"/>
      <c r="DR191" s="1641"/>
      <c r="DS191" s="1641"/>
      <c r="DT191" s="1641"/>
      <c r="DU191" s="1641"/>
      <c r="DV191" s="1641"/>
      <c r="DW191" s="1641"/>
      <c r="DX191" s="1641"/>
      <c r="DY191" s="1641"/>
      <c r="DZ191" s="1641"/>
      <c r="EA191" s="1641"/>
      <c r="EB191" s="1641"/>
      <c r="EC191" s="1641"/>
      <c r="ED191" s="1641"/>
      <c r="EE191" s="1641"/>
      <c r="EF191" s="1641"/>
      <c r="EG191" s="1641"/>
      <c r="EH191" s="1641"/>
      <c r="EI191" s="1641"/>
      <c r="EJ191" s="1641"/>
      <c r="EK191" s="1641"/>
      <c r="EL191" s="1641"/>
      <c r="EM191" s="1641"/>
      <c r="EN191" s="1641"/>
      <c r="EO191" s="1641"/>
      <c r="EP191" s="1641"/>
      <c r="EQ191" s="1641"/>
      <c r="ER191" s="1641"/>
      <c r="ES191" s="1641"/>
      <c r="ET191" s="1641"/>
      <c r="EU191" s="1641"/>
      <c r="EV191" s="1641"/>
      <c r="EW191" s="1641"/>
      <c r="EX191" s="1641"/>
      <c r="EY191" s="1641"/>
      <c r="EZ191" s="1641"/>
      <c r="FA191" s="1641"/>
      <c r="FB191" s="1641"/>
      <c r="FC191" s="1641"/>
      <c r="FD191" s="1641"/>
      <c r="FE191" s="1641"/>
      <c r="FF191" s="1641"/>
      <c r="FG191" s="1641"/>
      <c r="FH191" s="1641"/>
      <c r="FI191" s="1641"/>
      <c r="FJ191" s="1641"/>
      <c r="FK191" s="1641"/>
      <c r="FL191" s="1641"/>
      <c r="FM191" s="1641"/>
      <c r="FN191" s="1641"/>
      <c r="FO191" s="1641"/>
      <c r="FP191" s="1641"/>
      <c r="FQ191" s="1641"/>
      <c r="FR191" s="1641"/>
      <c r="FS191" s="1641"/>
      <c r="FT191" s="1641"/>
      <c r="FU191" s="1641"/>
      <c r="FV191" s="1641"/>
      <c r="FW191" s="1641"/>
      <c r="FX191" s="1641"/>
      <c r="FY191" s="1641"/>
      <c r="FZ191" s="1641"/>
      <c r="GA191" s="1641"/>
      <c r="GB191" s="1641"/>
      <c r="GC191" s="1641"/>
      <c r="GD191" s="1641"/>
      <c r="GE191" s="1641"/>
      <c r="GF191" s="1641"/>
      <c r="GG191" s="1641"/>
      <c r="GH191" s="1641"/>
      <c r="GI191" s="1641"/>
      <c r="GJ191" s="1641"/>
      <c r="GK191" s="1641"/>
      <c r="GL191" s="1641"/>
      <c r="GM191" s="1641"/>
      <c r="GN191" s="1641"/>
      <c r="GO191" s="1641"/>
      <c r="GP191" s="1641"/>
      <c r="GQ191" s="1641"/>
      <c r="GR191" s="1641"/>
      <c r="GS191" s="1641"/>
      <c r="GT191" s="1641"/>
      <c r="GU191" s="1641"/>
      <c r="GV191" s="1641"/>
      <c r="GW191" s="1641"/>
      <c r="GX191" s="1641"/>
      <c r="GY191" s="1641"/>
      <c r="GZ191" s="1641"/>
      <c r="HA191" s="1641"/>
      <c r="HB191" s="1641"/>
      <c r="HC191" s="1641"/>
      <c r="HD191" s="1641"/>
      <c r="HE191" s="1641"/>
      <c r="HF191" s="1641"/>
      <c r="HG191" s="1641"/>
      <c r="HH191" s="1641"/>
      <c r="HI191" s="1641"/>
      <c r="HJ191" s="1641"/>
      <c r="HK191" s="1641"/>
      <c r="HL191" s="1641"/>
      <c r="HM191" s="1641"/>
      <c r="HN191" s="1641"/>
      <c r="HO191" s="1641"/>
      <c r="HP191" s="1641"/>
      <c r="HQ191" s="1641"/>
      <c r="HR191" s="1641"/>
      <c r="HS191" s="1641"/>
      <c r="HT191" s="1641"/>
      <c r="HU191" s="1641"/>
      <c r="HV191" s="1641"/>
      <c r="HW191" s="1641"/>
      <c r="HX191" s="1641"/>
      <c r="HY191" s="1641"/>
      <c r="HZ191" s="1641"/>
      <c r="IA191" s="1641"/>
      <c r="IB191" s="1641"/>
      <c r="IC191" s="1641"/>
      <c r="ID191" s="1641"/>
      <c r="IE191" s="1641"/>
      <c r="IF191" s="1641"/>
      <c r="IG191" s="1641"/>
      <c r="IH191" s="1641"/>
      <c r="II191" s="1641"/>
      <c r="IJ191" s="1641"/>
      <c r="IK191" s="1636">
        <v>2500</v>
      </c>
      <c r="IM191" s="1641"/>
      <c r="IN191" s="1641"/>
      <c r="IO191" s="1641"/>
      <c r="IP191" s="1410"/>
      <c r="IQ191" s="1410"/>
      <c r="IR191" s="1410"/>
      <c r="IS191" s="1410"/>
      <c r="IT191" s="1410"/>
      <c r="IU191" s="1410"/>
      <c r="IV191" s="1410"/>
      <c r="IW191" s="1410"/>
      <c r="IX191" s="1641"/>
      <c r="IY191" s="1641"/>
      <c r="IZ191" s="1641"/>
      <c r="JA191" s="1641"/>
      <c r="JB191" s="1641"/>
      <c r="JC191" s="1641"/>
      <c r="JD191" s="1641"/>
      <c r="JE191" s="1641"/>
      <c r="JF191" s="1641"/>
      <c r="JG191" s="1641"/>
      <c r="JH191" s="1410"/>
      <c r="JI191" s="1410"/>
      <c r="JJ191" s="1410"/>
      <c r="JK191" s="1410"/>
      <c r="JL191" s="1410"/>
      <c r="JM191" s="1410"/>
      <c r="JN191" s="1410"/>
      <c r="JO191" s="1410"/>
      <c r="JP191" s="1410"/>
      <c r="JQ191" s="1405"/>
      <c r="JR191" s="351"/>
    </row>
    <row r="192" spans="1:278" x14ac:dyDescent="0.25">
      <c r="A192" s="1367">
        <v>192</v>
      </c>
      <c r="B192" s="1411" t="str">
        <f t="shared" ref="B192:B210" si="18">IF(FOR_IND&gt;1,IF(HLOOKUP(FOR_IND-1,FOR_RANGE,A192)="","",HLOOKUP(FOR_IND-1,FOR_RANGE,A192)),"")</f>
        <v/>
      </c>
      <c r="C192" s="1644" t="s">
        <v>4116</v>
      </c>
      <c r="D192" s="1645" t="s">
        <v>4117</v>
      </c>
      <c r="E192" s="1641"/>
      <c r="F192" s="1641"/>
      <c r="G192" s="1641"/>
      <c r="H192" s="1641"/>
      <c r="I192" s="1641"/>
      <c r="J192" s="1641"/>
      <c r="K192" s="1641"/>
      <c r="L192" s="1641"/>
      <c r="M192" s="1641"/>
      <c r="N192" s="1641"/>
      <c r="O192" s="1641"/>
      <c r="P192" s="1641"/>
      <c r="Q192" s="1641"/>
      <c r="R192" s="1641"/>
      <c r="S192" s="1641"/>
      <c r="T192" s="1641"/>
      <c r="U192" s="1641"/>
      <c r="V192" s="1641"/>
      <c r="W192" s="1641"/>
      <c r="X192" s="1641"/>
      <c r="Y192" s="1641"/>
      <c r="Z192" s="1641"/>
      <c r="AA192" s="1641"/>
      <c r="AB192" s="1641"/>
      <c r="AC192" s="1641"/>
      <c r="AD192" s="1641"/>
      <c r="AE192" s="1641"/>
      <c r="AF192" s="1641"/>
      <c r="AG192" s="1641"/>
      <c r="AH192" s="1641"/>
      <c r="AI192" s="1641"/>
      <c r="AJ192" s="1641"/>
      <c r="AK192" s="1641"/>
      <c r="AL192" s="1641"/>
      <c r="AM192" s="1641"/>
      <c r="AN192" s="1641"/>
      <c r="AO192" s="1641"/>
      <c r="AP192" s="1641"/>
      <c r="AQ192" s="1641"/>
      <c r="AR192" s="1641"/>
      <c r="AS192" s="1641"/>
      <c r="AT192" s="1641"/>
      <c r="AU192" s="1641"/>
      <c r="AV192" s="1641"/>
      <c r="AW192" s="1641"/>
      <c r="AX192" s="1641"/>
      <c r="AY192" s="1641"/>
      <c r="AZ192" s="1641"/>
      <c r="BA192" s="1641"/>
      <c r="BB192" s="1641"/>
      <c r="BC192" s="1641"/>
      <c r="BD192" s="1641"/>
      <c r="BE192" s="1641"/>
      <c r="BF192" s="1641"/>
      <c r="BG192" s="1641"/>
      <c r="BH192" s="1641"/>
      <c r="BI192" s="1641"/>
      <c r="BJ192" s="1641"/>
      <c r="BK192" s="1641"/>
      <c r="BL192" s="1641"/>
      <c r="BM192" s="1641"/>
      <c r="BN192" s="1641"/>
      <c r="BO192" s="1641"/>
      <c r="BP192" s="1641"/>
      <c r="BQ192" s="1641"/>
      <c r="BR192" s="1641"/>
      <c r="BS192" s="1641"/>
      <c r="BT192" s="1641"/>
      <c r="BU192" s="1641"/>
      <c r="BV192" s="1641"/>
      <c r="BW192" s="1641"/>
      <c r="BX192" s="1641"/>
      <c r="BY192" s="1641"/>
      <c r="BZ192" s="1641"/>
      <c r="CA192" s="1641"/>
      <c r="CB192" s="1641"/>
      <c r="CC192" s="1641"/>
      <c r="CD192" s="1641"/>
      <c r="CE192" s="1641"/>
      <c r="CF192" s="1641"/>
      <c r="CG192" s="1641"/>
      <c r="CH192" s="1641"/>
      <c r="CI192" s="1641"/>
      <c r="CJ192" s="1641"/>
      <c r="CK192" s="1641"/>
      <c r="CL192" s="1641"/>
      <c r="CM192" s="1641"/>
      <c r="CN192" s="1641"/>
      <c r="CO192" s="1641"/>
      <c r="CP192" s="1641"/>
      <c r="CQ192" s="1641"/>
      <c r="CR192" s="1641"/>
      <c r="CS192" s="1641"/>
      <c r="CT192" s="1641"/>
      <c r="CU192" s="1641"/>
      <c r="CV192" s="1641"/>
      <c r="CW192" s="1641"/>
      <c r="CX192" s="1641"/>
      <c r="CY192" s="1641"/>
      <c r="CZ192" s="1641"/>
      <c r="DA192" s="1641"/>
      <c r="DB192" s="1641"/>
      <c r="DC192" s="1641"/>
      <c r="DD192" s="1641"/>
      <c r="DE192" s="1641"/>
      <c r="DF192" s="1641"/>
      <c r="DG192" s="1641"/>
      <c r="DH192" s="1641"/>
      <c r="DI192" s="1641"/>
      <c r="DJ192" s="1641"/>
      <c r="DK192" s="1641"/>
      <c r="DL192" s="1641"/>
      <c r="DM192" s="1641"/>
      <c r="DN192" s="1641"/>
      <c r="DO192" s="1641"/>
      <c r="DP192" s="1641"/>
      <c r="DQ192" s="1641"/>
      <c r="DR192" s="1641"/>
      <c r="DS192" s="1641"/>
      <c r="DT192" s="1641"/>
      <c r="DU192" s="1641"/>
      <c r="DV192" s="1641"/>
      <c r="DW192" s="1641"/>
      <c r="DX192" s="1641"/>
      <c r="DY192" s="1641"/>
      <c r="DZ192" s="1641"/>
      <c r="EA192" s="1641"/>
      <c r="EB192" s="1641"/>
      <c r="EC192" s="1641"/>
      <c r="ED192" s="1641"/>
      <c r="EE192" s="1641"/>
      <c r="EF192" s="1641"/>
      <c r="EG192" s="1641"/>
      <c r="EH192" s="1641"/>
      <c r="EI192" s="1641"/>
      <c r="EJ192" s="1641"/>
      <c r="EK192" s="1641"/>
      <c r="EL192" s="1641"/>
      <c r="EM192" s="1641"/>
      <c r="EN192" s="1641"/>
      <c r="EO192" s="1641"/>
      <c r="EP192" s="1641"/>
      <c r="EQ192" s="1641"/>
      <c r="ER192" s="1641"/>
      <c r="ES192" s="1641"/>
      <c r="ET192" s="1641"/>
      <c r="EU192" s="1641"/>
      <c r="EV192" s="1641"/>
      <c r="EW192" s="1641"/>
      <c r="EX192" s="1641"/>
      <c r="EY192" s="1641"/>
      <c r="EZ192" s="1641"/>
      <c r="FA192" s="1641"/>
      <c r="FB192" s="1641"/>
      <c r="FC192" s="1641"/>
      <c r="FD192" s="1641"/>
      <c r="FE192" s="1641"/>
      <c r="FF192" s="1641"/>
      <c r="FG192" s="1641"/>
      <c r="FH192" s="1641"/>
      <c r="FI192" s="1641"/>
      <c r="FJ192" s="1641"/>
      <c r="FK192" s="1641"/>
      <c r="FL192" s="1641"/>
      <c r="FM192" s="1641"/>
      <c r="FN192" s="1641"/>
      <c r="FO192" s="1641"/>
      <c r="FP192" s="1641"/>
      <c r="FQ192" s="1641"/>
      <c r="FR192" s="1641"/>
      <c r="FS192" s="1641"/>
      <c r="FT192" s="1641"/>
      <c r="FU192" s="1641"/>
      <c r="FV192" s="1641"/>
      <c r="FW192" s="1641"/>
      <c r="FX192" s="1641"/>
      <c r="FY192" s="1641"/>
      <c r="FZ192" s="1641"/>
      <c r="GA192" s="1641"/>
      <c r="GB192" s="1641"/>
      <c r="GC192" s="1641"/>
      <c r="GD192" s="1641"/>
      <c r="GE192" s="1641"/>
      <c r="GF192" s="1641"/>
      <c r="GG192" s="1641"/>
      <c r="GH192" s="1641"/>
      <c r="GI192" s="1641"/>
      <c r="GJ192" s="1641"/>
      <c r="GK192" s="1641"/>
      <c r="GL192" s="1641"/>
      <c r="GM192" s="1641"/>
      <c r="GN192" s="1641"/>
      <c r="GO192" s="1641"/>
      <c r="GP192" s="1641"/>
      <c r="GQ192" s="1641"/>
      <c r="GR192" s="1641"/>
      <c r="GS192" s="1641"/>
      <c r="GT192" s="1641"/>
      <c r="GU192" s="1641"/>
      <c r="GV192" s="1641"/>
      <c r="GW192" s="1641"/>
      <c r="GX192" s="1641"/>
      <c r="GY192" s="1641"/>
      <c r="GZ192" s="1641"/>
      <c r="HA192" s="1641"/>
      <c r="HB192" s="1641"/>
      <c r="HC192" s="1641"/>
      <c r="HD192" s="1641"/>
      <c r="HE192" s="1641"/>
      <c r="HF192" s="1641"/>
      <c r="HG192" s="1641"/>
      <c r="HH192" s="1641"/>
      <c r="HI192" s="1641"/>
      <c r="HJ192" s="1641"/>
      <c r="HK192" s="1641"/>
      <c r="HL192" s="1641"/>
      <c r="HM192" s="1641"/>
      <c r="HN192" s="1641"/>
      <c r="HO192" s="1641"/>
      <c r="HP192" s="1641"/>
      <c r="HQ192" s="1641"/>
      <c r="HR192" s="1641"/>
      <c r="HS192" s="1641"/>
      <c r="HT192" s="1641"/>
      <c r="HU192" s="1641"/>
      <c r="HV192" s="1641"/>
      <c r="HW192" s="1641"/>
      <c r="HX192" s="1641"/>
      <c r="HY192" s="1641"/>
      <c r="HZ192" s="1641"/>
      <c r="IA192" s="1641"/>
      <c r="IB192" s="1641"/>
      <c r="IC192" s="1641"/>
      <c r="ID192" s="1641"/>
      <c r="IE192" s="1641"/>
      <c r="IF192" s="1641"/>
      <c r="IG192" s="1641"/>
      <c r="IH192" s="1641"/>
      <c r="II192" s="1641"/>
      <c r="IJ192" s="1641"/>
      <c r="IK192" s="1636">
        <v>2000</v>
      </c>
      <c r="IL192" s="1636">
        <v>102</v>
      </c>
      <c r="IM192" s="1641"/>
      <c r="IN192" s="1641"/>
      <c r="IO192" s="1641"/>
      <c r="IP192" s="1410"/>
      <c r="IQ192" s="1410"/>
      <c r="IR192" s="1410"/>
      <c r="IS192" s="1410"/>
      <c r="IT192" s="1410"/>
      <c r="IU192" s="1410"/>
      <c r="IV192" s="1410"/>
      <c r="IW192" s="1410"/>
      <c r="IX192" s="1641"/>
      <c r="IY192" s="1641"/>
      <c r="IZ192" s="1641"/>
      <c r="JA192" s="1641"/>
      <c r="JB192" s="1641"/>
      <c r="JC192" s="1641"/>
      <c r="JD192" s="1641"/>
      <c r="JE192" s="1641"/>
      <c r="JF192" s="1641"/>
      <c r="JG192" s="1641"/>
      <c r="JH192" s="1410"/>
      <c r="JI192" s="1410"/>
      <c r="JJ192" s="1410"/>
      <c r="JK192" s="1410"/>
      <c r="JL192" s="1410"/>
      <c r="JM192" s="1410"/>
      <c r="JN192" s="1410"/>
      <c r="JO192" s="1410"/>
      <c r="JP192" s="1410"/>
      <c r="JQ192" s="1405"/>
      <c r="JR192" s="351"/>
    </row>
    <row r="193" spans="1:278" x14ac:dyDescent="0.25">
      <c r="A193" s="1367">
        <v>193</v>
      </c>
      <c r="B193" s="1411" t="str">
        <f t="shared" si="18"/>
        <v/>
      </c>
      <c r="C193" s="1644" t="s">
        <v>4118</v>
      </c>
      <c r="D193" s="1645" t="s">
        <v>3890</v>
      </c>
      <c r="E193" s="1641"/>
      <c r="F193" s="1641"/>
      <c r="G193" s="1641"/>
      <c r="H193" s="1641"/>
      <c r="I193" s="1641"/>
      <c r="J193" s="1641"/>
      <c r="K193" s="1641"/>
      <c r="L193" s="1641"/>
      <c r="M193" s="1641"/>
      <c r="N193" s="1641"/>
      <c r="O193" s="1641"/>
      <c r="P193" s="1641"/>
      <c r="Q193" s="1641"/>
      <c r="R193" s="1641"/>
      <c r="S193" s="1641"/>
      <c r="T193" s="1641"/>
      <c r="U193" s="1641"/>
      <c r="V193" s="1641"/>
      <c r="W193" s="1641"/>
      <c r="X193" s="1641"/>
      <c r="Y193" s="1641"/>
      <c r="Z193" s="1641"/>
      <c r="AA193" s="1641"/>
      <c r="AB193" s="1641"/>
      <c r="AC193" s="1641"/>
      <c r="AD193" s="1641"/>
      <c r="AE193" s="1641"/>
      <c r="AF193" s="1641"/>
      <c r="AG193" s="1641"/>
      <c r="AH193" s="1641"/>
      <c r="AI193" s="1641"/>
      <c r="AJ193" s="1641"/>
      <c r="AK193" s="1641"/>
      <c r="AL193" s="1641"/>
      <c r="AM193" s="1641"/>
      <c r="AN193" s="1641"/>
      <c r="AO193" s="1641"/>
      <c r="AP193" s="1641"/>
      <c r="AQ193" s="1641"/>
      <c r="AR193" s="1641"/>
      <c r="AS193" s="1641"/>
      <c r="AT193" s="1641"/>
      <c r="AU193" s="1641"/>
      <c r="AV193" s="1641"/>
      <c r="AW193" s="1641"/>
      <c r="AX193" s="1641"/>
      <c r="AY193" s="1641"/>
      <c r="AZ193" s="1641"/>
      <c r="BA193" s="1641"/>
      <c r="BB193" s="1641"/>
      <c r="BC193" s="1641"/>
      <c r="BD193" s="1641"/>
      <c r="BE193" s="1641"/>
      <c r="BF193" s="1641"/>
      <c r="BG193" s="1641"/>
      <c r="BH193" s="1641"/>
      <c r="BI193" s="1641"/>
      <c r="BJ193" s="1641"/>
      <c r="BK193" s="1641"/>
      <c r="BL193" s="1641"/>
      <c r="BM193" s="1641"/>
      <c r="BN193" s="1641"/>
      <c r="BO193" s="1641"/>
      <c r="BP193" s="1641"/>
      <c r="BQ193" s="1641"/>
      <c r="BR193" s="1641"/>
      <c r="BS193" s="1641"/>
      <c r="BT193" s="1641"/>
      <c r="BU193" s="1641"/>
      <c r="BV193" s="1641"/>
      <c r="BW193" s="1641"/>
      <c r="BX193" s="1641"/>
      <c r="BY193" s="1641"/>
      <c r="BZ193" s="1641"/>
      <c r="CA193" s="1641"/>
      <c r="CB193" s="1641"/>
      <c r="CC193" s="1641"/>
      <c r="CD193" s="1641"/>
      <c r="CE193" s="1641"/>
      <c r="CF193" s="1641"/>
      <c r="CG193" s="1641"/>
      <c r="CH193" s="1641"/>
      <c r="CI193" s="1641"/>
      <c r="CJ193" s="1641"/>
      <c r="CK193" s="1641"/>
      <c r="CL193" s="1641"/>
      <c r="CM193" s="1641"/>
      <c r="CN193" s="1641"/>
      <c r="CO193" s="1641"/>
      <c r="CP193" s="1641"/>
      <c r="CQ193" s="1641"/>
      <c r="CR193" s="1641"/>
      <c r="CS193" s="1641"/>
      <c r="CT193" s="1641"/>
      <c r="CU193" s="1641"/>
      <c r="CV193" s="1641"/>
      <c r="CW193" s="1641"/>
      <c r="CX193" s="1641"/>
      <c r="CY193" s="1641"/>
      <c r="CZ193" s="1641"/>
      <c r="DA193" s="1641"/>
      <c r="DB193" s="1641"/>
      <c r="DC193" s="1641"/>
      <c r="DD193" s="1641"/>
      <c r="DE193" s="1641"/>
      <c r="DF193" s="1641"/>
      <c r="DG193" s="1641"/>
      <c r="DH193" s="1641"/>
      <c r="DI193" s="1641"/>
      <c r="DJ193" s="1641"/>
      <c r="DK193" s="1641"/>
      <c r="DL193" s="1641"/>
      <c r="DM193" s="1641"/>
      <c r="DN193" s="1641"/>
      <c r="DO193" s="1641"/>
      <c r="DP193" s="1641"/>
      <c r="DQ193" s="1641"/>
      <c r="DR193" s="1641"/>
      <c r="DS193" s="1641"/>
      <c r="DT193" s="1641"/>
      <c r="DU193" s="1641"/>
      <c r="DV193" s="1641"/>
      <c r="DW193" s="1641"/>
      <c r="DX193" s="1641"/>
      <c r="DY193" s="1641"/>
      <c r="DZ193" s="1641"/>
      <c r="EA193" s="1641"/>
      <c r="EB193" s="1641"/>
      <c r="EC193" s="1641"/>
      <c r="ED193" s="1641"/>
      <c r="EE193" s="1641"/>
      <c r="EF193" s="1641"/>
      <c r="EG193" s="1641"/>
      <c r="EH193" s="1641"/>
      <c r="EI193" s="1641"/>
      <c r="EJ193" s="1641"/>
      <c r="EK193" s="1641"/>
      <c r="EL193" s="1641"/>
      <c r="EM193" s="1641"/>
      <c r="EN193" s="1641"/>
      <c r="EO193" s="1641"/>
      <c r="EP193" s="1641"/>
      <c r="EQ193" s="1641"/>
      <c r="ER193" s="1641"/>
      <c r="ES193" s="1641"/>
      <c r="ET193" s="1641"/>
      <c r="EU193" s="1641"/>
      <c r="EV193" s="1641"/>
      <c r="EW193" s="1641"/>
      <c r="EX193" s="1641"/>
      <c r="EY193" s="1641"/>
      <c r="EZ193" s="1641"/>
      <c r="FA193" s="1641"/>
      <c r="FB193" s="1641"/>
      <c r="FC193" s="1641"/>
      <c r="FD193" s="1641"/>
      <c r="FE193" s="1641"/>
      <c r="FF193" s="1641"/>
      <c r="FG193" s="1641"/>
      <c r="FH193" s="1641"/>
      <c r="FI193" s="1641"/>
      <c r="FJ193" s="1641"/>
      <c r="FK193" s="1641"/>
      <c r="FL193" s="1641"/>
      <c r="FM193" s="1641"/>
      <c r="FN193" s="1641"/>
      <c r="FO193" s="1641"/>
      <c r="FP193" s="1641"/>
      <c r="FQ193" s="1641"/>
      <c r="FR193" s="1641"/>
      <c r="FS193" s="1641"/>
      <c r="FT193" s="1641"/>
      <c r="FU193" s="1641"/>
      <c r="FV193" s="1641"/>
      <c r="FW193" s="1641"/>
      <c r="FX193" s="1641"/>
      <c r="FY193" s="1641"/>
      <c r="FZ193" s="1641"/>
      <c r="GA193" s="1641"/>
      <c r="GB193" s="1641"/>
      <c r="GC193" s="1641"/>
      <c r="GD193" s="1641"/>
      <c r="GE193" s="1641"/>
      <c r="GF193" s="1641"/>
      <c r="GG193" s="1641"/>
      <c r="GH193" s="1641"/>
      <c r="GI193" s="1641"/>
      <c r="GJ193" s="1641"/>
      <c r="GK193" s="1641"/>
      <c r="GL193" s="1641"/>
      <c r="GM193" s="1641"/>
      <c r="GN193" s="1641"/>
      <c r="GO193" s="1641"/>
      <c r="GP193" s="1641"/>
      <c r="GQ193" s="1641"/>
      <c r="GR193" s="1641"/>
      <c r="GS193" s="1641"/>
      <c r="GT193" s="1641"/>
      <c r="GU193" s="1641"/>
      <c r="GV193" s="1641"/>
      <c r="GW193" s="1641"/>
      <c r="GX193" s="1641"/>
      <c r="GY193" s="1641"/>
      <c r="GZ193" s="1641"/>
      <c r="HA193" s="1641"/>
      <c r="HB193" s="1641"/>
      <c r="HC193" s="1641"/>
      <c r="HD193" s="1641"/>
      <c r="HE193" s="1641"/>
      <c r="HF193" s="1641"/>
      <c r="HG193" s="1641"/>
      <c r="HH193" s="1641"/>
      <c r="HI193" s="1641"/>
      <c r="HJ193" s="1641"/>
      <c r="HK193" s="1641"/>
      <c r="HL193" s="1641"/>
      <c r="HM193" s="1641"/>
      <c r="HN193" s="1641"/>
      <c r="HO193" s="1641"/>
      <c r="HP193" s="1641"/>
      <c r="HQ193" s="1641"/>
      <c r="HR193" s="1641"/>
      <c r="HS193" s="1641"/>
      <c r="HT193" s="1641"/>
      <c r="HU193" s="1641"/>
      <c r="HV193" s="1641"/>
      <c r="HW193" s="1641"/>
      <c r="HX193" s="1641"/>
      <c r="HY193" s="1641"/>
      <c r="HZ193" s="1641"/>
      <c r="IA193" s="1641"/>
      <c r="IB193" s="1641"/>
      <c r="IC193" s="1641"/>
      <c r="ID193" s="1641"/>
      <c r="IE193" s="1641"/>
      <c r="IF193" s="1641"/>
      <c r="IG193" s="1641"/>
      <c r="IH193" s="1641"/>
      <c r="II193" s="1641"/>
      <c r="IJ193" s="1641"/>
      <c r="IK193" s="1636">
        <v>2000</v>
      </c>
      <c r="IM193" s="1641"/>
      <c r="IN193" s="1641"/>
      <c r="IO193" s="1641"/>
      <c r="IP193" s="1410"/>
      <c r="IQ193" s="1410"/>
      <c r="IR193" s="1410"/>
      <c r="IS193" s="1410"/>
      <c r="IT193" s="1410"/>
      <c r="IU193" s="1410"/>
      <c r="IV193" s="1410"/>
      <c r="IW193" s="1410"/>
      <c r="IX193" s="1641"/>
      <c r="IY193" s="1641"/>
      <c r="IZ193" s="1641"/>
      <c r="JA193" s="1641"/>
      <c r="JB193" s="1641"/>
      <c r="JC193" s="1641"/>
      <c r="JD193" s="1641"/>
      <c r="JE193" s="1641"/>
      <c r="JF193" s="1641"/>
      <c r="JG193" s="1641"/>
      <c r="JH193" s="1410"/>
      <c r="JI193" s="1410"/>
      <c r="JJ193" s="1410"/>
      <c r="JK193" s="1410"/>
      <c r="JL193" s="1410"/>
      <c r="JM193" s="1410"/>
      <c r="JN193" s="1410"/>
      <c r="JO193" s="1410"/>
      <c r="JP193" s="1410"/>
      <c r="JQ193" s="1405"/>
      <c r="JR193" s="351"/>
    </row>
    <row r="194" spans="1:278" x14ac:dyDescent="0.25">
      <c r="A194" s="1367">
        <v>194</v>
      </c>
      <c r="B194" s="1411" t="str">
        <f t="shared" si="18"/>
        <v/>
      </c>
      <c r="C194" s="1644" t="s">
        <v>4119</v>
      </c>
      <c r="D194" s="1645" t="s">
        <v>4120</v>
      </c>
      <c r="E194" s="1641"/>
      <c r="F194" s="1641"/>
      <c r="G194" s="1641"/>
      <c r="H194" s="1641"/>
      <c r="I194" s="1641"/>
      <c r="J194" s="1641"/>
      <c r="K194" s="1641"/>
      <c r="L194" s="1641"/>
      <c r="M194" s="1641"/>
      <c r="N194" s="1641"/>
      <c r="O194" s="1641"/>
      <c r="P194" s="1641"/>
      <c r="Q194" s="1641"/>
      <c r="R194" s="1641"/>
      <c r="S194" s="1641"/>
      <c r="T194" s="1641"/>
      <c r="U194" s="1641"/>
      <c r="V194" s="1641"/>
      <c r="W194" s="1641"/>
      <c r="X194" s="1641"/>
      <c r="Y194" s="1641"/>
      <c r="Z194" s="1641"/>
      <c r="AA194" s="1641"/>
      <c r="AB194" s="1641"/>
      <c r="AC194" s="1641"/>
      <c r="AD194" s="1641"/>
      <c r="AE194" s="1641"/>
      <c r="AF194" s="1641"/>
      <c r="AG194" s="1641"/>
      <c r="AH194" s="1641"/>
      <c r="AI194" s="1641"/>
      <c r="AJ194" s="1641"/>
      <c r="AK194" s="1641"/>
      <c r="AL194" s="1641"/>
      <c r="AM194" s="1641"/>
      <c r="AN194" s="1641"/>
      <c r="AO194" s="1641"/>
      <c r="AP194" s="1641"/>
      <c r="AQ194" s="1641"/>
      <c r="AR194" s="1641"/>
      <c r="AS194" s="1641"/>
      <c r="AT194" s="1641"/>
      <c r="AU194" s="1641"/>
      <c r="AV194" s="1641"/>
      <c r="AW194" s="1641"/>
      <c r="AX194" s="1641"/>
      <c r="AY194" s="1641"/>
      <c r="AZ194" s="1641"/>
      <c r="BA194" s="1641"/>
      <c r="BB194" s="1641"/>
      <c r="BC194" s="1641"/>
      <c r="BD194" s="1641"/>
      <c r="BE194" s="1641"/>
      <c r="BF194" s="1641"/>
      <c r="BG194" s="1641"/>
      <c r="BH194" s="1641"/>
      <c r="BI194" s="1641"/>
      <c r="BJ194" s="1641"/>
      <c r="BK194" s="1641"/>
      <c r="BL194" s="1641"/>
      <c r="BM194" s="1641"/>
      <c r="BN194" s="1641"/>
      <c r="BO194" s="1641"/>
      <c r="BP194" s="1641"/>
      <c r="BQ194" s="1641"/>
      <c r="BR194" s="1641"/>
      <c r="BS194" s="1641"/>
      <c r="BT194" s="1641"/>
      <c r="BU194" s="1641"/>
      <c r="BV194" s="1641"/>
      <c r="BW194" s="1641"/>
      <c r="BX194" s="1641"/>
      <c r="BY194" s="1641"/>
      <c r="BZ194" s="1641"/>
      <c r="CA194" s="1641"/>
      <c r="CB194" s="1641"/>
      <c r="CC194" s="1641"/>
      <c r="CD194" s="1641"/>
      <c r="CE194" s="1641"/>
      <c r="CF194" s="1641"/>
      <c r="CG194" s="1641"/>
      <c r="CH194" s="1641"/>
      <c r="CI194" s="1641"/>
      <c r="CJ194" s="1641"/>
      <c r="CK194" s="1641"/>
      <c r="CL194" s="1641"/>
      <c r="CM194" s="1641"/>
      <c r="CN194" s="1641"/>
      <c r="CO194" s="1641"/>
      <c r="CP194" s="1641"/>
      <c r="CQ194" s="1641"/>
      <c r="CR194" s="1641"/>
      <c r="CS194" s="1641"/>
      <c r="CT194" s="1641"/>
      <c r="CU194" s="1641"/>
      <c r="CV194" s="1641"/>
      <c r="CW194" s="1641"/>
      <c r="CX194" s="1641"/>
      <c r="CY194" s="1641"/>
      <c r="CZ194" s="1641"/>
      <c r="DA194" s="1641"/>
      <c r="DB194" s="1641"/>
      <c r="DC194" s="1641"/>
      <c r="DD194" s="1641"/>
      <c r="DE194" s="1641"/>
      <c r="DF194" s="1641"/>
      <c r="DG194" s="1641"/>
      <c r="DH194" s="1641"/>
      <c r="DI194" s="1641"/>
      <c r="DJ194" s="1641"/>
      <c r="DK194" s="1641"/>
      <c r="DL194" s="1641"/>
      <c r="DM194" s="1641"/>
      <c r="DN194" s="1641"/>
      <c r="DO194" s="1641"/>
      <c r="DP194" s="1641"/>
      <c r="DQ194" s="1641"/>
      <c r="DR194" s="1641"/>
      <c r="DS194" s="1641"/>
      <c r="DT194" s="1641"/>
      <c r="DU194" s="1641"/>
      <c r="DV194" s="1641"/>
      <c r="DW194" s="1641"/>
      <c r="DX194" s="1641"/>
      <c r="DY194" s="1641"/>
      <c r="DZ194" s="1641"/>
      <c r="EA194" s="1641"/>
      <c r="EB194" s="1641"/>
      <c r="EC194" s="1641"/>
      <c r="ED194" s="1641"/>
      <c r="EE194" s="1641"/>
      <c r="EF194" s="1641"/>
      <c r="EG194" s="1641"/>
      <c r="EH194" s="1641"/>
      <c r="EI194" s="1641"/>
      <c r="EJ194" s="1641"/>
      <c r="EK194" s="1641"/>
      <c r="EL194" s="1641"/>
      <c r="EM194" s="1641"/>
      <c r="EN194" s="1641"/>
      <c r="EO194" s="1641"/>
      <c r="EP194" s="1641"/>
      <c r="EQ194" s="1641"/>
      <c r="ER194" s="1641"/>
      <c r="ES194" s="1641"/>
      <c r="ET194" s="1641"/>
      <c r="EU194" s="1641"/>
      <c r="EV194" s="1641"/>
      <c r="EW194" s="1641"/>
      <c r="EX194" s="1641"/>
      <c r="EY194" s="1641"/>
      <c r="EZ194" s="1641"/>
      <c r="FA194" s="1641"/>
      <c r="FB194" s="1641"/>
      <c r="FC194" s="1641"/>
      <c r="FD194" s="1641"/>
      <c r="FE194" s="1641"/>
      <c r="FF194" s="1641"/>
      <c r="FG194" s="1641"/>
      <c r="FH194" s="1641"/>
      <c r="FI194" s="1641"/>
      <c r="FJ194" s="1641"/>
      <c r="FK194" s="1641"/>
      <c r="FL194" s="1641"/>
      <c r="FM194" s="1641"/>
      <c r="FN194" s="1641"/>
      <c r="FO194" s="1641"/>
      <c r="FP194" s="1641"/>
      <c r="FQ194" s="1641"/>
      <c r="FR194" s="1641"/>
      <c r="FS194" s="1641"/>
      <c r="FT194" s="1641"/>
      <c r="FU194" s="1641"/>
      <c r="FV194" s="1641"/>
      <c r="FW194" s="1641"/>
      <c r="FX194" s="1641"/>
      <c r="FY194" s="1641"/>
      <c r="FZ194" s="1641"/>
      <c r="GA194" s="1641"/>
      <c r="GB194" s="1641"/>
      <c r="GC194" s="1641"/>
      <c r="GD194" s="1641"/>
      <c r="GE194" s="1641"/>
      <c r="GF194" s="1641"/>
      <c r="GG194" s="1641"/>
      <c r="GH194" s="1641"/>
      <c r="GI194" s="1641"/>
      <c r="GJ194" s="1641"/>
      <c r="GK194" s="1641"/>
      <c r="GL194" s="1641"/>
      <c r="GM194" s="1641"/>
      <c r="GN194" s="1641"/>
      <c r="GO194" s="1641"/>
      <c r="GP194" s="1641"/>
      <c r="GQ194" s="1641"/>
      <c r="GR194" s="1641"/>
      <c r="GS194" s="1641"/>
      <c r="GT194" s="1641"/>
      <c r="GU194" s="1641"/>
      <c r="GV194" s="1641"/>
      <c r="GW194" s="1641"/>
      <c r="GX194" s="1641"/>
      <c r="GY194" s="1641"/>
      <c r="GZ194" s="1641"/>
      <c r="HA194" s="1641"/>
      <c r="HB194" s="1641"/>
      <c r="HC194" s="1641"/>
      <c r="HD194" s="1641"/>
      <c r="HE194" s="1641"/>
      <c r="HF194" s="1641"/>
      <c r="HG194" s="1641"/>
      <c r="HH194" s="1641"/>
      <c r="HI194" s="1641"/>
      <c r="HJ194" s="1641"/>
      <c r="HK194" s="1641"/>
      <c r="HL194" s="1641"/>
      <c r="HM194" s="1641"/>
      <c r="HN194" s="1641"/>
      <c r="HO194" s="1641"/>
      <c r="HP194" s="1641"/>
      <c r="HQ194" s="1641"/>
      <c r="HR194" s="1641"/>
      <c r="HS194" s="1641"/>
      <c r="HT194" s="1641"/>
      <c r="HU194" s="1641"/>
      <c r="HV194" s="1641"/>
      <c r="HW194" s="1641"/>
      <c r="HX194" s="1641"/>
      <c r="HY194" s="1641"/>
      <c r="HZ194" s="1641"/>
      <c r="IA194" s="1641"/>
      <c r="IB194" s="1641"/>
      <c r="IC194" s="1641"/>
      <c r="ID194" s="1641"/>
      <c r="IE194" s="1641"/>
      <c r="IF194" s="1641"/>
      <c r="IG194" s="1641"/>
      <c r="IH194" s="1641"/>
      <c r="II194" s="1641"/>
      <c r="IJ194" s="1641"/>
      <c r="IK194" s="1636">
        <v>1500</v>
      </c>
      <c r="IL194" s="1636">
        <v>103</v>
      </c>
      <c r="IM194" s="1641"/>
      <c r="IN194" s="1641"/>
      <c r="IO194" s="1641"/>
      <c r="IP194" s="1410"/>
      <c r="IQ194" s="1410"/>
      <c r="IR194" s="1410"/>
      <c r="IS194" s="1410"/>
      <c r="IT194" s="1410"/>
      <c r="IU194" s="1410"/>
      <c r="IV194" s="1410"/>
      <c r="IW194" s="1410"/>
      <c r="IX194" s="1641"/>
      <c r="IY194" s="1641"/>
      <c r="IZ194" s="1641"/>
      <c r="JA194" s="1641"/>
      <c r="JB194" s="1641"/>
      <c r="JC194" s="1641"/>
      <c r="JD194" s="1641"/>
      <c r="JE194" s="1641"/>
      <c r="JF194" s="1641"/>
      <c r="JG194" s="1641"/>
      <c r="JH194" s="1410"/>
      <c r="JI194" s="1410"/>
      <c r="JJ194" s="1410"/>
      <c r="JK194" s="1410"/>
      <c r="JL194" s="1410"/>
      <c r="JM194" s="1410"/>
      <c r="JN194" s="1410"/>
      <c r="JO194" s="1410"/>
      <c r="JP194" s="1410"/>
      <c r="JQ194" s="1405"/>
      <c r="JR194" s="351"/>
    </row>
    <row r="195" spans="1:278" x14ac:dyDescent="0.25">
      <c r="A195" s="1367">
        <v>195</v>
      </c>
      <c r="B195" s="1411" t="str">
        <f t="shared" si="18"/>
        <v/>
      </c>
      <c r="C195" s="1644" t="s">
        <v>4121</v>
      </c>
      <c r="D195" s="1645" t="s">
        <v>3890</v>
      </c>
      <c r="E195" s="1641"/>
      <c r="F195" s="1641"/>
      <c r="G195" s="1641"/>
      <c r="H195" s="1641"/>
      <c r="I195" s="1641"/>
      <c r="J195" s="1641"/>
      <c r="K195" s="1641"/>
      <c r="L195" s="1641"/>
      <c r="M195" s="1641"/>
      <c r="N195" s="1641"/>
      <c r="O195" s="1641"/>
      <c r="P195" s="1641"/>
      <c r="Q195" s="1641"/>
      <c r="R195" s="1641"/>
      <c r="S195" s="1641"/>
      <c r="T195" s="1641"/>
      <c r="U195" s="1641"/>
      <c r="V195" s="1641"/>
      <c r="W195" s="1641"/>
      <c r="X195" s="1641"/>
      <c r="Y195" s="1641"/>
      <c r="Z195" s="1641"/>
      <c r="AA195" s="1641"/>
      <c r="AB195" s="1641"/>
      <c r="AC195" s="1641"/>
      <c r="AD195" s="1641"/>
      <c r="AE195" s="1641"/>
      <c r="AF195" s="1641"/>
      <c r="AG195" s="1641"/>
      <c r="AH195" s="1641"/>
      <c r="AI195" s="1641"/>
      <c r="AJ195" s="1641"/>
      <c r="AK195" s="1641"/>
      <c r="AL195" s="1641"/>
      <c r="AM195" s="1641"/>
      <c r="AN195" s="1641"/>
      <c r="AO195" s="1641"/>
      <c r="AP195" s="1641"/>
      <c r="AQ195" s="1641"/>
      <c r="AR195" s="1641"/>
      <c r="AS195" s="1641"/>
      <c r="AT195" s="1641"/>
      <c r="AU195" s="1641"/>
      <c r="AV195" s="1641"/>
      <c r="AW195" s="1641"/>
      <c r="AX195" s="1641"/>
      <c r="AY195" s="1641"/>
      <c r="AZ195" s="1641"/>
      <c r="BA195" s="1641"/>
      <c r="BB195" s="1641"/>
      <c r="BC195" s="1641"/>
      <c r="BD195" s="1641"/>
      <c r="BE195" s="1641"/>
      <c r="BF195" s="1641"/>
      <c r="BG195" s="1641"/>
      <c r="BH195" s="1641"/>
      <c r="BI195" s="1641"/>
      <c r="BJ195" s="1641"/>
      <c r="BK195" s="1641"/>
      <c r="BL195" s="1641"/>
      <c r="BM195" s="1641"/>
      <c r="BN195" s="1641"/>
      <c r="BO195" s="1641"/>
      <c r="BP195" s="1641"/>
      <c r="BQ195" s="1641"/>
      <c r="BR195" s="1641"/>
      <c r="BS195" s="1641"/>
      <c r="BT195" s="1641"/>
      <c r="BU195" s="1641"/>
      <c r="BV195" s="1641"/>
      <c r="BW195" s="1641"/>
      <c r="BX195" s="1641"/>
      <c r="BY195" s="1641"/>
      <c r="BZ195" s="1641"/>
      <c r="CA195" s="1641"/>
      <c r="CB195" s="1641"/>
      <c r="CC195" s="1641"/>
      <c r="CD195" s="1641"/>
      <c r="CE195" s="1641"/>
      <c r="CF195" s="1641"/>
      <c r="CG195" s="1641"/>
      <c r="CH195" s="1641"/>
      <c r="CI195" s="1641"/>
      <c r="CJ195" s="1641"/>
      <c r="CK195" s="1641"/>
      <c r="CL195" s="1641"/>
      <c r="CM195" s="1641"/>
      <c r="CN195" s="1641"/>
      <c r="CO195" s="1641"/>
      <c r="CP195" s="1641"/>
      <c r="CQ195" s="1641"/>
      <c r="CR195" s="1641"/>
      <c r="CS195" s="1641"/>
      <c r="CT195" s="1641"/>
      <c r="CU195" s="1641"/>
      <c r="CV195" s="1641"/>
      <c r="CW195" s="1641"/>
      <c r="CX195" s="1641"/>
      <c r="CY195" s="1641"/>
      <c r="CZ195" s="1641"/>
      <c r="DA195" s="1641"/>
      <c r="DB195" s="1641"/>
      <c r="DC195" s="1641"/>
      <c r="DD195" s="1641"/>
      <c r="DE195" s="1641"/>
      <c r="DF195" s="1641"/>
      <c r="DG195" s="1641"/>
      <c r="DH195" s="1641"/>
      <c r="DI195" s="1641"/>
      <c r="DJ195" s="1641"/>
      <c r="DK195" s="1641"/>
      <c r="DL195" s="1641"/>
      <c r="DM195" s="1641"/>
      <c r="DN195" s="1641"/>
      <c r="DO195" s="1641"/>
      <c r="DP195" s="1641"/>
      <c r="DQ195" s="1641"/>
      <c r="DR195" s="1641"/>
      <c r="DS195" s="1641"/>
      <c r="DT195" s="1641"/>
      <c r="DU195" s="1641"/>
      <c r="DV195" s="1641"/>
      <c r="DW195" s="1641"/>
      <c r="DX195" s="1641"/>
      <c r="DY195" s="1641"/>
      <c r="DZ195" s="1641"/>
      <c r="EA195" s="1641"/>
      <c r="EB195" s="1641"/>
      <c r="EC195" s="1641"/>
      <c r="ED195" s="1641"/>
      <c r="EE195" s="1641"/>
      <c r="EF195" s="1641"/>
      <c r="EG195" s="1641"/>
      <c r="EH195" s="1641"/>
      <c r="EI195" s="1641"/>
      <c r="EJ195" s="1641"/>
      <c r="EK195" s="1641"/>
      <c r="EL195" s="1641"/>
      <c r="EM195" s="1641"/>
      <c r="EN195" s="1641"/>
      <c r="EO195" s="1641"/>
      <c r="EP195" s="1641"/>
      <c r="EQ195" s="1641"/>
      <c r="ER195" s="1641"/>
      <c r="ES195" s="1641"/>
      <c r="ET195" s="1641"/>
      <c r="EU195" s="1641"/>
      <c r="EV195" s="1641"/>
      <c r="EW195" s="1641"/>
      <c r="EX195" s="1641"/>
      <c r="EY195" s="1641"/>
      <c r="EZ195" s="1641"/>
      <c r="FA195" s="1641"/>
      <c r="FB195" s="1641"/>
      <c r="FC195" s="1641"/>
      <c r="FD195" s="1641"/>
      <c r="FE195" s="1641"/>
      <c r="FF195" s="1641"/>
      <c r="FG195" s="1641"/>
      <c r="FH195" s="1641"/>
      <c r="FI195" s="1641"/>
      <c r="FJ195" s="1641"/>
      <c r="FK195" s="1641"/>
      <c r="FL195" s="1641"/>
      <c r="FM195" s="1641"/>
      <c r="FN195" s="1641"/>
      <c r="FO195" s="1641"/>
      <c r="FP195" s="1641"/>
      <c r="FQ195" s="1641"/>
      <c r="FR195" s="1641"/>
      <c r="FS195" s="1641"/>
      <c r="FT195" s="1641"/>
      <c r="FU195" s="1641"/>
      <c r="FV195" s="1641"/>
      <c r="FW195" s="1641"/>
      <c r="FX195" s="1641"/>
      <c r="FY195" s="1641"/>
      <c r="FZ195" s="1641"/>
      <c r="GA195" s="1641"/>
      <c r="GB195" s="1641"/>
      <c r="GC195" s="1641"/>
      <c r="GD195" s="1641"/>
      <c r="GE195" s="1641"/>
      <c r="GF195" s="1641"/>
      <c r="GG195" s="1641"/>
      <c r="GH195" s="1641"/>
      <c r="GI195" s="1641"/>
      <c r="GJ195" s="1641"/>
      <c r="GK195" s="1641"/>
      <c r="GL195" s="1641"/>
      <c r="GM195" s="1641"/>
      <c r="GN195" s="1641"/>
      <c r="GO195" s="1641"/>
      <c r="GP195" s="1641"/>
      <c r="GQ195" s="1641"/>
      <c r="GR195" s="1641"/>
      <c r="GS195" s="1641"/>
      <c r="GT195" s="1641"/>
      <c r="GU195" s="1641"/>
      <c r="GV195" s="1641"/>
      <c r="GW195" s="1641"/>
      <c r="GX195" s="1641"/>
      <c r="GY195" s="1641"/>
      <c r="GZ195" s="1641"/>
      <c r="HA195" s="1641"/>
      <c r="HB195" s="1641"/>
      <c r="HC195" s="1641"/>
      <c r="HD195" s="1641"/>
      <c r="HE195" s="1641"/>
      <c r="HF195" s="1641"/>
      <c r="HG195" s="1641"/>
      <c r="HH195" s="1641"/>
      <c r="HI195" s="1641"/>
      <c r="HJ195" s="1641"/>
      <c r="HK195" s="1641"/>
      <c r="HL195" s="1641"/>
      <c r="HM195" s="1641"/>
      <c r="HN195" s="1641"/>
      <c r="HO195" s="1641"/>
      <c r="HP195" s="1641"/>
      <c r="HQ195" s="1641"/>
      <c r="HR195" s="1641"/>
      <c r="HS195" s="1641"/>
      <c r="HT195" s="1641"/>
      <c r="HU195" s="1641"/>
      <c r="HV195" s="1641"/>
      <c r="HW195" s="1641"/>
      <c r="HX195" s="1641"/>
      <c r="HY195" s="1641"/>
      <c r="HZ195" s="1641"/>
      <c r="IA195" s="1641"/>
      <c r="IB195" s="1641"/>
      <c r="IC195" s="1641"/>
      <c r="ID195" s="1641"/>
      <c r="IE195" s="1641"/>
      <c r="IF195" s="1641"/>
      <c r="IG195" s="1641"/>
      <c r="IH195" s="1641"/>
      <c r="II195" s="1641"/>
      <c r="IJ195" s="1641"/>
      <c r="IK195" s="1636">
        <v>1500</v>
      </c>
      <c r="IM195" s="1641"/>
      <c r="IN195" s="1641"/>
      <c r="IO195" s="1641"/>
      <c r="IP195" s="1410"/>
      <c r="IQ195" s="1410"/>
      <c r="IR195" s="1410"/>
      <c r="IS195" s="1410"/>
      <c r="IT195" s="1410"/>
      <c r="IU195" s="1410"/>
      <c r="IV195" s="1410"/>
      <c r="IW195" s="1410"/>
      <c r="IX195" s="1641"/>
      <c r="IY195" s="1641"/>
      <c r="IZ195" s="1641"/>
      <c r="JA195" s="1641"/>
      <c r="JB195" s="1641"/>
      <c r="JC195" s="1641"/>
      <c r="JD195" s="1641"/>
      <c r="JE195" s="1641"/>
      <c r="JF195" s="1641"/>
      <c r="JG195" s="1641"/>
      <c r="JH195" s="1410"/>
      <c r="JI195" s="1410"/>
      <c r="JJ195" s="1410"/>
      <c r="JK195" s="1410"/>
      <c r="JL195" s="1410"/>
      <c r="JM195" s="1410"/>
      <c r="JN195" s="1410"/>
      <c r="JO195" s="1410"/>
      <c r="JP195" s="1410"/>
      <c r="JQ195" s="1405"/>
      <c r="JR195" s="351"/>
    </row>
    <row r="196" spans="1:278" x14ac:dyDescent="0.25">
      <c r="A196" s="1367">
        <v>196</v>
      </c>
      <c r="B196" s="1411" t="str">
        <f t="shared" si="18"/>
        <v/>
      </c>
      <c r="C196" s="1644" t="s">
        <v>4122</v>
      </c>
      <c r="D196" s="1645" t="s">
        <v>4123</v>
      </c>
      <c r="E196" s="1641"/>
      <c r="F196" s="1641"/>
      <c r="G196" s="1641"/>
      <c r="H196" s="1641"/>
      <c r="I196" s="1641"/>
      <c r="J196" s="1641"/>
      <c r="K196" s="1641"/>
      <c r="L196" s="1641"/>
      <c r="M196" s="1641"/>
      <c r="N196" s="1641"/>
      <c r="O196" s="1641"/>
      <c r="P196" s="1641"/>
      <c r="Q196" s="1641"/>
      <c r="R196" s="1641"/>
      <c r="S196" s="1641"/>
      <c r="T196" s="1641"/>
      <c r="U196" s="1641"/>
      <c r="V196" s="1641"/>
      <c r="W196" s="1641"/>
      <c r="X196" s="1641"/>
      <c r="Y196" s="1641"/>
      <c r="Z196" s="1641"/>
      <c r="AA196" s="1641"/>
      <c r="AB196" s="1641"/>
      <c r="AC196" s="1641"/>
      <c r="AD196" s="1641"/>
      <c r="AE196" s="1641"/>
      <c r="AF196" s="1641"/>
      <c r="AG196" s="1641"/>
      <c r="AH196" s="1641"/>
      <c r="AI196" s="1641"/>
      <c r="AJ196" s="1641"/>
      <c r="AK196" s="1641"/>
      <c r="AL196" s="1641"/>
      <c r="AM196" s="1641"/>
      <c r="AN196" s="1641"/>
      <c r="AO196" s="1641"/>
      <c r="AP196" s="1641"/>
      <c r="AQ196" s="1641"/>
      <c r="AR196" s="1641"/>
      <c r="AS196" s="1641"/>
      <c r="AT196" s="1641"/>
      <c r="AU196" s="1641"/>
      <c r="AV196" s="1641"/>
      <c r="AW196" s="1641"/>
      <c r="AX196" s="1641"/>
      <c r="AY196" s="1641"/>
      <c r="AZ196" s="1641"/>
      <c r="BA196" s="1641"/>
      <c r="BB196" s="1641"/>
      <c r="BC196" s="1641"/>
      <c r="BD196" s="1641"/>
      <c r="BE196" s="1641"/>
      <c r="BF196" s="1641"/>
      <c r="BG196" s="1641"/>
      <c r="BH196" s="1641"/>
      <c r="BI196" s="1641"/>
      <c r="BJ196" s="1641"/>
      <c r="BK196" s="1641"/>
      <c r="BL196" s="1641"/>
      <c r="BM196" s="1641"/>
      <c r="BN196" s="1641"/>
      <c r="BO196" s="1641"/>
      <c r="BP196" s="1641"/>
      <c r="BQ196" s="1641"/>
      <c r="BR196" s="1641"/>
      <c r="BS196" s="1641"/>
      <c r="BT196" s="1641"/>
      <c r="BU196" s="1641"/>
      <c r="BV196" s="1641"/>
      <c r="BW196" s="1641"/>
      <c r="BX196" s="1641"/>
      <c r="BY196" s="1641"/>
      <c r="BZ196" s="1641"/>
      <c r="CA196" s="1641"/>
      <c r="CB196" s="1641"/>
      <c r="CC196" s="1641"/>
      <c r="CD196" s="1641"/>
      <c r="CE196" s="1641"/>
      <c r="CF196" s="1641"/>
      <c r="CG196" s="1641"/>
      <c r="CH196" s="1641"/>
      <c r="CI196" s="1641"/>
      <c r="CJ196" s="1641"/>
      <c r="CK196" s="1641"/>
      <c r="CL196" s="1641"/>
      <c r="CM196" s="1641"/>
      <c r="CN196" s="1641"/>
      <c r="CO196" s="1641"/>
      <c r="CP196" s="1641"/>
      <c r="CQ196" s="1641"/>
      <c r="CR196" s="1641"/>
      <c r="CS196" s="1641"/>
      <c r="CT196" s="1641"/>
      <c r="CU196" s="1641"/>
      <c r="CV196" s="1641"/>
      <c r="CW196" s="1641"/>
      <c r="CX196" s="1641"/>
      <c r="CY196" s="1641"/>
      <c r="CZ196" s="1641"/>
      <c r="DA196" s="1641"/>
      <c r="DB196" s="1641"/>
      <c r="DC196" s="1641"/>
      <c r="DD196" s="1641"/>
      <c r="DE196" s="1641"/>
      <c r="DF196" s="1641"/>
      <c r="DG196" s="1641"/>
      <c r="DH196" s="1641"/>
      <c r="DI196" s="1641"/>
      <c r="DJ196" s="1641"/>
      <c r="DK196" s="1641"/>
      <c r="DL196" s="1641"/>
      <c r="DM196" s="1641"/>
      <c r="DN196" s="1641"/>
      <c r="DO196" s="1641"/>
      <c r="DP196" s="1641"/>
      <c r="DQ196" s="1641"/>
      <c r="DR196" s="1641"/>
      <c r="DS196" s="1641"/>
      <c r="DT196" s="1641"/>
      <c r="DU196" s="1641"/>
      <c r="DV196" s="1641"/>
      <c r="DW196" s="1641"/>
      <c r="DX196" s="1641"/>
      <c r="DY196" s="1641"/>
      <c r="DZ196" s="1641"/>
      <c r="EA196" s="1641"/>
      <c r="EB196" s="1641"/>
      <c r="EC196" s="1641"/>
      <c r="ED196" s="1641"/>
      <c r="EE196" s="1641"/>
      <c r="EF196" s="1641"/>
      <c r="EG196" s="1641"/>
      <c r="EH196" s="1641"/>
      <c r="EI196" s="1641"/>
      <c r="EJ196" s="1641"/>
      <c r="EK196" s="1641"/>
      <c r="EL196" s="1641"/>
      <c r="EM196" s="1641"/>
      <c r="EN196" s="1641"/>
      <c r="EO196" s="1641"/>
      <c r="EP196" s="1641"/>
      <c r="EQ196" s="1641"/>
      <c r="ER196" s="1641"/>
      <c r="ES196" s="1641"/>
      <c r="ET196" s="1641"/>
      <c r="EU196" s="1641"/>
      <c r="EV196" s="1641"/>
      <c r="EW196" s="1641"/>
      <c r="EX196" s="1641"/>
      <c r="EY196" s="1641"/>
      <c r="EZ196" s="1641"/>
      <c r="FA196" s="1641"/>
      <c r="FB196" s="1641"/>
      <c r="FC196" s="1641"/>
      <c r="FD196" s="1641"/>
      <c r="FE196" s="1641"/>
      <c r="FF196" s="1641"/>
      <c r="FG196" s="1641"/>
      <c r="FH196" s="1641"/>
      <c r="FI196" s="1641"/>
      <c r="FJ196" s="1641"/>
      <c r="FK196" s="1641"/>
      <c r="FL196" s="1641"/>
      <c r="FM196" s="1641"/>
      <c r="FN196" s="1641"/>
      <c r="FO196" s="1641"/>
      <c r="FP196" s="1641"/>
      <c r="FQ196" s="1641"/>
      <c r="FR196" s="1641"/>
      <c r="FS196" s="1641"/>
      <c r="FT196" s="1641"/>
      <c r="FU196" s="1641"/>
      <c r="FV196" s="1641"/>
      <c r="FW196" s="1641"/>
      <c r="FX196" s="1641"/>
      <c r="FY196" s="1641"/>
      <c r="FZ196" s="1641"/>
      <c r="GA196" s="1641"/>
      <c r="GB196" s="1641"/>
      <c r="GC196" s="1641"/>
      <c r="GD196" s="1641"/>
      <c r="GE196" s="1641"/>
      <c r="GF196" s="1641"/>
      <c r="GG196" s="1641"/>
      <c r="GH196" s="1641"/>
      <c r="GI196" s="1641"/>
      <c r="GJ196" s="1641"/>
      <c r="GK196" s="1641"/>
      <c r="GL196" s="1641"/>
      <c r="GM196" s="1641"/>
      <c r="GN196" s="1641"/>
      <c r="GO196" s="1641"/>
      <c r="GP196" s="1641"/>
      <c r="GQ196" s="1641"/>
      <c r="GR196" s="1641"/>
      <c r="GS196" s="1641"/>
      <c r="GT196" s="1641"/>
      <c r="GU196" s="1641"/>
      <c r="GV196" s="1641"/>
      <c r="GW196" s="1641"/>
      <c r="GX196" s="1641"/>
      <c r="GY196" s="1641"/>
      <c r="GZ196" s="1641"/>
      <c r="HA196" s="1641"/>
      <c r="HB196" s="1641"/>
      <c r="HC196" s="1641"/>
      <c r="HD196" s="1641"/>
      <c r="HE196" s="1641"/>
      <c r="HF196" s="1641"/>
      <c r="HG196" s="1641"/>
      <c r="HH196" s="1641"/>
      <c r="HI196" s="1641"/>
      <c r="HJ196" s="1641"/>
      <c r="HK196" s="1641"/>
      <c r="HL196" s="1641"/>
      <c r="HM196" s="1641"/>
      <c r="HN196" s="1641"/>
      <c r="HO196" s="1641"/>
      <c r="HP196" s="1641"/>
      <c r="HQ196" s="1641"/>
      <c r="HR196" s="1641"/>
      <c r="HS196" s="1641"/>
      <c r="HT196" s="1641"/>
      <c r="HU196" s="1641"/>
      <c r="HV196" s="1641"/>
      <c r="HW196" s="1641"/>
      <c r="HX196" s="1641"/>
      <c r="HY196" s="1641"/>
      <c r="HZ196" s="1641"/>
      <c r="IA196" s="1641"/>
      <c r="IB196" s="1641"/>
      <c r="IC196" s="1641"/>
      <c r="ID196" s="1641"/>
      <c r="IE196" s="1641"/>
      <c r="IF196" s="1641"/>
      <c r="IG196" s="1641"/>
      <c r="IH196" s="1641"/>
      <c r="II196" s="1641"/>
      <c r="IJ196" s="1641"/>
      <c r="IK196" s="1636">
        <v>3750</v>
      </c>
      <c r="IL196" s="1636">
        <v>200</v>
      </c>
      <c r="IM196" s="1641"/>
      <c r="IN196" s="1641"/>
      <c r="IO196" s="1641"/>
      <c r="IP196" s="1410"/>
      <c r="IQ196" s="1410"/>
      <c r="IR196" s="1410"/>
      <c r="IS196" s="1410"/>
      <c r="IT196" s="1410"/>
      <c r="IU196" s="1410"/>
      <c r="IV196" s="1410"/>
      <c r="IW196" s="1410"/>
      <c r="IX196" s="1641"/>
      <c r="IY196" s="1641"/>
      <c r="IZ196" s="1641"/>
      <c r="JA196" s="1641"/>
      <c r="JB196" s="1641"/>
      <c r="JC196" s="1641"/>
      <c r="JD196" s="1641"/>
      <c r="JE196" s="1641"/>
      <c r="JF196" s="1641"/>
      <c r="JG196" s="1641"/>
      <c r="JH196" s="1410"/>
      <c r="JI196" s="1410"/>
      <c r="JJ196" s="1410"/>
      <c r="JK196" s="1410"/>
      <c r="JL196" s="1410"/>
      <c r="JM196" s="1410"/>
      <c r="JN196" s="1410"/>
      <c r="JO196" s="1410"/>
      <c r="JP196" s="1410"/>
      <c r="JQ196" s="1405"/>
      <c r="JR196" s="351"/>
    </row>
    <row r="197" spans="1:278" x14ac:dyDescent="0.25">
      <c r="A197" s="1367">
        <v>197</v>
      </c>
      <c r="B197" s="1411" t="str">
        <f t="shared" si="18"/>
        <v/>
      </c>
      <c r="C197" s="1644" t="s">
        <v>4124</v>
      </c>
      <c r="D197" s="1645" t="s">
        <v>3890</v>
      </c>
      <c r="E197" s="1641"/>
      <c r="F197" s="1641"/>
      <c r="G197" s="1641"/>
      <c r="H197" s="1641"/>
      <c r="I197" s="1641"/>
      <c r="J197" s="1641"/>
      <c r="K197" s="1641"/>
      <c r="L197" s="1641"/>
      <c r="M197" s="1641"/>
      <c r="N197" s="1641"/>
      <c r="O197" s="1641"/>
      <c r="P197" s="1641"/>
      <c r="Q197" s="1641"/>
      <c r="R197" s="1641"/>
      <c r="S197" s="1641"/>
      <c r="T197" s="1641"/>
      <c r="U197" s="1641"/>
      <c r="V197" s="1641"/>
      <c r="W197" s="1641"/>
      <c r="X197" s="1641"/>
      <c r="Y197" s="1641"/>
      <c r="Z197" s="1641"/>
      <c r="AA197" s="1641"/>
      <c r="AB197" s="1641"/>
      <c r="AC197" s="1641"/>
      <c r="AD197" s="1641"/>
      <c r="AE197" s="1641"/>
      <c r="AF197" s="1641"/>
      <c r="AG197" s="1641"/>
      <c r="AH197" s="1641"/>
      <c r="AI197" s="1641"/>
      <c r="AJ197" s="1641"/>
      <c r="AK197" s="1641"/>
      <c r="AL197" s="1641"/>
      <c r="AM197" s="1641"/>
      <c r="AN197" s="1641"/>
      <c r="AO197" s="1641"/>
      <c r="AP197" s="1641"/>
      <c r="AQ197" s="1641"/>
      <c r="AR197" s="1641"/>
      <c r="AS197" s="1641"/>
      <c r="AT197" s="1641"/>
      <c r="AU197" s="1641"/>
      <c r="AV197" s="1641"/>
      <c r="AW197" s="1641"/>
      <c r="AX197" s="1641"/>
      <c r="AY197" s="1641"/>
      <c r="AZ197" s="1641"/>
      <c r="BA197" s="1641"/>
      <c r="BB197" s="1641"/>
      <c r="BC197" s="1641"/>
      <c r="BD197" s="1641"/>
      <c r="BE197" s="1641"/>
      <c r="BF197" s="1641"/>
      <c r="BG197" s="1641"/>
      <c r="BH197" s="1641"/>
      <c r="BI197" s="1641"/>
      <c r="BJ197" s="1641"/>
      <c r="BK197" s="1641"/>
      <c r="BL197" s="1641"/>
      <c r="BM197" s="1641"/>
      <c r="BN197" s="1641"/>
      <c r="BO197" s="1641"/>
      <c r="BP197" s="1641"/>
      <c r="BQ197" s="1641"/>
      <c r="BR197" s="1641"/>
      <c r="BS197" s="1641"/>
      <c r="BT197" s="1641"/>
      <c r="BU197" s="1641"/>
      <c r="BV197" s="1641"/>
      <c r="BW197" s="1641"/>
      <c r="BX197" s="1641"/>
      <c r="BY197" s="1641"/>
      <c r="BZ197" s="1641"/>
      <c r="CA197" s="1641"/>
      <c r="CB197" s="1641"/>
      <c r="CC197" s="1641"/>
      <c r="CD197" s="1641"/>
      <c r="CE197" s="1641"/>
      <c r="CF197" s="1641"/>
      <c r="CG197" s="1641"/>
      <c r="CH197" s="1641"/>
      <c r="CI197" s="1641"/>
      <c r="CJ197" s="1641"/>
      <c r="CK197" s="1641"/>
      <c r="CL197" s="1641"/>
      <c r="CM197" s="1641"/>
      <c r="CN197" s="1641"/>
      <c r="CO197" s="1641"/>
      <c r="CP197" s="1641"/>
      <c r="CQ197" s="1641"/>
      <c r="CR197" s="1641"/>
      <c r="CS197" s="1641"/>
      <c r="CT197" s="1641"/>
      <c r="CU197" s="1641"/>
      <c r="CV197" s="1641"/>
      <c r="CW197" s="1641"/>
      <c r="CX197" s="1641"/>
      <c r="CY197" s="1641"/>
      <c r="CZ197" s="1641"/>
      <c r="DA197" s="1641"/>
      <c r="DB197" s="1641"/>
      <c r="DC197" s="1641"/>
      <c r="DD197" s="1641"/>
      <c r="DE197" s="1641"/>
      <c r="DF197" s="1641"/>
      <c r="DG197" s="1641"/>
      <c r="DH197" s="1641"/>
      <c r="DI197" s="1641"/>
      <c r="DJ197" s="1641"/>
      <c r="DK197" s="1641"/>
      <c r="DL197" s="1641"/>
      <c r="DM197" s="1641"/>
      <c r="DN197" s="1641"/>
      <c r="DO197" s="1641"/>
      <c r="DP197" s="1641"/>
      <c r="DQ197" s="1641"/>
      <c r="DR197" s="1641"/>
      <c r="DS197" s="1641"/>
      <c r="DT197" s="1641"/>
      <c r="DU197" s="1641"/>
      <c r="DV197" s="1641"/>
      <c r="DW197" s="1641"/>
      <c r="DX197" s="1641"/>
      <c r="DY197" s="1641"/>
      <c r="DZ197" s="1641"/>
      <c r="EA197" s="1641"/>
      <c r="EB197" s="1641"/>
      <c r="EC197" s="1641"/>
      <c r="ED197" s="1641"/>
      <c r="EE197" s="1641"/>
      <c r="EF197" s="1641"/>
      <c r="EG197" s="1641"/>
      <c r="EH197" s="1641"/>
      <c r="EI197" s="1641"/>
      <c r="EJ197" s="1641"/>
      <c r="EK197" s="1641"/>
      <c r="EL197" s="1641"/>
      <c r="EM197" s="1641"/>
      <c r="EN197" s="1641"/>
      <c r="EO197" s="1641"/>
      <c r="EP197" s="1641"/>
      <c r="EQ197" s="1641"/>
      <c r="ER197" s="1641"/>
      <c r="ES197" s="1641"/>
      <c r="ET197" s="1641"/>
      <c r="EU197" s="1641"/>
      <c r="EV197" s="1641"/>
      <c r="EW197" s="1641"/>
      <c r="EX197" s="1641"/>
      <c r="EY197" s="1641"/>
      <c r="EZ197" s="1641"/>
      <c r="FA197" s="1641"/>
      <c r="FB197" s="1641"/>
      <c r="FC197" s="1641"/>
      <c r="FD197" s="1641"/>
      <c r="FE197" s="1641"/>
      <c r="FF197" s="1641"/>
      <c r="FG197" s="1641"/>
      <c r="FH197" s="1641"/>
      <c r="FI197" s="1641"/>
      <c r="FJ197" s="1641"/>
      <c r="FK197" s="1641"/>
      <c r="FL197" s="1641"/>
      <c r="FM197" s="1641"/>
      <c r="FN197" s="1641"/>
      <c r="FO197" s="1641"/>
      <c r="FP197" s="1641"/>
      <c r="FQ197" s="1641"/>
      <c r="FR197" s="1641"/>
      <c r="FS197" s="1641"/>
      <c r="FT197" s="1641"/>
      <c r="FU197" s="1641"/>
      <c r="FV197" s="1641"/>
      <c r="FW197" s="1641"/>
      <c r="FX197" s="1641"/>
      <c r="FY197" s="1641"/>
      <c r="FZ197" s="1641"/>
      <c r="GA197" s="1641"/>
      <c r="GB197" s="1641"/>
      <c r="GC197" s="1641"/>
      <c r="GD197" s="1641"/>
      <c r="GE197" s="1641"/>
      <c r="GF197" s="1641"/>
      <c r="GG197" s="1641"/>
      <c r="GH197" s="1641"/>
      <c r="GI197" s="1641"/>
      <c r="GJ197" s="1641"/>
      <c r="GK197" s="1641"/>
      <c r="GL197" s="1641"/>
      <c r="GM197" s="1641"/>
      <c r="GN197" s="1641"/>
      <c r="GO197" s="1641"/>
      <c r="GP197" s="1641"/>
      <c r="GQ197" s="1641"/>
      <c r="GR197" s="1641"/>
      <c r="GS197" s="1641"/>
      <c r="GT197" s="1641"/>
      <c r="GU197" s="1641"/>
      <c r="GV197" s="1641"/>
      <c r="GW197" s="1641"/>
      <c r="GX197" s="1641"/>
      <c r="GY197" s="1641"/>
      <c r="GZ197" s="1641"/>
      <c r="HA197" s="1641"/>
      <c r="HB197" s="1641"/>
      <c r="HC197" s="1641"/>
      <c r="HD197" s="1641"/>
      <c r="HE197" s="1641"/>
      <c r="HF197" s="1641"/>
      <c r="HG197" s="1641"/>
      <c r="HH197" s="1641"/>
      <c r="HI197" s="1641"/>
      <c r="HJ197" s="1641"/>
      <c r="HK197" s="1641"/>
      <c r="HL197" s="1641"/>
      <c r="HM197" s="1641"/>
      <c r="HN197" s="1641"/>
      <c r="HO197" s="1641"/>
      <c r="HP197" s="1641"/>
      <c r="HQ197" s="1641"/>
      <c r="HR197" s="1641"/>
      <c r="HS197" s="1641"/>
      <c r="HT197" s="1641"/>
      <c r="HU197" s="1641"/>
      <c r="HV197" s="1641"/>
      <c r="HW197" s="1641"/>
      <c r="HX197" s="1641"/>
      <c r="HY197" s="1641"/>
      <c r="HZ197" s="1641"/>
      <c r="IA197" s="1641"/>
      <c r="IB197" s="1641"/>
      <c r="IC197" s="1641"/>
      <c r="ID197" s="1641"/>
      <c r="IE197" s="1641"/>
      <c r="IF197" s="1641"/>
      <c r="IG197" s="1641"/>
      <c r="IH197" s="1641"/>
      <c r="II197" s="1641"/>
      <c r="IJ197" s="1641"/>
      <c r="IK197" s="1636">
        <v>3750</v>
      </c>
      <c r="IM197" s="1641"/>
      <c r="IN197" s="1641"/>
      <c r="IO197" s="1641"/>
      <c r="IP197" s="1410"/>
      <c r="IQ197" s="1410"/>
      <c r="IR197" s="1410"/>
      <c r="IS197" s="1410"/>
      <c r="IT197" s="1410"/>
      <c r="IU197" s="1410"/>
      <c r="IV197" s="1410"/>
      <c r="IW197" s="1410"/>
      <c r="IX197" s="1641"/>
      <c r="IY197" s="1641"/>
      <c r="IZ197" s="1641"/>
      <c r="JA197" s="1641"/>
      <c r="JB197" s="1641"/>
      <c r="JC197" s="1641"/>
      <c r="JD197" s="1641"/>
      <c r="JE197" s="1641"/>
      <c r="JF197" s="1641"/>
      <c r="JG197" s="1641"/>
      <c r="JH197" s="1410"/>
      <c r="JI197" s="1410"/>
      <c r="JJ197" s="1410"/>
      <c r="JK197" s="1410"/>
      <c r="JL197" s="1410"/>
      <c r="JM197" s="1410"/>
      <c r="JN197" s="1410"/>
      <c r="JO197" s="1410"/>
      <c r="JP197" s="1410"/>
      <c r="JQ197" s="1405"/>
      <c r="JR197" s="351"/>
    </row>
    <row r="198" spans="1:278" x14ac:dyDescent="0.25">
      <c r="A198" s="1367">
        <v>198</v>
      </c>
      <c r="B198" s="1411" t="str">
        <f t="shared" si="18"/>
        <v/>
      </c>
      <c r="C198" s="1644" t="s">
        <v>4125</v>
      </c>
      <c r="D198" s="1645" t="s">
        <v>4126</v>
      </c>
      <c r="E198" s="1641"/>
      <c r="F198" s="1641"/>
      <c r="G198" s="1641"/>
      <c r="H198" s="1641"/>
      <c r="I198" s="1641"/>
      <c r="J198" s="1641"/>
      <c r="K198" s="1641"/>
      <c r="L198" s="1641"/>
      <c r="M198" s="1641"/>
      <c r="N198" s="1641"/>
      <c r="O198" s="1641"/>
      <c r="P198" s="1641"/>
      <c r="Q198" s="1641"/>
      <c r="R198" s="1641"/>
      <c r="S198" s="1641"/>
      <c r="T198" s="1641"/>
      <c r="U198" s="1641"/>
      <c r="V198" s="1641"/>
      <c r="W198" s="1641"/>
      <c r="X198" s="1641"/>
      <c r="Y198" s="1641"/>
      <c r="Z198" s="1641"/>
      <c r="AA198" s="1641"/>
      <c r="AB198" s="1641"/>
      <c r="AC198" s="1641"/>
      <c r="AD198" s="1641"/>
      <c r="AE198" s="1641"/>
      <c r="AF198" s="1641"/>
      <c r="AG198" s="1641"/>
      <c r="AH198" s="1641"/>
      <c r="AI198" s="1641"/>
      <c r="AJ198" s="1641"/>
      <c r="AK198" s="1641"/>
      <c r="AL198" s="1641"/>
      <c r="AM198" s="1641"/>
      <c r="AN198" s="1641"/>
      <c r="AO198" s="1641"/>
      <c r="AP198" s="1641"/>
      <c r="AQ198" s="1641"/>
      <c r="AR198" s="1641"/>
      <c r="AS198" s="1641"/>
      <c r="AT198" s="1641"/>
      <c r="AU198" s="1641"/>
      <c r="AV198" s="1641"/>
      <c r="AW198" s="1641"/>
      <c r="AX198" s="1641"/>
      <c r="AY198" s="1641"/>
      <c r="AZ198" s="1641"/>
      <c r="BA198" s="1641"/>
      <c r="BB198" s="1641"/>
      <c r="BC198" s="1641"/>
      <c r="BD198" s="1641"/>
      <c r="BE198" s="1641"/>
      <c r="BF198" s="1641"/>
      <c r="BG198" s="1641"/>
      <c r="BH198" s="1641"/>
      <c r="BI198" s="1641"/>
      <c r="BJ198" s="1641"/>
      <c r="BK198" s="1641"/>
      <c r="BL198" s="1641"/>
      <c r="BM198" s="1641"/>
      <c r="BN198" s="1641"/>
      <c r="BO198" s="1641"/>
      <c r="BP198" s="1641"/>
      <c r="BQ198" s="1641"/>
      <c r="BR198" s="1641"/>
      <c r="BS198" s="1641"/>
      <c r="BT198" s="1641"/>
      <c r="BU198" s="1641"/>
      <c r="BV198" s="1641"/>
      <c r="BW198" s="1641"/>
      <c r="BX198" s="1641"/>
      <c r="BY198" s="1641"/>
      <c r="BZ198" s="1641"/>
      <c r="CA198" s="1641"/>
      <c r="CB198" s="1641"/>
      <c r="CC198" s="1641"/>
      <c r="CD198" s="1641"/>
      <c r="CE198" s="1641"/>
      <c r="CF198" s="1641"/>
      <c r="CG198" s="1641"/>
      <c r="CH198" s="1641"/>
      <c r="CI198" s="1641"/>
      <c r="CJ198" s="1641"/>
      <c r="CK198" s="1641"/>
      <c r="CL198" s="1641"/>
      <c r="CM198" s="1641"/>
      <c r="CN198" s="1641"/>
      <c r="CO198" s="1641"/>
      <c r="CP198" s="1641"/>
      <c r="CQ198" s="1641"/>
      <c r="CR198" s="1641"/>
      <c r="CS198" s="1641"/>
      <c r="CT198" s="1641"/>
      <c r="CU198" s="1641"/>
      <c r="CV198" s="1641"/>
      <c r="CW198" s="1641"/>
      <c r="CX198" s="1641"/>
      <c r="CY198" s="1641"/>
      <c r="CZ198" s="1641"/>
      <c r="DA198" s="1641"/>
      <c r="DB198" s="1641"/>
      <c r="DC198" s="1641"/>
      <c r="DD198" s="1641"/>
      <c r="DE198" s="1641"/>
      <c r="DF198" s="1641"/>
      <c r="DG198" s="1641"/>
      <c r="DH198" s="1641"/>
      <c r="DI198" s="1641"/>
      <c r="DJ198" s="1641"/>
      <c r="DK198" s="1641"/>
      <c r="DL198" s="1641"/>
      <c r="DM198" s="1641"/>
      <c r="DN198" s="1641"/>
      <c r="DO198" s="1641"/>
      <c r="DP198" s="1641"/>
      <c r="DQ198" s="1641"/>
      <c r="DR198" s="1641"/>
      <c r="DS198" s="1641"/>
      <c r="DT198" s="1641"/>
      <c r="DU198" s="1641"/>
      <c r="DV198" s="1641"/>
      <c r="DW198" s="1641"/>
      <c r="DX198" s="1641"/>
      <c r="DY198" s="1641"/>
      <c r="DZ198" s="1641"/>
      <c r="EA198" s="1641"/>
      <c r="EB198" s="1641"/>
      <c r="EC198" s="1641"/>
      <c r="ED198" s="1641"/>
      <c r="EE198" s="1641"/>
      <c r="EF198" s="1641"/>
      <c r="EG198" s="1641"/>
      <c r="EH198" s="1641"/>
      <c r="EI198" s="1641"/>
      <c r="EJ198" s="1641"/>
      <c r="EK198" s="1641"/>
      <c r="EL198" s="1641"/>
      <c r="EM198" s="1641"/>
      <c r="EN198" s="1641"/>
      <c r="EO198" s="1641"/>
      <c r="EP198" s="1641"/>
      <c r="EQ198" s="1641"/>
      <c r="ER198" s="1641"/>
      <c r="ES198" s="1641"/>
      <c r="ET198" s="1641"/>
      <c r="EU198" s="1641"/>
      <c r="EV198" s="1641"/>
      <c r="EW198" s="1641"/>
      <c r="EX198" s="1641"/>
      <c r="EY198" s="1641"/>
      <c r="EZ198" s="1641"/>
      <c r="FA198" s="1641"/>
      <c r="FB198" s="1641"/>
      <c r="FC198" s="1641"/>
      <c r="FD198" s="1641"/>
      <c r="FE198" s="1641"/>
      <c r="FF198" s="1641"/>
      <c r="FG198" s="1641"/>
      <c r="FH198" s="1641"/>
      <c r="FI198" s="1641"/>
      <c r="FJ198" s="1641"/>
      <c r="FK198" s="1641"/>
      <c r="FL198" s="1641"/>
      <c r="FM198" s="1641"/>
      <c r="FN198" s="1641"/>
      <c r="FO198" s="1641"/>
      <c r="FP198" s="1641"/>
      <c r="FQ198" s="1641"/>
      <c r="FR198" s="1641"/>
      <c r="FS198" s="1641"/>
      <c r="FT198" s="1641"/>
      <c r="FU198" s="1641"/>
      <c r="FV198" s="1641"/>
      <c r="FW198" s="1641"/>
      <c r="FX198" s="1641"/>
      <c r="FY198" s="1641"/>
      <c r="FZ198" s="1641"/>
      <c r="GA198" s="1641"/>
      <c r="GB198" s="1641"/>
      <c r="GC198" s="1641"/>
      <c r="GD198" s="1641"/>
      <c r="GE198" s="1641"/>
      <c r="GF198" s="1641"/>
      <c r="GG198" s="1641"/>
      <c r="GH198" s="1641"/>
      <c r="GI198" s="1641"/>
      <c r="GJ198" s="1641"/>
      <c r="GK198" s="1641"/>
      <c r="GL198" s="1641"/>
      <c r="GM198" s="1641"/>
      <c r="GN198" s="1641"/>
      <c r="GO198" s="1641"/>
      <c r="GP198" s="1641"/>
      <c r="GQ198" s="1641"/>
      <c r="GR198" s="1641"/>
      <c r="GS198" s="1641"/>
      <c r="GT198" s="1641"/>
      <c r="GU198" s="1641"/>
      <c r="GV198" s="1641"/>
      <c r="GW198" s="1641"/>
      <c r="GX198" s="1641"/>
      <c r="GY198" s="1641"/>
      <c r="GZ198" s="1641"/>
      <c r="HA198" s="1641"/>
      <c r="HB198" s="1641"/>
      <c r="HC198" s="1641"/>
      <c r="HD198" s="1641"/>
      <c r="HE198" s="1641"/>
      <c r="HF198" s="1641"/>
      <c r="HG198" s="1641"/>
      <c r="HH198" s="1641"/>
      <c r="HI198" s="1641"/>
      <c r="HJ198" s="1641"/>
      <c r="HK198" s="1641"/>
      <c r="HL198" s="1641"/>
      <c r="HM198" s="1641"/>
      <c r="HN198" s="1641"/>
      <c r="HO198" s="1641"/>
      <c r="HP198" s="1641"/>
      <c r="HQ198" s="1641"/>
      <c r="HR198" s="1641"/>
      <c r="HS198" s="1641"/>
      <c r="HT198" s="1641"/>
      <c r="HU198" s="1641"/>
      <c r="HV198" s="1641"/>
      <c r="HW198" s="1641"/>
      <c r="HX198" s="1641"/>
      <c r="HY198" s="1641"/>
      <c r="HZ198" s="1641"/>
      <c r="IA198" s="1641"/>
      <c r="IB198" s="1641"/>
      <c r="IC198" s="1641"/>
      <c r="ID198" s="1641"/>
      <c r="IE198" s="1641"/>
      <c r="IF198" s="1641"/>
      <c r="IG198" s="1641"/>
      <c r="IH198" s="1641"/>
      <c r="II198" s="1641"/>
      <c r="IJ198" s="1641"/>
      <c r="IK198" s="1636">
        <v>2150</v>
      </c>
      <c r="IL198" s="1636">
        <v>600</v>
      </c>
      <c r="IM198" s="1641"/>
      <c r="IN198" s="1641"/>
      <c r="IO198" s="1641"/>
      <c r="IP198" s="1410"/>
      <c r="IQ198" s="1410"/>
      <c r="IR198" s="1410"/>
      <c r="IS198" s="1410"/>
      <c r="IT198" s="1410"/>
      <c r="IU198" s="1410"/>
      <c r="IV198" s="1410"/>
      <c r="IW198" s="1410"/>
      <c r="IX198" s="1641"/>
      <c r="IY198" s="1641"/>
      <c r="IZ198" s="1641"/>
      <c r="JA198" s="1641"/>
      <c r="JB198" s="1641"/>
      <c r="JC198" s="1641"/>
      <c r="JD198" s="1641"/>
      <c r="JE198" s="1641"/>
      <c r="JF198" s="1641"/>
      <c r="JG198" s="1641"/>
      <c r="JH198" s="1410"/>
      <c r="JI198" s="1410"/>
      <c r="JJ198" s="1410"/>
      <c r="JK198" s="1410"/>
      <c r="JL198" s="1410"/>
      <c r="JM198" s="1410"/>
      <c r="JN198" s="1410"/>
      <c r="JO198" s="1410"/>
      <c r="JP198" s="1410"/>
      <c r="JQ198" s="1405"/>
      <c r="JR198" s="351"/>
    </row>
    <row r="199" spans="1:278" x14ac:dyDescent="0.25">
      <c r="A199" s="1367">
        <v>199</v>
      </c>
      <c r="B199" s="1411" t="str">
        <f t="shared" si="18"/>
        <v/>
      </c>
      <c r="C199" s="1644" t="s">
        <v>4127</v>
      </c>
      <c r="D199" s="1645" t="s">
        <v>3890</v>
      </c>
      <c r="E199" s="1641"/>
      <c r="F199" s="1641"/>
      <c r="G199" s="1641"/>
      <c r="H199" s="1641"/>
      <c r="I199" s="1641"/>
      <c r="J199" s="1641"/>
      <c r="K199" s="1641"/>
      <c r="L199" s="1641"/>
      <c r="M199" s="1641"/>
      <c r="N199" s="1641"/>
      <c r="O199" s="1641"/>
      <c r="P199" s="1641"/>
      <c r="Q199" s="1641"/>
      <c r="R199" s="1641"/>
      <c r="S199" s="1641"/>
      <c r="T199" s="1641"/>
      <c r="U199" s="1641"/>
      <c r="V199" s="1641"/>
      <c r="W199" s="1641"/>
      <c r="X199" s="1641"/>
      <c r="Y199" s="1641"/>
      <c r="Z199" s="1641"/>
      <c r="AA199" s="1641"/>
      <c r="AB199" s="1641"/>
      <c r="AC199" s="1641"/>
      <c r="AD199" s="1641"/>
      <c r="AE199" s="1641"/>
      <c r="AF199" s="1641"/>
      <c r="AG199" s="1641"/>
      <c r="AH199" s="1641"/>
      <c r="AI199" s="1641"/>
      <c r="AJ199" s="1641"/>
      <c r="AK199" s="1641"/>
      <c r="AL199" s="1641"/>
      <c r="AM199" s="1641"/>
      <c r="AN199" s="1641"/>
      <c r="AO199" s="1641"/>
      <c r="AP199" s="1641"/>
      <c r="AQ199" s="1641"/>
      <c r="AR199" s="1641"/>
      <c r="AS199" s="1641"/>
      <c r="AT199" s="1641"/>
      <c r="AU199" s="1641"/>
      <c r="AV199" s="1641"/>
      <c r="AW199" s="1641"/>
      <c r="AX199" s="1641"/>
      <c r="AY199" s="1641"/>
      <c r="AZ199" s="1641"/>
      <c r="BA199" s="1641"/>
      <c r="BB199" s="1641"/>
      <c r="BC199" s="1641"/>
      <c r="BD199" s="1641"/>
      <c r="BE199" s="1641"/>
      <c r="BF199" s="1641"/>
      <c r="BG199" s="1641"/>
      <c r="BH199" s="1641"/>
      <c r="BI199" s="1641"/>
      <c r="BJ199" s="1641"/>
      <c r="BK199" s="1641"/>
      <c r="BL199" s="1641"/>
      <c r="BM199" s="1641"/>
      <c r="BN199" s="1641"/>
      <c r="BO199" s="1641"/>
      <c r="BP199" s="1641"/>
      <c r="BQ199" s="1641"/>
      <c r="BR199" s="1641"/>
      <c r="BS199" s="1641"/>
      <c r="BT199" s="1641"/>
      <c r="BU199" s="1641"/>
      <c r="BV199" s="1641"/>
      <c r="BW199" s="1641"/>
      <c r="BX199" s="1641"/>
      <c r="BY199" s="1641"/>
      <c r="BZ199" s="1641"/>
      <c r="CA199" s="1641"/>
      <c r="CB199" s="1641"/>
      <c r="CC199" s="1641"/>
      <c r="CD199" s="1641"/>
      <c r="CE199" s="1641"/>
      <c r="CF199" s="1641"/>
      <c r="CG199" s="1641"/>
      <c r="CH199" s="1641"/>
      <c r="CI199" s="1641"/>
      <c r="CJ199" s="1641"/>
      <c r="CK199" s="1641"/>
      <c r="CL199" s="1641"/>
      <c r="CM199" s="1641"/>
      <c r="CN199" s="1641"/>
      <c r="CO199" s="1641"/>
      <c r="CP199" s="1641"/>
      <c r="CQ199" s="1641"/>
      <c r="CR199" s="1641"/>
      <c r="CS199" s="1641"/>
      <c r="CT199" s="1641"/>
      <c r="CU199" s="1641"/>
      <c r="CV199" s="1641"/>
      <c r="CW199" s="1641"/>
      <c r="CX199" s="1641"/>
      <c r="CY199" s="1641"/>
      <c r="CZ199" s="1641"/>
      <c r="DA199" s="1641"/>
      <c r="DB199" s="1641"/>
      <c r="DC199" s="1641"/>
      <c r="DD199" s="1641"/>
      <c r="DE199" s="1641"/>
      <c r="DF199" s="1641"/>
      <c r="DG199" s="1641"/>
      <c r="DH199" s="1641"/>
      <c r="DI199" s="1641"/>
      <c r="DJ199" s="1641"/>
      <c r="DK199" s="1641"/>
      <c r="DL199" s="1641"/>
      <c r="DM199" s="1641"/>
      <c r="DN199" s="1641"/>
      <c r="DO199" s="1641"/>
      <c r="DP199" s="1641"/>
      <c r="DQ199" s="1641"/>
      <c r="DR199" s="1641"/>
      <c r="DS199" s="1641"/>
      <c r="DT199" s="1641"/>
      <c r="DU199" s="1641"/>
      <c r="DV199" s="1641"/>
      <c r="DW199" s="1641"/>
      <c r="DX199" s="1641"/>
      <c r="DY199" s="1641"/>
      <c r="DZ199" s="1641"/>
      <c r="EA199" s="1641"/>
      <c r="EB199" s="1641"/>
      <c r="EC199" s="1641"/>
      <c r="ED199" s="1641"/>
      <c r="EE199" s="1641"/>
      <c r="EF199" s="1641"/>
      <c r="EG199" s="1641"/>
      <c r="EH199" s="1641"/>
      <c r="EI199" s="1641"/>
      <c r="EJ199" s="1641"/>
      <c r="EK199" s="1641"/>
      <c r="EL199" s="1641"/>
      <c r="EM199" s="1641"/>
      <c r="EN199" s="1641"/>
      <c r="EO199" s="1641"/>
      <c r="EP199" s="1641"/>
      <c r="EQ199" s="1641"/>
      <c r="ER199" s="1641"/>
      <c r="ES199" s="1641"/>
      <c r="ET199" s="1641"/>
      <c r="EU199" s="1641"/>
      <c r="EV199" s="1641"/>
      <c r="EW199" s="1641"/>
      <c r="EX199" s="1641"/>
      <c r="EY199" s="1641"/>
      <c r="EZ199" s="1641"/>
      <c r="FA199" s="1641"/>
      <c r="FB199" s="1641"/>
      <c r="FC199" s="1641"/>
      <c r="FD199" s="1641"/>
      <c r="FE199" s="1641"/>
      <c r="FF199" s="1641"/>
      <c r="FG199" s="1641"/>
      <c r="FH199" s="1641"/>
      <c r="FI199" s="1641"/>
      <c r="FJ199" s="1641"/>
      <c r="FK199" s="1641"/>
      <c r="FL199" s="1641"/>
      <c r="FM199" s="1641"/>
      <c r="FN199" s="1641"/>
      <c r="FO199" s="1641"/>
      <c r="FP199" s="1641"/>
      <c r="FQ199" s="1641"/>
      <c r="FR199" s="1641"/>
      <c r="FS199" s="1641"/>
      <c r="FT199" s="1641"/>
      <c r="FU199" s="1641"/>
      <c r="FV199" s="1641"/>
      <c r="FW199" s="1641"/>
      <c r="FX199" s="1641"/>
      <c r="FY199" s="1641"/>
      <c r="FZ199" s="1641"/>
      <c r="GA199" s="1641"/>
      <c r="GB199" s="1641"/>
      <c r="GC199" s="1641"/>
      <c r="GD199" s="1641"/>
      <c r="GE199" s="1641"/>
      <c r="GF199" s="1641"/>
      <c r="GG199" s="1641"/>
      <c r="GH199" s="1641"/>
      <c r="GI199" s="1641"/>
      <c r="GJ199" s="1641"/>
      <c r="GK199" s="1641"/>
      <c r="GL199" s="1641"/>
      <c r="GM199" s="1641"/>
      <c r="GN199" s="1641"/>
      <c r="GO199" s="1641"/>
      <c r="GP199" s="1641"/>
      <c r="GQ199" s="1641"/>
      <c r="GR199" s="1641"/>
      <c r="GS199" s="1641"/>
      <c r="GT199" s="1641"/>
      <c r="GU199" s="1641"/>
      <c r="GV199" s="1641"/>
      <c r="GW199" s="1641"/>
      <c r="GX199" s="1641"/>
      <c r="GY199" s="1641"/>
      <c r="GZ199" s="1641"/>
      <c r="HA199" s="1641"/>
      <c r="HB199" s="1641"/>
      <c r="HC199" s="1641"/>
      <c r="HD199" s="1641"/>
      <c r="HE199" s="1641"/>
      <c r="HF199" s="1641"/>
      <c r="HG199" s="1641"/>
      <c r="HH199" s="1641"/>
      <c r="HI199" s="1641"/>
      <c r="HJ199" s="1641"/>
      <c r="HK199" s="1641"/>
      <c r="HL199" s="1641"/>
      <c r="HM199" s="1641"/>
      <c r="HN199" s="1641"/>
      <c r="HO199" s="1641"/>
      <c r="HP199" s="1641"/>
      <c r="HQ199" s="1641"/>
      <c r="HR199" s="1641"/>
      <c r="HS199" s="1641"/>
      <c r="HT199" s="1641"/>
      <c r="HU199" s="1641"/>
      <c r="HV199" s="1641"/>
      <c r="HW199" s="1641"/>
      <c r="HX199" s="1641"/>
      <c r="HY199" s="1641"/>
      <c r="HZ199" s="1641"/>
      <c r="IA199" s="1641"/>
      <c r="IB199" s="1641"/>
      <c r="IC199" s="1641"/>
      <c r="ID199" s="1641"/>
      <c r="IE199" s="1641"/>
      <c r="IF199" s="1641"/>
      <c r="IG199" s="1641"/>
      <c r="IH199" s="1641"/>
      <c r="II199" s="1641"/>
      <c r="IJ199" s="1641"/>
      <c r="IK199" s="1636">
        <v>2150</v>
      </c>
      <c r="IL199" s="1641"/>
      <c r="IM199" s="1641"/>
      <c r="IN199" s="1641"/>
      <c r="IO199" s="1641"/>
      <c r="IP199" s="1410"/>
      <c r="IQ199" s="1410"/>
      <c r="IR199" s="1410"/>
      <c r="IS199" s="1410"/>
      <c r="IT199" s="1410"/>
      <c r="IU199" s="1410"/>
      <c r="IV199" s="1410"/>
      <c r="IW199" s="1410"/>
      <c r="IX199" s="1641"/>
      <c r="IY199" s="1641"/>
      <c r="IZ199" s="1641"/>
      <c r="JA199" s="1641"/>
      <c r="JB199" s="1641"/>
      <c r="JC199" s="1641"/>
      <c r="JD199" s="1641"/>
      <c r="JE199" s="1641"/>
      <c r="JF199" s="1641"/>
      <c r="JG199" s="1641"/>
      <c r="JH199" s="1410"/>
      <c r="JI199" s="1410"/>
      <c r="JJ199" s="1410"/>
      <c r="JK199" s="1410"/>
      <c r="JL199" s="1410"/>
      <c r="JM199" s="1410"/>
      <c r="JN199" s="1410"/>
      <c r="JO199" s="1410"/>
      <c r="JP199" s="1410"/>
      <c r="JQ199" s="1405"/>
      <c r="JR199" s="351"/>
    </row>
    <row r="200" spans="1:278" x14ac:dyDescent="0.25">
      <c r="A200" s="1367">
        <v>200</v>
      </c>
      <c r="B200" s="1411" t="str">
        <f t="shared" si="18"/>
        <v/>
      </c>
      <c r="C200" s="1644" t="s">
        <v>4128</v>
      </c>
      <c r="D200" s="1645" t="s">
        <v>4129</v>
      </c>
      <c r="E200" s="1641"/>
      <c r="F200" s="1641"/>
      <c r="G200" s="1641"/>
      <c r="H200" s="1641"/>
      <c r="I200" s="1641"/>
      <c r="J200" s="1641"/>
      <c r="K200" s="1641"/>
      <c r="L200" s="1641"/>
      <c r="M200" s="1641"/>
      <c r="N200" s="1641"/>
      <c r="O200" s="1641"/>
      <c r="P200" s="1641"/>
      <c r="Q200" s="1641"/>
      <c r="R200" s="1641"/>
      <c r="S200" s="1641"/>
      <c r="T200" s="1641"/>
      <c r="U200" s="1641"/>
      <c r="V200" s="1641"/>
      <c r="W200" s="1641"/>
      <c r="X200" s="1641"/>
      <c r="Y200" s="1641"/>
      <c r="Z200" s="1641"/>
      <c r="AA200" s="1641"/>
      <c r="AB200" s="1641"/>
      <c r="AC200" s="1641"/>
      <c r="AD200" s="1641"/>
      <c r="AE200" s="1641"/>
      <c r="AF200" s="1641"/>
      <c r="AG200" s="1641"/>
      <c r="AH200" s="1641"/>
      <c r="AI200" s="1641"/>
      <c r="AJ200" s="1641"/>
      <c r="AK200" s="1641"/>
      <c r="AL200" s="1641"/>
      <c r="AM200" s="1641"/>
      <c r="AN200" s="1641"/>
      <c r="AO200" s="1641"/>
      <c r="AP200" s="1641"/>
      <c r="AQ200" s="1641"/>
      <c r="AR200" s="1641"/>
      <c r="AS200" s="1641"/>
      <c r="AT200" s="1641"/>
      <c r="AU200" s="1641"/>
      <c r="AV200" s="1641"/>
      <c r="AW200" s="1641"/>
      <c r="AX200" s="1641"/>
      <c r="AY200" s="1641"/>
      <c r="AZ200" s="1641"/>
      <c r="BA200" s="1641"/>
      <c r="BB200" s="1641"/>
      <c r="BC200" s="1641"/>
      <c r="BD200" s="1641"/>
      <c r="BE200" s="1641"/>
      <c r="BF200" s="1641"/>
      <c r="BG200" s="1641"/>
      <c r="BH200" s="1641"/>
      <c r="BI200" s="1641"/>
      <c r="BJ200" s="1641"/>
      <c r="BK200" s="1641"/>
      <c r="BL200" s="1641"/>
      <c r="BM200" s="1641"/>
      <c r="BN200" s="1641"/>
      <c r="BO200" s="1641"/>
      <c r="BP200" s="1641"/>
      <c r="BQ200" s="1641"/>
      <c r="BR200" s="1641"/>
      <c r="BS200" s="1641"/>
      <c r="BT200" s="1641"/>
      <c r="BU200" s="1641"/>
      <c r="BV200" s="1641"/>
      <c r="BW200" s="1641"/>
      <c r="BX200" s="1641"/>
      <c r="BY200" s="1641"/>
      <c r="BZ200" s="1641"/>
      <c r="CA200" s="1641"/>
      <c r="CB200" s="1641"/>
      <c r="CC200" s="1641"/>
      <c r="CD200" s="1641"/>
      <c r="CE200" s="1641"/>
      <c r="CF200" s="1641"/>
      <c r="CG200" s="1641"/>
      <c r="CH200" s="1641"/>
      <c r="CI200" s="1641"/>
      <c r="CJ200" s="1641"/>
      <c r="CK200" s="1641"/>
      <c r="CL200" s="1641"/>
      <c r="CM200" s="1641"/>
      <c r="CN200" s="1641"/>
      <c r="CO200" s="1641"/>
      <c r="CP200" s="1641"/>
      <c r="CQ200" s="1641"/>
      <c r="CR200" s="1641"/>
      <c r="CS200" s="1641"/>
      <c r="CT200" s="1641"/>
      <c r="CU200" s="1641"/>
      <c r="CV200" s="1641"/>
      <c r="CW200" s="1641"/>
      <c r="CX200" s="1641"/>
      <c r="CY200" s="1641"/>
      <c r="CZ200" s="1641"/>
      <c r="DA200" s="1641"/>
      <c r="DB200" s="1641"/>
      <c r="DC200" s="1641"/>
      <c r="DD200" s="1641"/>
      <c r="DE200" s="1641"/>
      <c r="DF200" s="1641"/>
      <c r="DG200" s="1641"/>
      <c r="DH200" s="1641"/>
      <c r="DI200" s="1641"/>
      <c r="DJ200" s="1641"/>
      <c r="DK200" s="1641"/>
      <c r="DL200" s="1641"/>
      <c r="DM200" s="1641"/>
      <c r="DN200" s="1641"/>
      <c r="DO200" s="1641"/>
      <c r="DP200" s="1641"/>
      <c r="DQ200" s="1641"/>
      <c r="DR200" s="1641"/>
      <c r="DS200" s="1641"/>
      <c r="DT200" s="1641"/>
      <c r="DU200" s="1641"/>
      <c r="DV200" s="1641"/>
      <c r="DW200" s="1641"/>
      <c r="DX200" s="1641"/>
      <c r="DY200" s="1641"/>
      <c r="DZ200" s="1641"/>
      <c r="EA200" s="1641"/>
      <c r="EB200" s="1641"/>
      <c r="EC200" s="1641"/>
      <c r="ED200" s="1641"/>
      <c r="EE200" s="1641"/>
      <c r="EF200" s="1641"/>
      <c r="EG200" s="1641"/>
      <c r="EH200" s="1641"/>
      <c r="EI200" s="1641"/>
      <c r="EJ200" s="1641"/>
      <c r="EK200" s="1641"/>
      <c r="EL200" s="1641"/>
      <c r="EM200" s="1641"/>
      <c r="EN200" s="1641"/>
      <c r="EO200" s="1641"/>
      <c r="EP200" s="1641"/>
      <c r="EQ200" s="1641"/>
      <c r="ER200" s="1641"/>
      <c r="ES200" s="1641"/>
      <c r="ET200" s="1641"/>
      <c r="EU200" s="1641"/>
      <c r="EV200" s="1641"/>
      <c r="EW200" s="1641"/>
      <c r="EX200" s="1641"/>
      <c r="EY200" s="1641"/>
      <c r="EZ200" s="1641"/>
      <c r="FA200" s="1641"/>
      <c r="FB200" s="1641"/>
      <c r="FC200" s="1641"/>
      <c r="FD200" s="1641"/>
      <c r="FE200" s="1641"/>
      <c r="FF200" s="1641"/>
      <c r="FG200" s="1641"/>
      <c r="FH200" s="1641"/>
      <c r="FI200" s="1641"/>
      <c r="FJ200" s="1641"/>
      <c r="FK200" s="1641"/>
      <c r="FL200" s="1641"/>
      <c r="FM200" s="1641"/>
      <c r="FN200" s="1641"/>
      <c r="FO200" s="1641"/>
      <c r="FP200" s="1641"/>
      <c r="FQ200" s="1641"/>
      <c r="FR200" s="1641"/>
      <c r="FS200" s="1641"/>
      <c r="FT200" s="1641"/>
      <c r="FU200" s="1641"/>
      <c r="FV200" s="1641"/>
      <c r="FW200" s="1641"/>
      <c r="FX200" s="1641"/>
      <c r="FY200" s="1641"/>
      <c r="FZ200" s="1641"/>
      <c r="GA200" s="1641"/>
      <c r="GB200" s="1641"/>
      <c r="GC200" s="1641"/>
      <c r="GD200" s="1641"/>
      <c r="GE200" s="1641"/>
      <c r="GF200" s="1641"/>
      <c r="GG200" s="1641"/>
      <c r="GH200" s="1641"/>
      <c r="GI200" s="1641"/>
      <c r="GJ200" s="1641"/>
      <c r="GK200" s="1641"/>
      <c r="GL200" s="1641"/>
      <c r="GM200" s="1641"/>
      <c r="GN200" s="1641"/>
      <c r="GO200" s="1641"/>
      <c r="GP200" s="1641"/>
      <c r="GQ200" s="1641"/>
      <c r="GR200" s="1641"/>
      <c r="GS200" s="1641"/>
      <c r="GT200" s="1641"/>
      <c r="GU200" s="1641"/>
      <c r="GV200" s="1641"/>
      <c r="GW200" s="1641"/>
      <c r="GX200" s="1641"/>
      <c r="GY200" s="1641"/>
      <c r="GZ200" s="1641"/>
      <c r="HA200" s="1641"/>
      <c r="HB200" s="1641"/>
      <c r="HC200" s="1641"/>
      <c r="HD200" s="1641"/>
      <c r="HE200" s="1641"/>
      <c r="HF200" s="1641"/>
      <c r="HG200" s="1641"/>
      <c r="HH200" s="1641"/>
      <c r="HI200" s="1641"/>
      <c r="HJ200" s="1641"/>
      <c r="HK200" s="1641"/>
      <c r="HL200" s="1641"/>
      <c r="HM200" s="1641"/>
      <c r="HN200" s="1641"/>
      <c r="HO200" s="1641"/>
      <c r="HP200" s="1641"/>
      <c r="HQ200" s="1641"/>
      <c r="HR200" s="1641"/>
      <c r="HS200" s="1641"/>
      <c r="HT200" s="1641"/>
      <c r="HU200" s="1641"/>
      <c r="HV200" s="1641"/>
      <c r="HW200" s="1641"/>
      <c r="HX200" s="1641"/>
      <c r="HY200" s="1641"/>
      <c r="HZ200" s="1641"/>
      <c r="IA200" s="1641"/>
      <c r="IB200" s="1641"/>
      <c r="IC200" s="1641"/>
      <c r="ID200" s="1641"/>
      <c r="IE200" s="1641"/>
      <c r="IF200" s="1641"/>
      <c r="IG200" s="1641"/>
      <c r="IH200" s="1641"/>
      <c r="II200" s="1641"/>
      <c r="IJ200" s="1641"/>
      <c r="IK200" s="1636">
        <v>300</v>
      </c>
      <c r="IL200" s="1636">
        <v>700</v>
      </c>
      <c r="IM200" s="1641"/>
      <c r="IN200" s="1641"/>
      <c r="IO200" s="1641"/>
      <c r="IP200" s="1410"/>
      <c r="IQ200" s="1410"/>
      <c r="IR200" s="1410"/>
      <c r="IS200" s="1410"/>
      <c r="IT200" s="1410"/>
      <c r="IU200" s="1410"/>
      <c r="IV200" s="1410"/>
      <c r="IW200" s="1410"/>
      <c r="IX200" s="1641"/>
      <c r="IY200" s="1641"/>
      <c r="IZ200" s="1641"/>
      <c r="JA200" s="1641"/>
      <c r="JB200" s="1641"/>
      <c r="JC200" s="1641"/>
      <c r="JD200" s="1641"/>
      <c r="JE200" s="1641"/>
      <c r="JF200" s="1641"/>
      <c r="JG200" s="1641"/>
      <c r="JH200" s="1410"/>
      <c r="JI200" s="1410"/>
      <c r="JJ200" s="1410"/>
      <c r="JK200" s="1410"/>
      <c r="JL200" s="1410"/>
      <c r="JM200" s="1410"/>
      <c r="JN200" s="1410"/>
      <c r="JO200" s="1410"/>
      <c r="JP200" s="1410"/>
      <c r="JQ200" s="1405"/>
      <c r="JR200" s="351"/>
    </row>
    <row r="201" spans="1:278" x14ac:dyDescent="0.25">
      <c r="A201" s="1367">
        <v>201</v>
      </c>
      <c r="B201" s="1411" t="str">
        <f t="shared" si="18"/>
        <v/>
      </c>
      <c r="C201" s="1644" t="s">
        <v>4130</v>
      </c>
      <c r="D201" s="1645" t="s">
        <v>3890</v>
      </c>
      <c r="E201" s="1641"/>
      <c r="F201" s="1641"/>
      <c r="G201" s="1641"/>
      <c r="H201" s="1641"/>
      <c r="I201" s="1641"/>
      <c r="J201" s="1641"/>
      <c r="K201" s="1641"/>
      <c r="L201" s="1641"/>
      <c r="M201" s="1641"/>
      <c r="N201" s="1641"/>
      <c r="O201" s="1641"/>
      <c r="P201" s="1641"/>
      <c r="Q201" s="1641"/>
      <c r="R201" s="1641"/>
      <c r="S201" s="1641"/>
      <c r="T201" s="1641"/>
      <c r="U201" s="1641"/>
      <c r="V201" s="1641"/>
      <c r="W201" s="1641"/>
      <c r="X201" s="1641"/>
      <c r="Y201" s="1641"/>
      <c r="Z201" s="1641"/>
      <c r="AA201" s="1641"/>
      <c r="AB201" s="1641"/>
      <c r="AC201" s="1641"/>
      <c r="AD201" s="1641"/>
      <c r="AE201" s="1641"/>
      <c r="AF201" s="1641"/>
      <c r="AG201" s="1641"/>
      <c r="AH201" s="1641"/>
      <c r="AI201" s="1641"/>
      <c r="AJ201" s="1641"/>
      <c r="AK201" s="1641"/>
      <c r="AL201" s="1641"/>
      <c r="AM201" s="1641"/>
      <c r="AN201" s="1641"/>
      <c r="AO201" s="1641"/>
      <c r="AP201" s="1641"/>
      <c r="AQ201" s="1641"/>
      <c r="AR201" s="1641"/>
      <c r="AS201" s="1641"/>
      <c r="AT201" s="1641"/>
      <c r="AU201" s="1641"/>
      <c r="AV201" s="1641"/>
      <c r="AW201" s="1641"/>
      <c r="AX201" s="1641"/>
      <c r="AY201" s="1641"/>
      <c r="AZ201" s="1641"/>
      <c r="BA201" s="1641"/>
      <c r="BB201" s="1641"/>
      <c r="BC201" s="1641"/>
      <c r="BD201" s="1641"/>
      <c r="BE201" s="1641"/>
      <c r="BF201" s="1641"/>
      <c r="BG201" s="1641"/>
      <c r="BH201" s="1641"/>
      <c r="BI201" s="1641"/>
      <c r="BJ201" s="1641"/>
      <c r="BK201" s="1641"/>
      <c r="BL201" s="1641"/>
      <c r="BM201" s="1641"/>
      <c r="BN201" s="1641"/>
      <c r="BO201" s="1641"/>
      <c r="BP201" s="1641"/>
      <c r="BQ201" s="1641"/>
      <c r="BR201" s="1641"/>
      <c r="BS201" s="1641"/>
      <c r="BT201" s="1641"/>
      <c r="BU201" s="1641"/>
      <c r="BV201" s="1641"/>
      <c r="BW201" s="1641"/>
      <c r="BX201" s="1641"/>
      <c r="BY201" s="1641"/>
      <c r="BZ201" s="1641"/>
      <c r="CA201" s="1641"/>
      <c r="CB201" s="1641"/>
      <c r="CC201" s="1641"/>
      <c r="CD201" s="1641"/>
      <c r="CE201" s="1641"/>
      <c r="CF201" s="1641"/>
      <c r="CG201" s="1641"/>
      <c r="CH201" s="1641"/>
      <c r="CI201" s="1641"/>
      <c r="CJ201" s="1641"/>
      <c r="CK201" s="1641"/>
      <c r="CL201" s="1641"/>
      <c r="CM201" s="1641"/>
      <c r="CN201" s="1641"/>
      <c r="CO201" s="1641"/>
      <c r="CP201" s="1641"/>
      <c r="CQ201" s="1641"/>
      <c r="CR201" s="1641"/>
      <c r="CS201" s="1641"/>
      <c r="CT201" s="1641"/>
      <c r="CU201" s="1641"/>
      <c r="CV201" s="1641"/>
      <c r="CW201" s="1641"/>
      <c r="CX201" s="1641"/>
      <c r="CY201" s="1641"/>
      <c r="CZ201" s="1641"/>
      <c r="DA201" s="1641"/>
      <c r="DB201" s="1641"/>
      <c r="DC201" s="1641"/>
      <c r="DD201" s="1641"/>
      <c r="DE201" s="1641"/>
      <c r="DF201" s="1641"/>
      <c r="DG201" s="1641"/>
      <c r="DH201" s="1641"/>
      <c r="DI201" s="1641"/>
      <c r="DJ201" s="1641"/>
      <c r="DK201" s="1641"/>
      <c r="DL201" s="1641"/>
      <c r="DM201" s="1641"/>
      <c r="DN201" s="1641"/>
      <c r="DO201" s="1641"/>
      <c r="DP201" s="1641"/>
      <c r="DQ201" s="1641"/>
      <c r="DR201" s="1641"/>
      <c r="DS201" s="1641"/>
      <c r="DT201" s="1641"/>
      <c r="DU201" s="1641"/>
      <c r="DV201" s="1641"/>
      <c r="DW201" s="1641"/>
      <c r="DX201" s="1641"/>
      <c r="DY201" s="1641"/>
      <c r="DZ201" s="1641"/>
      <c r="EA201" s="1641"/>
      <c r="EB201" s="1641"/>
      <c r="EC201" s="1641"/>
      <c r="ED201" s="1641"/>
      <c r="EE201" s="1641"/>
      <c r="EF201" s="1641"/>
      <c r="EG201" s="1641"/>
      <c r="EH201" s="1641"/>
      <c r="EI201" s="1641"/>
      <c r="EJ201" s="1641"/>
      <c r="EK201" s="1641"/>
      <c r="EL201" s="1641"/>
      <c r="EM201" s="1641"/>
      <c r="EN201" s="1641"/>
      <c r="EO201" s="1641"/>
      <c r="EP201" s="1641"/>
      <c r="EQ201" s="1641"/>
      <c r="ER201" s="1641"/>
      <c r="ES201" s="1641"/>
      <c r="ET201" s="1641"/>
      <c r="EU201" s="1641"/>
      <c r="EV201" s="1641"/>
      <c r="EW201" s="1641"/>
      <c r="EX201" s="1641"/>
      <c r="EY201" s="1641"/>
      <c r="EZ201" s="1641"/>
      <c r="FA201" s="1641"/>
      <c r="FB201" s="1641"/>
      <c r="FC201" s="1641"/>
      <c r="FD201" s="1641"/>
      <c r="FE201" s="1641"/>
      <c r="FF201" s="1641"/>
      <c r="FG201" s="1641"/>
      <c r="FH201" s="1641"/>
      <c r="FI201" s="1641"/>
      <c r="FJ201" s="1641"/>
      <c r="FK201" s="1641"/>
      <c r="FL201" s="1641"/>
      <c r="FM201" s="1641"/>
      <c r="FN201" s="1641"/>
      <c r="FO201" s="1641"/>
      <c r="FP201" s="1641"/>
      <c r="FQ201" s="1641"/>
      <c r="FR201" s="1641"/>
      <c r="FS201" s="1641"/>
      <c r="FT201" s="1641"/>
      <c r="FU201" s="1641"/>
      <c r="FV201" s="1641"/>
      <c r="FW201" s="1641"/>
      <c r="FX201" s="1641"/>
      <c r="FY201" s="1641"/>
      <c r="FZ201" s="1641"/>
      <c r="GA201" s="1641"/>
      <c r="GB201" s="1641"/>
      <c r="GC201" s="1641"/>
      <c r="GD201" s="1641"/>
      <c r="GE201" s="1641"/>
      <c r="GF201" s="1641"/>
      <c r="GG201" s="1641"/>
      <c r="GH201" s="1641"/>
      <c r="GI201" s="1641"/>
      <c r="GJ201" s="1641"/>
      <c r="GK201" s="1641"/>
      <c r="GL201" s="1641"/>
      <c r="GM201" s="1641"/>
      <c r="GN201" s="1641"/>
      <c r="GO201" s="1641"/>
      <c r="GP201" s="1641"/>
      <c r="GQ201" s="1641"/>
      <c r="GR201" s="1641"/>
      <c r="GS201" s="1641"/>
      <c r="GT201" s="1641"/>
      <c r="GU201" s="1641"/>
      <c r="GV201" s="1641"/>
      <c r="GW201" s="1641"/>
      <c r="GX201" s="1641"/>
      <c r="GY201" s="1641"/>
      <c r="GZ201" s="1641"/>
      <c r="HA201" s="1641"/>
      <c r="HB201" s="1641"/>
      <c r="HC201" s="1641"/>
      <c r="HD201" s="1641"/>
      <c r="HE201" s="1641"/>
      <c r="HF201" s="1641"/>
      <c r="HG201" s="1641"/>
      <c r="HH201" s="1641"/>
      <c r="HI201" s="1641"/>
      <c r="HJ201" s="1641"/>
      <c r="HK201" s="1641"/>
      <c r="HL201" s="1641"/>
      <c r="HM201" s="1641"/>
      <c r="HN201" s="1641"/>
      <c r="HO201" s="1641"/>
      <c r="HP201" s="1641"/>
      <c r="HQ201" s="1641"/>
      <c r="HR201" s="1641"/>
      <c r="HS201" s="1641"/>
      <c r="HT201" s="1641"/>
      <c r="HU201" s="1641"/>
      <c r="HV201" s="1641"/>
      <c r="HW201" s="1641"/>
      <c r="HX201" s="1641"/>
      <c r="HY201" s="1641"/>
      <c r="HZ201" s="1641"/>
      <c r="IA201" s="1641"/>
      <c r="IB201" s="1641"/>
      <c r="IC201" s="1641"/>
      <c r="ID201" s="1641"/>
      <c r="IE201" s="1641"/>
      <c r="IF201" s="1641"/>
      <c r="IG201" s="1641"/>
      <c r="IH201" s="1641"/>
      <c r="II201" s="1641"/>
      <c r="IJ201" s="1641"/>
      <c r="IK201" s="1636">
        <v>300</v>
      </c>
      <c r="IL201" s="1641"/>
      <c r="IM201" s="1641"/>
      <c r="IN201" s="1641"/>
      <c r="IO201" s="1641"/>
      <c r="IP201" s="1410"/>
      <c r="IQ201" s="1410"/>
      <c r="IR201" s="1410"/>
      <c r="IS201" s="1410"/>
      <c r="IT201" s="1410"/>
      <c r="IU201" s="1410"/>
      <c r="IV201" s="1410"/>
      <c r="IW201" s="1410"/>
      <c r="IX201" s="1641"/>
      <c r="IY201" s="1641"/>
      <c r="IZ201" s="1641"/>
      <c r="JA201" s="1641"/>
      <c r="JB201" s="1641"/>
      <c r="JC201" s="1641"/>
      <c r="JD201" s="1641"/>
      <c r="JE201" s="1641"/>
      <c r="JF201" s="1641"/>
      <c r="JG201" s="1641"/>
      <c r="JH201" s="1410"/>
      <c r="JI201" s="1410"/>
      <c r="JJ201" s="1410"/>
      <c r="JK201" s="1410"/>
      <c r="JL201" s="1410"/>
      <c r="JM201" s="1410"/>
      <c r="JN201" s="1410"/>
      <c r="JO201" s="1410"/>
      <c r="JP201" s="1410"/>
      <c r="JQ201" s="1405"/>
      <c r="JR201" s="351"/>
    </row>
    <row r="202" spans="1:278" x14ac:dyDescent="0.25">
      <c r="A202" s="1367">
        <v>202</v>
      </c>
      <c r="B202" s="1411" t="str">
        <f t="shared" si="18"/>
        <v/>
      </c>
      <c r="C202" s="1644" t="s">
        <v>4131</v>
      </c>
      <c r="D202" s="1645" t="s">
        <v>4132</v>
      </c>
      <c r="E202" s="1641"/>
      <c r="F202" s="1641"/>
      <c r="G202" s="1641"/>
      <c r="H202" s="1641"/>
      <c r="I202" s="1641"/>
      <c r="J202" s="1641"/>
      <c r="K202" s="1641"/>
      <c r="L202" s="1641"/>
      <c r="M202" s="1641"/>
      <c r="N202" s="1641"/>
      <c r="O202" s="1641"/>
      <c r="P202" s="1641"/>
      <c r="Q202" s="1641"/>
      <c r="R202" s="1641"/>
      <c r="S202" s="1641"/>
      <c r="T202" s="1641"/>
      <c r="U202" s="1641"/>
      <c r="V202" s="1641"/>
      <c r="W202" s="1641"/>
      <c r="X202" s="1641"/>
      <c r="Y202" s="1641"/>
      <c r="Z202" s="1641"/>
      <c r="AA202" s="1641"/>
      <c r="AB202" s="1641"/>
      <c r="AC202" s="1641"/>
      <c r="AD202" s="1641"/>
      <c r="AE202" s="1641"/>
      <c r="AF202" s="1641"/>
      <c r="AG202" s="1641"/>
      <c r="AH202" s="1641"/>
      <c r="AI202" s="1641"/>
      <c r="AJ202" s="1641"/>
      <c r="AK202" s="1641"/>
      <c r="AL202" s="1641"/>
      <c r="AM202" s="1641"/>
      <c r="AN202" s="1641"/>
      <c r="AO202" s="1641"/>
      <c r="AP202" s="1641"/>
      <c r="AQ202" s="1641"/>
      <c r="AR202" s="1641"/>
      <c r="AS202" s="1641"/>
      <c r="AT202" s="1641"/>
      <c r="AU202" s="1641"/>
      <c r="AV202" s="1641"/>
      <c r="AW202" s="1641"/>
      <c r="AX202" s="1641"/>
      <c r="AY202" s="1641"/>
      <c r="AZ202" s="1641"/>
      <c r="BA202" s="1641"/>
      <c r="BB202" s="1641"/>
      <c r="BC202" s="1641"/>
      <c r="BD202" s="1641"/>
      <c r="BE202" s="1641"/>
      <c r="BF202" s="1641"/>
      <c r="BG202" s="1641"/>
      <c r="BH202" s="1641"/>
      <c r="BI202" s="1641"/>
      <c r="BJ202" s="1641"/>
      <c r="BK202" s="1641"/>
      <c r="BL202" s="1641"/>
      <c r="BM202" s="1641"/>
      <c r="BN202" s="1641"/>
      <c r="BO202" s="1641"/>
      <c r="BP202" s="1641"/>
      <c r="BQ202" s="1641"/>
      <c r="BR202" s="1641"/>
      <c r="BS202" s="1641"/>
      <c r="BT202" s="1641"/>
      <c r="BU202" s="1641"/>
      <c r="BV202" s="1641"/>
      <c r="BW202" s="1641"/>
      <c r="BX202" s="1641"/>
      <c r="BY202" s="1641"/>
      <c r="BZ202" s="1641"/>
      <c r="CA202" s="1641"/>
      <c r="CB202" s="1641"/>
      <c r="CC202" s="1641"/>
      <c r="CD202" s="1641"/>
      <c r="CE202" s="1641"/>
      <c r="CF202" s="1641"/>
      <c r="CG202" s="1641"/>
      <c r="CH202" s="1641"/>
      <c r="CI202" s="1641"/>
      <c r="CJ202" s="1641"/>
      <c r="CK202" s="1641"/>
      <c r="CL202" s="1641"/>
      <c r="CM202" s="1641"/>
      <c r="CN202" s="1641"/>
      <c r="CO202" s="1641"/>
      <c r="CP202" s="1641"/>
      <c r="CQ202" s="1641"/>
      <c r="CR202" s="1641"/>
      <c r="CS202" s="1641"/>
      <c r="CT202" s="1641"/>
      <c r="CU202" s="1641"/>
      <c r="CV202" s="1641"/>
      <c r="CW202" s="1641"/>
      <c r="CX202" s="1641"/>
      <c r="CY202" s="1641"/>
      <c r="CZ202" s="1641"/>
      <c r="DA202" s="1641"/>
      <c r="DB202" s="1641"/>
      <c r="DC202" s="1641"/>
      <c r="DD202" s="1641"/>
      <c r="DE202" s="1641"/>
      <c r="DF202" s="1641"/>
      <c r="DG202" s="1641"/>
      <c r="DH202" s="1641"/>
      <c r="DI202" s="1641"/>
      <c r="DJ202" s="1641"/>
      <c r="DK202" s="1641"/>
      <c r="DL202" s="1641"/>
      <c r="DM202" s="1641"/>
      <c r="DN202" s="1641"/>
      <c r="DO202" s="1641"/>
      <c r="DP202" s="1641"/>
      <c r="DQ202" s="1641"/>
      <c r="DR202" s="1641"/>
      <c r="DS202" s="1641"/>
      <c r="DT202" s="1641"/>
      <c r="DU202" s="1641"/>
      <c r="DV202" s="1641"/>
      <c r="DW202" s="1641"/>
      <c r="DX202" s="1641"/>
      <c r="DY202" s="1641"/>
      <c r="DZ202" s="1641"/>
      <c r="EA202" s="1641"/>
      <c r="EB202" s="1641"/>
      <c r="EC202" s="1641"/>
      <c r="ED202" s="1641"/>
      <c r="EE202" s="1641"/>
      <c r="EF202" s="1641"/>
      <c r="EG202" s="1641"/>
      <c r="EH202" s="1641"/>
      <c r="EI202" s="1641"/>
      <c r="EJ202" s="1641"/>
      <c r="EK202" s="1641"/>
      <c r="EL202" s="1641"/>
      <c r="EM202" s="1641"/>
      <c r="EN202" s="1641"/>
      <c r="EO202" s="1641"/>
      <c r="EP202" s="1641"/>
      <c r="EQ202" s="1641"/>
      <c r="ER202" s="1641"/>
      <c r="ES202" s="1641"/>
      <c r="ET202" s="1641"/>
      <c r="EU202" s="1641"/>
      <c r="EV202" s="1641"/>
      <c r="EW202" s="1641"/>
      <c r="EX202" s="1641"/>
      <c r="EY202" s="1641"/>
      <c r="EZ202" s="1641"/>
      <c r="FA202" s="1641"/>
      <c r="FB202" s="1641"/>
      <c r="FC202" s="1641"/>
      <c r="FD202" s="1641"/>
      <c r="FE202" s="1641"/>
      <c r="FF202" s="1641"/>
      <c r="FG202" s="1641"/>
      <c r="FH202" s="1641"/>
      <c r="FI202" s="1641"/>
      <c r="FJ202" s="1641"/>
      <c r="FK202" s="1641"/>
      <c r="FL202" s="1641"/>
      <c r="FM202" s="1641"/>
      <c r="FN202" s="1641"/>
      <c r="FO202" s="1641"/>
      <c r="FP202" s="1641"/>
      <c r="FQ202" s="1641"/>
      <c r="FR202" s="1641"/>
      <c r="FS202" s="1641"/>
      <c r="FT202" s="1641"/>
      <c r="FU202" s="1641"/>
      <c r="FV202" s="1641"/>
      <c r="FW202" s="1641"/>
      <c r="FX202" s="1641"/>
      <c r="FY202" s="1641"/>
      <c r="FZ202" s="1641"/>
      <c r="GA202" s="1641"/>
      <c r="GB202" s="1641"/>
      <c r="GC202" s="1641"/>
      <c r="GD202" s="1641"/>
      <c r="GE202" s="1641"/>
      <c r="GF202" s="1641"/>
      <c r="GG202" s="1641"/>
      <c r="GH202" s="1641"/>
      <c r="GI202" s="1641"/>
      <c r="GJ202" s="1641"/>
      <c r="GK202" s="1641"/>
      <c r="GL202" s="1641"/>
      <c r="GM202" s="1641"/>
      <c r="GN202" s="1641"/>
      <c r="GO202" s="1641"/>
      <c r="GP202" s="1641"/>
      <c r="GQ202" s="1641"/>
      <c r="GR202" s="1641"/>
      <c r="GS202" s="1641"/>
      <c r="GT202" s="1641"/>
      <c r="GU202" s="1641"/>
      <c r="GV202" s="1641"/>
      <c r="GW202" s="1641"/>
      <c r="GX202" s="1641"/>
      <c r="GY202" s="1641"/>
      <c r="GZ202" s="1641"/>
      <c r="HA202" s="1641"/>
      <c r="HB202" s="1641"/>
      <c r="HC202" s="1641"/>
      <c r="HD202" s="1641"/>
      <c r="HE202" s="1641"/>
      <c r="HF202" s="1641"/>
      <c r="HG202" s="1641"/>
      <c r="HH202" s="1641"/>
      <c r="HI202" s="1641"/>
      <c r="HJ202" s="1641"/>
      <c r="HK202" s="1641"/>
      <c r="HL202" s="1641"/>
      <c r="HM202" s="1641"/>
      <c r="HN202" s="1641"/>
      <c r="HO202" s="1641"/>
      <c r="HP202" s="1641"/>
      <c r="HQ202" s="1641"/>
      <c r="HR202" s="1641"/>
      <c r="HS202" s="1641"/>
      <c r="HT202" s="1641"/>
      <c r="HU202" s="1641"/>
      <c r="HV202" s="1641"/>
      <c r="HW202" s="1641"/>
      <c r="HX202" s="1641"/>
      <c r="HY202" s="1641"/>
      <c r="HZ202" s="1641"/>
      <c r="IA202" s="1641"/>
      <c r="IB202" s="1641"/>
      <c r="IC202" s="1641"/>
      <c r="ID202" s="1641"/>
      <c r="IE202" s="1641"/>
      <c r="IF202" s="1641"/>
      <c r="IG202" s="1641"/>
      <c r="IH202" s="1641"/>
      <c r="II202" s="1641"/>
      <c r="IJ202" s="1641"/>
      <c r="IK202" s="1636">
        <v>500</v>
      </c>
      <c r="IL202" s="1636">
        <v>52</v>
      </c>
      <c r="IM202" s="1641"/>
      <c r="IN202" s="1641"/>
      <c r="IO202" s="1641"/>
      <c r="IP202" s="1410"/>
      <c r="IQ202" s="1410"/>
      <c r="IR202" s="1410"/>
      <c r="IS202" s="1410"/>
      <c r="IT202" s="1410"/>
      <c r="IU202" s="1410"/>
      <c r="IV202" s="1410"/>
      <c r="IW202" s="1410"/>
      <c r="IX202" s="1641"/>
      <c r="IY202" s="1641"/>
      <c r="IZ202" s="1641"/>
      <c r="JA202" s="1641"/>
      <c r="JB202" s="1641"/>
      <c r="JC202" s="1641"/>
      <c r="JD202" s="1641"/>
      <c r="JE202" s="1641"/>
      <c r="JF202" s="1641"/>
      <c r="JG202" s="1641"/>
      <c r="JH202" s="1410"/>
      <c r="JI202" s="1410"/>
      <c r="JJ202" s="1410"/>
      <c r="JK202" s="1410"/>
      <c r="JL202" s="1410"/>
      <c r="JM202" s="1410"/>
      <c r="JN202" s="1410"/>
      <c r="JO202" s="1410"/>
      <c r="JP202" s="1410"/>
      <c r="JQ202" s="1405"/>
      <c r="JR202" s="351"/>
    </row>
    <row r="203" spans="1:278" x14ac:dyDescent="0.25">
      <c r="A203" s="1367">
        <v>203</v>
      </c>
      <c r="B203" s="1411" t="str">
        <f t="shared" si="18"/>
        <v/>
      </c>
      <c r="C203" s="1644" t="s">
        <v>4133</v>
      </c>
      <c r="D203" s="1645" t="s">
        <v>3890</v>
      </c>
      <c r="E203" s="1641"/>
      <c r="F203" s="1641"/>
      <c r="G203" s="1641"/>
      <c r="H203" s="1641"/>
      <c r="I203" s="1641"/>
      <c r="J203" s="1641"/>
      <c r="K203" s="1641"/>
      <c r="L203" s="1641"/>
      <c r="M203" s="1641"/>
      <c r="N203" s="1641"/>
      <c r="O203" s="1641"/>
      <c r="P203" s="1641"/>
      <c r="Q203" s="1641"/>
      <c r="R203" s="1641"/>
      <c r="S203" s="1641"/>
      <c r="T203" s="1641"/>
      <c r="U203" s="1641"/>
      <c r="V203" s="1641"/>
      <c r="W203" s="1641"/>
      <c r="X203" s="1641"/>
      <c r="Y203" s="1641"/>
      <c r="Z203" s="1641"/>
      <c r="AA203" s="1641"/>
      <c r="AB203" s="1641"/>
      <c r="AC203" s="1641"/>
      <c r="AD203" s="1641"/>
      <c r="AE203" s="1641"/>
      <c r="AF203" s="1641"/>
      <c r="AG203" s="1641"/>
      <c r="AH203" s="1641"/>
      <c r="AI203" s="1641"/>
      <c r="AJ203" s="1641"/>
      <c r="AK203" s="1641"/>
      <c r="AL203" s="1641"/>
      <c r="AM203" s="1641"/>
      <c r="AN203" s="1641"/>
      <c r="AO203" s="1641"/>
      <c r="AP203" s="1641"/>
      <c r="AQ203" s="1641"/>
      <c r="AR203" s="1641"/>
      <c r="AS203" s="1641"/>
      <c r="AT203" s="1641"/>
      <c r="AU203" s="1641"/>
      <c r="AV203" s="1641"/>
      <c r="AW203" s="1641"/>
      <c r="AX203" s="1641"/>
      <c r="AY203" s="1641"/>
      <c r="AZ203" s="1641"/>
      <c r="BA203" s="1641"/>
      <c r="BB203" s="1641"/>
      <c r="BC203" s="1641"/>
      <c r="BD203" s="1641"/>
      <c r="BE203" s="1641"/>
      <c r="BF203" s="1641"/>
      <c r="BG203" s="1641"/>
      <c r="BH203" s="1641"/>
      <c r="BI203" s="1641"/>
      <c r="BJ203" s="1641"/>
      <c r="BK203" s="1641"/>
      <c r="BL203" s="1641"/>
      <c r="BM203" s="1641"/>
      <c r="BN203" s="1641"/>
      <c r="BO203" s="1641"/>
      <c r="BP203" s="1641"/>
      <c r="BQ203" s="1641"/>
      <c r="BR203" s="1641"/>
      <c r="BS203" s="1641"/>
      <c r="BT203" s="1641"/>
      <c r="BU203" s="1641"/>
      <c r="BV203" s="1641"/>
      <c r="BW203" s="1641"/>
      <c r="BX203" s="1641"/>
      <c r="BY203" s="1641"/>
      <c r="BZ203" s="1641"/>
      <c r="CA203" s="1641"/>
      <c r="CB203" s="1641"/>
      <c r="CC203" s="1641"/>
      <c r="CD203" s="1641"/>
      <c r="CE203" s="1641"/>
      <c r="CF203" s="1641"/>
      <c r="CG203" s="1641"/>
      <c r="CH203" s="1641"/>
      <c r="CI203" s="1641"/>
      <c r="CJ203" s="1641"/>
      <c r="CK203" s="1641"/>
      <c r="CL203" s="1641"/>
      <c r="CM203" s="1641"/>
      <c r="CN203" s="1641"/>
      <c r="CO203" s="1641"/>
      <c r="CP203" s="1641"/>
      <c r="CQ203" s="1641"/>
      <c r="CR203" s="1641"/>
      <c r="CS203" s="1641"/>
      <c r="CT203" s="1641"/>
      <c r="CU203" s="1641"/>
      <c r="CV203" s="1641"/>
      <c r="CW203" s="1641"/>
      <c r="CX203" s="1641"/>
      <c r="CY203" s="1641"/>
      <c r="CZ203" s="1641"/>
      <c r="DA203" s="1641"/>
      <c r="DB203" s="1641"/>
      <c r="DC203" s="1641"/>
      <c r="DD203" s="1641"/>
      <c r="DE203" s="1641"/>
      <c r="DF203" s="1641"/>
      <c r="DG203" s="1641"/>
      <c r="DH203" s="1641"/>
      <c r="DI203" s="1641"/>
      <c r="DJ203" s="1641"/>
      <c r="DK203" s="1641"/>
      <c r="DL203" s="1641"/>
      <c r="DM203" s="1641"/>
      <c r="DN203" s="1641"/>
      <c r="DO203" s="1641"/>
      <c r="DP203" s="1641"/>
      <c r="DQ203" s="1641"/>
      <c r="DR203" s="1641"/>
      <c r="DS203" s="1641"/>
      <c r="DT203" s="1641"/>
      <c r="DU203" s="1641"/>
      <c r="DV203" s="1641"/>
      <c r="DW203" s="1641"/>
      <c r="DX203" s="1641"/>
      <c r="DY203" s="1641"/>
      <c r="DZ203" s="1641"/>
      <c r="EA203" s="1641"/>
      <c r="EB203" s="1641"/>
      <c r="EC203" s="1641"/>
      <c r="ED203" s="1641"/>
      <c r="EE203" s="1641"/>
      <c r="EF203" s="1641"/>
      <c r="EG203" s="1641"/>
      <c r="EH203" s="1641"/>
      <c r="EI203" s="1641"/>
      <c r="EJ203" s="1641"/>
      <c r="EK203" s="1641"/>
      <c r="EL203" s="1641"/>
      <c r="EM203" s="1641"/>
      <c r="EN203" s="1641"/>
      <c r="EO203" s="1641"/>
      <c r="EP203" s="1641"/>
      <c r="EQ203" s="1641"/>
      <c r="ER203" s="1641"/>
      <c r="ES203" s="1641"/>
      <c r="ET203" s="1641"/>
      <c r="EU203" s="1641"/>
      <c r="EV203" s="1641"/>
      <c r="EW203" s="1641"/>
      <c r="EX203" s="1641"/>
      <c r="EY203" s="1641"/>
      <c r="EZ203" s="1641"/>
      <c r="FA203" s="1641"/>
      <c r="FB203" s="1641"/>
      <c r="FC203" s="1641"/>
      <c r="FD203" s="1641"/>
      <c r="FE203" s="1641"/>
      <c r="FF203" s="1641"/>
      <c r="FG203" s="1641"/>
      <c r="FH203" s="1641"/>
      <c r="FI203" s="1641"/>
      <c r="FJ203" s="1641"/>
      <c r="FK203" s="1641"/>
      <c r="FL203" s="1641"/>
      <c r="FM203" s="1641"/>
      <c r="FN203" s="1641"/>
      <c r="FO203" s="1641"/>
      <c r="FP203" s="1641"/>
      <c r="FQ203" s="1641"/>
      <c r="FR203" s="1641"/>
      <c r="FS203" s="1641"/>
      <c r="FT203" s="1641"/>
      <c r="FU203" s="1641"/>
      <c r="FV203" s="1641"/>
      <c r="FW203" s="1641"/>
      <c r="FX203" s="1641"/>
      <c r="FY203" s="1641"/>
      <c r="FZ203" s="1641"/>
      <c r="GA203" s="1641"/>
      <c r="GB203" s="1641"/>
      <c r="GC203" s="1641"/>
      <c r="GD203" s="1641"/>
      <c r="GE203" s="1641"/>
      <c r="GF203" s="1641"/>
      <c r="GG203" s="1641"/>
      <c r="GH203" s="1641"/>
      <c r="GI203" s="1641"/>
      <c r="GJ203" s="1641"/>
      <c r="GK203" s="1641"/>
      <c r="GL203" s="1641"/>
      <c r="GM203" s="1641"/>
      <c r="GN203" s="1641"/>
      <c r="GO203" s="1641"/>
      <c r="GP203" s="1641"/>
      <c r="GQ203" s="1641"/>
      <c r="GR203" s="1641"/>
      <c r="GS203" s="1641"/>
      <c r="GT203" s="1641"/>
      <c r="GU203" s="1641"/>
      <c r="GV203" s="1641"/>
      <c r="GW203" s="1641"/>
      <c r="GX203" s="1641"/>
      <c r="GY203" s="1641"/>
      <c r="GZ203" s="1641"/>
      <c r="HA203" s="1641"/>
      <c r="HB203" s="1641"/>
      <c r="HC203" s="1641"/>
      <c r="HD203" s="1641"/>
      <c r="HE203" s="1641"/>
      <c r="HF203" s="1641"/>
      <c r="HG203" s="1641"/>
      <c r="HH203" s="1641"/>
      <c r="HI203" s="1641"/>
      <c r="HJ203" s="1641"/>
      <c r="HK203" s="1641"/>
      <c r="HL203" s="1641"/>
      <c r="HM203" s="1641"/>
      <c r="HN203" s="1641"/>
      <c r="HO203" s="1641"/>
      <c r="HP203" s="1641"/>
      <c r="HQ203" s="1641"/>
      <c r="HR203" s="1641"/>
      <c r="HS203" s="1641"/>
      <c r="HT203" s="1641"/>
      <c r="HU203" s="1641"/>
      <c r="HV203" s="1641"/>
      <c r="HW203" s="1641"/>
      <c r="HX203" s="1641"/>
      <c r="HY203" s="1641"/>
      <c r="HZ203" s="1641"/>
      <c r="IA203" s="1641"/>
      <c r="IB203" s="1641"/>
      <c r="IC203" s="1641"/>
      <c r="ID203" s="1641"/>
      <c r="IE203" s="1641"/>
      <c r="IF203" s="1641"/>
      <c r="IG203" s="1641"/>
      <c r="IH203" s="1641"/>
      <c r="II203" s="1641"/>
      <c r="IJ203" s="1641"/>
      <c r="IK203" s="1636">
        <v>500</v>
      </c>
      <c r="IL203" s="1641"/>
      <c r="IM203" s="1641"/>
      <c r="IN203" s="1641"/>
      <c r="IO203" s="1641"/>
      <c r="IP203" s="1410"/>
      <c r="IQ203" s="1410"/>
      <c r="IR203" s="1410"/>
      <c r="IS203" s="1410"/>
      <c r="IT203" s="1410"/>
      <c r="IU203" s="1410"/>
      <c r="IV203" s="1410"/>
      <c r="IW203" s="1410"/>
      <c r="IX203" s="1641"/>
      <c r="IY203" s="1641"/>
      <c r="IZ203" s="1641"/>
      <c r="JA203" s="1641"/>
      <c r="JB203" s="1641"/>
      <c r="JC203" s="1641"/>
      <c r="JD203" s="1641"/>
      <c r="JE203" s="1641"/>
      <c r="JF203" s="1641"/>
      <c r="JG203" s="1641"/>
      <c r="JH203" s="1410"/>
      <c r="JI203" s="1410"/>
      <c r="JJ203" s="1410"/>
      <c r="JK203" s="1410"/>
      <c r="JL203" s="1410"/>
      <c r="JM203" s="1410"/>
      <c r="JN203" s="1410"/>
      <c r="JO203" s="1410"/>
      <c r="JP203" s="1410"/>
      <c r="JQ203" s="1405"/>
      <c r="JR203" s="351"/>
    </row>
    <row r="204" spans="1:278" x14ac:dyDescent="0.25">
      <c r="A204" s="1367">
        <v>204</v>
      </c>
      <c r="B204" s="1411" t="str">
        <f t="shared" si="18"/>
        <v/>
      </c>
      <c r="C204" s="1644" t="s">
        <v>4134</v>
      </c>
      <c r="D204" s="1645" t="s">
        <v>4135</v>
      </c>
      <c r="E204" s="1641"/>
      <c r="F204" s="1641"/>
      <c r="G204" s="1641"/>
      <c r="H204" s="1641"/>
      <c r="I204" s="1641"/>
      <c r="J204" s="1641"/>
      <c r="K204" s="1641"/>
      <c r="L204" s="1641"/>
      <c r="M204" s="1641"/>
      <c r="N204" s="1641"/>
      <c r="O204" s="1641"/>
      <c r="P204" s="1641"/>
      <c r="Q204" s="1641"/>
      <c r="R204" s="1641"/>
      <c r="S204" s="1641"/>
      <c r="T204" s="1641"/>
      <c r="U204" s="1641"/>
      <c r="V204" s="1641"/>
      <c r="W204" s="1641"/>
      <c r="X204" s="1641"/>
      <c r="Y204" s="1641"/>
      <c r="Z204" s="1641"/>
      <c r="AA204" s="1641"/>
      <c r="AB204" s="1641"/>
      <c r="AC204" s="1641"/>
      <c r="AD204" s="1641"/>
      <c r="AE204" s="1641"/>
      <c r="AF204" s="1641"/>
      <c r="AG204" s="1641"/>
      <c r="AH204" s="1641"/>
      <c r="AI204" s="1641"/>
      <c r="AJ204" s="1641"/>
      <c r="AK204" s="1641"/>
      <c r="AL204" s="1641"/>
      <c r="AM204" s="1641"/>
      <c r="AN204" s="1641"/>
      <c r="AO204" s="1641"/>
      <c r="AP204" s="1641"/>
      <c r="AQ204" s="1641"/>
      <c r="AR204" s="1641"/>
      <c r="AS204" s="1641"/>
      <c r="AT204" s="1641"/>
      <c r="AU204" s="1641"/>
      <c r="AV204" s="1641"/>
      <c r="AW204" s="1641"/>
      <c r="AX204" s="1641"/>
      <c r="AY204" s="1641"/>
      <c r="AZ204" s="1641"/>
      <c r="BA204" s="1641"/>
      <c r="BB204" s="1641"/>
      <c r="BC204" s="1641"/>
      <c r="BD204" s="1641"/>
      <c r="BE204" s="1641"/>
      <c r="BF204" s="1641"/>
      <c r="BG204" s="1641"/>
      <c r="BH204" s="1641"/>
      <c r="BI204" s="1641"/>
      <c r="BJ204" s="1641"/>
      <c r="BK204" s="1641"/>
      <c r="BL204" s="1641"/>
      <c r="BM204" s="1641"/>
      <c r="BN204" s="1641"/>
      <c r="BO204" s="1641"/>
      <c r="BP204" s="1641"/>
      <c r="BQ204" s="1641"/>
      <c r="BR204" s="1641"/>
      <c r="BS204" s="1641"/>
      <c r="BT204" s="1641"/>
      <c r="BU204" s="1641"/>
      <c r="BV204" s="1641"/>
      <c r="BW204" s="1641"/>
      <c r="BX204" s="1641"/>
      <c r="BY204" s="1641"/>
      <c r="BZ204" s="1641"/>
      <c r="CA204" s="1641"/>
      <c r="CB204" s="1641"/>
      <c r="CC204" s="1641"/>
      <c r="CD204" s="1641"/>
      <c r="CE204" s="1641"/>
      <c r="CF204" s="1641"/>
      <c r="CG204" s="1641"/>
      <c r="CH204" s="1641"/>
      <c r="CI204" s="1641"/>
      <c r="CJ204" s="1641"/>
      <c r="CK204" s="1641"/>
      <c r="CL204" s="1641"/>
      <c r="CM204" s="1641"/>
      <c r="CN204" s="1641"/>
      <c r="CO204" s="1641"/>
      <c r="CP204" s="1641"/>
      <c r="CQ204" s="1641"/>
      <c r="CR204" s="1641"/>
      <c r="CS204" s="1641"/>
      <c r="CT204" s="1641"/>
      <c r="CU204" s="1641"/>
      <c r="CV204" s="1641"/>
      <c r="CW204" s="1641"/>
      <c r="CX204" s="1641"/>
      <c r="CY204" s="1641"/>
      <c r="CZ204" s="1641"/>
      <c r="DA204" s="1641"/>
      <c r="DB204" s="1641"/>
      <c r="DC204" s="1641"/>
      <c r="DD204" s="1641"/>
      <c r="DE204" s="1641"/>
      <c r="DF204" s="1641"/>
      <c r="DG204" s="1641"/>
      <c r="DH204" s="1641"/>
      <c r="DI204" s="1641"/>
      <c r="DJ204" s="1641"/>
      <c r="DK204" s="1641"/>
      <c r="DL204" s="1641"/>
      <c r="DM204" s="1641"/>
      <c r="DN204" s="1641"/>
      <c r="DO204" s="1641"/>
      <c r="DP204" s="1641"/>
      <c r="DQ204" s="1641"/>
      <c r="DR204" s="1641"/>
      <c r="DS204" s="1641"/>
      <c r="DT204" s="1641"/>
      <c r="DU204" s="1641"/>
      <c r="DV204" s="1641"/>
      <c r="DW204" s="1641"/>
      <c r="DX204" s="1641"/>
      <c r="DY204" s="1641"/>
      <c r="DZ204" s="1641"/>
      <c r="EA204" s="1641"/>
      <c r="EB204" s="1641"/>
      <c r="EC204" s="1641"/>
      <c r="ED204" s="1641"/>
      <c r="EE204" s="1641"/>
      <c r="EF204" s="1641"/>
      <c r="EG204" s="1641"/>
      <c r="EH204" s="1641"/>
      <c r="EI204" s="1641"/>
      <c r="EJ204" s="1641"/>
      <c r="EK204" s="1641"/>
      <c r="EL204" s="1641"/>
      <c r="EM204" s="1641"/>
      <c r="EN204" s="1641"/>
      <c r="EO204" s="1641"/>
      <c r="EP204" s="1641"/>
      <c r="EQ204" s="1641"/>
      <c r="ER204" s="1641"/>
      <c r="ES204" s="1641"/>
      <c r="ET204" s="1641"/>
      <c r="EU204" s="1641"/>
      <c r="EV204" s="1641"/>
      <c r="EW204" s="1641"/>
      <c r="EX204" s="1641"/>
      <c r="EY204" s="1641"/>
      <c r="EZ204" s="1641"/>
      <c r="FA204" s="1641"/>
      <c r="FB204" s="1641"/>
      <c r="FC204" s="1641"/>
      <c r="FD204" s="1641"/>
      <c r="FE204" s="1641"/>
      <c r="FF204" s="1641"/>
      <c r="FG204" s="1641"/>
      <c r="FH204" s="1641"/>
      <c r="FI204" s="1641"/>
      <c r="FJ204" s="1641"/>
      <c r="FK204" s="1641"/>
      <c r="FL204" s="1641"/>
      <c r="FM204" s="1641"/>
      <c r="FN204" s="1641"/>
      <c r="FO204" s="1641"/>
      <c r="FP204" s="1641"/>
      <c r="FQ204" s="1641"/>
      <c r="FR204" s="1641"/>
      <c r="FS204" s="1641"/>
      <c r="FT204" s="1641"/>
      <c r="FU204" s="1641"/>
      <c r="FV204" s="1641"/>
      <c r="FW204" s="1641"/>
      <c r="FX204" s="1641"/>
      <c r="FY204" s="1641"/>
      <c r="FZ204" s="1641"/>
      <c r="GA204" s="1641"/>
      <c r="GB204" s="1641"/>
      <c r="GC204" s="1641"/>
      <c r="GD204" s="1641"/>
      <c r="GE204" s="1641"/>
      <c r="GF204" s="1641"/>
      <c r="GG204" s="1641"/>
      <c r="GH204" s="1641"/>
      <c r="GI204" s="1641"/>
      <c r="GJ204" s="1641"/>
      <c r="GK204" s="1641"/>
      <c r="GL204" s="1641"/>
      <c r="GM204" s="1641"/>
      <c r="GN204" s="1641"/>
      <c r="GO204" s="1641"/>
      <c r="GP204" s="1641"/>
      <c r="GQ204" s="1641"/>
      <c r="GR204" s="1641"/>
      <c r="GS204" s="1641"/>
      <c r="GT204" s="1641"/>
      <c r="GU204" s="1641"/>
      <c r="GV204" s="1641"/>
      <c r="GW204" s="1641"/>
      <c r="GX204" s="1641"/>
      <c r="GY204" s="1641"/>
      <c r="GZ204" s="1641"/>
      <c r="HA204" s="1641"/>
      <c r="HB204" s="1641"/>
      <c r="HC204" s="1641"/>
      <c r="HD204" s="1641"/>
      <c r="HE204" s="1641"/>
      <c r="HF204" s="1641"/>
      <c r="HG204" s="1641"/>
      <c r="HH204" s="1641"/>
      <c r="HI204" s="1641"/>
      <c r="HJ204" s="1641"/>
      <c r="HK204" s="1641"/>
      <c r="HL204" s="1641"/>
      <c r="HM204" s="1641"/>
      <c r="HN204" s="1641"/>
      <c r="HO204" s="1641"/>
      <c r="HP204" s="1641"/>
      <c r="HQ204" s="1641"/>
      <c r="HR204" s="1641"/>
      <c r="HS204" s="1641"/>
      <c r="HT204" s="1641"/>
      <c r="HU204" s="1641"/>
      <c r="HV204" s="1641"/>
      <c r="HW204" s="1641"/>
      <c r="HX204" s="1641"/>
      <c r="HY204" s="1641"/>
      <c r="HZ204" s="1641"/>
      <c r="IA204" s="1641"/>
      <c r="IB204" s="1641"/>
      <c r="IC204" s="1641"/>
      <c r="ID204" s="1641"/>
      <c r="IE204" s="1641"/>
      <c r="IF204" s="1641"/>
      <c r="IG204" s="1641"/>
      <c r="IH204" s="1641"/>
      <c r="II204" s="1641"/>
      <c r="IJ204" s="1641"/>
      <c r="IK204" s="1641"/>
      <c r="IL204" s="1636">
        <v>125</v>
      </c>
      <c r="IM204" s="1641"/>
      <c r="IN204" s="1641"/>
      <c r="IO204" s="1641"/>
      <c r="IP204" s="1410"/>
      <c r="IQ204" s="1410"/>
      <c r="IR204" s="1410"/>
      <c r="IS204" s="1410"/>
      <c r="IT204" s="1410"/>
      <c r="IU204" s="1410"/>
      <c r="IV204" s="1410"/>
      <c r="IW204" s="1410"/>
      <c r="IX204" s="1641"/>
      <c r="IY204" s="1641"/>
      <c r="IZ204" s="1641"/>
      <c r="JA204" s="1641"/>
      <c r="JB204" s="1641"/>
      <c r="JC204" s="1641"/>
      <c r="JD204" s="1641"/>
      <c r="JE204" s="1641"/>
      <c r="JF204" s="1641"/>
      <c r="JG204" s="1641"/>
      <c r="JH204" s="1410"/>
      <c r="JI204" s="1410"/>
      <c r="JJ204" s="1410"/>
      <c r="JK204" s="1410"/>
      <c r="JL204" s="1410"/>
      <c r="JM204" s="1410"/>
      <c r="JN204" s="1410"/>
      <c r="JO204" s="1410"/>
      <c r="JP204" s="1410"/>
      <c r="JQ204" s="1405"/>
      <c r="JR204" s="351"/>
    </row>
    <row r="205" spans="1:278" x14ac:dyDescent="0.25">
      <c r="A205" s="1367">
        <v>205</v>
      </c>
      <c r="B205" s="1411" t="str">
        <f t="shared" si="18"/>
        <v/>
      </c>
      <c r="C205" s="1644" t="s">
        <v>4136</v>
      </c>
      <c r="D205" s="1645" t="s">
        <v>3890</v>
      </c>
      <c r="E205" s="1641"/>
      <c r="F205" s="1641"/>
      <c r="G205" s="1641"/>
      <c r="H205" s="1641"/>
      <c r="I205" s="1641"/>
      <c r="J205" s="1641"/>
      <c r="K205" s="1641"/>
      <c r="L205" s="1641"/>
      <c r="M205" s="1641"/>
      <c r="N205" s="1641"/>
      <c r="O205" s="1641"/>
      <c r="P205" s="1641"/>
      <c r="Q205" s="1641"/>
      <c r="R205" s="1641"/>
      <c r="S205" s="1641"/>
      <c r="T205" s="1641"/>
      <c r="U205" s="1641"/>
      <c r="V205" s="1641"/>
      <c r="W205" s="1641"/>
      <c r="X205" s="1641"/>
      <c r="Y205" s="1641"/>
      <c r="Z205" s="1641"/>
      <c r="AA205" s="1641"/>
      <c r="AB205" s="1641"/>
      <c r="AC205" s="1641"/>
      <c r="AD205" s="1641"/>
      <c r="AE205" s="1641"/>
      <c r="AF205" s="1641"/>
      <c r="AG205" s="1641"/>
      <c r="AH205" s="1641"/>
      <c r="AI205" s="1641"/>
      <c r="AJ205" s="1641"/>
      <c r="AK205" s="1641"/>
      <c r="AL205" s="1641"/>
      <c r="AM205" s="1641"/>
      <c r="AN205" s="1641"/>
      <c r="AO205" s="1641"/>
      <c r="AP205" s="1641"/>
      <c r="AQ205" s="1641"/>
      <c r="AR205" s="1641"/>
      <c r="AS205" s="1641"/>
      <c r="AT205" s="1641"/>
      <c r="AU205" s="1641"/>
      <c r="AV205" s="1641"/>
      <c r="AW205" s="1641"/>
      <c r="AX205" s="1641"/>
      <c r="AY205" s="1641"/>
      <c r="AZ205" s="1641"/>
      <c r="BA205" s="1641"/>
      <c r="BB205" s="1641"/>
      <c r="BC205" s="1641"/>
      <c r="BD205" s="1641"/>
      <c r="BE205" s="1641"/>
      <c r="BF205" s="1641"/>
      <c r="BG205" s="1641"/>
      <c r="BH205" s="1641"/>
      <c r="BI205" s="1641"/>
      <c r="BJ205" s="1641"/>
      <c r="BK205" s="1641"/>
      <c r="BL205" s="1641"/>
      <c r="BM205" s="1641"/>
      <c r="BN205" s="1641"/>
      <c r="BO205" s="1641"/>
      <c r="BP205" s="1641"/>
      <c r="BQ205" s="1641"/>
      <c r="BR205" s="1641"/>
      <c r="BS205" s="1641"/>
      <c r="BT205" s="1641"/>
      <c r="BU205" s="1641"/>
      <c r="BV205" s="1641"/>
      <c r="BW205" s="1641"/>
      <c r="BX205" s="1641"/>
      <c r="BY205" s="1641"/>
      <c r="BZ205" s="1641"/>
      <c r="CA205" s="1641"/>
      <c r="CB205" s="1641"/>
      <c r="CC205" s="1641"/>
      <c r="CD205" s="1641"/>
      <c r="CE205" s="1641"/>
      <c r="CF205" s="1641"/>
      <c r="CG205" s="1641"/>
      <c r="CH205" s="1641"/>
      <c r="CI205" s="1641"/>
      <c r="CJ205" s="1641"/>
      <c r="CK205" s="1641"/>
      <c r="CL205" s="1641"/>
      <c r="CM205" s="1641"/>
      <c r="CN205" s="1641"/>
      <c r="CO205" s="1641"/>
      <c r="CP205" s="1641"/>
      <c r="CQ205" s="1641"/>
      <c r="CR205" s="1641"/>
      <c r="CS205" s="1641"/>
      <c r="CT205" s="1641"/>
      <c r="CU205" s="1641"/>
      <c r="CV205" s="1641"/>
      <c r="CW205" s="1641"/>
      <c r="CX205" s="1641"/>
      <c r="CY205" s="1641"/>
      <c r="CZ205" s="1641"/>
      <c r="DA205" s="1641"/>
      <c r="DB205" s="1641"/>
      <c r="DC205" s="1641"/>
      <c r="DD205" s="1641"/>
      <c r="DE205" s="1641"/>
      <c r="DF205" s="1641"/>
      <c r="DG205" s="1641"/>
      <c r="DH205" s="1641"/>
      <c r="DI205" s="1641"/>
      <c r="DJ205" s="1641"/>
      <c r="DK205" s="1641"/>
      <c r="DL205" s="1641"/>
      <c r="DM205" s="1641"/>
      <c r="DN205" s="1641"/>
      <c r="DO205" s="1641"/>
      <c r="DP205" s="1641"/>
      <c r="DQ205" s="1641"/>
      <c r="DR205" s="1641"/>
      <c r="DS205" s="1641"/>
      <c r="DT205" s="1641"/>
      <c r="DU205" s="1641"/>
      <c r="DV205" s="1641"/>
      <c r="DW205" s="1641"/>
      <c r="DX205" s="1641"/>
      <c r="DY205" s="1641"/>
      <c r="DZ205" s="1641"/>
      <c r="EA205" s="1641"/>
      <c r="EB205" s="1641"/>
      <c r="EC205" s="1641"/>
      <c r="ED205" s="1641"/>
      <c r="EE205" s="1641"/>
      <c r="EF205" s="1641"/>
      <c r="EG205" s="1641"/>
      <c r="EH205" s="1641"/>
      <c r="EI205" s="1641"/>
      <c r="EJ205" s="1641"/>
      <c r="EK205" s="1641"/>
      <c r="EL205" s="1641"/>
      <c r="EM205" s="1641"/>
      <c r="EN205" s="1641"/>
      <c r="EO205" s="1641"/>
      <c r="EP205" s="1641"/>
      <c r="EQ205" s="1641"/>
      <c r="ER205" s="1641"/>
      <c r="ES205" s="1641"/>
      <c r="ET205" s="1641"/>
      <c r="EU205" s="1641"/>
      <c r="EV205" s="1641"/>
      <c r="EW205" s="1641"/>
      <c r="EX205" s="1641"/>
      <c r="EY205" s="1641"/>
      <c r="EZ205" s="1641"/>
      <c r="FA205" s="1641"/>
      <c r="FB205" s="1641"/>
      <c r="FC205" s="1641"/>
      <c r="FD205" s="1641"/>
      <c r="FE205" s="1641"/>
      <c r="FF205" s="1641"/>
      <c r="FG205" s="1641"/>
      <c r="FH205" s="1641"/>
      <c r="FI205" s="1641"/>
      <c r="FJ205" s="1641"/>
      <c r="FK205" s="1641"/>
      <c r="FL205" s="1641"/>
      <c r="FM205" s="1641"/>
      <c r="FN205" s="1641"/>
      <c r="FO205" s="1641"/>
      <c r="FP205" s="1641"/>
      <c r="FQ205" s="1641"/>
      <c r="FR205" s="1641"/>
      <c r="FS205" s="1641"/>
      <c r="FT205" s="1641"/>
      <c r="FU205" s="1641"/>
      <c r="FV205" s="1641"/>
      <c r="FW205" s="1641"/>
      <c r="FX205" s="1641"/>
      <c r="FY205" s="1641"/>
      <c r="FZ205" s="1641"/>
      <c r="GA205" s="1641"/>
      <c r="GB205" s="1641"/>
      <c r="GC205" s="1641"/>
      <c r="GD205" s="1641"/>
      <c r="GE205" s="1641"/>
      <c r="GF205" s="1641"/>
      <c r="GG205" s="1641"/>
      <c r="GH205" s="1641"/>
      <c r="GI205" s="1641"/>
      <c r="GJ205" s="1641"/>
      <c r="GK205" s="1641"/>
      <c r="GL205" s="1641"/>
      <c r="GM205" s="1641"/>
      <c r="GN205" s="1641"/>
      <c r="GO205" s="1641"/>
      <c r="GP205" s="1641"/>
      <c r="GQ205" s="1641"/>
      <c r="GR205" s="1641"/>
      <c r="GS205" s="1641"/>
      <c r="GT205" s="1641"/>
      <c r="GU205" s="1641"/>
      <c r="GV205" s="1641"/>
      <c r="GW205" s="1641"/>
      <c r="GX205" s="1641"/>
      <c r="GY205" s="1641"/>
      <c r="GZ205" s="1641"/>
      <c r="HA205" s="1641"/>
      <c r="HB205" s="1641"/>
      <c r="HC205" s="1641"/>
      <c r="HD205" s="1641"/>
      <c r="HE205" s="1641"/>
      <c r="HF205" s="1641"/>
      <c r="HG205" s="1641"/>
      <c r="HH205" s="1641"/>
      <c r="HI205" s="1641"/>
      <c r="HJ205" s="1641"/>
      <c r="HK205" s="1641"/>
      <c r="HL205" s="1641"/>
      <c r="HM205" s="1641"/>
      <c r="HN205" s="1641"/>
      <c r="HO205" s="1641"/>
      <c r="HP205" s="1641"/>
      <c r="HQ205" s="1641"/>
      <c r="HR205" s="1641"/>
      <c r="HS205" s="1641"/>
      <c r="HT205" s="1641"/>
      <c r="HU205" s="1641"/>
      <c r="HV205" s="1641"/>
      <c r="HW205" s="1641"/>
      <c r="HX205" s="1641"/>
      <c r="HY205" s="1641"/>
      <c r="HZ205" s="1641"/>
      <c r="IA205" s="1641"/>
      <c r="IB205" s="1641"/>
      <c r="IC205" s="1641"/>
      <c r="ID205" s="1641"/>
      <c r="IE205" s="1641"/>
      <c r="IF205" s="1641"/>
      <c r="IG205" s="1641"/>
      <c r="IH205" s="1641"/>
      <c r="II205" s="1641"/>
      <c r="IJ205" s="1641"/>
      <c r="IK205" s="1641"/>
      <c r="IM205" s="1641"/>
      <c r="IN205" s="1641"/>
      <c r="IO205" s="1641"/>
      <c r="IP205" s="1410"/>
      <c r="IQ205" s="1410"/>
      <c r="IR205" s="1410"/>
      <c r="IS205" s="1410"/>
      <c r="IT205" s="1410"/>
      <c r="IU205" s="1410"/>
      <c r="IV205" s="1410"/>
      <c r="IW205" s="1410"/>
      <c r="IX205" s="1641"/>
      <c r="IY205" s="1641"/>
      <c r="IZ205" s="1641"/>
      <c r="JA205" s="1641"/>
      <c r="JB205" s="1641"/>
      <c r="JC205" s="1641"/>
      <c r="JD205" s="1641"/>
      <c r="JE205" s="1641"/>
      <c r="JF205" s="1641"/>
      <c r="JG205" s="1641"/>
      <c r="JH205" s="1410"/>
      <c r="JI205" s="1410"/>
      <c r="JJ205" s="1410"/>
      <c r="JK205" s="1410"/>
      <c r="JL205" s="1410"/>
      <c r="JM205" s="1410"/>
      <c r="JN205" s="1410"/>
      <c r="JO205" s="1410"/>
      <c r="JP205" s="1410"/>
      <c r="JQ205" s="1405"/>
      <c r="JR205" s="351"/>
    </row>
    <row r="206" spans="1:278" x14ac:dyDescent="0.25">
      <c r="A206" s="1367">
        <v>206</v>
      </c>
      <c r="B206" s="1411" t="str">
        <f t="shared" si="18"/>
        <v/>
      </c>
      <c r="C206" s="1644" t="s">
        <v>4137</v>
      </c>
      <c r="D206" s="1645" t="s">
        <v>4138</v>
      </c>
      <c r="E206" s="1641"/>
      <c r="F206" s="1641"/>
      <c r="G206" s="1641"/>
      <c r="H206" s="1641"/>
      <c r="I206" s="1641"/>
      <c r="J206" s="1641"/>
      <c r="K206" s="1641"/>
      <c r="L206" s="1641"/>
      <c r="M206" s="1641"/>
      <c r="N206" s="1641"/>
      <c r="O206" s="1641"/>
      <c r="P206" s="1641"/>
      <c r="Q206" s="1641"/>
      <c r="R206" s="1641"/>
      <c r="S206" s="1641"/>
      <c r="T206" s="1641"/>
      <c r="U206" s="1641"/>
      <c r="V206" s="1641"/>
      <c r="W206" s="1641"/>
      <c r="X206" s="1641"/>
      <c r="Y206" s="1641"/>
      <c r="Z206" s="1641"/>
      <c r="AA206" s="1641"/>
      <c r="AB206" s="1641"/>
      <c r="AC206" s="1641"/>
      <c r="AD206" s="1641"/>
      <c r="AE206" s="1641"/>
      <c r="AF206" s="1641"/>
      <c r="AG206" s="1641"/>
      <c r="AH206" s="1641"/>
      <c r="AI206" s="1641"/>
      <c r="AJ206" s="1641"/>
      <c r="AK206" s="1641"/>
      <c r="AL206" s="1641"/>
      <c r="AM206" s="1641"/>
      <c r="AN206" s="1641"/>
      <c r="AO206" s="1641"/>
      <c r="AP206" s="1641"/>
      <c r="AQ206" s="1641"/>
      <c r="AR206" s="1641"/>
      <c r="AS206" s="1641"/>
      <c r="AT206" s="1641"/>
      <c r="AU206" s="1641"/>
      <c r="AV206" s="1641"/>
      <c r="AW206" s="1641"/>
      <c r="AX206" s="1641"/>
      <c r="AY206" s="1641"/>
      <c r="AZ206" s="1641"/>
      <c r="BA206" s="1641"/>
      <c r="BB206" s="1641"/>
      <c r="BC206" s="1641"/>
      <c r="BD206" s="1641"/>
      <c r="BE206" s="1641"/>
      <c r="BF206" s="1641"/>
      <c r="BG206" s="1641"/>
      <c r="BH206" s="1641"/>
      <c r="BI206" s="1641"/>
      <c r="BJ206" s="1641"/>
      <c r="BK206" s="1641"/>
      <c r="BL206" s="1641"/>
      <c r="BM206" s="1641"/>
      <c r="BN206" s="1641"/>
      <c r="BO206" s="1641"/>
      <c r="BP206" s="1641"/>
      <c r="BQ206" s="1641"/>
      <c r="BR206" s="1641"/>
      <c r="BS206" s="1641"/>
      <c r="BT206" s="1641"/>
      <c r="BU206" s="1641"/>
      <c r="BV206" s="1641"/>
      <c r="BW206" s="1641"/>
      <c r="BX206" s="1641"/>
      <c r="BY206" s="1641"/>
      <c r="BZ206" s="1641"/>
      <c r="CA206" s="1641"/>
      <c r="CB206" s="1641"/>
      <c r="CC206" s="1641"/>
      <c r="CD206" s="1641"/>
      <c r="CE206" s="1641"/>
      <c r="CF206" s="1641"/>
      <c r="CG206" s="1641"/>
      <c r="CH206" s="1641"/>
      <c r="CI206" s="1641"/>
      <c r="CJ206" s="1641"/>
      <c r="CK206" s="1641"/>
      <c r="CL206" s="1641"/>
      <c r="CM206" s="1641"/>
      <c r="CN206" s="1641"/>
      <c r="CO206" s="1641"/>
      <c r="CP206" s="1641"/>
      <c r="CQ206" s="1641"/>
      <c r="CR206" s="1641"/>
      <c r="CS206" s="1641"/>
      <c r="CT206" s="1641"/>
      <c r="CU206" s="1641"/>
      <c r="CV206" s="1641"/>
      <c r="CW206" s="1641"/>
      <c r="CX206" s="1641"/>
      <c r="CY206" s="1641"/>
      <c r="CZ206" s="1641"/>
      <c r="DA206" s="1641"/>
      <c r="DB206" s="1641"/>
      <c r="DC206" s="1641"/>
      <c r="DD206" s="1641"/>
      <c r="DE206" s="1641"/>
      <c r="DF206" s="1641"/>
      <c r="DG206" s="1641"/>
      <c r="DH206" s="1641"/>
      <c r="DI206" s="1641"/>
      <c r="DJ206" s="1641"/>
      <c r="DK206" s="1641"/>
      <c r="DL206" s="1641"/>
      <c r="DM206" s="1641"/>
      <c r="DN206" s="1641"/>
      <c r="DO206" s="1641"/>
      <c r="DP206" s="1641"/>
      <c r="DQ206" s="1641"/>
      <c r="DR206" s="1641"/>
      <c r="DS206" s="1641"/>
      <c r="DT206" s="1641"/>
      <c r="DU206" s="1641"/>
      <c r="DV206" s="1641"/>
      <c r="DW206" s="1641"/>
      <c r="DX206" s="1641"/>
      <c r="DY206" s="1641"/>
      <c r="DZ206" s="1641"/>
      <c r="EA206" s="1641"/>
      <c r="EB206" s="1641"/>
      <c r="EC206" s="1641"/>
      <c r="ED206" s="1641"/>
      <c r="EE206" s="1641"/>
      <c r="EF206" s="1641"/>
      <c r="EG206" s="1641"/>
      <c r="EH206" s="1641"/>
      <c r="EI206" s="1641"/>
      <c r="EJ206" s="1641"/>
      <c r="EK206" s="1641"/>
      <c r="EL206" s="1641"/>
      <c r="EM206" s="1641"/>
      <c r="EN206" s="1641"/>
      <c r="EO206" s="1641"/>
      <c r="EP206" s="1641"/>
      <c r="EQ206" s="1641"/>
      <c r="ER206" s="1641"/>
      <c r="ES206" s="1641"/>
      <c r="ET206" s="1641"/>
      <c r="EU206" s="1641"/>
      <c r="EV206" s="1641"/>
      <c r="EW206" s="1641"/>
      <c r="EX206" s="1641"/>
      <c r="EY206" s="1641"/>
      <c r="EZ206" s="1641"/>
      <c r="FA206" s="1641"/>
      <c r="FB206" s="1641"/>
      <c r="FC206" s="1641"/>
      <c r="FD206" s="1641"/>
      <c r="FE206" s="1641"/>
      <c r="FF206" s="1641"/>
      <c r="FG206" s="1641"/>
      <c r="FH206" s="1641"/>
      <c r="FI206" s="1641"/>
      <c r="FJ206" s="1641"/>
      <c r="FK206" s="1641"/>
      <c r="FL206" s="1641"/>
      <c r="FM206" s="1641"/>
      <c r="FN206" s="1641"/>
      <c r="FO206" s="1641"/>
      <c r="FP206" s="1641"/>
      <c r="FQ206" s="1641"/>
      <c r="FR206" s="1641"/>
      <c r="FS206" s="1641"/>
      <c r="FT206" s="1641"/>
      <c r="FU206" s="1641"/>
      <c r="FV206" s="1641"/>
      <c r="FW206" s="1641"/>
      <c r="FX206" s="1641"/>
      <c r="FY206" s="1641"/>
      <c r="FZ206" s="1641"/>
      <c r="GA206" s="1641"/>
      <c r="GB206" s="1641"/>
      <c r="GC206" s="1641"/>
      <c r="GD206" s="1641"/>
      <c r="GE206" s="1641"/>
      <c r="GF206" s="1641"/>
      <c r="GG206" s="1641"/>
      <c r="GH206" s="1641"/>
      <c r="GI206" s="1641"/>
      <c r="GJ206" s="1641"/>
      <c r="GK206" s="1641"/>
      <c r="GL206" s="1641"/>
      <c r="GM206" s="1641"/>
      <c r="GN206" s="1641"/>
      <c r="GO206" s="1641"/>
      <c r="GP206" s="1641"/>
      <c r="GQ206" s="1641"/>
      <c r="GR206" s="1641"/>
      <c r="GS206" s="1641"/>
      <c r="GT206" s="1641"/>
      <c r="GU206" s="1641"/>
      <c r="GV206" s="1641"/>
      <c r="GW206" s="1641"/>
      <c r="GX206" s="1641"/>
      <c r="GY206" s="1641"/>
      <c r="GZ206" s="1641"/>
      <c r="HA206" s="1641"/>
      <c r="HB206" s="1641"/>
      <c r="HC206" s="1641"/>
      <c r="HD206" s="1641"/>
      <c r="HE206" s="1641"/>
      <c r="HF206" s="1641"/>
      <c r="HG206" s="1641"/>
      <c r="HH206" s="1641"/>
      <c r="HI206" s="1641"/>
      <c r="HJ206" s="1641"/>
      <c r="HK206" s="1641"/>
      <c r="HL206" s="1641"/>
      <c r="HM206" s="1641"/>
      <c r="HN206" s="1641"/>
      <c r="HO206" s="1641"/>
      <c r="HP206" s="1641"/>
      <c r="HQ206" s="1641"/>
      <c r="HR206" s="1641"/>
      <c r="HS206" s="1641"/>
      <c r="HT206" s="1641"/>
      <c r="HU206" s="1641"/>
      <c r="HV206" s="1641"/>
      <c r="HW206" s="1641"/>
      <c r="HX206" s="1641"/>
      <c r="HY206" s="1641"/>
      <c r="HZ206" s="1641"/>
      <c r="IA206" s="1641"/>
      <c r="IB206" s="1641"/>
      <c r="IC206" s="1641"/>
      <c r="ID206" s="1641"/>
      <c r="IE206" s="1641"/>
      <c r="IF206" s="1641"/>
      <c r="IG206" s="1641"/>
      <c r="IH206" s="1641"/>
      <c r="II206" s="1641"/>
      <c r="IJ206" s="1641"/>
      <c r="IK206" s="1641"/>
      <c r="IL206" s="1636">
        <v>166</v>
      </c>
      <c r="IM206" s="1641"/>
      <c r="IN206" s="1641"/>
      <c r="IO206" s="1641"/>
      <c r="IP206" s="1410"/>
      <c r="IQ206" s="1410"/>
      <c r="IR206" s="1410"/>
      <c r="IS206" s="1410"/>
      <c r="IT206" s="1410"/>
      <c r="IU206" s="1410"/>
      <c r="IV206" s="1410"/>
      <c r="IW206" s="1410"/>
      <c r="IX206" s="1641"/>
      <c r="IY206" s="1641"/>
      <c r="IZ206" s="1641"/>
      <c r="JA206" s="1641"/>
      <c r="JB206" s="1641"/>
      <c r="JC206" s="1641"/>
      <c r="JD206" s="1641"/>
      <c r="JE206" s="1641"/>
      <c r="JF206" s="1641"/>
      <c r="JG206" s="1641"/>
      <c r="JH206" s="1410"/>
      <c r="JI206" s="1410"/>
      <c r="JJ206" s="1410"/>
      <c r="JK206" s="1410"/>
      <c r="JL206" s="1410"/>
      <c r="JM206" s="1410"/>
      <c r="JN206" s="1410"/>
      <c r="JO206" s="1410"/>
      <c r="JP206" s="1410"/>
      <c r="JQ206" s="1405"/>
      <c r="JR206" s="351"/>
    </row>
    <row r="207" spans="1:278" x14ac:dyDescent="0.25">
      <c r="A207" s="1367">
        <v>207</v>
      </c>
      <c r="B207" s="1411" t="str">
        <f t="shared" si="18"/>
        <v/>
      </c>
      <c r="C207" s="1644" t="s">
        <v>4139</v>
      </c>
      <c r="D207" s="1645" t="s">
        <v>3890</v>
      </c>
      <c r="E207" s="1641"/>
      <c r="F207" s="1641"/>
      <c r="G207" s="1641"/>
      <c r="H207" s="1641"/>
      <c r="I207" s="1641"/>
      <c r="J207" s="1641"/>
      <c r="K207" s="1641"/>
      <c r="L207" s="1641"/>
      <c r="M207" s="1641"/>
      <c r="N207" s="1641"/>
      <c r="O207" s="1641"/>
      <c r="P207" s="1641"/>
      <c r="Q207" s="1641"/>
      <c r="R207" s="1641"/>
      <c r="S207" s="1641"/>
      <c r="T207" s="1641"/>
      <c r="U207" s="1641"/>
      <c r="V207" s="1641"/>
      <c r="W207" s="1641"/>
      <c r="X207" s="1641"/>
      <c r="Y207" s="1641"/>
      <c r="Z207" s="1641"/>
      <c r="AA207" s="1641"/>
      <c r="AB207" s="1641"/>
      <c r="AC207" s="1641"/>
      <c r="AD207" s="1641"/>
      <c r="AE207" s="1641"/>
      <c r="AF207" s="1641"/>
      <c r="AG207" s="1641"/>
      <c r="AH207" s="1641"/>
      <c r="AI207" s="1641"/>
      <c r="AJ207" s="1641"/>
      <c r="AK207" s="1641"/>
      <c r="AL207" s="1641"/>
      <c r="AM207" s="1641"/>
      <c r="AN207" s="1641"/>
      <c r="AO207" s="1641"/>
      <c r="AP207" s="1641"/>
      <c r="AQ207" s="1641"/>
      <c r="AR207" s="1641"/>
      <c r="AS207" s="1641"/>
      <c r="AT207" s="1641"/>
      <c r="AU207" s="1641"/>
      <c r="AV207" s="1641"/>
      <c r="AW207" s="1641"/>
      <c r="AX207" s="1641"/>
      <c r="AY207" s="1641"/>
      <c r="AZ207" s="1641"/>
      <c r="BA207" s="1641"/>
      <c r="BB207" s="1641"/>
      <c r="BC207" s="1641"/>
      <c r="BD207" s="1641"/>
      <c r="BE207" s="1641"/>
      <c r="BF207" s="1641"/>
      <c r="BG207" s="1641"/>
      <c r="BH207" s="1641"/>
      <c r="BI207" s="1641"/>
      <c r="BJ207" s="1641"/>
      <c r="BK207" s="1641"/>
      <c r="BL207" s="1641"/>
      <c r="BM207" s="1641"/>
      <c r="BN207" s="1641"/>
      <c r="BO207" s="1641"/>
      <c r="BP207" s="1641"/>
      <c r="BQ207" s="1641"/>
      <c r="BR207" s="1641"/>
      <c r="BS207" s="1641"/>
      <c r="BT207" s="1641"/>
      <c r="BU207" s="1641"/>
      <c r="BV207" s="1641"/>
      <c r="BW207" s="1641"/>
      <c r="BX207" s="1641"/>
      <c r="BY207" s="1641"/>
      <c r="BZ207" s="1641"/>
      <c r="CA207" s="1641"/>
      <c r="CB207" s="1641"/>
      <c r="CC207" s="1641"/>
      <c r="CD207" s="1641"/>
      <c r="CE207" s="1641"/>
      <c r="CF207" s="1641"/>
      <c r="CG207" s="1641"/>
      <c r="CH207" s="1641"/>
      <c r="CI207" s="1641"/>
      <c r="CJ207" s="1641"/>
      <c r="CK207" s="1641"/>
      <c r="CL207" s="1641"/>
      <c r="CM207" s="1641"/>
      <c r="CN207" s="1641"/>
      <c r="CO207" s="1641"/>
      <c r="CP207" s="1641"/>
      <c r="CQ207" s="1641"/>
      <c r="CR207" s="1641"/>
      <c r="CS207" s="1641"/>
      <c r="CT207" s="1641"/>
      <c r="CU207" s="1641"/>
      <c r="CV207" s="1641"/>
      <c r="CW207" s="1641"/>
      <c r="CX207" s="1641"/>
      <c r="CY207" s="1641"/>
      <c r="CZ207" s="1641"/>
      <c r="DA207" s="1641"/>
      <c r="DB207" s="1641"/>
      <c r="DC207" s="1641"/>
      <c r="DD207" s="1641"/>
      <c r="DE207" s="1641"/>
      <c r="DF207" s="1641"/>
      <c r="DG207" s="1641"/>
      <c r="DH207" s="1641"/>
      <c r="DI207" s="1641"/>
      <c r="DJ207" s="1641"/>
      <c r="DK207" s="1641"/>
      <c r="DL207" s="1641"/>
      <c r="DM207" s="1641"/>
      <c r="DN207" s="1641"/>
      <c r="DO207" s="1641"/>
      <c r="DP207" s="1641"/>
      <c r="DQ207" s="1641"/>
      <c r="DR207" s="1641"/>
      <c r="DS207" s="1641"/>
      <c r="DT207" s="1641"/>
      <c r="DU207" s="1641"/>
      <c r="DV207" s="1641"/>
      <c r="DW207" s="1641"/>
      <c r="DX207" s="1641"/>
      <c r="DY207" s="1641"/>
      <c r="DZ207" s="1641"/>
      <c r="EA207" s="1641"/>
      <c r="EB207" s="1641"/>
      <c r="EC207" s="1641"/>
      <c r="ED207" s="1641"/>
      <c r="EE207" s="1641"/>
      <c r="EF207" s="1641"/>
      <c r="EG207" s="1641"/>
      <c r="EH207" s="1641"/>
      <c r="EI207" s="1641"/>
      <c r="EJ207" s="1641"/>
      <c r="EK207" s="1641"/>
      <c r="EL207" s="1641"/>
      <c r="EM207" s="1641"/>
      <c r="EN207" s="1641"/>
      <c r="EO207" s="1641"/>
      <c r="EP207" s="1641"/>
      <c r="EQ207" s="1641"/>
      <c r="ER207" s="1641"/>
      <c r="ES207" s="1641"/>
      <c r="ET207" s="1641"/>
      <c r="EU207" s="1641"/>
      <c r="EV207" s="1641"/>
      <c r="EW207" s="1641"/>
      <c r="EX207" s="1641"/>
      <c r="EY207" s="1641"/>
      <c r="EZ207" s="1641"/>
      <c r="FA207" s="1641"/>
      <c r="FB207" s="1641"/>
      <c r="FC207" s="1641"/>
      <c r="FD207" s="1641"/>
      <c r="FE207" s="1641"/>
      <c r="FF207" s="1641"/>
      <c r="FG207" s="1641"/>
      <c r="FH207" s="1641"/>
      <c r="FI207" s="1641"/>
      <c r="FJ207" s="1641"/>
      <c r="FK207" s="1641"/>
      <c r="FL207" s="1641"/>
      <c r="FM207" s="1641"/>
      <c r="FN207" s="1641"/>
      <c r="FO207" s="1641"/>
      <c r="FP207" s="1641"/>
      <c r="FQ207" s="1641"/>
      <c r="FR207" s="1641"/>
      <c r="FS207" s="1641"/>
      <c r="FT207" s="1641"/>
      <c r="FU207" s="1641"/>
      <c r="FV207" s="1641"/>
      <c r="FW207" s="1641"/>
      <c r="FX207" s="1641"/>
      <c r="FY207" s="1641"/>
      <c r="FZ207" s="1641"/>
      <c r="GA207" s="1641"/>
      <c r="GB207" s="1641"/>
      <c r="GC207" s="1641"/>
      <c r="GD207" s="1641"/>
      <c r="GE207" s="1641"/>
      <c r="GF207" s="1641"/>
      <c r="GG207" s="1641"/>
      <c r="GH207" s="1641"/>
      <c r="GI207" s="1641"/>
      <c r="GJ207" s="1641"/>
      <c r="GK207" s="1641"/>
      <c r="GL207" s="1641"/>
      <c r="GM207" s="1641"/>
      <c r="GN207" s="1641"/>
      <c r="GO207" s="1641"/>
      <c r="GP207" s="1641"/>
      <c r="GQ207" s="1641"/>
      <c r="GR207" s="1641"/>
      <c r="GS207" s="1641"/>
      <c r="GT207" s="1641"/>
      <c r="GU207" s="1641"/>
      <c r="GV207" s="1641"/>
      <c r="GW207" s="1641"/>
      <c r="GX207" s="1641"/>
      <c r="GY207" s="1641"/>
      <c r="GZ207" s="1641"/>
      <c r="HA207" s="1641"/>
      <c r="HB207" s="1641"/>
      <c r="HC207" s="1641"/>
      <c r="HD207" s="1641"/>
      <c r="HE207" s="1641"/>
      <c r="HF207" s="1641"/>
      <c r="HG207" s="1641"/>
      <c r="HH207" s="1641"/>
      <c r="HI207" s="1641"/>
      <c r="HJ207" s="1641"/>
      <c r="HK207" s="1641"/>
      <c r="HL207" s="1641"/>
      <c r="HM207" s="1641"/>
      <c r="HN207" s="1641"/>
      <c r="HO207" s="1641"/>
      <c r="HP207" s="1641"/>
      <c r="HQ207" s="1641"/>
      <c r="HR207" s="1641"/>
      <c r="HS207" s="1641"/>
      <c r="HT207" s="1641"/>
      <c r="HU207" s="1641"/>
      <c r="HV207" s="1641"/>
      <c r="HW207" s="1641"/>
      <c r="HX207" s="1641"/>
      <c r="HY207" s="1641"/>
      <c r="HZ207" s="1641"/>
      <c r="IA207" s="1641"/>
      <c r="IB207" s="1641"/>
      <c r="IC207" s="1641"/>
      <c r="ID207" s="1641"/>
      <c r="IE207" s="1641"/>
      <c r="IF207" s="1641"/>
      <c r="IG207" s="1641"/>
      <c r="IH207" s="1641"/>
      <c r="II207" s="1641"/>
      <c r="IJ207" s="1641"/>
      <c r="IK207" s="1641"/>
      <c r="IM207" s="1641"/>
      <c r="IN207" s="1641"/>
      <c r="IO207" s="1641"/>
      <c r="IP207" s="1410"/>
      <c r="IQ207" s="1410"/>
      <c r="IR207" s="1410"/>
      <c r="IS207" s="1410"/>
      <c r="IT207" s="1410"/>
      <c r="IU207" s="1410"/>
      <c r="IV207" s="1410"/>
      <c r="IW207" s="1410"/>
      <c r="IX207" s="1641"/>
      <c r="IY207" s="1641"/>
      <c r="IZ207" s="1641"/>
      <c r="JA207" s="1641"/>
      <c r="JB207" s="1641"/>
      <c r="JC207" s="1641"/>
      <c r="JD207" s="1641"/>
      <c r="JE207" s="1641"/>
      <c r="JF207" s="1641"/>
      <c r="JG207" s="1641"/>
      <c r="JH207" s="1410"/>
      <c r="JI207" s="1410"/>
      <c r="JJ207" s="1410"/>
      <c r="JK207" s="1410"/>
      <c r="JL207" s="1410"/>
      <c r="JM207" s="1410"/>
      <c r="JN207" s="1410"/>
      <c r="JO207" s="1410"/>
      <c r="JP207" s="1410"/>
      <c r="JQ207" s="1405"/>
      <c r="JR207" s="351"/>
    </row>
    <row r="208" spans="1:278" x14ac:dyDescent="0.25">
      <c r="A208" s="1367">
        <v>208</v>
      </c>
      <c r="B208" s="1411" t="str">
        <f t="shared" si="18"/>
        <v/>
      </c>
      <c r="C208" s="1644" t="s">
        <v>4140</v>
      </c>
      <c r="D208" s="1645" t="s">
        <v>4141</v>
      </c>
      <c r="E208" s="1641"/>
      <c r="F208" s="1641"/>
      <c r="G208" s="1641"/>
      <c r="H208" s="1641"/>
      <c r="I208" s="1641"/>
      <c r="J208" s="1641"/>
      <c r="K208" s="1641"/>
      <c r="L208" s="1641"/>
      <c r="M208" s="1641"/>
      <c r="N208" s="1641"/>
      <c r="O208" s="1641"/>
      <c r="P208" s="1641"/>
      <c r="Q208" s="1641"/>
      <c r="R208" s="1641"/>
      <c r="S208" s="1641"/>
      <c r="T208" s="1641"/>
      <c r="U208" s="1641"/>
      <c r="V208" s="1641"/>
      <c r="W208" s="1641"/>
      <c r="X208" s="1641"/>
      <c r="Y208" s="1641"/>
      <c r="Z208" s="1641"/>
      <c r="AA208" s="1641"/>
      <c r="AB208" s="1641"/>
      <c r="AC208" s="1641"/>
      <c r="AD208" s="1641"/>
      <c r="AE208" s="1641"/>
      <c r="AF208" s="1641"/>
      <c r="AG208" s="1641"/>
      <c r="AH208" s="1641"/>
      <c r="AI208" s="1641"/>
      <c r="AJ208" s="1641"/>
      <c r="AK208" s="1641"/>
      <c r="AL208" s="1641"/>
      <c r="AM208" s="1641"/>
      <c r="AN208" s="1641"/>
      <c r="AO208" s="1641"/>
      <c r="AP208" s="1641"/>
      <c r="AQ208" s="1641"/>
      <c r="AR208" s="1641"/>
      <c r="AS208" s="1641"/>
      <c r="AT208" s="1641"/>
      <c r="AU208" s="1641"/>
      <c r="AV208" s="1641"/>
      <c r="AW208" s="1641"/>
      <c r="AX208" s="1641"/>
      <c r="AY208" s="1641"/>
      <c r="AZ208" s="1641"/>
      <c r="BA208" s="1641"/>
      <c r="BB208" s="1641"/>
      <c r="BC208" s="1641"/>
      <c r="BD208" s="1641"/>
      <c r="BE208" s="1641"/>
      <c r="BF208" s="1641"/>
      <c r="BG208" s="1641"/>
      <c r="BH208" s="1641"/>
      <c r="BI208" s="1641"/>
      <c r="BJ208" s="1641"/>
      <c r="BK208" s="1641"/>
      <c r="BL208" s="1641"/>
      <c r="BM208" s="1641"/>
      <c r="BN208" s="1641"/>
      <c r="BO208" s="1641"/>
      <c r="BP208" s="1641"/>
      <c r="BQ208" s="1641"/>
      <c r="BR208" s="1641"/>
      <c r="BS208" s="1641"/>
      <c r="BT208" s="1641"/>
      <c r="BU208" s="1641"/>
      <c r="BV208" s="1641"/>
      <c r="BW208" s="1641"/>
      <c r="BX208" s="1641"/>
      <c r="BY208" s="1641"/>
      <c r="BZ208" s="1641"/>
      <c r="CA208" s="1641"/>
      <c r="CB208" s="1641"/>
      <c r="CC208" s="1641"/>
      <c r="CD208" s="1641"/>
      <c r="CE208" s="1641"/>
      <c r="CF208" s="1641"/>
      <c r="CG208" s="1641"/>
      <c r="CH208" s="1641"/>
      <c r="CI208" s="1641"/>
      <c r="CJ208" s="1641"/>
      <c r="CK208" s="1641"/>
      <c r="CL208" s="1641"/>
      <c r="CM208" s="1641"/>
      <c r="CN208" s="1641"/>
      <c r="CO208" s="1641"/>
      <c r="CP208" s="1641"/>
      <c r="CQ208" s="1641"/>
      <c r="CR208" s="1641"/>
      <c r="CS208" s="1641"/>
      <c r="CT208" s="1641"/>
      <c r="CU208" s="1641"/>
      <c r="CV208" s="1641"/>
      <c r="CW208" s="1641"/>
      <c r="CX208" s="1641"/>
      <c r="CY208" s="1641"/>
      <c r="CZ208" s="1641"/>
      <c r="DA208" s="1641"/>
      <c r="DB208" s="1641"/>
      <c r="DC208" s="1641"/>
      <c r="DD208" s="1641"/>
      <c r="DE208" s="1641"/>
      <c r="DF208" s="1641"/>
      <c r="DG208" s="1641"/>
      <c r="DH208" s="1641"/>
      <c r="DI208" s="1641"/>
      <c r="DJ208" s="1641"/>
      <c r="DK208" s="1641"/>
      <c r="DL208" s="1641"/>
      <c r="DM208" s="1641"/>
      <c r="DN208" s="1641"/>
      <c r="DO208" s="1641"/>
      <c r="DP208" s="1641"/>
      <c r="DQ208" s="1641"/>
      <c r="DR208" s="1641"/>
      <c r="DS208" s="1641"/>
      <c r="DT208" s="1641"/>
      <c r="DU208" s="1641"/>
      <c r="DV208" s="1641"/>
      <c r="DW208" s="1641"/>
      <c r="DX208" s="1641"/>
      <c r="DY208" s="1641"/>
      <c r="DZ208" s="1641"/>
      <c r="EA208" s="1641"/>
      <c r="EB208" s="1641"/>
      <c r="EC208" s="1641"/>
      <c r="ED208" s="1641"/>
      <c r="EE208" s="1641"/>
      <c r="EF208" s="1641"/>
      <c r="EG208" s="1641"/>
      <c r="EH208" s="1641"/>
      <c r="EI208" s="1641"/>
      <c r="EJ208" s="1641"/>
      <c r="EK208" s="1641"/>
      <c r="EL208" s="1641"/>
      <c r="EM208" s="1641"/>
      <c r="EN208" s="1641"/>
      <c r="EO208" s="1641"/>
      <c r="EP208" s="1641"/>
      <c r="EQ208" s="1641"/>
      <c r="ER208" s="1641"/>
      <c r="ES208" s="1641"/>
      <c r="ET208" s="1641"/>
      <c r="EU208" s="1641"/>
      <c r="EV208" s="1641"/>
      <c r="EW208" s="1641"/>
      <c r="EX208" s="1641"/>
      <c r="EY208" s="1641"/>
      <c r="EZ208" s="1641"/>
      <c r="FA208" s="1641"/>
      <c r="FB208" s="1641"/>
      <c r="FC208" s="1641"/>
      <c r="FD208" s="1641"/>
      <c r="FE208" s="1641"/>
      <c r="FF208" s="1641"/>
      <c r="FG208" s="1641"/>
      <c r="FH208" s="1641"/>
      <c r="FI208" s="1641"/>
      <c r="FJ208" s="1641"/>
      <c r="FK208" s="1641"/>
      <c r="FL208" s="1641"/>
      <c r="FM208" s="1641"/>
      <c r="FN208" s="1641"/>
      <c r="FO208" s="1641"/>
      <c r="FP208" s="1641"/>
      <c r="FQ208" s="1641"/>
      <c r="FR208" s="1641"/>
      <c r="FS208" s="1641"/>
      <c r="FT208" s="1641"/>
      <c r="FU208" s="1641"/>
      <c r="FV208" s="1641"/>
      <c r="FW208" s="1641"/>
      <c r="FX208" s="1641"/>
      <c r="FY208" s="1641"/>
      <c r="FZ208" s="1641"/>
      <c r="GA208" s="1641"/>
      <c r="GB208" s="1641"/>
      <c r="GC208" s="1641"/>
      <c r="GD208" s="1641"/>
      <c r="GE208" s="1641"/>
      <c r="GF208" s="1641"/>
      <c r="GG208" s="1641"/>
      <c r="GH208" s="1641"/>
      <c r="GI208" s="1641"/>
      <c r="GJ208" s="1641"/>
      <c r="GK208" s="1641"/>
      <c r="GL208" s="1641"/>
      <c r="GM208" s="1641"/>
      <c r="GN208" s="1641"/>
      <c r="GO208" s="1641"/>
      <c r="GP208" s="1641"/>
      <c r="GQ208" s="1641"/>
      <c r="GR208" s="1641"/>
      <c r="GS208" s="1641"/>
      <c r="GT208" s="1641"/>
      <c r="GU208" s="1641"/>
      <c r="GV208" s="1641"/>
      <c r="GW208" s="1641"/>
      <c r="GX208" s="1641"/>
      <c r="GY208" s="1641"/>
      <c r="GZ208" s="1641"/>
      <c r="HA208" s="1641"/>
      <c r="HB208" s="1641"/>
      <c r="HC208" s="1641"/>
      <c r="HD208" s="1641"/>
      <c r="HE208" s="1641"/>
      <c r="HF208" s="1641"/>
      <c r="HG208" s="1641"/>
      <c r="HH208" s="1641"/>
      <c r="HI208" s="1641"/>
      <c r="HJ208" s="1641"/>
      <c r="HK208" s="1641"/>
      <c r="HL208" s="1641"/>
      <c r="HM208" s="1641"/>
      <c r="HN208" s="1641"/>
      <c r="HO208" s="1641"/>
      <c r="HP208" s="1641"/>
      <c r="HQ208" s="1641"/>
      <c r="HR208" s="1641"/>
      <c r="HS208" s="1641"/>
      <c r="HT208" s="1641"/>
      <c r="HU208" s="1641"/>
      <c r="HV208" s="1641"/>
      <c r="HW208" s="1641"/>
      <c r="HX208" s="1641"/>
      <c r="HY208" s="1641"/>
      <c r="HZ208" s="1641"/>
      <c r="IA208" s="1641"/>
      <c r="IB208" s="1641"/>
      <c r="IC208" s="1641"/>
      <c r="ID208" s="1641"/>
      <c r="IE208" s="1641"/>
      <c r="IF208" s="1641"/>
      <c r="IG208" s="1641"/>
      <c r="IH208" s="1641"/>
      <c r="II208" s="1641"/>
      <c r="IJ208" s="1641"/>
      <c r="IK208" s="1641"/>
      <c r="IL208" s="1636">
        <v>759</v>
      </c>
      <c r="IM208" s="1641"/>
      <c r="IN208" s="1641"/>
      <c r="IO208" s="1641"/>
      <c r="IP208" s="1410"/>
      <c r="IQ208" s="1410"/>
      <c r="IR208" s="1410"/>
      <c r="IS208" s="1410"/>
      <c r="IT208" s="1410"/>
      <c r="IU208" s="1410"/>
      <c r="IV208" s="1410"/>
      <c r="IW208" s="1410"/>
      <c r="IX208" s="1641"/>
      <c r="IY208" s="1641"/>
      <c r="IZ208" s="1641"/>
      <c r="JA208" s="1641"/>
      <c r="JB208" s="1641"/>
      <c r="JC208" s="1641"/>
      <c r="JD208" s="1641"/>
      <c r="JE208" s="1641"/>
      <c r="JF208" s="1641"/>
      <c r="JG208" s="1641"/>
      <c r="JH208" s="1410"/>
      <c r="JI208" s="1410"/>
      <c r="JJ208" s="1410"/>
      <c r="JK208" s="1410"/>
      <c r="JL208" s="1410"/>
      <c r="JM208" s="1410"/>
      <c r="JN208" s="1410"/>
      <c r="JO208" s="1410"/>
      <c r="JP208" s="1410"/>
      <c r="JQ208" s="1405"/>
      <c r="JR208" s="351"/>
    </row>
    <row r="209" spans="1:278" x14ac:dyDescent="0.25">
      <c r="A209" s="1367">
        <v>209</v>
      </c>
      <c r="B209" s="1411" t="str">
        <f t="shared" si="18"/>
        <v/>
      </c>
      <c r="C209" s="1644" t="s">
        <v>4142</v>
      </c>
      <c r="D209" s="1645" t="s">
        <v>3890</v>
      </c>
      <c r="E209" s="1641"/>
      <c r="F209" s="1641"/>
      <c r="G209" s="1641"/>
      <c r="H209" s="1641"/>
      <c r="I209" s="1641"/>
      <c r="J209" s="1641"/>
      <c r="K209" s="1641"/>
      <c r="L209" s="1641"/>
      <c r="M209" s="1641"/>
      <c r="N209" s="1641"/>
      <c r="O209" s="1641"/>
      <c r="P209" s="1641"/>
      <c r="Q209" s="1641"/>
      <c r="R209" s="1641"/>
      <c r="S209" s="1641"/>
      <c r="T209" s="1641"/>
      <c r="U209" s="1641"/>
      <c r="V209" s="1641"/>
      <c r="W209" s="1641"/>
      <c r="X209" s="1641"/>
      <c r="Y209" s="1641"/>
      <c r="Z209" s="1641"/>
      <c r="AA209" s="1641"/>
      <c r="AB209" s="1641"/>
      <c r="AC209" s="1641"/>
      <c r="AD209" s="1641"/>
      <c r="AE209" s="1641"/>
      <c r="AF209" s="1641"/>
      <c r="AG209" s="1641"/>
      <c r="AH209" s="1641"/>
      <c r="AI209" s="1641"/>
      <c r="AJ209" s="1641"/>
      <c r="AK209" s="1641"/>
      <c r="AL209" s="1641"/>
      <c r="AM209" s="1641"/>
      <c r="AN209" s="1641"/>
      <c r="AO209" s="1641"/>
      <c r="AP209" s="1641"/>
      <c r="AQ209" s="1641"/>
      <c r="AR209" s="1641"/>
      <c r="AS209" s="1641"/>
      <c r="AT209" s="1641"/>
      <c r="AU209" s="1641"/>
      <c r="AV209" s="1641"/>
      <c r="AW209" s="1641"/>
      <c r="AX209" s="1641"/>
      <c r="AY209" s="1641"/>
      <c r="AZ209" s="1641"/>
      <c r="BA209" s="1641"/>
      <c r="BB209" s="1641"/>
      <c r="BC209" s="1641"/>
      <c r="BD209" s="1641"/>
      <c r="BE209" s="1641"/>
      <c r="BF209" s="1641"/>
      <c r="BG209" s="1641"/>
      <c r="BH209" s="1641"/>
      <c r="BI209" s="1641"/>
      <c r="BJ209" s="1641"/>
      <c r="BK209" s="1641"/>
      <c r="BL209" s="1641"/>
      <c r="BM209" s="1641"/>
      <c r="BN209" s="1641"/>
      <c r="BO209" s="1641"/>
      <c r="BP209" s="1641"/>
      <c r="BQ209" s="1641"/>
      <c r="BR209" s="1641"/>
      <c r="BS209" s="1641"/>
      <c r="BT209" s="1641"/>
      <c r="BU209" s="1641"/>
      <c r="BV209" s="1641"/>
      <c r="BW209" s="1641"/>
      <c r="BX209" s="1641"/>
      <c r="BY209" s="1641"/>
      <c r="BZ209" s="1641"/>
      <c r="CA209" s="1641"/>
      <c r="CB209" s="1641"/>
      <c r="CC209" s="1641"/>
      <c r="CD209" s="1641"/>
      <c r="CE209" s="1641"/>
      <c r="CF209" s="1641"/>
      <c r="CG209" s="1641"/>
      <c r="CH209" s="1641"/>
      <c r="CI209" s="1641"/>
      <c r="CJ209" s="1641"/>
      <c r="CK209" s="1641"/>
      <c r="CL209" s="1641"/>
      <c r="CM209" s="1641"/>
      <c r="CN209" s="1641"/>
      <c r="CO209" s="1641"/>
      <c r="CP209" s="1641"/>
      <c r="CQ209" s="1641"/>
      <c r="CR209" s="1641"/>
      <c r="CS209" s="1641"/>
      <c r="CT209" s="1641"/>
      <c r="CU209" s="1641"/>
      <c r="CV209" s="1641"/>
      <c r="CW209" s="1641"/>
      <c r="CX209" s="1641"/>
      <c r="CY209" s="1641"/>
      <c r="CZ209" s="1641"/>
      <c r="DA209" s="1641"/>
      <c r="DB209" s="1641"/>
      <c r="DC209" s="1641"/>
      <c r="DD209" s="1641"/>
      <c r="DE209" s="1641"/>
      <c r="DF209" s="1641"/>
      <c r="DG209" s="1641"/>
      <c r="DH209" s="1641"/>
      <c r="DI209" s="1641"/>
      <c r="DJ209" s="1641"/>
      <c r="DK209" s="1641"/>
      <c r="DL209" s="1641"/>
      <c r="DM209" s="1641"/>
      <c r="DN209" s="1641"/>
      <c r="DO209" s="1641"/>
      <c r="DP209" s="1641"/>
      <c r="DQ209" s="1641"/>
      <c r="DR209" s="1641"/>
      <c r="DS209" s="1641"/>
      <c r="DT209" s="1641"/>
      <c r="DU209" s="1641"/>
      <c r="DV209" s="1641"/>
      <c r="DW209" s="1641"/>
      <c r="DX209" s="1641"/>
      <c r="DY209" s="1641"/>
      <c r="DZ209" s="1641"/>
      <c r="EA209" s="1641"/>
      <c r="EB209" s="1641"/>
      <c r="EC209" s="1641"/>
      <c r="ED209" s="1641"/>
      <c r="EE209" s="1641"/>
      <c r="EF209" s="1641"/>
      <c r="EG209" s="1641"/>
      <c r="EH209" s="1641"/>
      <c r="EI209" s="1641"/>
      <c r="EJ209" s="1641"/>
      <c r="EK209" s="1641"/>
      <c r="EL209" s="1641"/>
      <c r="EM209" s="1641"/>
      <c r="EN209" s="1641"/>
      <c r="EO209" s="1641"/>
      <c r="EP209" s="1641"/>
      <c r="EQ209" s="1641"/>
      <c r="ER209" s="1641"/>
      <c r="ES209" s="1641"/>
      <c r="ET209" s="1641"/>
      <c r="EU209" s="1641"/>
      <c r="EV209" s="1641"/>
      <c r="EW209" s="1641"/>
      <c r="EX209" s="1641"/>
      <c r="EY209" s="1641"/>
      <c r="EZ209" s="1641"/>
      <c r="FA209" s="1641"/>
      <c r="FB209" s="1641"/>
      <c r="FC209" s="1641"/>
      <c r="FD209" s="1641"/>
      <c r="FE209" s="1641"/>
      <c r="FF209" s="1641"/>
      <c r="FG209" s="1641"/>
      <c r="FH209" s="1641"/>
      <c r="FI209" s="1641"/>
      <c r="FJ209" s="1641"/>
      <c r="FK209" s="1641"/>
      <c r="FL209" s="1641"/>
      <c r="FM209" s="1641"/>
      <c r="FN209" s="1641"/>
      <c r="FO209" s="1641"/>
      <c r="FP209" s="1641"/>
      <c r="FQ209" s="1641"/>
      <c r="FR209" s="1641"/>
      <c r="FS209" s="1641"/>
      <c r="FT209" s="1641"/>
      <c r="FU209" s="1641"/>
      <c r="FV209" s="1641"/>
      <c r="FW209" s="1641"/>
      <c r="FX209" s="1641"/>
      <c r="FY209" s="1641"/>
      <c r="FZ209" s="1641"/>
      <c r="GA209" s="1641"/>
      <c r="GB209" s="1641"/>
      <c r="GC209" s="1641"/>
      <c r="GD209" s="1641"/>
      <c r="GE209" s="1641"/>
      <c r="GF209" s="1641"/>
      <c r="GG209" s="1641"/>
      <c r="GH209" s="1641"/>
      <c r="GI209" s="1641"/>
      <c r="GJ209" s="1641"/>
      <c r="GK209" s="1641"/>
      <c r="GL209" s="1641"/>
      <c r="GM209" s="1641"/>
      <c r="GN209" s="1641"/>
      <c r="GO209" s="1641"/>
      <c r="GP209" s="1641"/>
      <c r="GQ209" s="1641"/>
      <c r="GR209" s="1641"/>
      <c r="GS209" s="1641"/>
      <c r="GT209" s="1641"/>
      <c r="GU209" s="1641"/>
      <c r="GV209" s="1641"/>
      <c r="GW209" s="1641"/>
      <c r="GX209" s="1641"/>
      <c r="GY209" s="1641"/>
      <c r="GZ209" s="1641"/>
      <c r="HA209" s="1641"/>
      <c r="HB209" s="1641"/>
      <c r="HC209" s="1641"/>
      <c r="HD209" s="1641"/>
      <c r="HE209" s="1641"/>
      <c r="HF209" s="1641"/>
      <c r="HG209" s="1641"/>
      <c r="HH209" s="1641"/>
      <c r="HI209" s="1641"/>
      <c r="HJ209" s="1641"/>
      <c r="HK209" s="1641"/>
      <c r="HL209" s="1641"/>
      <c r="HM209" s="1641"/>
      <c r="HN209" s="1641"/>
      <c r="HO209" s="1641"/>
      <c r="HP209" s="1641"/>
      <c r="HQ209" s="1641"/>
      <c r="HR209" s="1641"/>
      <c r="HS209" s="1641"/>
      <c r="HT209" s="1641"/>
      <c r="HU209" s="1641"/>
      <c r="HV209" s="1641"/>
      <c r="HW209" s="1641"/>
      <c r="HX209" s="1641"/>
      <c r="HY209" s="1641"/>
      <c r="HZ209" s="1641"/>
      <c r="IA209" s="1641"/>
      <c r="IB209" s="1641"/>
      <c r="IC209" s="1641"/>
      <c r="ID209" s="1641"/>
      <c r="IE209" s="1641"/>
      <c r="IF209" s="1641"/>
      <c r="IG209" s="1641"/>
      <c r="IH209" s="1641"/>
      <c r="II209" s="1641"/>
      <c r="IJ209" s="1641"/>
      <c r="IK209" s="1641"/>
      <c r="IL209" s="1641"/>
      <c r="IM209" s="1641"/>
      <c r="IN209" s="1641"/>
      <c r="IO209" s="1641"/>
      <c r="IP209" s="1410"/>
      <c r="IQ209" s="1410"/>
      <c r="IR209" s="1410"/>
      <c r="IS209" s="1410"/>
      <c r="IT209" s="1410"/>
      <c r="IU209" s="1410"/>
      <c r="IV209" s="1410"/>
      <c r="IW209" s="1410"/>
      <c r="IX209" s="1641"/>
      <c r="IY209" s="1641"/>
      <c r="IZ209" s="1641"/>
      <c r="JA209" s="1641"/>
      <c r="JB209" s="1641"/>
      <c r="JC209" s="1641"/>
      <c r="JD209" s="1641"/>
      <c r="JE209" s="1641"/>
      <c r="JF209" s="1641"/>
      <c r="JG209" s="1641"/>
      <c r="JH209" s="1410"/>
      <c r="JI209" s="1410"/>
      <c r="JJ209" s="1410"/>
      <c r="JK209" s="1410"/>
      <c r="JL209" s="1410"/>
      <c r="JM209" s="1410"/>
      <c r="JN209" s="1410"/>
      <c r="JO209" s="1410"/>
      <c r="JP209" s="1410"/>
      <c r="JQ209" s="1405"/>
      <c r="JR209" s="351"/>
    </row>
    <row r="210" spans="1:278" x14ac:dyDescent="0.25">
      <c r="A210" s="1367">
        <v>210</v>
      </c>
      <c r="B210" s="1411" t="str">
        <f t="shared" si="18"/>
        <v/>
      </c>
      <c r="C210" s="1644" t="s">
        <v>4143</v>
      </c>
      <c r="D210" s="1645" t="s">
        <v>4135</v>
      </c>
      <c r="E210" s="1641"/>
      <c r="F210" s="1641"/>
      <c r="G210" s="1641"/>
      <c r="H210" s="1641"/>
      <c r="I210" s="1641"/>
      <c r="J210" s="1641"/>
      <c r="K210" s="1641"/>
      <c r="L210" s="1641"/>
      <c r="M210" s="1641"/>
      <c r="N210" s="1641"/>
      <c r="O210" s="1641"/>
      <c r="P210" s="1641"/>
      <c r="Q210" s="1641"/>
      <c r="R210" s="1641"/>
      <c r="S210" s="1641"/>
      <c r="T210" s="1641"/>
      <c r="U210" s="1641"/>
      <c r="V210" s="1641"/>
      <c r="W210" s="1641"/>
      <c r="X210" s="1641"/>
      <c r="Y210" s="1641"/>
      <c r="Z210" s="1641"/>
      <c r="AA210" s="1641"/>
      <c r="AB210" s="1641"/>
      <c r="AC210" s="1641"/>
      <c r="AD210" s="1641"/>
      <c r="AE210" s="1641"/>
      <c r="AF210" s="1641"/>
      <c r="AG210" s="1641"/>
      <c r="AH210" s="1641"/>
      <c r="AI210" s="1641"/>
      <c r="AJ210" s="1641"/>
      <c r="AK210" s="1641"/>
      <c r="AL210" s="1641"/>
      <c r="AM210" s="1641"/>
      <c r="AN210" s="1641"/>
      <c r="AO210" s="1641"/>
      <c r="AP210" s="1641"/>
      <c r="AQ210" s="1641"/>
      <c r="AR210" s="1641"/>
      <c r="AS210" s="1641"/>
      <c r="AT210" s="1641"/>
      <c r="AU210" s="1641"/>
      <c r="AV210" s="1641"/>
      <c r="AW210" s="1641"/>
      <c r="AX210" s="1641"/>
      <c r="AY210" s="1641"/>
      <c r="AZ210" s="1641"/>
      <c r="BA210" s="1641"/>
      <c r="BB210" s="1641"/>
      <c r="BC210" s="1641"/>
      <c r="BD210" s="1641"/>
      <c r="BE210" s="1641"/>
      <c r="BF210" s="1641"/>
      <c r="BG210" s="1641"/>
      <c r="BH210" s="1641"/>
      <c r="BI210" s="1641"/>
      <c r="BJ210" s="1641"/>
      <c r="BK210" s="1641"/>
      <c r="BL210" s="1641"/>
      <c r="BM210" s="1641"/>
      <c r="BN210" s="1641"/>
      <c r="BO210" s="1641"/>
      <c r="BP210" s="1641"/>
      <c r="BQ210" s="1641"/>
      <c r="BR210" s="1641"/>
      <c r="BS210" s="1641"/>
      <c r="BT210" s="1641"/>
      <c r="BU210" s="1641"/>
      <c r="BV210" s="1641"/>
      <c r="BW210" s="1641"/>
      <c r="BX210" s="1641"/>
      <c r="BY210" s="1641"/>
      <c r="BZ210" s="1641"/>
      <c r="CA210" s="1641"/>
      <c r="CB210" s="1641"/>
      <c r="CC210" s="1641"/>
      <c r="CD210" s="1641"/>
      <c r="CE210" s="1641"/>
      <c r="CF210" s="1641"/>
      <c r="CG210" s="1641"/>
      <c r="CH210" s="1641"/>
      <c r="CI210" s="1641"/>
      <c r="CJ210" s="1641"/>
      <c r="CK210" s="1641"/>
      <c r="CL210" s="1641"/>
      <c r="CM210" s="1641"/>
      <c r="CN210" s="1641"/>
      <c r="CO210" s="1641"/>
      <c r="CP210" s="1641"/>
      <c r="CQ210" s="1641"/>
      <c r="CR210" s="1641"/>
      <c r="CS210" s="1641"/>
      <c r="CT210" s="1641"/>
      <c r="CU210" s="1641"/>
      <c r="CV210" s="1641"/>
      <c r="CW210" s="1641"/>
      <c r="CX210" s="1641"/>
      <c r="CY210" s="1641"/>
      <c r="CZ210" s="1641"/>
      <c r="DA210" s="1641"/>
      <c r="DB210" s="1641"/>
      <c r="DC210" s="1641"/>
      <c r="DD210" s="1641"/>
      <c r="DE210" s="1641"/>
      <c r="DF210" s="1641"/>
      <c r="DG210" s="1641"/>
      <c r="DH210" s="1641"/>
      <c r="DI210" s="1641"/>
      <c r="DJ210" s="1641"/>
      <c r="DK210" s="1641"/>
      <c r="DL210" s="1641"/>
      <c r="DM210" s="1641"/>
      <c r="DN210" s="1641"/>
      <c r="DO210" s="1641"/>
      <c r="DP210" s="1641"/>
      <c r="DQ210" s="1641"/>
      <c r="DR210" s="1641"/>
      <c r="DS210" s="1641"/>
      <c r="DT210" s="1641"/>
      <c r="DU210" s="1641"/>
      <c r="DV210" s="1641"/>
      <c r="DW210" s="1641"/>
      <c r="DX210" s="1641"/>
      <c r="DY210" s="1641"/>
      <c r="DZ210" s="1641"/>
      <c r="EA210" s="1641"/>
      <c r="EB210" s="1641"/>
      <c r="EC210" s="1641"/>
      <c r="ED210" s="1641"/>
      <c r="EE210" s="1641"/>
      <c r="EF210" s="1641"/>
      <c r="EG210" s="1641"/>
      <c r="EH210" s="1641"/>
      <c r="EI210" s="1641"/>
      <c r="EJ210" s="1641"/>
      <c r="EK210" s="1641"/>
      <c r="EL210" s="1641"/>
      <c r="EM210" s="1641"/>
      <c r="EN210" s="1641"/>
      <c r="EO210" s="1641"/>
      <c r="EP210" s="1641"/>
      <c r="EQ210" s="1641"/>
      <c r="ER210" s="1641"/>
      <c r="ES210" s="1641"/>
      <c r="ET210" s="1641"/>
      <c r="EU210" s="1641"/>
      <c r="EV210" s="1641"/>
      <c r="EW210" s="1641"/>
      <c r="EX210" s="1641"/>
      <c r="EY210" s="1641"/>
      <c r="EZ210" s="1641"/>
      <c r="FA210" s="1641"/>
      <c r="FB210" s="1641"/>
      <c r="FC210" s="1641"/>
      <c r="FD210" s="1641"/>
      <c r="FE210" s="1641"/>
      <c r="FF210" s="1641"/>
      <c r="FG210" s="1641"/>
      <c r="FH210" s="1641"/>
      <c r="FI210" s="1641"/>
      <c r="FJ210" s="1641"/>
      <c r="FK210" s="1641"/>
      <c r="FL210" s="1641"/>
      <c r="FM210" s="1641"/>
      <c r="FN210" s="1641"/>
      <c r="FO210" s="1641"/>
      <c r="FP210" s="1641"/>
      <c r="FQ210" s="1641"/>
      <c r="FR210" s="1641"/>
      <c r="FS210" s="1641"/>
      <c r="FT210" s="1641"/>
      <c r="FU210" s="1641"/>
      <c r="FV210" s="1641"/>
      <c r="FW210" s="1641"/>
      <c r="FX210" s="1641"/>
      <c r="FY210" s="1641"/>
      <c r="FZ210" s="1641"/>
      <c r="GA210" s="1641"/>
      <c r="GB210" s="1641"/>
      <c r="GC210" s="1641"/>
      <c r="GD210" s="1641"/>
      <c r="GE210" s="1641"/>
      <c r="GF210" s="1641"/>
      <c r="GG210" s="1641"/>
      <c r="GH210" s="1641"/>
      <c r="GI210" s="1641"/>
      <c r="GJ210" s="1641"/>
      <c r="GK210" s="1641"/>
      <c r="GL210" s="1641"/>
      <c r="GM210" s="1641"/>
      <c r="GN210" s="1641"/>
      <c r="GO210" s="1641"/>
      <c r="GP210" s="1641"/>
      <c r="GQ210" s="1641"/>
      <c r="GR210" s="1641"/>
      <c r="GS210" s="1641"/>
      <c r="GT210" s="1641"/>
      <c r="GU210" s="1641"/>
      <c r="GV210" s="1641"/>
      <c r="GW210" s="1641"/>
      <c r="GX210" s="1641"/>
      <c r="GY210" s="1641"/>
      <c r="GZ210" s="1641"/>
      <c r="HA210" s="1641"/>
      <c r="HB210" s="1641"/>
      <c r="HC210" s="1641"/>
      <c r="HD210" s="1641"/>
      <c r="HE210" s="1641"/>
      <c r="HF210" s="1641"/>
      <c r="HG210" s="1641"/>
      <c r="HH210" s="1641"/>
      <c r="HI210" s="1641"/>
      <c r="HJ210" s="1641"/>
      <c r="HK210" s="1641"/>
      <c r="HL210" s="1641"/>
      <c r="HM210" s="1641"/>
      <c r="HN210" s="1641"/>
      <c r="HO210" s="1641"/>
      <c r="HP210" s="1641"/>
      <c r="HQ210" s="1641"/>
      <c r="HR210" s="1641"/>
      <c r="HS210" s="1641"/>
      <c r="HT210" s="1641"/>
      <c r="HU210" s="1641"/>
      <c r="HV210" s="1641"/>
      <c r="HW210" s="1641"/>
      <c r="HX210" s="1641"/>
      <c r="HY210" s="1641"/>
      <c r="HZ210" s="1641"/>
      <c r="IA210" s="1641"/>
      <c r="IB210" s="1641"/>
      <c r="IC210" s="1641"/>
      <c r="ID210" s="1641"/>
      <c r="IE210" s="1641"/>
      <c r="IF210" s="1641"/>
      <c r="IG210" s="1641"/>
      <c r="IH210" s="1641"/>
      <c r="II210" s="1641"/>
      <c r="IJ210" s="1641"/>
      <c r="IK210" s="1641"/>
      <c r="IL210" s="1636">
        <v>170</v>
      </c>
      <c r="IM210" s="1641"/>
      <c r="IN210" s="1641"/>
      <c r="IO210" s="1641"/>
      <c r="IP210" s="1410"/>
      <c r="IQ210" s="1410"/>
      <c r="IR210" s="1410"/>
      <c r="IS210" s="1410"/>
      <c r="IT210" s="1410"/>
      <c r="IU210" s="1410"/>
      <c r="IV210" s="1410"/>
      <c r="IW210" s="1410"/>
      <c r="IX210" s="1641"/>
      <c r="IY210" s="1641"/>
      <c r="IZ210" s="1641"/>
      <c r="JA210" s="1641"/>
      <c r="JB210" s="1641"/>
      <c r="JC210" s="1641"/>
      <c r="JD210" s="1641"/>
      <c r="JE210" s="1641"/>
      <c r="JF210" s="1641"/>
      <c r="JG210" s="1641"/>
      <c r="JH210" s="1410"/>
      <c r="JI210" s="1410"/>
      <c r="JJ210" s="1410"/>
      <c r="JK210" s="1410"/>
      <c r="JL210" s="1410"/>
      <c r="JM210" s="1410"/>
      <c r="JN210" s="1410"/>
      <c r="JO210" s="1410"/>
      <c r="JP210" s="1410"/>
      <c r="JQ210" s="1405"/>
      <c r="JR210" s="351"/>
    </row>
    <row r="211" spans="1:278" x14ac:dyDescent="0.25">
      <c r="A211" s="1367">
        <v>211</v>
      </c>
      <c r="B211" s="1411" t="str">
        <f>IF(FOR_IND&gt;1,IF(HLOOKUP(FOR_IND-1,FOR_RANGE,A211)="","",HLOOKUP(FOR_IND-1,FOR_RANGE,A211)),"")</f>
        <v/>
      </c>
      <c r="C211" s="1644" t="s">
        <v>4144</v>
      </c>
      <c r="D211" s="1645" t="s">
        <v>3890</v>
      </c>
      <c r="E211" s="1641"/>
      <c r="F211" s="1641"/>
      <c r="G211" s="1641"/>
      <c r="H211" s="1641"/>
      <c r="I211" s="1641"/>
      <c r="J211" s="1641"/>
      <c r="K211" s="1641"/>
      <c r="L211" s="1641"/>
      <c r="M211" s="1641"/>
      <c r="N211" s="1641"/>
      <c r="O211" s="1641"/>
      <c r="P211" s="1641"/>
      <c r="Q211" s="1641"/>
      <c r="R211" s="1641"/>
      <c r="S211" s="1641"/>
      <c r="T211" s="1641"/>
      <c r="U211" s="1641"/>
      <c r="V211" s="1641"/>
      <c r="W211" s="1641"/>
      <c r="X211" s="1641"/>
      <c r="Y211" s="1641"/>
      <c r="Z211" s="1641"/>
      <c r="AA211" s="1641"/>
      <c r="AB211" s="1641"/>
      <c r="AC211" s="1641"/>
      <c r="AD211" s="1641"/>
      <c r="AE211" s="1641"/>
      <c r="AF211" s="1641"/>
      <c r="AG211" s="1641"/>
      <c r="AH211" s="1641"/>
      <c r="AI211" s="1641"/>
      <c r="AJ211" s="1641"/>
      <c r="AK211" s="1641"/>
      <c r="AL211" s="1641"/>
      <c r="AM211" s="1641"/>
      <c r="AN211" s="1641"/>
      <c r="AO211" s="1641"/>
      <c r="AP211" s="1641"/>
      <c r="AQ211" s="1641"/>
      <c r="AR211" s="1641"/>
      <c r="AS211" s="1641"/>
      <c r="AT211" s="1641"/>
      <c r="AU211" s="1641"/>
      <c r="AV211" s="1641"/>
      <c r="AW211" s="1641"/>
      <c r="AX211" s="1641"/>
      <c r="AY211" s="1641"/>
      <c r="AZ211" s="1641"/>
      <c r="BA211" s="1641"/>
      <c r="BB211" s="1641"/>
      <c r="BC211" s="1641"/>
      <c r="BD211" s="1641"/>
      <c r="BE211" s="1641"/>
      <c r="BF211" s="1641"/>
      <c r="BG211" s="1641"/>
      <c r="BH211" s="1641"/>
      <c r="BI211" s="1641"/>
      <c r="BJ211" s="1641"/>
      <c r="BK211" s="1641"/>
      <c r="BL211" s="1641"/>
      <c r="BM211" s="1641"/>
      <c r="BN211" s="1641"/>
      <c r="BO211" s="1641"/>
      <c r="BP211" s="1641"/>
      <c r="BQ211" s="1641"/>
      <c r="BR211" s="1641"/>
      <c r="BS211" s="1641"/>
      <c r="BT211" s="1641"/>
      <c r="BU211" s="1641"/>
      <c r="BV211" s="1641"/>
      <c r="BW211" s="1641"/>
      <c r="BX211" s="1641"/>
      <c r="BY211" s="1641"/>
      <c r="BZ211" s="1641"/>
      <c r="CA211" s="1641"/>
      <c r="CB211" s="1641"/>
      <c r="CC211" s="1641"/>
      <c r="CD211" s="1641"/>
      <c r="CE211" s="1641"/>
      <c r="CF211" s="1641"/>
      <c r="CG211" s="1641"/>
      <c r="CH211" s="1641"/>
      <c r="CI211" s="1641"/>
      <c r="CJ211" s="1641"/>
      <c r="CK211" s="1641"/>
      <c r="CL211" s="1641"/>
      <c r="CM211" s="1641"/>
      <c r="CN211" s="1641"/>
      <c r="CO211" s="1641"/>
      <c r="CP211" s="1641"/>
      <c r="CQ211" s="1641"/>
      <c r="CR211" s="1641"/>
      <c r="CS211" s="1641"/>
      <c r="CT211" s="1641"/>
      <c r="CU211" s="1641"/>
      <c r="CV211" s="1641"/>
      <c r="CW211" s="1641"/>
      <c r="CX211" s="1641"/>
      <c r="CY211" s="1641"/>
      <c r="CZ211" s="1641"/>
      <c r="DA211" s="1641"/>
      <c r="DB211" s="1641"/>
      <c r="DC211" s="1641"/>
      <c r="DD211" s="1641"/>
      <c r="DE211" s="1641"/>
      <c r="DF211" s="1641"/>
      <c r="DG211" s="1641"/>
      <c r="DH211" s="1641"/>
      <c r="DI211" s="1641"/>
      <c r="DJ211" s="1641"/>
      <c r="DK211" s="1641"/>
      <c r="DL211" s="1641"/>
      <c r="DM211" s="1641"/>
      <c r="DN211" s="1641"/>
      <c r="DO211" s="1641"/>
      <c r="DP211" s="1641"/>
      <c r="DQ211" s="1641"/>
      <c r="DR211" s="1641"/>
      <c r="DS211" s="1641"/>
      <c r="DT211" s="1641"/>
      <c r="DU211" s="1641"/>
      <c r="DV211" s="1641"/>
      <c r="DW211" s="1641"/>
      <c r="DX211" s="1641"/>
      <c r="DY211" s="1641"/>
      <c r="DZ211" s="1641"/>
      <c r="EA211" s="1641"/>
      <c r="EB211" s="1641"/>
      <c r="EC211" s="1641"/>
      <c r="ED211" s="1641"/>
      <c r="EE211" s="1641"/>
      <c r="EF211" s="1641"/>
      <c r="EG211" s="1641"/>
      <c r="EH211" s="1641"/>
      <c r="EI211" s="1641"/>
      <c r="EJ211" s="1641"/>
      <c r="EK211" s="1641"/>
      <c r="EL211" s="1641"/>
      <c r="EM211" s="1641"/>
      <c r="EN211" s="1641"/>
      <c r="EO211" s="1641"/>
      <c r="EP211" s="1641"/>
      <c r="EQ211" s="1641"/>
      <c r="ER211" s="1641"/>
      <c r="ES211" s="1641"/>
      <c r="ET211" s="1641"/>
      <c r="EU211" s="1641"/>
      <c r="EV211" s="1641"/>
      <c r="EW211" s="1641"/>
      <c r="EX211" s="1641"/>
      <c r="EY211" s="1641"/>
      <c r="EZ211" s="1641"/>
      <c r="FA211" s="1641"/>
      <c r="FB211" s="1641"/>
      <c r="FC211" s="1641"/>
      <c r="FD211" s="1641"/>
      <c r="FE211" s="1641"/>
      <c r="FF211" s="1641"/>
      <c r="FG211" s="1641"/>
      <c r="FH211" s="1641"/>
      <c r="FI211" s="1641"/>
      <c r="FJ211" s="1641"/>
      <c r="FK211" s="1641"/>
      <c r="FL211" s="1641"/>
      <c r="FM211" s="1641"/>
      <c r="FN211" s="1641"/>
      <c r="FO211" s="1641"/>
      <c r="FP211" s="1641"/>
      <c r="FQ211" s="1641"/>
      <c r="FR211" s="1641"/>
      <c r="FS211" s="1641"/>
      <c r="FT211" s="1641"/>
      <c r="FU211" s="1641"/>
      <c r="FV211" s="1641"/>
      <c r="FW211" s="1641"/>
      <c r="FX211" s="1641"/>
      <c r="FY211" s="1641"/>
      <c r="FZ211" s="1641"/>
      <c r="GA211" s="1641"/>
      <c r="GB211" s="1641"/>
      <c r="GC211" s="1641"/>
      <c r="GD211" s="1641"/>
      <c r="GE211" s="1641"/>
      <c r="GF211" s="1641"/>
      <c r="GG211" s="1641"/>
      <c r="GH211" s="1641"/>
      <c r="GI211" s="1641"/>
      <c r="GJ211" s="1641"/>
      <c r="GK211" s="1641"/>
      <c r="GL211" s="1641"/>
      <c r="GM211" s="1641"/>
      <c r="GN211" s="1641"/>
      <c r="GO211" s="1641"/>
      <c r="GP211" s="1641"/>
      <c r="GQ211" s="1641"/>
      <c r="GR211" s="1641"/>
      <c r="GS211" s="1641"/>
      <c r="GT211" s="1641"/>
      <c r="GU211" s="1641"/>
      <c r="GV211" s="1641"/>
      <c r="GW211" s="1641"/>
      <c r="GX211" s="1641"/>
      <c r="GY211" s="1641"/>
      <c r="GZ211" s="1641"/>
      <c r="HA211" s="1641"/>
      <c r="HB211" s="1641"/>
      <c r="HC211" s="1641"/>
      <c r="HD211" s="1641"/>
      <c r="HE211" s="1641"/>
      <c r="HF211" s="1641"/>
      <c r="HG211" s="1641"/>
      <c r="HH211" s="1641"/>
      <c r="HI211" s="1641"/>
      <c r="HJ211" s="1641"/>
      <c r="HK211" s="1641"/>
      <c r="HL211" s="1641"/>
      <c r="HM211" s="1641"/>
      <c r="HN211" s="1641"/>
      <c r="HO211" s="1641"/>
      <c r="HP211" s="1641"/>
      <c r="HQ211" s="1641"/>
      <c r="HR211" s="1641"/>
      <c r="HS211" s="1641"/>
      <c r="HT211" s="1641"/>
      <c r="HU211" s="1641"/>
      <c r="HV211" s="1641"/>
      <c r="HW211" s="1641"/>
      <c r="HX211" s="1641"/>
      <c r="HY211" s="1641"/>
      <c r="HZ211" s="1641"/>
      <c r="IA211" s="1641"/>
      <c r="IB211" s="1641"/>
      <c r="IC211" s="1641"/>
      <c r="ID211" s="1641"/>
      <c r="IE211" s="1641"/>
      <c r="IF211" s="1641"/>
      <c r="IG211" s="1641"/>
      <c r="IH211" s="1641"/>
      <c r="II211" s="1641"/>
      <c r="IJ211" s="1641"/>
      <c r="IK211" s="1641"/>
      <c r="IL211" s="1641"/>
      <c r="IM211" s="1641"/>
      <c r="IN211" s="1641"/>
      <c r="IO211" s="1641"/>
      <c r="IP211" s="1410"/>
      <c r="IQ211" s="1410"/>
      <c r="IR211" s="1410"/>
      <c r="IS211" s="1410"/>
      <c r="IT211" s="1410"/>
      <c r="IU211" s="1410"/>
      <c r="IV211" s="1410"/>
      <c r="IW211" s="1410"/>
      <c r="IX211" s="1641"/>
      <c r="IY211" s="1641"/>
      <c r="IZ211" s="1641"/>
      <c r="JA211" s="1641"/>
      <c r="JB211" s="1641"/>
      <c r="JC211" s="1641"/>
      <c r="JD211" s="1641"/>
      <c r="JE211" s="1641"/>
      <c r="JF211" s="1641"/>
      <c r="JG211" s="1641"/>
      <c r="JH211" s="1410"/>
      <c r="JI211" s="1410"/>
      <c r="JJ211" s="1410"/>
      <c r="JK211" s="1410"/>
      <c r="JL211" s="1410"/>
      <c r="JM211" s="1410"/>
      <c r="JN211" s="1410"/>
      <c r="JO211" s="1410"/>
      <c r="JP211" s="1410"/>
      <c r="JQ211" s="1405"/>
      <c r="JR211" s="351"/>
    </row>
    <row r="212" spans="1:278" x14ac:dyDescent="0.25">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c r="CF212" s="8"/>
      <c r="CG212" s="8"/>
      <c r="CH212" s="8"/>
      <c r="CI212" s="8"/>
      <c r="CJ212" s="8"/>
      <c r="CK212" s="8"/>
      <c r="CL212" s="8"/>
      <c r="CM212" s="8"/>
      <c r="CN212" s="8"/>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8"/>
      <c r="DS212" s="8"/>
      <c r="DT212" s="8"/>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8"/>
      <c r="IS212" s="8"/>
      <c r="IT212" s="8"/>
      <c r="IU212" s="8"/>
      <c r="IV212" s="8"/>
      <c r="IW212" s="8"/>
      <c r="IX212" s="8"/>
      <c r="IY212" s="8"/>
      <c r="IZ212" s="8"/>
      <c r="JA212" s="8"/>
      <c r="JB212" s="8"/>
      <c r="JC212" s="8"/>
      <c r="JD212" s="8"/>
      <c r="JE212" s="8"/>
      <c r="JF212" s="8"/>
      <c r="JG212" s="8"/>
      <c r="JH212" s="8"/>
      <c r="JI212" s="8"/>
      <c r="JJ212" s="8"/>
      <c r="JK212" s="8"/>
      <c r="JL212" s="8"/>
      <c r="JM212" s="8"/>
      <c r="JN212" s="8"/>
      <c r="JO212" s="8"/>
      <c r="JP212" s="8"/>
      <c r="JQ212" s="8"/>
    </row>
    <row r="213" spans="1:278" x14ac:dyDescent="0.25">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c r="CF213" s="8"/>
      <c r="CG213" s="8"/>
      <c r="CH213" s="8"/>
      <c r="CI213" s="8"/>
      <c r="CJ213" s="8"/>
      <c r="CK213" s="8"/>
      <c r="CL213" s="8"/>
      <c r="CM213" s="8"/>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8"/>
      <c r="DS213" s="8"/>
      <c r="DT213" s="8"/>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8"/>
      <c r="IS213" s="8"/>
      <c r="IT213" s="8"/>
      <c r="IU213" s="8"/>
      <c r="IV213" s="8"/>
      <c r="IW213" s="8"/>
      <c r="IX213" s="8"/>
      <c r="IY213" s="8"/>
      <c r="IZ213" s="8"/>
      <c r="JA213" s="8"/>
      <c r="JB213" s="8"/>
      <c r="JC213" s="8"/>
      <c r="JD213" s="8"/>
      <c r="JE213" s="8"/>
      <c r="JF213" s="8"/>
      <c r="JG213" s="8"/>
      <c r="JH213" s="8"/>
      <c r="JI213" s="8"/>
      <c r="JJ213" s="8"/>
      <c r="JK213" s="8"/>
      <c r="JL213" s="8"/>
      <c r="JM213" s="8"/>
      <c r="JN213" s="8"/>
      <c r="JO213" s="8"/>
      <c r="JP213" s="8"/>
      <c r="JQ213" s="8"/>
    </row>
    <row r="214" spans="1:278" x14ac:dyDescent="0.25">
      <c r="AI214" s="8"/>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8"/>
      <c r="CE214" s="8"/>
      <c r="CF214" s="8"/>
      <c r="CG214" s="8"/>
      <c r="CH214" s="8"/>
      <c r="CI214" s="8"/>
      <c r="CJ214" s="8"/>
      <c r="CK214" s="8"/>
      <c r="CL214" s="8"/>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8"/>
      <c r="DS214" s="8"/>
      <c r="DT214" s="8"/>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8"/>
      <c r="IS214" s="8"/>
      <c r="IT214" s="8"/>
      <c r="IU214" s="8"/>
      <c r="IV214" s="8"/>
      <c r="IW214" s="8"/>
      <c r="IX214" s="8"/>
      <c r="IY214" s="8"/>
      <c r="IZ214" s="8"/>
      <c r="JA214" s="8"/>
      <c r="JB214" s="8"/>
      <c r="JC214" s="8"/>
      <c r="JD214" s="8"/>
      <c r="JE214" s="8"/>
      <c r="JF214" s="8"/>
      <c r="JG214" s="8"/>
      <c r="JH214" s="8"/>
      <c r="JI214" s="8"/>
      <c r="JJ214" s="8"/>
      <c r="JK214" s="8"/>
      <c r="JL214" s="8"/>
      <c r="JM214" s="8"/>
      <c r="JN214" s="8"/>
      <c r="JO214" s="8"/>
      <c r="JP214" s="8"/>
      <c r="JQ214" s="8"/>
    </row>
    <row r="215" spans="1:278" ht="13" thickBot="1" x14ac:dyDescent="0.3">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8"/>
      <c r="DS215" s="8"/>
      <c r="DT215" s="8"/>
      <c r="DU215" s="8"/>
      <c r="DV215" s="8"/>
      <c r="DW215" s="8"/>
      <c r="DX215" s="8"/>
      <c r="DY215" s="8"/>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8"/>
      <c r="FG215" s="8"/>
      <c r="FH215" s="8"/>
      <c r="FI215" s="8"/>
      <c r="FJ215" s="8"/>
      <c r="FK215" s="8"/>
      <c r="FL215" s="8"/>
      <c r="FM215" s="8"/>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c r="GT215" s="8"/>
      <c r="GU215" s="8"/>
      <c r="GV215" s="8"/>
      <c r="GW215" s="8"/>
      <c r="GX215" s="8"/>
      <c r="GY215" s="8"/>
      <c r="GZ215" s="8"/>
      <c r="HA215" s="8"/>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8"/>
      <c r="IA215" s="8"/>
      <c r="IB215" s="8"/>
      <c r="IC215" s="8"/>
      <c r="ID215" s="8"/>
      <c r="IE215" s="8"/>
      <c r="IF215" s="8"/>
      <c r="IG215" s="8"/>
      <c r="IH215" s="8"/>
      <c r="II215" s="8"/>
      <c r="IJ215" s="8"/>
      <c r="IK215" s="8"/>
      <c r="IL215" s="8"/>
      <c r="IM215" s="8"/>
      <c r="IN215" s="8"/>
      <c r="IO215" s="8"/>
      <c r="IP215" s="8"/>
      <c r="IQ215" s="8"/>
      <c r="IR215" s="8"/>
      <c r="IS215" s="8"/>
      <c r="IT215" s="8"/>
      <c r="IU215" s="8"/>
      <c r="IV215" s="8"/>
      <c r="IW215" s="8"/>
      <c r="IX215" s="8"/>
      <c r="IY215" s="8"/>
      <c r="IZ215" s="8"/>
      <c r="JA215" s="8"/>
      <c r="JB215" s="8"/>
      <c r="JC215" s="8"/>
      <c r="JD215" s="8"/>
      <c r="JE215" s="8"/>
      <c r="JF215" s="8"/>
      <c r="JG215" s="8"/>
      <c r="JH215" s="8"/>
      <c r="JI215" s="8"/>
      <c r="JJ215" s="8"/>
      <c r="JK215" s="8"/>
      <c r="JL215" s="8"/>
      <c r="JM215" s="8"/>
      <c r="JN215" s="8"/>
      <c r="JO215" s="8"/>
      <c r="JP215" s="8"/>
      <c r="JQ215" s="8"/>
    </row>
    <row r="216" spans="1:278" x14ac:dyDescent="0.25">
      <c r="A216" s="1649" t="s">
        <v>2201</v>
      </c>
      <c r="B216" s="1427" t="s">
        <v>2408</v>
      </c>
      <c r="C216" s="2557" t="s">
        <v>2060</v>
      </c>
      <c r="D216" s="520" t="s">
        <v>35</v>
      </c>
      <c r="E216" s="1650">
        <v>1</v>
      </c>
      <c r="F216" s="1355">
        <v>2</v>
      </c>
      <c r="G216" s="1355">
        <v>3</v>
      </c>
      <c r="H216" s="1355">
        <v>4</v>
      </c>
      <c r="I216" s="1355">
        <v>5</v>
      </c>
      <c r="J216" s="1355">
        <v>6</v>
      </c>
      <c r="K216" s="1355">
        <v>7</v>
      </c>
      <c r="L216" s="1355">
        <v>8</v>
      </c>
      <c r="M216" s="1355">
        <v>9</v>
      </c>
      <c r="N216" s="1355">
        <v>10</v>
      </c>
      <c r="O216" s="1355">
        <v>11</v>
      </c>
      <c r="P216" s="1355">
        <v>12</v>
      </c>
      <c r="Q216" s="1355">
        <v>13</v>
      </c>
      <c r="R216" s="1355">
        <v>14</v>
      </c>
      <c r="S216" s="1355">
        <v>15</v>
      </c>
      <c r="T216" s="1355">
        <v>16</v>
      </c>
      <c r="U216" s="1355">
        <v>17</v>
      </c>
      <c r="V216" s="1355">
        <v>18</v>
      </c>
      <c r="W216" s="1355">
        <v>19</v>
      </c>
      <c r="X216" s="1355">
        <v>20</v>
      </c>
      <c r="Y216" s="1355">
        <v>21</v>
      </c>
      <c r="Z216" s="1355">
        <v>22</v>
      </c>
      <c r="AA216" s="1355">
        <v>23</v>
      </c>
      <c r="AB216" s="1355">
        <v>24</v>
      </c>
      <c r="AC216" s="1355">
        <v>25</v>
      </c>
      <c r="AD216" s="1355">
        <v>26</v>
      </c>
      <c r="AE216" s="1355">
        <v>27</v>
      </c>
      <c r="AF216" s="1355">
        <v>28</v>
      </c>
      <c r="AG216" s="1355">
        <v>29</v>
      </c>
      <c r="AH216" s="1355">
        <v>30</v>
      </c>
      <c r="AI216" s="1355">
        <v>31</v>
      </c>
      <c r="AJ216" s="1355">
        <v>32</v>
      </c>
      <c r="AK216" s="1355">
        <v>33</v>
      </c>
      <c r="AL216" s="1355">
        <v>34</v>
      </c>
      <c r="AM216" s="1355">
        <v>35</v>
      </c>
      <c r="AN216" s="1355">
        <v>36</v>
      </c>
      <c r="AO216" s="1355">
        <v>37</v>
      </c>
      <c r="AP216" s="1355">
        <v>38</v>
      </c>
      <c r="AQ216" s="1355">
        <v>39</v>
      </c>
      <c r="AR216" s="1355">
        <v>40</v>
      </c>
      <c r="AS216" s="1355">
        <v>41</v>
      </c>
      <c r="AT216" s="1355">
        <v>42</v>
      </c>
      <c r="AU216" s="1355">
        <v>43</v>
      </c>
      <c r="AV216" s="1355">
        <v>44</v>
      </c>
      <c r="AW216" s="1355">
        <v>45</v>
      </c>
      <c r="AX216" s="1355">
        <v>46</v>
      </c>
      <c r="AY216" s="1355">
        <v>47</v>
      </c>
      <c r="AZ216" s="1355">
        <v>48</v>
      </c>
      <c r="BA216" s="1355">
        <v>49</v>
      </c>
      <c r="BB216" s="1355">
        <v>50</v>
      </c>
      <c r="BC216" s="1355">
        <v>51</v>
      </c>
      <c r="BD216" s="1355">
        <v>52</v>
      </c>
      <c r="BE216" s="1355">
        <v>53</v>
      </c>
      <c r="BF216" s="1355">
        <v>54</v>
      </c>
      <c r="BG216" s="1355">
        <v>55</v>
      </c>
      <c r="BH216" s="1355">
        <v>56</v>
      </c>
      <c r="BI216" s="1355">
        <v>57</v>
      </c>
      <c r="BJ216" s="1355">
        <v>58</v>
      </c>
      <c r="BK216" s="1355">
        <v>59</v>
      </c>
      <c r="BL216" s="1355">
        <v>60</v>
      </c>
      <c r="BM216" s="1355">
        <v>61</v>
      </c>
      <c r="BN216" s="1355">
        <v>62</v>
      </c>
      <c r="BO216" s="1355">
        <v>63</v>
      </c>
      <c r="BP216" s="1355">
        <v>64</v>
      </c>
      <c r="BQ216" s="1355">
        <v>65</v>
      </c>
      <c r="BR216" s="1355">
        <v>66</v>
      </c>
      <c r="BS216" s="1355">
        <v>67</v>
      </c>
      <c r="BT216" s="1355">
        <v>68</v>
      </c>
      <c r="BU216" s="1355">
        <v>69</v>
      </c>
      <c r="BV216" s="1355">
        <v>70</v>
      </c>
      <c r="BW216" s="1355">
        <v>71</v>
      </c>
      <c r="BX216" s="1355">
        <v>72</v>
      </c>
      <c r="BY216" s="1355">
        <v>73</v>
      </c>
      <c r="BZ216" s="1355">
        <v>74</v>
      </c>
      <c r="CA216" s="1355">
        <v>75</v>
      </c>
      <c r="CB216" s="1355">
        <v>76</v>
      </c>
      <c r="CC216" s="1355">
        <v>77</v>
      </c>
      <c r="CD216" s="1355">
        <v>78</v>
      </c>
      <c r="CE216" s="1355">
        <v>79</v>
      </c>
      <c r="CF216" s="1355">
        <v>80</v>
      </c>
      <c r="CG216" s="1355">
        <v>81</v>
      </c>
      <c r="CH216" s="1355">
        <v>82</v>
      </c>
      <c r="CI216" s="1355">
        <v>83</v>
      </c>
      <c r="CJ216" s="1355">
        <v>84</v>
      </c>
      <c r="CK216" s="1355">
        <v>85</v>
      </c>
      <c r="CL216" s="1355">
        <v>86</v>
      </c>
      <c r="CM216" s="1355">
        <v>87</v>
      </c>
      <c r="CN216" s="1355">
        <v>88</v>
      </c>
      <c r="CO216" s="1355">
        <v>89</v>
      </c>
      <c r="CP216" s="1355">
        <v>90</v>
      </c>
      <c r="CQ216" s="1355">
        <v>91</v>
      </c>
      <c r="CR216" s="1355">
        <v>92</v>
      </c>
      <c r="CS216" s="1355">
        <v>93</v>
      </c>
      <c r="CT216" s="1355">
        <v>94</v>
      </c>
      <c r="CU216" s="1355">
        <v>95</v>
      </c>
      <c r="CV216" s="1355">
        <v>96</v>
      </c>
      <c r="CW216" s="1355">
        <v>97</v>
      </c>
      <c r="CX216" s="1355">
        <v>98</v>
      </c>
      <c r="CY216" s="1355">
        <v>99</v>
      </c>
      <c r="CZ216" s="1355">
        <v>100</v>
      </c>
      <c r="DA216" s="1355">
        <v>101</v>
      </c>
      <c r="DB216" s="1355">
        <v>102</v>
      </c>
      <c r="DC216" s="1355">
        <v>103</v>
      </c>
      <c r="DD216" s="1355">
        <v>104</v>
      </c>
      <c r="DE216" s="1355">
        <v>105</v>
      </c>
      <c r="DF216" s="1355">
        <v>106</v>
      </c>
      <c r="DG216" s="1355">
        <v>107</v>
      </c>
      <c r="DH216" s="1355">
        <v>108</v>
      </c>
      <c r="DI216" s="1355">
        <v>109</v>
      </c>
      <c r="DJ216" s="1355">
        <v>110</v>
      </c>
      <c r="DK216" s="1355">
        <v>111</v>
      </c>
      <c r="DL216" s="1355">
        <v>112</v>
      </c>
      <c r="DM216" s="1355">
        <v>113</v>
      </c>
      <c r="DN216" s="1355">
        <v>114</v>
      </c>
      <c r="DO216" s="1355">
        <v>115</v>
      </c>
      <c r="DP216" s="1355">
        <v>116</v>
      </c>
      <c r="DQ216" s="1355">
        <v>117</v>
      </c>
      <c r="DR216" s="1355">
        <v>118</v>
      </c>
      <c r="DS216" s="1355">
        <v>119</v>
      </c>
      <c r="DT216" s="1355">
        <v>120</v>
      </c>
      <c r="DU216" s="1355">
        <v>121</v>
      </c>
      <c r="DV216" s="1355">
        <v>122</v>
      </c>
      <c r="DW216" s="1355">
        <v>123</v>
      </c>
      <c r="DX216" s="1355">
        <v>124</v>
      </c>
      <c r="DY216" s="1355">
        <v>125</v>
      </c>
      <c r="DZ216" s="1355">
        <v>126</v>
      </c>
      <c r="EA216" s="1355">
        <v>127</v>
      </c>
      <c r="EB216" s="1355">
        <v>128</v>
      </c>
      <c r="EC216" s="1355">
        <v>129</v>
      </c>
      <c r="ED216" s="1355">
        <v>130</v>
      </c>
      <c r="EE216" s="1355">
        <v>131</v>
      </c>
      <c r="EF216" s="1355">
        <v>132</v>
      </c>
      <c r="EG216" s="1355">
        <v>133</v>
      </c>
      <c r="EH216" s="1355">
        <v>134</v>
      </c>
      <c r="EI216" s="1355">
        <v>135</v>
      </c>
      <c r="EJ216" s="1355">
        <v>136</v>
      </c>
      <c r="EK216" s="1355">
        <v>137</v>
      </c>
      <c r="EL216" s="1355">
        <v>138</v>
      </c>
      <c r="EM216" s="1355">
        <v>139</v>
      </c>
      <c r="EN216" s="1355">
        <v>140</v>
      </c>
      <c r="EO216" s="1355">
        <v>141</v>
      </c>
      <c r="EP216" s="1355">
        <v>142</v>
      </c>
      <c r="EQ216" s="1355">
        <v>143</v>
      </c>
      <c r="ER216" s="1355">
        <v>144</v>
      </c>
      <c r="ES216" s="1355">
        <v>145</v>
      </c>
      <c r="ET216" s="1355">
        <v>146</v>
      </c>
      <c r="EU216" s="1355">
        <v>147</v>
      </c>
      <c r="EV216" s="1355">
        <v>148</v>
      </c>
      <c r="EW216" s="1355">
        <v>149</v>
      </c>
      <c r="EX216" s="1355">
        <v>150</v>
      </c>
      <c r="EY216" s="1355">
        <v>151</v>
      </c>
      <c r="EZ216" s="1355">
        <v>152</v>
      </c>
      <c r="FA216" s="1355">
        <v>153</v>
      </c>
      <c r="FB216" s="1355">
        <v>154</v>
      </c>
      <c r="FC216" s="1355">
        <v>155</v>
      </c>
      <c r="FD216" s="1355">
        <v>156</v>
      </c>
      <c r="FE216" s="1355">
        <v>157</v>
      </c>
      <c r="FF216" s="1355">
        <v>158</v>
      </c>
      <c r="FG216" s="1355">
        <v>159</v>
      </c>
      <c r="FH216" s="1355">
        <v>160</v>
      </c>
      <c r="FI216" s="1355">
        <v>161</v>
      </c>
      <c r="FJ216" s="1355">
        <v>162</v>
      </c>
      <c r="FK216" s="1355">
        <v>163</v>
      </c>
      <c r="FL216" s="1355">
        <v>164</v>
      </c>
      <c r="FM216" s="1355">
        <v>165</v>
      </c>
      <c r="FN216" s="1355">
        <v>166</v>
      </c>
      <c r="FO216" s="1355">
        <v>167</v>
      </c>
      <c r="FP216" s="1355">
        <v>168</v>
      </c>
      <c r="FQ216" s="1355">
        <v>169</v>
      </c>
      <c r="FR216" s="1355">
        <v>170</v>
      </c>
      <c r="FS216" s="1355">
        <v>171</v>
      </c>
      <c r="FT216" s="1355">
        <v>172</v>
      </c>
      <c r="FU216" s="1355">
        <v>173</v>
      </c>
      <c r="FV216" s="1355">
        <v>174</v>
      </c>
      <c r="FW216" s="1355">
        <v>175</v>
      </c>
      <c r="FX216" s="1355">
        <v>176</v>
      </c>
      <c r="FY216" s="1355">
        <v>177</v>
      </c>
      <c r="FZ216" s="1355">
        <v>178</v>
      </c>
      <c r="GA216" s="1355">
        <v>179</v>
      </c>
      <c r="GB216" s="1355">
        <v>180</v>
      </c>
      <c r="GC216" s="1355">
        <v>181</v>
      </c>
      <c r="GD216" s="1355">
        <v>182</v>
      </c>
      <c r="GE216" s="1355">
        <v>183</v>
      </c>
      <c r="GF216" s="1355">
        <v>184</v>
      </c>
      <c r="GG216" s="1355">
        <v>185</v>
      </c>
      <c r="GH216" s="1355">
        <v>186</v>
      </c>
      <c r="GI216" s="1355">
        <v>187</v>
      </c>
      <c r="GJ216" s="1355">
        <v>188</v>
      </c>
      <c r="GK216" s="1355">
        <v>189</v>
      </c>
      <c r="GL216" s="1355">
        <v>190</v>
      </c>
      <c r="GM216" s="1355">
        <v>191</v>
      </c>
      <c r="GN216" s="1355">
        <v>192</v>
      </c>
      <c r="GO216" s="1355">
        <v>193</v>
      </c>
      <c r="GP216" s="1355">
        <v>194</v>
      </c>
      <c r="GQ216" s="1355">
        <v>195</v>
      </c>
      <c r="GR216" s="1355">
        <v>196</v>
      </c>
      <c r="GS216" s="1355">
        <v>197</v>
      </c>
      <c r="GT216" s="1355">
        <v>198</v>
      </c>
      <c r="GU216" s="1355">
        <v>199</v>
      </c>
      <c r="GV216" s="1355">
        <v>200</v>
      </c>
      <c r="GW216" s="1355">
        <v>201</v>
      </c>
      <c r="GX216" s="1355">
        <v>202</v>
      </c>
      <c r="GY216" s="1355">
        <v>203</v>
      </c>
      <c r="GZ216" s="1355">
        <v>204</v>
      </c>
      <c r="HA216" s="1355">
        <v>205</v>
      </c>
      <c r="HB216" s="1355">
        <v>206</v>
      </c>
      <c r="HC216" s="1355">
        <v>207</v>
      </c>
      <c r="HD216" s="1355">
        <v>208</v>
      </c>
      <c r="HE216" s="1355">
        <v>209</v>
      </c>
      <c r="HF216" s="1355">
        <v>210</v>
      </c>
      <c r="HG216" s="1355">
        <v>211</v>
      </c>
      <c r="HH216" s="1355">
        <v>212</v>
      </c>
      <c r="HI216" s="1355">
        <v>213</v>
      </c>
      <c r="HJ216" s="1355">
        <v>214</v>
      </c>
      <c r="HK216" s="1355">
        <v>215</v>
      </c>
      <c r="HL216" s="1355">
        <v>216</v>
      </c>
      <c r="HM216" s="1355">
        <v>217</v>
      </c>
      <c r="HN216" s="1355">
        <v>218</v>
      </c>
      <c r="HO216" s="1355">
        <v>219</v>
      </c>
      <c r="HP216" s="1355">
        <v>220</v>
      </c>
      <c r="HQ216" s="1355">
        <v>221</v>
      </c>
      <c r="HR216" s="1355">
        <v>222</v>
      </c>
      <c r="HS216" s="1355">
        <v>223</v>
      </c>
      <c r="HT216" s="1355">
        <v>224</v>
      </c>
      <c r="HU216" s="1355">
        <v>225</v>
      </c>
      <c r="HV216" s="1355">
        <v>226</v>
      </c>
      <c r="HW216" s="1355">
        <v>227</v>
      </c>
      <c r="HX216" s="1355">
        <v>228</v>
      </c>
      <c r="HY216" s="1355">
        <v>229</v>
      </c>
      <c r="HZ216" s="1355">
        <v>230</v>
      </c>
      <c r="IA216" s="1355">
        <v>231</v>
      </c>
      <c r="IB216" s="1355">
        <v>232</v>
      </c>
      <c r="IC216" s="1355">
        <v>233</v>
      </c>
      <c r="ID216" s="1355">
        <v>234</v>
      </c>
      <c r="IE216" s="1355">
        <v>235</v>
      </c>
      <c r="IF216" s="1355">
        <v>236</v>
      </c>
      <c r="IG216" s="1355">
        <v>237</v>
      </c>
      <c r="IH216" s="1355">
        <v>238</v>
      </c>
      <c r="II216" s="1355">
        <v>239</v>
      </c>
      <c r="IJ216" s="1355">
        <v>240</v>
      </c>
      <c r="IK216" s="1355">
        <v>241</v>
      </c>
      <c r="IL216" s="1355">
        <v>242</v>
      </c>
      <c r="IM216" s="1355">
        <v>243</v>
      </c>
      <c r="IN216" s="1355">
        <v>244</v>
      </c>
      <c r="IO216" s="1355">
        <v>245</v>
      </c>
      <c r="IP216" s="1355">
        <v>246</v>
      </c>
      <c r="IQ216" s="1355">
        <v>247</v>
      </c>
      <c r="IR216" s="1355">
        <v>248</v>
      </c>
      <c r="IS216" s="1355">
        <v>249</v>
      </c>
      <c r="IT216" s="1355">
        <v>250</v>
      </c>
      <c r="IU216" s="1355">
        <v>251</v>
      </c>
      <c r="IV216" s="1355">
        <v>252</v>
      </c>
      <c r="IW216" s="1355">
        <v>253</v>
      </c>
      <c r="IX216" s="1355">
        <v>254</v>
      </c>
      <c r="IY216" s="1355">
        <v>255</v>
      </c>
      <c r="IZ216" s="1355">
        <v>256</v>
      </c>
      <c r="JA216" s="1355">
        <v>257</v>
      </c>
      <c r="JB216" s="1355">
        <v>258</v>
      </c>
      <c r="JC216" s="1355">
        <v>259</v>
      </c>
      <c r="JD216" s="1355">
        <v>260</v>
      </c>
      <c r="JE216" s="1355">
        <v>261</v>
      </c>
      <c r="JF216" s="1355">
        <v>262</v>
      </c>
      <c r="JG216" s="1355">
        <v>263</v>
      </c>
      <c r="JH216" s="1355">
        <v>264</v>
      </c>
      <c r="JI216" s="1355">
        <v>265</v>
      </c>
      <c r="JJ216" s="1355">
        <v>266</v>
      </c>
      <c r="JK216" s="1355">
        <v>267</v>
      </c>
      <c r="JL216" s="1355">
        <v>268</v>
      </c>
      <c r="JM216" s="1355">
        <v>269</v>
      </c>
      <c r="JN216" s="1355">
        <v>270</v>
      </c>
      <c r="JO216" s="1355">
        <v>271</v>
      </c>
      <c r="JP216" s="1355">
        <v>272</v>
      </c>
      <c r="JQ216" s="1355">
        <v>273</v>
      </c>
    </row>
    <row r="217" spans="1:278" ht="13" thickBot="1" x14ac:dyDescent="0.3">
      <c r="A217" s="1649">
        <v>2</v>
      </c>
      <c r="B217" s="1651" t="b">
        <f>IF(FOR_IND&gt;1,IF(HLOOKUP(FOR_IND-1,TCR_RANGE,A217)="","",HLOOKUP(FOR_IND-1,TCR_RANGE,A217)),"")</f>
        <v>1</v>
      </c>
      <c r="D217" s="9" t="s">
        <v>4145</v>
      </c>
      <c r="E217" s="1652"/>
      <c r="F217" s="1652"/>
      <c r="G217" s="1652"/>
      <c r="H217" s="1652"/>
      <c r="I217" s="1652"/>
      <c r="J217" s="1652"/>
      <c r="K217" s="1652"/>
      <c r="L217" s="1652"/>
      <c r="M217" s="1652"/>
      <c r="N217" s="1652"/>
      <c r="O217" s="1652"/>
      <c r="P217" s="1652"/>
      <c r="Q217" s="1652"/>
      <c r="R217" s="1652"/>
      <c r="S217" s="1652"/>
      <c r="T217" s="1652"/>
      <c r="U217" s="1652"/>
      <c r="V217" s="1652"/>
      <c r="W217" s="1652"/>
      <c r="X217" s="1652"/>
      <c r="Y217" s="1652"/>
      <c r="Z217" s="1652"/>
      <c r="AA217" s="1652"/>
      <c r="AB217" s="1652"/>
      <c r="AC217" s="1652"/>
      <c r="AD217" s="1652"/>
      <c r="AE217" s="1652"/>
      <c r="AF217" s="1652"/>
      <c r="AG217" s="1652"/>
      <c r="AH217" s="1652"/>
      <c r="AI217" s="1652"/>
      <c r="AJ217" s="1652"/>
      <c r="AK217" s="1652"/>
      <c r="AL217" s="1652"/>
      <c r="AM217" s="1652"/>
      <c r="AN217" s="1652"/>
      <c r="AO217" s="1652"/>
      <c r="AP217" s="1652"/>
      <c r="AQ217" s="1652"/>
      <c r="AR217" s="1652"/>
      <c r="AS217" s="1652"/>
      <c r="AT217" s="1652"/>
      <c r="AU217" s="1652"/>
      <c r="AV217" s="1652"/>
      <c r="AW217" s="1652"/>
      <c r="AX217" s="1652"/>
      <c r="AY217" s="1652"/>
      <c r="AZ217" s="1652"/>
      <c r="BA217" s="1652"/>
      <c r="BB217" s="1652" t="b">
        <v>1</v>
      </c>
      <c r="BC217" s="1652" t="b">
        <v>1</v>
      </c>
      <c r="BD217" s="1652" t="b">
        <v>1</v>
      </c>
      <c r="BE217" s="1652"/>
      <c r="BF217" s="1652"/>
      <c r="BG217" s="1652"/>
      <c r="BH217" s="1652"/>
      <c r="BI217" s="1652"/>
      <c r="BJ217" s="1652" t="b">
        <v>1</v>
      </c>
      <c r="BK217" s="1652"/>
      <c r="BL217" s="1652"/>
      <c r="BM217" s="1652"/>
      <c r="BN217" s="1652"/>
      <c r="BO217" s="1652"/>
      <c r="BP217" s="1652"/>
      <c r="BQ217" s="1652"/>
      <c r="BR217" s="1652"/>
      <c r="BS217" s="1652"/>
      <c r="BT217" s="1652"/>
      <c r="BU217" s="1652"/>
      <c r="BV217" s="1652"/>
      <c r="BW217" s="1652"/>
      <c r="BX217" s="1652"/>
      <c r="BY217" s="1652"/>
      <c r="BZ217" s="1652"/>
      <c r="CA217" s="1652"/>
      <c r="CB217" s="1652" t="b">
        <v>1</v>
      </c>
      <c r="CC217" s="1652"/>
      <c r="CD217" s="1652"/>
      <c r="CE217" s="1652"/>
      <c r="CF217" s="1652"/>
      <c r="CG217" s="1652"/>
      <c r="CH217" s="1652"/>
      <c r="CI217" s="1652"/>
      <c r="CJ217" s="1652" t="b">
        <v>1</v>
      </c>
      <c r="CK217" s="1652"/>
      <c r="CL217" s="1652"/>
      <c r="CM217" s="1652"/>
      <c r="CN217" s="1652"/>
      <c r="CO217" s="1652"/>
      <c r="CP217" s="1652"/>
      <c r="CQ217" s="1652"/>
      <c r="CR217" s="1652"/>
      <c r="CS217" s="1652"/>
      <c r="CT217" s="1652" t="b">
        <v>1</v>
      </c>
      <c r="CU217" s="1652"/>
      <c r="CV217" s="1652"/>
      <c r="CW217" s="1652"/>
      <c r="CX217" s="1652"/>
      <c r="CY217" s="1652"/>
      <c r="CZ217" s="1652"/>
      <c r="DA217" s="1652"/>
      <c r="DB217" s="1652"/>
      <c r="DC217" s="1652"/>
      <c r="DD217" s="1652"/>
      <c r="DE217" s="1652"/>
      <c r="DF217" s="1652"/>
      <c r="DG217" s="1652"/>
      <c r="DH217" s="1652"/>
      <c r="DI217" s="1652"/>
      <c r="DJ217" s="1652"/>
      <c r="DK217" s="1652"/>
      <c r="DL217" s="1652"/>
      <c r="DM217" s="1652"/>
      <c r="DN217" s="1652"/>
      <c r="DO217" s="1652"/>
      <c r="DP217" s="1652" t="b">
        <v>1</v>
      </c>
      <c r="DQ217" s="1652"/>
      <c r="DR217" s="1652" t="b">
        <v>1</v>
      </c>
      <c r="DS217" s="1652"/>
      <c r="DT217" s="1652" t="b">
        <v>1</v>
      </c>
      <c r="DU217" s="1652"/>
      <c r="DV217" s="1652"/>
      <c r="DW217" s="1652" t="b">
        <v>1</v>
      </c>
      <c r="DX217" s="1652"/>
      <c r="DY217" s="1652"/>
      <c r="DZ217" s="1652"/>
      <c r="EA217" s="1652"/>
      <c r="EB217" s="1652"/>
      <c r="EC217" s="1652"/>
      <c r="ED217" s="1652"/>
      <c r="EE217" s="1652"/>
      <c r="EF217" s="1652"/>
      <c r="EG217" s="1652"/>
      <c r="EH217" s="1652"/>
      <c r="EI217" s="1652"/>
      <c r="EJ217" s="1652"/>
      <c r="EK217" s="1652"/>
      <c r="EL217" s="1652"/>
      <c r="EM217" s="1652" t="b">
        <v>1</v>
      </c>
      <c r="EN217" s="1652" t="b">
        <v>1</v>
      </c>
      <c r="EO217" s="1652"/>
      <c r="EP217" s="1652"/>
      <c r="EQ217" s="1652" t="b">
        <v>1</v>
      </c>
      <c r="ER217" s="1652"/>
      <c r="ES217" s="1652" t="b">
        <v>1</v>
      </c>
      <c r="ET217" s="1652"/>
      <c r="EU217" s="1652" t="b">
        <v>1</v>
      </c>
      <c r="EV217" s="1652" t="b">
        <v>1</v>
      </c>
      <c r="EW217" s="1652"/>
      <c r="EX217" s="1652" t="b">
        <v>1</v>
      </c>
      <c r="EY217" s="1652"/>
      <c r="EZ217" s="1652" t="b">
        <v>1</v>
      </c>
      <c r="FA217" s="1652"/>
      <c r="FB217" s="1652" t="b">
        <v>1</v>
      </c>
      <c r="FC217" s="1652" t="b">
        <v>1</v>
      </c>
      <c r="FD217" s="1652"/>
      <c r="FE217" s="1652"/>
      <c r="FF217" s="1652" t="b">
        <v>1</v>
      </c>
      <c r="FG217" s="1652"/>
      <c r="FH217" s="1652"/>
      <c r="FI217" s="1652"/>
      <c r="FJ217" s="1652" t="b">
        <v>1</v>
      </c>
      <c r="FK217" s="1652"/>
      <c r="FL217" s="1652"/>
      <c r="FM217" s="1652"/>
      <c r="FN217" s="1652"/>
      <c r="FO217" s="1652" t="b">
        <v>1</v>
      </c>
      <c r="FP217" s="1652" t="b">
        <v>1</v>
      </c>
      <c r="FQ217" s="1652"/>
      <c r="FR217" s="1652"/>
      <c r="FS217" s="1652"/>
      <c r="FT217" s="1652"/>
      <c r="FU217" s="1652"/>
      <c r="FV217" s="1652"/>
      <c r="FW217" s="1652"/>
      <c r="FX217" s="1652"/>
      <c r="FY217" s="1652"/>
      <c r="FZ217" s="1652"/>
      <c r="GA217" s="1652"/>
      <c r="GB217" s="1652"/>
      <c r="GC217" s="1652"/>
      <c r="GD217" s="1652"/>
      <c r="GE217" s="1652"/>
      <c r="GF217" s="1652" t="b">
        <v>1</v>
      </c>
      <c r="GG217" s="1652"/>
      <c r="GH217" s="1652"/>
      <c r="GI217" s="1652"/>
      <c r="GJ217" s="1652"/>
      <c r="GK217" s="1652"/>
      <c r="GL217" s="1652"/>
      <c r="GM217" s="1652"/>
      <c r="GN217" s="1652"/>
      <c r="GO217" s="1652"/>
      <c r="GP217" s="1652"/>
      <c r="GQ217" s="1652"/>
      <c r="GR217" s="1652"/>
      <c r="GS217" s="1652"/>
      <c r="GT217" s="1652"/>
      <c r="GU217" s="1652"/>
      <c r="GV217" s="1652"/>
      <c r="GW217" s="1652"/>
      <c r="GX217" s="1652"/>
      <c r="GY217" s="1652"/>
      <c r="GZ217" s="1652"/>
      <c r="HA217" s="1652"/>
      <c r="HB217" s="1652"/>
      <c r="HC217" s="1652"/>
      <c r="HD217" s="1652"/>
      <c r="HE217" s="1652"/>
      <c r="HF217" s="1652"/>
      <c r="HG217" s="1652"/>
      <c r="HH217" s="1652" t="b">
        <v>1</v>
      </c>
      <c r="HI217" s="1652"/>
      <c r="HJ217" s="1652" t="b">
        <v>1</v>
      </c>
      <c r="HK217" s="1652" t="b">
        <v>1</v>
      </c>
      <c r="HL217" s="1652" t="b">
        <v>1</v>
      </c>
      <c r="HM217" s="1652" t="b">
        <v>1</v>
      </c>
      <c r="HN217" s="1652"/>
      <c r="HO217" s="1652"/>
      <c r="HP217" s="1652" t="b">
        <v>1</v>
      </c>
      <c r="HQ217" s="1652"/>
      <c r="HR217" s="1652" t="b">
        <v>1</v>
      </c>
      <c r="HS217" s="1652"/>
      <c r="HT217" s="1652" t="b">
        <v>1</v>
      </c>
      <c r="HU217" s="1652"/>
      <c r="HV217" s="1652"/>
      <c r="HW217" s="1652"/>
      <c r="HX217" s="1652"/>
      <c r="HY217" s="1652"/>
      <c r="HZ217" s="1652"/>
      <c r="IA217" s="1652" t="b">
        <v>1</v>
      </c>
      <c r="IB217" s="1652"/>
      <c r="IC217" s="1652"/>
      <c r="ID217" s="1652"/>
      <c r="IE217" s="1652"/>
      <c r="IF217" s="1652" t="b">
        <v>1</v>
      </c>
      <c r="IG217" s="1652"/>
      <c r="IH217" s="1652"/>
      <c r="II217" s="1652" t="b">
        <v>1</v>
      </c>
      <c r="IJ217" s="1652"/>
      <c r="IK217" s="1652"/>
      <c r="IL217" s="1652" t="b">
        <v>1</v>
      </c>
      <c r="IM217" s="1652"/>
      <c r="IN217" s="1652"/>
      <c r="IO217" s="1652"/>
      <c r="IP217" s="1652"/>
      <c r="IQ217" s="1652"/>
      <c r="IR217" s="1652"/>
      <c r="IS217" s="1652"/>
      <c r="IT217" s="1652"/>
      <c r="IU217" s="1652"/>
      <c r="IV217" s="1652"/>
      <c r="IW217" s="1652"/>
      <c r="IX217" s="1652"/>
      <c r="IY217" s="1652"/>
      <c r="IZ217" s="1652"/>
      <c r="JA217" s="1652"/>
      <c r="JB217" s="1652"/>
      <c r="JC217" s="1652"/>
      <c r="JD217" s="1652"/>
      <c r="JE217" s="1652" t="b">
        <v>1</v>
      </c>
      <c r="JF217" s="1652" t="b">
        <v>1</v>
      </c>
      <c r="JG217" s="1652"/>
      <c r="JH217" s="1652"/>
      <c r="JI217" s="1652"/>
      <c r="JJ217" s="1652" t="b">
        <v>1</v>
      </c>
      <c r="JK217" s="1652"/>
      <c r="JL217" s="1652"/>
      <c r="JM217" s="1652"/>
      <c r="JN217" s="1653"/>
      <c r="JO217" s="1653"/>
      <c r="JP217" s="1652"/>
      <c r="JQ217" s="1654"/>
    </row>
    <row r="218" spans="1:278" x14ac:dyDescent="0.25">
      <c r="A218" s="1649">
        <v>3</v>
      </c>
      <c r="B218" s="1651">
        <f>IF(FOR_IND&gt;1,IF(HLOOKUP(FOR_IND-1,TCR_RANGE,A218)="","",HLOOKUP(FOR_IND-1,TCR_RANGE,A218)),"")</f>
        <v>1</v>
      </c>
      <c r="D218" s="521" t="s">
        <v>4146</v>
      </c>
      <c r="E218" s="541"/>
      <c r="F218" s="542"/>
      <c r="G218" s="542"/>
      <c r="H218" s="542"/>
      <c r="I218" s="542"/>
      <c r="J218" s="542"/>
      <c r="K218" s="542"/>
      <c r="L218" s="542"/>
      <c r="M218" s="542"/>
      <c r="N218" s="542"/>
      <c r="O218" s="542"/>
      <c r="P218" s="542"/>
      <c r="Q218" s="542"/>
      <c r="R218" s="542"/>
      <c r="S218" s="542"/>
      <c r="T218" s="542"/>
      <c r="U218" s="542"/>
      <c r="V218" s="542"/>
      <c r="W218" s="542"/>
      <c r="X218" s="542"/>
      <c r="Y218" s="542"/>
      <c r="Z218" s="542"/>
      <c r="AA218" s="542"/>
      <c r="AB218" s="542"/>
      <c r="AC218" s="542"/>
      <c r="AD218" s="542"/>
      <c r="AE218" s="542"/>
      <c r="AF218" s="542"/>
      <c r="AG218" s="542"/>
      <c r="AH218" s="542"/>
      <c r="AI218" s="542"/>
      <c r="AJ218" s="542"/>
      <c r="AK218" s="542"/>
      <c r="AL218" s="542"/>
      <c r="AM218" s="542"/>
      <c r="AN218" s="542"/>
      <c r="AO218" s="542"/>
      <c r="AP218" s="542"/>
      <c r="AQ218" s="542"/>
      <c r="AR218" s="542"/>
      <c r="AS218" s="542"/>
      <c r="AT218" s="542"/>
      <c r="AU218" s="542"/>
      <c r="AV218" s="542"/>
      <c r="AW218" s="542"/>
      <c r="AX218" s="542"/>
      <c r="AY218" s="542"/>
      <c r="AZ218" s="542"/>
      <c r="BA218" s="542"/>
      <c r="BB218" s="542">
        <v>4</v>
      </c>
      <c r="BC218" s="542">
        <v>1</v>
      </c>
      <c r="BD218" s="542">
        <v>1</v>
      </c>
      <c r="BE218" s="542"/>
      <c r="BF218" s="542"/>
      <c r="BG218" s="542"/>
      <c r="BH218" s="542"/>
      <c r="BI218" s="542"/>
      <c r="BJ218" s="542">
        <v>1</v>
      </c>
      <c r="BK218" s="542"/>
      <c r="BL218" s="542"/>
      <c r="BM218" s="542"/>
      <c r="BN218" s="542"/>
      <c r="BO218" s="542"/>
      <c r="BP218" s="542"/>
      <c r="BQ218" s="542"/>
      <c r="BR218" s="542"/>
      <c r="BS218" s="542"/>
      <c r="BT218" s="542"/>
      <c r="BU218" s="542"/>
      <c r="BV218" s="542"/>
      <c r="BW218" s="542"/>
      <c r="BX218" s="542"/>
      <c r="BY218" s="542"/>
      <c r="BZ218" s="542"/>
      <c r="CA218" s="542"/>
      <c r="CB218" s="542">
        <v>1</v>
      </c>
      <c r="CC218" s="542"/>
      <c r="CD218" s="542"/>
      <c r="CE218" s="542"/>
      <c r="CF218" s="542"/>
      <c r="CG218" s="542"/>
      <c r="CH218" s="542"/>
      <c r="CI218" s="542"/>
      <c r="CJ218" s="542">
        <v>4</v>
      </c>
      <c r="CK218" s="542"/>
      <c r="CL218" s="542"/>
      <c r="CM218" s="542"/>
      <c r="CN218" s="542"/>
      <c r="CO218" s="542"/>
      <c r="CP218" s="542"/>
      <c r="CQ218" s="542"/>
      <c r="CR218" s="542"/>
      <c r="CS218" s="542"/>
      <c r="CT218" s="542">
        <v>4</v>
      </c>
      <c r="CU218" s="542"/>
      <c r="CV218" s="542"/>
      <c r="CW218" s="542"/>
      <c r="CX218" s="542"/>
      <c r="CY218" s="542"/>
      <c r="CZ218" s="542"/>
      <c r="DA218" s="542"/>
      <c r="DB218" s="542"/>
      <c r="DC218" s="542"/>
      <c r="DD218" s="542"/>
      <c r="DE218" s="542"/>
      <c r="DF218" s="542"/>
      <c r="DG218" s="542"/>
      <c r="DH218" s="542"/>
      <c r="DI218" s="542"/>
      <c r="DJ218" s="542"/>
      <c r="DK218" s="542"/>
      <c r="DL218" s="542"/>
      <c r="DM218" s="542"/>
      <c r="DN218" s="542"/>
      <c r="DO218" s="542"/>
      <c r="DP218" s="542">
        <v>4</v>
      </c>
      <c r="DQ218" s="542"/>
      <c r="DR218" s="542">
        <v>4</v>
      </c>
      <c r="DS218" s="542"/>
      <c r="DT218" s="542">
        <v>4</v>
      </c>
      <c r="DU218" s="542"/>
      <c r="DV218" s="542"/>
      <c r="DW218" s="542">
        <v>4</v>
      </c>
      <c r="DX218" s="542"/>
      <c r="DY218" s="542"/>
      <c r="DZ218" s="542"/>
      <c r="EA218" s="542"/>
      <c r="EB218" s="542"/>
      <c r="EC218" s="542"/>
      <c r="ED218" s="542"/>
      <c r="EE218" s="542"/>
      <c r="EF218" s="542"/>
      <c r="EG218" s="542"/>
      <c r="EH218" s="542"/>
      <c r="EI218" s="542"/>
      <c r="EJ218" s="542"/>
      <c r="EK218" s="542"/>
      <c r="EL218" s="542"/>
      <c r="EM218" s="542">
        <v>4</v>
      </c>
      <c r="EN218" s="542">
        <v>4</v>
      </c>
      <c r="EO218" s="542"/>
      <c r="EP218" s="542"/>
      <c r="EQ218" s="542">
        <v>3</v>
      </c>
      <c r="ER218" s="542"/>
      <c r="ES218" s="542">
        <v>4</v>
      </c>
      <c r="ET218" s="542"/>
      <c r="EU218" s="542">
        <v>1</v>
      </c>
      <c r="EV218" s="542">
        <v>3</v>
      </c>
      <c r="EW218" s="542"/>
      <c r="EX218" s="542">
        <v>1</v>
      </c>
      <c r="EY218" s="542"/>
      <c r="EZ218" s="542">
        <v>3</v>
      </c>
      <c r="FA218" s="542"/>
      <c r="FB218" s="542">
        <v>4</v>
      </c>
      <c r="FC218" s="542">
        <v>4</v>
      </c>
      <c r="FD218" s="542"/>
      <c r="FE218" s="542"/>
      <c r="FF218" s="542">
        <v>4</v>
      </c>
      <c r="FG218" s="542"/>
      <c r="FH218" s="542"/>
      <c r="FI218" s="542"/>
      <c r="FJ218" s="542">
        <v>4</v>
      </c>
      <c r="FK218" s="542"/>
      <c r="FL218" s="542"/>
      <c r="FM218" s="542"/>
      <c r="FN218" s="542"/>
      <c r="FO218" s="541">
        <v>1</v>
      </c>
      <c r="FP218" s="541">
        <v>1</v>
      </c>
      <c r="FQ218" s="542"/>
      <c r="FR218" s="542"/>
      <c r="FS218" s="542"/>
      <c r="FT218" s="542"/>
      <c r="FU218" s="542"/>
      <c r="FV218" s="542"/>
      <c r="FW218" s="542"/>
      <c r="FX218" s="542"/>
      <c r="FY218" s="542"/>
      <c r="FZ218" s="542"/>
      <c r="GA218" s="542"/>
      <c r="GB218" s="542"/>
      <c r="GC218" s="542"/>
      <c r="GD218" s="542"/>
      <c r="GE218" s="542"/>
      <c r="GF218" s="541">
        <v>1</v>
      </c>
      <c r="GG218" s="542"/>
      <c r="GH218" s="542"/>
      <c r="GI218" s="542"/>
      <c r="GJ218" s="542"/>
      <c r="GK218" s="542"/>
      <c r="GL218" s="542"/>
      <c r="GM218" s="542"/>
      <c r="GN218" s="542"/>
      <c r="GO218" s="542"/>
      <c r="GP218" s="542"/>
      <c r="GQ218" s="542"/>
      <c r="GR218" s="542"/>
      <c r="GS218" s="542"/>
      <c r="GT218" s="542"/>
      <c r="GU218" s="542"/>
      <c r="GV218" s="542"/>
      <c r="GW218" s="542"/>
      <c r="GX218" s="542"/>
      <c r="GY218" s="542"/>
      <c r="GZ218" s="542"/>
      <c r="HA218" s="542"/>
      <c r="HB218" s="542"/>
      <c r="HC218" s="542"/>
      <c r="HD218" s="542"/>
      <c r="HE218" s="542"/>
      <c r="HF218" s="542"/>
      <c r="HG218" s="542"/>
      <c r="HH218" s="543">
        <v>1</v>
      </c>
      <c r="HI218" s="542"/>
      <c r="HJ218" s="542">
        <v>1</v>
      </c>
      <c r="HK218" s="542">
        <v>1</v>
      </c>
      <c r="HL218" s="542">
        <v>1</v>
      </c>
      <c r="HM218" s="542">
        <v>1</v>
      </c>
      <c r="HN218" s="542"/>
      <c r="HO218" s="542"/>
      <c r="HP218" s="542">
        <v>1</v>
      </c>
      <c r="HQ218" s="542"/>
      <c r="HR218" s="542">
        <v>1</v>
      </c>
      <c r="HS218" s="542"/>
      <c r="HT218" s="542">
        <v>1</v>
      </c>
      <c r="HU218" s="542"/>
      <c r="HV218" s="542"/>
      <c r="HW218" s="542"/>
      <c r="HX218" s="542"/>
      <c r="HY218" s="542"/>
      <c r="HZ218" s="542"/>
      <c r="IA218" s="542">
        <v>4</v>
      </c>
      <c r="IB218" s="542"/>
      <c r="IC218" s="542"/>
      <c r="ID218" s="542"/>
      <c r="IE218" s="542"/>
      <c r="IF218" s="542">
        <v>4</v>
      </c>
      <c r="IG218" s="542"/>
      <c r="IH218" s="542"/>
      <c r="II218" s="542">
        <v>3</v>
      </c>
      <c r="IJ218" s="542"/>
      <c r="IK218" s="542"/>
      <c r="IL218" s="542">
        <v>3</v>
      </c>
      <c r="IM218" s="542"/>
      <c r="IN218" s="542"/>
      <c r="IO218" s="542"/>
      <c r="IP218" s="542"/>
      <c r="IQ218" s="542"/>
      <c r="IR218" s="542"/>
      <c r="IS218" s="542"/>
      <c r="IT218" s="542"/>
      <c r="IU218" s="542"/>
      <c r="IV218" s="542"/>
      <c r="IW218" s="542"/>
      <c r="IX218" s="542"/>
      <c r="IY218" s="542"/>
      <c r="IZ218" s="542"/>
      <c r="JA218" s="542"/>
      <c r="JB218" s="542"/>
      <c r="JC218" s="542"/>
      <c r="JD218" s="542"/>
      <c r="JE218" s="542">
        <v>1</v>
      </c>
      <c r="JF218" s="542">
        <v>4</v>
      </c>
      <c r="JG218" s="542"/>
      <c r="JH218" s="542"/>
      <c r="JI218" s="542"/>
      <c r="JJ218" s="542">
        <v>1</v>
      </c>
      <c r="JK218" s="542"/>
      <c r="JL218" s="542"/>
      <c r="JM218" s="542"/>
      <c r="JN218" s="544"/>
      <c r="JO218" s="544"/>
      <c r="JP218" s="542"/>
      <c r="JQ218" s="543"/>
    </row>
    <row r="219" spans="1:278" x14ac:dyDescent="0.25">
      <c r="A219" s="1649">
        <v>4</v>
      </c>
      <c r="B219" s="1651">
        <f t="shared" ref="B219:B267" si="19">IF(FOR_IND&gt;1,IF(HLOOKUP(FOR_IND-1,TCR_RANGE,A219)="","",HLOOKUP(FOR_IND-1,TCR_RANGE,A219)),"")</f>
        <v>1</v>
      </c>
      <c r="D219" s="521" t="s">
        <v>4147</v>
      </c>
      <c r="E219" s="1655"/>
      <c r="F219" s="1656"/>
      <c r="G219" s="1656"/>
      <c r="H219" s="1656"/>
      <c r="I219" s="1656"/>
      <c r="J219" s="1656"/>
      <c r="K219" s="1656"/>
      <c r="L219" s="1656"/>
      <c r="M219" s="1656"/>
      <c r="N219" s="1656"/>
      <c r="O219" s="1656"/>
      <c r="P219" s="1656"/>
      <c r="Q219" s="1656"/>
      <c r="R219" s="1656"/>
      <c r="S219" s="1656"/>
      <c r="T219" s="1656"/>
      <c r="U219" s="1656"/>
      <c r="V219" s="1656"/>
      <c r="W219" s="1656"/>
      <c r="X219" s="1656"/>
      <c r="Y219" s="1656"/>
      <c r="Z219" s="1656"/>
      <c r="AA219" s="1656"/>
      <c r="AB219" s="1656"/>
      <c r="AC219" s="1656"/>
      <c r="AD219" s="1656"/>
      <c r="AE219" s="1656"/>
      <c r="AF219" s="1656"/>
      <c r="AG219" s="1656"/>
      <c r="AH219" s="1656"/>
      <c r="AI219" s="1656"/>
      <c r="AJ219" s="1656"/>
      <c r="AK219" s="1656"/>
      <c r="AL219" s="1656"/>
      <c r="AM219" s="1656"/>
      <c r="AN219" s="1656"/>
      <c r="AO219" s="1656"/>
      <c r="AP219" s="1656"/>
      <c r="AQ219" s="1656"/>
      <c r="AR219" s="1656"/>
      <c r="AS219" s="1656"/>
      <c r="AT219" s="1656"/>
      <c r="AU219" s="1656"/>
      <c r="AV219" s="1656"/>
      <c r="AW219" s="1656"/>
      <c r="AX219" s="1656"/>
      <c r="AY219" s="1656"/>
      <c r="AZ219" s="1656"/>
      <c r="BA219" s="1656"/>
      <c r="BB219" s="1656">
        <v>8</v>
      </c>
      <c r="BC219" s="1656">
        <v>1</v>
      </c>
      <c r="BD219" s="1656">
        <v>1</v>
      </c>
      <c r="BE219" s="1656"/>
      <c r="BF219" s="1656"/>
      <c r="BG219" s="1656"/>
      <c r="BH219" s="1656"/>
      <c r="BI219" s="1656"/>
      <c r="BJ219" s="1656">
        <v>1</v>
      </c>
      <c r="BK219" s="1656"/>
      <c r="BL219" s="1656"/>
      <c r="BM219" s="1656"/>
      <c r="BN219" s="1656"/>
      <c r="BO219" s="1656"/>
      <c r="BP219" s="1656"/>
      <c r="BQ219" s="1656"/>
      <c r="BR219" s="1656"/>
      <c r="BS219" s="1656"/>
      <c r="BT219" s="1656"/>
      <c r="BU219" s="1656"/>
      <c r="BV219" s="1656"/>
      <c r="BW219" s="1656"/>
      <c r="BX219" s="1656"/>
      <c r="BY219" s="1656"/>
      <c r="BZ219" s="1656"/>
      <c r="CA219" s="1656"/>
      <c r="CB219" s="1656">
        <v>9</v>
      </c>
      <c r="CC219" s="1656"/>
      <c r="CD219" s="1656"/>
      <c r="CE219" s="1656"/>
      <c r="CF219" s="1656"/>
      <c r="CG219" s="1656"/>
      <c r="CH219" s="1656"/>
      <c r="CI219" s="1656"/>
      <c r="CJ219" s="1656">
        <v>9</v>
      </c>
      <c r="CK219" s="1656"/>
      <c r="CL219" s="1656"/>
      <c r="CM219" s="1656"/>
      <c r="CN219" s="1656"/>
      <c r="CO219" s="1656"/>
      <c r="CP219" s="1656"/>
      <c r="CQ219" s="1656"/>
      <c r="CR219" s="1656"/>
      <c r="CS219" s="1656"/>
      <c r="CT219" s="1656">
        <v>8</v>
      </c>
      <c r="CU219" s="1656"/>
      <c r="CV219" s="1656"/>
      <c r="CW219" s="1656"/>
      <c r="CX219" s="1656"/>
      <c r="CY219" s="1656"/>
      <c r="CZ219" s="1656"/>
      <c r="DA219" s="1656"/>
      <c r="DB219" s="1656"/>
      <c r="DC219" s="1656"/>
      <c r="DD219" s="1656"/>
      <c r="DE219" s="1656"/>
      <c r="DF219" s="1656"/>
      <c r="DG219" s="1656"/>
      <c r="DH219" s="1656"/>
      <c r="DI219" s="1656"/>
      <c r="DJ219" s="1656"/>
      <c r="DK219" s="1656"/>
      <c r="DL219" s="1656"/>
      <c r="DM219" s="1656"/>
      <c r="DN219" s="1656"/>
      <c r="DO219" s="1656"/>
      <c r="DP219" s="1656">
        <v>9</v>
      </c>
      <c r="DQ219" s="1656"/>
      <c r="DR219" s="1656">
        <v>6</v>
      </c>
      <c r="DS219" s="1656"/>
      <c r="DT219" s="1656">
        <v>9</v>
      </c>
      <c r="DU219" s="1656"/>
      <c r="DV219" s="1656"/>
      <c r="DW219" s="1656">
        <v>9</v>
      </c>
      <c r="DX219" s="1656"/>
      <c r="DY219" s="1656"/>
      <c r="DZ219" s="1656"/>
      <c r="EA219" s="1656"/>
      <c r="EB219" s="1656"/>
      <c r="EC219" s="1656"/>
      <c r="ED219" s="1656"/>
      <c r="EE219" s="1656"/>
      <c r="EF219" s="1656"/>
      <c r="EG219" s="1656"/>
      <c r="EH219" s="1656"/>
      <c r="EI219" s="1656"/>
      <c r="EJ219" s="1656"/>
      <c r="EK219" s="1656"/>
      <c r="EL219" s="1656"/>
      <c r="EM219" s="1656">
        <v>9</v>
      </c>
      <c r="EN219" s="1656">
        <v>9</v>
      </c>
      <c r="EO219" s="1656"/>
      <c r="EP219" s="1656"/>
      <c r="EQ219" s="1656">
        <v>6</v>
      </c>
      <c r="ER219" s="1656"/>
      <c r="ES219" s="1656">
        <v>9</v>
      </c>
      <c r="ET219" s="1656"/>
      <c r="EU219" s="1656">
        <v>1</v>
      </c>
      <c r="EV219" s="1656">
        <v>1</v>
      </c>
      <c r="EW219" s="1656"/>
      <c r="EX219" s="1656">
        <v>1</v>
      </c>
      <c r="EY219" s="1656"/>
      <c r="EZ219" s="1656"/>
      <c r="FA219" s="1656"/>
      <c r="FB219" s="1656">
        <v>2</v>
      </c>
      <c r="FC219" s="1656">
        <v>9</v>
      </c>
      <c r="FD219" s="1656"/>
      <c r="FE219" s="1656"/>
      <c r="FF219" s="1656">
        <v>9</v>
      </c>
      <c r="FG219" s="1656"/>
      <c r="FH219" s="1656"/>
      <c r="FI219" s="1656"/>
      <c r="FJ219" s="1656">
        <v>9</v>
      </c>
      <c r="FK219" s="1656"/>
      <c r="FL219" s="1656"/>
      <c r="FM219" s="1656"/>
      <c r="FN219" s="1656"/>
      <c r="FO219" s="1655">
        <v>1</v>
      </c>
      <c r="FP219" s="1655">
        <v>1</v>
      </c>
      <c r="FQ219" s="1656"/>
      <c r="FR219" s="1656"/>
      <c r="FS219" s="1656"/>
      <c r="FT219" s="1656"/>
      <c r="FU219" s="1656"/>
      <c r="FV219" s="1656"/>
      <c r="FW219" s="1656"/>
      <c r="FX219" s="1656"/>
      <c r="FY219" s="1656"/>
      <c r="FZ219" s="1656"/>
      <c r="GA219" s="1656"/>
      <c r="GB219" s="1656"/>
      <c r="GC219" s="1656"/>
      <c r="GD219" s="1656"/>
      <c r="GE219" s="1656"/>
      <c r="GF219" s="1655">
        <v>1</v>
      </c>
      <c r="GG219" s="1656"/>
      <c r="GH219" s="1656"/>
      <c r="GI219" s="1656"/>
      <c r="GJ219" s="1656"/>
      <c r="GK219" s="1656"/>
      <c r="GL219" s="1656"/>
      <c r="GM219" s="1656"/>
      <c r="GN219" s="1656"/>
      <c r="GO219" s="1656"/>
      <c r="GP219" s="1656"/>
      <c r="GQ219" s="1656"/>
      <c r="GR219" s="1656"/>
      <c r="GS219" s="1656"/>
      <c r="GT219" s="1656"/>
      <c r="GU219" s="1656"/>
      <c r="GV219" s="1656"/>
      <c r="GW219" s="1656"/>
      <c r="GX219" s="1656"/>
      <c r="GY219" s="1656"/>
      <c r="GZ219" s="1656"/>
      <c r="HA219" s="1656"/>
      <c r="HB219" s="1656"/>
      <c r="HC219" s="1656"/>
      <c r="HD219" s="1656"/>
      <c r="HE219" s="1656"/>
      <c r="HF219" s="1656"/>
      <c r="HG219" s="1656"/>
      <c r="HH219" s="1657">
        <v>1</v>
      </c>
      <c r="HI219" s="1656"/>
      <c r="HJ219" s="1656">
        <v>1</v>
      </c>
      <c r="HK219" s="1656">
        <v>1</v>
      </c>
      <c r="HL219" s="1656">
        <v>1</v>
      </c>
      <c r="HM219" s="1656">
        <v>1</v>
      </c>
      <c r="HN219" s="1656"/>
      <c r="HO219" s="1656"/>
      <c r="HP219" s="1656">
        <v>1</v>
      </c>
      <c r="HQ219" s="1656"/>
      <c r="HR219" s="1656">
        <v>1</v>
      </c>
      <c r="HS219" s="1656"/>
      <c r="HT219" s="1656">
        <v>1</v>
      </c>
      <c r="HU219" s="1656"/>
      <c r="HV219" s="1656"/>
      <c r="HW219" s="1656"/>
      <c r="HX219" s="1656"/>
      <c r="HY219" s="1656"/>
      <c r="HZ219" s="1656"/>
      <c r="IA219" s="1656">
        <v>9</v>
      </c>
      <c r="IB219" s="1656"/>
      <c r="IC219" s="1656"/>
      <c r="ID219" s="1656"/>
      <c r="IE219" s="1656"/>
      <c r="IF219" s="1656">
        <v>1</v>
      </c>
      <c r="IG219" s="1656"/>
      <c r="IH219" s="1656"/>
      <c r="II219" s="1656">
        <v>9</v>
      </c>
      <c r="IJ219" s="1656"/>
      <c r="IK219" s="1656"/>
      <c r="IL219" s="1656">
        <v>6</v>
      </c>
      <c r="IM219" s="1656"/>
      <c r="IN219" s="1656"/>
      <c r="IO219" s="1656"/>
      <c r="IP219" s="1656"/>
      <c r="IQ219" s="1656"/>
      <c r="IR219" s="1656"/>
      <c r="IS219" s="1656"/>
      <c r="IT219" s="1656"/>
      <c r="IU219" s="1656"/>
      <c r="IV219" s="1656"/>
      <c r="IW219" s="1656"/>
      <c r="IX219" s="1656"/>
      <c r="IY219" s="1656"/>
      <c r="IZ219" s="1656"/>
      <c r="JA219" s="1656"/>
      <c r="JB219" s="1656"/>
      <c r="JC219" s="1656"/>
      <c r="JD219" s="1656"/>
      <c r="JE219" s="1656">
        <v>1</v>
      </c>
      <c r="JF219" s="1656">
        <v>8</v>
      </c>
      <c r="JG219" s="1656"/>
      <c r="JH219" s="1656"/>
      <c r="JI219" s="1656"/>
      <c r="JJ219" s="1656">
        <v>1</v>
      </c>
      <c r="JK219" s="1656"/>
      <c r="JL219" s="1656"/>
      <c r="JM219" s="1656"/>
      <c r="JN219" s="1658"/>
      <c r="JO219" s="1658"/>
      <c r="JP219" s="1656"/>
      <c r="JQ219" s="1657"/>
    </row>
    <row r="220" spans="1:278" x14ac:dyDescent="0.25">
      <c r="A220" s="1649">
        <v>5</v>
      </c>
      <c r="B220" s="1651" t="str">
        <f t="shared" si="19"/>
        <v/>
      </c>
      <c r="D220" s="521" t="s">
        <v>4148</v>
      </c>
      <c r="E220" s="1659"/>
      <c r="F220" s="1660"/>
      <c r="G220" s="1661"/>
      <c r="H220" s="1661"/>
      <c r="I220" s="1660"/>
      <c r="J220" s="1660"/>
      <c r="K220" s="1660"/>
      <c r="L220" s="1660"/>
      <c r="M220" s="1661"/>
      <c r="N220" s="1661"/>
      <c r="O220" s="1661"/>
      <c r="P220" s="1661"/>
      <c r="Q220" s="1661"/>
      <c r="R220" s="1661"/>
      <c r="S220" s="1661"/>
      <c r="T220" s="1661"/>
      <c r="U220" s="1661"/>
      <c r="V220" s="1661"/>
      <c r="W220" s="1661"/>
      <c r="X220" s="1661"/>
      <c r="Y220" s="1661"/>
      <c r="Z220" s="1661"/>
      <c r="AA220" s="1661"/>
      <c r="AB220" s="1661"/>
      <c r="AC220" s="1661"/>
      <c r="AD220" s="1661"/>
      <c r="AE220" s="1661"/>
      <c r="AF220" s="1661"/>
      <c r="AG220" s="1661"/>
      <c r="AH220" s="1661"/>
      <c r="AI220" s="1661"/>
      <c r="AJ220" s="1661"/>
      <c r="AK220" s="1661"/>
      <c r="AL220" s="1661"/>
      <c r="AM220" s="1661"/>
      <c r="AN220" s="1661"/>
      <c r="AO220" s="1661"/>
      <c r="AP220" s="1660"/>
      <c r="AQ220" s="1660"/>
      <c r="AR220" s="1661"/>
      <c r="AS220" s="1661"/>
      <c r="AT220" s="1661"/>
      <c r="AU220" s="1661"/>
      <c r="AV220" s="1661"/>
      <c r="AW220" s="1661"/>
      <c r="AX220" s="1661"/>
      <c r="AY220" s="1661"/>
      <c r="AZ220" s="1661"/>
      <c r="BA220" s="1661"/>
      <c r="BB220" s="1660" t="s">
        <v>3894</v>
      </c>
      <c r="BC220" s="1660" t="s">
        <v>3853</v>
      </c>
      <c r="BD220" s="1660" t="s">
        <v>3853</v>
      </c>
      <c r="BE220" s="1660"/>
      <c r="BF220" s="1660"/>
      <c r="BG220" s="1660"/>
      <c r="BH220" s="1660"/>
      <c r="BI220" s="1660"/>
      <c r="BJ220" s="1660" t="s">
        <v>3853</v>
      </c>
      <c r="BK220" s="1661"/>
      <c r="BL220" s="1661"/>
      <c r="BM220" s="1660"/>
      <c r="BN220" s="1660"/>
      <c r="BO220" s="1660"/>
      <c r="BP220" s="1660"/>
      <c r="BQ220" s="1660"/>
      <c r="BR220" s="1660"/>
      <c r="BS220" s="1660"/>
      <c r="BT220" s="1660"/>
      <c r="BU220" s="1660"/>
      <c r="BV220" s="1660"/>
      <c r="BW220" s="1660"/>
      <c r="BX220" s="1660"/>
      <c r="BY220" s="1660"/>
      <c r="BZ220" s="1660"/>
      <c r="CA220" s="1660"/>
      <c r="CB220" s="1660" t="s">
        <v>4016</v>
      </c>
      <c r="CC220" s="1661"/>
      <c r="CD220" s="1661"/>
      <c r="CE220" s="1661"/>
      <c r="CF220" s="1661"/>
      <c r="CG220" s="1661"/>
      <c r="CH220" s="1661"/>
      <c r="CI220" s="1661"/>
      <c r="CJ220" s="1661" t="s">
        <v>3893</v>
      </c>
      <c r="CK220" s="1661"/>
      <c r="CL220" s="1661"/>
      <c r="CM220" s="1661"/>
      <c r="CN220" s="1661"/>
      <c r="CO220" s="1661"/>
      <c r="CP220" s="1661"/>
      <c r="CQ220" s="1661"/>
      <c r="CR220" s="1661"/>
      <c r="CS220" s="1661"/>
      <c r="CT220" s="1660" t="s">
        <v>3894</v>
      </c>
      <c r="CU220" s="1661"/>
      <c r="CV220" s="1661"/>
      <c r="CW220" s="1661"/>
      <c r="CX220" s="1661"/>
      <c r="CY220" s="1661"/>
      <c r="CZ220" s="1661"/>
      <c r="DA220" s="1661"/>
      <c r="DB220" s="1661"/>
      <c r="DC220" s="1661"/>
      <c r="DD220" s="1661"/>
      <c r="DE220" s="1661"/>
      <c r="DF220" s="1661"/>
      <c r="DG220" s="1661"/>
      <c r="DH220" s="1661"/>
      <c r="DI220" s="1660"/>
      <c r="DJ220" s="1661"/>
      <c r="DK220" s="1661"/>
      <c r="DL220" s="1661"/>
      <c r="DM220" s="1661"/>
      <c r="DN220" s="1661"/>
      <c r="DO220" s="1661"/>
      <c r="DP220" s="1661" t="s">
        <v>3852</v>
      </c>
      <c r="DQ220" s="1661"/>
      <c r="DR220" s="1661" t="s">
        <v>3880</v>
      </c>
      <c r="DS220" s="1661"/>
      <c r="DT220" s="1661" t="s">
        <v>3852</v>
      </c>
      <c r="DU220" s="1661"/>
      <c r="DV220" s="1661"/>
      <c r="DW220" s="1661" t="s">
        <v>3853</v>
      </c>
      <c r="DX220" s="1661"/>
      <c r="DY220" s="1661"/>
      <c r="DZ220" s="1661"/>
      <c r="EA220" s="1661"/>
      <c r="EB220" s="1661"/>
      <c r="EC220" s="1661"/>
      <c r="ED220" s="1661"/>
      <c r="EE220" s="1661"/>
      <c r="EF220" s="1661"/>
      <c r="EG220" s="1661"/>
      <c r="EH220" s="1661"/>
      <c r="EI220" s="1661"/>
      <c r="EJ220" s="1661"/>
      <c r="EK220" s="1661"/>
      <c r="EL220" s="1661"/>
      <c r="EM220" s="1661" t="s">
        <v>3852</v>
      </c>
      <c r="EN220" s="1661" t="s">
        <v>3853</v>
      </c>
      <c r="EO220" s="1661"/>
      <c r="EP220" s="1661"/>
      <c r="EQ220" s="1661" t="s">
        <v>3859</v>
      </c>
      <c r="ER220" s="1661"/>
      <c r="ES220" s="1661" t="s">
        <v>3862</v>
      </c>
      <c r="ET220" s="1661"/>
      <c r="EU220" s="1661" t="s">
        <v>4040</v>
      </c>
      <c r="EV220" s="1661" t="s">
        <v>3852</v>
      </c>
      <c r="EW220" s="1661"/>
      <c r="EX220" s="1660" t="s">
        <v>3860</v>
      </c>
      <c r="EY220" s="1661"/>
      <c r="EZ220" s="1661"/>
      <c r="FA220" s="1661"/>
      <c r="FB220" s="1661" t="s">
        <v>3857</v>
      </c>
      <c r="FC220" s="1661" t="s">
        <v>3852</v>
      </c>
      <c r="FD220" s="1661"/>
      <c r="FE220" s="1661"/>
      <c r="FF220" s="1661" t="s">
        <v>3852</v>
      </c>
      <c r="FG220" s="1661"/>
      <c r="FH220" s="1661"/>
      <c r="FI220" s="1661"/>
      <c r="FJ220" s="1661" t="s">
        <v>3893</v>
      </c>
      <c r="FK220" s="1661"/>
      <c r="FL220" s="1661"/>
      <c r="FM220" s="1661"/>
      <c r="FN220" s="1661"/>
      <c r="FO220" s="1659"/>
      <c r="FP220" s="1659"/>
      <c r="FQ220" s="1661"/>
      <c r="FR220" s="1661"/>
      <c r="FS220" s="1661"/>
      <c r="FT220" s="1661"/>
      <c r="FU220" s="1661"/>
      <c r="FV220" s="1661"/>
      <c r="FW220" s="1661"/>
      <c r="FX220" s="1661"/>
      <c r="FY220" s="1661"/>
      <c r="FZ220" s="1661"/>
      <c r="GA220" s="1661"/>
      <c r="GB220" s="1661"/>
      <c r="GC220" s="1661"/>
      <c r="GD220" s="1661"/>
      <c r="GE220" s="1661"/>
      <c r="GF220" s="1659" t="s">
        <v>3853</v>
      </c>
      <c r="GG220" s="1661"/>
      <c r="GH220" s="1661"/>
      <c r="GI220" s="1661"/>
      <c r="GJ220" s="1661"/>
      <c r="GK220" s="1661"/>
      <c r="GL220" s="1661"/>
      <c r="GM220" s="1661"/>
      <c r="GN220" s="1661"/>
      <c r="GO220" s="1661"/>
      <c r="GP220" s="1661"/>
      <c r="GQ220" s="1661"/>
      <c r="GR220" s="1661"/>
      <c r="GS220" s="1661"/>
      <c r="GT220" s="1661"/>
      <c r="GU220" s="1661"/>
      <c r="GV220" s="1661"/>
      <c r="GW220" s="1661"/>
      <c r="GX220" s="1661"/>
      <c r="GY220" s="1661"/>
      <c r="GZ220" s="1661"/>
      <c r="HA220" s="1661"/>
      <c r="HB220" s="1661"/>
      <c r="HC220" s="1661"/>
      <c r="HD220" s="1661"/>
      <c r="HE220" s="1661"/>
      <c r="HF220" s="1661"/>
      <c r="HG220" s="1661"/>
      <c r="HH220" s="1662" t="s">
        <v>3880</v>
      </c>
      <c r="HI220" s="1661"/>
      <c r="HJ220" s="1661" t="s">
        <v>3953</v>
      </c>
      <c r="HK220" s="1661" t="s">
        <v>3852</v>
      </c>
      <c r="HL220" s="1661" t="s">
        <v>3852</v>
      </c>
      <c r="HM220" s="1661" t="s">
        <v>3852</v>
      </c>
      <c r="HN220" s="1661"/>
      <c r="HO220" s="1661"/>
      <c r="HP220" s="1660" t="s">
        <v>3860</v>
      </c>
      <c r="HQ220" s="1661"/>
      <c r="HR220" s="1660" t="s">
        <v>3860</v>
      </c>
      <c r="HS220" s="1661"/>
      <c r="HT220" s="1661" t="s">
        <v>3878</v>
      </c>
      <c r="HU220" s="1661"/>
      <c r="HV220" s="1661"/>
      <c r="HW220" s="1661"/>
      <c r="HX220" s="1661"/>
      <c r="HY220" s="1661"/>
      <c r="HZ220" s="1661"/>
      <c r="IA220" s="1661" t="s">
        <v>3862</v>
      </c>
      <c r="IB220" s="1661"/>
      <c r="IC220" s="1661"/>
      <c r="ID220" s="1661"/>
      <c r="IE220" s="1661"/>
      <c r="IF220" s="1661" t="s">
        <v>3855</v>
      </c>
      <c r="IG220" s="1661"/>
      <c r="IH220" s="1661"/>
      <c r="II220" s="1661" t="s">
        <v>3854</v>
      </c>
      <c r="IJ220" s="1661"/>
      <c r="IK220" s="1661"/>
      <c r="IL220" s="1661" t="s">
        <v>3860</v>
      </c>
      <c r="IM220" s="1661"/>
      <c r="IN220" s="1661"/>
      <c r="IO220" s="1661"/>
      <c r="IP220" s="1661"/>
      <c r="IQ220" s="1661"/>
      <c r="IR220" s="1661"/>
      <c r="IS220" s="1661"/>
      <c r="IT220" s="1661"/>
      <c r="IU220" s="1661"/>
      <c r="IV220" s="1661"/>
      <c r="IW220" s="1661"/>
      <c r="IX220" s="1661"/>
      <c r="IY220" s="1661"/>
      <c r="IZ220" s="1661"/>
      <c r="JA220" s="1661"/>
      <c r="JB220" s="1661"/>
      <c r="JC220" s="1661"/>
      <c r="JD220" s="1661"/>
      <c r="JE220" s="1660" t="s">
        <v>3853</v>
      </c>
      <c r="JF220" s="1660" t="s">
        <v>3894</v>
      </c>
      <c r="JG220" s="1661"/>
      <c r="JH220" s="1661"/>
      <c r="JI220" s="1661"/>
      <c r="JJ220" s="1660"/>
      <c r="JK220" s="1661"/>
      <c r="JL220" s="1661"/>
      <c r="JM220" s="1661"/>
      <c r="JN220" s="1663"/>
      <c r="JO220" s="1663"/>
      <c r="JP220" s="1661"/>
      <c r="JQ220" s="1662"/>
    </row>
    <row r="221" spans="1:278" x14ac:dyDescent="0.25">
      <c r="A221" s="1649">
        <v>6</v>
      </c>
      <c r="B221" s="1651">
        <f t="shared" si="19"/>
        <v>0</v>
      </c>
      <c r="D221" s="521" t="s">
        <v>4149</v>
      </c>
      <c r="E221" s="1659"/>
      <c r="F221" s="1660"/>
      <c r="G221" s="1661"/>
      <c r="H221" s="1661"/>
      <c r="I221" s="1660"/>
      <c r="J221" s="1660"/>
      <c r="K221" s="1660"/>
      <c r="L221" s="1660"/>
      <c r="M221" s="1661"/>
      <c r="N221" s="1661"/>
      <c r="O221" s="1661"/>
      <c r="P221" s="1661"/>
      <c r="Q221" s="1661"/>
      <c r="R221" s="1661"/>
      <c r="S221" s="1661"/>
      <c r="T221" s="1661"/>
      <c r="U221" s="1661"/>
      <c r="V221" s="1661"/>
      <c r="W221" s="1661"/>
      <c r="X221" s="1661"/>
      <c r="Y221" s="1661"/>
      <c r="Z221" s="1661"/>
      <c r="AA221" s="1661"/>
      <c r="AB221" s="1661"/>
      <c r="AC221" s="1661"/>
      <c r="AD221" s="1661"/>
      <c r="AE221" s="1661"/>
      <c r="AF221" s="1661"/>
      <c r="AG221" s="1661"/>
      <c r="AH221" s="1661"/>
      <c r="AI221" s="1661"/>
      <c r="AJ221" s="1661"/>
      <c r="AK221" s="1661"/>
      <c r="AL221" s="1661"/>
      <c r="AM221" s="1661"/>
      <c r="AN221" s="1661"/>
      <c r="AO221" s="1661"/>
      <c r="AP221" s="1660"/>
      <c r="AQ221" s="1660"/>
      <c r="AR221" s="1661"/>
      <c r="AS221" s="1661"/>
      <c r="AT221" s="1661"/>
      <c r="AU221" s="1661"/>
      <c r="AV221" s="1661"/>
      <c r="AW221" s="1661"/>
      <c r="AX221" s="1661"/>
      <c r="AY221" s="1661"/>
      <c r="AZ221" s="1661"/>
      <c r="BA221" s="1661"/>
      <c r="BB221" s="1660">
        <v>422</v>
      </c>
      <c r="BC221" s="1660">
        <v>6741</v>
      </c>
      <c r="BD221" s="1660">
        <v>6741</v>
      </c>
      <c r="BE221" s="1660"/>
      <c r="BF221" s="1660"/>
      <c r="BG221" s="1660"/>
      <c r="BH221" s="1660"/>
      <c r="BI221" s="1660"/>
      <c r="BJ221" s="1660">
        <v>6741</v>
      </c>
      <c r="BK221" s="1661"/>
      <c r="BL221" s="1661"/>
      <c r="BM221" s="1660"/>
      <c r="BN221" s="1660"/>
      <c r="BO221" s="1660"/>
      <c r="BP221" s="1660"/>
      <c r="BQ221" s="1660"/>
      <c r="BR221" s="1660"/>
      <c r="BS221" s="1660"/>
      <c r="BT221" s="1660"/>
      <c r="BU221" s="1660"/>
      <c r="BV221" s="1660"/>
      <c r="BW221" s="1660"/>
      <c r="BX221" s="1660"/>
      <c r="BY221" s="1660"/>
      <c r="BZ221" s="1660"/>
      <c r="CA221" s="1660"/>
      <c r="CB221" s="1660">
        <v>12475</v>
      </c>
      <c r="CC221" s="1661"/>
      <c r="CD221" s="1661"/>
      <c r="CE221" s="1661"/>
      <c r="CF221" s="1661"/>
      <c r="CG221" s="1661"/>
      <c r="CH221" s="1661"/>
      <c r="CI221" s="1661"/>
      <c r="CJ221" s="1661">
        <v>479</v>
      </c>
      <c r="CK221" s="1661"/>
      <c r="CL221" s="1661"/>
      <c r="CM221" s="1661"/>
      <c r="CN221" s="1661"/>
      <c r="CO221" s="1661"/>
      <c r="CP221" s="1661"/>
      <c r="CQ221" s="1661"/>
      <c r="CR221" s="1661"/>
      <c r="CS221" s="1661"/>
      <c r="CT221" s="1660">
        <v>422</v>
      </c>
      <c r="CU221" s="1661"/>
      <c r="CV221" s="1661"/>
      <c r="CW221" s="1661"/>
      <c r="CX221" s="1661"/>
      <c r="CY221" s="1661"/>
      <c r="CZ221" s="1661"/>
      <c r="DA221" s="1661"/>
      <c r="DB221" s="1661"/>
      <c r="DC221" s="1661"/>
      <c r="DD221" s="1661"/>
      <c r="DE221" s="1661"/>
      <c r="DF221" s="1661"/>
      <c r="DG221" s="1661"/>
      <c r="DH221" s="1661"/>
      <c r="DI221" s="1660"/>
      <c r="DJ221" s="1661"/>
      <c r="DK221" s="1661"/>
      <c r="DL221" s="1661"/>
      <c r="DM221" s="1661"/>
      <c r="DN221" s="1661"/>
      <c r="DO221" s="1661"/>
      <c r="DP221" s="1661">
        <v>500</v>
      </c>
      <c r="DQ221" s="1661"/>
      <c r="DR221" s="1661">
        <v>76</v>
      </c>
      <c r="DS221" s="1661"/>
      <c r="DT221" s="1661">
        <v>500</v>
      </c>
      <c r="DU221" s="1661"/>
      <c r="DV221" s="1661"/>
      <c r="DW221" s="1661">
        <v>901.92</v>
      </c>
      <c r="DX221" s="1661"/>
      <c r="DY221" s="1661"/>
      <c r="DZ221" s="1661"/>
      <c r="EA221" s="1661"/>
      <c r="EB221" s="1661"/>
      <c r="EC221" s="1661"/>
      <c r="ED221" s="1661"/>
      <c r="EE221" s="1661"/>
      <c r="EF221" s="1661"/>
      <c r="EG221" s="1661"/>
      <c r="EH221" s="1661"/>
      <c r="EI221" s="1661"/>
      <c r="EJ221" s="1661"/>
      <c r="EK221" s="1661"/>
      <c r="EL221" s="1661"/>
      <c r="EM221" s="1661">
        <v>3805</v>
      </c>
      <c r="EN221" s="1661">
        <v>75</v>
      </c>
      <c r="EO221" s="1661"/>
      <c r="EP221" s="1661"/>
      <c r="EQ221" s="1661">
        <v>268</v>
      </c>
      <c r="ER221" s="1661"/>
      <c r="ES221" s="1661">
        <v>44.32</v>
      </c>
      <c r="ET221" s="1661"/>
      <c r="EU221" s="1661">
        <v>2560</v>
      </c>
      <c r="EV221" s="1661">
        <v>2951</v>
      </c>
      <c r="EW221" s="1661"/>
      <c r="EX221" s="1660">
        <v>1360</v>
      </c>
      <c r="EY221" s="1661"/>
      <c r="EZ221" s="1661"/>
      <c r="FA221" s="1661"/>
      <c r="FB221" s="1661">
        <v>129793</v>
      </c>
      <c r="FC221" s="1661">
        <v>2500</v>
      </c>
      <c r="FD221" s="1661"/>
      <c r="FE221" s="1661"/>
      <c r="FF221" s="1661">
        <v>30886</v>
      </c>
      <c r="FG221" s="1661"/>
      <c r="FH221" s="1661"/>
      <c r="FI221" s="1661"/>
      <c r="FJ221" s="1661">
        <v>17234</v>
      </c>
      <c r="FK221" s="1661"/>
      <c r="FL221" s="1661"/>
      <c r="FM221" s="1661"/>
      <c r="FN221" s="1661"/>
      <c r="FO221" s="1659">
        <v>0</v>
      </c>
      <c r="FP221" s="1659">
        <v>0</v>
      </c>
      <c r="FQ221" s="1661"/>
      <c r="FR221" s="1661"/>
      <c r="FS221" s="1661"/>
      <c r="FT221" s="1661"/>
      <c r="FU221" s="1661"/>
      <c r="FV221" s="1661"/>
      <c r="FW221" s="1661"/>
      <c r="FX221" s="1661"/>
      <c r="FY221" s="1661"/>
      <c r="FZ221" s="1661"/>
      <c r="GA221" s="1661"/>
      <c r="GB221" s="1661"/>
      <c r="GC221" s="1661"/>
      <c r="GD221" s="1661"/>
      <c r="GE221" s="1661"/>
      <c r="GF221" s="1659">
        <v>6741</v>
      </c>
      <c r="GG221" s="1661"/>
      <c r="GH221" s="1661"/>
      <c r="GI221" s="1661"/>
      <c r="GJ221" s="1661"/>
      <c r="GK221" s="1661"/>
      <c r="GL221" s="1661"/>
      <c r="GM221" s="1661"/>
      <c r="GN221" s="1661"/>
      <c r="GO221" s="1661"/>
      <c r="GP221" s="1661"/>
      <c r="GQ221" s="1661"/>
      <c r="GR221" s="1661"/>
      <c r="GS221" s="1661"/>
      <c r="GT221" s="1661"/>
      <c r="GU221" s="1661"/>
      <c r="GV221" s="1661"/>
      <c r="GW221" s="1661"/>
      <c r="GX221" s="1661"/>
      <c r="GY221" s="1661"/>
      <c r="GZ221" s="1661"/>
      <c r="HA221" s="1661"/>
      <c r="HB221" s="1661"/>
      <c r="HC221" s="1661"/>
      <c r="HD221" s="1661"/>
      <c r="HE221" s="1661"/>
      <c r="HF221" s="1661"/>
      <c r="HG221" s="1661"/>
      <c r="HH221" s="1662">
        <v>291486</v>
      </c>
      <c r="HI221" s="1661"/>
      <c r="HJ221" s="1661">
        <v>106754</v>
      </c>
      <c r="HK221" s="1661">
        <v>131762</v>
      </c>
      <c r="HL221" s="1661">
        <v>131762</v>
      </c>
      <c r="HM221" s="1661">
        <v>131762</v>
      </c>
      <c r="HN221" s="1661"/>
      <c r="HO221" s="1661"/>
      <c r="HP221" s="1660">
        <v>1360</v>
      </c>
      <c r="HQ221" s="1661"/>
      <c r="HR221" s="1660">
        <v>1360</v>
      </c>
      <c r="HS221" s="1661"/>
      <c r="HT221" s="1661">
        <v>79650</v>
      </c>
      <c r="HU221" s="1661"/>
      <c r="HV221" s="1661"/>
      <c r="HW221" s="1661"/>
      <c r="HX221" s="1661"/>
      <c r="HY221" s="1661"/>
      <c r="HZ221" s="1661"/>
      <c r="IA221" s="1661">
        <v>161</v>
      </c>
      <c r="IB221" s="1661"/>
      <c r="IC221" s="1661"/>
      <c r="ID221" s="1661"/>
      <c r="IE221" s="1661"/>
      <c r="IF221" s="1661">
        <v>61765.16</v>
      </c>
      <c r="IG221" s="1661"/>
      <c r="IH221" s="1661"/>
      <c r="II221" s="1661">
        <v>14904</v>
      </c>
      <c r="IJ221" s="1661"/>
      <c r="IK221" s="1661"/>
      <c r="IL221" s="1661">
        <v>1250</v>
      </c>
      <c r="IM221" s="1661"/>
      <c r="IN221" s="1661"/>
      <c r="IO221" s="1661"/>
      <c r="IP221" s="1661"/>
      <c r="IQ221" s="1661"/>
      <c r="IR221" s="1661"/>
      <c r="IS221" s="1661"/>
      <c r="IT221" s="1661"/>
      <c r="IU221" s="1661"/>
      <c r="IV221" s="1661"/>
      <c r="IW221" s="1661"/>
      <c r="IX221" s="1661"/>
      <c r="IY221" s="1661"/>
      <c r="IZ221" s="1661"/>
      <c r="JA221" s="1661"/>
      <c r="JB221" s="1661"/>
      <c r="JC221" s="1661"/>
      <c r="JD221" s="1661"/>
      <c r="JE221" s="1660">
        <v>6741</v>
      </c>
      <c r="JF221" s="1660">
        <v>422</v>
      </c>
      <c r="JG221" s="1661"/>
      <c r="JH221" s="1661"/>
      <c r="JI221" s="1661"/>
      <c r="JJ221" s="1660">
        <v>0</v>
      </c>
      <c r="JK221" s="1661"/>
      <c r="JL221" s="1661"/>
      <c r="JM221" s="1661"/>
      <c r="JN221" s="1663"/>
      <c r="JO221" s="1663"/>
      <c r="JP221" s="1661"/>
      <c r="JQ221" s="1662"/>
    </row>
    <row r="222" spans="1:278" ht="13" thickBot="1" x14ac:dyDescent="0.3">
      <c r="A222" s="1649">
        <v>7</v>
      </c>
      <c r="B222" s="1651">
        <f t="shared" si="19"/>
        <v>0</v>
      </c>
      <c r="D222" s="521" t="s">
        <v>4150</v>
      </c>
      <c r="E222" s="740"/>
      <c r="F222" s="741"/>
      <c r="G222" s="742"/>
      <c r="H222" s="742"/>
      <c r="I222" s="741"/>
      <c r="J222" s="741"/>
      <c r="K222" s="741"/>
      <c r="L222" s="741"/>
      <c r="M222" s="742"/>
      <c r="N222" s="742"/>
      <c r="O222" s="742"/>
      <c r="P222" s="742"/>
      <c r="Q222" s="742"/>
      <c r="R222" s="742"/>
      <c r="S222" s="742"/>
      <c r="T222" s="742"/>
      <c r="U222" s="742"/>
      <c r="V222" s="742"/>
      <c r="W222" s="742"/>
      <c r="X222" s="742"/>
      <c r="Y222" s="742"/>
      <c r="Z222" s="742"/>
      <c r="AA222" s="742"/>
      <c r="AB222" s="742"/>
      <c r="AC222" s="742"/>
      <c r="AD222" s="742"/>
      <c r="AE222" s="742"/>
      <c r="AF222" s="742"/>
      <c r="AG222" s="742"/>
      <c r="AH222" s="742"/>
      <c r="AI222" s="742"/>
      <c r="AJ222" s="742"/>
      <c r="AK222" s="742"/>
      <c r="AL222" s="742"/>
      <c r="AM222" s="742"/>
      <c r="AN222" s="742"/>
      <c r="AO222" s="742"/>
      <c r="AP222" s="741"/>
      <c r="AQ222" s="741"/>
      <c r="AR222" s="742"/>
      <c r="AS222" s="742"/>
      <c r="AT222" s="742"/>
      <c r="AU222" s="742"/>
      <c r="AV222" s="742"/>
      <c r="AW222" s="742"/>
      <c r="AX222" s="742"/>
      <c r="AY222" s="742"/>
      <c r="AZ222" s="742"/>
      <c r="BA222" s="742"/>
      <c r="BB222" s="741">
        <v>42</v>
      </c>
      <c r="BC222" s="741">
        <v>1685</v>
      </c>
      <c r="BD222" s="741">
        <v>1685</v>
      </c>
      <c r="BE222" s="741"/>
      <c r="BF222" s="741"/>
      <c r="BG222" s="741"/>
      <c r="BH222" s="741"/>
      <c r="BI222" s="741"/>
      <c r="BJ222" s="741">
        <v>1685</v>
      </c>
      <c r="BK222" s="742"/>
      <c r="BL222" s="742"/>
      <c r="BM222" s="741"/>
      <c r="BN222" s="741"/>
      <c r="BO222" s="741"/>
      <c r="BP222" s="741"/>
      <c r="BQ222" s="741"/>
      <c r="BR222" s="741"/>
      <c r="BS222" s="741"/>
      <c r="BT222" s="741"/>
      <c r="BU222" s="741"/>
      <c r="BV222" s="741"/>
      <c r="BW222" s="741"/>
      <c r="BX222" s="741"/>
      <c r="BY222" s="741"/>
      <c r="BZ222" s="741"/>
      <c r="CA222" s="741"/>
      <c r="CB222" s="741">
        <v>0</v>
      </c>
      <c r="CC222" s="742"/>
      <c r="CD222" s="742"/>
      <c r="CE222" s="742"/>
      <c r="CF222" s="742"/>
      <c r="CG222" s="742"/>
      <c r="CH222" s="742"/>
      <c r="CI222" s="742"/>
      <c r="CJ222" s="742">
        <v>72</v>
      </c>
      <c r="CK222" s="742"/>
      <c r="CL222" s="742"/>
      <c r="CM222" s="742"/>
      <c r="CN222" s="742"/>
      <c r="CO222" s="742"/>
      <c r="CP222" s="742"/>
      <c r="CQ222" s="742"/>
      <c r="CR222" s="742"/>
      <c r="CS222" s="742"/>
      <c r="CT222" s="741">
        <v>42</v>
      </c>
      <c r="CU222" s="742"/>
      <c r="CV222" s="742"/>
      <c r="CW222" s="742"/>
      <c r="CX222" s="742"/>
      <c r="CY222" s="742"/>
      <c r="CZ222" s="742"/>
      <c r="DA222" s="742"/>
      <c r="DB222" s="742"/>
      <c r="DC222" s="742"/>
      <c r="DD222" s="742"/>
      <c r="DE222" s="742"/>
      <c r="DF222" s="742"/>
      <c r="DG222" s="742"/>
      <c r="DH222" s="742"/>
      <c r="DI222" s="741"/>
      <c r="DJ222" s="742"/>
      <c r="DK222" s="742"/>
      <c r="DL222" s="742"/>
      <c r="DM222" s="742"/>
      <c r="DN222" s="742"/>
      <c r="DO222" s="742"/>
      <c r="DP222" s="742">
        <v>75</v>
      </c>
      <c r="DQ222" s="742"/>
      <c r="DR222" s="742">
        <v>12</v>
      </c>
      <c r="DS222" s="742"/>
      <c r="DT222" s="742">
        <v>75</v>
      </c>
      <c r="DU222" s="742"/>
      <c r="DV222" s="742"/>
      <c r="DW222" s="742">
        <v>224.98</v>
      </c>
      <c r="DX222" s="742"/>
      <c r="DY222" s="742"/>
      <c r="DZ222" s="742"/>
      <c r="EA222" s="742"/>
      <c r="EB222" s="742"/>
      <c r="EC222" s="742"/>
      <c r="ED222" s="742"/>
      <c r="EE222" s="742"/>
      <c r="EF222" s="742"/>
      <c r="EG222" s="742"/>
      <c r="EH222" s="742"/>
      <c r="EI222" s="742"/>
      <c r="EJ222" s="742"/>
      <c r="EK222" s="742"/>
      <c r="EL222" s="742"/>
      <c r="EM222" s="742">
        <v>571</v>
      </c>
      <c r="EN222" s="742">
        <v>12</v>
      </c>
      <c r="EO222" s="742"/>
      <c r="EP222" s="742"/>
      <c r="EQ222" s="742">
        <v>0</v>
      </c>
      <c r="ER222" s="742"/>
      <c r="ES222" s="742">
        <v>0</v>
      </c>
      <c r="ET222" s="742"/>
      <c r="EU222" s="742">
        <v>1766.4</v>
      </c>
      <c r="EV222" s="742">
        <v>0</v>
      </c>
      <c r="EW222" s="742"/>
      <c r="EX222" s="741">
        <v>340</v>
      </c>
      <c r="EY222" s="742"/>
      <c r="EZ222" s="742"/>
      <c r="FA222" s="742"/>
      <c r="FB222" s="742">
        <v>0</v>
      </c>
      <c r="FC222" s="742">
        <v>305</v>
      </c>
      <c r="FD222" s="742"/>
      <c r="FE222" s="742"/>
      <c r="FF222" s="742">
        <v>4121</v>
      </c>
      <c r="FG222" s="742"/>
      <c r="FH222" s="742"/>
      <c r="FI222" s="742"/>
      <c r="FJ222" s="742">
        <v>4507</v>
      </c>
      <c r="FK222" s="742"/>
      <c r="FL222" s="742"/>
      <c r="FM222" s="742"/>
      <c r="FN222" s="742"/>
      <c r="FO222" s="740">
        <v>0</v>
      </c>
      <c r="FP222" s="740">
        <v>0</v>
      </c>
      <c r="FQ222" s="742"/>
      <c r="FR222" s="742"/>
      <c r="FS222" s="742"/>
      <c r="FT222" s="742"/>
      <c r="FU222" s="742"/>
      <c r="FV222" s="742"/>
      <c r="FW222" s="742"/>
      <c r="FX222" s="742"/>
      <c r="FY222" s="742"/>
      <c r="FZ222" s="742"/>
      <c r="GA222" s="742"/>
      <c r="GB222" s="742"/>
      <c r="GC222" s="742"/>
      <c r="GD222" s="742"/>
      <c r="GE222" s="742"/>
      <c r="GF222" s="740">
        <v>1685</v>
      </c>
      <c r="GG222" s="742"/>
      <c r="GH222" s="742"/>
      <c r="GI222" s="742"/>
      <c r="GJ222" s="742"/>
      <c r="GK222" s="742"/>
      <c r="GL222" s="742"/>
      <c r="GM222" s="742"/>
      <c r="GN222" s="742"/>
      <c r="GO222" s="742"/>
      <c r="GP222" s="742"/>
      <c r="GQ222" s="742"/>
      <c r="GR222" s="742"/>
      <c r="GS222" s="742"/>
      <c r="GT222" s="742"/>
      <c r="GU222" s="742"/>
      <c r="GV222" s="742"/>
      <c r="GW222" s="742"/>
      <c r="GX222" s="742"/>
      <c r="GY222" s="742"/>
      <c r="GZ222" s="742"/>
      <c r="HA222" s="742"/>
      <c r="HB222" s="742"/>
      <c r="HC222" s="742"/>
      <c r="HD222" s="742"/>
      <c r="HE222" s="742"/>
      <c r="HF222" s="742"/>
      <c r="HG222" s="742"/>
      <c r="HH222" s="741">
        <v>121168</v>
      </c>
      <c r="HI222" s="742"/>
      <c r="HJ222" s="741">
        <v>23158</v>
      </c>
      <c r="HK222" s="741">
        <v>35299</v>
      </c>
      <c r="HL222" s="741">
        <v>35299</v>
      </c>
      <c r="HM222" s="741">
        <v>35299</v>
      </c>
      <c r="HN222" s="742"/>
      <c r="HO222" s="742"/>
      <c r="HP222" s="741">
        <v>340</v>
      </c>
      <c r="HQ222" s="742"/>
      <c r="HR222" s="741">
        <v>340</v>
      </c>
      <c r="HS222" s="742"/>
      <c r="HT222" s="742">
        <v>11505</v>
      </c>
      <c r="HU222" s="742"/>
      <c r="HV222" s="742"/>
      <c r="HW222" s="742"/>
      <c r="HX222" s="742"/>
      <c r="HY222" s="742"/>
      <c r="HZ222" s="742"/>
      <c r="IA222" s="742">
        <v>4</v>
      </c>
      <c r="IB222" s="742"/>
      <c r="IC222" s="742"/>
      <c r="ID222" s="742"/>
      <c r="IE222" s="742"/>
      <c r="IF222" s="742">
        <v>16584</v>
      </c>
      <c r="IG222" s="742"/>
      <c r="IH222" s="742"/>
      <c r="II222" s="742">
        <v>2605</v>
      </c>
      <c r="IJ222" s="742"/>
      <c r="IK222" s="742"/>
      <c r="IL222" s="742">
        <v>250</v>
      </c>
      <c r="IM222" s="742"/>
      <c r="IN222" s="742"/>
      <c r="IO222" s="742"/>
      <c r="IP222" s="742"/>
      <c r="IQ222" s="742"/>
      <c r="IR222" s="742"/>
      <c r="IS222" s="742"/>
      <c r="IT222" s="742"/>
      <c r="IU222" s="742"/>
      <c r="IV222" s="742"/>
      <c r="IW222" s="742"/>
      <c r="IX222" s="742"/>
      <c r="IY222" s="742"/>
      <c r="IZ222" s="742"/>
      <c r="JA222" s="742"/>
      <c r="JB222" s="742"/>
      <c r="JC222" s="742"/>
      <c r="JD222" s="742"/>
      <c r="JE222" s="741">
        <v>1685</v>
      </c>
      <c r="JF222" s="741">
        <v>42</v>
      </c>
      <c r="JG222" s="742"/>
      <c r="JH222" s="742"/>
      <c r="JI222" s="742"/>
      <c r="JJ222" s="741">
        <v>0</v>
      </c>
      <c r="JK222" s="742"/>
      <c r="JL222" s="742"/>
      <c r="JM222" s="742"/>
      <c r="JN222" s="743"/>
      <c r="JO222" s="743"/>
      <c r="JP222" s="742"/>
      <c r="JQ222" s="744"/>
    </row>
    <row r="223" spans="1:278" x14ac:dyDescent="0.25">
      <c r="A223" s="1649">
        <v>8</v>
      </c>
      <c r="B223" s="1651">
        <f t="shared" si="19"/>
        <v>1</v>
      </c>
      <c r="D223" s="521" t="s">
        <v>4151</v>
      </c>
      <c r="E223" s="541"/>
      <c r="F223" s="542"/>
      <c r="G223" s="542"/>
      <c r="H223" s="542"/>
      <c r="I223" s="542"/>
      <c r="J223" s="542"/>
      <c r="K223" s="542"/>
      <c r="L223" s="542"/>
      <c r="M223" s="542"/>
      <c r="N223" s="542"/>
      <c r="O223" s="542"/>
      <c r="P223" s="542"/>
      <c r="Q223" s="542"/>
      <c r="R223" s="542"/>
      <c r="S223" s="542"/>
      <c r="T223" s="542"/>
      <c r="U223" s="542"/>
      <c r="V223" s="542"/>
      <c r="W223" s="542"/>
      <c r="X223" s="542"/>
      <c r="Y223" s="542"/>
      <c r="Z223" s="542"/>
      <c r="AA223" s="542"/>
      <c r="AB223" s="542"/>
      <c r="AC223" s="542"/>
      <c r="AD223" s="542"/>
      <c r="AE223" s="542"/>
      <c r="AF223" s="542"/>
      <c r="AG223" s="542"/>
      <c r="AH223" s="542"/>
      <c r="AI223" s="542"/>
      <c r="AJ223" s="542"/>
      <c r="AK223" s="542"/>
      <c r="AL223" s="542"/>
      <c r="AM223" s="542"/>
      <c r="AN223" s="542"/>
      <c r="AO223" s="542"/>
      <c r="AP223" s="542"/>
      <c r="AQ223" s="542"/>
      <c r="AR223" s="542"/>
      <c r="AS223" s="542"/>
      <c r="AT223" s="542"/>
      <c r="AU223" s="542"/>
      <c r="AV223" s="542"/>
      <c r="AW223" s="542"/>
      <c r="AX223" s="542"/>
      <c r="AY223" s="542"/>
      <c r="AZ223" s="542"/>
      <c r="BA223" s="542"/>
      <c r="BB223" s="542">
        <v>1</v>
      </c>
      <c r="BC223" s="542">
        <v>4</v>
      </c>
      <c r="BD223" s="542">
        <v>4</v>
      </c>
      <c r="BE223" s="542"/>
      <c r="BF223" s="542"/>
      <c r="BG223" s="542"/>
      <c r="BH223" s="542"/>
      <c r="BI223" s="542"/>
      <c r="BJ223" s="542">
        <v>4</v>
      </c>
      <c r="BK223" s="542"/>
      <c r="BL223" s="542"/>
      <c r="BM223" s="542"/>
      <c r="BN223" s="542"/>
      <c r="BO223" s="542"/>
      <c r="BP223" s="542"/>
      <c r="BQ223" s="542"/>
      <c r="BR223" s="542"/>
      <c r="BS223" s="542"/>
      <c r="BT223" s="542"/>
      <c r="BU223" s="542"/>
      <c r="BV223" s="542"/>
      <c r="BW223" s="542"/>
      <c r="BX223" s="542"/>
      <c r="BY223" s="542"/>
      <c r="BZ223" s="542"/>
      <c r="CA223" s="542"/>
      <c r="CB223" s="542">
        <v>1</v>
      </c>
      <c r="CC223" s="542"/>
      <c r="CD223" s="542"/>
      <c r="CE223" s="542"/>
      <c r="CF223" s="542"/>
      <c r="CG223" s="542"/>
      <c r="CH223" s="542"/>
      <c r="CI223" s="542"/>
      <c r="CJ223" s="542">
        <v>4</v>
      </c>
      <c r="CK223" s="542"/>
      <c r="CL223" s="542"/>
      <c r="CM223" s="542"/>
      <c r="CN223" s="542"/>
      <c r="CO223" s="542"/>
      <c r="CP223" s="542"/>
      <c r="CQ223" s="542"/>
      <c r="CR223" s="542"/>
      <c r="CS223" s="542"/>
      <c r="CT223" s="542">
        <v>1</v>
      </c>
      <c r="CU223" s="542"/>
      <c r="CV223" s="542"/>
      <c r="CW223" s="542"/>
      <c r="CX223" s="542"/>
      <c r="CY223" s="542"/>
      <c r="CZ223" s="542"/>
      <c r="DA223" s="542"/>
      <c r="DB223" s="542"/>
      <c r="DC223" s="542"/>
      <c r="DD223" s="542"/>
      <c r="DE223" s="542"/>
      <c r="DF223" s="542"/>
      <c r="DG223" s="542"/>
      <c r="DH223" s="542"/>
      <c r="DI223" s="542"/>
      <c r="DJ223" s="542"/>
      <c r="DK223" s="542"/>
      <c r="DL223" s="542"/>
      <c r="DM223" s="542"/>
      <c r="DN223" s="542"/>
      <c r="DO223" s="542"/>
      <c r="DP223" s="542">
        <v>4</v>
      </c>
      <c r="DQ223" s="542"/>
      <c r="DR223" s="542">
        <v>4</v>
      </c>
      <c r="DS223" s="542"/>
      <c r="DT223" s="542">
        <v>4</v>
      </c>
      <c r="DU223" s="542"/>
      <c r="DV223" s="542"/>
      <c r="DW223" s="542">
        <v>4</v>
      </c>
      <c r="DX223" s="542"/>
      <c r="DY223" s="542"/>
      <c r="DZ223" s="542"/>
      <c r="EA223" s="542"/>
      <c r="EB223" s="542"/>
      <c r="EC223" s="542"/>
      <c r="ED223" s="542"/>
      <c r="EE223" s="542"/>
      <c r="EF223" s="542"/>
      <c r="EG223" s="542"/>
      <c r="EH223" s="542"/>
      <c r="EI223" s="542"/>
      <c r="EJ223" s="542"/>
      <c r="EK223" s="542"/>
      <c r="EL223" s="542"/>
      <c r="EM223" s="542">
        <v>4</v>
      </c>
      <c r="EN223" s="542">
        <v>4</v>
      </c>
      <c r="EO223" s="542"/>
      <c r="EP223" s="542"/>
      <c r="EQ223" s="542">
        <v>3</v>
      </c>
      <c r="ER223" s="542"/>
      <c r="ES223" s="542">
        <v>4</v>
      </c>
      <c r="ET223" s="542"/>
      <c r="EU223" s="542">
        <v>1</v>
      </c>
      <c r="EV223" s="542">
        <v>4</v>
      </c>
      <c r="EW223" s="542"/>
      <c r="EX223" s="542">
        <v>3</v>
      </c>
      <c r="EY223" s="542"/>
      <c r="EZ223" s="542"/>
      <c r="FA223" s="542"/>
      <c r="FB223" s="542">
        <v>1</v>
      </c>
      <c r="FC223" s="542">
        <v>1</v>
      </c>
      <c r="FD223" s="542"/>
      <c r="FE223" s="542"/>
      <c r="FF223" s="542">
        <v>1</v>
      </c>
      <c r="FG223" s="542"/>
      <c r="FH223" s="542"/>
      <c r="FI223" s="542"/>
      <c r="FJ223" s="542">
        <v>4</v>
      </c>
      <c r="FK223" s="542"/>
      <c r="FL223" s="542"/>
      <c r="FM223" s="542"/>
      <c r="FN223" s="542"/>
      <c r="FO223" s="541">
        <v>1</v>
      </c>
      <c r="FP223" s="541">
        <v>1</v>
      </c>
      <c r="FQ223" s="542"/>
      <c r="FR223" s="542"/>
      <c r="FS223" s="542"/>
      <c r="FT223" s="542"/>
      <c r="FU223" s="542"/>
      <c r="FV223" s="542"/>
      <c r="FW223" s="542"/>
      <c r="FX223" s="542"/>
      <c r="FY223" s="542"/>
      <c r="FZ223" s="542"/>
      <c r="GA223" s="542"/>
      <c r="GB223" s="542"/>
      <c r="GC223" s="542"/>
      <c r="GD223" s="542"/>
      <c r="GE223" s="542"/>
      <c r="GF223" s="541">
        <v>4</v>
      </c>
      <c r="GG223" s="542"/>
      <c r="GH223" s="542"/>
      <c r="GI223" s="542"/>
      <c r="GJ223" s="542"/>
      <c r="GK223" s="542"/>
      <c r="GL223" s="542"/>
      <c r="GM223" s="542"/>
      <c r="GN223" s="542"/>
      <c r="GO223" s="542"/>
      <c r="GP223" s="542"/>
      <c r="GQ223" s="542"/>
      <c r="GR223" s="542"/>
      <c r="GS223" s="542"/>
      <c r="GT223" s="542"/>
      <c r="GU223" s="542"/>
      <c r="GV223" s="542"/>
      <c r="GW223" s="542"/>
      <c r="GX223" s="542"/>
      <c r="GY223" s="542"/>
      <c r="GZ223" s="542"/>
      <c r="HA223" s="542"/>
      <c r="HB223" s="542"/>
      <c r="HC223" s="542"/>
      <c r="HD223" s="542"/>
      <c r="HE223" s="542"/>
      <c r="HF223" s="542"/>
      <c r="HG223" s="542"/>
      <c r="HH223" s="543">
        <v>1</v>
      </c>
      <c r="HI223" s="542"/>
      <c r="HJ223" s="542">
        <v>1</v>
      </c>
      <c r="HK223" s="542">
        <v>1</v>
      </c>
      <c r="HL223" s="542">
        <v>1</v>
      </c>
      <c r="HM223" s="542">
        <v>1</v>
      </c>
      <c r="HN223" s="542"/>
      <c r="HO223" s="542"/>
      <c r="HP223" s="821">
        <v>4</v>
      </c>
      <c r="HQ223" s="542"/>
      <c r="HR223" s="542">
        <v>3</v>
      </c>
      <c r="HS223" s="542"/>
      <c r="HT223" s="542">
        <v>1</v>
      </c>
      <c r="HU223" s="542"/>
      <c r="HV223" s="542"/>
      <c r="HW223" s="542"/>
      <c r="HX223" s="542"/>
      <c r="HY223" s="542"/>
      <c r="HZ223" s="542"/>
      <c r="IA223" s="542">
        <v>4</v>
      </c>
      <c r="IB223" s="542"/>
      <c r="IC223" s="542"/>
      <c r="ID223" s="542"/>
      <c r="IE223" s="542"/>
      <c r="IF223" s="542">
        <v>1</v>
      </c>
      <c r="IG223" s="542"/>
      <c r="IH223" s="542"/>
      <c r="II223" s="542">
        <v>1</v>
      </c>
      <c r="IJ223" s="542"/>
      <c r="IK223" s="542"/>
      <c r="IL223" s="542">
        <v>3</v>
      </c>
      <c r="IM223" s="542"/>
      <c r="IN223" s="542"/>
      <c r="IO223" s="542"/>
      <c r="IP223" s="542"/>
      <c r="IQ223" s="542"/>
      <c r="IR223" s="542"/>
      <c r="IS223" s="542"/>
      <c r="IT223" s="542"/>
      <c r="IU223" s="542"/>
      <c r="IV223" s="542"/>
      <c r="IW223" s="542"/>
      <c r="IX223" s="542"/>
      <c r="IY223" s="542"/>
      <c r="IZ223" s="542"/>
      <c r="JA223" s="542"/>
      <c r="JB223" s="542"/>
      <c r="JC223" s="542"/>
      <c r="JD223" s="542"/>
      <c r="JE223" s="542">
        <v>1</v>
      </c>
      <c r="JF223" s="542">
        <v>1</v>
      </c>
      <c r="JG223" s="542"/>
      <c r="JH223" s="542"/>
      <c r="JI223" s="542"/>
      <c r="JJ223" s="542">
        <v>1</v>
      </c>
      <c r="JK223" s="542"/>
      <c r="JL223" s="542"/>
      <c r="JM223" s="542"/>
      <c r="JN223" s="544"/>
      <c r="JO223" s="544"/>
      <c r="JP223" s="542"/>
      <c r="JQ223" s="543"/>
    </row>
    <row r="224" spans="1:278" x14ac:dyDescent="0.25">
      <c r="A224" s="1649">
        <v>9</v>
      </c>
      <c r="B224" s="1651">
        <f t="shared" si="19"/>
        <v>1</v>
      </c>
      <c r="D224" s="521" t="s">
        <v>4152</v>
      </c>
      <c r="E224" s="1655"/>
      <c r="F224" s="1656"/>
      <c r="G224" s="1656"/>
      <c r="H224" s="1656"/>
      <c r="I224" s="1656"/>
      <c r="J224" s="1656"/>
      <c r="K224" s="1656"/>
      <c r="L224" s="1656"/>
      <c r="M224" s="1656"/>
      <c r="N224" s="1656"/>
      <c r="O224" s="1656"/>
      <c r="P224" s="1656"/>
      <c r="Q224" s="1656"/>
      <c r="R224" s="1656"/>
      <c r="S224" s="1656"/>
      <c r="T224" s="1656"/>
      <c r="U224" s="1656"/>
      <c r="V224" s="1656"/>
      <c r="W224" s="1656"/>
      <c r="X224" s="1656"/>
      <c r="Y224" s="1656"/>
      <c r="Z224" s="1656"/>
      <c r="AA224" s="1656"/>
      <c r="AB224" s="1656"/>
      <c r="AC224" s="1656"/>
      <c r="AD224" s="1656"/>
      <c r="AE224" s="1656"/>
      <c r="AF224" s="1656"/>
      <c r="AG224" s="1656"/>
      <c r="AH224" s="1656"/>
      <c r="AI224" s="1656"/>
      <c r="AJ224" s="1656"/>
      <c r="AK224" s="1656"/>
      <c r="AL224" s="1656"/>
      <c r="AM224" s="1656"/>
      <c r="AN224" s="1656"/>
      <c r="AO224" s="1656"/>
      <c r="AP224" s="1656"/>
      <c r="AQ224" s="1656"/>
      <c r="AR224" s="1656"/>
      <c r="AS224" s="1656"/>
      <c r="AT224" s="1656"/>
      <c r="AU224" s="1656"/>
      <c r="AV224" s="1656"/>
      <c r="AW224" s="1656"/>
      <c r="AX224" s="1656"/>
      <c r="AY224" s="1656"/>
      <c r="AZ224" s="1656"/>
      <c r="BA224" s="1656"/>
      <c r="BB224" s="1656">
        <v>1</v>
      </c>
      <c r="BC224" s="1656">
        <v>10</v>
      </c>
      <c r="BD224" s="1656">
        <v>10</v>
      </c>
      <c r="BE224" s="1656"/>
      <c r="BF224" s="1656"/>
      <c r="BG224" s="1656"/>
      <c r="BH224" s="1656"/>
      <c r="BI224" s="1656"/>
      <c r="BJ224" s="1656">
        <v>10</v>
      </c>
      <c r="BK224" s="1656"/>
      <c r="BL224" s="1656"/>
      <c r="BM224" s="1656"/>
      <c r="BN224" s="1656"/>
      <c r="BO224" s="1656"/>
      <c r="BP224" s="1656"/>
      <c r="BQ224" s="1656"/>
      <c r="BR224" s="1656"/>
      <c r="BS224" s="1656"/>
      <c r="BT224" s="1656"/>
      <c r="BU224" s="1656"/>
      <c r="BV224" s="1656"/>
      <c r="BW224" s="1656"/>
      <c r="BX224" s="1656"/>
      <c r="BY224" s="1656"/>
      <c r="BZ224" s="1656"/>
      <c r="CA224" s="1656"/>
      <c r="CB224" s="1656">
        <v>9</v>
      </c>
      <c r="CC224" s="1656"/>
      <c r="CD224" s="1656"/>
      <c r="CE224" s="1656"/>
      <c r="CF224" s="1656"/>
      <c r="CG224" s="1656"/>
      <c r="CH224" s="1656"/>
      <c r="CI224" s="1656"/>
      <c r="CJ224" s="1656">
        <v>9</v>
      </c>
      <c r="CK224" s="1656"/>
      <c r="CL224" s="1656"/>
      <c r="CM224" s="1656"/>
      <c r="CN224" s="1656"/>
      <c r="CO224" s="1656"/>
      <c r="CP224" s="1656"/>
      <c r="CQ224" s="1656"/>
      <c r="CR224" s="1656"/>
      <c r="CS224" s="1656"/>
      <c r="CT224" s="1656">
        <v>1</v>
      </c>
      <c r="CU224" s="1656"/>
      <c r="CV224" s="1656"/>
      <c r="CW224" s="1656"/>
      <c r="CX224" s="1656"/>
      <c r="CY224" s="1656"/>
      <c r="CZ224" s="1656"/>
      <c r="DA224" s="1656"/>
      <c r="DB224" s="1656"/>
      <c r="DC224" s="1656"/>
      <c r="DD224" s="1656"/>
      <c r="DE224" s="1656"/>
      <c r="DF224" s="1656"/>
      <c r="DG224" s="1656"/>
      <c r="DH224" s="1656"/>
      <c r="DI224" s="1656"/>
      <c r="DJ224" s="1656"/>
      <c r="DK224" s="1656"/>
      <c r="DL224" s="1656"/>
      <c r="DM224" s="1656"/>
      <c r="DN224" s="1656"/>
      <c r="DO224" s="1656"/>
      <c r="DP224" s="1656">
        <v>9</v>
      </c>
      <c r="DQ224" s="1656"/>
      <c r="DR224" s="1656">
        <v>9</v>
      </c>
      <c r="DS224" s="1656"/>
      <c r="DT224" s="1656">
        <v>9</v>
      </c>
      <c r="DU224" s="1656"/>
      <c r="DV224" s="1656"/>
      <c r="DW224" s="1656">
        <v>9</v>
      </c>
      <c r="DX224" s="1656"/>
      <c r="DY224" s="1656"/>
      <c r="DZ224" s="1656"/>
      <c r="EA224" s="1656"/>
      <c r="EB224" s="1656"/>
      <c r="EC224" s="1656"/>
      <c r="ED224" s="1656"/>
      <c r="EE224" s="1656"/>
      <c r="EF224" s="1656"/>
      <c r="EG224" s="1656"/>
      <c r="EH224" s="1656"/>
      <c r="EI224" s="1656"/>
      <c r="EJ224" s="1656"/>
      <c r="EK224" s="1656"/>
      <c r="EL224" s="1656"/>
      <c r="EM224" s="1656">
        <v>9</v>
      </c>
      <c r="EN224" s="1656">
        <v>9</v>
      </c>
      <c r="EO224" s="1656"/>
      <c r="EP224" s="1656"/>
      <c r="EQ224" s="1656">
        <v>1</v>
      </c>
      <c r="ER224" s="1656"/>
      <c r="ES224" s="1656">
        <v>2</v>
      </c>
      <c r="ET224" s="1656"/>
      <c r="EU224" s="1656">
        <v>1</v>
      </c>
      <c r="EV224" s="1656">
        <v>9</v>
      </c>
      <c r="EW224" s="1656"/>
      <c r="EX224" s="1656">
        <v>8</v>
      </c>
      <c r="EY224" s="1656"/>
      <c r="EZ224" s="1656"/>
      <c r="FA224" s="1656"/>
      <c r="FB224" s="1656">
        <v>1</v>
      </c>
      <c r="FC224" s="1656">
        <v>1</v>
      </c>
      <c r="FD224" s="1656"/>
      <c r="FE224" s="1656"/>
      <c r="FF224" s="1656">
        <v>1</v>
      </c>
      <c r="FG224" s="1656"/>
      <c r="FH224" s="1656"/>
      <c r="FI224" s="1656"/>
      <c r="FJ224" s="1656">
        <v>9</v>
      </c>
      <c r="FK224" s="1656"/>
      <c r="FL224" s="1656"/>
      <c r="FM224" s="1656"/>
      <c r="FN224" s="1656"/>
      <c r="FO224" s="1655">
        <v>1</v>
      </c>
      <c r="FP224" s="1655">
        <v>1</v>
      </c>
      <c r="FQ224" s="1656"/>
      <c r="FR224" s="1656"/>
      <c r="FS224" s="1656"/>
      <c r="FT224" s="1656"/>
      <c r="FU224" s="1656"/>
      <c r="FV224" s="1656"/>
      <c r="FW224" s="1656"/>
      <c r="FX224" s="1656"/>
      <c r="FY224" s="1656"/>
      <c r="FZ224" s="1656"/>
      <c r="GA224" s="1656"/>
      <c r="GB224" s="1656"/>
      <c r="GC224" s="1656"/>
      <c r="GD224" s="1656"/>
      <c r="GE224" s="1656"/>
      <c r="GF224" s="1655">
        <v>10</v>
      </c>
      <c r="GG224" s="1656"/>
      <c r="GH224" s="1656"/>
      <c r="GI224" s="1656"/>
      <c r="GJ224" s="1656"/>
      <c r="GK224" s="1656"/>
      <c r="GL224" s="1656"/>
      <c r="GM224" s="1656"/>
      <c r="GN224" s="1656"/>
      <c r="GO224" s="1656"/>
      <c r="GP224" s="1656"/>
      <c r="GQ224" s="1656"/>
      <c r="GR224" s="1656"/>
      <c r="GS224" s="1656"/>
      <c r="GT224" s="1656"/>
      <c r="GU224" s="1656"/>
      <c r="GV224" s="1656"/>
      <c r="GW224" s="1656"/>
      <c r="GX224" s="1656"/>
      <c r="GY224" s="1656"/>
      <c r="GZ224" s="1656"/>
      <c r="HA224" s="1656"/>
      <c r="HB224" s="1656"/>
      <c r="HC224" s="1656"/>
      <c r="HD224" s="1656"/>
      <c r="HE224" s="1656"/>
      <c r="HF224" s="1656"/>
      <c r="HG224" s="1656"/>
      <c r="HH224" s="1657">
        <v>1</v>
      </c>
      <c r="HI224" s="1656"/>
      <c r="HJ224" s="1656">
        <v>1</v>
      </c>
      <c r="HK224" s="1656">
        <v>1</v>
      </c>
      <c r="HL224" s="1656">
        <v>1</v>
      </c>
      <c r="HM224" s="1656">
        <v>1</v>
      </c>
      <c r="HN224" s="1656"/>
      <c r="HO224" s="1656"/>
      <c r="HP224" s="1664">
        <v>2</v>
      </c>
      <c r="HQ224" s="1656"/>
      <c r="HR224" s="1656">
        <v>8</v>
      </c>
      <c r="HS224" s="1656"/>
      <c r="HT224" s="1656">
        <v>1</v>
      </c>
      <c r="HU224" s="1656"/>
      <c r="HV224" s="1656"/>
      <c r="HW224" s="1656"/>
      <c r="HX224" s="1656"/>
      <c r="HY224" s="1656"/>
      <c r="HZ224" s="1656"/>
      <c r="IA224" s="1656">
        <v>9</v>
      </c>
      <c r="IB224" s="1656"/>
      <c r="IC224" s="1656"/>
      <c r="ID224" s="1656"/>
      <c r="IE224" s="1656"/>
      <c r="IF224" s="1656">
        <v>1</v>
      </c>
      <c r="IG224" s="1656"/>
      <c r="IH224" s="1656"/>
      <c r="II224" s="1656">
        <v>1</v>
      </c>
      <c r="IJ224" s="1656"/>
      <c r="IK224" s="1656"/>
      <c r="IL224" s="1656">
        <v>6</v>
      </c>
      <c r="IM224" s="1656"/>
      <c r="IN224" s="1656"/>
      <c r="IO224" s="1656"/>
      <c r="IP224" s="1656"/>
      <c r="IQ224" s="1656"/>
      <c r="IR224" s="1656"/>
      <c r="IS224" s="1656"/>
      <c r="IT224" s="1656"/>
      <c r="IU224" s="1656"/>
      <c r="IV224" s="1656"/>
      <c r="IW224" s="1656"/>
      <c r="IX224" s="1656"/>
      <c r="IY224" s="1656"/>
      <c r="IZ224" s="1656"/>
      <c r="JA224" s="1656"/>
      <c r="JB224" s="1656"/>
      <c r="JC224" s="1656"/>
      <c r="JD224" s="1656"/>
      <c r="JE224" s="1656">
        <v>1</v>
      </c>
      <c r="JF224" s="1656">
        <v>1</v>
      </c>
      <c r="JG224" s="1656"/>
      <c r="JH224" s="1656"/>
      <c r="JI224" s="1656"/>
      <c r="JJ224" s="1656">
        <v>1</v>
      </c>
      <c r="JK224" s="1656"/>
      <c r="JL224" s="1656"/>
      <c r="JM224" s="1656"/>
      <c r="JN224" s="1658"/>
      <c r="JO224" s="1658"/>
      <c r="JP224" s="1656"/>
      <c r="JQ224" s="1657"/>
    </row>
    <row r="225" spans="1:277" x14ac:dyDescent="0.25">
      <c r="A225" s="1649">
        <v>10</v>
      </c>
      <c r="B225" s="1651" t="str">
        <f t="shared" si="19"/>
        <v/>
      </c>
      <c r="D225" s="521" t="s">
        <v>4153</v>
      </c>
      <c r="E225" s="1659"/>
      <c r="F225" s="1660"/>
      <c r="G225" s="1661"/>
      <c r="H225" s="1661"/>
      <c r="I225" s="1660"/>
      <c r="J225" s="1660"/>
      <c r="K225" s="1660"/>
      <c r="L225" s="1660"/>
      <c r="M225" s="1661"/>
      <c r="N225" s="1661"/>
      <c r="O225" s="1661"/>
      <c r="P225" s="1661"/>
      <c r="Q225" s="1661"/>
      <c r="R225" s="1661"/>
      <c r="S225" s="1661"/>
      <c r="T225" s="1661"/>
      <c r="U225" s="1661"/>
      <c r="V225" s="1661"/>
      <c r="W225" s="1661"/>
      <c r="X225" s="1661"/>
      <c r="Y225" s="1661"/>
      <c r="Z225" s="1661"/>
      <c r="AA225" s="1661"/>
      <c r="AB225" s="1661"/>
      <c r="AC225" s="1661"/>
      <c r="AD225" s="1661"/>
      <c r="AE225" s="1661"/>
      <c r="AF225" s="1661"/>
      <c r="AG225" s="1661"/>
      <c r="AH225" s="1661"/>
      <c r="AI225" s="1661"/>
      <c r="AJ225" s="1661"/>
      <c r="AK225" s="1661"/>
      <c r="AL225" s="1661"/>
      <c r="AM225" s="1661"/>
      <c r="AN225" s="1661"/>
      <c r="AO225" s="1661"/>
      <c r="AP225" s="1660"/>
      <c r="AQ225" s="1660"/>
      <c r="AR225" s="1661"/>
      <c r="AS225" s="1661"/>
      <c r="AT225" s="1661"/>
      <c r="AU225" s="1661"/>
      <c r="AV225" s="1661"/>
      <c r="AW225" s="1661"/>
      <c r="AX225" s="1661"/>
      <c r="AY225" s="1661"/>
      <c r="AZ225" s="1661"/>
      <c r="BA225" s="1661"/>
      <c r="BB225" s="1660"/>
      <c r="BC225" s="1660" t="s">
        <v>3892</v>
      </c>
      <c r="BD225" s="1660" t="s">
        <v>3892</v>
      </c>
      <c r="BE225" s="1660"/>
      <c r="BF225" s="1660"/>
      <c r="BG225" s="1660"/>
      <c r="BH225" s="1660"/>
      <c r="BI225" s="1660"/>
      <c r="BJ225" s="1660" t="s">
        <v>3892</v>
      </c>
      <c r="BK225" s="1661"/>
      <c r="BL225" s="1661"/>
      <c r="BM225" s="1660"/>
      <c r="BN225" s="1660"/>
      <c r="BO225" s="1660"/>
      <c r="BP225" s="1660"/>
      <c r="BQ225" s="1660"/>
      <c r="BR225" s="1660"/>
      <c r="BS225" s="1660"/>
      <c r="BT225" s="1660"/>
      <c r="BU225" s="1660"/>
      <c r="BV225" s="1660"/>
      <c r="BW225" s="1660"/>
      <c r="BX225" s="1660"/>
      <c r="BY225" s="1660"/>
      <c r="BZ225" s="1660"/>
      <c r="CA225" s="1660"/>
      <c r="CB225" s="1660" t="s">
        <v>4016</v>
      </c>
      <c r="CC225" s="1661"/>
      <c r="CD225" s="1661"/>
      <c r="CE225" s="1661"/>
      <c r="CF225" s="1661"/>
      <c r="CG225" s="1661"/>
      <c r="CH225" s="1661"/>
      <c r="CI225" s="1661"/>
      <c r="CJ225" s="1661" t="s">
        <v>3862</v>
      </c>
      <c r="CK225" s="1661"/>
      <c r="CL225" s="1661"/>
      <c r="CM225" s="1661"/>
      <c r="CN225" s="1661"/>
      <c r="CO225" s="1661"/>
      <c r="CP225" s="1661"/>
      <c r="CQ225" s="1661"/>
      <c r="CR225" s="1661"/>
      <c r="CS225" s="1661"/>
      <c r="CT225" s="1660"/>
      <c r="CU225" s="1661"/>
      <c r="CV225" s="1661"/>
      <c r="CW225" s="1661"/>
      <c r="CX225" s="1661"/>
      <c r="CY225" s="1661"/>
      <c r="CZ225" s="1661"/>
      <c r="DA225" s="1661"/>
      <c r="DB225" s="1661"/>
      <c r="DC225" s="1661"/>
      <c r="DD225" s="1661"/>
      <c r="DE225" s="1661"/>
      <c r="DF225" s="1661"/>
      <c r="DG225" s="1661"/>
      <c r="DH225" s="1661"/>
      <c r="DI225" s="1660"/>
      <c r="DJ225" s="1661"/>
      <c r="DK225" s="1661"/>
      <c r="DL225" s="1661"/>
      <c r="DM225" s="1661"/>
      <c r="DN225" s="1661"/>
      <c r="DO225" s="1661"/>
      <c r="DP225" s="1661" t="s">
        <v>3852</v>
      </c>
      <c r="DQ225" s="1661"/>
      <c r="DR225" s="1661" t="s">
        <v>3853</v>
      </c>
      <c r="DS225" s="1661"/>
      <c r="DT225" s="1661" t="s">
        <v>3852</v>
      </c>
      <c r="DU225" s="1661"/>
      <c r="DV225" s="1661"/>
      <c r="DW225" s="1661" t="s">
        <v>3862</v>
      </c>
      <c r="DX225" s="1661"/>
      <c r="DY225" s="1661"/>
      <c r="DZ225" s="1661"/>
      <c r="EA225" s="1661"/>
      <c r="EB225" s="1661"/>
      <c r="EC225" s="1661"/>
      <c r="ED225" s="1661"/>
      <c r="EE225" s="1661"/>
      <c r="EF225" s="1661"/>
      <c r="EG225" s="1661"/>
      <c r="EH225" s="1661"/>
      <c r="EI225" s="1661"/>
      <c r="EJ225" s="1661"/>
      <c r="EK225" s="1661"/>
      <c r="EL225" s="1661"/>
      <c r="EM225" s="1661" t="s">
        <v>3905</v>
      </c>
      <c r="EN225" s="1661" t="s">
        <v>3852</v>
      </c>
      <c r="EO225" s="1661"/>
      <c r="EP225" s="1661"/>
      <c r="EQ225" s="1661" t="s">
        <v>3878</v>
      </c>
      <c r="ER225" s="1661"/>
      <c r="ES225" s="1661" t="s">
        <v>3857</v>
      </c>
      <c r="ET225" s="1661"/>
      <c r="EU225" s="1660"/>
      <c r="EV225" s="1661" t="s">
        <v>3852</v>
      </c>
      <c r="EW225" s="1661"/>
      <c r="EX225" s="1660" t="s">
        <v>3860</v>
      </c>
      <c r="EY225" s="1661"/>
      <c r="EZ225" s="1661"/>
      <c r="FA225" s="1661"/>
      <c r="FB225" s="1660"/>
      <c r="FC225" s="1660"/>
      <c r="FD225" s="1661"/>
      <c r="FE225" s="1661"/>
      <c r="FF225" s="1660"/>
      <c r="FG225" s="1661"/>
      <c r="FH225" s="1661"/>
      <c r="FI225" s="1661"/>
      <c r="FJ225" s="1661" t="s">
        <v>3852</v>
      </c>
      <c r="FK225" s="1661"/>
      <c r="FL225" s="1661"/>
      <c r="FM225" s="1661"/>
      <c r="FN225" s="1661"/>
      <c r="FO225" s="1659"/>
      <c r="FP225" s="1659"/>
      <c r="FQ225" s="1661"/>
      <c r="FR225" s="1661"/>
      <c r="FS225" s="1661"/>
      <c r="FT225" s="1661"/>
      <c r="FU225" s="1661"/>
      <c r="FV225" s="1661"/>
      <c r="FW225" s="1661"/>
      <c r="FX225" s="1661"/>
      <c r="FY225" s="1661"/>
      <c r="FZ225" s="1661"/>
      <c r="GA225" s="1661"/>
      <c r="GB225" s="1661"/>
      <c r="GC225" s="1661"/>
      <c r="GD225" s="1661"/>
      <c r="GE225" s="1661"/>
      <c r="GF225" s="1659" t="s">
        <v>3892</v>
      </c>
      <c r="GG225" s="1661"/>
      <c r="GH225" s="1661"/>
      <c r="GI225" s="1661"/>
      <c r="GJ225" s="1661"/>
      <c r="GK225" s="1661"/>
      <c r="GL225" s="1661"/>
      <c r="GM225" s="1661"/>
      <c r="GN225" s="1661"/>
      <c r="GO225" s="1661"/>
      <c r="GP225" s="1661"/>
      <c r="GQ225" s="1661"/>
      <c r="GR225" s="1661"/>
      <c r="GS225" s="1661"/>
      <c r="GT225" s="1661"/>
      <c r="GU225" s="1661"/>
      <c r="GV225" s="1661"/>
      <c r="GW225" s="1661"/>
      <c r="GX225" s="1661"/>
      <c r="GY225" s="1661"/>
      <c r="GZ225" s="1661"/>
      <c r="HA225" s="1661"/>
      <c r="HB225" s="1661"/>
      <c r="HC225" s="1661"/>
      <c r="HD225" s="1661"/>
      <c r="HE225" s="1661"/>
      <c r="HF225" s="1661"/>
      <c r="HG225" s="1661"/>
      <c r="HH225" s="1662" t="s">
        <v>3862</v>
      </c>
      <c r="HI225" s="1661"/>
      <c r="HJ225" s="1661"/>
      <c r="HK225" s="1661"/>
      <c r="HL225" s="1661"/>
      <c r="HM225" s="1661"/>
      <c r="HN225" s="1661"/>
      <c r="HO225" s="1661"/>
      <c r="HP225" s="1665" t="s">
        <v>3896</v>
      </c>
      <c r="HQ225" s="1661"/>
      <c r="HR225" s="1660" t="s">
        <v>3860</v>
      </c>
      <c r="HS225" s="1661"/>
      <c r="HT225" s="1661" t="s">
        <v>3878</v>
      </c>
      <c r="HU225" s="1661"/>
      <c r="HV225" s="1661"/>
      <c r="HW225" s="1661"/>
      <c r="HX225" s="1661"/>
      <c r="HY225" s="1661"/>
      <c r="HZ225" s="1661"/>
      <c r="IA225" s="1661" t="s">
        <v>3852</v>
      </c>
      <c r="IB225" s="1661"/>
      <c r="IC225" s="1661"/>
      <c r="ID225" s="1661"/>
      <c r="IE225" s="1661"/>
      <c r="IF225" s="1661"/>
      <c r="IG225" s="1661"/>
      <c r="IH225" s="1661"/>
      <c r="II225" s="1661"/>
      <c r="IJ225" s="1661"/>
      <c r="IK225" s="1661"/>
      <c r="IL225" s="1661" t="s">
        <v>3861</v>
      </c>
      <c r="IM225" s="1661"/>
      <c r="IN225" s="1661"/>
      <c r="IO225" s="1661"/>
      <c r="IP225" s="1661"/>
      <c r="IQ225" s="1661"/>
      <c r="IR225" s="1661"/>
      <c r="IS225" s="1661"/>
      <c r="IT225" s="1661"/>
      <c r="IU225" s="1661"/>
      <c r="IV225" s="1661"/>
      <c r="IW225" s="1661"/>
      <c r="IX225" s="1661"/>
      <c r="IY225" s="1661"/>
      <c r="IZ225" s="1661"/>
      <c r="JA225" s="1661"/>
      <c r="JB225" s="1661"/>
      <c r="JC225" s="1661"/>
      <c r="JD225" s="1661"/>
      <c r="JE225" s="1660" t="s">
        <v>3892</v>
      </c>
      <c r="JF225" s="1660"/>
      <c r="JG225" s="1661"/>
      <c r="JH225" s="1661"/>
      <c r="JI225" s="1661"/>
      <c r="JJ225" s="1660"/>
      <c r="JK225" s="1661"/>
      <c r="JL225" s="1661"/>
      <c r="JM225" s="1661"/>
      <c r="JN225" s="1663"/>
      <c r="JO225" s="1663"/>
      <c r="JP225" s="1661"/>
      <c r="JQ225" s="1662"/>
    </row>
    <row r="226" spans="1:277" x14ac:dyDescent="0.25">
      <c r="A226" s="1649">
        <v>11</v>
      </c>
      <c r="B226" s="1651">
        <f t="shared" si="19"/>
        <v>0</v>
      </c>
      <c r="D226" s="521" t="s">
        <v>4154</v>
      </c>
      <c r="E226" s="1659"/>
      <c r="F226" s="1660"/>
      <c r="G226" s="1661"/>
      <c r="H226" s="1661"/>
      <c r="I226" s="1660"/>
      <c r="J226" s="1660"/>
      <c r="K226" s="1660"/>
      <c r="L226" s="1660"/>
      <c r="M226" s="1661"/>
      <c r="N226" s="1661"/>
      <c r="O226" s="1661"/>
      <c r="P226" s="1661"/>
      <c r="Q226" s="1661"/>
      <c r="R226" s="1661"/>
      <c r="S226" s="1661"/>
      <c r="T226" s="1661"/>
      <c r="U226" s="1661"/>
      <c r="V226" s="1661"/>
      <c r="W226" s="1661"/>
      <c r="X226" s="1661"/>
      <c r="Y226" s="1661"/>
      <c r="Z226" s="1661"/>
      <c r="AA226" s="1661"/>
      <c r="AB226" s="1661"/>
      <c r="AC226" s="1661"/>
      <c r="AD226" s="1661"/>
      <c r="AE226" s="1661"/>
      <c r="AF226" s="1661"/>
      <c r="AG226" s="1661"/>
      <c r="AH226" s="1661"/>
      <c r="AI226" s="1661"/>
      <c r="AJ226" s="1661"/>
      <c r="AK226" s="1661"/>
      <c r="AL226" s="1661"/>
      <c r="AM226" s="1661"/>
      <c r="AN226" s="1661"/>
      <c r="AO226" s="1661"/>
      <c r="AP226" s="1660"/>
      <c r="AQ226" s="1660"/>
      <c r="AR226" s="1661"/>
      <c r="AS226" s="1661"/>
      <c r="AT226" s="1661"/>
      <c r="AU226" s="1661"/>
      <c r="AV226" s="1661"/>
      <c r="AW226" s="1661"/>
      <c r="AX226" s="1661"/>
      <c r="AY226" s="1661"/>
      <c r="AZ226" s="1661"/>
      <c r="BA226" s="1661"/>
      <c r="BB226" s="1660">
        <v>0</v>
      </c>
      <c r="BC226" s="1660">
        <v>2679</v>
      </c>
      <c r="BD226" s="1660">
        <v>2679</v>
      </c>
      <c r="BE226" s="1660"/>
      <c r="BF226" s="1660"/>
      <c r="BG226" s="1660"/>
      <c r="BH226" s="1660"/>
      <c r="BI226" s="1660"/>
      <c r="BJ226" s="1660">
        <v>2679</v>
      </c>
      <c r="BK226" s="1661"/>
      <c r="BL226" s="1661"/>
      <c r="BM226" s="1660"/>
      <c r="BN226" s="1660"/>
      <c r="BO226" s="1660"/>
      <c r="BP226" s="1660"/>
      <c r="BQ226" s="1660"/>
      <c r="BR226" s="1660"/>
      <c r="BS226" s="1660"/>
      <c r="BT226" s="1660"/>
      <c r="BU226" s="1660"/>
      <c r="BV226" s="1660"/>
      <c r="BW226" s="1660"/>
      <c r="BX226" s="1660"/>
      <c r="BY226" s="1660"/>
      <c r="BZ226" s="1660"/>
      <c r="CA226" s="1660"/>
      <c r="CB226" s="1660">
        <v>12475</v>
      </c>
      <c r="CC226" s="1661"/>
      <c r="CD226" s="1661"/>
      <c r="CE226" s="1661"/>
      <c r="CF226" s="1661"/>
      <c r="CG226" s="1661"/>
      <c r="CH226" s="1661"/>
      <c r="CI226" s="1661"/>
      <c r="CJ226" s="1661">
        <v>36</v>
      </c>
      <c r="CK226" s="1661"/>
      <c r="CL226" s="1661"/>
      <c r="CM226" s="1661"/>
      <c r="CN226" s="1661"/>
      <c r="CO226" s="1661"/>
      <c r="CP226" s="1661"/>
      <c r="CQ226" s="1661"/>
      <c r="CR226" s="1661"/>
      <c r="CS226" s="1661"/>
      <c r="CT226" s="1660">
        <v>0</v>
      </c>
      <c r="CU226" s="1661"/>
      <c r="CV226" s="1661"/>
      <c r="CW226" s="1661"/>
      <c r="CX226" s="1661"/>
      <c r="CY226" s="1661"/>
      <c r="CZ226" s="1661"/>
      <c r="DA226" s="1661"/>
      <c r="DB226" s="1661"/>
      <c r="DC226" s="1661"/>
      <c r="DD226" s="1661"/>
      <c r="DE226" s="1661"/>
      <c r="DF226" s="1661"/>
      <c r="DG226" s="1661"/>
      <c r="DH226" s="1661"/>
      <c r="DI226" s="1660"/>
      <c r="DJ226" s="1661"/>
      <c r="DK226" s="1661"/>
      <c r="DL226" s="1661"/>
      <c r="DM226" s="1661"/>
      <c r="DN226" s="1661"/>
      <c r="DO226" s="1661"/>
      <c r="DP226" s="1661">
        <v>500</v>
      </c>
      <c r="DQ226" s="1661"/>
      <c r="DR226" s="1661">
        <v>100</v>
      </c>
      <c r="DS226" s="1661"/>
      <c r="DT226" s="1661">
        <v>500</v>
      </c>
      <c r="DU226" s="1661"/>
      <c r="DV226" s="1661"/>
      <c r="DW226" s="1661">
        <v>4938.22</v>
      </c>
      <c r="DX226" s="1661"/>
      <c r="DY226" s="1661"/>
      <c r="DZ226" s="1661"/>
      <c r="EA226" s="1661"/>
      <c r="EB226" s="1661"/>
      <c r="EC226" s="1661"/>
      <c r="ED226" s="1661"/>
      <c r="EE226" s="1661"/>
      <c r="EF226" s="1661"/>
      <c r="EG226" s="1661"/>
      <c r="EH226" s="1661"/>
      <c r="EI226" s="1661"/>
      <c r="EJ226" s="1661"/>
      <c r="EK226" s="1661"/>
      <c r="EL226" s="1661"/>
      <c r="EM226" s="1661">
        <v>999</v>
      </c>
      <c r="EN226" s="1661">
        <v>47</v>
      </c>
      <c r="EO226" s="1661"/>
      <c r="EP226" s="1661"/>
      <c r="EQ226" s="1661">
        <v>8887</v>
      </c>
      <c r="ER226" s="1661"/>
      <c r="ES226" s="1661">
        <v>32.32</v>
      </c>
      <c r="ET226" s="1661"/>
      <c r="EU226" s="1660">
        <v>0</v>
      </c>
      <c r="EV226" s="1661">
        <v>4359</v>
      </c>
      <c r="EW226" s="1661"/>
      <c r="EX226" s="1660">
        <v>500</v>
      </c>
      <c r="EY226" s="1661"/>
      <c r="EZ226" s="1661"/>
      <c r="FA226" s="1661"/>
      <c r="FB226" s="1660">
        <v>0</v>
      </c>
      <c r="FC226" s="1660">
        <v>0</v>
      </c>
      <c r="FD226" s="1661"/>
      <c r="FE226" s="1661"/>
      <c r="FF226" s="1660">
        <v>0</v>
      </c>
      <c r="FG226" s="1661"/>
      <c r="FH226" s="1661"/>
      <c r="FI226" s="1661"/>
      <c r="FJ226" s="1661">
        <v>26295</v>
      </c>
      <c r="FK226" s="1661"/>
      <c r="FL226" s="1661"/>
      <c r="FM226" s="1661"/>
      <c r="FN226" s="1661"/>
      <c r="FO226" s="1659">
        <v>0</v>
      </c>
      <c r="FP226" s="1659">
        <v>0</v>
      </c>
      <c r="FQ226" s="1661"/>
      <c r="FR226" s="1661"/>
      <c r="FS226" s="1661"/>
      <c r="FT226" s="1661"/>
      <c r="FU226" s="1661"/>
      <c r="FV226" s="1661"/>
      <c r="FW226" s="1661"/>
      <c r="FX226" s="1661"/>
      <c r="FY226" s="1661"/>
      <c r="FZ226" s="1661"/>
      <c r="GA226" s="1661"/>
      <c r="GB226" s="1661"/>
      <c r="GC226" s="1661"/>
      <c r="GD226" s="1661"/>
      <c r="GE226" s="1661"/>
      <c r="GF226" s="1659">
        <v>2679</v>
      </c>
      <c r="GG226" s="1661"/>
      <c r="GH226" s="1661"/>
      <c r="GI226" s="1661"/>
      <c r="GJ226" s="1661"/>
      <c r="GK226" s="1661"/>
      <c r="GL226" s="1661"/>
      <c r="GM226" s="1661"/>
      <c r="GN226" s="1661"/>
      <c r="GO226" s="1661"/>
      <c r="GP226" s="1661"/>
      <c r="GQ226" s="1661"/>
      <c r="GR226" s="1661"/>
      <c r="GS226" s="1661"/>
      <c r="GT226" s="1661"/>
      <c r="GU226" s="1661"/>
      <c r="GV226" s="1661"/>
      <c r="GW226" s="1661"/>
      <c r="GX226" s="1661"/>
      <c r="GY226" s="1661"/>
      <c r="GZ226" s="1661"/>
      <c r="HA226" s="1661"/>
      <c r="HB226" s="1661"/>
      <c r="HC226" s="1661"/>
      <c r="HD226" s="1661"/>
      <c r="HE226" s="1661"/>
      <c r="HF226" s="1661"/>
      <c r="HG226" s="1661"/>
      <c r="HH226" s="1662">
        <v>23904</v>
      </c>
      <c r="HI226" s="1661"/>
      <c r="HJ226" s="1661">
        <v>0</v>
      </c>
      <c r="HK226" s="1661">
        <v>0</v>
      </c>
      <c r="HL226" s="1661">
        <v>0</v>
      </c>
      <c r="HM226" s="1661">
        <v>0</v>
      </c>
      <c r="HN226" s="1661"/>
      <c r="HO226" s="1661"/>
      <c r="HP226" s="1665">
        <v>659</v>
      </c>
      <c r="HQ226" s="1661"/>
      <c r="HR226" s="1660">
        <v>500</v>
      </c>
      <c r="HS226" s="1661"/>
      <c r="HT226" s="1661">
        <v>23550</v>
      </c>
      <c r="HU226" s="1661"/>
      <c r="HV226" s="1661"/>
      <c r="HW226" s="1661"/>
      <c r="HX226" s="1661"/>
      <c r="HY226" s="1661"/>
      <c r="HZ226" s="1661"/>
      <c r="IA226" s="1661">
        <v>1615</v>
      </c>
      <c r="IB226" s="1661"/>
      <c r="IC226" s="1661"/>
      <c r="ID226" s="1661"/>
      <c r="IE226" s="1661"/>
      <c r="IF226" s="1661">
        <v>0</v>
      </c>
      <c r="IG226" s="1661"/>
      <c r="IH226" s="1661"/>
      <c r="II226" s="1661">
        <v>0</v>
      </c>
      <c r="IJ226" s="1661"/>
      <c r="IK226" s="1661"/>
      <c r="IL226" s="1661">
        <v>19732</v>
      </c>
      <c r="IM226" s="1661"/>
      <c r="IN226" s="1661"/>
      <c r="IO226" s="1661"/>
      <c r="IP226" s="1661"/>
      <c r="IQ226" s="1661"/>
      <c r="IR226" s="1661"/>
      <c r="IS226" s="1661"/>
      <c r="IT226" s="1661"/>
      <c r="IU226" s="1661"/>
      <c r="IV226" s="1661"/>
      <c r="IW226" s="1661"/>
      <c r="IX226" s="1661"/>
      <c r="IY226" s="1661"/>
      <c r="IZ226" s="1661"/>
      <c r="JA226" s="1661"/>
      <c r="JB226" s="1661"/>
      <c r="JC226" s="1661"/>
      <c r="JD226" s="1661"/>
      <c r="JE226" s="1660">
        <v>2679</v>
      </c>
      <c r="JF226" s="1660">
        <v>0</v>
      </c>
      <c r="JG226" s="1661"/>
      <c r="JH226" s="1661"/>
      <c r="JI226" s="1661"/>
      <c r="JJ226" s="1660">
        <v>0</v>
      </c>
      <c r="JK226" s="1661"/>
      <c r="JL226" s="1661"/>
      <c r="JM226" s="1661"/>
      <c r="JN226" s="1663"/>
      <c r="JO226" s="1663"/>
      <c r="JP226" s="1661"/>
      <c r="JQ226" s="1662"/>
    </row>
    <row r="227" spans="1:277" ht="13" thickBot="1" x14ac:dyDescent="0.3">
      <c r="A227" s="1649">
        <v>12</v>
      </c>
      <c r="B227" s="1651">
        <f t="shared" si="19"/>
        <v>0</v>
      </c>
      <c r="D227" s="521" t="s">
        <v>4155</v>
      </c>
      <c r="E227" s="740"/>
      <c r="F227" s="741"/>
      <c r="G227" s="742"/>
      <c r="H227" s="742"/>
      <c r="I227" s="741"/>
      <c r="J227" s="741"/>
      <c r="K227" s="741"/>
      <c r="L227" s="741"/>
      <c r="M227" s="742"/>
      <c r="N227" s="742"/>
      <c r="O227" s="742"/>
      <c r="P227" s="742"/>
      <c r="Q227" s="742"/>
      <c r="R227" s="742"/>
      <c r="S227" s="742"/>
      <c r="T227" s="742"/>
      <c r="U227" s="742"/>
      <c r="V227" s="742"/>
      <c r="W227" s="742"/>
      <c r="X227" s="742"/>
      <c r="Y227" s="742"/>
      <c r="Z227" s="742"/>
      <c r="AA227" s="742"/>
      <c r="AB227" s="742"/>
      <c r="AC227" s="742"/>
      <c r="AD227" s="742"/>
      <c r="AE227" s="742"/>
      <c r="AF227" s="742"/>
      <c r="AG227" s="742"/>
      <c r="AH227" s="742"/>
      <c r="AI227" s="742"/>
      <c r="AJ227" s="742"/>
      <c r="AK227" s="742"/>
      <c r="AL227" s="742"/>
      <c r="AM227" s="742"/>
      <c r="AN227" s="742"/>
      <c r="AO227" s="742"/>
      <c r="AP227" s="741"/>
      <c r="AQ227" s="741"/>
      <c r="AR227" s="742"/>
      <c r="AS227" s="742"/>
      <c r="AT227" s="742"/>
      <c r="AU227" s="742"/>
      <c r="AV227" s="742"/>
      <c r="AW227" s="742"/>
      <c r="AX227" s="742"/>
      <c r="AY227" s="742"/>
      <c r="AZ227" s="742"/>
      <c r="BA227" s="742"/>
      <c r="BB227" s="741">
        <v>0</v>
      </c>
      <c r="BC227" s="741">
        <v>401</v>
      </c>
      <c r="BD227" s="741">
        <v>401</v>
      </c>
      <c r="BE227" s="741"/>
      <c r="BF227" s="741"/>
      <c r="BG227" s="741"/>
      <c r="BH227" s="741"/>
      <c r="BI227" s="741"/>
      <c r="BJ227" s="741">
        <v>401</v>
      </c>
      <c r="BK227" s="742"/>
      <c r="BL227" s="742"/>
      <c r="BM227" s="741"/>
      <c r="BN227" s="741"/>
      <c r="BO227" s="741"/>
      <c r="BP227" s="741"/>
      <c r="BQ227" s="741"/>
      <c r="BR227" s="741"/>
      <c r="BS227" s="741"/>
      <c r="BT227" s="741"/>
      <c r="BU227" s="741"/>
      <c r="BV227" s="741"/>
      <c r="BW227" s="741"/>
      <c r="BX227" s="741"/>
      <c r="BY227" s="741"/>
      <c r="BZ227" s="741"/>
      <c r="CA227" s="741"/>
      <c r="CB227" s="741">
        <v>1711</v>
      </c>
      <c r="CC227" s="742"/>
      <c r="CD227" s="742"/>
      <c r="CE227" s="742"/>
      <c r="CF227" s="742"/>
      <c r="CG227" s="742"/>
      <c r="CH227" s="742"/>
      <c r="CI227" s="742"/>
      <c r="CJ227" s="742">
        <v>6</v>
      </c>
      <c r="CK227" s="742"/>
      <c r="CL227" s="742"/>
      <c r="CM227" s="742"/>
      <c r="CN227" s="742"/>
      <c r="CO227" s="742"/>
      <c r="CP227" s="742"/>
      <c r="CQ227" s="742"/>
      <c r="CR227" s="742"/>
      <c r="CS227" s="742"/>
      <c r="CT227" s="741">
        <v>0</v>
      </c>
      <c r="CU227" s="742"/>
      <c r="CV227" s="742"/>
      <c r="CW227" s="742"/>
      <c r="CX227" s="742"/>
      <c r="CY227" s="742"/>
      <c r="CZ227" s="742"/>
      <c r="DA227" s="742"/>
      <c r="DB227" s="742"/>
      <c r="DC227" s="742"/>
      <c r="DD227" s="742"/>
      <c r="DE227" s="742"/>
      <c r="DF227" s="742"/>
      <c r="DG227" s="742"/>
      <c r="DH227" s="742"/>
      <c r="DI227" s="741"/>
      <c r="DJ227" s="742"/>
      <c r="DK227" s="742"/>
      <c r="DL227" s="742"/>
      <c r="DM227" s="742"/>
      <c r="DN227" s="742"/>
      <c r="DO227" s="742"/>
      <c r="DP227" s="742">
        <v>75</v>
      </c>
      <c r="DQ227" s="742"/>
      <c r="DR227" s="742">
        <v>26</v>
      </c>
      <c r="DS227" s="742"/>
      <c r="DT227" s="742">
        <v>75</v>
      </c>
      <c r="DU227" s="742"/>
      <c r="DV227" s="742"/>
      <c r="DW227" s="742">
        <v>301.07</v>
      </c>
      <c r="DX227" s="742"/>
      <c r="DY227" s="742"/>
      <c r="DZ227" s="742"/>
      <c r="EA227" s="742"/>
      <c r="EB227" s="742"/>
      <c r="EC227" s="742"/>
      <c r="ED227" s="742"/>
      <c r="EE227" s="742"/>
      <c r="EF227" s="742"/>
      <c r="EG227" s="742"/>
      <c r="EH227" s="742"/>
      <c r="EI227" s="742"/>
      <c r="EJ227" s="742"/>
      <c r="EK227" s="742"/>
      <c r="EL227" s="742"/>
      <c r="EM227" s="742">
        <v>150</v>
      </c>
      <c r="EN227" s="742">
        <v>8</v>
      </c>
      <c r="EO227" s="742"/>
      <c r="EP227" s="742"/>
      <c r="EQ227" s="742">
        <v>0</v>
      </c>
      <c r="ER227" s="742"/>
      <c r="ES227" s="742">
        <v>0</v>
      </c>
      <c r="ET227" s="742"/>
      <c r="EU227" s="741">
        <v>0</v>
      </c>
      <c r="EV227" s="742">
        <v>960</v>
      </c>
      <c r="EW227" s="742"/>
      <c r="EX227" s="741">
        <v>100</v>
      </c>
      <c r="EY227" s="742"/>
      <c r="EZ227" s="742"/>
      <c r="FA227" s="742"/>
      <c r="FB227" s="741">
        <v>0</v>
      </c>
      <c r="FC227" s="741">
        <v>0</v>
      </c>
      <c r="FD227" s="742"/>
      <c r="FE227" s="742"/>
      <c r="FF227" s="741">
        <v>0</v>
      </c>
      <c r="FG227" s="742"/>
      <c r="FH227" s="742"/>
      <c r="FI227" s="742"/>
      <c r="FJ227" s="742">
        <v>7866</v>
      </c>
      <c r="FK227" s="742"/>
      <c r="FL227" s="742"/>
      <c r="FM227" s="742"/>
      <c r="FN227" s="742"/>
      <c r="FO227" s="740">
        <v>0</v>
      </c>
      <c r="FP227" s="740">
        <v>0</v>
      </c>
      <c r="FQ227" s="742"/>
      <c r="FR227" s="742"/>
      <c r="FS227" s="742"/>
      <c r="FT227" s="742"/>
      <c r="FU227" s="742"/>
      <c r="FV227" s="742"/>
      <c r="FW227" s="742"/>
      <c r="FX227" s="742"/>
      <c r="FY227" s="742"/>
      <c r="FZ227" s="742"/>
      <c r="GA227" s="742"/>
      <c r="GB227" s="742"/>
      <c r="GC227" s="742"/>
      <c r="GD227" s="742"/>
      <c r="GE227" s="742"/>
      <c r="GF227" s="740">
        <v>401</v>
      </c>
      <c r="GG227" s="742"/>
      <c r="GH227" s="742"/>
      <c r="GI227" s="742"/>
      <c r="GJ227" s="742"/>
      <c r="GK227" s="742"/>
      <c r="GL227" s="742"/>
      <c r="GM227" s="742"/>
      <c r="GN227" s="742"/>
      <c r="GO227" s="742"/>
      <c r="GP227" s="742"/>
      <c r="GQ227" s="742"/>
      <c r="GR227" s="742"/>
      <c r="GS227" s="742"/>
      <c r="GT227" s="742"/>
      <c r="GU227" s="742"/>
      <c r="GV227" s="742"/>
      <c r="GW227" s="742"/>
      <c r="GX227" s="742"/>
      <c r="GY227" s="742"/>
      <c r="GZ227" s="742"/>
      <c r="HA227" s="742"/>
      <c r="HB227" s="742"/>
      <c r="HC227" s="742"/>
      <c r="HD227" s="742"/>
      <c r="HE227" s="742"/>
      <c r="HF227" s="742"/>
      <c r="HG227" s="742"/>
      <c r="HH227" s="741">
        <v>8836</v>
      </c>
      <c r="HI227" s="742"/>
      <c r="HJ227" s="741">
        <v>0</v>
      </c>
      <c r="HK227" s="741">
        <v>0</v>
      </c>
      <c r="HL227" s="741">
        <v>0</v>
      </c>
      <c r="HM227" s="741">
        <v>0</v>
      </c>
      <c r="HN227" s="742"/>
      <c r="HO227" s="742"/>
      <c r="HP227" s="822">
        <v>98.85</v>
      </c>
      <c r="HQ227" s="742"/>
      <c r="HR227" s="741">
        <v>100</v>
      </c>
      <c r="HS227" s="742"/>
      <c r="HT227" s="742">
        <v>6158</v>
      </c>
      <c r="HU227" s="742"/>
      <c r="HV227" s="742"/>
      <c r="HW227" s="742"/>
      <c r="HX227" s="742"/>
      <c r="HY227" s="742"/>
      <c r="HZ227" s="742"/>
      <c r="IA227" s="742">
        <v>243</v>
      </c>
      <c r="IB227" s="742"/>
      <c r="IC227" s="742"/>
      <c r="ID227" s="742"/>
      <c r="IE227" s="742"/>
      <c r="IF227" s="742">
        <v>0</v>
      </c>
      <c r="IG227" s="742"/>
      <c r="IH227" s="742"/>
      <c r="II227" s="742">
        <v>0</v>
      </c>
      <c r="IJ227" s="742"/>
      <c r="IK227" s="742"/>
      <c r="IL227" s="742">
        <v>2821.76</v>
      </c>
      <c r="IM227" s="742"/>
      <c r="IN227" s="742"/>
      <c r="IO227" s="742"/>
      <c r="IP227" s="742"/>
      <c r="IQ227" s="742"/>
      <c r="IR227" s="742"/>
      <c r="IS227" s="742"/>
      <c r="IT227" s="742"/>
      <c r="IU227" s="742"/>
      <c r="IV227" s="742"/>
      <c r="IW227" s="742"/>
      <c r="IX227" s="742"/>
      <c r="IY227" s="742"/>
      <c r="IZ227" s="742"/>
      <c r="JA227" s="742"/>
      <c r="JB227" s="742"/>
      <c r="JC227" s="742"/>
      <c r="JD227" s="742"/>
      <c r="JE227" s="741">
        <v>401</v>
      </c>
      <c r="JF227" s="741">
        <v>0</v>
      </c>
      <c r="JG227" s="742"/>
      <c r="JH227" s="742"/>
      <c r="JI227" s="742"/>
      <c r="JJ227" s="741">
        <v>0</v>
      </c>
      <c r="JK227" s="742"/>
      <c r="JL227" s="742"/>
      <c r="JM227" s="742"/>
      <c r="JN227" s="743"/>
      <c r="JO227" s="743"/>
      <c r="JP227" s="742"/>
      <c r="JQ227" s="744"/>
    </row>
    <row r="228" spans="1:277" x14ac:dyDescent="0.25">
      <c r="A228" s="1649">
        <v>13</v>
      </c>
      <c r="B228" s="1651">
        <f t="shared" si="19"/>
        <v>1</v>
      </c>
      <c r="D228" s="521" t="s">
        <v>4156</v>
      </c>
      <c r="E228" s="541"/>
      <c r="F228" s="542"/>
      <c r="G228" s="542"/>
      <c r="H228" s="542"/>
      <c r="I228" s="542"/>
      <c r="J228" s="542"/>
      <c r="K228" s="542"/>
      <c r="L228" s="542"/>
      <c r="M228" s="542"/>
      <c r="N228" s="542"/>
      <c r="O228" s="542"/>
      <c r="P228" s="542"/>
      <c r="Q228" s="542"/>
      <c r="R228" s="542"/>
      <c r="S228" s="542"/>
      <c r="T228" s="542"/>
      <c r="U228" s="542"/>
      <c r="V228" s="542"/>
      <c r="W228" s="542"/>
      <c r="X228" s="542"/>
      <c r="Y228" s="542"/>
      <c r="Z228" s="542"/>
      <c r="AA228" s="542"/>
      <c r="AB228" s="542"/>
      <c r="AC228" s="542"/>
      <c r="AD228" s="542"/>
      <c r="AE228" s="542"/>
      <c r="AF228" s="542"/>
      <c r="AG228" s="542"/>
      <c r="AH228" s="542"/>
      <c r="AI228" s="542"/>
      <c r="AJ228" s="542"/>
      <c r="AK228" s="542"/>
      <c r="AL228" s="542"/>
      <c r="AM228" s="542"/>
      <c r="AN228" s="542"/>
      <c r="AO228" s="542"/>
      <c r="AP228" s="542"/>
      <c r="AQ228" s="542"/>
      <c r="AR228" s="542"/>
      <c r="AS228" s="542"/>
      <c r="AT228" s="542"/>
      <c r="AU228" s="542"/>
      <c r="AV228" s="542"/>
      <c r="AW228" s="542"/>
      <c r="AX228" s="542"/>
      <c r="AY228" s="542"/>
      <c r="AZ228" s="542"/>
      <c r="BA228" s="542"/>
      <c r="BB228" s="542">
        <v>1</v>
      </c>
      <c r="BC228" s="542">
        <v>3</v>
      </c>
      <c r="BD228" s="542">
        <v>3</v>
      </c>
      <c r="BE228" s="542"/>
      <c r="BF228" s="542"/>
      <c r="BG228" s="542"/>
      <c r="BH228" s="542"/>
      <c r="BI228" s="542"/>
      <c r="BJ228" s="542">
        <v>3</v>
      </c>
      <c r="BK228" s="542"/>
      <c r="BL228" s="542"/>
      <c r="BM228" s="542"/>
      <c r="BN228" s="542"/>
      <c r="BO228" s="542"/>
      <c r="BP228" s="542"/>
      <c r="BQ228" s="542"/>
      <c r="BR228" s="542"/>
      <c r="BS228" s="542"/>
      <c r="BT228" s="542"/>
      <c r="BU228" s="542"/>
      <c r="BV228" s="542"/>
      <c r="BW228" s="542"/>
      <c r="BX228" s="542"/>
      <c r="BY228" s="542"/>
      <c r="BZ228" s="542"/>
      <c r="CA228" s="542"/>
      <c r="CB228" s="542">
        <v>1</v>
      </c>
      <c r="CC228" s="542"/>
      <c r="CD228" s="542"/>
      <c r="CE228" s="542"/>
      <c r="CF228" s="542"/>
      <c r="CG228" s="542"/>
      <c r="CH228" s="542"/>
      <c r="CI228" s="542"/>
      <c r="CJ228" s="542">
        <v>1</v>
      </c>
      <c r="CK228" s="542"/>
      <c r="CL228" s="542"/>
      <c r="CM228" s="542"/>
      <c r="CN228" s="542"/>
      <c r="CO228" s="542"/>
      <c r="CP228" s="542"/>
      <c r="CQ228" s="542"/>
      <c r="CR228" s="542"/>
      <c r="CS228" s="542"/>
      <c r="CT228" s="542">
        <v>1</v>
      </c>
      <c r="CU228" s="542"/>
      <c r="CV228" s="542"/>
      <c r="CW228" s="542"/>
      <c r="CX228" s="542"/>
      <c r="CY228" s="542"/>
      <c r="CZ228" s="542"/>
      <c r="DA228" s="542"/>
      <c r="DB228" s="542"/>
      <c r="DC228" s="542"/>
      <c r="DD228" s="542"/>
      <c r="DE228" s="542"/>
      <c r="DF228" s="542"/>
      <c r="DG228" s="542"/>
      <c r="DH228" s="542"/>
      <c r="DI228" s="542"/>
      <c r="DJ228" s="542"/>
      <c r="DK228" s="542"/>
      <c r="DL228" s="542"/>
      <c r="DM228" s="542"/>
      <c r="DN228" s="542"/>
      <c r="DO228" s="542"/>
      <c r="DP228" s="542">
        <v>4</v>
      </c>
      <c r="DQ228" s="542"/>
      <c r="DR228" s="542">
        <v>1</v>
      </c>
      <c r="DS228" s="542"/>
      <c r="DT228" s="542">
        <v>4</v>
      </c>
      <c r="DU228" s="542"/>
      <c r="DV228" s="542"/>
      <c r="DW228" s="542">
        <v>4</v>
      </c>
      <c r="DX228" s="542"/>
      <c r="DY228" s="542"/>
      <c r="DZ228" s="542"/>
      <c r="EA228" s="542"/>
      <c r="EB228" s="542"/>
      <c r="EC228" s="542"/>
      <c r="ED228" s="542"/>
      <c r="EE228" s="542"/>
      <c r="EF228" s="542"/>
      <c r="EG228" s="542"/>
      <c r="EH228" s="542"/>
      <c r="EI228" s="542"/>
      <c r="EJ228" s="542"/>
      <c r="EK228" s="542"/>
      <c r="EL228" s="542"/>
      <c r="EM228" s="542">
        <v>4</v>
      </c>
      <c r="EN228" s="542">
        <v>1</v>
      </c>
      <c r="EO228" s="542"/>
      <c r="EP228" s="542"/>
      <c r="EQ228" s="542">
        <v>4</v>
      </c>
      <c r="ER228" s="542"/>
      <c r="ES228" s="542">
        <v>4</v>
      </c>
      <c r="ET228" s="542"/>
      <c r="EU228" s="542">
        <v>1</v>
      </c>
      <c r="EV228" s="542">
        <v>4</v>
      </c>
      <c r="EW228" s="542"/>
      <c r="EX228" s="542">
        <v>4</v>
      </c>
      <c r="EY228" s="542"/>
      <c r="EZ228" s="542"/>
      <c r="FA228" s="542"/>
      <c r="FB228" s="542">
        <v>1</v>
      </c>
      <c r="FC228" s="542">
        <v>1</v>
      </c>
      <c r="FD228" s="542"/>
      <c r="FE228" s="542"/>
      <c r="FF228" s="542">
        <v>1</v>
      </c>
      <c r="FG228" s="542"/>
      <c r="FH228" s="542"/>
      <c r="FI228" s="542"/>
      <c r="FJ228" s="542">
        <v>4</v>
      </c>
      <c r="FK228" s="542"/>
      <c r="FL228" s="542"/>
      <c r="FM228" s="542"/>
      <c r="FN228" s="542"/>
      <c r="FO228" s="541">
        <v>1</v>
      </c>
      <c r="FP228" s="541">
        <v>1</v>
      </c>
      <c r="FQ228" s="542"/>
      <c r="FR228" s="542"/>
      <c r="FS228" s="542"/>
      <c r="FT228" s="542"/>
      <c r="FU228" s="542"/>
      <c r="FV228" s="542"/>
      <c r="FW228" s="542"/>
      <c r="FX228" s="542"/>
      <c r="FY228" s="542"/>
      <c r="FZ228" s="542"/>
      <c r="GA228" s="542"/>
      <c r="GB228" s="542"/>
      <c r="GC228" s="542"/>
      <c r="GD228" s="542"/>
      <c r="GE228" s="542"/>
      <c r="GF228" s="541">
        <v>3</v>
      </c>
      <c r="GG228" s="542"/>
      <c r="GH228" s="542"/>
      <c r="GI228" s="542"/>
      <c r="GJ228" s="542"/>
      <c r="GK228" s="542"/>
      <c r="GL228" s="542"/>
      <c r="GM228" s="542"/>
      <c r="GN228" s="542"/>
      <c r="GO228" s="542"/>
      <c r="GP228" s="542"/>
      <c r="GQ228" s="542"/>
      <c r="GR228" s="542"/>
      <c r="GS228" s="542"/>
      <c r="GT228" s="542"/>
      <c r="GU228" s="542"/>
      <c r="GV228" s="542"/>
      <c r="GW228" s="542"/>
      <c r="GX228" s="542"/>
      <c r="GY228" s="542"/>
      <c r="GZ228" s="542"/>
      <c r="HA228" s="542"/>
      <c r="HB228" s="542"/>
      <c r="HC228" s="542"/>
      <c r="HD228" s="542"/>
      <c r="HE228" s="542"/>
      <c r="HF228" s="542"/>
      <c r="HG228" s="542"/>
      <c r="HH228" s="543">
        <v>1</v>
      </c>
      <c r="HI228" s="542"/>
      <c r="HJ228" s="542">
        <v>1</v>
      </c>
      <c r="HK228" s="542">
        <v>1</v>
      </c>
      <c r="HL228" s="542">
        <v>1</v>
      </c>
      <c r="HM228" s="542">
        <v>1</v>
      </c>
      <c r="HN228" s="542"/>
      <c r="HO228" s="542"/>
      <c r="HP228" s="821">
        <v>4</v>
      </c>
      <c r="HQ228" s="542"/>
      <c r="HR228" s="542">
        <v>4</v>
      </c>
      <c r="HS228" s="542"/>
      <c r="HT228" s="542">
        <v>1</v>
      </c>
      <c r="HU228" s="542"/>
      <c r="HV228" s="542"/>
      <c r="HW228" s="542"/>
      <c r="HX228" s="542"/>
      <c r="HY228" s="542"/>
      <c r="HZ228" s="542"/>
      <c r="IA228" s="542">
        <v>1</v>
      </c>
      <c r="IB228" s="542"/>
      <c r="IC228" s="542"/>
      <c r="ID228" s="542"/>
      <c r="IE228" s="542"/>
      <c r="IF228" s="542">
        <v>1</v>
      </c>
      <c r="IG228" s="542"/>
      <c r="IH228" s="542"/>
      <c r="II228" s="542">
        <v>1</v>
      </c>
      <c r="IJ228" s="542"/>
      <c r="IK228" s="542"/>
      <c r="IL228" s="542">
        <v>1</v>
      </c>
      <c r="IM228" s="542"/>
      <c r="IN228" s="542"/>
      <c r="IO228" s="542"/>
      <c r="IP228" s="542"/>
      <c r="IQ228" s="542"/>
      <c r="IR228" s="542"/>
      <c r="IS228" s="542"/>
      <c r="IT228" s="542"/>
      <c r="IU228" s="542"/>
      <c r="IV228" s="542"/>
      <c r="IW228" s="542"/>
      <c r="IX228" s="542"/>
      <c r="IY228" s="542"/>
      <c r="IZ228" s="542"/>
      <c r="JA228" s="542"/>
      <c r="JB228" s="542"/>
      <c r="JC228" s="542"/>
      <c r="JD228" s="542"/>
      <c r="JE228" s="542">
        <v>1</v>
      </c>
      <c r="JF228" s="542">
        <v>1</v>
      </c>
      <c r="JG228" s="542"/>
      <c r="JH228" s="542"/>
      <c r="JI228" s="542"/>
      <c r="JJ228" s="542">
        <v>1</v>
      </c>
      <c r="JK228" s="542"/>
      <c r="JL228" s="542"/>
      <c r="JM228" s="542"/>
      <c r="JN228" s="544"/>
      <c r="JO228" s="544"/>
      <c r="JP228" s="542"/>
      <c r="JQ228" s="543"/>
    </row>
    <row r="229" spans="1:277" x14ac:dyDescent="0.25">
      <c r="A229" s="1649">
        <v>14</v>
      </c>
      <c r="B229" s="1651">
        <f t="shared" si="19"/>
        <v>1</v>
      </c>
      <c r="D229" s="521" t="s">
        <v>4157</v>
      </c>
      <c r="E229" s="1655"/>
      <c r="F229" s="1656"/>
      <c r="G229" s="1656"/>
      <c r="H229" s="1656"/>
      <c r="I229" s="1656"/>
      <c r="J229" s="1656"/>
      <c r="K229" s="1656"/>
      <c r="L229" s="1656"/>
      <c r="M229" s="1656"/>
      <c r="N229" s="1656"/>
      <c r="O229" s="1656"/>
      <c r="P229" s="1656"/>
      <c r="Q229" s="1656"/>
      <c r="R229" s="1656"/>
      <c r="S229" s="1656"/>
      <c r="T229" s="1656"/>
      <c r="U229" s="1656"/>
      <c r="V229" s="1656"/>
      <c r="W229" s="1656"/>
      <c r="X229" s="1656"/>
      <c r="Y229" s="1656"/>
      <c r="Z229" s="1656"/>
      <c r="AA229" s="1656"/>
      <c r="AB229" s="1656"/>
      <c r="AC229" s="1656"/>
      <c r="AD229" s="1656"/>
      <c r="AE229" s="1656"/>
      <c r="AF229" s="1656"/>
      <c r="AG229" s="1656"/>
      <c r="AH229" s="1656"/>
      <c r="AI229" s="1656"/>
      <c r="AJ229" s="1656"/>
      <c r="AK229" s="1656"/>
      <c r="AL229" s="1656"/>
      <c r="AM229" s="1656"/>
      <c r="AN229" s="1656"/>
      <c r="AO229" s="1656"/>
      <c r="AP229" s="1656"/>
      <c r="AQ229" s="1656"/>
      <c r="AR229" s="1656"/>
      <c r="AS229" s="1656"/>
      <c r="AT229" s="1656"/>
      <c r="AU229" s="1656"/>
      <c r="AV229" s="1656"/>
      <c r="AW229" s="1656"/>
      <c r="AX229" s="1656"/>
      <c r="AY229" s="1656"/>
      <c r="AZ229" s="1656"/>
      <c r="BA229" s="1656"/>
      <c r="BB229" s="1656">
        <v>1</v>
      </c>
      <c r="BC229" s="1656">
        <v>6</v>
      </c>
      <c r="BD229" s="1656">
        <v>6</v>
      </c>
      <c r="BE229" s="1656"/>
      <c r="BF229" s="1656"/>
      <c r="BG229" s="1656"/>
      <c r="BH229" s="1656"/>
      <c r="BI229" s="1656"/>
      <c r="BJ229" s="1656">
        <v>6</v>
      </c>
      <c r="BK229" s="1656"/>
      <c r="BL229" s="1656"/>
      <c r="BM229" s="1656"/>
      <c r="BN229" s="1656"/>
      <c r="BO229" s="1656"/>
      <c r="BP229" s="1656"/>
      <c r="BQ229" s="1656"/>
      <c r="BR229" s="1656"/>
      <c r="BS229" s="1656"/>
      <c r="BT229" s="1656"/>
      <c r="BU229" s="1656"/>
      <c r="BV229" s="1656"/>
      <c r="BW229" s="1656"/>
      <c r="BX229" s="1656"/>
      <c r="BY229" s="1656"/>
      <c r="BZ229" s="1656"/>
      <c r="CA229" s="1656"/>
      <c r="CB229" s="1656">
        <v>1</v>
      </c>
      <c r="CC229" s="1656"/>
      <c r="CD229" s="1656"/>
      <c r="CE229" s="1656"/>
      <c r="CF229" s="1656"/>
      <c r="CG229" s="1656"/>
      <c r="CH229" s="1656"/>
      <c r="CI229" s="1656"/>
      <c r="CJ229" s="1656">
        <v>1</v>
      </c>
      <c r="CK229" s="1656"/>
      <c r="CL229" s="1656"/>
      <c r="CM229" s="1656"/>
      <c r="CN229" s="1656"/>
      <c r="CO229" s="1656"/>
      <c r="CP229" s="1656"/>
      <c r="CQ229" s="1656"/>
      <c r="CR229" s="1656"/>
      <c r="CS229" s="1656"/>
      <c r="CT229" s="1656">
        <v>1</v>
      </c>
      <c r="CU229" s="1656"/>
      <c r="CV229" s="1656"/>
      <c r="CW229" s="1656"/>
      <c r="CX229" s="1656"/>
      <c r="CY229" s="1656"/>
      <c r="CZ229" s="1656"/>
      <c r="DA229" s="1656"/>
      <c r="DB229" s="1656"/>
      <c r="DC229" s="1656"/>
      <c r="DD229" s="1656"/>
      <c r="DE229" s="1656"/>
      <c r="DF229" s="1656"/>
      <c r="DG229" s="1656"/>
      <c r="DH229" s="1656"/>
      <c r="DI229" s="1656"/>
      <c r="DJ229" s="1656"/>
      <c r="DK229" s="1656"/>
      <c r="DL229" s="1656"/>
      <c r="DM229" s="1656"/>
      <c r="DN229" s="1656"/>
      <c r="DO229" s="1656"/>
      <c r="DP229" s="1656">
        <v>2</v>
      </c>
      <c r="DQ229" s="1656"/>
      <c r="DR229" s="1656">
        <v>1</v>
      </c>
      <c r="DS229" s="1656"/>
      <c r="DT229" s="1656">
        <v>2</v>
      </c>
      <c r="DU229" s="1656"/>
      <c r="DV229" s="1656"/>
      <c r="DW229" s="1656">
        <v>9</v>
      </c>
      <c r="DX229" s="1656"/>
      <c r="DY229" s="1656"/>
      <c r="DZ229" s="1656"/>
      <c r="EA229" s="1656"/>
      <c r="EB229" s="1656"/>
      <c r="EC229" s="1656"/>
      <c r="ED229" s="1656"/>
      <c r="EE229" s="1656"/>
      <c r="EF229" s="1656"/>
      <c r="EG229" s="1656"/>
      <c r="EH229" s="1656"/>
      <c r="EI229" s="1656"/>
      <c r="EJ229" s="1656"/>
      <c r="EK229" s="1656"/>
      <c r="EL229" s="1656"/>
      <c r="EM229" s="1656">
        <v>9</v>
      </c>
      <c r="EN229" s="1656">
        <v>1</v>
      </c>
      <c r="EO229" s="1656"/>
      <c r="EP229" s="1656"/>
      <c r="EQ229" s="1656">
        <v>9</v>
      </c>
      <c r="ER229" s="1656"/>
      <c r="ES229" s="1656">
        <v>2</v>
      </c>
      <c r="ET229" s="1656"/>
      <c r="EU229" s="1656">
        <v>1</v>
      </c>
      <c r="EV229" s="1656">
        <v>9</v>
      </c>
      <c r="EW229" s="1656"/>
      <c r="EX229" s="1656">
        <v>2</v>
      </c>
      <c r="EY229" s="1656"/>
      <c r="EZ229" s="1656"/>
      <c r="FA229" s="1656"/>
      <c r="FB229" s="1656">
        <v>1</v>
      </c>
      <c r="FC229" s="1656">
        <v>1</v>
      </c>
      <c r="FD229" s="1656"/>
      <c r="FE229" s="1656"/>
      <c r="FF229" s="1656">
        <v>1</v>
      </c>
      <c r="FG229" s="1656"/>
      <c r="FH229" s="1656"/>
      <c r="FI229" s="1656"/>
      <c r="FJ229" s="1656">
        <v>6</v>
      </c>
      <c r="FK229" s="1656"/>
      <c r="FL229" s="1656"/>
      <c r="FM229" s="1656"/>
      <c r="FN229" s="1656"/>
      <c r="FO229" s="1655">
        <v>1</v>
      </c>
      <c r="FP229" s="1655">
        <v>1</v>
      </c>
      <c r="FQ229" s="1656"/>
      <c r="FR229" s="1656"/>
      <c r="FS229" s="1656"/>
      <c r="FT229" s="1656"/>
      <c r="FU229" s="1656"/>
      <c r="FV229" s="1656"/>
      <c r="FW229" s="1656"/>
      <c r="FX229" s="1656"/>
      <c r="FY229" s="1656"/>
      <c r="FZ229" s="1656"/>
      <c r="GA229" s="1656"/>
      <c r="GB229" s="1656"/>
      <c r="GC229" s="1656"/>
      <c r="GD229" s="1656"/>
      <c r="GE229" s="1656"/>
      <c r="GF229" s="1655">
        <v>6</v>
      </c>
      <c r="GG229" s="1656"/>
      <c r="GH229" s="1656"/>
      <c r="GI229" s="1656"/>
      <c r="GJ229" s="1656"/>
      <c r="GK229" s="1656"/>
      <c r="GL229" s="1656"/>
      <c r="GM229" s="1656"/>
      <c r="GN229" s="1656"/>
      <c r="GO229" s="1656"/>
      <c r="GP229" s="1656"/>
      <c r="GQ229" s="1656"/>
      <c r="GR229" s="1656"/>
      <c r="GS229" s="1656"/>
      <c r="GT229" s="1656"/>
      <c r="GU229" s="1656"/>
      <c r="GV229" s="1656"/>
      <c r="GW229" s="1656"/>
      <c r="GX229" s="1656"/>
      <c r="GY229" s="1656"/>
      <c r="GZ229" s="1656"/>
      <c r="HA229" s="1656"/>
      <c r="HB229" s="1656"/>
      <c r="HC229" s="1656"/>
      <c r="HD229" s="1656"/>
      <c r="HE229" s="1656"/>
      <c r="HF229" s="1656"/>
      <c r="HG229" s="1656"/>
      <c r="HH229" s="1657">
        <v>1</v>
      </c>
      <c r="HI229" s="1656"/>
      <c r="HJ229" s="1656">
        <v>1</v>
      </c>
      <c r="HK229" s="1656">
        <v>1</v>
      </c>
      <c r="HL229" s="1656">
        <v>1</v>
      </c>
      <c r="HM229" s="1656">
        <v>1</v>
      </c>
      <c r="HN229" s="1656"/>
      <c r="HO229" s="1656"/>
      <c r="HP229" s="1664">
        <v>9</v>
      </c>
      <c r="HQ229" s="1656"/>
      <c r="HR229" s="1656">
        <v>2</v>
      </c>
      <c r="HS229" s="1656"/>
      <c r="HT229" s="1656">
        <v>1</v>
      </c>
      <c r="HU229" s="1656"/>
      <c r="HV229" s="1656"/>
      <c r="HW229" s="1656"/>
      <c r="HX229" s="1656"/>
      <c r="HY229" s="1656"/>
      <c r="HZ229" s="1656"/>
      <c r="IA229" s="1656">
        <v>1</v>
      </c>
      <c r="IB229" s="1656"/>
      <c r="IC229" s="1656"/>
      <c r="ID229" s="1656"/>
      <c r="IE229" s="1656"/>
      <c r="IF229" s="1656">
        <v>1</v>
      </c>
      <c r="IG229" s="1656"/>
      <c r="IH229" s="1656"/>
      <c r="II229" s="1656">
        <v>1</v>
      </c>
      <c r="IJ229" s="1656"/>
      <c r="IK229" s="1656"/>
      <c r="IL229" s="1656">
        <v>1</v>
      </c>
      <c r="IM229" s="1656"/>
      <c r="IN229" s="1656"/>
      <c r="IO229" s="1656"/>
      <c r="IP229" s="1656"/>
      <c r="IQ229" s="1656"/>
      <c r="IR229" s="1656"/>
      <c r="IS229" s="1656"/>
      <c r="IT229" s="1656"/>
      <c r="IU229" s="1656"/>
      <c r="IV229" s="1656"/>
      <c r="IW229" s="1656"/>
      <c r="IX229" s="1656"/>
      <c r="IY229" s="1656"/>
      <c r="IZ229" s="1656"/>
      <c r="JA229" s="1656"/>
      <c r="JB229" s="1656"/>
      <c r="JC229" s="1656"/>
      <c r="JD229" s="1656"/>
      <c r="JE229" s="1656">
        <v>1</v>
      </c>
      <c r="JF229" s="1656">
        <v>1</v>
      </c>
      <c r="JG229" s="1656"/>
      <c r="JH229" s="1656"/>
      <c r="JI229" s="1656"/>
      <c r="JJ229" s="1656">
        <v>1</v>
      </c>
      <c r="JK229" s="1656"/>
      <c r="JL229" s="1656"/>
      <c r="JM229" s="1656"/>
      <c r="JN229" s="1658"/>
      <c r="JO229" s="1658"/>
      <c r="JP229" s="1656"/>
      <c r="JQ229" s="1657"/>
    </row>
    <row r="230" spans="1:277" x14ac:dyDescent="0.25">
      <c r="A230" s="1649">
        <v>15</v>
      </c>
      <c r="B230" s="1651" t="str">
        <f t="shared" si="19"/>
        <v/>
      </c>
      <c r="D230" s="521" t="s">
        <v>4158</v>
      </c>
      <c r="E230" s="1659"/>
      <c r="F230" s="1660"/>
      <c r="G230" s="1661"/>
      <c r="H230" s="1661"/>
      <c r="I230" s="1660"/>
      <c r="J230" s="1660"/>
      <c r="K230" s="1660"/>
      <c r="L230" s="1660"/>
      <c r="M230" s="1661"/>
      <c r="N230" s="1661"/>
      <c r="O230" s="1661"/>
      <c r="P230" s="1661"/>
      <c r="Q230" s="1661"/>
      <c r="R230" s="1661"/>
      <c r="S230" s="1661"/>
      <c r="T230" s="1661"/>
      <c r="U230" s="1661"/>
      <c r="V230" s="1661"/>
      <c r="W230" s="1661"/>
      <c r="X230" s="1661"/>
      <c r="Y230" s="1661"/>
      <c r="Z230" s="1661"/>
      <c r="AA230" s="1661"/>
      <c r="AB230" s="1661"/>
      <c r="AC230" s="1661"/>
      <c r="AD230" s="1661"/>
      <c r="AE230" s="1661"/>
      <c r="AF230" s="1661"/>
      <c r="AG230" s="1661"/>
      <c r="AH230" s="1661"/>
      <c r="AI230" s="1661"/>
      <c r="AJ230" s="1661"/>
      <c r="AK230" s="1661"/>
      <c r="AL230" s="1661"/>
      <c r="AM230" s="1661"/>
      <c r="AN230" s="1661"/>
      <c r="AO230" s="1661"/>
      <c r="AP230" s="1660"/>
      <c r="AQ230" s="1660"/>
      <c r="AR230" s="1661"/>
      <c r="AS230" s="1661"/>
      <c r="AT230" s="1661"/>
      <c r="AU230" s="1661"/>
      <c r="AV230" s="1661"/>
      <c r="AW230" s="1661"/>
      <c r="AX230" s="1661"/>
      <c r="AY230" s="1661"/>
      <c r="AZ230" s="1661"/>
      <c r="BA230" s="1661"/>
      <c r="BB230" s="1660"/>
      <c r="BC230" s="1660" t="s">
        <v>3853</v>
      </c>
      <c r="BD230" s="1660" t="s">
        <v>3853</v>
      </c>
      <c r="BE230" s="1660"/>
      <c r="BF230" s="1660"/>
      <c r="BG230" s="1660"/>
      <c r="BH230" s="1660"/>
      <c r="BI230" s="1660"/>
      <c r="BJ230" s="1660" t="s">
        <v>3853</v>
      </c>
      <c r="BK230" s="1661"/>
      <c r="BL230" s="1661"/>
      <c r="BM230" s="1660"/>
      <c r="BN230" s="1660"/>
      <c r="BO230" s="1660"/>
      <c r="BP230" s="1660"/>
      <c r="BQ230" s="1660"/>
      <c r="BR230" s="1660"/>
      <c r="BS230" s="1660"/>
      <c r="BT230" s="1660"/>
      <c r="BU230" s="1660"/>
      <c r="BV230" s="1660"/>
      <c r="BW230" s="1660"/>
      <c r="BX230" s="1660"/>
      <c r="BY230" s="1660"/>
      <c r="BZ230" s="1660"/>
      <c r="CA230" s="1660"/>
      <c r="CB230" s="1660"/>
      <c r="CC230" s="1661"/>
      <c r="CD230" s="1661"/>
      <c r="CE230" s="1661"/>
      <c r="CF230" s="1661"/>
      <c r="CG230" s="1661"/>
      <c r="CH230" s="1661"/>
      <c r="CI230" s="1661"/>
      <c r="CJ230" s="1661" t="s">
        <v>4017</v>
      </c>
      <c r="CK230" s="1661"/>
      <c r="CL230" s="1661"/>
      <c r="CM230" s="1661"/>
      <c r="CN230" s="1661"/>
      <c r="CO230" s="1661"/>
      <c r="CP230" s="1661"/>
      <c r="CQ230" s="1661"/>
      <c r="CR230" s="1661"/>
      <c r="CS230" s="1661"/>
      <c r="CT230" s="1660"/>
      <c r="CU230" s="1661"/>
      <c r="CV230" s="1661"/>
      <c r="CW230" s="1661"/>
      <c r="CX230" s="1661"/>
      <c r="CY230" s="1661"/>
      <c r="CZ230" s="1661"/>
      <c r="DA230" s="1661"/>
      <c r="DB230" s="1661"/>
      <c r="DC230" s="1661"/>
      <c r="DD230" s="1661"/>
      <c r="DE230" s="1661"/>
      <c r="DF230" s="1661"/>
      <c r="DG230" s="1661"/>
      <c r="DH230" s="1661"/>
      <c r="DI230" s="1660"/>
      <c r="DJ230" s="1661"/>
      <c r="DK230" s="1661"/>
      <c r="DL230" s="1661"/>
      <c r="DM230" s="1661"/>
      <c r="DN230" s="1661"/>
      <c r="DO230" s="1661"/>
      <c r="DP230" s="1661" t="s">
        <v>3896</v>
      </c>
      <c r="DQ230" s="1661"/>
      <c r="DR230" s="1660"/>
      <c r="DS230" s="1661"/>
      <c r="DT230" s="1661" t="s">
        <v>3896</v>
      </c>
      <c r="DU230" s="1661"/>
      <c r="DV230" s="1661"/>
      <c r="DW230" s="1661" t="s">
        <v>3852</v>
      </c>
      <c r="DX230" s="1661"/>
      <c r="DY230" s="1661"/>
      <c r="DZ230" s="1661"/>
      <c r="EA230" s="1661"/>
      <c r="EB230" s="1661"/>
      <c r="EC230" s="1661"/>
      <c r="ED230" s="1661"/>
      <c r="EE230" s="1661"/>
      <c r="EF230" s="1661"/>
      <c r="EG230" s="1661"/>
      <c r="EH230" s="1661"/>
      <c r="EI230" s="1661"/>
      <c r="EJ230" s="1661"/>
      <c r="EK230" s="1661"/>
      <c r="EL230" s="1661"/>
      <c r="EM230" s="1661" t="s">
        <v>3855</v>
      </c>
      <c r="EN230" s="1660"/>
      <c r="EO230" s="1661"/>
      <c r="EP230" s="1661"/>
      <c r="EQ230" s="1661" t="s">
        <v>3853</v>
      </c>
      <c r="ER230" s="1661"/>
      <c r="ES230" s="1661" t="s">
        <v>3879</v>
      </c>
      <c r="ET230" s="1661"/>
      <c r="EU230" s="1660"/>
      <c r="EV230" s="1661" t="s">
        <v>3852</v>
      </c>
      <c r="EW230" s="1661"/>
      <c r="EX230" s="1660" t="s">
        <v>3896</v>
      </c>
      <c r="EY230" s="1661"/>
      <c r="EZ230" s="1661"/>
      <c r="FA230" s="1661"/>
      <c r="FB230" s="1660"/>
      <c r="FC230" s="1660"/>
      <c r="FD230" s="1661"/>
      <c r="FE230" s="1661"/>
      <c r="FF230" s="1660"/>
      <c r="FG230" s="1661"/>
      <c r="FH230" s="1661"/>
      <c r="FI230" s="1661"/>
      <c r="FJ230" s="1661" t="s">
        <v>3880</v>
      </c>
      <c r="FK230" s="1661"/>
      <c r="FL230" s="1661"/>
      <c r="FM230" s="1661"/>
      <c r="FN230" s="1661"/>
      <c r="FO230" s="1659"/>
      <c r="FP230" s="1659"/>
      <c r="FQ230" s="1661"/>
      <c r="FR230" s="1661"/>
      <c r="FS230" s="1661"/>
      <c r="FT230" s="1661"/>
      <c r="FU230" s="1661"/>
      <c r="FV230" s="1661"/>
      <c r="FW230" s="1661"/>
      <c r="FX230" s="1661"/>
      <c r="FY230" s="1661"/>
      <c r="FZ230" s="1661"/>
      <c r="GA230" s="1661"/>
      <c r="GB230" s="1661"/>
      <c r="GC230" s="1661"/>
      <c r="GD230" s="1661"/>
      <c r="GE230" s="1661"/>
      <c r="GF230" s="1659" t="s">
        <v>3853</v>
      </c>
      <c r="GG230" s="1661"/>
      <c r="GH230" s="1661"/>
      <c r="GI230" s="1661"/>
      <c r="GJ230" s="1661"/>
      <c r="GK230" s="1661"/>
      <c r="GL230" s="1661"/>
      <c r="GM230" s="1661"/>
      <c r="GN230" s="1661"/>
      <c r="GO230" s="1661"/>
      <c r="GP230" s="1661"/>
      <c r="GQ230" s="1661"/>
      <c r="GR230" s="1661"/>
      <c r="GS230" s="1661"/>
      <c r="GT230" s="1661"/>
      <c r="GU230" s="1661"/>
      <c r="GV230" s="1661"/>
      <c r="GW230" s="1661"/>
      <c r="GX230" s="1661"/>
      <c r="GY230" s="1661"/>
      <c r="GZ230" s="1661"/>
      <c r="HA230" s="1661"/>
      <c r="HB230" s="1661"/>
      <c r="HC230" s="1661"/>
      <c r="HD230" s="1661"/>
      <c r="HE230" s="1661"/>
      <c r="HF230" s="1661"/>
      <c r="HG230" s="1661"/>
      <c r="HH230" s="1662" t="s">
        <v>3862</v>
      </c>
      <c r="HI230" s="1661"/>
      <c r="HJ230" s="1661"/>
      <c r="HK230" s="1661"/>
      <c r="HL230" s="1661"/>
      <c r="HM230" s="1661"/>
      <c r="HN230" s="1661"/>
      <c r="HO230" s="1661"/>
      <c r="HP230" s="1665" t="s">
        <v>3963</v>
      </c>
      <c r="HQ230" s="1661"/>
      <c r="HR230" s="1660" t="s">
        <v>3896</v>
      </c>
      <c r="HS230" s="1661"/>
      <c r="HT230" s="1661"/>
      <c r="HU230" s="1661"/>
      <c r="HV230" s="1661"/>
      <c r="HW230" s="1661"/>
      <c r="HX230" s="1661"/>
      <c r="HY230" s="1661"/>
      <c r="HZ230" s="1661"/>
      <c r="IA230" s="1661"/>
      <c r="IB230" s="1661"/>
      <c r="IC230" s="1661"/>
      <c r="ID230" s="1661"/>
      <c r="IE230" s="1661"/>
      <c r="IF230" s="1661"/>
      <c r="IG230" s="1661"/>
      <c r="IH230" s="1661"/>
      <c r="II230" s="1661"/>
      <c r="IJ230" s="1661"/>
      <c r="IK230" s="1661"/>
      <c r="IL230" s="1661" t="s">
        <v>3860</v>
      </c>
      <c r="IM230" s="1661"/>
      <c r="IN230" s="1661"/>
      <c r="IO230" s="1661"/>
      <c r="IP230" s="1661"/>
      <c r="IQ230" s="1661"/>
      <c r="IR230" s="1661"/>
      <c r="IS230" s="1661"/>
      <c r="IT230" s="1661"/>
      <c r="IU230" s="1661"/>
      <c r="IV230" s="1661"/>
      <c r="IW230" s="1661"/>
      <c r="IX230" s="1661"/>
      <c r="IY230" s="1661"/>
      <c r="IZ230" s="1661"/>
      <c r="JA230" s="1661"/>
      <c r="JB230" s="1661"/>
      <c r="JC230" s="1661"/>
      <c r="JD230" s="1661"/>
      <c r="JE230" s="1660" t="s">
        <v>3853</v>
      </c>
      <c r="JF230" s="1660"/>
      <c r="JG230" s="1661"/>
      <c r="JH230" s="1661"/>
      <c r="JI230" s="1661"/>
      <c r="JJ230" s="1660"/>
      <c r="JK230" s="1661"/>
      <c r="JL230" s="1661"/>
      <c r="JM230" s="1661"/>
      <c r="JN230" s="1663"/>
      <c r="JO230" s="1663"/>
      <c r="JP230" s="1661"/>
      <c r="JQ230" s="1662"/>
    </row>
    <row r="231" spans="1:277" x14ac:dyDescent="0.25">
      <c r="A231" s="1649">
        <v>16</v>
      </c>
      <c r="B231" s="1651">
        <f t="shared" si="19"/>
        <v>0</v>
      </c>
      <c r="D231" s="521" t="s">
        <v>4159</v>
      </c>
      <c r="E231" s="1659"/>
      <c r="F231" s="1660"/>
      <c r="G231" s="1661"/>
      <c r="H231" s="1661"/>
      <c r="I231" s="1660"/>
      <c r="J231" s="1660"/>
      <c r="K231" s="1660"/>
      <c r="L231" s="1660"/>
      <c r="M231" s="1661"/>
      <c r="N231" s="1661"/>
      <c r="O231" s="1661"/>
      <c r="P231" s="1661"/>
      <c r="Q231" s="1661"/>
      <c r="R231" s="1661"/>
      <c r="S231" s="1661"/>
      <c r="T231" s="1661"/>
      <c r="U231" s="1661"/>
      <c r="V231" s="1661"/>
      <c r="W231" s="1661"/>
      <c r="X231" s="1661"/>
      <c r="Y231" s="1661"/>
      <c r="Z231" s="1661"/>
      <c r="AA231" s="1661"/>
      <c r="AB231" s="1661"/>
      <c r="AC231" s="1661"/>
      <c r="AD231" s="1661"/>
      <c r="AE231" s="1661"/>
      <c r="AF231" s="1661"/>
      <c r="AG231" s="1661"/>
      <c r="AH231" s="1661"/>
      <c r="AI231" s="1661"/>
      <c r="AJ231" s="1661"/>
      <c r="AK231" s="1661"/>
      <c r="AL231" s="1661"/>
      <c r="AM231" s="1661"/>
      <c r="AN231" s="1661"/>
      <c r="AO231" s="1661"/>
      <c r="AP231" s="1660"/>
      <c r="AQ231" s="1660"/>
      <c r="AR231" s="1661"/>
      <c r="AS231" s="1661"/>
      <c r="AT231" s="1661"/>
      <c r="AU231" s="1661"/>
      <c r="AV231" s="1661"/>
      <c r="AW231" s="1661"/>
      <c r="AX231" s="1661"/>
      <c r="AY231" s="1661"/>
      <c r="AZ231" s="1661"/>
      <c r="BA231" s="1661"/>
      <c r="BB231" s="1660">
        <v>0</v>
      </c>
      <c r="BC231" s="1660">
        <v>3562</v>
      </c>
      <c r="BD231" s="1660">
        <v>3562</v>
      </c>
      <c r="BE231" s="1660"/>
      <c r="BF231" s="1660"/>
      <c r="BG231" s="1660"/>
      <c r="BH231" s="1660"/>
      <c r="BI231" s="1660"/>
      <c r="BJ231" s="1660">
        <v>3562</v>
      </c>
      <c r="BK231" s="1661"/>
      <c r="BL231" s="1661"/>
      <c r="BM231" s="1660"/>
      <c r="BN231" s="1660"/>
      <c r="BO231" s="1660"/>
      <c r="BP231" s="1660"/>
      <c r="BQ231" s="1660"/>
      <c r="BR231" s="1660"/>
      <c r="BS231" s="1660"/>
      <c r="BT231" s="1660"/>
      <c r="BU231" s="1660"/>
      <c r="BV231" s="1660"/>
      <c r="BW231" s="1660"/>
      <c r="BX231" s="1660"/>
      <c r="BY231" s="1660"/>
      <c r="BZ231" s="1660"/>
      <c r="CA231" s="1660"/>
      <c r="CB231" s="1660">
        <v>0</v>
      </c>
      <c r="CC231" s="1661"/>
      <c r="CD231" s="1661"/>
      <c r="CE231" s="1661"/>
      <c r="CF231" s="1661"/>
      <c r="CG231" s="1661"/>
      <c r="CH231" s="1661"/>
      <c r="CI231" s="1661"/>
      <c r="CJ231" s="1661">
        <v>126634</v>
      </c>
      <c r="CK231" s="1661"/>
      <c r="CL231" s="1661"/>
      <c r="CM231" s="1661"/>
      <c r="CN231" s="1661"/>
      <c r="CO231" s="1661"/>
      <c r="CP231" s="1661"/>
      <c r="CQ231" s="1661"/>
      <c r="CR231" s="1661"/>
      <c r="CS231" s="1661"/>
      <c r="CT231" s="1660">
        <v>0</v>
      </c>
      <c r="CU231" s="1661"/>
      <c r="CV231" s="1661"/>
      <c r="CW231" s="1661"/>
      <c r="CX231" s="1661"/>
      <c r="CY231" s="1661"/>
      <c r="CZ231" s="1661"/>
      <c r="DA231" s="1661"/>
      <c r="DB231" s="1661"/>
      <c r="DC231" s="1661"/>
      <c r="DD231" s="1661"/>
      <c r="DE231" s="1661"/>
      <c r="DF231" s="1661"/>
      <c r="DG231" s="1661"/>
      <c r="DH231" s="1661"/>
      <c r="DI231" s="1660"/>
      <c r="DJ231" s="1661"/>
      <c r="DK231" s="1661"/>
      <c r="DL231" s="1661"/>
      <c r="DM231" s="1661"/>
      <c r="DN231" s="1661"/>
      <c r="DO231" s="1661"/>
      <c r="DP231" s="1661">
        <v>659</v>
      </c>
      <c r="DQ231" s="1661"/>
      <c r="DR231" s="1660">
        <v>0</v>
      </c>
      <c r="DS231" s="1661"/>
      <c r="DT231" s="1661">
        <v>659</v>
      </c>
      <c r="DU231" s="1661"/>
      <c r="DV231" s="1661"/>
      <c r="DW231" s="1661">
        <v>9958.17</v>
      </c>
      <c r="DX231" s="1661"/>
      <c r="DY231" s="1661"/>
      <c r="DZ231" s="1661"/>
      <c r="EA231" s="1661"/>
      <c r="EB231" s="1661"/>
      <c r="EC231" s="1661"/>
      <c r="ED231" s="1661"/>
      <c r="EE231" s="1661"/>
      <c r="EF231" s="1661"/>
      <c r="EG231" s="1661"/>
      <c r="EH231" s="1661"/>
      <c r="EI231" s="1661"/>
      <c r="EJ231" s="1661"/>
      <c r="EK231" s="1661"/>
      <c r="EL231" s="1661"/>
      <c r="EM231" s="1661">
        <v>469</v>
      </c>
      <c r="EN231" s="1660">
        <v>0</v>
      </c>
      <c r="EO231" s="1661"/>
      <c r="EP231" s="1661"/>
      <c r="EQ231" s="1661">
        <v>8679</v>
      </c>
      <c r="ER231" s="1661"/>
      <c r="ES231" s="1661">
        <v>39.369999999999997</v>
      </c>
      <c r="ET231" s="1661"/>
      <c r="EU231" s="1660">
        <v>0</v>
      </c>
      <c r="EV231" s="1661">
        <v>60</v>
      </c>
      <c r="EW231" s="1661"/>
      <c r="EX231" s="1660">
        <v>659</v>
      </c>
      <c r="EY231" s="1661"/>
      <c r="EZ231" s="1661"/>
      <c r="FA231" s="1661"/>
      <c r="FB231" s="1660">
        <v>0</v>
      </c>
      <c r="FC231" s="1660">
        <v>0</v>
      </c>
      <c r="FD231" s="1661"/>
      <c r="FE231" s="1661"/>
      <c r="FF231" s="1660">
        <v>0</v>
      </c>
      <c r="FG231" s="1661"/>
      <c r="FH231" s="1661"/>
      <c r="FI231" s="1661"/>
      <c r="FJ231" s="1661">
        <v>11495</v>
      </c>
      <c r="FK231" s="1661"/>
      <c r="FL231" s="1661"/>
      <c r="FM231" s="1661"/>
      <c r="FN231" s="1661"/>
      <c r="FO231" s="1659">
        <v>0</v>
      </c>
      <c r="FP231" s="1659">
        <v>0</v>
      </c>
      <c r="FQ231" s="1661"/>
      <c r="FR231" s="1661"/>
      <c r="FS231" s="1661"/>
      <c r="FT231" s="1661"/>
      <c r="FU231" s="1661"/>
      <c r="FV231" s="1661"/>
      <c r="FW231" s="1661"/>
      <c r="FX231" s="1661"/>
      <c r="FY231" s="1661"/>
      <c r="FZ231" s="1661"/>
      <c r="GA231" s="1661"/>
      <c r="GB231" s="1661"/>
      <c r="GC231" s="1661"/>
      <c r="GD231" s="1661"/>
      <c r="GE231" s="1661"/>
      <c r="GF231" s="1659">
        <v>3562</v>
      </c>
      <c r="GG231" s="1661"/>
      <c r="GH231" s="1661"/>
      <c r="GI231" s="1661"/>
      <c r="GJ231" s="1661"/>
      <c r="GK231" s="1661"/>
      <c r="GL231" s="1661"/>
      <c r="GM231" s="1661"/>
      <c r="GN231" s="1661"/>
      <c r="GO231" s="1661"/>
      <c r="GP231" s="1661"/>
      <c r="GQ231" s="1661"/>
      <c r="GR231" s="1661"/>
      <c r="GS231" s="1661"/>
      <c r="GT231" s="1661"/>
      <c r="GU231" s="1661"/>
      <c r="GV231" s="1661"/>
      <c r="GW231" s="1661"/>
      <c r="GX231" s="1661"/>
      <c r="GY231" s="1661"/>
      <c r="GZ231" s="1661"/>
      <c r="HA231" s="1661"/>
      <c r="HB231" s="1661"/>
      <c r="HC231" s="1661"/>
      <c r="HD231" s="1661"/>
      <c r="HE231" s="1661"/>
      <c r="HF231" s="1661"/>
      <c r="HG231" s="1661"/>
      <c r="HH231" s="1662">
        <v>2110</v>
      </c>
      <c r="HI231" s="1661"/>
      <c r="HJ231" s="1661">
        <v>0</v>
      </c>
      <c r="HK231" s="1661">
        <v>0</v>
      </c>
      <c r="HL231" s="1661">
        <v>0</v>
      </c>
      <c r="HM231" s="1661">
        <v>0</v>
      </c>
      <c r="HN231" s="1661"/>
      <c r="HO231" s="1661"/>
      <c r="HP231" s="1665">
        <v>3620</v>
      </c>
      <c r="HQ231" s="1661"/>
      <c r="HR231" s="1660">
        <v>659</v>
      </c>
      <c r="HS231" s="1661"/>
      <c r="HT231" s="1661">
        <v>0</v>
      </c>
      <c r="HU231" s="1661"/>
      <c r="HV231" s="1661"/>
      <c r="HW231" s="1661"/>
      <c r="HX231" s="1661"/>
      <c r="HY231" s="1661"/>
      <c r="HZ231" s="1661"/>
      <c r="IA231" s="1661">
        <v>0</v>
      </c>
      <c r="IB231" s="1661"/>
      <c r="IC231" s="1661"/>
      <c r="ID231" s="1661"/>
      <c r="IE231" s="1661"/>
      <c r="IF231" s="1661">
        <v>0</v>
      </c>
      <c r="IG231" s="1661"/>
      <c r="IH231" s="1661"/>
      <c r="II231" s="1661">
        <v>0</v>
      </c>
      <c r="IJ231" s="1661"/>
      <c r="IK231" s="1661"/>
      <c r="IL231" s="1661">
        <v>1428</v>
      </c>
      <c r="IM231" s="1661"/>
      <c r="IN231" s="1661"/>
      <c r="IO231" s="1661"/>
      <c r="IP231" s="1661"/>
      <c r="IQ231" s="1661"/>
      <c r="IR231" s="1661"/>
      <c r="IS231" s="1661"/>
      <c r="IT231" s="1661"/>
      <c r="IU231" s="1661"/>
      <c r="IV231" s="1661"/>
      <c r="IW231" s="1661"/>
      <c r="IX231" s="1661"/>
      <c r="IY231" s="1661"/>
      <c r="IZ231" s="1661"/>
      <c r="JA231" s="1661"/>
      <c r="JB231" s="1661"/>
      <c r="JC231" s="1661"/>
      <c r="JD231" s="1661"/>
      <c r="JE231" s="1660">
        <v>3562</v>
      </c>
      <c r="JF231" s="1660">
        <v>0</v>
      </c>
      <c r="JG231" s="1661"/>
      <c r="JH231" s="1661"/>
      <c r="JI231" s="1661"/>
      <c r="JJ231" s="1660">
        <v>0</v>
      </c>
      <c r="JK231" s="1661"/>
      <c r="JL231" s="1661"/>
      <c r="JM231" s="1661"/>
      <c r="JN231" s="1663"/>
      <c r="JO231" s="1663"/>
      <c r="JP231" s="1661"/>
      <c r="JQ231" s="1662"/>
    </row>
    <row r="232" spans="1:277" ht="13" thickBot="1" x14ac:dyDescent="0.3">
      <c r="A232" s="1649">
        <v>17</v>
      </c>
      <c r="B232" s="1651">
        <f t="shared" si="19"/>
        <v>0</v>
      </c>
      <c r="D232" s="521" t="s">
        <v>4160</v>
      </c>
      <c r="E232" s="740"/>
      <c r="F232" s="741"/>
      <c r="G232" s="742"/>
      <c r="H232" s="742"/>
      <c r="I232" s="741"/>
      <c r="J232" s="741"/>
      <c r="K232" s="741"/>
      <c r="L232" s="741"/>
      <c r="M232" s="742"/>
      <c r="N232" s="742"/>
      <c r="O232" s="742"/>
      <c r="P232" s="742"/>
      <c r="Q232" s="742"/>
      <c r="R232" s="742"/>
      <c r="S232" s="742"/>
      <c r="T232" s="742"/>
      <c r="U232" s="742"/>
      <c r="V232" s="742"/>
      <c r="W232" s="742"/>
      <c r="X232" s="742"/>
      <c r="Y232" s="742"/>
      <c r="Z232" s="742"/>
      <c r="AA232" s="742"/>
      <c r="AB232" s="742"/>
      <c r="AC232" s="742"/>
      <c r="AD232" s="742"/>
      <c r="AE232" s="742"/>
      <c r="AF232" s="742"/>
      <c r="AG232" s="742"/>
      <c r="AH232" s="742"/>
      <c r="AI232" s="742"/>
      <c r="AJ232" s="742"/>
      <c r="AK232" s="742"/>
      <c r="AL232" s="742"/>
      <c r="AM232" s="742"/>
      <c r="AN232" s="742"/>
      <c r="AO232" s="742"/>
      <c r="AP232" s="741"/>
      <c r="AQ232" s="741"/>
      <c r="AR232" s="742"/>
      <c r="AS232" s="742"/>
      <c r="AT232" s="742"/>
      <c r="AU232" s="742"/>
      <c r="AV232" s="742"/>
      <c r="AW232" s="742"/>
      <c r="AX232" s="742"/>
      <c r="AY232" s="742"/>
      <c r="AZ232" s="742"/>
      <c r="BA232" s="742"/>
      <c r="BB232" s="741">
        <v>0</v>
      </c>
      <c r="BC232" s="741">
        <v>356</v>
      </c>
      <c r="BD232" s="741">
        <v>356</v>
      </c>
      <c r="BE232" s="741"/>
      <c r="BF232" s="741"/>
      <c r="BG232" s="741"/>
      <c r="BH232" s="741"/>
      <c r="BI232" s="741"/>
      <c r="BJ232" s="741">
        <v>356</v>
      </c>
      <c r="BK232" s="742"/>
      <c r="BL232" s="742"/>
      <c r="BM232" s="741"/>
      <c r="BN232" s="741"/>
      <c r="BO232" s="741"/>
      <c r="BP232" s="741"/>
      <c r="BQ232" s="741"/>
      <c r="BR232" s="741"/>
      <c r="BS232" s="741"/>
      <c r="BT232" s="741"/>
      <c r="BU232" s="741"/>
      <c r="BV232" s="741"/>
      <c r="BW232" s="741"/>
      <c r="BX232" s="741"/>
      <c r="BY232" s="741"/>
      <c r="BZ232" s="741"/>
      <c r="CA232" s="741"/>
      <c r="CB232" s="741">
        <v>0</v>
      </c>
      <c r="CC232" s="742"/>
      <c r="CD232" s="742"/>
      <c r="CE232" s="742"/>
      <c r="CF232" s="742"/>
      <c r="CG232" s="742"/>
      <c r="CH232" s="742"/>
      <c r="CI232" s="742"/>
      <c r="CJ232" s="742">
        <v>49246</v>
      </c>
      <c r="CK232" s="742"/>
      <c r="CL232" s="742"/>
      <c r="CM232" s="742"/>
      <c r="CN232" s="742"/>
      <c r="CO232" s="742"/>
      <c r="CP232" s="742"/>
      <c r="CQ232" s="742"/>
      <c r="CR232" s="742"/>
      <c r="CS232" s="742"/>
      <c r="CT232" s="741">
        <v>0</v>
      </c>
      <c r="CU232" s="742"/>
      <c r="CV232" s="742"/>
      <c r="CW232" s="742"/>
      <c r="CX232" s="742"/>
      <c r="CY232" s="742"/>
      <c r="CZ232" s="742"/>
      <c r="DA232" s="742"/>
      <c r="DB232" s="742"/>
      <c r="DC232" s="742"/>
      <c r="DD232" s="742"/>
      <c r="DE232" s="742"/>
      <c r="DF232" s="742"/>
      <c r="DG232" s="742"/>
      <c r="DH232" s="742"/>
      <c r="DI232" s="741"/>
      <c r="DJ232" s="742"/>
      <c r="DK232" s="742"/>
      <c r="DL232" s="742"/>
      <c r="DM232" s="742"/>
      <c r="DN232" s="742"/>
      <c r="DO232" s="742"/>
      <c r="DP232" s="742">
        <v>98.85</v>
      </c>
      <c r="DQ232" s="742"/>
      <c r="DR232" s="741">
        <v>0</v>
      </c>
      <c r="DS232" s="742"/>
      <c r="DT232" s="742">
        <v>98.85</v>
      </c>
      <c r="DU232" s="742"/>
      <c r="DV232" s="742"/>
      <c r="DW232" s="742">
        <v>1470.68</v>
      </c>
      <c r="DX232" s="742"/>
      <c r="DY232" s="742"/>
      <c r="DZ232" s="742"/>
      <c r="EA232" s="742"/>
      <c r="EB232" s="742"/>
      <c r="EC232" s="742"/>
      <c r="ED232" s="742"/>
      <c r="EE232" s="742"/>
      <c r="EF232" s="742"/>
      <c r="EG232" s="742"/>
      <c r="EH232" s="742"/>
      <c r="EI232" s="742"/>
      <c r="EJ232" s="742"/>
      <c r="EK232" s="742"/>
      <c r="EL232" s="742"/>
      <c r="EM232" s="742">
        <v>71</v>
      </c>
      <c r="EN232" s="741">
        <v>0</v>
      </c>
      <c r="EO232" s="742"/>
      <c r="EP232" s="742"/>
      <c r="EQ232" s="742">
        <v>1302</v>
      </c>
      <c r="ER232" s="742"/>
      <c r="ES232" s="742">
        <v>0</v>
      </c>
      <c r="ET232" s="742"/>
      <c r="EU232" s="741">
        <v>0</v>
      </c>
      <c r="EV232" s="742">
        <v>0</v>
      </c>
      <c r="EW232" s="742"/>
      <c r="EX232" s="741">
        <v>98.85</v>
      </c>
      <c r="EY232" s="742"/>
      <c r="EZ232" s="742"/>
      <c r="FA232" s="742"/>
      <c r="FB232" s="741">
        <v>0</v>
      </c>
      <c r="FC232" s="741">
        <v>0</v>
      </c>
      <c r="FD232" s="742"/>
      <c r="FE232" s="742"/>
      <c r="FF232" s="741">
        <v>0</v>
      </c>
      <c r="FG232" s="742"/>
      <c r="FH232" s="742"/>
      <c r="FI232" s="742"/>
      <c r="FJ232" s="742">
        <v>2612</v>
      </c>
      <c r="FK232" s="742"/>
      <c r="FL232" s="742"/>
      <c r="FM232" s="742"/>
      <c r="FN232" s="742"/>
      <c r="FO232" s="740">
        <v>0</v>
      </c>
      <c r="FP232" s="740">
        <v>0</v>
      </c>
      <c r="FQ232" s="742"/>
      <c r="FR232" s="742"/>
      <c r="FS232" s="742"/>
      <c r="FT232" s="742"/>
      <c r="FU232" s="742"/>
      <c r="FV232" s="742"/>
      <c r="FW232" s="742"/>
      <c r="FX232" s="742"/>
      <c r="FY232" s="742"/>
      <c r="FZ232" s="742"/>
      <c r="GA232" s="742"/>
      <c r="GB232" s="742"/>
      <c r="GC232" s="742"/>
      <c r="GD232" s="742"/>
      <c r="GE232" s="742"/>
      <c r="GF232" s="740">
        <v>356</v>
      </c>
      <c r="GG232" s="742"/>
      <c r="GH232" s="742"/>
      <c r="GI232" s="742"/>
      <c r="GJ232" s="742"/>
      <c r="GK232" s="742"/>
      <c r="GL232" s="742"/>
      <c r="GM232" s="742"/>
      <c r="GN232" s="742"/>
      <c r="GO232" s="742"/>
      <c r="GP232" s="742"/>
      <c r="GQ232" s="742"/>
      <c r="GR232" s="742"/>
      <c r="GS232" s="742"/>
      <c r="GT232" s="742"/>
      <c r="GU232" s="742"/>
      <c r="GV232" s="742"/>
      <c r="GW232" s="742"/>
      <c r="GX232" s="742"/>
      <c r="GY232" s="742"/>
      <c r="GZ232" s="742"/>
      <c r="HA232" s="742"/>
      <c r="HB232" s="742"/>
      <c r="HC232" s="742"/>
      <c r="HD232" s="742"/>
      <c r="HE232" s="742"/>
      <c r="HF232" s="742"/>
      <c r="HG232" s="742"/>
      <c r="HH232" s="741">
        <v>686</v>
      </c>
      <c r="HI232" s="742"/>
      <c r="HJ232" s="741">
        <v>0</v>
      </c>
      <c r="HK232" s="741">
        <v>0</v>
      </c>
      <c r="HL232" s="741">
        <v>0</v>
      </c>
      <c r="HM232" s="741">
        <v>0</v>
      </c>
      <c r="HN232" s="742"/>
      <c r="HO232" s="742"/>
      <c r="HP232" s="822">
        <v>724</v>
      </c>
      <c r="HQ232" s="742"/>
      <c r="HR232" s="741">
        <v>98.85</v>
      </c>
      <c r="HS232" s="742"/>
      <c r="HT232" s="742">
        <v>0</v>
      </c>
      <c r="HU232" s="742"/>
      <c r="HV232" s="742"/>
      <c r="HW232" s="742"/>
      <c r="HX232" s="742"/>
      <c r="HY232" s="742"/>
      <c r="HZ232" s="742"/>
      <c r="IA232" s="742">
        <v>0</v>
      </c>
      <c r="IB232" s="742"/>
      <c r="IC232" s="742"/>
      <c r="ID232" s="742"/>
      <c r="IE232" s="742"/>
      <c r="IF232" s="742">
        <v>0</v>
      </c>
      <c r="IG232" s="742"/>
      <c r="IH232" s="742"/>
      <c r="II232" s="742">
        <v>0</v>
      </c>
      <c r="IJ232" s="742"/>
      <c r="IK232" s="742"/>
      <c r="IL232" s="742">
        <v>357</v>
      </c>
      <c r="IM232" s="742"/>
      <c r="IN232" s="742"/>
      <c r="IO232" s="742"/>
      <c r="IP232" s="742"/>
      <c r="IQ232" s="742"/>
      <c r="IR232" s="742"/>
      <c r="IS232" s="742"/>
      <c r="IT232" s="742"/>
      <c r="IU232" s="742"/>
      <c r="IV232" s="742"/>
      <c r="IW232" s="742"/>
      <c r="IX232" s="742"/>
      <c r="IY232" s="742"/>
      <c r="IZ232" s="742"/>
      <c r="JA232" s="742"/>
      <c r="JB232" s="742"/>
      <c r="JC232" s="742"/>
      <c r="JD232" s="742"/>
      <c r="JE232" s="741">
        <v>356</v>
      </c>
      <c r="JF232" s="741">
        <v>0</v>
      </c>
      <c r="JG232" s="742"/>
      <c r="JH232" s="742"/>
      <c r="JI232" s="742"/>
      <c r="JJ232" s="741">
        <v>0</v>
      </c>
      <c r="JK232" s="742"/>
      <c r="JL232" s="742"/>
      <c r="JM232" s="742"/>
      <c r="JN232" s="743"/>
      <c r="JO232" s="743"/>
      <c r="JP232" s="742"/>
      <c r="JQ232" s="744"/>
    </row>
    <row r="233" spans="1:277" x14ac:dyDescent="0.25">
      <c r="A233" s="1649">
        <v>18</v>
      </c>
      <c r="B233" s="1651">
        <f t="shared" si="19"/>
        <v>1</v>
      </c>
      <c r="D233" s="521" t="s">
        <v>4161</v>
      </c>
      <c r="E233" s="541"/>
      <c r="F233" s="542"/>
      <c r="G233" s="542"/>
      <c r="H233" s="542"/>
      <c r="I233" s="542"/>
      <c r="J233" s="542"/>
      <c r="K233" s="542"/>
      <c r="L233" s="542"/>
      <c r="M233" s="542"/>
      <c r="N233" s="542"/>
      <c r="O233" s="542"/>
      <c r="P233" s="542"/>
      <c r="Q233" s="542"/>
      <c r="R233" s="542"/>
      <c r="S233" s="542"/>
      <c r="T233" s="542"/>
      <c r="U233" s="542"/>
      <c r="V233" s="542"/>
      <c r="W233" s="542"/>
      <c r="X233" s="542"/>
      <c r="Y233" s="542"/>
      <c r="Z233" s="542"/>
      <c r="AA233" s="542"/>
      <c r="AB233" s="542"/>
      <c r="AC233" s="542"/>
      <c r="AD233" s="542"/>
      <c r="AE233" s="542"/>
      <c r="AF233" s="542"/>
      <c r="AG233" s="542"/>
      <c r="AH233" s="542"/>
      <c r="AI233" s="542"/>
      <c r="AJ233" s="542"/>
      <c r="AK233" s="542"/>
      <c r="AL233" s="542"/>
      <c r="AM233" s="542"/>
      <c r="AN233" s="542"/>
      <c r="AO233" s="542"/>
      <c r="AP233" s="542"/>
      <c r="AQ233" s="542"/>
      <c r="AR233" s="542"/>
      <c r="AS233" s="542"/>
      <c r="AT233" s="542"/>
      <c r="AU233" s="542"/>
      <c r="AV233" s="542"/>
      <c r="AW233" s="542"/>
      <c r="AX233" s="542"/>
      <c r="AY233" s="542"/>
      <c r="AZ233" s="542"/>
      <c r="BA233" s="542"/>
      <c r="BB233" s="542">
        <v>1</v>
      </c>
      <c r="BC233" s="542">
        <v>1</v>
      </c>
      <c r="BD233" s="542">
        <v>1</v>
      </c>
      <c r="BE233" s="542"/>
      <c r="BF233" s="542"/>
      <c r="BG233" s="542"/>
      <c r="BH233" s="542"/>
      <c r="BI233" s="542"/>
      <c r="BJ233" s="542">
        <v>1</v>
      </c>
      <c r="BK233" s="542"/>
      <c r="BL233" s="542"/>
      <c r="BM233" s="542"/>
      <c r="BN233" s="542"/>
      <c r="BO233" s="542"/>
      <c r="BP233" s="542"/>
      <c r="BQ233" s="542"/>
      <c r="BR233" s="542"/>
      <c r="BS233" s="542"/>
      <c r="BT233" s="542"/>
      <c r="BU233" s="542"/>
      <c r="BV233" s="542"/>
      <c r="BW233" s="542"/>
      <c r="BX233" s="542"/>
      <c r="BY233" s="542"/>
      <c r="BZ233" s="542"/>
      <c r="CA233" s="542"/>
      <c r="CB233" s="542">
        <v>1</v>
      </c>
      <c r="CC233" s="542"/>
      <c r="CD233" s="542"/>
      <c r="CE233" s="542"/>
      <c r="CF233" s="542"/>
      <c r="CG233" s="542"/>
      <c r="CH233" s="542"/>
      <c r="CI233" s="542"/>
      <c r="CJ233" s="542">
        <v>1</v>
      </c>
      <c r="CK233" s="542"/>
      <c r="CL233" s="542"/>
      <c r="CM233" s="542"/>
      <c r="CN233" s="542"/>
      <c r="CO233" s="542"/>
      <c r="CP233" s="542"/>
      <c r="CQ233" s="542"/>
      <c r="CR233" s="542"/>
      <c r="CS233" s="542"/>
      <c r="CT233" s="542">
        <v>1</v>
      </c>
      <c r="CU233" s="542"/>
      <c r="CV233" s="542"/>
      <c r="CW233" s="542"/>
      <c r="CX233" s="542"/>
      <c r="CY233" s="542"/>
      <c r="CZ233" s="542"/>
      <c r="DA233" s="542"/>
      <c r="DB233" s="542"/>
      <c r="DC233" s="542"/>
      <c r="DD233" s="542"/>
      <c r="DE233" s="542"/>
      <c r="DF233" s="542"/>
      <c r="DG233" s="542"/>
      <c r="DH233" s="542"/>
      <c r="DI233" s="542"/>
      <c r="DJ233" s="542"/>
      <c r="DK233" s="542"/>
      <c r="DL233" s="542"/>
      <c r="DM233" s="542"/>
      <c r="DN233" s="542"/>
      <c r="DO233" s="542"/>
      <c r="DP233" s="542">
        <v>4</v>
      </c>
      <c r="DQ233" s="542"/>
      <c r="DR233" s="542">
        <v>1</v>
      </c>
      <c r="DS233" s="542"/>
      <c r="DT233" s="542">
        <v>4</v>
      </c>
      <c r="DU233" s="542"/>
      <c r="DV233" s="542"/>
      <c r="DW233" s="542">
        <v>1</v>
      </c>
      <c r="DX233" s="542"/>
      <c r="DY233" s="542"/>
      <c r="DZ233" s="542"/>
      <c r="EA233" s="542"/>
      <c r="EB233" s="542"/>
      <c r="EC233" s="542"/>
      <c r="ED233" s="542"/>
      <c r="EE233" s="542"/>
      <c r="EF233" s="542"/>
      <c r="EG233" s="542"/>
      <c r="EH233" s="542"/>
      <c r="EI233" s="542"/>
      <c r="EJ233" s="542"/>
      <c r="EK233" s="542"/>
      <c r="EL233" s="542"/>
      <c r="EM233" s="542">
        <v>4</v>
      </c>
      <c r="EN233" s="542">
        <v>1</v>
      </c>
      <c r="EO233" s="542"/>
      <c r="EP233" s="542"/>
      <c r="EQ233" s="542">
        <v>4</v>
      </c>
      <c r="ER233" s="542"/>
      <c r="ES233" s="542">
        <v>1</v>
      </c>
      <c r="ET233" s="542"/>
      <c r="EU233" s="542">
        <v>1</v>
      </c>
      <c r="EV233" s="542">
        <v>1</v>
      </c>
      <c r="EW233" s="542"/>
      <c r="EX233" s="542">
        <v>4</v>
      </c>
      <c r="EY233" s="542"/>
      <c r="EZ233" s="542"/>
      <c r="FA233" s="542"/>
      <c r="FB233" s="542">
        <v>1</v>
      </c>
      <c r="FC233" s="542">
        <v>1</v>
      </c>
      <c r="FD233" s="542"/>
      <c r="FE233" s="542"/>
      <c r="FF233" s="542">
        <v>1</v>
      </c>
      <c r="FG233" s="542"/>
      <c r="FH233" s="542"/>
      <c r="FI233" s="542"/>
      <c r="FJ233" s="542">
        <v>1</v>
      </c>
      <c r="FK233" s="542"/>
      <c r="FL233" s="542"/>
      <c r="FM233" s="542"/>
      <c r="FN233" s="542"/>
      <c r="FO233" s="541">
        <v>1</v>
      </c>
      <c r="FP233" s="541">
        <v>1</v>
      </c>
      <c r="FQ233" s="542"/>
      <c r="FR233" s="542"/>
      <c r="FS233" s="542"/>
      <c r="FT233" s="542"/>
      <c r="FU233" s="542"/>
      <c r="FV233" s="542"/>
      <c r="FW233" s="542"/>
      <c r="FX233" s="542"/>
      <c r="FY233" s="542"/>
      <c r="FZ233" s="542"/>
      <c r="GA233" s="542"/>
      <c r="GB233" s="542"/>
      <c r="GC233" s="542"/>
      <c r="GD233" s="542"/>
      <c r="GE233" s="542"/>
      <c r="GF233" s="541">
        <v>1</v>
      </c>
      <c r="GG233" s="542"/>
      <c r="GH233" s="542"/>
      <c r="GI233" s="542"/>
      <c r="GJ233" s="542"/>
      <c r="GK233" s="542"/>
      <c r="GL233" s="542"/>
      <c r="GM233" s="542"/>
      <c r="GN233" s="542"/>
      <c r="GO233" s="542"/>
      <c r="GP233" s="542"/>
      <c r="GQ233" s="542"/>
      <c r="GR233" s="542"/>
      <c r="GS233" s="542"/>
      <c r="GT233" s="542"/>
      <c r="GU233" s="542"/>
      <c r="GV233" s="542"/>
      <c r="GW233" s="542"/>
      <c r="GX233" s="542"/>
      <c r="GY233" s="542"/>
      <c r="GZ233" s="542"/>
      <c r="HA233" s="542"/>
      <c r="HB233" s="542"/>
      <c r="HC233" s="542"/>
      <c r="HD233" s="542"/>
      <c r="HE233" s="542"/>
      <c r="HF233" s="542"/>
      <c r="HG233" s="542"/>
      <c r="HH233" s="543">
        <v>1</v>
      </c>
      <c r="HI233" s="542"/>
      <c r="HJ233" s="542">
        <v>1</v>
      </c>
      <c r="HK233" s="542">
        <v>1</v>
      </c>
      <c r="HL233" s="542">
        <v>1</v>
      </c>
      <c r="HM233" s="542">
        <v>1</v>
      </c>
      <c r="HN233" s="542"/>
      <c r="HO233" s="542"/>
      <c r="HP233" s="821">
        <v>1</v>
      </c>
      <c r="HQ233" s="542"/>
      <c r="HR233" s="542">
        <v>4</v>
      </c>
      <c r="HS233" s="542"/>
      <c r="HT233" s="542">
        <v>1</v>
      </c>
      <c r="HU233" s="542"/>
      <c r="HV233" s="542"/>
      <c r="HW233" s="542"/>
      <c r="HX233" s="542"/>
      <c r="HY233" s="542"/>
      <c r="HZ233" s="542"/>
      <c r="IA233" s="542">
        <v>1</v>
      </c>
      <c r="IB233" s="542"/>
      <c r="IC233" s="542"/>
      <c r="ID233" s="542"/>
      <c r="IE233" s="542"/>
      <c r="IF233" s="542">
        <v>1</v>
      </c>
      <c r="IG233" s="542"/>
      <c r="IH233" s="542"/>
      <c r="II233" s="542">
        <v>1</v>
      </c>
      <c r="IJ233" s="542"/>
      <c r="IK233" s="542"/>
      <c r="IL233" s="542">
        <v>4</v>
      </c>
      <c r="IM233" s="542"/>
      <c r="IN233" s="542"/>
      <c r="IO233" s="542"/>
      <c r="IP233" s="542"/>
      <c r="IQ233" s="542"/>
      <c r="IR233" s="542"/>
      <c r="IS233" s="542"/>
      <c r="IT233" s="542"/>
      <c r="IU233" s="542"/>
      <c r="IV233" s="542"/>
      <c r="IW233" s="542"/>
      <c r="IX233" s="542"/>
      <c r="IY233" s="542"/>
      <c r="IZ233" s="542"/>
      <c r="JA233" s="542"/>
      <c r="JB233" s="542"/>
      <c r="JC233" s="542"/>
      <c r="JD233" s="542"/>
      <c r="JE233" s="542">
        <v>1</v>
      </c>
      <c r="JF233" s="542">
        <v>1</v>
      </c>
      <c r="JG233" s="542"/>
      <c r="JH233" s="542"/>
      <c r="JI233" s="542"/>
      <c r="JJ233" s="542">
        <v>1</v>
      </c>
      <c r="JK233" s="542"/>
      <c r="JL233" s="542"/>
      <c r="JM233" s="542"/>
      <c r="JN233" s="544"/>
      <c r="JO233" s="544"/>
      <c r="JP233" s="542"/>
      <c r="JQ233" s="543"/>
    </row>
    <row r="234" spans="1:277" x14ac:dyDescent="0.25">
      <c r="A234" s="1649">
        <v>19</v>
      </c>
      <c r="B234" s="1651">
        <f t="shared" si="19"/>
        <v>1</v>
      </c>
      <c r="D234" s="521" t="s">
        <v>4162</v>
      </c>
      <c r="E234" s="1655"/>
      <c r="F234" s="1656"/>
      <c r="G234" s="1656"/>
      <c r="H234" s="1656"/>
      <c r="I234" s="1656"/>
      <c r="J234" s="1656"/>
      <c r="K234" s="1656"/>
      <c r="L234" s="1656"/>
      <c r="M234" s="1656"/>
      <c r="N234" s="1656"/>
      <c r="O234" s="1656"/>
      <c r="P234" s="1656"/>
      <c r="Q234" s="1656"/>
      <c r="R234" s="1656"/>
      <c r="S234" s="1656"/>
      <c r="T234" s="1656"/>
      <c r="U234" s="1656"/>
      <c r="V234" s="1656"/>
      <c r="W234" s="1656"/>
      <c r="X234" s="1656"/>
      <c r="Y234" s="1656"/>
      <c r="Z234" s="1656"/>
      <c r="AA234" s="1656"/>
      <c r="AB234" s="1656"/>
      <c r="AC234" s="1656"/>
      <c r="AD234" s="1656"/>
      <c r="AE234" s="1656"/>
      <c r="AF234" s="1656"/>
      <c r="AG234" s="1656"/>
      <c r="AH234" s="1656"/>
      <c r="AI234" s="1656"/>
      <c r="AJ234" s="1656"/>
      <c r="AK234" s="1656"/>
      <c r="AL234" s="1656"/>
      <c r="AM234" s="1656"/>
      <c r="AN234" s="1656"/>
      <c r="AO234" s="1656"/>
      <c r="AP234" s="1656"/>
      <c r="AQ234" s="1656"/>
      <c r="AR234" s="1656"/>
      <c r="AS234" s="1656"/>
      <c r="AT234" s="1656"/>
      <c r="AU234" s="1656"/>
      <c r="AV234" s="1656"/>
      <c r="AW234" s="1656"/>
      <c r="AX234" s="1656"/>
      <c r="AY234" s="1656"/>
      <c r="AZ234" s="1656"/>
      <c r="BA234" s="1656"/>
      <c r="BB234" s="1656">
        <v>1</v>
      </c>
      <c r="BC234" s="1656">
        <v>1</v>
      </c>
      <c r="BD234" s="1656">
        <v>1</v>
      </c>
      <c r="BE234" s="1656"/>
      <c r="BF234" s="1656"/>
      <c r="BG234" s="1656"/>
      <c r="BH234" s="1656"/>
      <c r="BI234" s="1656"/>
      <c r="BJ234" s="1656">
        <v>1</v>
      </c>
      <c r="BK234" s="1656"/>
      <c r="BL234" s="1656"/>
      <c r="BM234" s="1656"/>
      <c r="BN234" s="1656"/>
      <c r="BO234" s="1656"/>
      <c r="BP234" s="1656"/>
      <c r="BQ234" s="1656"/>
      <c r="BR234" s="1656"/>
      <c r="BS234" s="1656"/>
      <c r="BT234" s="1656"/>
      <c r="BU234" s="1656"/>
      <c r="BV234" s="1656"/>
      <c r="BW234" s="1656"/>
      <c r="BX234" s="1656"/>
      <c r="BY234" s="1656"/>
      <c r="BZ234" s="1656"/>
      <c r="CA234" s="1656"/>
      <c r="CB234" s="1656">
        <v>1</v>
      </c>
      <c r="CC234" s="1656"/>
      <c r="CD234" s="1656"/>
      <c r="CE234" s="1656"/>
      <c r="CF234" s="1656"/>
      <c r="CG234" s="1656"/>
      <c r="CH234" s="1656"/>
      <c r="CI234" s="1656"/>
      <c r="CJ234" s="1656">
        <v>1</v>
      </c>
      <c r="CK234" s="1656"/>
      <c r="CL234" s="1656"/>
      <c r="CM234" s="1656"/>
      <c r="CN234" s="1656"/>
      <c r="CO234" s="1656"/>
      <c r="CP234" s="1656"/>
      <c r="CQ234" s="1656"/>
      <c r="CR234" s="1656"/>
      <c r="CS234" s="1656"/>
      <c r="CT234" s="1656">
        <v>1</v>
      </c>
      <c r="CU234" s="1656"/>
      <c r="CV234" s="1656"/>
      <c r="CW234" s="1656"/>
      <c r="CX234" s="1656"/>
      <c r="CY234" s="1656"/>
      <c r="CZ234" s="1656"/>
      <c r="DA234" s="1656"/>
      <c r="DB234" s="1656"/>
      <c r="DC234" s="1656"/>
      <c r="DD234" s="1656"/>
      <c r="DE234" s="1656"/>
      <c r="DF234" s="1656"/>
      <c r="DG234" s="1656"/>
      <c r="DH234" s="1656"/>
      <c r="DI234" s="1656"/>
      <c r="DJ234" s="1656"/>
      <c r="DK234" s="1656"/>
      <c r="DL234" s="1656"/>
      <c r="DM234" s="1656"/>
      <c r="DN234" s="1656"/>
      <c r="DO234" s="1656"/>
      <c r="DP234" s="1656">
        <v>6</v>
      </c>
      <c r="DQ234" s="1656"/>
      <c r="DR234" s="1656">
        <v>1</v>
      </c>
      <c r="DS234" s="1656"/>
      <c r="DT234" s="1656">
        <v>6</v>
      </c>
      <c r="DU234" s="1656"/>
      <c r="DV234" s="1656"/>
      <c r="DW234" s="1656">
        <v>1</v>
      </c>
      <c r="DX234" s="1656"/>
      <c r="DY234" s="1656"/>
      <c r="DZ234" s="1656"/>
      <c r="EA234" s="1656"/>
      <c r="EB234" s="1656"/>
      <c r="EC234" s="1656"/>
      <c r="ED234" s="1656"/>
      <c r="EE234" s="1656"/>
      <c r="EF234" s="1656"/>
      <c r="EG234" s="1656"/>
      <c r="EH234" s="1656"/>
      <c r="EI234" s="1656"/>
      <c r="EJ234" s="1656"/>
      <c r="EK234" s="1656"/>
      <c r="EL234" s="1656"/>
      <c r="EM234" s="1656">
        <v>9</v>
      </c>
      <c r="EN234" s="1656">
        <v>1</v>
      </c>
      <c r="EO234" s="1656"/>
      <c r="EP234" s="1656"/>
      <c r="EQ234" s="1656">
        <v>9</v>
      </c>
      <c r="ER234" s="1656"/>
      <c r="ES234" s="1656">
        <v>1</v>
      </c>
      <c r="ET234" s="1656"/>
      <c r="EU234" s="1656">
        <v>1</v>
      </c>
      <c r="EV234" s="1656">
        <v>1</v>
      </c>
      <c r="EW234" s="1656"/>
      <c r="EX234" s="1656">
        <v>9</v>
      </c>
      <c r="EY234" s="1656"/>
      <c r="EZ234" s="1656"/>
      <c r="FA234" s="1656"/>
      <c r="FB234" s="1656">
        <v>1</v>
      </c>
      <c r="FC234" s="1656">
        <v>1</v>
      </c>
      <c r="FD234" s="1656"/>
      <c r="FE234" s="1656"/>
      <c r="FF234" s="1656">
        <v>1</v>
      </c>
      <c r="FG234" s="1656"/>
      <c r="FH234" s="1656"/>
      <c r="FI234" s="1656"/>
      <c r="FJ234" s="1656">
        <v>1</v>
      </c>
      <c r="FK234" s="1656"/>
      <c r="FL234" s="1656"/>
      <c r="FM234" s="1656"/>
      <c r="FN234" s="1656"/>
      <c r="FO234" s="1655">
        <v>1</v>
      </c>
      <c r="FP234" s="1655">
        <v>1</v>
      </c>
      <c r="FQ234" s="1656"/>
      <c r="FR234" s="1656"/>
      <c r="FS234" s="1656"/>
      <c r="FT234" s="1656"/>
      <c r="FU234" s="1656"/>
      <c r="FV234" s="1656"/>
      <c r="FW234" s="1656"/>
      <c r="FX234" s="1656"/>
      <c r="FY234" s="1656"/>
      <c r="FZ234" s="1656"/>
      <c r="GA234" s="1656"/>
      <c r="GB234" s="1656"/>
      <c r="GC234" s="1656"/>
      <c r="GD234" s="1656"/>
      <c r="GE234" s="1656"/>
      <c r="GF234" s="1655">
        <v>1</v>
      </c>
      <c r="GG234" s="1656"/>
      <c r="GH234" s="1656"/>
      <c r="GI234" s="1656"/>
      <c r="GJ234" s="1656"/>
      <c r="GK234" s="1656"/>
      <c r="GL234" s="1656"/>
      <c r="GM234" s="1656"/>
      <c r="GN234" s="1656"/>
      <c r="GO234" s="1656"/>
      <c r="GP234" s="1656"/>
      <c r="GQ234" s="1656"/>
      <c r="GR234" s="1656"/>
      <c r="GS234" s="1656"/>
      <c r="GT234" s="1656"/>
      <c r="GU234" s="1656"/>
      <c r="GV234" s="1656"/>
      <c r="GW234" s="1656"/>
      <c r="GX234" s="1656"/>
      <c r="GY234" s="1656"/>
      <c r="GZ234" s="1656"/>
      <c r="HA234" s="1656"/>
      <c r="HB234" s="1656"/>
      <c r="HC234" s="1656"/>
      <c r="HD234" s="1656"/>
      <c r="HE234" s="1656"/>
      <c r="HF234" s="1656"/>
      <c r="HG234" s="1656"/>
      <c r="HH234" s="1657">
        <v>1</v>
      </c>
      <c r="HI234" s="1656"/>
      <c r="HJ234" s="1656">
        <v>1</v>
      </c>
      <c r="HK234" s="1656">
        <v>1</v>
      </c>
      <c r="HL234" s="1656">
        <v>1</v>
      </c>
      <c r="HM234" s="1656">
        <v>1</v>
      </c>
      <c r="HN234" s="1656"/>
      <c r="HO234" s="1656"/>
      <c r="HP234" s="1664">
        <v>1</v>
      </c>
      <c r="HQ234" s="1656"/>
      <c r="HR234" s="1656">
        <v>9</v>
      </c>
      <c r="HS234" s="1656"/>
      <c r="HT234" s="1656">
        <v>1</v>
      </c>
      <c r="HU234" s="1656"/>
      <c r="HV234" s="1656"/>
      <c r="HW234" s="1656"/>
      <c r="HX234" s="1656"/>
      <c r="HY234" s="1656"/>
      <c r="HZ234" s="1656"/>
      <c r="IA234" s="1656">
        <v>1</v>
      </c>
      <c r="IB234" s="1656"/>
      <c r="IC234" s="1656"/>
      <c r="ID234" s="1656"/>
      <c r="IE234" s="1656"/>
      <c r="IF234" s="1656">
        <v>1</v>
      </c>
      <c r="IG234" s="1656"/>
      <c r="IH234" s="1656"/>
      <c r="II234" s="1656">
        <v>1</v>
      </c>
      <c r="IJ234" s="1656"/>
      <c r="IK234" s="1656"/>
      <c r="IL234" s="1656">
        <v>6</v>
      </c>
      <c r="IM234" s="1656"/>
      <c r="IN234" s="1656"/>
      <c r="IO234" s="1656"/>
      <c r="IP234" s="1656"/>
      <c r="IQ234" s="1656"/>
      <c r="IR234" s="1656"/>
      <c r="IS234" s="1656"/>
      <c r="IT234" s="1656"/>
      <c r="IU234" s="1656"/>
      <c r="IV234" s="1656"/>
      <c r="IW234" s="1656"/>
      <c r="IX234" s="1656"/>
      <c r="IY234" s="1656"/>
      <c r="IZ234" s="1656"/>
      <c r="JA234" s="1656"/>
      <c r="JB234" s="1656"/>
      <c r="JC234" s="1656"/>
      <c r="JD234" s="1656"/>
      <c r="JE234" s="1656">
        <v>1</v>
      </c>
      <c r="JF234" s="1656">
        <v>1</v>
      </c>
      <c r="JG234" s="1656"/>
      <c r="JH234" s="1656"/>
      <c r="JI234" s="1656"/>
      <c r="JJ234" s="1656">
        <v>1</v>
      </c>
      <c r="JK234" s="1656"/>
      <c r="JL234" s="1656"/>
      <c r="JM234" s="1656"/>
      <c r="JN234" s="1658"/>
      <c r="JO234" s="1658"/>
      <c r="JP234" s="1656"/>
      <c r="JQ234" s="1657"/>
    </row>
    <row r="235" spans="1:277" x14ac:dyDescent="0.25">
      <c r="A235" s="1649">
        <v>20</v>
      </c>
      <c r="B235" s="1651" t="str">
        <f t="shared" si="19"/>
        <v/>
      </c>
      <c r="D235" s="521" t="s">
        <v>4163</v>
      </c>
      <c r="E235" s="1659"/>
      <c r="F235" s="1660"/>
      <c r="G235" s="1661"/>
      <c r="H235" s="1661"/>
      <c r="I235" s="1660"/>
      <c r="J235" s="1660"/>
      <c r="K235" s="1660"/>
      <c r="L235" s="1660"/>
      <c r="M235" s="1661"/>
      <c r="N235" s="1661"/>
      <c r="O235" s="1661"/>
      <c r="P235" s="1661"/>
      <c r="Q235" s="1661"/>
      <c r="R235" s="1661"/>
      <c r="S235" s="1661"/>
      <c r="T235" s="1661"/>
      <c r="U235" s="1661"/>
      <c r="V235" s="1661"/>
      <c r="W235" s="1661"/>
      <c r="X235" s="1661"/>
      <c r="Y235" s="1661"/>
      <c r="Z235" s="1661"/>
      <c r="AA235" s="1661"/>
      <c r="AB235" s="1661"/>
      <c r="AC235" s="1661"/>
      <c r="AD235" s="1661"/>
      <c r="AE235" s="1661"/>
      <c r="AF235" s="1661"/>
      <c r="AG235" s="1661"/>
      <c r="AH235" s="1661"/>
      <c r="AI235" s="1661"/>
      <c r="AJ235" s="1661"/>
      <c r="AK235" s="1661"/>
      <c r="AL235" s="1661"/>
      <c r="AM235" s="1661"/>
      <c r="AN235" s="1661"/>
      <c r="AO235" s="1661"/>
      <c r="AP235" s="1660"/>
      <c r="AQ235" s="1660"/>
      <c r="AR235" s="1661"/>
      <c r="AS235" s="1661"/>
      <c r="AT235" s="1661"/>
      <c r="AU235" s="1661"/>
      <c r="AV235" s="1661"/>
      <c r="AW235" s="1661"/>
      <c r="AX235" s="1661"/>
      <c r="AY235" s="1661"/>
      <c r="AZ235" s="1661"/>
      <c r="BA235" s="1661"/>
      <c r="BB235" s="1660"/>
      <c r="BC235" s="1660"/>
      <c r="BD235" s="1660"/>
      <c r="BE235" s="1660"/>
      <c r="BF235" s="1660"/>
      <c r="BG235" s="1660"/>
      <c r="BH235" s="1660"/>
      <c r="BI235" s="1660"/>
      <c r="BJ235" s="1660"/>
      <c r="BK235" s="1661"/>
      <c r="BL235" s="1661"/>
      <c r="BM235" s="1660"/>
      <c r="BN235" s="1660"/>
      <c r="BO235" s="1660"/>
      <c r="BP235" s="1660"/>
      <c r="BQ235" s="1660"/>
      <c r="BR235" s="1660"/>
      <c r="BS235" s="1660"/>
      <c r="BT235" s="1660"/>
      <c r="BU235" s="1660"/>
      <c r="BV235" s="1660"/>
      <c r="BW235" s="1660"/>
      <c r="BX235" s="1660"/>
      <c r="BY235" s="1660"/>
      <c r="BZ235" s="1660"/>
      <c r="CA235" s="1660"/>
      <c r="CB235" s="1660"/>
      <c r="CC235" s="1661"/>
      <c r="CD235" s="1661"/>
      <c r="CE235" s="1661"/>
      <c r="CF235" s="1661"/>
      <c r="CG235" s="1661"/>
      <c r="CH235" s="1661"/>
      <c r="CI235" s="1661"/>
      <c r="CJ235" s="1660"/>
      <c r="CK235" s="1661"/>
      <c r="CL235" s="1661"/>
      <c r="CM235" s="1661"/>
      <c r="CN235" s="1661"/>
      <c r="CO235" s="1661"/>
      <c r="CP235" s="1661"/>
      <c r="CQ235" s="1661"/>
      <c r="CR235" s="1661"/>
      <c r="CS235" s="1661"/>
      <c r="CT235" s="1660"/>
      <c r="CU235" s="1661"/>
      <c r="CV235" s="1661"/>
      <c r="CW235" s="1661"/>
      <c r="CX235" s="1661"/>
      <c r="CY235" s="1661"/>
      <c r="CZ235" s="1661"/>
      <c r="DA235" s="1661"/>
      <c r="DB235" s="1661"/>
      <c r="DC235" s="1661"/>
      <c r="DD235" s="1661"/>
      <c r="DE235" s="1661"/>
      <c r="DF235" s="1661"/>
      <c r="DG235" s="1661"/>
      <c r="DH235" s="1661"/>
      <c r="DI235" s="1660"/>
      <c r="DJ235" s="1661"/>
      <c r="DK235" s="1661"/>
      <c r="DL235" s="1661"/>
      <c r="DM235" s="1661"/>
      <c r="DN235" s="1661"/>
      <c r="DO235" s="1661"/>
      <c r="DP235" s="1661" t="s">
        <v>3880</v>
      </c>
      <c r="DQ235" s="1661"/>
      <c r="DR235" s="1660"/>
      <c r="DS235" s="1661"/>
      <c r="DT235" s="1661" t="s">
        <v>3880</v>
      </c>
      <c r="DU235" s="1661"/>
      <c r="DV235" s="1661"/>
      <c r="DW235" s="1660"/>
      <c r="DX235" s="1661"/>
      <c r="DY235" s="1661"/>
      <c r="DZ235" s="1661"/>
      <c r="EA235" s="1661"/>
      <c r="EB235" s="1661"/>
      <c r="EC235" s="1661"/>
      <c r="ED235" s="1661"/>
      <c r="EE235" s="1661"/>
      <c r="EF235" s="1661"/>
      <c r="EG235" s="1661"/>
      <c r="EH235" s="1661"/>
      <c r="EI235" s="1661"/>
      <c r="EJ235" s="1661"/>
      <c r="EK235" s="1661"/>
      <c r="EL235" s="1661"/>
      <c r="EM235" s="1661" t="s">
        <v>3918</v>
      </c>
      <c r="EN235" s="1660"/>
      <c r="EO235" s="1661"/>
      <c r="EP235" s="1661"/>
      <c r="EQ235" s="1661" t="s">
        <v>3877</v>
      </c>
      <c r="ER235" s="1661"/>
      <c r="ES235" s="1660"/>
      <c r="ET235" s="1661"/>
      <c r="EU235" s="1660"/>
      <c r="EV235" s="1661" t="s">
        <v>4040</v>
      </c>
      <c r="EW235" s="1661"/>
      <c r="EX235" s="1660" t="s">
        <v>3963</v>
      </c>
      <c r="EY235" s="1661"/>
      <c r="EZ235" s="1661"/>
      <c r="FA235" s="1661"/>
      <c r="FB235" s="1660"/>
      <c r="FC235" s="1660"/>
      <c r="FD235" s="1661"/>
      <c r="FE235" s="1661"/>
      <c r="FF235" s="1660"/>
      <c r="FG235" s="1661"/>
      <c r="FH235" s="1661"/>
      <c r="FI235" s="1661"/>
      <c r="FJ235" s="1660"/>
      <c r="FK235" s="1661"/>
      <c r="FL235" s="1661"/>
      <c r="FM235" s="1661"/>
      <c r="FN235" s="1661"/>
      <c r="FO235" s="1659"/>
      <c r="FP235" s="1659"/>
      <c r="FQ235" s="1661"/>
      <c r="FR235" s="1661"/>
      <c r="FS235" s="1661"/>
      <c r="FT235" s="1661"/>
      <c r="FU235" s="1661"/>
      <c r="FV235" s="1661"/>
      <c r="FW235" s="1661"/>
      <c r="FX235" s="1661"/>
      <c r="FY235" s="1661"/>
      <c r="FZ235" s="1661"/>
      <c r="GA235" s="1661"/>
      <c r="GB235" s="1661"/>
      <c r="GC235" s="1661"/>
      <c r="GD235" s="1661"/>
      <c r="GE235" s="1661"/>
      <c r="GF235" s="1659"/>
      <c r="GG235" s="1661"/>
      <c r="GH235" s="1661"/>
      <c r="GI235" s="1661"/>
      <c r="GJ235" s="1661"/>
      <c r="GK235" s="1661"/>
      <c r="GL235" s="1661"/>
      <c r="GM235" s="1661"/>
      <c r="GN235" s="1661"/>
      <c r="GO235" s="1661"/>
      <c r="GP235" s="1661"/>
      <c r="GQ235" s="1661"/>
      <c r="GR235" s="1661"/>
      <c r="GS235" s="1661"/>
      <c r="GT235" s="1661"/>
      <c r="GU235" s="1661"/>
      <c r="GV235" s="1661"/>
      <c r="GW235" s="1661"/>
      <c r="GX235" s="1661"/>
      <c r="GY235" s="1661"/>
      <c r="GZ235" s="1661"/>
      <c r="HA235" s="1661"/>
      <c r="HB235" s="1661"/>
      <c r="HC235" s="1661"/>
      <c r="HD235" s="1661"/>
      <c r="HE235" s="1661"/>
      <c r="HF235" s="1661"/>
      <c r="HG235" s="1661"/>
      <c r="HH235" s="1662" t="s">
        <v>3918</v>
      </c>
      <c r="HI235" s="1661"/>
      <c r="HJ235" s="1661"/>
      <c r="HK235" s="1661"/>
      <c r="HL235" s="1661"/>
      <c r="HM235" s="1661"/>
      <c r="HN235" s="1661"/>
      <c r="HO235" s="1661"/>
      <c r="HP235" s="1665"/>
      <c r="HQ235" s="1661"/>
      <c r="HR235" s="1660" t="s">
        <v>3963</v>
      </c>
      <c r="HS235" s="1661"/>
      <c r="HT235" s="1661"/>
      <c r="HU235" s="1661"/>
      <c r="HV235" s="1661"/>
      <c r="HW235" s="1661"/>
      <c r="HX235" s="1661"/>
      <c r="HY235" s="1661"/>
      <c r="HZ235" s="1661"/>
      <c r="IA235" s="1661"/>
      <c r="IB235" s="1661"/>
      <c r="IC235" s="1661"/>
      <c r="ID235" s="1661"/>
      <c r="IE235" s="1661"/>
      <c r="IF235" s="1661"/>
      <c r="IG235" s="1661"/>
      <c r="IH235" s="1661"/>
      <c r="II235" s="1661"/>
      <c r="IJ235" s="1661"/>
      <c r="IK235" s="1661"/>
      <c r="IL235" s="1661" t="s">
        <v>3861</v>
      </c>
      <c r="IM235" s="1661"/>
      <c r="IN235" s="1661"/>
      <c r="IO235" s="1661"/>
      <c r="IP235" s="1661"/>
      <c r="IQ235" s="1661"/>
      <c r="IR235" s="1661"/>
      <c r="IS235" s="1661"/>
      <c r="IT235" s="1661"/>
      <c r="IU235" s="1661"/>
      <c r="IV235" s="1661"/>
      <c r="IW235" s="1661"/>
      <c r="IX235" s="1661"/>
      <c r="IY235" s="1661"/>
      <c r="IZ235" s="1661"/>
      <c r="JA235" s="1661"/>
      <c r="JB235" s="1661"/>
      <c r="JC235" s="1661"/>
      <c r="JD235" s="1661"/>
      <c r="JE235" s="1660"/>
      <c r="JF235" s="1660"/>
      <c r="JG235" s="1661"/>
      <c r="JH235" s="1661"/>
      <c r="JI235" s="1661"/>
      <c r="JJ235" s="1660"/>
      <c r="JK235" s="1661"/>
      <c r="JL235" s="1661"/>
      <c r="JM235" s="1661"/>
      <c r="JN235" s="1663"/>
      <c r="JO235" s="1663"/>
      <c r="JP235" s="1661"/>
      <c r="JQ235" s="1662"/>
    </row>
    <row r="236" spans="1:277" x14ac:dyDescent="0.25">
      <c r="A236" s="1649">
        <v>21</v>
      </c>
      <c r="B236" s="1651">
        <f t="shared" si="19"/>
        <v>0</v>
      </c>
      <c r="D236" s="521" t="s">
        <v>4164</v>
      </c>
      <c r="E236" s="1659"/>
      <c r="F236" s="1660"/>
      <c r="G236" s="1661"/>
      <c r="H236" s="1661"/>
      <c r="I236" s="1660"/>
      <c r="J236" s="1660"/>
      <c r="K236" s="1660"/>
      <c r="L236" s="1660"/>
      <c r="M236" s="1661"/>
      <c r="N236" s="1661"/>
      <c r="O236" s="1661"/>
      <c r="P236" s="1661"/>
      <c r="Q236" s="1661"/>
      <c r="R236" s="1661"/>
      <c r="S236" s="1661"/>
      <c r="T236" s="1661"/>
      <c r="U236" s="1661"/>
      <c r="V236" s="1661"/>
      <c r="W236" s="1661"/>
      <c r="X236" s="1661"/>
      <c r="Y236" s="1661"/>
      <c r="Z236" s="1661"/>
      <c r="AA236" s="1661"/>
      <c r="AB236" s="1661"/>
      <c r="AC236" s="1661"/>
      <c r="AD236" s="1661"/>
      <c r="AE236" s="1661"/>
      <c r="AF236" s="1661"/>
      <c r="AG236" s="1661"/>
      <c r="AH236" s="1661"/>
      <c r="AI236" s="1661"/>
      <c r="AJ236" s="1661"/>
      <c r="AK236" s="1661"/>
      <c r="AL236" s="1661"/>
      <c r="AM236" s="1661"/>
      <c r="AN236" s="1661"/>
      <c r="AO236" s="1661"/>
      <c r="AP236" s="1660"/>
      <c r="AQ236" s="1660"/>
      <c r="AR236" s="1661"/>
      <c r="AS236" s="1661"/>
      <c r="AT236" s="1661"/>
      <c r="AU236" s="1661"/>
      <c r="AV236" s="1661"/>
      <c r="AW236" s="1661"/>
      <c r="AX236" s="1661"/>
      <c r="AY236" s="1661"/>
      <c r="AZ236" s="1661"/>
      <c r="BA236" s="1661"/>
      <c r="BB236" s="1660">
        <v>0</v>
      </c>
      <c r="BC236" s="1660">
        <v>0</v>
      </c>
      <c r="BD236" s="1660">
        <v>0</v>
      </c>
      <c r="BE236" s="1660"/>
      <c r="BF236" s="1660"/>
      <c r="BG236" s="1660"/>
      <c r="BH236" s="1660"/>
      <c r="BI236" s="1660"/>
      <c r="BJ236" s="1660">
        <v>0</v>
      </c>
      <c r="BK236" s="1661"/>
      <c r="BL236" s="1661"/>
      <c r="BM236" s="1660"/>
      <c r="BN236" s="1660"/>
      <c r="BO236" s="1660"/>
      <c r="BP236" s="1660"/>
      <c r="BQ236" s="1660"/>
      <c r="BR236" s="1660"/>
      <c r="BS236" s="1660"/>
      <c r="BT236" s="1660"/>
      <c r="BU236" s="1660"/>
      <c r="BV236" s="1660"/>
      <c r="BW236" s="1660"/>
      <c r="BX236" s="1660"/>
      <c r="BY236" s="1660"/>
      <c r="BZ236" s="1660"/>
      <c r="CA236" s="1660"/>
      <c r="CB236" s="1660">
        <v>0</v>
      </c>
      <c r="CC236" s="1661"/>
      <c r="CD236" s="1661"/>
      <c r="CE236" s="1661"/>
      <c r="CF236" s="1661"/>
      <c r="CG236" s="1661"/>
      <c r="CH236" s="1661"/>
      <c r="CI236" s="1661"/>
      <c r="CJ236" s="1660">
        <v>0</v>
      </c>
      <c r="CK236" s="1661"/>
      <c r="CL236" s="1661"/>
      <c r="CM236" s="1661"/>
      <c r="CN236" s="1661"/>
      <c r="CO236" s="1661"/>
      <c r="CP236" s="1661"/>
      <c r="CQ236" s="1661"/>
      <c r="CR236" s="1661"/>
      <c r="CS236" s="1661"/>
      <c r="CT236" s="1660">
        <v>0</v>
      </c>
      <c r="CU236" s="1661"/>
      <c r="CV236" s="1661"/>
      <c r="CW236" s="1661"/>
      <c r="CX236" s="1661"/>
      <c r="CY236" s="1661"/>
      <c r="CZ236" s="1661"/>
      <c r="DA236" s="1661"/>
      <c r="DB236" s="1661"/>
      <c r="DC236" s="1661"/>
      <c r="DD236" s="1661"/>
      <c r="DE236" s="1661"/>
      <c r="DF236" s="1661"/>
      <c r="DG236" s="1661"/>
      <c r="DH236" s="1661"/>
      <c r="DI236" s="1660"/>
      <c r="DJ236" s="1661"/>
      <c r="DK236" s="1661"/>
      <c r="DL236" s="1661"/>
      <c r="DM236" s="1661"/>
      <c r="DN236" s="1661"/>
      <c r="DO236" s="1661"/>
      <c r="DP236" s="1661">
        <v>500</v>
      </c>
      <c r="DQ236" s="1661"/>
      <c r="DR236" s="1660">
        <v>0</v>
      </c>
      <c r="DS236" s="1661"/>
      <c r="DT236" s="1661">
        <v>500</v>
      </c>
      <c r="DU236" s="1661"/>
      <c r="DV236" s="1661"/>
      <c r="DW236" s="1660">
        <v>0</v>
      </c>
      <c r="DX236" s="1661"/>
      <c r="DY236" s="1661"/>
      <c r="DZ236" s="1661"/>
      <c r="EA236" s="1661"/>
      <c r="EB236" s="1661"/>
      <c r="EC236" s="1661"/>
      <c r="ED236" s="1661"/>
      <c r="EE236" s="1661"/>
      <c r="EF236" s="1661"/>
      <c r="EG236" s="1661"/>
      <c r="EH236" s="1661"/>
      <c r="EI236" s="1661"/>
      <c r="EJ236" s="1661"/>
      <c r="EK236" s="1661"/>
      <c r="EL236" s="1661"/>
      <c r="EM236" s="1661">
        <v>170</v>
      </c>
      <c r="EN236" s="1660">
        <v>0</v>
      </c>
      <c r="EO236" s="1661"/>
      <c r="EP236" s="1661"/>
      <c r="EQ236" s="1661">
        <v>1833</v>
      </c>
      <c r="ER236" s="1661"/>
      <c r="ES236" s="1660">
        <v>0</v>
      </c>
      <c r="ET236" s="1661"/>
      <c r="EU236" s="1660">
        <v>0</v>
      </c>
      <c r="EV236" s="1661">
        <v>68379</v>
      </c>
      <c r="EW236" s="1661"/>
      <c r="EX236" s="1660">
        <v>3620</v>
      </c>
      <c r="EY236" s="1661"/>
      <c r="EZ236" s="1661"/>
      <c r="FA236" s="1661"/>
      <c r="FB236" s="1660">
        <v>0</v>
      </c>
      <c r="FC236" s="1660">
        <v>0</v>
      </c>
      <c r="FD236" s="1661"/>
      <c r="FE236" s="1661"/>
      <c r="FF236" s="1660">
        <v>0</v>
      </c>
      <c r="FG236" s="1661"/>
      <c r="FH236" s="1661"/>
      <c r="FI236" s="1661"/>
      <c r="FJ236" s="1660">
        <v>0</v>
      </c>
      <c r="FK236" s="1661"/>
      <c r="FL236" s="1661"/>
      <c r="FM236" s="1661"/>
      <c r="FN236" s="1661"/>
      <c r="FO236" s="1659">
        <v>0</v>
      </c>
      <c r="FP236" s="1659">
        <v>0</v>
      </c>
      <c r="FQ236" s="1661"/>
      <c r="FR236" s="1661"/>
      <c r="FS236" s="1661"/>
      <c r="FT236" s="1661"/>
      <c r="FU236" s="1661"/>
      <c r="FV236" s="1661"/>
      <c r="FW236" s="1661"/>
      <c r="FX236" s="1661"/>
      <c r="FY236" s="1661"/>
      <c r="FZ236" s="1661"/>
      <c r="GA236" s="1661"/>
      <c r="GB236" s="1661"/>
      <c r="GC236" s="1661"/>
      <c r="GD236" s="1661"/>
      <c r="GE236" s="1661"/>
      <c r="GF236" s="1659">
        <v>0</v>
      </c>
      <c r="GG236" s="1661"/>
      <c r="GH236" s="1661"/>
      <c r="GI236" s="1661"/>
      <c r="GJ236" s="1661"/>
      <c r="GK236" s="1661"/>
      <c r="GL236" s="1661"/>
      <c r="GM236" s="1661"/>
      <c r="GN236" s="1661"/>
      <c r="GO236" s="1661"/>
      <c r="GP236" s="1661"/>
      <c r="GQ236" s="1661"/>
      <c r="GR236" s="1661"/>
      <c r="GS236" s="1661"/>
      <c r="GT236" s="1661"/>
      <c r="GU236" s="1661"/>
      <c r="GV236" s="1661"/>
      <c r="GW236" s="1661"/>
      <c r="GX236" s="1661"/>
      <c r="GY236" s="1661"/>
      <c r="GZ236" s="1661"/>
      <c r="HA236" s="1661"/>
      <c r="HB236" s="1661"/>
      <c r="HC236" s="1661"/>
      <c r="HD236" s="1661"/>
      <c r="HE236" s="1661"/>
      <c r="HF236" s="1661"/>
      <c r="HG236" s="1661"/>
      <c r="HH236" s="1662">
        <v>14655</v>
      </c>
      <c r="HI236" s="1661"/>
      <c r="HJ236" s="1661">
        <v>0</v>
      </c>
      <c r="HK236" s="1661">
        <v>0</v>
      </c>
      <c r="HL236" s="1661">
        <v>0</v>
      </c>
      <c r="HM236" s="1661">
        <v>0</v>
      </c>
      <c r="HN236" s="1661"/>
      <c r="HO236" s="1661"/>
      <c r="HP236" s="1665">
        <v>0</v>
      </c>
      <c r="HQ236" s="1661"/>
      <c r="HR236" s="1660">
        <v>3620</v>
      </c>
      <c r="HS236" s="1661"/>
      <c r="HT236" s="1661">
        <v>0</v>
      </c>
      <c r="HU236" s="1661"/>
      <c r="HV236" s="1661"/>
      <c r="HW236" s="1661"/>
      <c r="HX236" s="1661"/>
      <c r="HY236" s="1661"/>
      <c r="HZ236" s="1661"/>
      <c r="IA236" s="1661">
        <v>0</v>
      </c>
      <c r="IB236" s="1661"/>
      <c r="IC236" s="1661"/>
      <c r="ID236" s="1661"/>
      <c r="IE236" s="1661"/>
      <c r="IF236" s="1661">
        <v>0</v>
      </c>
      <c r="IG236" s="1661"/>
      <c r="IH236" s="1661"/>
      <c r="II236" s="1661">
        <v>0</v>
      </c>
      <c r="IJ236" s="1661"/>
      <c r="IK236" s="1661"/>
      <c r="IL236" s="1661">
        <v>3770</v>
      </c>
      <c r="IM236" s="1661"/>
      <c r="IN236" s="1661"/>
      <c r="IO236" s="1661"/>
      <c r="IP236" s="1661"/>
      <c r="IQ236" s="1661"/>
      <c r="IR236" s="1661"/>
      <c r="IS236" s="1661"/>
      <c r="IT236" s="1661"/>
      <c r="IU236" s="1661"/>
      <c r="IV236" s="1661"/>
      <c r="IW236" s="1661"/>
      <c r="IX236" s="1661"/>
      <c r="IY236" s="1661"/>
      <c r="IZ236" s="1661"/>
      <c r="JA236" s="1661"/>
      <c r="JB236" s="1661"/>
      <c r="JC236" s="1661"/>
      <c r="JD236" s="1661"/>
      <c r="JE236" s="1660">
        <v>0</v>
      </c>
      <c r="JF236" s="1660">
        <v>0</v>
      </c>
      <c r="JG236" s="1661"/>
      <c r="JH236" s="1661"/>
      <c r="JI236" s="1661"/>
      <c r="JJ236" s="1660">
        <v>0</v>
      </c>
      <c r="JK236" s="1661"/>
      <c r="JL236" s="1661"/>
      <c r="JM236" s="1661"/>
      <c r="JN236" s="1663"/>
      <c r="JO236" s="1663"/>
      <c r="JP236" s="1661"/>
      <c r="JQ236" s="1662"/>
    </row>
    <row r="237" spans="1:277" ht="13" thickBot="1" x14ac:dyDescent="0.3">
      <c r="A237" s="1649">
        <v>22</v>
      </c>
      <c r="B237" s="1651">
        <f t="shared" si="19"/>
        <v>0</v>
      </c>
      <c r="D237" s="521" t="s">
        <v>4165</v>
      </c>
      <c r="E237" s="740"/>
      <c r="F237" s="741"/>
      <c r="G237" s="742"/>
      <c r="H237" s="742"/>
      <c r="I237" s="741"/>
      <c r="J237" s="741"/>
      <c r="K237" s="741"/>
      <c r="L237" s="741"/>
      <c r="M237" s="742"/>
      <c r="N237" s="742"/>
      <c r="O237" s="742"/>
      <c r="P237" s="742"/>
      <c r="Q237" s="742"/>
      <c r="R237" s="742"/>
      <c r="S237" s="742"/>
      <c r="T237" s="742"/>
      <c r="U237" s="742"/>
      <c r="V237" s="742"/>
      <c r="W237" s="742"/>
      <c r="X237" s="742"/>
      <c r="Y237" s="742"/>
      <c r="Z237" s="742"/>
      <c r="AA237" s="742"/>
      <c r="AB237" s="742"/>
      <c r="AC237" s="742"/>
      <c r="AD237" s="742"/>
      <c r="AE237" s="742"/>
      <c r="AF237" s="742"/>
      <c r="AG237" s="742"/>
      <c r="AH237" s="742"/>
      <c r="AI237" s="742"/>
      <c r="AJ237" s="742"/>
      <c r="AK237" s="742"/>
      <c r="AL237" s="742"/>
      <c r="AM237" s="742"/>
      <c r="AN237" s="742"/>
      <c r="AO237" s="742"/>
      <c r="AP237" s="741"/>
      <c r="AQ237" s="741"/>
      <c r="AR237" s="742"/>
      <c r="AS237" s="742"/>
      <c r="AT237" s="742"/>
      <c r="AU237" s="742"/>
      <c r="AV237" s="742"/>
      <c r="AW237" s="742"/>
      <c r="AX237" s="742"/>
      <c r="AY237" s="742"/>
      <c r="AZ237" s="742"/>
      <c r="BA237" s="742"/>
      <c r="BB237" s="741">
        <v>0</v>
      </c>
      <c r="BC237" s="741">
        <v>0</v>
      </c>
      <c r="BD237" s="741">
        <v>0</v>
      </c>
      <c r="BE237" s="741"/>
      <c r="BF237" s="741"/>
      <c r="BG237" s="741"/>
      <c r="BH237" s="741"/>
      <c r="BI237" s="741"/>
      <c r="BJ237" s="741">
        <v>0</v>
      </c>
      <c r="BK237" s="742"/>
      <c r="BL237" s="742"/>
      <c r="BM237" s="741"/>
      <c r="BN237" s="741"/>
      <c r="BO237" s="741"/>
      <c r="BP237" s="741"/>
      <c r="BQ237" s="741"/>
      <c r="BR237" s="741"/>
      <c r="BS237" s="741"/>
      <c r="BT237" s="741"/>
      <c r="BU237" s="741"/>
      <c r="BV237" s="741"/>
      <c r="BW237" s="741"/>
      <c r="BX237" s="741"/>
      <c r="BY237" s="741"/>
      <c r="BZ237" s="741"/>
      <c r="CA237" s="741"/>
      <c r="CB237" s="741">
        <v>0</v>
      </c>
      <c r="CC237" s="742"/>
      <c r="CD237" s="742"/>
      <c r="CE237" s="742"/>
      <c r="CF237" s="742"/>
      <c r="CG237" s="742"/>
      <c r="CH237" s="742"/>
      <c r="CI237" s="742"/>
      <c r="CJ237" s="741">
        <v>0</v>
      </c>
      <c r="CK237" s="742"/>
      <c r="CL237" s="742"/>
      <c r="CM237" s="742"/>
      <c r="CN237" s="742"/>
      <c r="CO237" s="742"/>
      <c r="CP237" s="742"/>
      <c r="CQ237" s="742"/>
      <c r="CR237" s="742"/>
      <c r="CS237" s="742"/>
      <c r="CT237" s="741">
        <v>0</v>
      </c>
      <c r="CU237" s="742"/>
      <c r="CV237" s="742"/>
      <c r="CW237" s="742"/>
      <c r="CX237" s="742"/>
      <c r="CY237" s="742"/>
      <c r="CZ237" s="742"/>
      <c r="DA237" s="742"/>
      <c r="DB237" s="742"/>
      <c r="DC237" s="742"/>
      <c r="DD237" s="742"/>
      <c r="DE237" s="742"/>
      <c r="DF237" s="742"/>
      <c r="DG237" s="742"/>
      <c r="DH237" s="742"/>
      <c r="DI237" s="741"/>
      <c r="DJ237" s="742"/>
      <c r="DK237" s="742"/>
      <c r="DL237" s="742"/>
      <c r="DM237" s="742"/>
      <c r="DN237" s="742"/>
      <c r="DO237" s="742"/>
      <c r="DP237" s="742">
        <v>50</v>
      </c>
      <c r="DQ237" s="742"/>
      <c r="DR237" s="741">
        <v>0</v>
      </c>
      <c r="DS237" s="742"/>
      <c r="DT237" s="742">
        <v>50</v>
      </c>
      <c r="DU237" s="742"/>
      <c r="DV237" s="742"/>
      <c r="DW237" s="741">
        <v>0</v>
      </c>
      <c r="DX237" s="742"/>
      <c r="DY237" s="742"/>
      <c r="DZ237" s="742"/>
      <c r="EA237" s="742"/>
      <c r="EB237" s="742"/>
      <c r="EC237" s="742"/>
      <c r="ED237" s="742"/>
      <c r="EE237" s="742"/>
      <c r="EF237" s="742"/>
      <c r="EG237" s="742"/>
      <c r="EH237" s="742"/>
      <c r="EI237" s="742"/>
      <c r="EJ237" s="742"/>
      <c r="EK237" s="742"/>
      <c r="EL237" s="742"/>
      <c r="EM237" s="742">
        <v>26</v>
      </c>
      <c r="EN237" s="741">
        <v>0</v>
      </c>
      <c r="EO237" s="742"/>
      <c r="EP237" s="742"/>
      <c r="EQ237" s="742">
        <v>183</v>
      </c>
      <c r="ER237" s="742"/>
      <c r="ES237" s="741">
        <v>0</v>
      </c>
      <c r="ET237" s="742"/>
      <c r="EU237" s="741">
        <v>0</v>
      </c>
      <c r="EV237" s="742">
        <v>10976</v>
      </c>
      <c r="EW237" s="742"/>
      <c r="EX237" s="741">
        <v>724</v>
      </c>
      <c r="EY237" s="742"/>
      <c r="EZ237" s="742"/>
      <c r="FA237" s="742"/>
      <c r="FB237" s="741">
        <v>0</v>
      </c>
      <c r="FC237" s="741">
        <v>0</v>
      </c>
      <c r="FD237" s="742"/>
      <c r="FE237" s="742"/>
      <c r="FF237" s="741">
        <v>0</v>
      </c>
      <c r="FG237" s="742"/>
      <c r="FH237" s="742"/>
      <c r="FI237" s="742"/>
      <c r="FJ237" s="741">
        <v>0</v>
      </c>
      <c r="FK237" s="742"/>
      <c r="FL237" s="742"/>
      <c r="FM237" s="742"/>
      <c r="FN237" s="742"/>
      <c r="FO237" s="740">
        <v>0</v>
      </c>
      <c r="FP237" s="740">
        <v>0</v>
      </c>
      <c r="FQ237" s="742"/>
      <c r="FR237" s="742"/>
      <c r="FS237" s="742"/>
      <c r="FT237" s="742"/>
      <c r="FU237" s="742"/>
      <c r="FV237" s="742"/>
      <c r="FW237" s="742"/>
      <c r="FX237" s="742"/>
      <c r="FY237" s="742"/>
      <c r="FZ237" s="742"/>
      <c r="GA237" s="742"/>
      <c r="GB237" s="742"/>
      <c r="GC237" s="742"/>
      <c r="GD237" s="742"/>
      <c r="GE237" s="742"/>
      <c r="GF237" s="740">
        <v>0</v>
      </c>
      <c r="GG237" s="742"/>
      <c r="GH237" s="742"/>
      <c r="GI237" s="742"/>
      <c r="GJ237" s="742"/>
      <c r="GK237" s="742"/>
      <c r="GL237" s="742"/>
      <c r="GM237" s="742"/>
      <c r="GN237" s="742"/>
      <c r="GO237" s="742"/>
      <c r="GP237" s="742"/>
      <c r="GQ237" s="742"/>
      <c r="GR237" s="742"/>
      <c r="GS237" s="742"/>
      <c r="GT237" s="742"/>
      <c r="GU237" s="742"/>
      <c r="GV237" s="742"/>
      <c r="GW237" s="742"/>
      <c r="GX237" s="742"/>
      <c r="GY237" s="742"/>
      <c r="GZ237" s="742"/>
      <c r="HA237" s="742"/>
      <c r="HB237" s="742"/>
      <c r="HC237" s="742"/>
      <c r="HD237" s="742"/>
      <c r="HE237" s="742"/>
      <c r="HF237" s="742"/>
      <c r="HG237" s="742"/>
      <c r="HH237" s="741">
        <v>3394</v>
      </c>
      <c r="HI237" s="742"/>
      <c r="HJ237" s="741">
        <v>0</v>
      </c>
      <c r="HK237" s="741">
        <v>0</v>
      </c>
      <c r="HL237" s="741">
        <v>0</v>
      </c>
      <c r="HM237" s="741">
        <v>0</v>
      </c>
      <c r="HN237" s="742"/>
      <c r="HO237" s="742"/>
      <c r="HP237" s="822">
        <v>0</v>
      </c>
      <c r="HQ237" s="742"/>
      <c r="HR237" s="741">
        <v>724</v>
      </c>
      <c r="HS237" s="742"/>
      <c r="HT237" s="742">
        <v>0</v>
      </c>
      <c r="HU237" s="742"/>
      <c r="HV237" s="742"/>
      <c r="HW237" s="742"/>
      <c r="HX237" s="742"/>
      <c r="HY237" s="742"/>
      <c r="HZ237" s="742"/>
      <c r="IA237" s="742">
        <v>0</v>
      </c>
      <c r="IB237" s="742"/>
      <c r="IC237" s="742"/>
      <c r="ID237" s="742"/>
      <c r="IE237" s="742"/>
      <c r="IF237" s="742">
        <v>0</v>
      </c>
      <c r="IG237" s="742"/>
      <c r="IH237" s="742"/>
      <c r="II237" s="742">
        <v>0</v>
      </c>
      <c r="IJ237" s="742"/>
      <c r="IK237" s="742"/>
      <c r="IL237" s="742">
        <v>867</v>
      </c>
      <c r="IM237" s="742"/>
      <c r="IN237" s="742"/>
      <c r="IO237" s="742"/>
      <c r="IP237" s="742"/>
      <c r="IQ237" s="742"/>
      <c r="IR237" s="742"/>
      <c r="IS237" s="742"/>
      <c r="IT237" s="742"/>
      <c r="IU237" s="742"/>
      <c r="IV237" s="742"/>
      <c r="IW237" s="742"/>
      <c r="IX237" s="742"/>
      <c r="IY237" s="742"/>
      <c r="IZ237" s="742"/>
      <c r="JA237" s="742"/>
      <c r="JB237" s="742"/>
      <c r="JC237" s="742"/>
      <c r="JD237" s="742"/>
      <c r="JE237" s="741">
        <v>0</v>
      </c>
      <c r="JF237" s="741">
        <v>0</v>
      </c>
      <c r="JG237" s="742"/>
      <c r="JH237" s="742"/>
      <c r="JI237" s="742"/>
      <c r="JJ237" s="741">
        <v>0</v>
      </c>
      <c r="JK237" s="742"/>
      <c r="JL237" s="742"/>
      <c r="JM237" s="742"/>
      <c r="JN237" s="743"/>
      <c r="JO237" s="743"/>
      <c r="JP237" s="742"/>
      <c r="JQ237" s="744"/>
    </row>
    <row r="238" spans="1:277" x14ac:dyDescent="0.25">
      <c r="A238" s="1649">
        <v>23</v>
      </c>
      <c r="B238" s="1651">
        <f t="shared" si="19"/>
        <v>1</v>
      </c>
      <c r="D238" s="521" t="s">
        <v>4166</v>
      </c>
      <c r="E238" s="541"/>
      <c r="F238" s="542"/>
      <c r="G238" s="542"/>
      <c r="H238" s="542"/>
      <c r="I238" s="542"/>
      <c r="J238" s="542"/>
      <c r="K238" s="542"/>
      <c r="L238" s="542"/>
      <c r="M238" s="542"/>
      <c r="N238" s="542"/>
      <c r="O238" s="542"/>
      <c r="P238" s="542"/>
      <c r="Q238" s="542"/>
      <c r="R238" s="542"/>
      <c r="S238" s="542"/>
      <c r="T238" s="542"/>
      <c r="U238" s="542"/>
      <c r="V238" s="542"/>
      <c r="W238" s="542"/>
      <c r="X238" s="542"/>
      <c r="Y238" s="542"/>
      <c r="Z238" s="542"/>
      <c r="AA238" s="542"/>
      <c r="AB238" s="542"/>
      <c r="AC238" s="542"/>
      <c r="AD238" s="542"/>
      <c r="AE238" s="542"/>
      <c r="AF238" s="542"/>
      <c r="AG238" s="542"/>
      <c r="AH238" s="542"/>
      <c r="AI238" s="542"/>
      <c r="AJ238" s="542"/>
      <c r="AK238" s="542"/>
      <c r="AL238" s="542"/>
      <c r="AM238" s="542"/>
      <c r="AN238" s="542"/>
      <c r="AO238" s="542"/>
      <c r="AP238" s="542"/>
      <c r="AQ238" s="542"/>
      <c r="AR238" s="542"/>
      <c r="AS238" s="542"/>
      <c r="AT238" s="542"/>
      <c r="AU238" s="542"/>
      <c r="AV238" s="542"/>
      <c r="AW238" s="542"/>
      <c r="AX238" s="542"/>
      <c r="AY238" s="542"/>
      <c r="AZ238" s="542"/>
      <c r="BA238" s="542"/>
      <c r="BB238" s="542">
        <v>1</v>
      </c>
      <c r="BC238" s="542">
        <v>1</v>
      </c>
      <c r="BD238" s="542">
        <v>1</v>
      </c>
      <c r="BE238" s="542"/>
      <c r="BF238" s="542"/>
      <c r="BG238" s="542"/>
      <c r="BH238" s="542"/>
      <c r="BI238" s="542"/>
      <c r="BJ238" s="542">
        <v>1</v>
      </c>
      <c r="BK238" s="542"/>
      <c r="BL238" s="542"/>
      <c r="BM238" s="542"/>
      <c r="BN238" s="542"/>
      <c r="BO238" s="542"/>
      <c r="BP238" s="542"/>
      <c r="BQ238" s="542"/>
      <c r="BR238" s="542"/>
      <c r="BS238" s="542"/>
      <c r="BT238" s="542"/>
      <c r="BU238" s="542"/>
      <c r="BV238" s="542"/>
      <c r="BW238" s="542"/>
      <c r="BX238" s="542"/>
      <c r="BY238" s="542"/>
      <c r="BZ238" s="542"/>
      <c r="CA238" s="542"/>
      <c r="CB238" s="542">
        <v>1</v>
      </c>
      <c r="CC238" s="542"/>
      <c r="CD238" s="542"/>
      <c r="CE238" s="542"/>
      <c r="CF238" s="542"/>
      <c r="CG238" s="542"/>
      <c r="CH238" s="542"/>
      <c r="CI238" s="542"/>
      <c r="CJ238" s="542">
        <v>1</v>
      </c>
      <c r="CK238" s="542"/>
      <c r="CL238" s="542"/>
      <c r="CM238" s="542"/>
      <c r="CN238" s="542"/>
      <c r="CO238" s="542"/>
      <c r="CP238" s="542"/>
      <c r="CQ238" s="542"/>
      <c r="CR238" s="542"/>
      <c r="CS238" s="542"/>
      <c r="CT238" s="542">
        <v>1</v>
      </c>
      <c r="CU238" s="542"/>
      <c r="CV238" s="542"/>
      <c r="CW238" s="542"/>
      <c r="CX238" s="542"/>
      <c r="CY238" s="542"/>
      <c r="CZ238" s="542"/>
      <c r="DA238" s="542"/>
      <c r="DB238" s="542"/>
      <c r="DC238" s="542"/>
      <c r="DD238" s="542"/>
      <c r="DE238" s="542"/>
      <c r="DF238" s="542"/>
      <c r="DG238" s="542"/>
      <c r="DH238" s="542"/>
      <c r="DI238" s="542"/>
      <c r="DJ238" s="542"/>
      <c r="DK238" s="542"/>
      <c r="DL238" s="542"/>
      <c r="DM238" s="542"/>
      <c r="DN238" s="542"/>
      <c r="DO238" s="542"/>
      <c r="DP238" s="542">
        <v>1</v>
      </c>
      <c r="DQ238" s="542"/>
      <c r="DR238" s="542">
        <v>1</v>
      </c>
      <c r="DS238" s="542"/>
      <c r="DT238" s="542">
        <v>1</v>
      </c>
      <c r="DU238" s="542"/>
      <c r="DV238" s="542"/>
      <c r="DW238" s="542">
        <v>1</v>
      </c>
      <c r="DX238" s="542"/>
      <c r="DY238" s="542"/>
      <c r="DZ238" s="542"/>
      <c r="EA238" s="542"/>
      <c r="EB238" s="542"/>
      <c r="EC238" s="542"/>
      <c r="ED238" s="542"/>
      <c r="EE238" s="542"/>
      <c r="EF238" s="542"/>
      <c r="EG238" s="542"/>
      <c r="EH238" s="542"/>
      <c r="EI238" s="542"/>
      <c r="EJ238" s="542"/>
      <c r="EK238" s="542"/>
      <c r="EL238" s="542"/>
      <c r="EM238" s="542">
        <v>4</v>
      </c>
      <c r="EN238" s="542">
        <v>1</v>
      </c>
      <c r="EO238" s="542"/>
      <c r="EP238" s="542"/>
      <c r="EQ238" s="542">
        <v>4</v>
      </c>
      <c r="ER238" s="542"/>
      <c r="ES238" s="542">
        <v>1</v>
      </c>
      <c r="ET238" s="542"/>
      <c r="EU238" s="542">
        <v>1</v>
      </c>
      <c r="EV238" s="542">
        <v>1</v>
      </c>
      <c r="EW238" s="542"/>
      <c r="EX238" s="542">
        <v>1</v>
      </c>
      <c r="EY238" s="542"/>
      <c r="EZ238" s="542"/>
      <c r="FA238" s="542"/>
      <c r="FB238" s="542">
        <v>1</v>
      </c>
      <c r="FC238" s="542">
        <v>1</v>
      </c>
      <c r="FD238" s="542"/>
      <c r="FE238" s="542"/>
      <c r="FF238" s="542">
        <v>1</v>
      </c>
      <c r="FG238" s="542"/>
      <c r="FH238" s="542"/>
      <c r="FI238" s="542"/>
      <c r="FJ238" s="542">
        <v>1</v>
      </c>
      <c r="FK238" s="542"/>
      <c r="FL238" s="542"/>
      <c r="FM238" s="542"/>
      <c r="FN238" s="542"/>
      <c r="FO238" s="541">
        <v>1</v>
      </c>
      <c r="FP238" s="541">
        <v>1</v>
      </c>
      <c r="FQ238" s="542"/>
      <c r="FR238" s="542"/>
      <c r="FS238" s="542"/>
      <c r="FT238" s="542"/>
      <c r="FU238" s="542"/>
      <c r="FV238" s="542"/>
      <c r="FW238" s="542"/>
      <c r="FX238" s="542"/>
      <c r="FY238" s="542"/>
      <c r="FZ238" s="542"/>
      <c r="GA238" s="542"/>
      <c r="GB238" s="542"/>
      <c r="GC238" s="542"/>
      <c r="GD238" s="542"/>
      <c r="GE238" s="542"/>
      <c r="GF238" s="541">
        <v>1</v>
      </c>
      <c r="GG238" s="542"/>
      <c r="GH238" s="542"/>
      <c r="GI238" s="542"/>
      <c r="GJ238" s="542"/>
      <c r="GK238" s="542"/>
      <c r="GL238" s="542"/>
      <c r="GM238" s="542"/>
      <c r="GN238" s="542"/>
      <c r="GO238" s="542"/>
      <c r="GP238" s="542"/>
      <c r="GQ238" s="542"/>
      <c r="GR238" s="542"/>
      <c r="GS238" s="542"/>
      <c r="GT238" s="542"/>
      <c r="GU238" s="542"/>
      <c r="GV238" s="542"/>
      <c r="GW238" s="542"/>
      <c r="GX238" s="542"/>
      <c r="GY238" s="542"/>
      <c r="GZ238" s="542"/>
      <c r="HA238" s="542"/>
      <c r="HB238" s="542"/>
      <c r="HC238" s="542"/>
      <c r="HD238" s="542"/>
      <c r="HE238" s="542"/>
      <c r="HF238" s="542"/>
      <c r="HG238" s="542"/>
      <c r="HH238" s="543">
        <v>1</v>
      </c>
      <c r="HI238" s="542"/>
      <c r="HJ238" s="542">
        <v>1</v>
      </c>
      <c r="HK238" s="542">
        <v>1</v>
      </c>
      <c r="HL238" s="542">
        <v>1</v>
      </c>
      <c r="HM238" s="542">
        <v>1</v>
      </c>
      <c r="HN238" s="542"/>
      <c r="HO238" s="542"/>
      <c r="HP238" s="542">
        <v>1</v>
      </c>
      <c r="HQ238" s="542"/>
      <c r="HR238" s="542">
        <v>1</v>
      </c>
      <c r="HS238" s="542"/>
      <c r="HT238" s="542">
        <v>1</v>
      </c>
      <c r="HU238" s="542"/>
      <c r="HV238" s="542"/>
      <c r="HW238" s="542"/>
      <c r="HX238" s="542"/>
      <c r="HY238" s="542"/>
      <c r="HZ238" s="542"/>
      <c r="IA238" s="542">
        <v>1</v>
      </c>
      <c r="IB238" s="542"/>
      <c r="IC238" s="542"/>
      <c r="ID238" s="542"/>
      <c r="IE238" s="542"/>
      <c r="IF238" s="542">
        <v>1</v>
      </c>
      <c r="IG238" s="542"/>
      <c r="IH238" s="542"/>
      <c r="II238" s="542">
        <v>1</v>
      </c>
      <c r="IJ238" s="542"/>
      <c r="IK238" s="542"/>
      <c r="IL238" s="542">
        <v>4</v>
      </c>
      <c r="IM238" s="542"/>
      <c r="IN238" s="542"/>
      <c r="IO238" s="542"/>
      <c r="IP238" s="542"/>
      <c r="IQ238" s="542"/>
      <c r="IR238" s="542"/>
      <c r="IS238" s="542"/>
      <c r="IT238" s="542"/>
      <c r="IU238" s="542"/>
      <c r="IV238" s="542"/>
      <c r="IW238" s="542"/>
      <c r="IX238" s="542"/>
      <c r="IY238" s="542"/>
      <c r="IZ238" s="542"/>
      <c r="JA238" s="542"/>
      <c r="JB238" s="542"/>
      <c r="JC238" s="542"/>
      <c r="JD238" s="542"/>
      <c r="JE238" s="542">
        <v>1</v>
      </c>
      <c r="JF238" s="542">
        <v>1</v>
      </c>
      <c r="JG238" s="542"/>
      <c r="JH238" s="542"/>
      <c r="JI238" s="542"/>
      <c r="JJ238" s="542">
        <v>1</v>
      </c>
      <c r="JK238" s="542"/>
      <c r="JL238" s="542"/>
      <c r="JM238" s="542"/>
      <c r="JN238" s="544"/>
      <c r="JO238" s="544"/>
      <c r="JP238" s="542"/>
      <c r="JQ238" s="543"/>
    </row>
    <row r="239" spans="1:277" x14ac:dyDescent="0.25">
      <c r="A239" s="1649">
        <v>24</v>
      </c>
      <c r="B239" s="1651">
        <f t="shared" si="19"/>
        <v>1</v>
      </c>
      <c r="D239" s="521" t="s">
        <v>4167</v>
      </c>
      <c r="E239" s="1655"/>
      <c r="F239" s="1656"/>
      <c r="G239" s="1656"/>
      <c r="H239" s="1656"/>
      <c r="I239" s="1656"/>
      <c r="J239" s="1656"/>
      <c r="K239" s="1656"/>
      <c r="L239" s="1656"/>
      <c r="M239" s="1656"/>
      <c r="N239" s="1656"/>
      <c r="O239" s="1656"/>
      <c r="P239" s="1656"/>
      <c r="Q239" s="1656"/>
      <c r="R239" s="1656"/>
      <c r="S239" s="1656"/>
      <c r="T239" s="1656"/>
      <c r="U239" s="1656"/>
      <c r="V239" s="1656"/>
      <c r="W239" s="1656"/>
      <c r="X239" s="1656"/>
      <c r="Y239" s="1656"/>
      <c r="Z239" s="1656"/>
      <c r="AA239" s="1656"/>
      <c r="AB239" s="1656"/>
      <c r="AC239" s="1656"/>
      <c r="AD239" s="1656"/>
      <c r="AE239" s="1656"/>
      <c r="AF239" s="1656"/>
      <c r="AG239" s="1656"/>
      <c r="AH239" s="1656"/>
      <c r="AI239" s="1656"/>
      <c r="AJ239" s="1656"/>
      <c r="AK239" s="1656"/>
      <c r="AL239" s="1656"/>
      <c r="AM239" s="1656"/>
      <c r="AN239" s="1656"/>
      <c r="AO239" s="1656"/>
      <c r="AP239" s="1656"/>
      <c r="AQ239" s="1656"/>
      <c r="AR239" s="1656"/>
      <c r="AS239" s="1656"/>
      <c r="AT239" s="1656"/>
      <c r="AU239" s="1656"/>
      <c r="AV239" s="1656"/>
      <c r="AW239" s="1656"/>
      <c r="AX239" s="1656"/>
      <c r="AY239" s="1656"/>
      <c r="AZ239" s="1656"/>
      <c r="BA239" s="1656"/>
      <c r="BB239" s="1656">
        <v>1</v>
      </c>
      <c r="BC239" s="1656">
        <v>1</v>
      </c>
      <c r="BD239" s="1656">
        <v>1</v>
      </c>
      <c r="BE239" s="1656"/>
      <c r="BF239" s="1656"/>
      <c r="BG239" s="1656"/>
      <c r="BH239" s="1656"/>
      <c r="BI239" s="1656"/>
      <c r="BJ239" s="1656">
        <v>1</v>
      </c>
      <c r="BK239" s="1656"/>
      <c r="BL239" s="1656"/>
      <c r="BM239" s="1656"/>
      <c r="BN239" s="1656"/>
      <c r="BO239" s="1656"/>
      <c r="BP239" s="1656"/>
      <c r="BQ239" s="1656"/>
      <c r="BR239" s="1656"/>
      <c r="BS239" s="1656"/>
      <c r="BT239" s="1656"/>
      <c r="BU239" s="1656"/>
      <c r="BV239" s="1656"/>
      <c r="BW239" s="1656"/>
      <c r="BX239" s="1656"/>
      <c r="BY239" s="1656"/>
      <c r="BZ239" s="1656"/>
      <c r="CA239" s="1656"/>
      <c r="CB239" s="1656">
        <v>1</v>
      </c>
      <c r="CC239" s="1656"/>
      <c r="CD239" s="1656"/>
      <c r="CE239" s="1656"/>
      <c r="CF239" s="1656"/>
      <c r="CG239" s="1656"/>
      <c r="CH239" s="1656"/>
      <c r="CI239" s="1656"/>
      <c r="CJ239" s="1656">
        <v>1</v>
      </c>
      <c r="CK239" s="1656"/>
      <c r="CL239" s="1656"/>
      <c r="CM239" s="1656"/>
      <c r="CN239" s="1656"/>
      <c r="CO239" s="1656"/>
      <c r="CP239" s="1656"/>
      <c r="CQ239" s="1656"/>
      <c r="CR239" s="1656"/>
      <c r="CS239" s="1656"/>
      <c r="CT239" s="1656">
        <v>1</v>
      </c>
      <c r="CU239" s="1656"/>
      <c r="CV239" s="1656"/>
      <c r="CW239" s="1656"/>
      <c r="CX239" s="1656"/>
      <c r="CY239" s="1656"/>
      <c r="CZ239" s="1656"/>
      <c r="DA239" s="1656"/>
      <c r="DB239" s="1656"/>
      <c r="DC239" s="1656"/>
      <c r="DD239" s="1656"/>
      <c r="DE239" s="1656"/>
      <c r="DF239" s="1656"/>
      <c r="DG239" s="1656"/>
      <c r="DH239" s="1656"/>
      <c r="DI239" s="1656"/>
      <c r="DJ239" s="1656"/>
      <c r="DK239" s="1656"/>
      <c r="DL239" s="1656"/>
      <c r="DM239" s="1656"/>
      <c r="DN239" s="1656"/>
      <c r="DO239" s="1656"/>
      <c r="DP239" s="1656">
        <v>1</v>
      </c>
      <c r="DQ239" s="1656"/>
      <c r="DR239" s="1656">
        <v>1</v>
      </c>
      <c r="DS239" s="1656"/>
      <c r="DT239" s="1656">
        <v>1</v>
      </c>
      <c r="DU239" s="1656"/>
      <c r="DV239" s="1656"/>
      <c r="DW239" s="1656">
        <v>1</v>
      </c>
      <c r="DX239" s="1656"/>
      <c r="DY239" s="1656"/>
      <c r="DZ239" s="1656"/>
      <c r="EA239" s="1656"/>
      <c r="EB239" s="1656"/>
      <c r="EC239" s="1656"/>
      <c r="ED239" s="1656"/>
      <c r="EE239" s="1656"/>
      <c r="EF239" s="1656"/>
      <c r="EG239" s="1656"/>
      <c r="EH239" s="1656"/>
      <c r="EI239" s="1656"/>
      <c r="EJ239" s="1656"/>
      <c r="EK239" s="1656"/>
      <c r="EL239" s="1656"/>
      <c r="EM239" s="1656">
        <v>9</v>
      </c>
      <c r="EN239" s="1656">
        <v>1</v>
      </c>
      <c r="EO239" s="1656"/>
      <c r="EP239" s="1656"/>
      <c r="EQ239" s="1656">
        <v>9</v>
      </c>
      <c r="ER239" s="1656"/>
      <c r="ES239" s="1656">
        <v>1</v>
      </c>
      <c r="ET239" s="1656"/>
      <c r="EU239" s="1656">
        <v>1</v>
      </c>
      <c r="EV239" s="1656">
        <v>1</v>
      </c>
      <c r="EW239" s="1656"/>
      <c r="EX239" s="1656">
        <v>1</v>
      </c>
      <c r="EY239" s="1656"/>
      <c r="EZ239" s="1656"/>
      <c r="FA239" s="1656"/>
      <c r="FB239" s="1656">
        <v>1</v>
      </c>
      <c r="FC239" s="1656">
        <v>1</v>
      </c>
      <c r="FD239" s="1656"/>
      <c r="FE239" s="1656"/>
      <c r="FF239" s="1656">
        <v>1</v>
      </c>
      <c r="FG239" s="1656"/>
      <c r="FH239" s="1656"/>
      <c r="FI239" s="1656"/>
      <c r="FJ239" s="1656">
        <v>1</v>
      </c>
      <c r="FK239" s="1656"/>
      <c r="FL239" s="1656"/>
      <c r="FM239" s="1656"/>
      <c r="FN239" s="1656"/>
      <c r="FO239" s="1655">
        <v>1</v>
      </c>
      <c r="FP239" s="1655">
        <v>1</v>
      </c>
      <c r="FQ239" s="1656"/>
      <c r="FR239" s="1656"/>
      <c r="FS239" s="1656"/>
      <c r="FT239" s="1656"/>
      <c r="FU239" s="1656"/>
      <c r="FV239" s="1656"/>
      <c r="FW239" s="1656"/>
      <c r="FX239" s="1656"/>
      <c r="FY239" s="1656"/>
      <c r="FZ239" s="1656"/>
      <c r="GA239" s="1656"/>
      <c r="GB239" s="1656"/>
      <c r="GC239" s="1656"/>
      <c r="GD239" s="1656"/>
      <c r="GE239" s="1656"/>
      <c r="GF239" s="1655">
        <v>1</v>
      </c>
      <c r="GG239" s="1656"/>
      <c r="GH239" s="1656"/>
      <c r="GI239" s="1656"/>
      <c r="GJ239" s="1656"/>
      <c r="GK239" s="1656"/>
      <c r="GL239" s="1656"/>
      <c r="GM239" s="1656"/>
      <c r="GN239" s="1656"/>
      <c r="GO239" s="1656"/>
      <c r="GP239" s="1656"/>
      <c r="GQ239" s="1656"/>
      <c r="GR239" s="1656"/>
      <c r="GS239" s="1656"/>
      <c r="GT239" s="1656"/>
      <c r="GU239" s="1656"/>
      <c r="GV239" s="1656"/>
      <c r="GW239" s="1656"/>
      <c r="GX239" s="1656"/>
      <c r="GY239" s="1656"/>
      <c r="GZ239" s="1656"/>
      <c r="HA239" s="1656"/>
      <c r="HB239" s="1656"/>
      <c r="HC239" s="1656"/>
      <c r="HD239" s="1656"/>
      <c r="HE239" s="1656"/>
      <c r="HF239" s="1656"/>
      <c r="HG239" s="1656"/>
      <c r="HH239" s="1657">
        <v>1</v>
      </c>
      <c r="HI239" s="1656"/>
      <c r="HJ239" s="1656">
        <v>1</v>
      </c>
      <c r="HK239" s="1656">
        <v>1</v>
      </c>
      <c r="HL239" s="1656">
        <v>1</v>
      </c>
      <c r="HM239" s="1656">
        <v>1</v>
      </c>
      <c r="HN239" s="1656"/>
      <c r="HO239" s="1656"/>
      <c r="HP239" s="1656">
        <v>1</v>
      </c>
      <c r="HQ239" s="1656"/>
      <c r="HR239" s="1656">
        <v>1</v>
      </c>
      <c r="HS239" s="1656"/>
      <c r="HT239" s="1656">
        <v>1</v>
      </c>
      <c r="HU239" s="1656"/>
      <c r="HV239" s="1656"/>
      <c r="HW239" s="1656"/>
      <c r="HX239" s="1656"/>
      <c r="HY239" s="1656"/>
      <c r="HZ239" s="1656"/>
      <c r="IA239" s="1656">
        <v>1</v>
      </c>
      <c r="IB239" s="1656"/>
      <c r="IC239" s="1656"/>
      <c r="ID239" s="1656"/>
      <c r="IE239" s="1656"/>
      <c r="IF239" s="1656">
        <v>1</v>
      </c>
      <c r="IG239" s="1656"/>
      <c r="IH239" s="1656"/>
      <c r="II239" s="1656">
        <v>1</v>
      </c>
      <c r="IJ239" s="1656"/>
      <c r="IK239" s="1656"/>
      <c r="IL239" s="1656">
        <v>9</v>
      </c>
      <c r="IM239" s="1656"/>
      <c r="IN239" s="1656"/>
      <c r="IO239" s="1656"/>
      <c r="IP239" s="1656"/>
      <c r="IQ239" s="1656"/>
      <c r="IR239" s="1656"/>
      <c r="IS239" s="1656"/>
      <c r="IT239" s="1656"/>
      <c r="IU239" s="1656"/>
      <c r="IV239" s="1656"/>
      <c r="IW239" s="1656"/>
      <c r="IX239" s="1656"/>
      <c r="IY239" s="1656"/>
      <c r="IZ239" s="1656"/>
      <c r="JA239" s="1656"/>
      <c r="JB239" s="1656"/>
      <c r="JC239" s="1656"/>
      <c r="JD239" s="1656"/>
      <c r="JE239" s="1656">
        <v>1</v>
      </c>
      <c r="JF239" s="1656">
        <v>1</v>
      </c>
      <c r="JG239" s="1656"/>
      <c r="JH239" s="1656"/>
      <c r="JI239" s="1656"/>
      <c r="JJ239" s="1656">
        <v>1</v>
      </c>
      <c r="JK239" s="1656"/>
      <c r="JL239" s="1656"/>
      <c r="JM239" s="1656"/>
      <c r="JN239" s="1658"/>
      <c r="JO239" s="1658"/>
      <c r="JP239" s="1656"/>
      <c r="JQ239" s="1657"/>
    </row>
    <row r="240" spans="1:277" x14ac:dyDescent="0.25">
      <c r="A240" s="1649">
        <v>25</v>
      </c>
      <c r="B240" s="1651" t="str">
        <f t="shared" si="19"/>
        <v/>
      </c>
      <c r="D240" s="521" t="s">
        <v>4168</v>
      </c>
      <c r="E240" s="1659"/>
      <c r="F240" s="1660"/>
      <c r="G240" s="1661"/>
      <c r="H240" s="1661"/>
      <c r="I240" s="1660"/>
      <c r="J240" s="1660"/>
      <c r="K240" s="1660"/>
      <c r="L240" s="1660"/>
      <c r="M240" s="1661"/>
      <c r="N240" s="1661"/>
      <c r="O240" s="1661"/>
      <c r="P240" s="1661"/>
      <c r="Q240" s="1661"/>
      <c r="R240" s="1661"/>
      <c r="S240" s="1661"/>
      <c r="T240" s="1661"/>
      <c r="U240" s="1661"/>
      <c r="V240" s="1661"/>
      <c r="W240" s="1661"/>
      <c r="X240" s="1661"/>
      <c r="Y240" s="1661"/>
      <c r="Z240" s="1661"/>
      <c r="AA240" s="1661"/>
      <c r="AB240" s="1661"/>
      <c r="AC240" s="1661"/>
      <c r="AD240" s="1661"/>
      <c r="AE240" s="1661"/>
      <c r="AF240" s="1661"/>
      <c r="AG240" s="1661"/>
      <c r="AH240" s="1661"/>
      <c r="AI240" s="1661"/>
      <c r="AJ240" s="1661"/>
      <c r="AK240" s="1661"/>
      <c r="AL240" s="1661"/>
      <c r="AM240" s="1661"/>
      <c r="AN240" s="1661"/>
      <c r="AO240" s="1661"/>
      <c r="AP240" s="1660"/>
      <c r="AQ240" s="1660"/>
      <c r="AR240" s="1661"/>
      <c r="AS240" s="1661"/>
      <c r="AT240" s="1661"/>
      <c r="AU240" s="1661"/>
      <c r="AV240" s="1661"/>
      <c r="AW240" s="1661"/>
      <c r="AX240" s="1661"/>
      <c r="AY240" s="1661"/>
      <c r="AZ240" s="1661"/>
      <c r="BA240" s="1661"/>
      <c r="BB240" s="1660"/>
      <c r="BC240" s="1660"/>
      <c r="BD240" s="1660"/>
      <c r="BE240" s="1660"/>
      <c r="BF240" s="1660"/>
      <c r="BG240" s="1660"/>
      <c r="BH240" s="1660"/>
      <c r="BI240" s="1660"/>
      <c r="BJ240" s="1660"/>
      <c r="BK240" s="1661"/>
      <c r="BL240" s="1661"/>
      <c r="BM240" s="1660"/>
      <c r="BN240" s="1660"/>
      <c r="BO240" s="1660"/>
      <c r="BP240" s="1660"/>
      <c r="BQ240" s="1660"/>
      <c r="BR240" s="1660"/>
      <c r="BS240" s="1660"/>
      <c r="BT240" s="1660"/>
      <c r="BU240" s="1660"/>
      <c r="BV240" s="1660"/>
      <c r="BW240" s="1660"/>
      <c r="BX240" s="1660"/>
      <c r="BY240" s="1660"/>
      <c r="BZ240" s="1660"/>
      <c r="CA240" s="1660"/>
      <c r="CB240" s="1660"/>
      <c r="CC240" s="1661"/>
      <c r="CD240" s="1661"/>
      <c r="CE240" s="1661"/>
      <c r="CF240" s="1661"/>
      <c r="CG240" s="1661"/>
      <c r="CH240" s="1661"/>
      <c r="CI240" s="1661"/>
      <c r="CJ240" s="1660"/>
      <c r="CK240" s="1661"/>
      <c r="CL240" s="1661"/>
      <c r="CM240" s="1661"/>
      <c r="CN240" s="1661"/>
      <c r="CO240" s="1661"/>
      <c r="CP240" s="1661"/>
      <c r="CQ240" s="1661"/>
      <c r="CR240" s="1661"/>
      <c r="CS240" s="1661"/>
      <c r="CT240" s="1660"/>
      <c r="CU240" s="1661"/>
      <c r="CV240" s="1661"/>
      <c r="CW240" s="1661"/>
      <c r="CX240" s="1661"/>
      <c r="CY240" s="1661"/>
      <c r="CZ240" s="1661"/>
      <c r="DA240" s="1661"/>
      <c r="DB240" s="1661"/>
      <c r="DC240" s="1661"/>
      <c r="DD240" s="1661"/>
      <c r="DE240" s="1661"/>
      <c r="DF240" s="1661"/>
      <c r="DG240" s="1661"/>
      <c r="DH240" s="1661"/>
      <c r="DI240" s="1660"/>
      <c r="DJ240" s="1661"/>
      <c r="DK240" s="1661"/>
      <c r="DL240" s="1661"/>
      <c r="DM240" s="1661"/>
      <c r="DN240" s="1661"/>
      <c r="DO240" s="1661"/>
      <c r="DP240" s="1660"/>
      <c r="DQ240" s="1661"/>
      <c r="DR240" s="1660"/>
      <c r="DS240" s="1661"/>
      <c r="DT240" s="1660"/>
      <c r="DU240" s="1661"/>
      <c r="DV240" s="1661"/>
      <c r="DW240" s="1660"/>
      <c r="DX240" s="1661"/>
      <c r="DY240" s="1661"/>
      <c r="DZ240" s="1661"/>
      <c r="EA240" s="1661"/>
      <c r="EB240" s="1661"/>
      <c r="EC240" s="1661"/>
      <c r="ED240" s="1661"/>
      <c r="EE240" s="1661"/>
      <c r="EF240" s="1661"/>
      <c r="EG240" s="1661"/>
      <c r="EH240" s="1661"/>
      <c r="EI240" s="1661"/>
      <c r="EJ240" s="1661"/>
      <c r="EK240" s="1661"/>
      <c r="EL240" s="1661"/>
      <c r="EM240" s="1661" t="s">
        <v>3854</v>
      </c>
      <c r="EN240" s="1660"/>
      <c r="EO240" s="1661"/>
      <c r="EP240" s="1661"/>
      <c r="EQ240" s="1661" t="s">
        <v>3852</v>
      </c>
      <c r="ER240" s="1661"/>
      <c r="ES240" s="1660"/>
      <c r="ET240" s="1661"/>
      <c r="EU240" s="1660"/>
      <c r="EV240" s="1660"/>
      <c r="EW240" s="1661"/>
      <c r="EX240" s="1660"/>
      <c r="EY240" s="1661"/>
      <c r="EZ240" s="1661"/>
      <c r="FA240" s="1661"/>
      <c r="FB240" s="1660"/>
      <c r="FC240" s="1660"/>
      <c r="FD240" s="1661"/>
      <c r="FE240" s="1661"/>
      <c r="FF240" s="1660"/>
      <c r="FG240" s="1661"/>
      <c r="FH240" s="1661"/>
      <c r="FI240" s="1661"/>
      <c r="FJ240" s="1660"/>
      <c r="FK240" s="1661"/>
      <c r="FL240" s="1661"/>
      <c r="FM240" s="1661"/>
      <c r="FN240" s="1661"/>
      <c r="FO240" s="1659"/>
      <c r="FP240" s="1659"/>
      <c r="FQ240" s="1661"/>
      <c r="FR240" s="1661"/>
      <c r="FS240" s="1661"/>
      <c r="FT240" s="1661"/>
      <c r="FU240" s="1661"/>
      <c r="FV240" s="1661"/>
      <c r="FW240" s="1661"/>
      <c r="FX240" s="1661"/>
      <c r="FY240" s="1661"/>
      <c r="FZ240" s="1661"/>
      <c r="GA240" s="1661"/>
      <c r="GB240" s="1661"/>
      <c r="GC240" s="1661"/>
      <c r="GD240" s="1661"/>
      <c r="GE240" s="1661"/>
      <c r="GF240" s="1659"/>
      <c r="GG240" s="1661"/>
      <c r="GH240" s="1661"/>
      <c r="GI240" s="1661"/>
      <c r="GJ240" s="1661"/>
      <c r="GK240" s="1661"/>
      <c r="GL240" s="1661"/>
      <c r="GM240" s="1661"/>
      <c r="GN240" s="1661"/>
      <c r="GO240" s="1661"/>
      <c r="GP240" s="1661"/>
      <c r="GQ240" s="1661"/>
      <c r="GR240" s="1661"/>
      <c r="GS240" s="1661"/>
      <c r="GT240" s="1661"/>
      <c r="GU240" s="1661"/>
      <c r="GV240" s="1661"/>
      <c r="GW240" s="1661"/>
      <c r="GX240" s="1661"/>
      <c r="GY240" s="1661"/>
      <c r="GZ240" s="1661"/>
      <c r="HA240" s="1661"/>
      <c r="HB240" s="1661"/>
      <c r="HC240" s="1661"/>
      <c r="HD240" s="1661"/>
      <c r="HE240" s="1661"/>
      <c r="HF240" s="1661"/>
      <c r="HG240" s="1661"/>
      <c r="HH240" s="1662" t="s">
        <v>3853</v>
      </c>
      <c r="HI240" s="1661"/>
      <c r="HJ240" s="1661"/>
      <c r="HK240" s="1661"/>
      <c r="HL240" s="1661"/>
      <c r="HM240" s="1661"/>
      <c r="HN240" s="1661"/>
      <c r="HO240" s="1661"/>
      <c r="HP240" s="1660"/>
      <c r="HQ240" s="1661"/>
      <c r="HR240" s="1660"/>
      <c r="HS240" s="1661"/>
      <c r="HT240" s="1661"/>
      <c r="HU240" s="1661"/>
      <c r="HV240" s="1661"/>
      <c r="HW240" s="1661"/>
      <c r="HX240" s="1661"/>
      <c r="HY240" s="1661"/>
      <c r="HZ240" s="1661"/>
      <c r="IA240" s="1661"/>
      <c r="IB240" s="1661"/>
      <c r="IC240" s="1661"/>
      <c r="ID240" s="1661"/>
      <c r="IE240" s="1661"/>
      <c r="IF240" s="1661"/>
      <c r="IG240" s="1661"/>
      <c r="IH240" s="1661"/>
      <c r="II240" s="1661"/>
      <c r="IJ240" s="1661"/>
      <c r="IK240" s="1661"/>
      <c r="IL240" s="1661" t="s">
        <v>3852</v>
      </c>
      <c r="IM240" s="1661"/>
      <c r="IN240" s="1661"/>
      <c r="IO240" s="1661"/>
      <c r="IP240" s="1661"/>
      <c r="IQ240" s="1661"/>
      <c r="IR240" s="1661"/>
      <c r="IS240" s="1661"/>
      <c r="IT240" s="1661"/>
      <c r="IU240" s="1661"/>
      <c r="IV240" s="1661"/>
      <c r="IW240" s="1661"/>
      <c r="IX240" s="1661"/>
      <c r="IY240" s="1661"/>
      <c r="IZ240" s="1661"/>
      <c r="JA240" s="1661"/>
      <c r="JB240" s="1661"/>
      <c r="JC240" s="1661"/>
      <c r="JD240" s="1661"/>
      <c r="JE240" s="1660"/>
      <c r="JF240" s="1660"/>
      <c r="JG240" s="1661"/>
      <c r="JH240" s="1661"/>
      <c r="JI240" s="1661"/>
      <c r="JJ240" s="1660"/>
      <c r="JK240" s="1661"/>
      <c r="JL240" s="1661"/>
      <c r="JM240" s="1661"/>
      <c r="JN240" s="1663"/>
      <c r="JO240" s="1663"/>
      <c r="JP240" s="1661"/>
      <c r="JQ240" s="1662"/>
    </row>
    <row r="241" spans="1:277" x14ac:dyDescent="0.25">
      <c r="A241" s="1649">
        <v>26</v>
      </c>
      <c r="B241" s="1651">
        <f t="shared" si="19"/>
        <v>0</v>
      </c>
      <c r="D241" s="521" t="s">
        <v>4169</v>
      </c>
      <c r="E241" s="1659"/>
      <c r="F241" s="1660"/>
      <c r="G241" s="1661"/>
      <c r="H241" s="1661"/>
      <c r="I241" s="1660"/>
      <c r="J241" s="1660"/>
      <c r="K241" s="1660"/>
      <c r="L241" s="1660"/>
      <c r="M241" s="1661"/>
      <c r="N241" s="1661"/>
      <c r="O241" s="1661"/>
      <c r="P241" s="1661"/>
      <c r="Q241" s="1661"/>
      <c r="R241" s="1661"/>
      <c r="S241" s="1661"/>
      <c r="T241" s="1661"/>
      <c r="U241" s="1661"/>
      <c r="V241" s="1661"/>
      <c r="W241" s="1661"/>
      <c r="X241" s="1661"/>
      <c r="Y241" s="1661"/>
      <c r="Z241" s="1661"/>
      <c r="AA241" s="1661"/>
      <c r="AB241" s="1661"/>
      <c r="AC241" s="1661"/>
      <c r="AD241" s="1661"/>
      <c r="AE241" s="1661"/>
      <c r="AF241" s="1661"/>
      <c r="AG241" s="1661"/>
      <c r="AH241" s="1661"/>
      <c r="AI241" s="1661"/>
      <c r="AJ241" s="1661"/>
      <c r="AK241" s="1661"/>
      <c r="AL241" s="1661"/>
      <c r="AM241" s="1661"/>
      <c r="AN241" s="1661"/>
      <c r="AO241" s="1661"/>
      <c r="AP241" s="1660"/>
      <c r="AQ241" s="1660"/>
      <c r="AR241" s="1661"/>
      <c r="AS241" s="1661"/>
      <c r="AT241" s="1661"/>
      <c r="AU241" s="1661"/>
      <c r="AV241" s="1661"/>
      <c r="AW241" s="1661"/>
      <c r="AX241" s="1661"/>
      <c r="AY241" s="1661"/>
      <c r="AZ241" s="1661"/>
      <c r="BA241" s="1661"/>
      <c r="BB241" s="1660">
        <v>0</v>
      </c>
      <c r="BC241" s="1660">
        <v>0</v>
      </c>
      <c r="BD241" s="1660">
        <v>0</v>
      </c>
      <c r="BE241" s="1660"/>
      <c r="BF241" s="1660"/>
      <c r="BG241" s="1660"/>
      <c r="BH241" s="1660"/>
      <c r="BI241" s="1660"/>
      <c r="BJ241" s="1660">
        <v>0</v>
      </c>
      <c r="BK241" s="1661"/>
      <c r="BL241" s="1661"/>
      <c r="BM241" s="1660"/>
      <c r="BN241" s="1660"/>
      <c r="BO241" s="1660"/>
      <c r="BP241" s="1660"/>
      <c r="BQ241" s="1660"/>
      <c r="BR241" s="1660"/>
      <c r="BS241" s="1660"/>
      <c r="BT241" s="1660"/>
      <c r="BU241" s="1660"/>
      <c r="BV241" s="1660"/>
      <c r="BW241" s="1660"/>
      <c r="BX241" s="1660"/>
      <c r="BY241" s="1660"/>
      <c r="BZ241" s="1660"/>
      <c r="CA241" s="1660"/>
      <c r="CB241" s="1660">
        <v>0</v>
      </c>
      <c r="CC241" s="1661"/>
      <c r="CD241" s="1661"/>
      <c r="CE241" s="1661"/>
      <c r="CF241" s="1661"/>
      <c r="CG241" s="1661"/>
      <c r="CH241" s="1661"/>
      <c r="CI241" s="1661"/>
      <c r="CJ241" s="1660">
        <v>0</v>
      </c>
      <c r="CK241" s="1661"/>
      <c r="CL241" s="1661"/>
      <c r="CM241" s="1661"/>
      <c r="CN241" s="1661"/>
      <c r="CO241" s="1661"/>
      <c r="CP241" s="1661"/>
      <c r="CQ241" s="1661"/>
      <c r="CR241" s="1661"/>
      <c r="CS241" s="1661"/>
      <c r="CT241" s="1660">
        <v>0</v>
      </c>
      <c r="CU241" s="1661"/>
      <c r="CV241" s="1661"/>
      <c r="CW241" s="1661"/>
      <c r="CX241" s="1661"/>
      <c r="CY241" s="1661"/>
      <c r="CZ241" s="1661"/>
      <c r="DA241" s="1661"/>
      <c r="DB241" s="1661"/>
      <c r="DC241" s="1661"/>
      <c r="DD241" s="1661"/>
      <c r="DE241" s="1661"/>
      <c r="DF241" s="1661"/>
      <c r="DG241" s="1661"/>
      <c r="DH241" s="1661"/>
      <c r="DI241" s="1660"/>
      <c r="DJ241" s="1661"/>
      <c r="DK241" s="1661"/>
      <c r="DL241" s="1661"/>
      <c r="DM241" s="1661"/>
      <c r="DN241" s="1661"/>
      <c r="DO241" s="1661"/>
      <c r="DP241" s="1660">
        <v>0</v>
      </c>
      <c r="DQ241" s="1661"/>
      <c r="DR241" s="1660">
        <v>0</v>
      </c>
      <c r="DS241" s="1661"/>
      <c r="DT241" s="1660">
        <v>0</v>
      </c>
      <c r="DU241" s="1661"/>
      <c r="DV241" s="1661"/>
      <c r="DW241" s="1660">
        <v>0</v>
      </c>
      <c r="DX241" s="1661"/>
      <c r="DY241" s="1661"/>
      <c r="DZ241" s="1661"/>
      <c r="EA241" s="1661"/>
      <c r="EB241" s="1661"/>
      <c r="EC241" s="1661"/>
      <c r="ED241" s="1661"/>
      <c r="EE241" s="1661"/>
      <c r="EF241" s="1661"/>
      <c r="EG241" s="1661"/>
      <c r="EH241" s="1661"/>
      <c r="EI241" s="1661"/>
      <c r="EJ241" s="1661"/>
      <c r="EK241" s="1661"/>
      <c r="EL241" s="1661"/>
      <c r="EM241" s="1661">
        <v>609</v>
      </c>
      <c r="EN241" s="1660">
        <v>0</v>
      </c>
      <c r="EO241" s="1661"/>
      <c r="EP241" s="1661"/>
      <c r="EQ241" s="1661">
        <v>4375</v>
      </c>
      <c r="ER241" s="1661"/>
      <c r="ES241" s="1660">
        <v>0</v>
      </c>
      <c r="ET241" s="1661"/>
      <c r="EU241" s="1660">
        <v>0</v>
      </c>
      <c r="EV241" s="1660">
        <v>0</v>
      </c>
      <c r="EW241" s="1661"/>
      <c r="EX241" s="1660">
        <v>0</v>
      </c>
      <c r="EY241" s="1661"/>
      <c r="EZ241" s="1661"/>
      <c r="FA241" s="1661"/>
      <c r="FB241" s="1660">
        <v>0</v>
      </c>
      <c r="FC241" s="1660">
        <v>0</v>
      </c>
      <c r="FD241" s="1661"/>
      <c r="FE241" s="1661"/>
      <c r="FF241" s="1660">
        <v>0</v>
      </c>
      <c r="FG241" s="1661"/>
      <c r="FH241" s="1661"/>
      <c r="FI241" s="1661"/>
      <c r="FJ241" s="1660">
        <v>0</v>
      </c>
      <c r="FK241" s="1661"/>
      <c r="FL241" s="1661"/>
      <c r="FM241" s="1661"/>
      <c r="FN241" s="1661"/>
      <c r="FO241" s="1659">
        <v>0</v>
      </c>
      <c r="FP241" s="1659">
        <v>0</v>
      </c>
      <c r="FQ241" s="1661"/>
      <c r="FR241" s="1661"/>
      <c r="FS241" s="1661"/>
      <c r="FT241" s="1661"/>
      <c r="FU241" s="1661"/>
      <c r="FV241" s="1661"/>
      <c r="FW241" s="1661"/>
      <c r="FX241" s="1661"/>
      <c r="FY241" s="1661"/>
      <c r="FZ241" s="1661"/>
      <c r="GA241" s="1661"/>
      <c r="GB241" s="1661"/>
      <c r="GC241" s="1661"/>
      <c r="GD241" s="1661"/>
      <c r="GE241" s="1661"/>
      <c r="GF241" s="1659">
        <v>0</v>
      </c>
      <c r="GG241" s="1661"/>
      <c r="GH241" s="1661"/>
      <c r="GI241" s="1661"/>
      <c r="GJ241" s="1661"/>
      <c r="GK241" s="1661"/>
      <c r="GL241" s="1661"/>
      <c r="GM241" s="1661"/>
      <c r="GN241" s="1661"/>
      <c r="GO241" s="1661"/>
      <c r="GP241" s="1661"/>
      <c r="GQ241" s="1661"/>
      <c r="GR241" s="1661"/>
      <c r="GS241" s="1661"/>
      <c r="GT241" s="1661"/>
      <c r="GU241" s="1661"/>
      <c r="GV241" s="1661"/>
      <c r="GW241" s="1661"/>
      <c r="GX241" s="1661"/>
      <c r="GY241" s="1661"/>
      <c r="GZ241" s="1661"/>
      <c r="HA241" s="1661"/>
      <c r="HB241" s="1661"/>
      <c r="HC241" s="1661"/>
      <c r="HD241" s="1661"/>
      <c r="HE241" s="1661"/>
      <c r="HF241" s="1661"/>
      <c r="HG241" s="1661"/>
      <c r="HH241" s="1662">
        <v>7434</v>
      </c>
      <c r="HI241" s="1661"/>
      <c r="HJ241" s="1661">
        <v>0</v>
      </c>
      <c r="HK241" s="1661">
        <v>0</v>
      </c>
      <c r="HL241" s="1661">
        <v>0</v>
      </c>
      <c r="HM241" s="1661">
        <v>0</v>
      </c>
      <c r="HN241" s="1661"/>
      <c r="HO241" s="1661"/>
      <c r="HP241" s="1660">
        <v>0</v>
      </c>
      <c r="HQ241" s="1661"/>
      <c r="HR241" s="1660">
        <v>0</v>
      </c>
      <c r="HS241" s="1661"/>
      <c r="HT241" s="1661">
        <v>0</v>
      </c>
      <c r="HU241" s="1661"/>
      <c r="HV241" s="1661"/>
      <c r="HW241" s="1661"/>
      <c r="HX241" s="1661"/>
      <c r="HY241" s="1661"/>
      <c r="HZ241" s="1661"/>
      <c r="IA241" s="1661">
        <v>0</v>
      </c>
      <c r="IB241" s="1661"/>
      <c r="IC241" s="1661"/>
      <c r="ID241" s="1661"/>
      <c r="IE241" s="1661"/>
      <c r="IF241" s="1661">
        <v>0</v>
      </c>
      <c r="IG241" s="1661"/>
      <c r="IH241" s="1661"/>
      <c r="II241" s="1661">
        <v>0</v>
      </c>
      <c r="IJ241" s="1661"/>
      <c r="IK241" s="1661"/>
      <c r="IL241" s="1661">
        <v>1490</v>
      </c>
      <c r="IM241" s="1661"/>
      <c r="IN241" s="1661"/>
      <c r="IO241" s="1661"/>
      <c r="IP241" s="1661"/>
      <c r="IQ241" s="1661"/>
      <c r="IR241" s="1661"/>
      <c r="IS241" s="1661"/>
      <c r="IT241" s="1661"/>
      <c r="IU241" s="1661"/>
      <c r="IV241" s="1661"/>
      <c r="IW241" s="1661"/>
      <c r="IX241" s="1661"/>
      <c r="IY241" s="1661"/>
      <c r="IZ241" s="1661"/>
      <c r="JA241" s="1661"/>
      <c r="JB241" s="1661"/>
      <c r="JC241" s="1661"/>
      <c r="JD241" s="1661"/>
      <c r="JE241" s="1660">
        <v>0</v>
      </c>
      <c r="JF241" s="1660">
        <v>0</v>
      </c>
      <c r="JG241" s="1661"/>
      <c r="JH241" s="1661"/>
      <c r="JI241" s="1661"/>
      <c r="JJ241" s="1660">
        <v>0</v>
      </c>
      <c r="JK241" s="1661"/>
      <c r="JL241" s="1661"/>
      <c r="JM241" s="1661"/>
      <c r="JN241" s="1663"/>
      <c r="JO241" s="1663"/>
      <c r="JP241" s="1661"/>
      <c r="JQ241" s="1662"/>
    </row>
    <row r="242" spans="1:277" ht="13" thickBot="1" x14ac:dyDescent="0.3">
      <c r="A242" s="1649">
        <v>27</v>
      </c>
      <c r="B242" s="1651">
        <f t="shared" si="19"/>
        <v>0</v>
      </c>
      <c r="D242" s="521" t="s">
        <v>4170</v>
      </c>
      <c r="E242" s="740"/>
      <c r="F242" s="741"/>
      <c r="G242" s="742"/>
      <c r="H242" s="742"/>
      <c r="I242" s="741"/>
      <c r="J242" s="741"/>
      <c r="K242" s="741"/>
      <c r="L242" s="741"/>
      <c r="M242" s="742"/>
      <c r="N242" s="742"/>
      <c r="O242" s="742"/>
      <c r="P242" s="742"/>
      <c r="Q242" s="742"/>
      <c r="R242" s="742"/>
      <c r="S242" s="742"/>
      <c r="T242" s="742"/>
      <c r="U242" s="742"/>
      <c r="V242" s="742"/>
      <c r="W242" s="742"/>
      <c r="X242" s="742"/>
      <c r="Y242" s="742"/>
      <c r="Z242" s="742"/>
      <c r="AA242" s="742"/>
      <c r="AB242" s="742"/>
      <c r="AC242" s="742"/>
      <c r="AD242" s="742"/>
      <c r="AE242" s="742"/>
      <c r="AF242" s="742"/>
      <c r="AG242" s="742"/>
      <c r="AH242" s="742"/>
      <c r="AI242" s="742"/>
      <c r="AJ242" s="742"/>
      <c r="AK242" s="742"/>
      <c r="AL242" s="742"/>
      <c r="AM242" s="742"/>
      <c r="AN242" s="742"/>
      <c r="AO242" s="742"/>
      <c r="AP242" s="741"/>
      <c r="AQ242" s="741"/>
      <c r="AR242" s="742"/>
      <c r="AS242" s="742"/>
      <c r="AT242" s="742"/>
      <c r="AU242" s="742"/>
      <c r="AV242" s="742"/>
      <c r="AW242" s="742"/>
      <c r="AX242" s="742"/>
      <c r="AY242" s="742"/>
      <c r="AZ242" s="742"/>
      <c r="BA242" s="742"/>
      <c r="BB242" s="741">
        <v>0</v>
      </c>
      <c r="BC242" s="741">
        <v>0</v>
      </c>
      <c r="BD242" s="741">
        <v>0</v>
      </c>
      <c r="BE242" s="741"/>
      <c r="BF242" s="741"/>
      <c r="BG242" s="741"/>
      <c r="BH242" s="741"/>
      <c r="BI242" s="741"/>
      <c r="BJ242" s="741">
        <v>0</v>
      </c>
      <c r="BK242" s="742"/>
      <c r="BL242" s="742"/>
      <c r="BM242" s="741"/>
      <c r="BN242" s="741"/>
      <c r="BO242" s="741"/>
      <c r="BP242" s="741"/>
      <c r="BQ242" s="741"/>
      <c r="BR242" s="741"/>
      <c r="BS242" s="741"/>
      <c r="BT242" s="741"/>
      <c r="BU242" s="741"/>
      <c r="BV242" s="741"/>
      <c r="BW242" s="741"/>
      <c r="BX242" s="741"/>
      <c r="BY242" s="741"/>
      <c r="BZ242" s="741"/>
      <c r="CA242" s="741"/>
      <c r="CB242" s="741">
        <v>0</v>
      </c>
      <c r="CC242" s="742"/>
      <c r="CD242" s="742"/>
      <c r="CE242" s="742"/>
      <c r="CF242" s="742"/>
      <c r="CG242" s="742"/>
      <c r="CH242" s="742"/>
      <c r="CI242" s="742"/>
      <c r="CJ242" s="741">
        <v>0</v>
      </c>
      <c r="CK242" s="742"/>
      <c r="CL242" s="742"/>
      <c r="CM242" s="742"/>
      <c r="CN242" s="742"/>
      <c r="CO242" s="742"/>
      <c r="CP242" s="742"/>
      <c r="CQ242" s="742"/>
      <c r="CR242" s="742"/>
      <c r="CS242" s="742"/>
      <c r="CT242" s="741">
        <v>0</v>
      </c>
      <c r="CU242" s="742"/>
      <c r="CV242" s="742"/>
      <c r="CW242" s="742"/>
      <c r="CX242" s="742"/>
      <c r="CY242" s="742"/>
      <c r="CZ242" s="742"/>
      <c r="DA242" s="742"/>
      <c r="DB242" s="742"/>
      <c r="DC242" s="742"/>
      <c r="DD242" s="742"/>
      <c r="DE242" s="742"/>
      <c r="DF242" s="742"/>
      <c r="DG242" s="742"/>
      <c r="DH242" s="742"/>
      <c r="DI242" s="741"/>
      <c r="DJ242" s="742"/>
      <c r="DK242" s="742"/>
      <c r="DL242" s="742"/>
      <c r="DM242" s="742"/>
      <c r="DN242" s="742"/>
      <c r="DO242" s="742"/>
      <c r="DP242" s="741">
        <v>0</v>
      </c>
      <c r="DQ242" s="742"/>
      <c r="DR242" s="741">
        <v>0</v>
      </c>
      <c r="DS242" s="742"/>
      <c r="DT242" s="741">
        <v>0</v>
      </c>
      <c r="DU242" s="742"/>
      <c r="DV242" s="742"/>
      <c r="DW242" s="741">
        <v>0</v>
      </c>
      <c r="DX242" s="742"/>
      <c r="DY242" s="742"/>
      <c r="DZ242" s="742"/>
      <c r="EA242" s="742"/>
      <c r="EB242" s="742"/>
      <c r="EC242" s="742"/>
      <c r="ED242" s="742"/>
      <c r="EE242" s="742"/>
      <c r="EF242" s="742"/>
      <c r="EG242" s="742"/>
      <c r="EH242" s="742"/>
      <c r="EI242" s="742"/>
      <c r="EJ242" s="742"/>
      <c r="EK242" s="742"/>
      <c r="EL242" s="742"/>
      <c r="EM242" s="742">
        <v>92</v>
      </c>
      <c r="EN242" s="741">
        <v>0</v>
      </c>
      <c r="EO242" s="742"/>
      <c r="EP242" s="742"/>
      <c r="EQ242" s="742">
        <v>3656</v>
      </c>
      <c r="ER242" s="742"/>
      <c r="ES242" s="741">
        <v>0</v>
      </c>
      <c r="ET242" s="742"/>
      <c r="EU242" s="741">
        <v>0</v>
      </c>
      <c r="EV242" s="741">
        <v>0</v>
      </c>
      <c r="EW242" s="742"/>
      <c r="EX242" s="741">
        <v>0</v>
      </c>
      <c r="EY242" s="742"/>
      <c r="EZ242" s="742"/>
      <c r="FA242" s="742"/>
      <c r="FB242" s="741">
        <v>0</v>
      </c>
      <c r="FC242" s="741">
        <v>0</v>
      </c>
      <c r="FD242" s="742"/>
      <c r="FE242" s="742"/>
      <c r="FF242" s="741">
        <v>0</v>
      </c>
      <c r="FG242" s="742"/>
      <c r="FH242" s="742"/>
      <c r="FI242" s="742"/>
      <c r="FJ242" s="741">
        <v>0</v>
      </c>
      <c r="FK242" s="742"/>
      <c r="FL242" s="742"/>
      <c r="FM242" s="742"/>
      <c r="FN242" s="742"/>
      <c r="FO242" s="740">
        <v>0</v>
      </c>
      <c r="FP242" s="740">
        <v>0</v>
      </c>
      <c r="FQ242" s="742"/>
      <c r="FR242" s="742"/>
      <c r="FS242" s="742"/>
      <c r="FT242" s="742"/>
      <c r="FU242" s="742"/>
      <c r="FV242" s="742"/>
      <c r="FW242" s="742"/>
      <c r="FX242" s="742"/>
      <c r="FY242" s="742"/>
      <c r="FZ242" s="742"/>
      <c r="GA242" s="742"/>
      <c r="GB242" s="742"/>
      <c r="GC242" s="742"/>
      <c r="GD242" s="742"/>
      <c r="GE242" s="742"/>
      <c r="GF242" s="740">
        <v>0</v>
      </c>
      <c r="GG242" s="742"/>
      <c r="GH242" s="742"/>
      <c r="GI242" s="742"/>
      <c r="GJ242" s="742"/>
      <c r="GK242" s="742"/>
      <c r="GL242" s="742"/>
      <c r="GM242" s="742"/>
      <c r="GN242" s="742"/>
      <c r="GO242" s="742"/>
      <c r="GP242" s="742"/>
      <c r="GQ242" s="742"/>
      <c r="GR242" s="742"/>
      <c r="GS242" s="742"/>
      <c r="GT242" s="742"/>
      <c r="GU242" s="742"/>
      <c r="GV242" s="742"/>
      <c r="GW242" s="742"/>
      <c r="GX242" s="742"/>
      <c r="GY242" s="742"/>
      <c r="GZ242" s="742"/>
      <c r="HA242" s="742"/>
      <c r="HB242" s="742"/>
      <c r="HC242" s="742"/>
      <c r="HD242" s="742"/>
      <c r="HE242" s="742"/>
      <c r="HF242" s="742"/>
      <c r="HG242" s="742"/>
      <c r="HH242" s="741">
        <v>1651</v>
      </c>
      <c r="HI242" s="742"/>
      <c r="HJ242" s="741">
        <v>0</v>
      </c>
      <c r="HK242" s="741">
        <v>0</v>
      </c>
      <c r="HL242" s="741">
        <v>0</v>
      </c>
      <c r="HM242" s="741">
        <v>0</v>
      </c>
      <c r="HN242" s="742"/>
      <c r="HO242" s="742"/>
      <c r="HP242" s="741">
        <v>0</v>
      </c>
      <c r="HQ242" s="742"/>
      <c r="HR242" s="741">
        <v>0</v>
      </c>
      <c r="HS242" s="742"/>
      <c r="HT242" s="742">
        <v>0</v>
      </c>
      <c r="HU242" s="742"/>
      <c r="HV242" s="742"/>
      <c r="HW242" s="742"/>
      <c r="HX242" s="742"/>
      <c r="HY242" s="742"/>
      <c r="HZ242" s="742"/>
      <c r="IA242" s="742">
        <v>0</v>
      </c>
      <c r="IB242" s="742"/>
      <c r="IC242" s="742"/>
      <c r="ID242" s="742"/>
      <c r="IE242" s="742"/>
      <c r="IF242" s="742">
        <v>0</v>
      </c>
      <c r="IG242" s="742"/>
      <c r="IH242" s="742"/>
      <c r="II242" s="742">
        <v>0</v>
      </c>
      <c r="IJ242" s="742"/>
      <c r="IK242" s="742"/>
      <c r="IL242" s="742">
        <v>223</v>
      </c>
      <c r="IM242" s="742"/>
      <c r="IN242" s="742"/>
      <c r="IO242" s="742"/>
      <c r="IP242" s="742"/>
      <c r="IQ242" s="742"/>
      <c r="IR242" s="742"/>
      <c r="IS242" s="742"/>
      <c r="IT242" s="742"/>
      <c r="IU242" s="742"/>
      <c r="IV242" s="742"/>
      <c r="IW242" s="742"/>
      <c r="IX242" s="742"/>
      <c r="IY242" s="742"/>
      <c r="IZ242" s="742"/>
      <c r="JA242" s="742"/>
      <c r="JB242" s="742"/>
      <c r="JC242" s="742"/>
      <c r="JD242" s="742"/>
      <c r="JE242" s="741">
        <v>0</v>
      </c>
      <c r="JF242" s="741">
        <v>0</v>
      </c>
      <c r="JG242" s="742"/>
      <c r="JH242" s="742"/>
      <c r="JI242" s="742"/>
      <c r="JJ242" s="741">
        <v>0</v>
      </c>
      <c r="JK242" s="742"/>
      <c r="JL242" s="742"/>
      <c r="JM242" s="742"/>
      <c r="JN242" s="743"/>
      <c r="JO242" s="743"/>
      <c r="JP242" s="742"/>
      <c r="JQ242" s="744"/>
    </row>
    <row r="243" spans="1:277" x14ac:dyDescent="0.25">
      <c r="A243" s="1649">
        <v>28</v>
      </c>
      <c r="B243" s="1651">
        <f t="shared" si="19"/>
        <v>1</v>
      </c>
      <c r="D243" s="521" t="s">
        <v>4171</v>
      </c>
      <c r="E243" s="541"/>
      <c r="F243" s="542"/>
      <c r="G243" s="542"/>
      <c r="H243" s="542"/>
      <c r="I243" s="542"/>
      <c r="J243" s="542"/>
      <c r="K243" s="542"/>
      <c r="L243" s="542"/>
      <c r="M243" s="542"/>
      <c r="N243" s="542"/>
      <c r="O243" s="542"/>
      <c r="P243" s="542"/>
      <c r="Q243" s="542"/>
      <c r="R243" s="542"/>
      <c r="S243" s="542"/>
      <c r="T243" s="542"/>
      <c r="U243" s="542"/>
      <c r="V243" s="542"/>
      <c r="W243" s="542"/>
      <c r="X243" s="542"/>
      <c r="Y243" s="542"/>
      <c r="Z243" s="542"/>
      <c r="AA243" s="542"/>
      <c r="AB243" s="542"/>
      <c r="AC243" s="542"/>
      <c r="AD243" s="542"/>
      <c r="AE243" s="542"/>
      <c r="AF243" s="542"/>
      <c r="AG243" s="542"/>
      <c r="AH243" s="542"/>
      <c r="AI243" s="542"/>
      <c r="AJ243" s="542"/>
      <c r="AK243" s="542"/>
      <c r="AL243" s="542"/>
      <c r="AM243" s="542"/>
      <c r="AN243" s="542"/>
      <c r="AO243" s="542"/>
      <c r="AP243" s="542"/>
      <c r="AQ243" s="542"/>
      <c r="AR243" s="542"/>
      <c r="AS243" s="542"/>
      <c r="AT243" s="542"/>
      <c r="AU243" s="542"/>
      <c r="AV243" s="542"/>
      <c r="AW243" s="542"/>
      <c r="AX243" s="542"/>
      <c r="AY243" s="542"/>
      <c r="AZ243" s="542"/>
      <c r="BA243" s="542"/>
      <c r="BB243" s="542">
        <v>1</v>
      </c>
      <c r="BC243" s="542">
        <v>1</v>
      </c>
      <c r="BD243" s="542">
        <v>1</v>
      </c>
      <c r="BE243" s="542"/>
      <c r="BF243" s="542"/>
      <c r="BG243" s="542"/>
      <c r="BH243" s="542"/>
      <c r="BI243" s="542"/>
      <c r="BJ243" s="542">
        <v>1</v>
      </c>
      <c r="BK243" s="542"/>
      <c r="BL243" s="542"/>
      <c r="BM243" s="542"/>
      <c r="BN243" s="542"/>
      <c r="BO243" s="542"/>
      <c r="BP243" s="542"/>
      <c r="BQ243" s="542"/>
      <c r="BR243" s="542"/>
      <c r="BS243" s="542"/>
      <c r="BT243" s="542"/>
      <c r="BU243" s="542"/>
      <c r="BV243" s="542"/>
      <c r="BW243" s="542"/>
      <c r="BX243" s="542"/>
      <c r="BY243" s="542"/>
      <c r="BZ243" s="542"/>
      <c r="CA243" s="542"/>
      <c r="CB243" s="542">
        <v>1</v>
      </c>
      <c r="CC243" s="542"/>
      <c r="CD243" s="542"/>
      <c r="CE243" s="542"/>
      <c r="CF243" s="542"/>
      <c r="CG243" s="542"/>
      <c r="CH243" s="542"/>
      <c r="CI243" s="542"/>
      <c r="CJ243" s="542">
        <v>1</v>
      </c>
      <c r="CK243" s="542"/>
      <c r="CL243" s="542"/>
      <c r="CM243" s="542"/>
      <c r="CN243" s="542"/>
      <c r="CO243" s="542"/>
      <c r="CP243" s="542"/>
      <c r="CQ243" s="542"/>
      <c r="CR243" s="542"/>
      <c r="CS243" s="542"/>
      <c r="CT243" s="542">
        <v>1</v>
      </c>
      <c r="CU243" s="542"/>
      <c r="CV243" s="542"/>
      <c r="CW243" s="542"/>
      <c r="CX243" s="542"/>
      <c r="CY243" s="542"/>
      <c r="CZ243" s="542"/>
      <c r="DA243" s="542"/>
      <c r="DB243" s="542"/>
      <c r="DC243" s="542"/>
      <c r="DD243" s="542"/>
      <c r="DE243" s="542"/>
      <c r="DF243" s="542"/>
      <c r="DG243" s="542"/>
      <c r="DH243" s="542"/>
      <c r="DI243" s="542"/>
      <c r="DJ243" s="542"/>
      <c r="DK243" s="542"/>
      <c r="DL243" s="542"/>
      <c r="DM243" s="542"/>
      <c r="DN243" s="542"/>
      <c r="DO243" s="542"/>
      <c r="DP243" s="542">
        <v>1</v>
      </c>
      <c r="DQ243" s="542"/>
      <c r="DR243" s="542">
        <v>1</v>
      </c>
      <c r="DS243" s="542"/>
      <c r="DT243" s="542">
        <v>1</v>
      </c>
      <c r="DU243" s="542"/>
      <c r="DV243" s="542"/>
      <c r="DW243" s="542">
        <v>1</v>
      </c>
      <c r="DX243" s="542"/>
      <c r="DY243" s="542"/>
      <c r="DZ243" s="542"/>
      <c r="EA243" s="542"/>
      <c r="EB243" s="542"/>
      <c r="EC243" s="542"/>
      <c r="ED243" s="542"/>
      <c r="EE243" s="542"/>
      <c r="EF243" s="542"/>
      <c r="EG243" s="542"/>
      <c r="EH243" s="542"/>
      <c r="EI243" s="542"/>
      <c r="EJ243" s="542"/>
      <c r="EK243" s="542"/>
      <c r="EL243" s="542"/>
      <c r="EM243" s="542">
        <v>4</v>
      </c>
      <c r="EN243" s="542">
        <v>1</v>
      </c>
      <c r="EO243" s="542"/>
      <c r="EP243" s="542"/>
      <c r="EQ243" s="542">
        <v>1</v>
      </c>
      <c r="ER243" s="542"/>
      <c r="ES243" s="542">
        <v>1</v>
      </c>
      <c r="ET243" s="542"/>
      <c r="EU243" s="542">
        <v>1</v>
      </c>
      <c r="EV243" s="542">
        <v>1</v>
      </c>
      <c r="EW243" s="542"/>
      <c r="EX243" s="542">
        <v>1</v>
      </c>
      <c r="EY243" s="542"/>
      <c r="EZ243" s="542"/>
      <c r="FA243" s="542"/>
      <c r="FB243" s="542">
        <v>1</v>
      </c>
      <c r="FC243" s="542">
        <v>1</v>
      </c>
      <c r="FD243" s="542"/>
      <c r="FE243" s="542"/>
      <c r="FF243" s="542">
        <v>1</v>
      </c>
      <c r="FG243" s="542"/>
      <c r="FH243" s="542"/>
      <c r="FI243" s="542"/>
      <c r="FJ243" s="542">
        <v>1</v>
      </c>
      <c r="FK243" s="542"/>
      <c r="FL243" s="542"/>
      <c r="FM243" s="542"/>
      <c r="FN243" s="542"/>
      <c r="FO243" s="541">
        <v>1</v>
      </c>
      <c r="FP243" s="541">
        <v>1</v>
      </c>
      <c r="FQ243" s="542"/>
      <c r="FR243" s="542"/>
      <c r="FS243" s="542"/>
      <c r="FT243" s="542"/>
      <c r="FU243" s="542"/>
      <c r="FV243" s="542"/>
      <c r="FW243" s="542"/>
      <c r="FX243" s="542"/>
      <c r="FY243" s="542"/>
      <c r="FZ243" s="542"/>
      <c r="GA243" s="542"/>
      <c r="GB243" s="542"/>
      <c r="GC243" s="542"/>
      <c r="GD243" s="542"/>
      <c r="GE243" s="542"/>
      <c r="GF243" s="541">
        <v>1</v>
      </c>
      <c r="GG243" s="542"/>
      <c r="GH243" s="542"/>
      <c r="GI243" s="542"/>
      <c r="GJ243" s="542"/>
      <c r="GK243" s="542"/>
      <c r="GL243" s="542"/>
      <c r="GM243" s="542"/>
      <c r="GN243" s="542"/>
      <c r="GO243" s="542"/>
      <c r="GP243" s="542"/>
      <c r="GQ243" s="542"/>
      <c r="GR243" s="542"/>
      <c r="GS243" s="542"/>
      <c r="GT243" s="542"/>
      <c r="GU243" s="542"/>
      <c r="GV243" s="542"/>
      <c r="GW243" s="542"/>
      <c r="GX243" s="542"/>
      <c r="GY243" s="542"/>
      <c r="GZ243" s="542"/>
      <c r="HA243" s="542"/>
      <c r="HB243" s="542"/>
      <c r="HC243" s="542"/>
      <c r="HD243" s="542"/>
      <c r="HE243" s="542"/>
      <c r="HF243" s="542"/>
      <c r="HG243" s="542"/>
      <c r="HH243" s="543">
        <v>4</v>
      </c>
      <c r="HI243" s="542"/>
      <c r="HJ243" s="542">
        <v>1</v>
      </c>
      <c r="HK243" s="542">
        <v>1</v>
      </c>
      <c r="HL243" s="542">
        <v>1</v>
      </c>
      <c r="HM243" s="542">
        <v>1</v>
      </c>
      <c r="HN243" s="542"/>
      <c r="HO243" s="542"/>
      <c r="HP243" s="542">
        <v>1</v>
      </c>
      <c r="HQ243" s="542"/>
      <c r="HR243" s="542">
        <v>1</v>
      </c>
      <c r="HS243" s="542"/>
      <c r="HT243" s="542">
        <v>1</v>
      </c>
      <c r="HU243" s="542"/>
      <c r="HV243" s="542"/>
      <c r="HW243" s="542"/>
      <c r="HX243" s="542"/>
      <c r="HY243" s="542"/>
      <c r="HZ243" s="542"/>
      <c r="IA243" s="542">
        <v>1</v>
      </c>
      <c r="IB243" s="542"/>
      <c r="IC243" s="542"/>
      <c r="ID243" s="542"/>
      <c r="IE243" s="542"/>
      <c r="IF243" s="542">
        <v>1</v>
      </c>
      <c r="IG243" s="542"/>
      <c r="IH243" s="542"/>
      <c r="II243" s="542">
        <v>1</v>
      </c>
      <c r="IJ243" s="542"/>
      <c r="IK243" s="542"/>
      <c r="IL243" s="542">
        <v>1</v>
      </c>
      <c r="IM243" s="542"/>
      <c r="IN243" s="542"/>
      <c r="IO243" s="542"/>
      <c r="IP243" s="542"/>
      <c r="IQ243" s="542"/>
      <c r="IR243" s="542"/>
      <c r="IS243" s="542"/>
      <c r="IT243" s="542"/>
      <c r="IU243" s="542"/>
      <c r="IV243" s="542"/>
      <c r="IW243" s="542"/>
      <c r="IX243" s="542"/>
      <c r="IY243" s="542"/>
      <c r="IZ243" s="542"/>
      <c r="JA243" s="542"/>
      <c r="JB243" s="542"/>
      <c r="JC243" s="542"/>
      <c r="JD243" s="542"/>
      <c r="JE243" s="542">
        <v>1</v>
      </c>
      <c r="JF243" s="542">
        <v>1</v>
      </c>
      <c r="JG243" s="542"/>
      <c r="JH243" s="542"/>
      <c r="JI243" s="542"/>
      <c r="JJ243" s="542">
        <v>1</v>
      </c>
      <c r="JK243" s="542"/>
      <c r="JL243" s="542"/>
      <c r="JM243" s="542"/>
      <c r="JN243" s="544"/>
      <c r="JO243" s="544"/>
      <c r="JP243" s="542"/>
      <c r="JQ243" s="543"/>
    </row>
    <row r="244" spans="1:277" x14ac:dyDescent="0.25">
      <c r="A244" s="1649">
        <v>29</v>
      </c>
      <c r="B244" s="1651">
        <f t="shared" si="19"/>
        <v>1</v>
      </c>
      <c r="D244" s="521" t="s">
        <v>4172</v>
      </c>
      <c r="E244" s="1655"/>
      <c r="F244" s="1656"/>
      <c r="G244" s="1656"/>
      <c r="H244" s="1656"/>
      <c r="I244" s="1656"/>
      <c r="J244" s="1656"/>
      <c r="K244" s="1656"/>
      <c r="L244" s="1656"/>
      <c r="M244" s="1656"/>
      <c r="N244" s="1656"/>
      <c r="O244" s="1656"/>
      <c r="P244" s="1656"/>
      <c r="Q244" s="1656"/>
      <c r="R244" s="1656"/>
      <c r="S244" s="1656"/>
      <c r="T244" s="1656"/>
      <c r="U244" s="1656"/>
      <c r="V244" s="1656"/>
      <c r="W244" s="1656"/>
      <c r="X244" s="1656"/>
      <c r="Y244" s="1656"/>
      <c r="Z244" s="1656"/>
      <c r="AA244" s="1656"/>
      <c r="AB244" s="1656"/>
      <c r="AC244" s="1656"/>
      <c r="AD244" s="1656"/>
      <c r="AE244" s="1656"/>
      <c r="AF244" s="1656"/>
      <c r="AG244" s="1656"/>
      <c r="AH244" s="1656"/>
      <c r="AI244" s="1656"/>
      <c r="AJ244" s="1656"/>
      <c r="AK244" s="1656"/>
      <c r="AL244" s="1656"/>
      <c r="AM244" s="1656"/>
      <c r="AN244" s="1656"/>
      <c r="AO244" s="1656"/>
      <c r="AP244" s="1656"/>
      <c r="AQ244" s="1656"/>
      <c r="AR244" s="1656"/>
      <c r="AS244" s="1656"/>
      <c r="AT244" s="1656"/>
      <c r="AU244" s="1656"/>
      <c r="AV244" s="1656"/>
      <c r="AW244" s="1656"/>
      <c r="AX244" s="1656"/>
      <c r="AY244" s="1656"/>
      <c r="AZ244" s="1656"/>
      <c r="BA244" s="1656"/>
      <c r="BB244" s="1656">
        <v>1</v>
      </c>
      <c r="BC244" s="1656">
        <v>1</v>
      </c>
      <c r="BD244" s="1656">
        <v>1</v>
      </c>
      <c r="BE244" s="1656"/>
      <c r="BF244" s="1656"/>
      <c r="BG244" s="1656"/>
      <c r="BH244" s="1656"/>
      <c r="BI244" s="1656"/>
      <c r="BJ244" s="1656">
        <v>1</v>
      </c>
      <c r="BK244" s="1656"/>
      <c r="BL244" s="1656"/>
      <c r="BM244" s="1656"/>
      <c r="BN244" s="1656"/>
      <c r="BO244" s="1656"/>
      <c r="BP244" s="1656"/>
      <c r="BQ244" s="1656"/>
      <c r="BR244" s="1656"/>
      <c r="BS244" s="1656"/>
      <c r="BT244" s="1656"/>
      <c r="BU244" s="1656"/>
      <c r="BV244" s="1656"/>
      <c r="BW244" s="1656"/>
      <c r="BX244" s="1656"/>
      <c r="BY244" s="1656"/>
      <c r="BZ244" s="1656"/>
      <c r="CA244" s="1656"/>
      <c r="CB244" s="1656">
        <v>1</v>
      </c>
      <c r="CC244" s="1656"/>
      <c r="CD244" s="1656"/>
      <c r="CE244" s="1656"/>
      <c r="CF244" s="1656"/>
      <c r="CG244" s="1656"/>
      <c r="CH244" s="1656"/>
      <c r="CI244" s="1656"/>
      <c r="CJ244" s="1656">
        <v>1</v>
      </c>
      <c r="CK244" s="1656"/>
      <c r="CL244" s="1656"/>
      <c r="CM244" s="1656"/>
      <c r="CN244" s="1656"/>
      <c r="CO244" s="1656"/>
      <c r="CP244" s="1656"/>
      <c r="CQ244" s="1656"/>
      <c r="CR244" s="1656"/>
      <c r="CS244" s="1656"/>
      <c r="CT244" s="1656">
        <v>1</v>
      </c>
      <c r="CU244" s="1656"/>
      <c r="CV244" s="1656"/>
      <c r="CW244" s="1656"/>
      <c r="CX244" s="1656"/>
      <c r="CY244" s="1656"/>
      <c r="CZ244" s="1656"/>
      <c r="DA244" s="1656"/>
      <c r="DB244" s="1656"/>
      <c r="DC244" s="1656"/>
      <c r="DD244" s="1656"/>
      <c r="DE244" s="1656"/>
      <c r="DF244" s="1656"/>
      <c r="DG244" s="1656"/>
      <c r="DH244" s="1656"/>
      <c r="DI244" s="1656"/>
      <c r="DJ244" s="1656"/>
      <c r="DK244" s="1656"/>
      <c r="DL244" s="1656"/>
      <c r="DM244" s="1656"/>
      <c r="DN244" s="1656"/>
      <c r="DO244" s="1656"/>
      <c r="DP244" s="1656">
        <v>1</v>
      </c>
      <c r="DQ244" s="1656"/>
      <c r="DR244" s="1656">
        <v>1</v>
      </c>
      <c r="DS244" s="1656"/>
      <c r="DT244" s="1656">
        <v>1</v>
      </c>
      <c r="DU244" s="1656"/>
      <c r="DV244" s="1656"/>
      <c r="DW244" s="1656">
        <v>1</v>
      </c>
      <c r="DX244" s="1656"/>
      <c r="DY244" s="1656"/>
      <c r="DZ244" s="1656"/>
      <c r="EA244" s="1656"/>
      <c r="EB244" s="1656"/>
      <c r="EC244" s="1656"/>
      <c r="ED244" s="1656"/>
      <c r="EE244" s="1656"/>
      <c r="EF244" s="1656"/>
      <c r="EG244" s="1656"/>
      <c r="EH244" s="1656"/>
      <c r="EI244" s="1656"/>
      <c r="EJ244" s="1656"/>
      <c r="EK244" s="1656"/>
      <c r="EL244" s="1656"/>
      <c r="EM244" s="1656">
        <v>6</v>
      </c>
      <c r="EN244" s="1656">
        <v>1</v>
      </c>
      <c r="EO244" s="1656"/>
      <c r="EP244" s="1656"/>
      <c r="EQ244" s="1656">
        <v>1</v>
      </c>
      <c r="ER244" s="1656"/>
      <c r="ES244" s="1656">
        <v>1</v>
      </c>
      <c r="ET244" s="1656"/>
      <c r="EU244" s="1656">
        <v>1</v>
      </c>
      <c r="EV244" s="1656">
        <v>1</v>
      </c>
      <c r="EW244" s="1656"/>
      <c r="EX244" s="1656">
        <v>1</v>
      </c>
      <c r="EY244" s="1656"/>
      <c r="EZ244" s="1656"/>
      <c r="FA244" s="1656"/>
      <c r="FB244" s="1656">
        <v>1</v>
      </c>
      <c r="FC244" s="1656">
        <v>1</v>
      </c>
      <c r="FD244" s="1656"/>
      <c r="FE244" s="1656"/>
      <c r="FF244" s="1656">
        <v>1</v>
      </c>
      <c r="FG244" s="1656"/>
      <c r="FH244" s="1656"/>
      <c r="FI244" s="1656"/>
      <c r="FJ244" s="1656">
        <v>1</v>
      </c>
      <c r="FK244" s="1656"/>
      <c r="FL244" s="1656"/>
      <c r="FM244" s="1656"/>
      <c r="FN244" s="1656"/>
      <c r="FO244" s="1655">
        <v>1</v>
      </c>
      <c r="FP244" s="1655">
        <v>1</v>
      </c>
      <c r="FQ244" s="1656"/>
      <c r="FR244" s="1656"/>
      <c r="FS244" s="1656"/>
      <c r="FT244" s="1656"/>
      <c r="FU244" s="1656"/>
      <c r="FV244" s="1656"/>
      <c r="FW244" s="1656"/>
      <c r="FX244" s="1656"/>
      <c r="FY244" s="1656"/>
      <c r="FZ244" s="1656"/>
      <c r="GA244" s="1656"/>
      <c r="GB244" s="1656"/>
      <c r="GC244" s="1656"/>
      <c r="GD244" s="1656"/>
      <c r="GE244" s="1656"/>
      <c r="GF244" s="1655">
        <v>1</v>
      </c>
      <c r="GG244" s="1656"/>
      <c r="GH244" s="1656"/>
      <c r="GI244" s="1656"/>
      <c r="GJ244" s="1656"/>
      <c r="GK244" s="1656"/>
      <c r="GL244" s="1656"/>
      <c r="GM244" s="1656"/>
      <c r="GN244" s="1656"/>
      <c r="GO244" s="1656"/>
      <c r="GP244" s="1656"/>
      <c r="GQ244" s="1656"/>
      <c r="GR244" s="1656"/>
      <c r="GS244" s="1656"/>
      <c r="GT244" s="1656"/>
      <c r="GU244" s="1656"/>
      <c r="GV244" s="1656"/>
      <c r="GW244" s="1656"/>
      <c r="GX244" s="1656"/>
      <c r="GY244" s="1656"/>
      <c r="GZ244" s="1656"/>
      <c r="HA244" s="1656"/>
      <c r="HB244" s="1656"/>
      <c r="HC244" s="1656"/>
      <c r="HD244" s="1656"/>
      <c r="HE244" s="1656"/>
      <c r="HF244" s="1656"/>
      <c r="HG244" s="1656"/>
      <c r="HH244" s="1657">
        <v>9</v>
      </c>
      <c r="HI244" s="1656"/>
      <c r="HJ244" s="1656">
        <v>1</v>
      </c>
      <c r="HK244" s="1656">
        <v>1</v>
      </c>
      <c r="HL244" s="1656">
        <v>1</v>
      </c>
      <c r="HM244" s="1656">
        <v>1</v>
      </c>
      <c r="HN244" s="1656"/>
      <c r="HO244" s="1656"/>
      <c r="HP244" s="1656">
        <v>1</v>
      </c>
      <c r="HQ244" s="1656"/>
      <c r="HR244" s="1656">
        <v>1</v>
      </c>
      <c r="HS244" s="1656"/>
      <c r="HT244" s="1656">
        <v>1</v>
      </c>
      <c r="HU244" s="1656"/>
      <c r="HV244" s="1656"/>
      <c r="HW244" s="1656"/>
      <c r="HX244" s="1656"/>
      <c r="HY244" s="1656"/>
      <c r="HZ244" s="1656"/>
      <c r="IA244" s="1656">
        <v>1</v>
      </c>
      <c r="IB244" s="1656"/>
      <c r="IC244" s="1656"/>
      <c r="ID244" s="1656"/>
      <c r="IE244" s="1656"/>
      <c r="IF244" s="1656">
        <v>1</v>
      </c>
      <c r="IG244" s="1656"/>
      <c r="IH244" s="1656"/>
      <c r="II244" s="1656">
        <v>1</v>
      </c>
      <c r="IJ244" s="1656"/>
      <c r="IK244" s="1656"/>
      <c r="IL244" s="1656">
        <v>1</v>
      </c>
      <c r="IM244" s="1656"/>
      <c r="IN244" s="1656"/>
      <c r="IO244" s="1656"/>
      <c r="IP244" s="1656"/>
      <c r="IQ244" s="1656"/>
      <c r="IR244" s="1656"/>
      <c r="IS244" s="1656"/>
      <c r="IT244" s="1656"/>
      <c r="IU244" s="1656"/>
      <c r="IV244" s="1656"/>
      <c r="IW244" s="1656"/>
      <c r="IX244" s="1656"/>
      <c r="IY244" s="1656"/>
      <c r="IZ244" s="1656"/>
      <c r="JA244" s="1656"/>
      <c r="JB244" s="1656"/>
      <c r="JC244" s="1656"/>
      <c r="JD244" s="1656"/>
      <c r="JE244" s="1656">
        <v>1</v>
      </c>
      <c r="JF244" s="1656">
        <v>1</v>
      </c>
      <c r="JG244" s="1656"/>
      <c r="JH244" s="1656"/>
      <c r="JI244" s="1656"/>
      <c r="JJ244" s="1656">
        <v>1</v>
      </c>
      <c r="JK244" s="1656"/>
      <c r="JL244" s="1656"/>
      <c r="JM244" s="1656"/>
      <c r="JN244" s="1658"/>
      <c r="JO244" s="1658"/>
      <c r="JP244" s="1656"/>
      <c r="JQ244" s="1657"/>
    </row>
    <row r="245" spans="1:277" x14ac:dyDescent="0.25">
      <c r="A245" s="1649">
        <v>30</v>
      </c>
      <c r="B245" s="1651" t="str">
        <f t="shared" si="19"/>
        <v/>
      </c>
      <c r="D245" s="521" t="s">
        <v>4173</v>
      </c>
      <c r="E245" s="1659"/>
      <c r="F245" s="1660"/>
      <c r="G245" s="1661"/>
      <c r="H245" s="1661"/>
      <c r="I245" s="1660"/>
      <c r="J245" s="1660"/>
      <c r="K245" s="1660"/>
      <c r="L245" s="1660"/>
      <c r="M245" s="1661"/>
      <c r="N245" s="1661"/>
      <c r="O245" s="1661"/>
      <c r="P245" s="1661"/>
      <c r="Q245" s="1661"/>
      <c r="R245" s="1661"/>
      <c r="S245" s="1661"/>
      <c r="T245" s="1661"/>
      <c r="U245" s="1661"/>
      <c r="V245" s="1661"/>
      <c r="W245" s="1661"/>
      <c r="X245" s="1661"/>
      <c r="Y245" s="1661"/>
      <c r="Z245" s="1661"/>
      <c r="AA245" s="1661"/>
      <c r="AB245" s="1661"/>
      <c r="AC245" s="1661"/>
      <c r="AD245" s="1661"/>
      <c r="AE245" s="1661"/>
      <c r="AF245" s="1661"/>
      <c r="AG245" s="1661"/>
      <c r="AH245" s="1661"/>
      <c r="AI245" s="1661"/>
      <c r="AJ245" s="1661"/>
      <c r="AK245" s="1661"/>
      <c r="AL245" s="1661"/>
      <c r="AM245" s="1661"/>
      <c r="AN245" s="1661"/>
      <c r="AO245" s="1661"/>
      <c r="AP245" s="1660"/>
      <c r="AQ245" s="1660"/>
      <c r="AR245" s="1661"/>
      <c r="AS245" s="1661"/>
      <c r="AT245" s="1661"/>
      <c r="AU245" s="1661"/>
      <c r="AV245" s="1661"/>
      <c r="AW245" s="1661"/>
      <c r="AX245" s="1661"/>
      <c r="AY245" s="1661"/>
      <c r="AZ245" s="1661"/>
      <c r="BA245" s="1661"/>
      <c r="BB245" s="1660"/>
      <c r="BC245" s="1660"/>
      <c r="BD245" s="1660"/>
      <c r="BE245" s="1660"/>
      <c r="BF245" s="1660"/>
      <c r="BG245" s="1660"/>
      <c r="BH245" s="1660"/>
      <c r="BI245" s="1660"/>
      <c r="BJ245" s="1660"/>
      <c r="BK245" s="1661"/>
      <c r="BL245" s="1661"/>
      <c r="BM245" s="1660"/>
      <c r="BN245" s="1660"/>
      <c r="BO245" s="1660"/>
      <c r="BP245" s="1660"/>
      <c r="BQ245" s="1660"/>
      <c r="BR245" s="1660"/>
      <c r="BS245" s="1660"/>
      <c r="BT245" s="1660"/>
      <c r="BU245" s="1660"/>
      <c r="BV245" s="1660"/>
      <c r="BW245" s="1660"/>
      <c r="BX245" s="1660"/>
      <c r="BY245" s="1660"/>
      <c r="BZ245" s="1660"/>
      <c r="CA245" s="1660"/>
      <c r="CB245" s="1660"/>
      <c r="CC245" s="1661"/>
      <c r="CD245" s="1661"/>
      <c r="CE245" s="1661"/>
      <c r="CF245" s="1661"/>
      <c r="CG245" s="1661"/>
      <c r="CH245" s="1661"/>
      <c r="CI245" s="1661"/>
      <c r="CJ245" s="1660"/>
      <c r="CK245" s="1661"/>
      <c r="CL245" s="1661"/>
      <c r="CM245" s="1661"/>
      <c r="CN245" s="1661"/>
      <c r="CO245" s="1661"/>
      <c r="CP245" s="1661"/>
      <c r="CQ245" s="1661"/>
      <c r="CR245" s="1661"/>
      <c r="CS245" s="1661"/>
      <c r="CT245" s="1660"/>
      <c r="CU245" s="1661"/>
      <c r="CV245" s="1661"/>
      <c r="CW245" s="1661"/>
      <c r="CX245" s="1661"/>
      <c r="CY245" s="1661"/>
      <c r="CZ245" s="1661"/>
      <c r="DA245" s="1661"/>
      <c r="DB245" s="1661"/>
      <c r="DC245" s="1661"/>
      <c r="DD245" s="1661"/>
      <c r="DE245" s="1661"/>
      <c r="DF245" s="1661"/>
      <c r="DG245" s="1661"/>
      <c r="DH245" s="1661"/>
      <c r="DI245" s="1660"/>
      <c r="DJ245" s="1661"/>
      <c r="DK245" s="1661"/>
      <c r="DL245" s="1661"/>
      <c r="DM245" s="1661"/>
      <c r="DN245" s="1661"/>
      <c r="DO245" s="1661"/>
      <c r="DP245" s="1660"/>
      <c r="DQ245" s="1661"/>
      <c r="DR245" s="1660"/>
      <c r="DS245" s="1661"/>
      <c r="DT245" s="1660"/>
      <c r="DU245" s="1661"/>
      <c r="DV245" s="1661"/>
      <c r="DW245" s="1660"/>
      <c r="DX245" s="1661"/>
      <c r="DY245" s="1661"/>
      <c r="DZ245" s="1661"/>
      <c r="EA245" s="1661"/>
      <c r="EB245" s="1661"/>
      <c r="EC245" s="1661"/>
      <c r="ED245" s="1661"/>
      <c r="EE245" s="1661"/>
      <c r="EF245" s="1661"/>
      <c r="EG245" s="1661"/>
      <c r="EH245" s="1661"/>
      <c r="EI245" s="1661"/>
      <c r="EJ245" s="1661"/>
      <c r="EK245" s="1661"/>
      <c r="EL245" s="1661"/>
      <c r="EM245" s="1661" t="s">
        <v>4174</v>
      </c>
      <c r="EN245" s="1660"/>
      <c r="EO245" s="1661"/>
      <c r="EP245" s="1661"/>
      <c r="EQ245" s="1660"/>
      <c r="ER245" s="1661"/>
      <c r="ES245" s="1660"/>
      <c r="ET245" s="1661"/>
      <c r="EU245" s="1660"/>
      <c r="EV245" s="1660"/>
      <c r="EW245" s="1661"/>
      <c r="EX245" s="1660"/>
      <c r="EY245" s="1661"/>
      <c r="EZ245" s="1661"/>
      <c r="FA245" s="1661"/>
      <c r="FB245" s="1660"/>
      <c r="FC245" s="1660"/>
      <c r="FD245" s="1661"/>
      <c r="FE245" s="1661"/>
      <c r="FF245" s="1660"/>
      <c r="FG245" s="1661"/>
      <c r="FH245" s="1661"/>
      <c r="FI245" s="1661"/>
      <c r="FJ245" s="1660"/>
      <c r="FK245" s="1661"/>
      <c r="FL245" s="1661"/>
      <c r="FM245" s="1661"/>
      <c r="FN245" s="1661"/>
      <c r="FO245" s="1659"/>
      <c r="FP245" s="1659"/>
      <c r="FQ245" s="1661"/>
      <c r="FR245" s="1661"/>
      <c r="FS245" s="1661"/>
      <c r="FT245" s="1661"/>
      <c r="FU245" s="1661"/>
      <c r="FV245" s="1661"/>
      <c r="FW245" s="1661"/>
      <c r="FX245" s="1661"/>
      <c r="FY245" s="1661"/>
      <c r="FZ245" s="1661"/>
      <c r="GA245" s="1661"/>
      <c r="GB245" s="1661"/>
      <c r="GC245" s="1661"/>
      <c r="GD245" s="1661"/>
      <c r="GE245" s="1661"/>
      <c r="GF245" s="1659"/>
      <c r="GG245" s="1661"/>
      <c r="GH245" s="1661"/>
      <c r="GI245" s="1661"/>
      <c r="GJ245" s="1661"/>
      <c r="GK245" s="1661"/>
      <c r="GL245" s="1661"/>
      <c r="GM245" s="1661"/>
      <c r="GN245" s="1661"/>
      <c r="GO245" s="1661"/>
      <c r="GP245" s="1661"/>
      <c r="GQ245" s="1661"/>
      <c r="GR245" s="1661"/>
      <c r="GS245" s="1661"/>
      <c r="GT245" s="1661"/>
      <c r="GU245" s="1661"/>
      <c r="GV245" s="1661"/>
      <c r="GW245" s="1661"/>
      <c r="GX245" s="1661"/>
      <c r="GY245" s="1661"/>
      <c r="GZ245" s="1661"/>
      <c r="HA245" s="1661"/>
      <c r="HB245" s="1661"/>
      <c r="HC245" s="1661"/>
      <c r="HD245" s="1661"/>
      <c r="HE245" s="1661"/>
      <c r="HF245" s="1661"/>
      <c r="HG245" s="1661"/>
      <c r="HH245" s="1662" t="s">
        <v>3880</v>
      </c>
      <c r="HI245" s="1661"/>
      <c r="HJ245" s="1661"/>
      <c r="HK245" s="1661"/>
      <c r="HL245" s="1661"/>
      <c r="HM245" s="1661"/>
      <c r="HN245" s="1661"/>
      <c r="HO245" s="1661"/>
      <c r="HP245" s="1660"/>
      <c r="HQ245" s="1661"/>
      <c r="HR245" s="1660"/>
      <c r="HS245" s="1661"/>
      <c r="HT245" s="1661"/>
      <c r="HU245" s="1661"/>
      <c r="HV245" s="1661"/>
      <c r="HW245" s="1661"/>
      <c r="HX245" s="1661"/>
      <c r="HY245" s="1661"/>
      <c r="HZ245" s="1661"/>
      <c r="IA245" s="1661"/>
      <c r="IB245" s="1661"/>
      <c r="IC245" s="1661"/>
      <c r="ID245" s="1661"/>
      <c r="IE245" s="1661"/>
      <c r="IF245" s="1661"/>
      <c r="IG245" s="1661"/>
      <c r="IH245" s="1661"/>
      <c r="II245" s="1661"/>
      <c r="IJ245" s="1661"/>
      <c r="IK245" s="1661"/>
      <c r="IL245" s="1661"/>
      <c r="IM245" s="1661"/>
      <c r="IN245" s="1661"/>
      <c r="IO245" s="1661"/>
      <c r="IP245" s="1661"/>
      <c r="IQ245" s="1661"/>
      <c r="IR245" s="1661"/>
      <c r="IS245" s="1661"/>
      <c r="IT245" s="1661"/>
      <c r="IU245" s="1661"/>
      <c r="IV245" s="1661"/>
      <c r="IW245" s="1661"/>
      <c r="IX245" s="1661"/>
      <c r="IY245" s="1661"/>
      <c r="IZ245" s="1661"/>
      <c r="JA245" s="1661"/>
      <c r="JB245" s="1661"/>
      <c r="JC245" s="1661"/>
      <c r="JD245" s="1661"/>
      <c r="JE245" s="1660"/>
      <c r="JF245" s="1660"/>
      <c r="JG245" s="1661"/>
      <c r="JH245" s="1661"/>
      <c r="JI245" s="1661"/>
      <c r="JJ245" s="1660"/>
      <c r="JK245" s="1661"/>
      <c r="JL245" s="1661"/>
      <c r="JM245" s="1661"/>
      <c r="JN245" s="1663"/>
      <c r="JO245" s="1663"/>
      <c r="JP245" s="1661"/>
      <c r="JQ245" s="1662"/>
    </row>
    <row r="246" spans="1:277" x14ac:dyDescent="0.25">
      <c r="A246" s="1649">
        <v>31</v>
      </c>
      <c r="B246" s="1651">
        <f t="shared" si="19"/>
        <v>0</v>
      </c>
      <c r="D246" s="521" t="s">
        <v>4175</v>
      </c>
      <c r="E246" s="1659"/>
      <c r="F246" s="1660"/>
      <c r="G246" s="1661"/>
      <c r="H246" s="1661"/>
      <c r="I246" s="1660"/>
      <c r="J246" s="1660"/>
      <c r="K246" s="1660"/>
      <c r="L246" s="1660"/>
      <c r="M246" s="1661"/>
      <c r="N246" s="1661"/>
      <c r="O246" s="1661"/>
      <c r="P246" s="1661"/>
      <c r="Q246" s="1661"/>
      <c r="R246" s="1661"/>
      <c r="S246" s="1661"/>
      <c r="T246" s="1661"/>
      <c r="U246" s="1661"/>
      <c r="V246" s="1661"/>
      <c r="W246" s="1661"/>
      <c r="X246" s="1661"/>
      <c r="Y246" s="1661"/>
      <c r="Z246" s="1661"/>
      <c r="AA246" s="1661"/>
      <c r="AB246" s="1661"/>
      <c r="AC246" s="1661"/>
      <c r="AD246" s="1661"/>
      <c r="AE246" s="1661"/>
      <c r="AF246" s="1661"/>
      <c r="AG246" s="1661"/>
      <c r="AH246" s="1661"/>
      <c r="AI246" s="1661"/>
      <c r="AJ246" s="1661"/>
      <c r="AK246" s="1661"/>
      <c r="AL246" s="1661"/>
      <c r="AM246" s="1661"/>
      <c r="AN246" s="1661"/>
      <c r="AO246" s="1661"/>
      <c r="AP246" s="1660"/>
      <c r="AQ246" s="1660"/>
      <c r="AR246" s="1661"/>
      <c r="AS246" s="1661"/>
      <c r="AT246" s="1661"/>
      <c r="AU246" s="1661"/>
      <c r="AV246" s="1661"/>
      <c r="AW246" s="1661"/>
      <c r="AX246" s="1661"/>
      <c r="AY246" s="1661"/>
      <c r="AZ246" s="1661"/>
      <c r="BA246" s="1661"/>
      <c r="BB246" s="1660">
        <v>0</v>
      </c>
      <c r="BC246" s="1660">
        <v>0</v>
      </c>
      <c r="BD246" s="1660">
        <v>0</v>
      </c>
      <c r="BE246" s="1660"/>
      <c r="BF246" s="1660"/>
      <c r="BG246" s="1660"/>
      <c r="BH246" s="1660"/>
      <c r="BI246" s="1660"/>
      <c r="BJ246" s="1660">
        <v>0</v>
      </c>
      <c r="BK246" s="1661"/>
      <c r="BL246" s="1661"/>
      <c r="BM246" s="1660"/>
      <c r="BN246" s="1660"/>
      <c r="BO246" s="1660"/>
      <c r="BP246" s="1660"/>
      <c r="BQ246" s="1660"/>
      <c r="BR246" s="1660"/>
      <c r="BS246" s="1660"/>
      <c r="BT246" s="1660"/>
      <c r="BU246" s="1660"/>
      <c r="BV246" s="1660"/>
      <c r="BW246" s="1660"/>
      <c r="BX246" s="1660"/>
      <c r="BY246" s="1660"/>
      <c r="BZ246" s="1660"/>
      <c r="CA246" s="1660"/>
      <c r="CB246" s="1660">
        <v>0</v>
      </c>
      <c r="CC246" s="1661"/>
      <c r="CD246" s="1661"/>
      <c r="CE246" s="1661"/>
      <c r="CF246" s="1661"/>
      <c r="CG246" s="1661"/>
      <c r="CH246" s="1661"/>
      <c r="CI246" s="1661"/>
      <c r="CJ246" s="1660">
        <v>0</v>
      </c>
      <c r="CK246" s="1661"/>
      <c r="CL246" s="1661"/>
      <c r="CM246" s="1661"/>
      <c r="CN246" s="1661"/>
      <c r="CO246" s="1661"/>
      <c r="CP246" s="1661"/>
      <c r="CQ246" s="1661"/>
      <c r="CR246" s="1661"/>
      <c r="CS246" s="1661"/>
      <c r="CT246" s="1660">
        <v>0</v>
      </c>
      <c r="CU246" s="1661"/>
      <c r="CV246" s="1661"/>
      <c r="CW246" s="1661"/>
      <c r="CX246" s="1661"/>
      <c r="CY246" s="1661"/>
      <c r="CZ246" s="1661"/>
      <c r="DA246" s="1661"/>
      <c r="DB246" s="1661"/>
      <c r="DC246" s="1661"/>
      <c r="DD246" s="1661"/>
      <c r="DE246" s="1661"/>
      <c r="DF246" s="1661"/>
      <c r="DG246" s="1661"/>
      <c r="DH246" s="1661"/>
      <c r="DI246" s="1660"/>
      <c r="DJ246" s="1661"/>
      <c r="DK246" s="1661"/>
      <c r="DL246" s="1661"/>
      <c r="DM246" s="1661"/>
      <c r="DN246" s="1661"/>
      <c r="DO246" s="1661"/>
      <c r="DP246" s="1660">
        <v>0</v>
      </c>
      <c r="DQ246" s="1661"/>
      <c r="DR246" s="1660">
        <v>0</v>
      </c>
      <c r="DS246" s="1661"/>
      <c r="DT246" s="1660">
        <v>0</v>
      </c>
      <c r="DU246" s="1661"/>
      <c r="DV246" s="1661"/>
      <c r="DW246" s="1660">
        <v>0</v>
      </c>
      <c r="DX246" s="1661"/>
      <c r="DY246" s="1661"/>
      <c r="DZ246" s="1661"/>
      <c r="EA246" s="1661"/>
      <c r="EB246" s="1661"/>
      <c r="EC246" s="1661"/>
      <c r="ED246" s="1661"/>
      <c r="EE246" s="1661"/>
      <c r="EF246" s="1661"/>
      <c r="EG246" s="1661"/>
      <c r="EH246" s="1661"/>
      <c r="EI246" s="1661"/>
      <c r="EJ246" s="1661"/>
      <c r="EK246" s="1661"/>
      <c r="EL246" s="1661"/>
      <c r="EM246" s="1661">
        <v>23</v>
      </c>
      <c r="EN246" s="1660">
        <v>0</v>
      </c>
      <c r="EO246" s="1661"/>
      <c r="EP246" s="1661"/>
      <c r="EQ246" s="1660">
        <v>0</v>
      </c>
      <c r="ER246" s="1661"/>
      <c r="ES246" s="1660">
        <v>0</v>
      </c>
      <c r="ET246" s="1661"/>
      <c r="EU246" s="1660">
        <v>0</v>
      </c>
      <c r="EV246" s="1660">
        <v>0</v>
      </c>
      <c r="EW246" s="1661" t="s">
        <v>2927</v>
      </c>
      <c r="EX246" s="1660">
        <v>0</v>
      </c>
      <c r="EY246" s="1661"/>
      <c r="EZ246" s="1661"/>
      <c r="FA246" s="1661"/>
      <c r="FB246" s="1660">
        <v>0</v>
      </c>
      <c r="FC246" s="1660">
        <v>0</v>
      </c>
      <c r="FD246" s="1661"/>
      <c r="FE246" s="1661"/>
      <c r="FF246" s="1660">
        <v>0</v>
      </c>
      <c r="FG246" s="1661"/>
      <c r="FH246" s="1661"/>
      <c r="FI246" s="1661"/>
      <c r="FJ246" s="1660">
        <v>0</v>
      </c>
      <c r="FK246" s="1661"/>
      <c r="FL246" s="1661"/>
      <c r="FM246" s="1661"/>
      <c r="FN246" s="1661"/>
      <c r="FO246" s="1659">
        <v>0</v>
      </c>
      <c r="FP246" s="1659">
        <v>0</v>
      </c>
      <c r="FQ246" s="1661"/>
      <c r="FR246" s="1661"/>
      <c r="FS246" s="1661"/>
      <c r="FT246" s="1661"/>
      <c r="FU246" s="1661"/>
      <c r="FV246" s="1661"/>
      <c r="FW246" s="1661"/>
      <c r="FX246" s="1661"/>
      <c r="FY246" s="1661"/>
      <c r="FZ246" s="1661"/>
      <c r="GA246" s="1661"/>
      <c r="GB246" s="1661"/>
      <c r="GC246" s="1661"/>
      <c r="GD246" s="1661"/>
      <c r="GE246" s="1661"/>
      <c r="GF246" s="1659">
        <v>0</v>
      </c>
      <c r="GG246" s="1661"/>
      <c r="GH246" s="1661"/>
      <c r="GI246" s="1661"/>
      <c r="GJ246" s="1661"/>
      <c r="GK246" s="1661"/>
      <c r="GL246" s="1661"/>
      <c r="GM246" s="1661"/>
      <c r="GN246" s="1661"/>
      <c r="GO246" s="1661"/>
      <c r="GP246" s="1661"/>
      <c r="GQ246" s="1661"/>
      <c r="GR246" s="1661"/>
      <c r="GS246" s="1661"/>
      <c r="GT246" s="1661"/>
      <c r="GU246" s="1661"/>
      <c r="GV246" s="1661"/>
      <c r="GW246" s="1661"/>
      <c r="GX246" s="1661"/>
      <c r="GY246" s="1661"/>
      <c r="GZ246" s="1661"/>
      <c r="HA246" s="1661"/>
      <c r="HB246" s="1661"/>
      <c r="HC246" s="1661"/>
      <c r="HD246" s="1661"/>
      <c r="HE246" s="1661"/>
      <c r="HF246" s="1661"/>
      <c r="HG246" s="1661"/>
      <c r="HH246" s="1662">
        <v>500</v>
      </c>
      <c r="HI246" s="1661"/>
      <c r="HJ246" s="1661">
        <v>0</v>
      </c>
      <c r="HK246" s="1661">
        <v>0</v>
      </c>
      <c r="HL246" s="1661">
        <v>0</v>
      </c>
      <c r="HM246" s="1661">
        <v>0</v>
      </c>
      <c r="HN246" s="1661"/>
      <c r="HO246" s="1661"/>
      <c r="HP246" s="1660">
        <v>0</v>
      </c>
      <c r="HQ246" s="1661"/>
      <c r="HR246" s="1660">
        <v>0</v>
      </c>
      <c r="HS246" s="1661"/>
      <c r="HT246" s="1661">
        <v>0</v>
      </c>
      <c r="HU246" s="1661"/>
      <c r="HV246" s="1661"/>
      <c r="HW246" s="1661"/>
      <c r="HX246" s="1661"/>
      <c r="HY246" s="1661"/>
      <c r="HZ246" s="1661"/>
      <c r="IA246" s="1661">
        <v>0</v>
      </c>
      <c r="IB246" s="1661"/>
      <c r="IC246" s="1661"/>
      <c r="ID246" s="1661"/>
      <c r="IE246" s="1661"/>
      <c r="IF246" s="1661">
        <v>0</v>
      </c>
      <c r="IG246" s="1661"/>
      <c r="IH246" s="1661"/>
      <c r="II246" s="1661">
        <v>0</v>
      </c>
      <c r="IJ246" s="1661"/>
      <c r="IK246" s="1661"/>
      <c r="IL246" s="1661">
        <v>0</v>
      </c>
      <c r="IM246" s="1661"/>
      <c r="IN246" s="1661"/>
      <c r="IO246" s="1661"/>
      <c r="IP246" s="1661"/>
      <c r="IQ246" s="1661"/>
      <c r="IR246" s="1661"/>
      <c r="IS246" s="1661"/>
      <c r="IT246" s="1661"/>
      <c r="IU246" s="1661"/>
      <c r="IV246" s="1661"/>
      <c r="IW246" s="1661"/>
      <c r="IX246" s="1661"/>
      <c r="IY246" s="1661"/>
      <c r="IZ246" s="1661"/>
      <c r="JA246" s="1661"/>
      <c r="JB246" s="1661"/>
      <c r="JC246" s="1661"/>
      <c r="JD246" s="1661"/>
      <c r="JE246" s="1660">
        <v>0</v>
      </c>
      <c r="JF246" s="1660">
        <v>0</v>
      </c>
      <c r="JG246" s="1661"/>
      <c r="JH246" s="1661"/>
      <c r="JI246" s="1661"/>
      <c r="JJ246" s="1660">
        <v>0</v>
      </c>
      <c r="JK246" s="1661"/>
      <c r="JL246" s="1661"/>
      <c r="JM246" s="1661"/>
      <c r="JN246" s="1663"/>
      <c r="JO246" s="1663"/>
      <c r="JP246" s="1661"/>
      <c r="JQ246" s="1662"/>
    </row>
    <row r="247" spans="1:277" ht="13" thickBot="1" x14ac:dyDescent="0.3">
      <c r="A247" s="1649">
        <v>32</v>
      </c>
      <c r="B247" s="1651">
        <f t="shared" si="19"/>
        <v>0</v>
      </c>
      <c r="D247" s="521" t="s">
        <v>4176</v>
      </c>
      <c r="E247" s="740"/>
      <c r="F247" s="741"/>
      <c r="G247" s="742"/>
      <c r="H247" s="742"/>
      <c r="I247" s="741"/>
      <c r="J247" s="741"/>
      <c r="K247" s="741"/>
      <c r="L247" s="741"/>
      <c r="M247" s="742"/>
      <c r="N247" s="742"/>
      <c r="O247" s="742"/>
      <c r="P247" s="742"/>
      <c r="Q247" s="742"/>
      <c r="R247" s="742"/>
      <c r="S247" s="742"/>
      <c r="T247" s="742"/>
      <c r="U247" s="742"/>
      <c r="V247" s="742"/>
      <c r="W247" s="742"/>
      <c r="X247" s="742"/>
      <c r="Y247" s="742"/>
      <c r="Z247" s="742"/>
      <c r="AA247" s="742"/>
      <c r="AB247" s="742"/>
      <c r="AC247" s="742"/>
      <c r="AD247" s="742"/>
      <c r="AE247" s="742"/>
      <c r="AF247" s="742"/>
      <c r="AG247" s="742"/>
      <c r="AH247" s="742"/>
      <c r="AI247" s="742"/>
      <c r="AJ247" s="742"/>
      <c r="AK247" s="742"/>
      <c r="AL247" s="742"/>
      <c r="AM247" s="742"/>
      <c r="AN247" s="742"/>
      <c r="AO247" s="742"/>
      <c r="AP247" s="741"/>
      <c r="AQ247" s="741"/>
      <c r="AR247" s="742"/>
      <c r="AS247" s="742"/>
      <c r="AT247" s="742"/>
      <c r="AU247" s="742"/>
      <c r="AV247" s="742"/>
      <c r="AW247" s="742"/>
      <c r="AX247" s="742"/>
      <c r="AY247" s="742"/>
      <c r="AZ247" s="742"/>
      <c r="BA247" s="742"/>
      <c r="BB247" s="741">
        <v>0</v>
      </c>
      <c r="BC247" s="741">
        <v>0</v>
      </c>
      <c r="BD247" s="741">
        <v>0</v>
      </c>
      <c r="BE247" s="741"/>
      <c r="BF247" s="741"/>
      <c r="BG247" s="741"/>
      <c r="BH247" s="741"/>
      <c r="BI247" s="741"/>
      <c r="BJ247" s="741">
        <v>0</v>
      </c>
      <c r="BK247" s="742"/>
      <c r="BL247" s="742"/>
      <c r="BM247" s="741"/>
      <c r="BN247" s="741"/>
      <c r="BO247" s="741"/>
      <c r="BP247" s="741"/>
      <c r="BQ247" s="741"/>
      <c r="BR247" s="741"/>
      <c r="BS247" s="741"/>
      <c r="BT247" s="741"/>
      <c r="BU247" s="741"/>
      <c r="BV247" s="741"/>
      <c r="BW247" s="741"/>
      <c r="BX247" s="741"/>
      <c r="BY247" s="741"/>
      <c r="BZ247" s="741"/>
      <c r="CA247" s="741"/>
      <c r="CB247" s="741">
        <v>0</v>
      </c>
      <c r="CC247" s="742"/>
      <c r="CD247" s="742"/>
      <c r="CE247" s="742"/>
      <c r="CF247" s="742"/>
      <c r="CG247" s="742"/>
      <c r="CH247" s="742"/>
      <c r="CI247" s="742"/>
      <c r="CJ247" s="741">
        <v>0</v>
      </c>
      <c r="CK247" s="742"/>
      <c r="CL247" s="742"/>
      <c r="CM247" s="742"/>
      <c r="CN247" s="742"/>
      <c r="CO247" s="742"/>
      <c r="CP247" s="742"/>
      <c r="CQ247" s="742"/>
      <c r="CR247" s="742"/>
      <c r="CS247" s="742"/>
      <c r="CT247" s="741">
        <v>0</v>
      </c>
      <c r="CU247" s="742"/>
      <c r="CV247" s="742"/>
      <c r="CW247" s="742"/>
      <c r="CX247" s="742"/>
      <c r="CY247" s="742"/>
      <c r="CZ247" s="742"/>
      <c r="DA247" s="742"/>
      <c r="DB247" s="742"/>
      <c r="DC247" s="742"/>
      <c r="DD247" s="742"/>
      <c r="DE247" s="742"/>
      <c r="DF247" s="742"/>
      <c r="DG247" s="742"/>
      <c r="DH247" s="742"/>
      <c r="DI247" s="741"/>
      <c r="DJ247" s="742"/>
      <c r="DK247" s="742"/>
      <c r="DL247" s="742"/>
      <c r="DM247" s="742"/>
      <c r="DN247" s="742"/>
      <c r="DO247" s="742"/>
      <c r="DP247" s="741">
        <v>0</v>
      </c>
      <c r="DQ247" s="742"/>
      <c r="DR247" s="741">
        <v>0</v>
      </c>
      <c r="DS247" s="742"/>
      <c r="DT247" s="741">
        <v>0</v>
      </c>
      <c r="DU247" s="742"/>
      <c r="DV247" s="742"/>
      <c r="DW247" s="741">
        <v>0</v>
      </c>
      <c r="DX247" s="742"/>
      <c r="DY247" s="742"/>
      <c r="DZ247" s="742"/>
      <c r="EA247" s="742"/>
      <c r="EB247" s="742"/>
      <c r="EC247" s="742"/>
      <c r="ED247" s="742"/>
      <c r="EE247" s="742"/>
      <c r="EF247" s="742"/>
      <c r="EG247" s="742"/>
      <c r="EH247" s="742"/>
      <c r="EI247" s="742"/>
      <c r="EJ247" s="742"/>
      <c r="EK247" s="742"/>
      <c r="EL247" s="742"/>
      <c r="EM247" s="742">
        <v>3</v>
      </c>
      <c r="EN247" s="741">
        <v>0</v>
      </c>
      <c r="EO247" s="742"/>
      <c r="EP247" s="742"/>
      <c r="EQ247" s="741">
        <v>0</v>
      </c>
      <c r="ER247" s="742"/>
      <c r="ES247" s="741">
        <v>0</v>
      </c>
      <c r="ET247" s="742"/>
      <c r="EU247" s="741">
        <v>0</v>
      </c>
      <c r="EV247" s="741">
        <v>0</v>
      </c>
      <c r="EW247" s="742"/>
      <c r="EX247" s="741">
        <v>0</v>
      </c>
      <c r="EY247" s="742"/>
      <c r="EZ247" s="742"/>
      <c r="FA247" s="742"/>
      <c r="FB247" s="741">
        <v>0</v>
      </c>
      <c r="FC247" s="741">
        <v>0</v>
      </c>
      <c r="FD247" s="742"/>
      <c r="FE247" s="742"/>
      <c r="FF247" s="741">
        <v>0</v>
      </c>
      <c r="FG247" s="742"/>
      <c r="FH247" s="742"/>
      <c r="FI247" s="742"/>
      <c r="FJ247" s="741">
        <v>0</v>
      </c>
      <c r="FK247" s="742"/>
      <c r="FL247" s="742"/>
      <c r="FM247" s="742"/>
      <c r="FN247" s="742"/>
      <c r="FO247" s="740">
        <v>0</v>
      </c>
      <c r="FP247" s="740">
        <v>0</v>
      </c>
      <c r="FQ247" s="742"/>
      <c r="FR247" s="742"/>
      <c r="FS247" s="742"/>
      <c r="FT247" s="742"/>
      <c r="FU247" s="742"/>
      <c r="FV247" s="742"/>
      <c r="FW247" s="742"/>
      <c r="FX247" s="742"/>
      <c r="FY247" s="742"/>
      <c r="FZ247" s="742"/>
      <c r="GA247" s="742"/>
      <c r="GB247" s="742"/>
      <c r="GC247" s="742"/>
      <c r="GD247" s="742"/>
      <c r="GE247" s="742"/>
      <c r="GF247" s="740">
        <v>0</v>
      </c>
      <c r="GG247" s="742"/>
      <c r="GH247" s="742"/>
      <c r="GI247" s="742"/>
      <c r="GJ247" s="742"/>
      <c r="GK247" s="742"/>
      <c r="GL247" s="742"/>
      <c r="GM247" s="742"/>
      <c r="GN247" s="742"/>
      <c r="GO247" s="742"/>
      <c r="GP247" s="742"/>
      <c r="GQ247" s="742"/>
      <c r="GR247" s="742"/>
      <c r="GS247" s="742"/>
      <c r="GT247" s="742"/>
      <c r="GU247" s="742"/>
      <c r="GV247" s="742"/>
      <c r="GW247" s="742"/>
      <c r="GX247" s="742"/>
      <c r="GY247" s="742"/>
      <c r="GZ247" s="742"/>
      <c r="HA247" s="742"/>
      <c r="HB247" s="742"/>
      <c r="HC247" s="742"/>
      <c r="HD247" s="742"/>
      <c r="HE247" s="742"/>
      <c r="HF247" s="742"/>
      <c r="HG247" s="742"/>
      <c r="HH247" s="741">
        <v>75</v>
      </c>
      <c r="HI247" s="742"/>
      <c r="HJ247" s="741">
        <v>0</v>
      </c>
      <c r="HK247" s="741">
        <v>0</v>
      </c>
      <c r="HL247" s="741">
        <v>0</v>
      </c>
      <c r="HM247" s="741">
        <v>0</v>
      </c>
      <c r="HN247" s="742"/>
      <c r="HO247" s="742"/>
      <c r="HP247" s="741">
        <v>0</v>
      </c>
      <c r="HQ247" s="742"/>
      <c r="HR247" s="741">
        <v>0</v>
      </c>
      <c r="HS247" s="742"/>
      <c r="HT247" s="742">
        <v>0</v>
      </c>
      <c r="HU247" s="742"/>
      <c r="HV247" s="742"/>
      <c r="HW247" s="742"/>
      <c r="HX247" s="742"/>
      <c r="HY247" s="742"/>
      <c r="HZ247" s="742"/>
      <c r="IA247" s="742">
        <v>0</v>
      </c>
      <c r="IB247" s="742"/>
      <c r="IC247" s="742"/>
      <c r="ID247" s="742"/>
      <c r="IE247" s="742"/>
      <c r="IF247" s="742">
        <v>0</v>
      </c>
      <c r="IG247" s="742"/>
      <c r="IH247" s="742"/>
      <c r="II247" s="742">
        <v>0</v>
      </c>
      <c r="IJ247" s="742"/>
      <c r="IK247" s="742"/>
      <c r="IL247" s="742">
        <v>0</v>
      </c>
      <c r="IM247" s="742"/>
      <c r="IN247" s="742"/>
      <c r="IO247" s="742"/>
      <c r="IP247" s="742"/>
      <c r="IQ247" s="742"/>
      <c r="IR247" s="742"/>
      <c r="IS247" s="742"/>
      <c r="IT247" s="742"/>
      <c r="IU247" s="742"/>
      <c r="IV247" s="742"/>
      <c r="IW247" s="742"/>
      <c r="IX247" s="742"/>
      <c r="IY247" s="742"/>
      <c r="IZ247" s="742"/>
      <c r="JA247" s="742"/>
      <c r="JB247" s="742"/>
      <c r="JC247" s="742"/>
      <c r="JD247" s="742"/>
      <c r="JE247" s="741">
        <v>0</v>
      </c>
      <c r="JF247" s="741">
        <v>0</v>
      </c>
      <c r="JG247" s="742"/>
      <c r="JH247" s="742"/>
      <c r="JI247" s="742"/>
      <c r="JJ247" s="741">
        <v>0</v>
      </c>
      <c r="JK247" s="742"/>
      <c r="JL247" s="742"/>
      <c r="JM247" s="742"/>
      <c r="JN247" s="743"/>
      <c r="JO247" s="743"/>
      <c r="JP247" s="742"/>
      <c r="JQ247" s="744"/>
    </row>
    <row r="248" spans="1:277" x14ac:dyDescent="0.25">
      <c r="A248" s="1649">
        <v>33</v>
      </c>
      <c r="B248" s="1651">
        <f t="shared" si="19"/>
        <v>1</v>
      </c>
      <c r="D248" s="521" t="s">
        <v>4177</v>
      </c>
      <c r="E248" s="541"/>
      <c r="F248" s="542"/>
      <c r="G248" s="542"/>
      <c r="H248" s="542"/>
      <c r="I248" s="542"/>
      <c r="J248" s="542"/>
      <c r="K248" s="542"/>
      <c r="L248" s="542"/>
      <c r="M248" s="542"/>
      <c r="N248" s="542"/>
      <c r="O248" s="542"/>
      <c r="P248" s="542"/>
      <c r="Q248" s="542"/>
      <c r="R248" s="542"/>
      <c r="S248" s="542"/>
      <c r="T248" s="542"/>
      <c r="U248" s="542"/>
      <c r="V248" s="542"/>
      <c r="W248" s="542"/>
      <c r="X248" s="542"/>
      <c r="Y248" s="542"/>
      <c r="Z248" s="542"/>
      <c r="AA248" s="542"/>
      <c r="AB248" s="542"/>
      <c r="AC248" s="542"/>
      <c r="AD248" s="542"/>
      <c r="AE248" s="542"/>
      <c r="AF248" s="542"/>
      <c r="AG248" s="542"/>
      <c r="AH248" s="542"/>
      <c r="AI248" s="542"/>
      <c r="AJ248" s="542"/>
      <c r="AK248" s="542"/>
      <c r="AL248" s="542"/>
      <c r="AM248" s="542"/>
      <c r="AN248" s="542"/>
      <c r="AO248" s="542"/>
      <c r="AP248" s="542"/>
      <c r="AQ248" s="542"/>
      <c r="AR248" s="542"/>
      <c r="AS248" s="542"/>
      <c r="AT248" s="542"/>
      <c r="AU248" s="542"/>
      <c r="AV248" s="542"/>
      <c r="AW248" s="542"/>
      <c r="AX248" s="542"/>
      <c r="AY248" s="542"/>
      <c r="AZ248" s="542"/>
      <c r="BA248" s="542"/>
      <c r="BB248" s="542">
        <v>1</v>
      </c>
      <c r="BC248" s="542">
        <v>1</v>
      </c>
      <c r="BD248" s="542">
        <v>1</v>
      </c>
      <c r="BE248" s="542"/>
      <c r="BF248" s="542"/>
      <c r="BG248" s="542"/>
      <c r="BH248" s="542"/>
      <c r="BI248" s="542"/>
      <c r="BJ248" s="542">
        <v>1</v>
      </c>
      <c r="BK248" s="542"/>
      <c r="BL248" s="542"/>
      <c r="BM248" s="542"/>
      <c r="BN248" s="542"/>
      <c r="BO248" s="542"/>
      <c r="BP248" s="542"/>
      <c r="BQ248" s="542"/>
      <c r="BR248" s="542"/>
      <c r="BS248" s="542"/>
      <c r="BT248" s="542"/>
      <c r="BU248" s="542"/>
      <c r="BV248" s="542"/>
      <c r="BW248" s="542"/>
      <c r="BX248" s="542"/>
      <c r="BY248" s="542"/>
      <c r="BZ248" s="542"/>
      <c r="CA248" s="542"/>
      <c r="CB248" s="542">
        <v>1</v>
      </c>
      <c r="CC248" s="542"/>
      <c r="CD248" s="542"/>
      <c r="CE248" s="542"/>
      <c r="CF248" s="542"/>
      <c r="CG248" s="542"/>
      <c r="CH248" s="542"/>
      <c r="CI248" s="542"/>
      <c r="CJ248" s="542">
        <v>1</v>
      </c>
      <c r="CK248" s="542"/>
      <c r="CL248" s="542"/>
      <c r="CM248" s="542"/>
      <c r="CN248" s="542"/>
      <c r="CO248" s="542"/>
      <c r="CP248" s="542"/>
      <c r="CQ248" s="542"/>
      <c r="CR248" s="542"/>
      <c r="CS248" s="542"/>
      <c r="CT248" s="542">
        <v>1</v>
      </c>
      <c r="CU248" s="542"/>
      <c r="CV248" s="542"/>
      <c r="CW248" s="542"/>
      <c r="CX248" s="542"/>
      <c r="CY248" s="542"/>
      <c r="CZ248" s="542"/>
      <c r="DA248" s="542"/>
      <c r="DB248" s="542"/>
      <c r="DC248" s="542"/>
      <c r="DD248" s="542"/>
      <c r="DE248" s="542"/>
      <c r="DF248" s="542"/>
      <c r="DG248" s="542"/>
      <c r="DH248" s="542"/>
      <c r="DI248" s="542"/>
      <c r="DJ248" s="542"/>
      <c r="DK248" s="542"/>
      <c r="DL248" s="542"/>
      <c r="DM248" s="542"/>
      <c r="DN248" s="542"/>
      <c r="DO248" s="542"/>
      <c r="DP248" s="542">
        <v>1</v>
      </c>
      <c r="DQ248" s="542"/>
      <c r="DR248" s="542">
        <v>1</v>
      </c>
      <c r="DS248" s="542"/>
      <c r="DT248" s="542">
        <v>1</v>
      </c>
      <c r="DU248" s="542"/>
      <c r="DV248" s="542"/>
      <c r="DW248" s="542">
        <v>1</v>
      </c>
      <c r="DX248" s="542"/>
      <c r="DY248" s="542"/>
      <c r="DZ248" s="542"/>
      <c r="EA248" s="542"/>
      <c r="EB248" s="542"/>
      <c r="EC248" s="542"/>
      <c r="ED248" s="542"/>
      <c r="EE248" s="542"/>
      <c r="EF248" s="542"/>
      <c r="EG248" s="542"/>
      <c r="EH248" s="542"/>
      <c r="EI248" s="542"/>
      <c r="EJ248" s="542"/>
      <c r="EK248" s="542"/>
      <c r="EL248" s="542"/>
      <c r="EM248" s="542">
        <v>1</v>
      </c>
      <c r="EN248" s="542">
        <v>1</v>
      </c>
      <c r="EO248" s="542"/>
      <c r="EP248" s="542"/>
      <c r="EQ248" s="542">
        <v>1</v>
      </c>
      <c r="ER248" s="542"/>
      <c r="ES248" s="542">
        <v>1</v>
      </c>
      <c r="ET248" s="542"/>
      <c r="EU248" s="542">
        <v>1</v>
      </c>
      <c r="EV248" s="542">
        <v>1</v>
      </c>
      <c r="EW248" s="542"/>
      <c r="EX248" s="542">
        <v>1</v>
      </c>
      <c r="EY248" s="542"/>
      <c r="EZ248" s="542"/>
      <c r="FA248" s="542"/>
      <c r="FB248" s="542">
        <v>1</v>
      </c>
      <c r="FC248" s="542">
        <v>1</v>
      </c>
      <c r="FD248" s="542"/>
      <c r="FE248" s="542"/>
      <c r="FF248" s="542">
        <v>1</v>
      </c>
      <c r="FG248" s="542"/>
      <c r="FH248" s="542"/>
      <c r="FI248" s="542"/>
      <c r="FJ248" s="542">
        <v>1</v>
      </c>
      <c r="FK248" s="542"/>
      <c r="FL248" s="542"/>
      <c r="FM248" s="542"/>
      <c r="FN248" s="542"/>
      <c r="FO248" s="541">
        <v>1</v>
      </c>
      <c r="FP248" s="541">
        <v>1</v>
      </c>
      <c r="FQ248" s="542"/>
      <c r="FR248" s="542"/>
      <c r="FS248" s="542"/>
      <c r="FT248" s="542"/>
      <c r="FU248" s="542"/>
      <c r="FV248" s="542"/>
      <c r="FW248" s="542"/>
      <c r="FX248" s="542"/>
      <c r="FY248" s="542"/>
      <c r="FZ248" s="542"/>
      <c r="GA248" s="542"/>
      <c r="GB248" s="542"/>
      <c r="GC248" s="542"/>
      <c r="GD248" s="542"/>
      <c r="GE248" s="542"/>
      <c r="GF248" s="541">
        <v>1</v>
      </c>
      <c r="GG248" s="542"/>
      <c r="GH248" s="542"/>
      <c r="GI248" s="542"/>
      <c r="GJ248" s="542"/>
      <c r="GK248" s="542"/>
      <c r="GL248" s="542"/>
      <c r="GM248" s="542"/>
      <c r="GN248" s="542"/>
      <c r="GO248" s="542"/>
      <c r="GP248" s="542"/>
      <c r="GQ248" s="542"/>
      <c r="GR248" s="542"/>
      <c r="GS248" s="542"/>
      <c r="GT248" s="542"/>
      <c r="GU248" s="542"/>
      <c r="GV248" s="542"/>
      <c r="GW248" s="542"/>
      <c r="GX248" s="542"/>
      <c r="GY248" s="542"/>
      <c r="GZ248" s="542"/>
      <c r="HA248" s="542"/>
      <c r="HB248" s="542"/>
      <c r="HC248" s="542"/>
      <c r="HD248" s="542"/>
      <c r="HE248" s="542"/>
      <c r="HF248" s="542"/>
      <c r="HG248" s="542"/>
      <c r="HH248" s="543">
        <v>3</v>
      </c>
      <c r="HI248" s="542"/>
      <c r="HJ248" s="542">
        <v>1</v>
      </c>
      <c r="HK248" s="542">
        <v>1</v>
      </c>
      <c r="HL248" s="542">
        <v>1</v>
      </c>
      <c r="HM248" s="542">
        <v>1</v>
      </c>
      <c r="HN248" s="542"/>
      <c r="HO248" s="542"/>
      <c r="HP248" s="542">
        <v>1</v>
      </c>
      <c r="HQ248" s="542"/>
      <c r="HR248" s="542">
        <v>1</v>
      </c>
      <c r="HS248" s="542"/>
      <c r="HT248" s="542">
        <v>1</v>
      </c>
      <c r="HU248" s="542"/>
      <c r="HV248" s="542"/>
      <c r="HW248" s="542"/>
      <c r="HX248" s="542"/>
      <c r="HY248" s="542"/>
      <c r="HZ248" s="542"/>
      <c r="IA248" s="542">
        <v>1</v>
      </c>
      <c r="IB248" s="542"/>
      <c r="IC248" s="542"/>
      <c r="ID248" s="542"/>
      <c r="IE248" s="542"/>
      <c r="IF248" s="542">
        <v>1</v>
      </c>
      <c r="IG248" s="542"/>
      <c r="IH248" s="542"/>
      <c r="II248" s="542">
        <v>1</v>
      </c>
      <c r="IJ248" s="542"/>
      <c r="IK248" s="542"/>
      <c r="IL248" s="542">
        <v>1</v>
      </c>
      <c r="IM248" s="542"/>
      <c r="IN248" s="542"/>
      <c r="IO248" s="542"/>
      <c r="IP248" s="542"/>
      <c r="IQ248" s="542"/>
      <c r="IR248" s="542"/>
      <c r="IS248" s="542"/>
      <c r="IT248" s="542"/>
      <c r="IU248" s="542"/>
      <c r="IV248" s="542"/>
      <c r="IW248" s="542"/>
      <c r="IX248" s="542"/>
      <c r="IY248" s="542"/>
      <c r="IZ248" s="542"/>
      <c r="JA248" s="542"/>
      <c r="JB248" s="542"/>
      <c r="JC248" s="542"/>
      <c r="JD248" s="542"/>
      <c r="JE248" s="542">
        <v>1</v>
      </c>
      <c r="JF248" s="542">
        <v>1</v>
      </c>
      <c r="JG248" s="542"/>
      <c r="JH248" s="542"/>
      <c r="JI248" s="542"/>
      <c r="JJ248" s="542">
        <v>1</v>
      </c>
      <c r="JK248" s="542"/>
      <c r="JL248" s="542"/>
      <c r="JM248" s="542"/>
      <c r="JN248" s="544"/>
      <c r="JO248" s="544"/>
      <c r="JP248" s="542"/>
      <c r="JQ248" s="543"/>
    </row>
    <row r="249" spans="1:277" x14ac:dyDescent="0.25">
      <c r="A249" s="1649">
        <v>34</v>
      </c>
      <c r="B249" s="1651">
        <f t="shared" si="19"/>
        <v>1</v>
      </c>
      <c r="D249" s="521" t="s">
        <v>4178</v>
      </c>
      <c r="E249" s="1655"/>
      <c r="F249" s="1656"/>
      <c r="G249" s="1656"/>
      <c r="H249" s="1656"/>
      <c r="I249" s="1656"/>
      <c r="J249" s="1656"/>
      <c r="K249" s="1656"/>
      <c r="L249" s="1656"/>
      <c r="M249" s="1656"/>
      <c r="N249" s="1656"/>
      <c r="O249" s="1656"/>
      <c r="P249" s="1656"/>
      <c r="Q249" s="1656"/>
      <c r="R249" s="1656"/>
      <c r="S249" s="1656"/>
      <c r="T249" s="1656"/>
      <c r="U249" s="1656"/>
      <c r="V249" s="1656"/>
      <c r="W249" s="1656"/>
      <c r="X249" s="1656"/>
      <c r="Y249" s="1656"/>
      <c r="Z249" s="1656"/>
      <c r="AA249" s="1656"/>
      <c r="AB249" s="1656"/>
      <c r="AC249" s="1656"/>
      <c r="AD249" s="1656"/>
      <c r="AE249" s="1656"/>
      <c r="AF249" s="1656"/>
      <c r="AG249" s="1656"/>
      <c r="AH249" s="1656"/>
      <c r="AI249" s="1656"/>
      <c r="AJ249" s="1656"/>
      <c r="AK249" s="1656"/>
      <c r="AL249" s="1656"/>
      <c r="AM249" s="1656"/>
      <c r="AN249" s="1656"/>
      <c r="AO249" s="1656"/>
      <c r="AP249" s="1656"/>
      <c r="AQ249" s="1656"/>
      <c r="AR249" s="1656"/>
      <c r="AS249" s="1656"/>
      <c r="AT249" s="1656"/>
      <c r="AU249" s="1656"/>
      <c r="AV249" s="1656"/>
      <c r="AW249" s="1656"/>
      <c r="AX249" s="1656"/>
      <c r="AY249" s="1656"/>
      <c r="AZ249" s="1656"/>
      <c r="BA249" s="1656"/>
      <c r="BB249" s="1656">
        <v>1</v>
      </c>
      <c r="BC249" s="1656">
        <v>1</v>
      </c>
      <c r="BD249" s="1656">
        <v>1</v>
      </c>
      <c r="BE249" s="1656"/>
      <c r="BF249" s="1656"/>
      <c r="BG249" s="1656"/>
      <c r="BH249" s="1656"/>
      <c r="BI249" s="1656"/>
      <c r="BJ249" s="1656">
        <v>1</v>
      </c>
      <c r="BK249" s="1656"/>
      <c r="BL249" s="1656"/>
      <c r="BM249" s="1656"/>
      <c r="BN249" s="1656"/>
      <c r="BO249" s="1656"/>
      <c r="BP249" s="1656"/>
      <c r="BQ249" s="1656"/>
      <c r="BR249" s="1656"/>
      <c r="BS249" s="1656"/>
      <c r="BT249" s="1656"/>
      <c r="BU249" s="1656"/>
      <c r="BV249" s="1656"/>
      <c r="BW249" s="1656"/>
      <c r="BX249" s="1656"/>
      <c r="BY249" s="1656"/>
      <c r="BZ249" s="1656"/>
      <c r="CA249" s="1656"/>
      <c r="CB249" s="1656">
        <v>1</v>
      </c>
      <c r="CC249" s="1656"/>
      <c r="CD249" s="1656"/>
      <c r="CE249" s="1656"/>
      <c r="CF249" s="1656"/>
      <c r="CG249" s="1656"/>
      <c r="CH249" s="1656"/>
      <c r="CI249" s="1656"/>
      <c r="CJ249" s="1656">
        <v>1</v>
      </c>
      <c r="CK249" s="1656"/>
      <c r="CL249" s="1656"/>
      <c r="CM249" s="1656"/>
      <c r="CN249" s="1656"/>
      <c r="CO249" s="1656"/>
      <c r="CP249" s="1656"/>
      <c r="CQ249" s="1656"/>
      <c r="CR249" s="1656"/>
      <c r="CS249" s="1656"/>
      <c r="CT249" s="1656">
        <v>1</v>
      </c>
      <c r="CU249" s="1656"/>
      <c r="CV249" s="1656"/>
      <c r="CW249" s="1656"/>
      <c r="CX249" s="1656"/>
      <c r="CY249" s="1656"/>
      <c r="CZ249" s="1656"/>
      <c r="DA249" s="1656"/>
      <c r="DB249" s="1656"/>
      <c r="DC249" s="1656"/>
      <c r="DD249" s="1656"/>
      <c r="DE249" s="1656"/>
      <c r="DF249" s="1656"/>
      <c r="DG249" s="1656"/>
      <c r="DH249" s="1656"/>
      <c r="DI249" s="1656"/>
      <c r="DJ249" s="1656"/>
      <c r="DK249" s="1656"/>
      <c r="DL249" s="1656"/>
      <c r="DM249" s="1656"/>
      <c r="DN249" s="1656"/>
      <c r="DO249" s="1656"/>
      <c r="DP249" s="1656">
        <v>1</v>
      </c>
      <c r="DQ249" s="1656"/>
      <c r="DR249" s="1656">
        <v>1</v>
      </c>
      <c r="DS249" s="1656"/>
      <c r="DT249" s="1656">
        <v>1</v>
      </c>
      <c r="DU249" s="1656"/>
      <c r="DV249" s="1656"/>
      <c r="DW249" s="1656">
        <v>1</v>
      </c>
      <c r="DX249" s="1656"/>
      <c r="DY249" s="1656"/>
      <c r="DZ249" s="1656"/>
      <c r="EA249" s="1656"/>
      <c r="EB249" s="1656"/>
      <c r="EC249" s="1656"/>
      <c r="ED249" s="1656"/>
      <c r="EE249" s="1656"/>
      <c r="EF249" s="1656"/>
      <c r="EG249" s="1656"/>
      <c r="EH249" s="1656"/>
      <c r="EI249" s="1656"/>
      <c r="EJ249" s="1656"/>
      <c r="EK249" s="1656"/>
      <c r="EL249" s="1656"/>
      <c r="EM249" s="1656">
        <v>1</v>
      </c>
      <c r="EN249" s="1656">
        <v>1</v>
      </c>
      <c r="EO249" s="1656"/>
      <c r="EP249" s="1656"/>
      <c r="EQ249" s="1656">
        <v>1</v>
      </c>
      <c r="ER249" s="1656"/>
      <c r="ES249" s="1656">
        <v>1</v>
      </c>
      <c r="ET249" s="1656"/>
      <c r="EU249" s="1656">
        <v>1</v>
      </c>
      <c r="EV249" s="1656">
        <v>1</v>
      </c>
      <c r="EW249" s="1656"/>
      <c r="EX249" s="1656">
        <v>1</v>
      </c>
      <c r="EY249" s="1656"/>
      <c r="EZ249" s="1656"/>
      <c r="FA249" s="1656"/>
      <c r="FB249" s="1656">
        <v>1</v>
      </c>
      <c r="FC249" s="1656">
        <v>1</v>
      </c>
      <c r="FD249" s="1656"/>
      <c r="FE249" s="1656"/>
      <c r="FF249" s="1656">
        <v>1</v>
      </c>
      <c r="FG249" s="1656"/>
      <c r="FH249" s="1656"/>
      <c r="FI249" s="1656"/>
      <c r="FJ249" s="1656">
        <v>1</v>
      </c>
      <c r="FK249" s="1656"/>
      <c r="FL249" s="1656"/>
      <c r="FM249" s="1656"/>
      <c r="FN249" s="1656"/>
      <c r="FO249" s="1655">
        <v>1</v>
      </c>
      <c r="FP249" s="1655">
        <v>1</v>
      </c>
      <c r="FQ249" s="1656"/>
      <c r="FR249" s="1656"/>
      <c r="FS249" s="1656"/>
      <c r="FT249" s="1656"/>
      <c r="FU249" s="1656"/>
      <c r="FV249" s="1656"/>
      <c r="FW249" s="1656"/>
      <c r="FX249" s="1656"/>
      <c r="FY249" s="1656"/>
      <c r="FZ249" s="1656"/>
      <c r="GA249" s="1656"/>
      <c r="GB249" s="1656"/>
      <c r="GC249" s="1656"/>
      <c r="GD249" s="1656"/>
      <c r="GE249" s="1656"/>
      <c r="GF249" s="1655">
        <v>1</v>
      </c>
      <c r="GG249" s="1656"/>
      <c r="GH249" s="1656"/>
      <c r="GI249" s="1656"/>
      <c r="GJ249" s="1656"/>
      <c r="GK249" s="1656"/>
      <c r="GL249" s="1656"/>
      <c r="GM249" s="1656"/>
      <c r="GN249" s="1656"/>
      <c r="GO249" s="1656"/>
      <c r="GP249" s="1656"/>
      <c r="GQ249" s="1656"/>
      <c r="GR249" s="1656"/>
      <c r="GS249" s="1656"/>
      <c r="GT249" s="1656"/>
      <c r="GU249" s="1656"/>
      <c r="GV249" s="1656"/>
      <c r="GW249" s="1656"/>
      <c r="GX249" s="1656"/>
      <c r="GY249" s="1656"/>
      <c r="GZ249" s="1656"/>
      <c r="HA249" s="1656"/>
      <c r="HB249" s="1656"/>
      <c r="HC249" s="1656"/>
      <c r="HD249" s="1656"/>
      <c r="HE249" s="1656"/>
      <c r="HF249" s="1656"/>
      <c r="HG249" s="1656"/>
      <c r="HH249" s="1657">
        <v>6</v>
      </c>
      <c r="HI249" s="1656"/>
      <c r="HJ249" s="1656">
        <v>1</v>
      </c>
      <c r="HK249" s="1656">
        <v>1</v>
      </c>
      <c r="HL249" s="1656">
        <v>1</v>
      </c>
      <c r="HM249" s="1656">
        <v>1</v>
      </c>
      <c r="HN249" s="1656"/>
      <c r="HO249" s="1656"/>
      <c r="HP249" s="1656">
        <v>1</v>
      </c>
      <c r="HQ249" s="1656"/>
      <c r="HR249" s="1656">
        <v>1</v>
      </c>
      <c r="HS249" s="1656"/>
      <c r="HT249" s="1656">
        <v>1</v>
      </c>
      <c r="HU249" s="1656"/>
      <c r="HV249" s="1656"/>
      <c r="HW249" s="1656"/>
      <c r="HX249" s="1656"/>
      <c r="HY249" s="1656"/>
      <c r="HZ249" s="1656"/>
      <c r="IA249" s="1656">
        <v>1</v>
      </c>
      <c r="IB249" s="1656"/>
      <c r="IC249" s="1656"/>
      <c r="ID249" s="1656"/>
      <c r="IE249" s="1656"/>
      <c r="IF249" s="1656">
        <v>1</v>
      </c>
      <c r="IG249" s="1656"/>
      <c r="IH249" s="1656"/>
      <c r="II249" s="1656">
        <v>1</v>
      </c>
      <c r="IJ249" s="1656"/>
      <c r="IK249" s="1656"/>
      <c r="IL249" s="1656">
        <v>1</v>
      </c>
      <c r="IM249" s="1656"/>
      <c r="IN249" s="1656"/>
      <c r="IO249" s="1656"/>
      <c r="IP249" s="1656"/>
      <c r="IQ249" s="1656"/>
      <c r="IR249" s="1656"/>
      <c r="IS249" s="1656"/>
      <c r="IT249" s="1656"/>
      <c r="IU249" s="1656"/>
      <c r="IV249" s="1656"/>
      <c r="IW249" s="1656"/>
      <c r="IX249" s="1656"/>
      <c r="IY249" s="1656"/>
      <c r="IZ249" s="1656"/>
      <c r="JA249" s="1656"/>
      <c r="JB249" s="1656"/>
      <c r="JC249" s="1656"/>
      <c r="JD249" s="1656"/>
      <c r="JE249" s="1656">
        <v>1</v>
      </c>
      <c r="JF249" s="1656">
        <v>1</v>
      </c>
      <c r="JG249" s="1656"/>
      <c r="JH249" s="1656"/>
      <c r="JI249" s="1656"/>
      <c r="JJ249" s="1656">
        <v>1</v>
      </c>
      <c r="JK249" s="1656"/>
      <c r="JL249" s="1656"/>
      <c r="JM249" s="1656"/>
      <c r="JN249" s="1658"/>
      <c r="JO249" s="1658"/>
      <c r="JP249" s="1656"/>
      <c r="JQ249" s="1657"/>
    </row>
    <row r="250" spans="1:277" x14ac:dyDescent="0.25">
      <c r="A250" s="1649">
        <v>35</v>
      </c>
      <c r="B250" s="1651" t="str">
        <f t="shared" si="19"/>
        <v/>
      </c>
      <c r="D250" s="521" t="s">
        <v>4179</v>
      </c>
      <c r="E250" s="1659"/>
      <c r="F250" s="1660"/>
      <c r="G250" s="1661"/>
      <c r="H250" s="1661"/>
      <c r="I250" s="1660"/>
      <c r="J250" s="1660"/>
      <c r="K250" s="1660"/>
      <c r="L250" s="1660"/>
      <c r="M250" s="1661"/>
      <c r="N250" s="1661"/>
      <c r="O250" s="1661"/>
      <c r="P250" s="1661"/>
      <c r="Q250" s="1661"/>
      <c r="R250" s="1661"/>
      <c r="S250" s="1661"/>
      <c r="T250" s="1661"/>
      <c r="U250" s="1661"/>
      <c r="V250" s="1661"/>
      <c r="W250" s="1661"/>
      <c r="X250" s="1661"/>
      <c r="Y250" s="1661"/>
      <c r="Z250" s="1661"/>
      <c r="AA250" s="1661"/>
      <c r="AB250" s="1661"/>
      <c r="AC250" s="1661"/>
      <c r="AD250" s="1661"/>
      <c r="AE250" s="1661"/>
      <c r="AF250" s="1661"/>
      <c r="AG250" s="1661"/>
      <c r="AH250" s="1661"/>
      <c r="AI250" s="1661"/>
      <c r="AJ250" s="1661"/>
      <c r="AK250" s="1661"/>
      <c r="AL250" s="1661"/>
      <c r="AM250" s="1661"/>
      <c r="AN250" s="1661"/>
      <c r="AO250" s="1661"/>
      <c r="AP250" s="1660"/>
      <c r="AQ250" s="1660"/>
      <c r="AR250" s="1661"/>
      <c r="AS250" s="1661"/>
      <c r="AT250" s="1661"/>
      <c r="AU250" s="1661"/>
      <c r="AV250" s="1661"/>
      <c r="AW250" s="1661"/>
      <c r="AX250" s="1661"/>
      <c r="AY250" s="1661"/>
      <c r="AZ250" s="1661"/>
      <c r="BA250" s="1661"/>
      <c r="BB250" s="1660"/>
      <c r="BC250" s="1660"/>
      <c r="BD250" s="1660"/>
      <c r="BE250" s="1660"/>
      <c r="BF250" s="1660"/>
      <c r="BG250" s="1660"/>
      <c r="BH250" s="1660"/>
      <c r="BI250" s="1660"/>
      <c r="BJ250" s="1660"/>
      <c r="BK250" s="1661"/>
      <c r="BL250" s="1661"/>
      <c r="BM250" s="1660"/>
      <c r="BN250" s="1660"/>
      <c r="BO250" s="1660"/>
      <c r="BP250" s="1660"/>
      <c r="BQ250" s="1660"/>
      <c r="BR250" s="1660"/>
      <c r="BS250" s="1660"/>
      <c r="BT250" s="1660"/>
      <c r="BU250" s="1660"/>
      <c r="BV250" s="1660"/>
      <c r="BW250" s="1660"/>
      <c r="BX250" s="1660"/>
      <c r="BY250" s="1660"/>
      <c r="BZ250" s="1660"/>
      <c r="CA250" s="1660"/>
      <c r="CB250" s="1660"/>
      <c r="CC250" s="1661"/>
      <c r="CD250" s="1661"/>
      <c r="CE250" s="1661"/>
      <c r="CF250" s="1661"/>
      <c r="CG250" s="1661"/>
      <c r="CH250" s="1661"/>
      <c r="CI250" s="1661"/>
      <c r="CJ250" s="1660"/>
      <c r="CK250" s="1661"/>
      <c r="CL250" s="1661"/>
      <c r="CM250" s="1661"/>
      <c r="CN250" s="1661"/>
      <c r="CO250" s="1661"/>
      <c r="CP250" s="1661"/>
      <c r="CQ250" s="1661"/>
      <c r="CR250" s="1661"/>
      <c r="CS250" s="1661"/>
      <c r="CT250" s="1660"/>
      <c r="CU250" s="1661"/>
      <c r="CV250" s="1661"/>
      <c r="CW250" s="1661"/>
      <c r="CX250" s="1661"/>
      <c r="CY250" s="1661"/>
      <c r="CZ250" s="1661"/>
      <c r="DA250" s="1661"/>
      <c r="DB250" s="1661"/>
      <c r="DC250" s="1661"/>
      <c r="DD250" s="1661"/>
      <c r="DE250" s="1661"/>
      <c r="DF250" s="1661"/>
      <c r="DG250" s="1661"/>
      <c r="DH250" s="1661"/>
      <c r="DI250" s="1660"/>
      <c r="DJ250" s="1661"/>
      <c r="DK250" s="1661"/>
      <c r="DL250" s="1661"/>
      <c r="DM250" s="1661"/>
      <c r="DN250" s="1661"/>
      <c r="DO250" s="1661"/>
      <c r="DP250" s="1660"/>
      <c r="DQ250" s="1661"/>
      <c r="DR250" s="1660"/>
      <c r="DS250" s="1661"/>
      <c r="DT250" s="1660"/>
      <c r="DU250" s="1661"/>
      <c r="DV250" s="1661"/>
      <c r="DW250" s="1660"/>
      <c r="DX250" s="1661"/>
      <c r="DY250" s="1661"/>
      <c r="DZ250" s="1661"/>
      <c r="EA250" s="1661"/>
      <c r="EB250" s="1661"/>
      <c r="EC250" s="1661"/>
      <c r="ED250" s="1661"/>
      <c r="EE250" s="1661"/>
      <c r="EF250" s="1661"/>
      <c r="EG250" s="1661"/>
      <c r="EH250" s="1661"/>
      <c r="EI250" s="1661"/>
      <c r="EJ250" s="1661"/>
      <c r="EK250" s="1661"/>
      <c r="EL250" s="1661"/>
      <c r="EM250" s="1660"/>
      <c r="EN250" s="1660"/>
      <c r="EO250" s="1661"/>
      <c r="EP250" s="1661"/>
      <c r="EQ250" s="1660"/>
      <c r="ER250" s="1661"/>
      <c r="ES250" s="1660"/>
      <c r="ET250" s="1661"/>
      <c r="EU250" s="1660"/>
      <c r="EV250" s="1660"/>
      <c r="EW250" s="1661"/>
      <c r="EX250" s="1660"/>
      <c r="EY250" s="1661"/>
      <c r="EZ250" s="1661"/>
      <c r="FA250" s="1661"/>
      <c r="FB250" s="1660"/>
      <c r="FC250" s="1660"/>
      <c r="FD250" s="1661"/>
      <c r="FE250" s="1661"/>
      <c r="FF250" s="1660"/>
      <c r="FG250" s="1661"/>
      <c r="FH250" s="1661"/>
      <c r="FI250" s="1661"/>
      <c r="FJ250" s="1660"/>
      <c r="FK250" s="1661"/>
      <c r="FL250" s="1661"/>
      <c r="FM250" s="1661"/>
      <c r="FN250" s="1661"/>
      <c r="FO250" s="1659"/>
      <c r="FP250" s="1659"/>
      <c r="FQ250" s="1661"/>
      <c r="FR250" s="1661"/>
      <c r="FS250" s="1661"/>
      <c r="FT250" s="1661"/>
      <c r="FU250" s="1661"/>
      <c r="FV250" s="1661"/>
      <c r="FW250" s="1661"/>
      <c r="FX250" s="1661"/>
      <c r="FY250" s="1661"/>
      <c r="FZ250" s="1661"/>
      <c r="GA250" s="1661"/>
      <c r="GB250" s="1661"/>
      <c r="GC250" s="1661"/>
      <c r="GD250" s="1661"/>
      <c r="GE250" s="1661"/>
      <c r="GF250" s="1659"/>
      <c r="GG250" s="1661"/>
      <c r="GH250" s="1661"/>
      <c r="GI250" s="1661"/>
      <c r="GJ250" s="1661"/>
      <c r="GK250" s="1661"/>
      <c r="GL250" s="1661"/>
      <c r="GM250" s="1661"/>
      <c r="GN250" s="1661"/>
      <c r="GO250" s="1661"/>
      <c r="GP250" s="1661"/>
      <c r="GQ250" s="1661"/>
      <c r="GR250" s="1661"/>
      <c r="GS250" s="1661"/>
      <c r="GT250" s="1661"/>
      <c r="GU250" s="1661"/>
      <c r="GV250" s="1661"/>
      <c r="GW250" s="1661"/>
      <c r="GX250" s="1661"/>
      <c r="GY250" s="1661"/>
      <c r="GZ250" s="1661"/>
      <c r="HA250" s="1661"/>
      <c r="HB250" s="1661"/>
      <c r="HC250" s="1661"/>
      <c r="HD250" s="1661"/>
      <c r="HE250" s="1661"/>
      <c r="HF250" s="1661"/>
      <c r="HG250" s="1661"/>
      <c r="HH250" s="1662" t="s">
        <v>3880</v>
      </c>
      <c r="HI250" s="1661"/>
      <c r="HJ250" s="1661"/>
      <c r="HK250" s="1661"/>
      <c r="HL250" s="1661"/>
      <c r="HM250" s="1661"/>
      <c r="HN250" s="1661"/>
      <c r="HO250" s="1661"/>
      <c r="HP250" s="1660"/>
      <c r="HQ250" s="1661"/>
      <c r="HR250" s="1660"/>
      <c r="HS250" s="1661"/>
      <c r="HT250" s="1661"/>
      <c r="HU250" s="1661"/>
      <c r="HV250" s="1661"/>
      <c r="HW250" s="1661"/>
      <c r="HX250" s="1661"/>
      <c r="HY250" s="1661"/>
      <c r="HZ250" s="1661"/>
      <c r="IA250" s="1661"/>
      <c r="IB250" s="1661"/>
      <c r="IC250" s="1661"/>
      <c r="ID250" s="1661"/>
      <c r="IE250" s="1661"/>
      <c r="IF250" s="1661"/>
      <c r="IG250" s="1661"/>
      <c r="IH250" s="1661"/>
      <c r="II250" s="1661"/>
      <c r="IJ250" s="1661"/>
      <c r="IK250" s="1661"/>
      <c r="IL250" s="1661"/>
      <c r="IM250" s="1661"/>
      <c r="IN250" s="1661"/>
      <c r="IO250" s="1661"/>
      <c r="IP250" s="1661"/>
      <c r="IQ250" s="1661"/>
      <c r="IR250" s="1661"/>
      <c r="IS250" s="1661"/>
      <c r="IT250" s="1661"/>
      <c r="IU250" s="1661"/>
      <c r="IV250" s="1661"/>
      <c r="IW250" s="1661"/>
      <c r="IX250" s="1661"/>
      <c r="IY250" s="1661"/>
      <c r="IZ250" s="1661"/>
      <c r="JA250" s="1661"/>
      <c r="JB250" s="1661"/>
      <c r="JC250" s="1661"/>
      <c r="JD250" s="1661"/>
      <c r="JE250" s="1660"/>
      <c r="JF250" s="1660"/>
      <c r="JG250" s="1661"/>
      <c r="JH250" s="1661"/>
      <c r="JI250" s="1661"/>
      <c r="JJ250" s="1660"/>
      <c r="JK250" s="1661"/>
      <c r="JL250" s="1661"/>
      <c r="JM250" s="1661"/>
      <c r="JN250" s="1663"/>
      <c r="JO250" s="1663"/>
      <c r="JP250" s="1661"/>
      <c r="JQ250" s="1662"/>
    </row>
    <row r="251" spans="1:277" x14ac:dyDescent="0.25">
      <c r="A251" s="1649">
        <v>36</v>
      </c>
      <c r="B251" s="1651">
        <f t="shared" si="19"/>
        <v>0</v>
      </c>
      <c r="D251" s="521" t="s">
        <v>4180</v>
      </c>
      <c r="E251" s="1659"/>
      <c r="F251" s="1660"/>
      <c r="G251" s="1661"/>
      <c r="H251" s="1661"/>
      <c r="I251" s="1660"/>
      <c r="J251" s="1660"/>
      <c r="K251" s="1660"/>
      <c r="L251" s="1660"/>
      <c r="M251" s="1661"/>
      <c r="N251" s="1661"/>
      <c r="O251" s="1661"/>
      <c r="P251" s="1661"/>
      <c r="Q251" s="1661"/>
      <c r="R251" s="1661"/>
      <c r="S251" s="1661"/>
      <c r="T251" s="1661"/>
      <c r="U251" s="1661"/>
      <c r="V251" s="1661"/>
      <c r="W251" s="1661"/>
      <c r="X251" s="1661"/>
      <c r="Y251" s="1661"/>
      <c r="Z251" s="1661"/>
      <c r="AA251" s="1661"/>
      <c r="AB251" s="1661"/>
      <c r="AC251" s="1661"/>
      <c r="AD251" s="1661"/>
      <c r="AE251" s="1661"/>
      <c r="AF251" s="1661"/>
      <c r="AG251" s="1661"/>
      <c r="AH251" s="1661"/>
      <c r="AI251" s="1661"/>
      <c r="AJ251" s="1661"/>
      <c r="AK251" s="1661"/>
      <c r="AL251" s="1661"/>
      <c r="AM251" s="1661"/>
      <c r="AN251" s="1661"/>
      <c r="AO251" s="1661"/>
      <c r="AP251" s="1660"/>
      <c r="AQ251" s="1660"/>
      <c r="AR251" s="1661"/>
      <c r="AS251" s="1661"/>
      <c r="AT251" s="1661"/>
      <c r="AU251" s="1661"/>
      <c r="AV251" s="1661"/>
      <c r="AW251" s="1661"/>
      <c r="AX251" s="1661"/>
      <c r="AY251" s="1661"/>
      <c r="AZ251" s="1661"/>
      <c r="BA251" s="1661"/>
      <c r="BB251" s="1660">
        <v>0</v>
      </c>
      <c r="BC251" s="1660">
        <v>0</v>
      </c>
      <c r="BD251" s="1660">
        <v>0</v>
      </c>
      <c r="BE251" s="1660"/>
      <c r="BF251" s="1660"/>
      <c r="BG251" s="1660"/>
      <c r="BH251" s="1660"/>
      <c r="BI251" s="1660"/>
      <c r="BJ251" s="1660">
        <v>0</v>
      </c>
      <c r="BK251" s="1661"/>
      <c r="BL251" s="1661"/>
      <c r="BM251" s="1660"/>
      <c r="BN251" s="1660"/>
      <c r="BO251" s="1660"/>
      <c r="BP251" s="1660"/>
      <c r="BQ251" s="1660"/>
      <c r="BR251" s="1660"/>
      <c r="BS251" s="1660"/>
      <c r="BT251" s="1660"/>
      <c r="BU251" s="1660"/>
      <c r="BV251" s="1660"/>
      <c r="BW251" s="1660"/>
      <c r="BX251" s="1660"/>
      <c r="BY251" s="1660"/>
      <c r="BZ251" s="1660"/>
      <c r="CA251" s="1660"/>
      <c r="CB251" s="1660">
        <v>0</v>
      </c>
      <c r="CC251" s="1661"/>
      <c r="CD251" s="1661"/>
      <c r="CE251" s="1661"/>
      <c r="CF251" s="1661"/>
      <c r="CG251" s="1661"/>
      <c r="CH251" s="1661"/>
      <c r="CI251" s="1661"/>
      <c r="CJ251" s="1660">
        <v>0</v>
      </c>
      <c r="CK251" s="1661"/>
      <c r="CL251" s="1661"/>
      <c r="CM251" s="1661"/>
      <c r="CN251" s="1661"/>
      <c r="CO251" s="1661"/>
      <c r="CP251" s="1661"/>
      <c r="CQ251" s="1661"/>
      <c r="CR251" s="1661"/>
      <c r="CS251" s="1661"/>
      <c r="CT251" s="1660">
        <v>0</v>
      </c>
      <c r="CU251" s="1661"/>
      <c r="CV251" s="1661"/>
      <c r="CW251" s="1661"/>
      <c r="CX251" s="1661"/>
      <c r="CY251" s="1661"/>
      <c r="CZ251" s="1661"/>
      <c r="DA251" s="1661"/>
      <c r="DB251" s="1661"/>
      <c r="DC251" s="1661"/>
      <c r="DD251" s="1661"/>
      <c r="DE251" s="1661"/>
      <c r="DF251" s="1661"/>
      <c r="DG251" s="1661"/>
      <c r="DH251" s="1661"/>
      <c r="DI251" s="1660"/>
      <c r="DJ251" s="1661"/>
      <c r="DK251" s="1661"/>
      <c r="DL251" s="1661"/>
      <c r="DM251" s="1661"/>
      <c r="DN251" s="1661"/>
      <c r="DO251" s="1661"/>
      <c r="DP251" s="1660">
        <v>0</v>
      </c>
      <c r="DQ251" s="1661"/>
      <c r="DR251" s="1660">
        <v>0</v>
      </c>
      <c r="DS251" s="1661"/>
      <c r="DT251" s="1660">
        <v>0</v>
      </c>
      <c r="DU251" s="1661"/>
      <c r="DV251" s="1661"/>
      <c r="DW251" s="1660">
        <v>0</v>
      </c>
      <c r="DX251" s="1661"/>
      <c r="DY251" s="1661"/>
      <c r="DZ251" s="1661"/>
      <c r="EA251" s="1661"/>
      <c r="EB251" s="1661"/>
      <c r="EC251" s="1661"/>
      <c r="ED251" s="1661"/>
      <c r="EE251" s="1661"/>
      <c r="EF251" s="1661"/>
      <c r="EG251" s="1661"/>
      <c r="EH251" s="1661"/>
      <c r="EI251" s="1661"/>
      <c r="EJ251" s="1661"/>
      <c r="EK251" s="1661"/>
      <c r="EL251" s="1661"/>
      <c r="EM251" s="1660">
        <v>0</v>
      </c>
      <c r="EN251" s="1660">
        <v>0</v>
      </c>
      <c r="EO251" s="1661"/>
      <c r="EP251" s="1661"/>
      <c r="EQ251" s="1660">
        <v>0</v>
      </c>
      <c r="ER251" s="1661"/>
      <c r="ES251" s="1660">
        <v>0</v>
      </c>
      <c r="ET251" s="1661"/>
      <c r="EU251" s="1660">
        <v>0</v>
      </c>
      <c r="EV251" s="1660">
        <v>0</v>
      </c>
      <c r="EW251" s="1661"/>
      <c r="EX251" s="1660">
        <v>0</v>
      </c>
      <c r="EY251" s="1661"/>
      <c r="EZ251" s="1661"/>
      <c r="FA251" s="1661"/>
      <c r="FB251" s="1660">
        <v>0</v>
      </c>
      <c r="FC251" s="1660">
        <v>0</v>
      </c>
      <c r="FD251" s="1661"/>
      <c r="FE251" s="1661"/>
      <c r="FF251" s="1660">
        <v>0</v>
      </c>
      <c r="FG251" s="1661"/>
      <c r="FH251" s="1661"/>
      <c r="FI251" s="1661"/>
      <c r="FJ251" s="1660">
        <v>0</v>
      </c>
      <c r="FK251" s="1661"/>
      <c r="FL251" s="1661"/>
      <c r="FM251" s="1661"/>
      <c r="FN251" s="1661"/>
      <c r="FO251" s="1659">
        <v>0</v>
      </c>
      <c r="FP251" s="1659">
        <v>0</v>
      </c>
      <c r="FQ251" s="1661"/>
      <c r="FR251" s="1661"/>
      <c r="FS251" s="1661"/>
      <c r="FT251" s="1661"/>
      <c r="FU251" s="1661"/>
      <c r="FV251" s="1661"/>
      <c r="FW251" s="1661"/>
      <c r="FX251" s="1661"/>
      <c r="FY251" s="1661"/>
      <c r="FZ251" s="1661"/>
      <c r="GA251" s="1661"/>
      <c r="GB251" s="1661"/>
      <c r="GC251" s="1661"/>
      <c r="GD251" s="1661"/>
      <c r="GE251" s="1661"/>
      <c r="GF251" s="1659">
        <v>0</v>
      </c>
      <c r="GG251" s="1661"/>
      <c r="GH251" s="1661"/>
      <c r="GI251" s="1661"/>
      <c r="GJ251" s="1661"/>
      <c r="GK251" s="1661"/>
      <c r="GL251" s="1661"/>
      <c r="GM251" s="1661"/>
      <c r="GN251" s="1661"/>
      <c r="GO251" s="1661"/>
      <c r="GP251" s="1661"/>
      <c r="GQ251" s="1661"/>
      <c r="GR251" s="1661"/>
      <c r="GS251" s="1661"/>
      <c r="GT251" s="1661"/>
      <c r="GU251" s="1661"/>
      <c r="GV251" s="1661"/>
      <c r="GW251" s="1661"/>
      <c r="GX251" s="1661"/>
      <c r="GY251" s="1661"/>
      <c r="GZ251" s="1661"/>
      <c r="HA251" s="1661"/>
      <c r="HB251" s="1661"/>
      <c r="HC251" s="1661"/>
      <c r="HD251" s="1661"/>
      <c r="HE251" s="1661"/>
      <c r="HF251" s="1661"/>
      <c r="HG251" s="1661"/>
      <c r="HH251" s="1662">
        <v>5759</v>
      </c>
      <c r="HI251" s="1661"/>
      <c r="HJ251" s="1661">
        <v>0</v>
      </c>
      <c r="HK251" s="1661">
        <v>0</v>
      </c>
      <c r="HL251" s="1661">
        <v>0</v>
      </c>
      <c r="HM251" s="1661">
        <v>0</v>
      </c>
      <c r="HN251" s="1661"/>
      <c r="HO251" s="1661"/>
      <c r="HP251" s="1660">
        <v>0</v>
      </c>
      <c r="HQ251" s="1661"/>
      <c r="HR251" s="1660">
        <v>0</v>
      </c>
      <c r="HS251" s="1661"/>
      <c r="HT251" s="1661">
        <v>0</v>
      </c>
      <c r="HU251" s="1661"/>
      <c r="HV251" s="1661"/>
      <c r="HW251" s="1661"/>
      <c r="HX251" s="1661"/>
      <c r="HY251" s="1661"/>
      <c r="HZ251" s="1661"/>
      <c r="IA251" s="1661">
        <v>0</v>
      </c>
      <c r="IB251" s="1661"/>
      <c r="IC251" s="1661"/>
      <c r="ID251" s="1661"/>
      <c r="IE251" s="1661"/>
      <c r="IF251" s="1661">
        <v>0</v>
      </c>
      <c r="IG251" s="1661"/>
      <c r="IH251" s="1661"/>
      <c r="II251" s="1661">
        <v>0</v>
      </c>
      <c r="IJ251" s="1661"/>
      <c r="IK251" s="1661"/>
      <c r="IL251" s="1661">
        <v>0</v>
      </c>
      <c r="IM251" s="1661"/>
      <c r="IN251" s="1661"/>
      <c r="IO251" s="1661"/>
      <c r="IP251" s="1661"/>
      <c r="IQ251" s="1661"/>
      <c r="IR251" s="1661"/>
      <c r="IS251" s="1661"/>
      <c r="IT251" s="1661"/>
      <c r="IU251" s="1661"/>
      <c r="IV251" s="1661"/>
      <c r="IW251" s="1661"/>
      <c r="IX251" s="1661"/>
      <c r="IY251" s="1661"/>
      <c r="IZ251" s="1661"/>
      <c r="JA251" s="1661"/>
      <c r="JB251" s="1661"/>
      <c r="JC251" s="1661"/>
      <c r="JD251" s="1661"/>
      <c r="JE251" s="1660">
        <v>0</v>
      </c>
      <c r="JF251" s="1660">
        <v>0</v>
      </c>
      <c r="JG251" s="1661"/>
      <c r="JH251" s="1661"/>
      <c r="JI251" s="1661"/>
      <c r="JJ251" s="1660">
        <v>0</v>
      </c>
      <c r="JK251" s="1661"/>
      <c r="JL251" s="1661"/>
      <c r="JM251" s="1661"/>
      <c r="JN251" s="1663"/>
      <c r="JO251" s="1663"/>
      <c r="JP251" s="1661"/>
      <c r="JQ251" s="1662"/>
    </row>
    <row r="252" spans="1:277" ht="13" thickBot="1" x14ac:dyDescent="0.3">
      <c r="A252" s="1649">
        <v>37</v>
      </c>
      <c r="B252" s="1651">
        <f t="shared" si="19"/>
        <v>0</v>
      </c>
      <c r="D252" s="521" t="s">
        <v>4181</v>
      </c>
      <c r="E252" s="740"/>
      <c r="F252" s="741"/>
      <c r="G252" s="742"/>
      <c r="H252" s="742"/>
      <c r="I252" s="741"/>
      <c r="J252" s="741"/>
      <c r="K252" s="741"/>
      <c r="L252" s="741"/>
      <c r="M252" s="742"/>
      <c r="N252" s="742"/>
      <c r="O252" s="742"/>
      <c r="P252" s="742"/>
      <c r="Q252" s="742"/>
      <c r="R252" s="742"/>
      <c r="S252" s="742"/>
      <c r="T252" s="742"/>
      <c r="U252" s="742"/>
      <c r="V252" s="742"/>
      <c r="W252" s="742"/>
      <c r="X252" s="742"/>
      <c r="Y252" s="742"/>
      <c r="Z252" s="742"/>
      <c r="AA252" s="742"/>
      <c r="AB252" s="742"/>
      <c r="AC252" s="742"/>
      <c r="AD252" s="742"/>
      <c r="AE252" s="742"/>
      <c r="AF252" s="742"/>
      <c r="AG252" s="742"/>
      <c r="AH252" s="742"/>
      <c r="AI252" s="742"/>
      <c r="AJ252" s="742"/>
      <c r="AK252" s="742"/>
      <c r="AL252" s="742"/>
      <c r="AM252" s="742"/>
      <c r="AN252" s="742"/>
      <c r="AO252" s="742"/>
      <c r="AP252" s="741"/>
      <c r="AQ252" s="741"/>
      <c r="AR252" s="742"/>
      <c r="AS252" s="742"/>
      <c r="AT252" s="742"/>
      <c r="AU252" s="742"/>
      <c r="AV252" s="742"/>
      <c r="AW252" s="742"/>
      <c r="AX252" s="742"/>
      <c r="AY252" s="742"/>
      <c r="AZ252" s="742"/>
      <c r="BA252" s="742"/>
      <c r="BB252" s="741">
        <v>0</v>
      </c>
      <c r="BC252" s="741">
        <v>0</v>
      </c>
      <c r="BD252" s="741">
        <v>0</v>
      </c>
      <c r="BE252" s="741"/>
      <c r="BF252" s="741"/>
      <c r="BG252" s="741"/>
      <c r="BH252" s="741"/>
      <c r="BI252" s="741"/>
      <c r="BJ252" s="741">
        <v>0</v>
      </c>
      <c r="BK252" s="742"/>
      <c r="BL252" s="742"/>
      <c r="BM252" s="741"/>
      <c r="BN252" s="741"/>
      <c r="BO252" s="741"/>
      <c r="BP252" s="741"/>
      <c r="BQ252" s="741"/>
      <c r="BR252" s="741"/>
      <c r="BS252" s="741"/>
      <c r="BT252" s="741"/>
      <c r="BU252" s="741"/>
      <c r="BV252" s="741"/>
      <c r="BW252" s="741"/>
      <c r="BX252" s="741"/>
      <c r="BY252" s="741"/>
      <c r="BZ252" s="741"/>
      <c r="CA252" s="741"/>
      <c r="CB252" s="741">
        <v>0</v>
      </c>
      <c r="CC252" s="742"/>
      <c r="CD252" s="742"/>
      <c r="CE252" s="742"/>
      <c r="CF252" s="742"/>
      <c r="CG252" s="742"/>
      <c r="CH252" s="742"/>
      <c r="CI252" s="742"/>
      <c r="CJ252" s="741">
        <v>0</v>
      </c>
      <c r="CK252" s="742"/>
      <c r="CL252" s="742"/>
      <c r="CM252" s="742"/>
      <c r="CN252" s="742"/>
      <c r="CO252" s="742"/>
      <c r="CP252" s="742"/>
      <c r="CQ252" s="742"/>
      <c r="CR252" s="742"/>
      <c r="CS252" s="742"/>
      <c r="CT252" s="741">
        <v>0</v>
      </c>
      <c r="CU252" s="742"/>
      <c r="CV252" s="742"/>
      <c r="CW252" s="742"/>
      <c r="CX252" s="742"/>
      <c r="CY252" s="742"/>
      <c r="CZ252" s="742"/>
      <c r="DA252" s="742"/>
      <c r="DB252" s="742"/>
      <c r="DC252" s="742"/>
      <c r="DD252" s="742"/>
      <c r="DE252" s="742"/>
      <c r="DF252" s="742"/>
      <c r="DG252" s="742"/>
      <c r="DH252" s="742"/>
      <c r="DI252" s="741"/>
      <c r="DJ252" s="742"/>
      <c r="DK252" s="742"/>
      <c r="DL252" s="742"/>
      <c r="DM252" s="742"/>
      <c r="DN252" s="742"/>
      <c r="DO252" s="742"/>
      <c r="DP252" s="741">
        <v>0</v>
      </c>
      <c r="DQ252" s="742"/>
      <c r="DR252" s="741">
        <v>0</v>
      </c>
      <c r="DS252" s="742"/>
      <c r="DT252" s="741">
        <v>0</v>
      </c>
      <c r="DU252" s="742"/>
      <c r="DV252" s="742"/>
      <c r="DW252" s="741">
        <v>0</v>
      </c>
      <c r="DX252" s="742"/>
      <c r="DY252" s="742"/>
      <c r="DZ252" s="742"/>
      <c r="EA252" s="742"/>
      <c r="EB252" s="742"/>
      <c r="EC252" s="742"/>
      <c r="ED252" s="742"/>
      <c r="EE252" s="742"/>
      <c r="EF252" s="742"/>
      <c r="EG252" s="742"/>
      <c r="EH252" s="742"/>
      <c r="EI252" s="742"/>
      <c r="EJ252" s="742"/>
      <c r="EK252" s="742"/>
      <c r="EL252" s="742"/>
      <c r="EM252" s="741">
        <v>0</v>
      </c>
      <c r="EN252" s="741">
        <v>0</v>
      </c>
      <c r="EO252" s="742"/>
      <c r="EP252" s="742"/>
      <c r="EQ252" s="741">
        <v>0</v>
      </c>
      <c r="ER252" s="742"/>
      <c r="ES252" s="741">
        <v>0</v>
      </c>
      <c r="ET252" s="742"/>
      <c r="EU252" s="741">
        <v>0</v>
      </c>
      <c r="EV252" s="741">
        <v>0</v>
      </c>
      <c r="EW252" s="742"/>
      <c r="EX252" s="741">
        <v>0</v>
      </c>
      <c r="EY252" s="742"/>
      <c r="EZ252" s="742"/>
      <c r="FA252" s="742"/>
      <c r="FB252" s="741">
        <v>0</v>
      </c>
      <c r="FC252" s="741">
        <v>0</v>
      </c>
      <c r="FD252" s="742"/>
      <c r="FE252" s="742"/>
      <c r="FF252" s="741">
        <v>0</v>
      </c>
      <c r="FG252" s="742"/>
      <c r="FH252" s="742"/>
      <c r="FI252" s="742"/>
      <c r="FJ252" s="741">
        <v>0</v>
      </c>
      <c r="FK252" s="742"/>
      <c r="FL252" s="742"/>
      <c r="FM252" s="742"/>
      <c r="FN252" s="742"/>
      <c r="FO252" s="740">
        <v>0</v>
      </c>
      <c r="FP252" s="740">
        <v>0</v>
      </c>
      <c r="FQ252" s="742"/>
      <c r="FR252" s="742"/>
      <c r="FS252" s="742"/>
      <c r="FT252" s="742"/>
      <c r="FU252" s="742"/>
      <c r="FV252" s="742"/>
      <c r="FW252" s="742"/>
      <c r="FX252" s="742"/>
      <c r="FY252" s="742"/>
      <c r="FZ252" s="742"/>
      <c r="GA252" s="742"/>
      <c r="GB252" s="742"/>
      <c r="GC252" s="742"/>
      <c r="GD252" s="742"/>
      <c r="GE252" s="742"/>
      <c r="GF252" s="740">
        <v>0</v>
      </c>
      <c r="GG252" s="742"/>
      <c r="GH252" s="742"/>
      <c r="GI252" s="742"/>
      <c r="GJ252" s="742"/>
      <c r="GK252" s="742"/>
      <c r="GL252" s="742"/>
      <c r="GM252" s="742"/>
      <c r="GN252" s="742"/>
      <c r="GO252" s="742"/>
      <c r="GP252" s="742"/>
      <c r="GQ252" s="742"/>
      <c r="GR252" s="742"/>
      <c r="GS252" s="742"/>
      <c r="GT252" s="742"/>
      <c r="GU252" s="742"/>
      <c r="GV252" s="742"/>
      <c r="GW252" s="742"/>
      <c r="GX252" s="742"/>
      <c r="GY252" s="742"/>
      <c r="GZ252" s="742"/>
      <c r="HA252" s="742"/>
      <c r="HB252" s="742"/>
      <c r="HC252" s="742"/>
      <c r="HD252" s="742"/>
      <c r="HE252" s="742"/>
      <c r="HF252" s="742"/>
      <c r="HG252" s="742"/>
      <c r="HH252" s="741">
        <v>575.9</v>
      </c>
      <c r="HI252" s="742"/>
      <c r="HJ252" s="741">
        <v>0</v>
      </c>
      <c r="HK252" s="741">
        <v>0</v>
      </c>
      <c r="HL252" s="741">
        <v>0</v>
      </c>
      <c r="HM252" s="741">
        <v>0</v>
      </c>
      <c r="HN252" s="742"/>
      <c r="HO252" s="742"/>
      <c r="HP252" s="741">
        <v>0</v>
      </c>
      <c r="HQ252" s="742"/>
      <c r="HR252" s="741">
        <v>0</v>
      </c>
      <c r="HS252" s="742"/>
      <c r="HT252" s="742">
        <v>0</v>
      </c>
      <c r="HU252" s="742"/>
      <c r="HV252" s="742"/>
      <c r="HW252" s="742"/>
      <c r="HX252" s="742"/>
      <c r="HY252" s="742"/>
      <c r="HZ252" s="742"/>
      <c r="IA252" s="742">
        <v>0</v>
      </c>
      <c r="IB252" s="742"/>
      <c r="IC252" s="742"/>
      <c r="ID252" s="742"/>
      <c r="IE252" s="742"/>
      <c r="IF252" s="742">
        <v>0</v>
      </c>
      <c r="IG252" s="742"/>
      <c r="IH252" s="742"/>
      <c r="II252" s="742">
        <v>0</v>
      </c>
      <c r="IJ252" s="742"/>
      <c r="IK252" s="742"/>
      <c r="IL252" s="742">
        <v>0</v>
      </c>
      <c r="IM252" s="742"/>
      <c r="IN252" s="742"/>
      <c r="IO252" s="742"/>
      <c r="IP252" s="742"/>
      <c r="IQ252" s="742"/>
      <c r="IR252" s="742"/>
      <c r="IS252" s="742"/>
      <c r="IT252" s="742"/>
      <c r="IU252" s="742"/>
      <c r="IV252" s="742"/>
      <c r="IW252" s="742"/>
      <c r="IX252" s="742"/>
      <c r="IY252" s="742"/>
      <c r="IZ252" s="742"/>
      <c r="JA252" s="742"/>
      <c r="JB252" s="742"/>
      <c r="JC252" s="742"/>
      <c r="JD252" s="742"/>
      <c r="JE252" s="741">
        <v>0</v>
      </c>
      <c r="JF252" s="741">
        <v>0</v>
      </c>
      <c r="JG252" s="742"/>
      <c r="JH252" s="742"/>
      <c r="JI252" s="742"/>
      <c r="JJ252" s="741">
        <v>0</v>
      </c>
      <c r="JK252" s="742"/>
      <c r="JL252" s="742"/>
      <c r="JM252" s="742"/>
      <c r="JN252" s="743"/>
      <c r="JO252" s="743"/>
      <c r="JP252" s="742"/>
      <c r="JQ252" s="744"/>
    </row>
    <row r="253" spans="1:277" x14ac:dyDescent="0.25">
      <c r="A253" s="1649">
        <v>38</v>
      </c>
      <c r="B253" s="1651">
        <f t="shared" si="19"/>
        <v>1</v>
      </c>
      <c r="D253" s="521" t="s">
        <v>4182</v>
      </c>
      <c r="E253" s="541"/>
      <c r="F253" s="542"/>
      <c r="G253" s="542"/>
      <c r="H253" s="542"/>
      <c r="I253" s="542"/>
      <c r="J253" s="542"/>
      <c r="K253" s="542"/>
      <c r="L253" s="542"/>
      <c r="M253" s="542"/>
      <c r="N253" s="542"/>
      <c r="O253" s="542"/>
      <c r="P253" s="542"/>
      <c r="Q253" s="542"/>
      <c r="R253" s="542"/>
      <c r="S253" s="542"/>
      <c r="T253" s="542"/>
      <c r="U253" s="542"/>
      <c r="V253" s="542"/>
      <c r="W253" s="542"/>
      <c r="X253" s="542"/>
      <c r="Y253" s="542"/>
      <c r="Z253" s="542"/>
      <c r="AA253" s="542"/>
      <c r="AB253" s="542"/>
      <c r="AC253" s="542"/>
      <c r="AD253" s="542"/>
      <c r="AE253" s="542"/>
      <c r="AF253" s="542"/>
      <c r="AG253" s="542"/>
      <c r="AH253" s="542"/>
      <c r="AI253" s="542"/>
      <c r="AJ253" s="542"/>
      <c r="AK253" s="542"/>
      <c r="AL253" s="542"/>
      <c r="AM253" s="542"/>
      <c r="AN253" s="542"/>
      <c r="AO253" s="542"/>
      <c r="AP253" s="542"/>
      <c r="AQ253" s="542"/>
      <c r="AR253" s="542"/>
      <c r="AS253" s="542"/>
      <c r="AT253" s="542"/>
      <c r="AU253" s="542"/>
      <c r="AV253" s="542"/>
      <c r="AW253" s="542"/>
      <c r="AX253" s="542"/>
      <c r="AY253" s="542"/>
      <c r="AZ253" s="542"/>
      <c r="BA253" s="542"/>
      <c r="BB253" s="542">
        <v>1</v>
      </c>
      <c r="BC253" s="542">
        <v>1</v>
      </c>
      <c r="BD253" s="542">
        <v>1</v>
      </c>
      <c r="BE253" s="542"/>
      <c r="BF253" s="542"/>
      <c r="BG253" s="542"/>
      <c r="BH253" s="542"/>
      <c r="BI253" s="542"/>
      <c r="BJ253" s="542">
        <v>1</v>
      </c>
      <c r="BK253" s="542"/>
      <c r="BL253" s="542"/>
      <c r="BM253" s="542"/>
      <c r="BN253" s="542"/>
      <c r="BO253" s="542"/>
      <c r="BP253" s="542"/>
      <c r="BQ253" s="542"/>
      <c r="BR253" s="542"/>
      <c r="BS253" s="542"/>
      <c r="BT253" s="542"/>
      <c r="BU253" s="542"/>
      <c r="BV253" s="542"/>
      <c r="BW253" s="542"/>
      <c r="BX253" s="542"/>
      <c r="BY253" s="542"/>
      <c r="BZ253" s="542"/>
      <c r="CA253" s="542"/>
      <c r="CB253" s="542">
        <v>1</v>
      </c>
      <c r="CC253" s="542"/>
      <c r="CD253" s="542"/>
      <c r="CE253" s="542"/>
      <c r="CF253" s="542"/>
      <c r="CG253" s="542"/>
      <c r="CH253" s="542"/>
      <c r="CI253" s="542"/>
      <c r="CJ253" s="542">
        <v>1</v>
      </c>
      <c r="CK253" s="542"/>
      <c r="CL253" s="542"/>
      <c r="CM253" s="542"/>
      <c r="CN253" s="542"/>
      <c r="CO253" s="542"/>
      <c r="CP253" s="542"/>
      <c r="CQ253" s="542"/>
      <c r="CR253" s="542"/>
      <c r="CS253" s="542"/>
      <c r="CT253" s="542">
        <v>1</v>
      </c>
      <c r="CU253" s="542"/>
      <c r="CV253" s="542"/>
      <c r="CW253" s="542"/>
      <c r="CX253" s="542"/>
      <c r="CY253" s="542"/>
      <c r="CZ253" s="542"/>
      <c r="DA253" s="542"/>
      <c r="DB253" s="542"/>
      <c r="DC253" s="542"/>
      <c r="DD253" s="542"/>
      <c r="DE253" s="542"/>
      <c r="DF253" s="542"/>
      <c r="DG253" s="542"/>
      <c r="DH253" s="542"/>
      <c r="DI253" s="542"/>
      <c r="DJ253" s="542"/>
      <c r="DK253" s="542"/>
      <c r="DL253" s="542"/>
      <c r="DM253" s="542"/>
      <c r="DN253" s="542"/>
      <c r="DO253" s="542"/>
      <c r="DP253" s="542">
        <v>1</v>
      </c>
      <c r="DQ253" s="542"/>
      <c r="DR253" s="542">
        <v>1</v>
      </c>
      <c r="DS253" s="542"/>
      <c r="DT253" s="542">
        <v>1</v>
      </c>
      <c r="DU253" s="542"/>
      <c r="DV253" s="542"/>
      <c r="DW253" s="542">
        <v>1</v>
      </c>
      <c r="DX253" s="542"/>
      <c r="DY253" s="542"/>
      <c r="DZ253" s="542"/>
      <c r="EA253" s="542"/>
      <c r="EB253" s="542"/>
      <c r="EC253" s="542"/>
      <c r="ED253" s="542"/>
      <c r="EE253" s="542"/>
      <c r="EF253" s="542"/>
      <c r="EG253" s="542"/>
      <c r="EH253" s="542"/>
      <c r="EI253" s="542"/>
      <c r="EJ253" s="542"/>
      <c r="EK253" s="542"/>
      <c r="EL253" s="542"/>
      <c r="EM253" s="542">
        <v>1</v>
      </c>
      <c r="EN253" s="542">
        <v>1</v>
      </c>
      <c r="EO253" s="542"/>
      <c r="EP253" s="542"/>
      <c r="EQ253" s="542">
        <v>1</v>
      </c>
      <c r="ER253" s="542"/>
      <c r="ES253" s="542">
        <v>1</v>
      </c>
      <c r="ET253" s="542"/>
      <c r="EU253" s="542">
        <v>1</v>
      </c>
      <c r="EV253" s="542">
        <v>1</v>
      </c>
      <c r="EW253" s="542"/>
      <c r="EX253" s="542">
        <v>1</v>
      </c>
      <c r="EY253" s="542"/>
      <c r="EZ253" s="542"/>
      <c r="FA253" s="542"/>
      <c r="FB253" s="542">
        <v>1</v>
      </c>
      <c r="FC253" s="542">
        <v>1</v>
      </c>
      <c r="FD253" s="542"/>
      <c r="FE253" s="542"/>
      <c r="FF253" s="542">
        <v>1</v>
      </c>
      <c r="FG253" s="542"/>
      <c r="FH253" s="542"/>
      <c r="FI253" s="542"/>
      <c r="FJ253" s="542">
        <v>1</v>
      </c>
      <c r="FK253" s="542"/>
      <c r="FL253" s="542"/>
      <c r="FM253" s="542"/>
      <c r="FN253" s="542"/>
      <c r="FO253" s="541">
        <v>1</v>
      </c>
      <c r="FP253" s="541">
        <v>1</v>
      </c>
      <c r="FQ253" s="542"/>
      <c r="FR253" s="542"/>
      <c r="FS253" s="542"/>
      <c r="FT253" s="542"/>
      <c r="FU253" s="542"/>
      <c r="FV253" s="542"/>
      <c r="FW253" s="542"/>
      <c r="FX253" s="542"/>
      <c r="FY253" s="542"/>
      <c r="FZ253" s="542"/>
      <c r="GA253" s="542"/>
      <c r="GB253" s="542"/>
      <c r="GC253" s="542"/>
      <c r="GD253" s="542"/>
      <c r="GE253" s="542"/>
      <c r="GF253" s="541">
        <v>1</v>
      </c>
      <c r="GG253" s="542"/>
      <c r="GH253" s="542"/>
      <c r="GI253" s="542"/>
      <c r="GJ253" s="542"/>
      <c r="GK253" s="542"/>
      <c r="GL253" s="542"/>
      <c r="GM253" s="542"/>
      <c r="GN253" s="542"/>
      <c r="GO253" s="542"/>
      <c r="GP253" s="542"/>
      <c r="GQ253" s="542"/>
      <c r="GR253" s="542"/>
      <c r="GS253" s="542"/>
      <c r="GT253" s="542"/>
      <c r="GU253" s="542"/>
      <c r="GV253" s="542"/>
      <c r="GW253" s="542"/>
      <c r="GX253" s="542"/>
      <c r="GY253" s="542"/>
      <c r="GZ253" s="542"/>
      <c r="HA253" s="542"/>
      <c r="HB253" s="542"/>
      <c r="HC253" s="542"/>
      <c r="HD253" s="542"/>
      <c r="HE253" s="542"/>
      <c r="HF253" s="542"/>
      <c r="HG253" s="542"/>
      <c r="HH253" s="543">
        <v>3</v>
      </c>
      <c r="HI253" s="542"/>
      <c r="HJ253" s="542">
        <v>1</v>
      </c>
      <c r="HK253" s="542">
        <v>1</v>
      </c>
      <c r="HL253" s="542">
        <v>1</v>
      </c>
      <c r="HM253" s="542">
        <v>1</v>
      </c>
      <c r="HN253" s="542"/>
      <c r="HO253" s="542"/>
      <c r="HP253" s="542">
        <v>1</v>
      </c>
      <c r="HQ253" s="542"/>
      <c r="HR253" s="542">
        <v>1</v>
      </c>
      <c r="HS253" s="542"/>
      <c r="HT253" s="542">
        <v>1</v>
      </c>
      <c r="HU253" s="542"/>
      <c r="HV253" s="542"/>
      <c r="HW253" s="542"/>
      <c r="HX253" s="542"/>
      <c r="HY253" s="542"/>
      <c r="HZ253" s="542"/>
      <c r="IA253" s="542">
        <v>1</v>
      </c>
      <c r="IB253" s="542"/>
      <c r="IC253" s="542"/>
      <c r="ID253" s="542"/>
      <c r="IE253" s="542"/>
      <c r="IF253" s="542">
        <v>1</v>
      </c>
      <c r="IG253" s="542"/>
      <c r="IH253" s="542"/>
      <c r="II253" s="542">
        <v>1</v>
      </c>
      <c r="IJ253" s="542"/>
      <c r="IK253" s="542"/>
      <c r="IL253" s="542">
        <v>1</v>
      </c>
      <c r="IM253" s="542"/>
      <c r="IN253" s="542"/>
      <c r="IO253" s="542"/>
      <c r="IP253" s="542"/>
      <c r="IQ253" s="542"/>
      <c r="IR253" s="542"/>
      <c r="IS253" s="542"/>
      <c r="IT253" s="542"/>
      <c r="IU253" s="542"/>
      <c r="IV253" s="542"/>
      <c r="IW253" s="542"/>
      <c r="IX253" s="542"/>
      <c r="IY253" s="542"/>
      <c r="IZ253" s="542"/>
      <c r="JA253" s="542"/>
      <c r="JB253" s="542"/>
      <c r="JC253" s="542"/>
      <c r="JD253" s="542"/>
      <c r="JE253" s="542">
        <v>1</v>
      </c>
      <c r="JF253" s="542">
        <v>1</v>
      </c>
      <c r="JG253" s="542"/>
      <c r="JH253" s="542"/>
      <c r="JI253" s="542"/>
      <c r="JJ253" s="542">
        <v>1</v>
      </c>
      <c r="JK253" s="542"/>
      <c r="JL253" s="542"/>
      <c r="JM253" s="542"/>
      <c r="JN253" s="544"/>
      <c r="JO253" s="544"/>
      <c r="JP253" s="542"/>
      <c r="JQ253" s="543"/>
    </row>
    <row r="254" spans="1:277" x14ac:dyDescent="0.25">
      <c r="A254" s="1649">
        <v>39</v>
      </c>
      <c r="B254" s="1651">
        <f t="shared" si="19"/>
        <v>1</v>
      </c>
      <c r="D254" s="521" t="s">
        <v>4183</v>
      </c>
      <c r="E254" s="1655"/>
      <c r="F254" s="1656"/>
      <c r="G254" s="1656"/>
      <c r="H254" s="1656"/>
      <c r="I254" s="1656"/>
      <c r="J254" s="1656"/>
      <c r="K254" s="1656"/>
      <c r="L254" s="1656"/>
      <c r="M254" s="1656"/>
      <c r="N254" s="1656"/>
      <c r="O254" s="1656"/>
      <c r="P254" s="1656"/>
      <c r="Q254" s="1656"/>
      <c r="R254" s="1656"/>
      <c r="S254" s="1656"/>
      <c r="T254" s="1656"/>
      <c r="U254" s="1656"/>
      <c r="V254" s="1656"/>
      <c r="W254" s="1656"/>
      <c r="X254" s="1656"/>
      <c r="Y254" s="1656"/>
      <c r="Z254" s="1656"/>
      <c r="AA254" s="1656"/>
      <c r="AB254" s="1656"/>
      <c r="AC254" s="1656"/>
      <c r="AD254" s="1656"/>
      <c r="AE254" s="1656"/>
      <c r="AF254" s="1656"/>
      <c r="AG254" s="1656"/>
      <c r="AH254" s="1656"/>
      <c r="AI254" s="1656"/>
      <c r="AJ254" s="1656"/>
      <c r="AK254" s="1656"/>
      <c r="AL254" s="1656"/>
      <c r="AM254" s="1656"/>
      <c r="AN254" s="1656"/>
      <c r="AO254" s="1656"/>
      <c r="AP254" s="1656"/>
      <c r="AQ254" s="1656"/>
      <c r="AR254" s="1656"/>
      <c r="AS254" s="1656"/>
      <c r="AT254" s="1656"/>
      <c r="AU254" s="1656"/>
      <c r="AV254" s="1656"/>
      <c r="AW254" s="1656"/>
      <c r="AX254" s="1656"/>
      <c r="AY254" s="1656"/>
      <c r="AZ254" s="1656"/>
      <c r="BA254" s="1656"/>
      <c r="BB254" s="1656">
        <v>1</v>
      </c>
      <c r="BC254" s="1656">
        <v>1</v>
      </c>
      <c r="BD254" s="1656">
        <v>1</v>
      </c>
      <c r="BE254" s="1656"/>
      <c r="BF254" s="1656"/>
      <c r="BG254" s="1656"/>
      <c r="BH254" s="1656"/>
      <c r="BI254" s="1656"/>
      <c r="BJ254" s="1656">
        <v>1</v>
      </c>
      <c r="BK254" s="1656"/>
      <c r="BL254" s="1656"/>
      <c r="BM254" s="1656"/>
      <c r="BN254" s="1656"/>
      <c r="BO254" s="1656"/>
      <c r="BP254" s="1656"/>
      <c r="BQ254" s="1656"/>
      <c r="BR254" s="1656"/>
      <c r="BS254" s="1656"/>
      <c r="BT254" s="1656"/>
      <c r="BU254" s="1656"/>
      <c r="BV254" s="1656"/>
      <c r="BW254" s="1656"/>
      <c r="BX254" s="1656"/>
      <c r="BY254" s="1656"/>
      <c r="BZ254" s="1656"/>
      <c r="CA254" s="1656"/>
      <c r="CB254" s="1656">
        <v>1</v>
      </c>
      <c r="CC254" s="1656"/>
      <c r="CD254" s="1656"/>
      <c r="CE254" s="1656"/>
      <c r="CF254" s="1656"/>
      <c r="CG254" s="1656"/>
      <c r="CH254" s="1656"/>
      <c r="CI254" s="1656"/>
      <c r="CJ254" s="1656">
        <v>1</v>
      </c>
      <c r="CK254" s="1656"/>
      <c r="CL254" s="1656"/>
      <c r="CM254" s="1656"/>
      <c r="CN254" s="1656"/>
      <c r="CO254" s="1656"/>
      <c r="CP254" s="1656"/>
      <c r="CQ254" s="1656"/>
      <c r="CR254" s="1656"/>
      <c r="CS254" s="1656"/>
      <c r="CT254" s="1656">
        <v>1</v>
      </c>
      <c r="CU254" s="1656"/>
      <c r="CV254" s="1656"/>
      <c r="CW254" s="1656"/>
      <c r="CX254" s="1656"/>
      <c r="CY254" s="1656"/>
      <c r="CZ254" s="1656"/>
      <c r="DA254" s="1656"/>
      <c r="DB254" s="1656"/>
      <c r="DC254" s="1656"/>
      <c r="DD254" s="1656"/>
      <c r="DE254" s="1656"/>
      <c r="DF254" s="1656"/>
      <c r="DG254" s="1656"/>
      <c r="DH254" s="1656"/>
      <c r="DI254" s="1656"/>
      <c r="DJ254" s="1656"/>
      <c r="DK254" s="1656"/>
      <c r="DL254" s="1656"/>
      <c r="DM254" s="1656"/>
      <c r="DN254" s="1656"/>
      <c r="DO254" s="1656"/>
      <c r="DP254" s="1656">
        <v>1</v>
      </c>
      <c r="DQ254" s="1656"/>
      <c r="DR254" s="1656">
        <v>1</v>
      </c>
      <c r="DS254" s="1656"/>
      <c r="DT254" s="1656">
        <v>1</v>
      </c>
      <c r="DU254" s="1656"/>
      <c r="DV254" s="1656"/>
      <c r="DW254" s="1656">
        <v>1</v>
      </c>
      <c r="DX254" s="1656"/>
      <c r="DY254" s="1656"/>
      <c r="DZ254" s="1656"/>
      <c r="EA254" s="1656"/>
      <c r="EB254" s="1656"/>
      <c r="EC254" s="1656"/>
      <c r="ED254" s="1656"/>
      <c r="EE254" s="1656"/>
      <c r="EF254" s="1656"/>
      <c r="EG254" s="1656"/>
      <c r="EH254" s="1656"/>
      <c r="EI254" s="1656"/>
      <c r="EJ254" s="1656"/>
      <c r="EK254" s="1656"/>
      <c r="EL254" s="1656"/>
      <c r="EM254" s="1656">
        <v>1</v>
      </c>
      <c r="EN254" s="1656">
        <v>1</v>
      </c>
      <c r="EO254" s="1656"/>
      <c r="EP254" s="1656"/>
      <c r="EQ254" s="1656">
        <v>1</v>
      </c>
      <c r="ER254" s="1656"/>
      <c r="ES254" s="1656">
        <v>1</v>
      </c>
      <c r="ET254" s="1656"/>
      <c r="EU254" s="1656">
        <v>1</v>
      </c>
      <c r="EV254" s="1656">
        <v>1</v>
      </c>
      <c r="EW254" s="1656"/>
      <c r="EX254" s="1656">
        <v>1</v>
      </c>
      <c r="EY254" s="1656"/>
      <c r="EZ254" s="1656"/>
      <c r="FA254" s="1656"/>
      <c r="FB254" s="1656">
        <v>1</v>
      </c>
      <c r="FC254" s="1656">
        <v>1</v>
      </c>
      <c r="FD254" s="1656"/>
      <c r="FE254" s="1656"/>
      <c r="FF254" s="1656">
        <v>1</v>
      </c>
      <c r="FG254" s="1656"/>
      <c r="FH254" s="1656"/>
      <c r="FI254" s="1656"/>
      <c r="FJ254" s="1656">
        <v>1</v>
      </c>
      <c r="FK254" s="1656"/>
      <c r="FL254" s="1656"/>
      <c r="FM254" s="1656"/>
      <c r="FN254" s="1656"/>
      <c r="FO254" s="1655">
        <v>1</v>
      </c>
      <c r="FP254" s="1655">
        <v>1</v>
      </c>
      <c r="FQ254" s="1656"/>
      <c r="FR254" s="1656"/>
      <c r="FS254" s="1656"/>
      <c r="FT254" s="1656"/>
      <c r="FU254" s="1656"/>
      <c r="FV254" s="1656"/>
      <c r="FW254" s="1656"/>
      <c r="FX254" s="1656"/>
      <c r="FY254" s="1656"/>
      <c r="FZ254" s="1656"/>
      <c r="GA254" s="1656"/>
      <c r="GB254" s="1656"/>
      <c r="GC254" s="1656"/>
      <c r="GD254" s="1656"/>
      <c r="GE254" s="1656"/>
      <c r="GF254" s="1655">
        <v>1</v>
      </c>
      <c r="GG254" s="1656"/>
      <c r="GH254" s="1656"/>
      <c r="GI254" s="1656"/>
      <c r="GJ254" s="1656"/>
      <c r="GK254" s="1656"/>
      <c r="GL254" s="1656"/>
      <c r="GM254" s="1656"/>
      <c r="GN254" s="1656"/>
      <c r="GO254" s="1656"/>
      <c r="GP254" s="1656"/>
      <c r="GQ254" s="1656"/>
      <c r="GR254" s="1656"/>
      <c r="GS254" s="1656"/>
      <c r="GT254" s="1656"/>
      <c r="GU254" s="1656"/>
      <c r="GV254" s="1656"/>
      <c r="GW254" s="1656"/>
      <c r="GX254" s="1656"/>
      <c r="GY254" s="1656"/>
      <c r="GZ254" s="1656"/>
      <c r="HA254" s="1656"/>
      <c r="HB254" s="1656"/>
      <c r="HC254" s="1656"/>
      <c r="HD254" s="1656"/>
      <c r="HE254" s="1656"/>
      <c r="HF254" s="1656"/>
      <c r="HG254" s="1656"/>
      <c r="HH254" s="1657">
        <v>6</v>
      </c>
      <c r="HI254" s="1656"/>
      <c r="HJ254" s="1656">
        <v>1</v>
      </c>
      <c r="HK254" s="1656">
        <v>1</v>
      </c>
      <c r="HL254" s="1656">
        <v>1</v>
      </c>
      <c r="HM254" s="1656">
        <v>1</v>
      </c>
      <c r="HN254" s="1656"/>
      <c r="HO254" s="1656"/>
      <c r="HP254" s="1656">
        <v>1</v>
      </c>
      <c r="HQ254" s="1656"/>
      <c r="HR254" s="1656">
        <v>1</v>
      </c>
      <c r="HS254" s="1656"/>
      <c r="HT254" s="1656">
        <v>1</v>
      </c>
      <c r="HU254" s="1656"/>
      <c r="HV254" s="1656"/>
      <c r="HW254" s="1656"/>
      <c r="HX254" s="1656"/>
      <c r="HY254" s="1656"/>
      <c r="HZ254" s="1656"/>
      <c r="IA254" s="1656">
        <v>1</v>
      </c>
      <c r="IB254" s="1656"/>
      <c r="IC254" s="1656"/>
      <c r="ID254" s="1656"/>
      <c r="IE254" s="1656"/>
      <c r="IF254" s="1656">
        <v>1</v>
      </c>
      <c r="IG254" s="1656"/>
      <c r="IH254" s="1656"/>
      <c r="II254" s="1656">
        <v>1</v>
      </c>
      <c r="IJ254" s="1656"/>
      <c r="IK254" s="1656"/>
      <c r="IL254" s="1656">
        <v>1</v>
      </c>
      <c r="IM254" s="1656"/>
      <c r="IN254" s="1656"/>
      <c r="IO254" s="1656"/>
      <c r="IP254" s="1656"/>
      <c r="IQ254" s="1656"/>
      <c r="IR254" s="1656"/>
      <c r="IS254" s="1656"/>
      <c r="IT254" s="1656"/>
      <c r="IU254" s="1656"/>
      <c r="IV254" s="1656"/>
      <c r="IW254" s="1656"/>
      <c r="IX254" s="1656"/>
      <c r="IY254" s="1656"/>
      <c r="IZ254" s="1656"/>
      <c r="JA254" s="1656"/>
      <c r="JB254" s="1656"/>
      <c r="JC254" s="1656"/>
      <c r="JD254" s="1656"/>
      <c r="JE254" s="1656">
        <v>1</v>
      </c>
      <c r="JF254" s="1656">
        <v>1</v>
      </c>
      <c r="JG254" s="1656"/>
      <c r="JH254" s="1656"/>
      <c r="JI254" s="1656"/>
      <c r="JJ254" s="1656">
        <v>1</v>
      </c>
      <c r="JK254" s="1656"/>
      <c r="JL254" s="1656"/>
      <c r="JM254" s="1656"/>
      <c r="JN254" s="1658"/>
      <c r="JO254" s="1658"/>
      <c r="JP254" s="1656"/>
      <c r="JQ254" s="1657"/>
    </row>
    <row r="255" spans="1:277" x14ac:dyDescent="0.25">
      <c r="A255" s="1649">
        <v>40</v>
      </c>
      <c r="B255" s="1651" t="str">
        <f t="shared" si="19"/>
        <v/>
      </c>
      <c r="D255" s="521" t="s">
        <v>4184</v>
      </c>
      <c r="E255" s="1659"/>
      <c r="F255" s="1660"/>
      <c r="G255" s="1661"/>
      <c r="H255" s="1661"/>
      <c r="I255" s="1660"/>
      <c r="J255" s="1660"/>
      <c r="K255" s="1660"/>
      <c r="L255" s="1660"/>
      <c r="M255" s="1661"/>
      <c r="N255" s="1661"/>
      <c r="O255" s="1661"/>
      <c r="P255" s="1661"/>
      <c r="Q255" s="1661"/>
      <c r="R255" s="1661"/>
      <c r="S255" s="1661"/>
      <c r="T255" s="1661"/>
      <c r="U255" s="1661"/>
      <c r="V255" s="1661"/>
      <c r="W255" s="1661"/>
      <c r="X255" s="1661"/>
      <c r="Y255" s="1661"/>
      <c r="Z255" s="1661"/>
      <c r="AA255" s="1661"/>
      <c r="AB255" s="1661"/>
      <c r="AC255" s="1661"/>
      <c r="AD255" s="1661"/>
      <c r="AE255" s="1661"/>
      <c r="AF255" s="1661"/>
      <c r="AG255" s="1661"/>
      <c r="AH255" s="1661"/>
      <c r="AI255" s="1661"/>
      <c r="AJ255" s="1661"/>
      <c r="AK255" s="1661"/>
      <c r="AL255" s="1661"/>
      <c r="AM255" s="1661"/>
      <c r="AN255" s="1661"/>
      <c r="AO255" s="1661"/>
      <c r="AP255" s="1660"/>
      <c r="AQ255" s="1660"/>
      <c r="AR255" s="1661"/>
      <c r="AS255" s="1661"/>
      <c r="AT255" s="1661"/>
      <c r="AU255" s="1661"/>
      <c r="AV255" s="1661"/>
      <c r="AW255" s="1661"/>
      <c r="AX255" s="1661"/>
      <c r="AY255" s="1661"/>
      <c r="AZ255" s="1661"/>
      <c r="BA255" s="1661"/>
      <c r="BB255" s="1660"/>
      <c r="BC255" s="1660"/>
      <c r="BD255" s="1660"/>
      <c r="BE255" s="1660"/>
      <c r="BF255" s="1660"/>
      <c r="BG255" s="1660"/>
      <c r="BH255" s="1660"/>
      <c r="BI255" s="1660"/>
      <c r="BJ255" s="1660"/>
      <c r="BK255" s="1661"/>
      <c r="BL255" s="1661"/>
      <c r="BM255" s="1660"/>
      <c r="BN255" s="1660"/>
      <c r="BO255" s="1660"/>
      <c r="BP255" s="1660"/>
      <c r="BQ255" s="1660"/>
      <c r="BR255" s="1660"/>
      <c r="BS255" s="1660"/>
      <c r="BT255" s="1660"/>
      <c r="BU255" s="1660"/>
      <c r="BV255" s="1660"/>
      <c r="BW255" s="1660"/>
      <c r="BX255" s="1660"/>
      <c r="BY255" s="1660"/>
      <c r="BZ255" s="1660"/>
      <c r="CA255" s="1660"/>
      <c r="CB255" s="1660"/>
      <c r="CC255" s="1661"/>
      <c r="CD255" s="1661"/>
      <c r="CE255" s="1661"/>
      <c r="CF255" s="1661"/>
      <c r="CG255" s="1661"/>
      <c r="CH255" s="1661"/>
      <c r="CI255" s="1661"/>
      <c r="CJ255" s="1660"/>
      <c r="CK255" s="1661"/>
      <c r="CL255" s="1661"/>
      <c r="CM255" s="1661"/>
      <c r="CN255" s="1661"/>
      <c r="CO255" s="1661"/>
      <c r="CP255" s="1661"/>
      <c r="CQ255" s="1661"/>
      <c r="CR255" s="1661"/>
      <c r="CS255" s="1661"/>
      <c r="CT255" s="1660"/>
      <c r="CU255" s="1661"/>
      <c r="CV255" s="1661"/>
      <c r="CW255" s="1661"/>
      <c r="CX255" s="1661"/>
      <c r="CY255" s="1661"/>
      <c r="CZ255" s="1661"/>
      <c r="DA255" s="1661"/>
      <c r="DB255" s="1661"/>
      <c r="DC255" s="1661"/>
      <c r="DD255" s="1661"/>
      <c r="DE255" s="1661"/>
      <c r="DF255" s="1661"/>
      <c r="DG255" s="1661"/>
      <c r="DH255" s="1661"/>
      <c r="DI255" s="1660"/>
      <c r="DJ255" s="1661"/>
      <c r="DK255" s="1661"/>
      <c r="DL255" s="1661"/>
      <c r="DM255" s="1661"/>
      <c r="DN255" s="1661"/>
      <c r="DO255" s="1661"/>
      <c r="DP255" s="1660"/>
      <c r="DQ255" s="1661"/>
      <c r="DR255" s="1660"/>
      <c r="DS255" s="1661"/>
      <c r="DT255" s="1660"/>
      <c r="DU255" s="1661"/>
      <c r="DV255" s="1661"/>
      <c r="DW255" s="1660"/>
      <c r="DX255" s="1661"/>
      <c r="DY255" s="1661"/>
      <c r="DZ255" s="1661"/>
      <c r="EA255" s="1661"/>
      <c r="EB255" s="1661"/>
      <c r="EC255" s="1661"/>
      <c r="ED255" s="1661"/>
      <c r="EE255" s="1661"/>
      <c r="EF255" s="1661"/>
      <c r="EG255" s="1661"/>
      <c r="EH255" s="1661"/>
      <c r="EI255" s="1661"/>
      <c r="EJ255" s="1661"/>
      <c r="EK255" s="1661"/>
      <c r="EL255" s="1661"/>
      <c r="EM255" s="1660"/>
      <c r="EN255" s="1660"/>
      <c r="EO255" s="1661"/>
      <c r="EP255" s="1661"/>
      <c r="EQ255" s="1660"/>
      <c r="ER255" s="1661"/>
      <c r="ES255" s="1660"/>
      <c r="ET255" s="1661"/>
      <c r="EU255" s="1660"/>
      <c r="EV255" s="1660"/>
      <c r="EW255" s="1661"/>
      <c r="EX255" s="1660"/>
      <c r="EY255" s="1661"/>
      <c r="EZ255" s="1661"/>
      <c r="FA255" s="1661"/>
      <c r="FB255" s="1660"/>
      <c r="FC255" s="1660"/>
      <c r="FD255" s="1661"/>
      <c r="FE255" s="1661"/>
      <c r="FF255" s="1660"/>
      <c r="FG255" s="1661"/>
      <c r="FH255" s="1661"/>
      <c r="FI255" s="1661"/>
      <c r="FJ255" s="1660"/>
      <c r="FK255" s="1661"/>
      <c r="FL255" s="1661"/>
      <c r="FM255" s="1661"/>
      <c r="FN255" s="1661"/>
      <c r="FO255" s="1659"/>
      <c r="FP255" s="1659"/>
      <c r="FQ255" s="1661"/>
      <c r="FR255" s="1661"/>
      <c r="FS255" s="1661"/>
      <c r="FT255" s="1661"/>
      <c r="FU255" s="1661"/>
      <c r="FV255" s="1661"/>
      <c r="FW255" s="1661"/>
      <c r="FX255" s="1661"/>
      <c r="FY255" s="1661"/>
      <c r="FZ255" s="1661"/>
      <c r="GA255" s="1661"/>
      <c r="GB255" s="1661"/>
      <c r="GC255" s="1661"/>
      <c r="GD255" s="1661"/>
      <c r="GE255" s="1661"/>
      <c r="GF255" s="1659"/>
      <c r="GG255" s="1661"/>
      <c r="GH255" s="1661"/>
      <c r="GI255" s="1661"/>
      <c r="GJ255" s="1661"/>
      <c r="GK255" s="1661"/>
      <c r="GL255" s="1661"/>
      <c r="GM255" s="1661"/>
      <c r="GN255" s="1661"/>
      <c r="GO255" s="1661"/>
      <c r="GP255" s="1661"/>
      <c r="GQ255" s="1661"/>
      <c r="GR255" s="1661"/>
      <c r="GS255" s="1661"/>
      <c r="GT255" s="1661"/>
      <c r="GU255" s="1661"/>
      <c r="GV255" s="1661"/>
      <c r="GW255" s="1661"/>
      <c r="GX255" s="1661"/>
      <c r="GY255" s="1661"/>
      <c r="GZ255" s="1661"/>
      <c r="HA255" s="1661"/>
      <c r="HB255" s="1661"/>
      <c r="HC255" s="1661"/>
      <c r="HD255" s="1661"/>
      <c r="HE255" s="1661"/>
      <c r="HF255" s="1661"/>
      <c r="HG255" s="1661"/>
      <c r="HH255" s="1662" t="s">
        <v>3853</v>
      </c>
      <c r="HI255" s="1661"/>
      <c r="HJ255" s="1661"/>
      <c r="HK255" s="1661"/>
      <c r="HL255" s="1661"/>
      <c r="HM255" s="1661"/>
      <c r="HN255" s="1661"/>
      <c r="HO255" s="1661"/>
      <c r="HP255" s="1660"/>
      <c r="HQ255" s="1661"/>
      <c r="HR255" s="1660"/>
      <c r="HS255" s="1661"/>
      <c r="HT255" s="1661"/>
      <c r="HU255" s="1661"/>
      <c r="HV255" s="1661"/>
      <c r="HW255" s="1661"/>
      <c r="HX255" s="1661"/>
      <c r="HY255" s="1661"/>
      <c r="HZ255" s="1661"/>
      <c r="IA255" s="1661"/>
      <c r="IB255" s="1661"/>
      <c r="IC255" s="1661"/>
      <c r="ID255" s="1661"/>
      <c r="IE255" s="1661"/>
      <c r="IF255" s="1661"/>
      <c r="IG255" s="1661"/>
      <c r="IH255" s="1661"/>
      <c r="II255" s="1661"/>
      <c r="IJ255" s="1661"/>
      <c r="IK255" s="1661"/>
      <c r="IL255" s="1661"/>
      <c r="IM255" s="1661"/>
      <c r="IN255" s="1661"/>
      <c r="IO255" s="1661"/>
      <c r="IP255" s="1661"/>
      <c r="IQ255" s="1661"/>
      <c r="IR255" s="1661"/>
      <c r="IS255" s="1661"/>
      <c r="IT255" s="1661"/>
      <c r="IU255" s="1661"/>
      <c r="IV255" s="1661"/>
      <c r="IW255" s="1661"/>
      <c r="IX255" s="1661"/>
      <c r="IY255" s="1661"/>
      <c r="IZ255" s="1661"/>
      <c r="JA255" s="1661"/>
      <c r="JB255" s="1661"/>
      <c r="JC255" s="1661"/>
      <c r="JD255" s="1661"/>
      <c r="JE255" s="1660"/>
      <c r="JF255" s="1660"/>
      <c r="JG255" s="1661"/>
      <c r="JH255" s="1661"/>
      <c r="JI255" s="1661"/>
      <c r="JJ255" s="1660"/>
      <c r="JK255" s="1661"/>
      <c r="JL255" s="1661"/>
      <c r="JM255" s="1661"/>
      <c r="JN255" s="1663"/>
      <c r="JO255" s="1663"/>
      <c r="JP255" s="1661"/>
      <c r="JQ255" s="1662"/>
    </row>
    <row r="256" spans="1:277" x14ac:dyDescent="0.25">
      <c r="A256" s="1649">
        <v>41</v>
      </c>
      <c r="B256" s="1651">
        <f t="shared" si="19"/>
        <v>0</v>
      </c>
      <c r="D256" s="521" t="s">
        <v>4185</v>
      </c>
      <c r="E256" s="1659"/>
      <c r="F256" s="1660"/>
      <c r="G256" s="1661"/>
      <c r="H256" s="1661"/>
      <c r="I256" s="1660"/>
      <c r="J256" s="1660"/>
      <c r="K256" s="1660"/>
      <c r="L256" s="1660"/>
      <c r="M256" s="1661"/>
      <c r="N256" s="1661"/>
      <c r="O256" s="1661"/>
      <c r="P256" s="1661"/>
      <c r="Q256" s="1661"/>
      <c r="R256" s="1661"/>
      <c r="S256" s="1661"/>
      <c r="T256" s="1661"/>
      <c r="U256" s="1661"/>
      <c r="V256" s="1661"/>
      <c r="W256" s="1661"/>
      <c r="X256" s="1661"/>
      <c r="Y256" s="1661"/>
      <c r="Z256" s="1661"/>
      <c r="AA256" s="1661"/>
      <c r="AB256" s="1661"/>
      <c r="AC256" s="1661"/>
      <c r="AD256" s="1661"/>
      <c r="AE256" s="1661"/>
      <c r="AF256" s="1661"/>
      <c r="AG256" s="1661"/>
      <c r="AH256" s="1661"/>
      <c r="AI256" s="1661"/>
      <c r="AJ256" s="1661"/>
      <c r="AK256" s="1661"/>
      <c r="AL256" s="1661"/>
      <c r="AM256" s="1661"/>
      <c r="AN256" s="1661"/>
      <c r="AO256" s="1661"/>
      <c r="AP256" s="1660"/>
      <c r="AQ256" s="1660"/>
      <c r="AR256" s="1661"/>
      <c r="AS256" s="1661"/>
      <c r="AT256" s="1661"/>
      <c r="AU256" s="1661"/>
      <c r="AV256" s="1661"/>
      <c r="AW256" s="1661"/>
      <c r="AX256" s="1661"/>
      <c r="AY256" s="1661"/>
      <c r="AZ256" s="1661"/>
      <c r="BA256" s="1661"/>
      <c r="BB256" s="1660">
        <v>0</v>
      </c>
      <c r="BC256" s="1660">
        <v>0</v>
      </c>
      <c r="BD256" s="1660">
        <v>0</v>
      </c>
      <c r="BE256" s="1660"/>
      <c r="BF256" s="1660"/>
      <c r="BG256" s="1660"/>
      <c r="BH256" s="1660"/>
      <c r="BI256" s="1660"/>
      <c r="BJ256" s="1660">
        <v>0</v>
      </c>
      <c r="BK256" s="1661"/>
      <c r="BL256" s="1661"/>
      <c r="BM256" s="1660"/>
      <c r="BN256" s="1660"/>
      <c r="BO256" s="1660"/>
      <c r="BP256" s="1660"/>
      <c r="BQ256" s="1660"/>
      <c r="BR256" s="1660"/>
      <c r="BS256" s="1660"/>
      <c r="BT256" s="1660"/>
      <c r="BU256" s="1660"/>
      <c r="BV256" s="1660"/>
      <c r="BW256" s="1660"/>
      <c r="BX256" s="1660"/>
      <c r="BY256" s="1660"/>
      <c r="BZ256" s="1660"/>
      <c r="CA256" s="1660"/>
      <c r="CB256" s="1660">
        <v>0</v>
      </c>
      <c r="CC256" s="1661"/>
      <c r="CD256" s="1661"/>
      <c r="CE256" s="1661"/>
      <c r="CF256" s="1661"/>
      <c r="CG256" s="1661"/>
      <c r="CH256" s="1661"/>
      <c r="CI256" s="1661"/>
      <c r="CJ256" s="1660">
        <v>0</v>
      </c>
      <c r="CK256" s="1661"/>
      <c r="CL256" s="1661"/>
      <c r="CM256" s="1661"/>
      <c r="CN256" s="1661"/>
      <c r="CO256" s="1661"/>
      <c r="CP256" s="1661"/>
      <c r="CQ256" s="1661"/>
      <c r="CR256" s="1661"/>
      <c r="CS256" s="1661"/>
      <c r="CT256" s="1660">
        <v>0</v>
      </c>
      <c r="CU256" s="1661"/>
      <c r="CV256" s="1661"/>
      <c r="CW256" s="1661"/>
      <c r="CX256" s="1661"/>
      <c r="CY256" s="1661"/>
      <c r="CZ256" s="1661"/>
      <c r="DA256" s="1661"/>
      <c r="DB256" s="1661"/>
      <c r="DC256" s="1661"/>
      <c r="DD256" s="1661"/>
      <c r="DE256" s="1661"/>
      <c r="DF256" s="1661"/>
      <c r="DG256" s="1661"/>
      <c r="DH256" s="1661"/>
      <c r="DI256" s="1660"/>
      <c r="DJ256" s="1661"/>
      <c r="DK256" s="1661"/>
      <c r="DL256" s="1661"/>
      <c r="DM256" s="1661"/>
      <c r="DN256" s="1661"/>
      <c r="DO256" s="1661"/>
      <c r="DP256" s="1660">
        <v>0</v>
      </c>
      <c r="DQ256" s="1661"/>
      <c r="DR256" s="1660">
        <v>0</v>
      </c>
      <c r="DS256" s="1661"/>
      <c r="DT256" s="1660">
        <v>0</v>
      </c>
      <c r="DU256" s="1661"/>
      <c r="DV256" s="1661"/>
      <c r="DW256" s="1660">
        <v>0</v>
      </c>
      <c r="DX256" s="1661"/>
      <c r="DY256" s="1661"/>
      <c r="DZ256" s="1661"/>
      <c r="EA256" s="1661"/>
      <c r="EB256" s="1661"/>
      <c r="EC256" s="1661"/>
      <c r="ED256" s="1661"/>
      <c r="EE256" s="1661"/>
      <c r="EF256" s="1661"/>
      <c r="EG256" s="1661"/>
      <c r="EH256" s="1661"/>
      <c r="EI256" s="1661"/>
      <c r="EJ256" s="1661"/>
      <c r="EK256" s="1661"/>
      <c r="EL256" s="1661"/>
      <c r="EM256" s="1660">
        <v>0</v>
      </c>
      <c r="EN256" s="1660">
        <v>0</v>
      </c>
      <c r="EO256" s="1661"/>
      <c r="EP256" s="1661"/>
      <c r="EQ256" s="1660">
        <v>0</v>
      </c>
      <c r="ER256" s="1661"/>
      <c r="ES256" s="1660">
        <v>0</v>
      </c>
      <c r="ET256" s="1661"/>
      <c r="EU256" s="1660">
        <v>0</v>
      </c>
      <c r="EV256" s="1660">
        <v>0</v>
      </c>
      <c r="EW256" s="1661"/>
      <c r="EX256" s="1660">
        <v>0</v>
      </c>
      <c r="EY256" s="1661"/>
      <c r="EZ256" s="1661"/>
      <c r="FA256" s="1661"/>
      <c r="FB256" s="1660">
        <v>0</v>
      </c>
      <c r="FC256" s="1660">
        <v>0</v>
      </c>
      <c r="FD256" s="1661"/>
      <c r="FE256" s="1661"/>
      <c r="FF256" s="1660">
        <v>0</v>
      </c>
      <c r="FG256" s="1661"/>
      <c r="FH256" s="1661"/>
      <c r="FI256" s="1661"/>
      <c r="FJ256" s="1660">
        <v>0</v>
      </c>
      <c r="FK256" s="1661"/>
      <c r="FL256" s="1661"/>
      <c r="FM256" s="1661"/>
      <c r="FN256" s="1661"/>
      <c r="FO256" s="1659">
        <v>0</v>
      </c>
      <c r="FP256" s="1659">
        <v>0</v>
      </c>
      <c r="FQ256" s="1661"/>
      <c r="FR256" s="1661"/>
      <c r="FS256" s="1661"/>
      <c r="FT256" s="1661"/>
      <c r="FU256" s="1661"/>
      <c r="FV256" s="1661"/>
      <c r="FW256" s="1661"/>
      <c r="FX256" s="1661"/>
      <c r="FY256" s="1661"/>
      <c r="FZ256" s="1661"/>
      <c r="GA256" s="1661"/>
      <c r="GB256" s="1661"/>
      <c r="GC256" s="1661"/>
      <c r="GD256" s="1661"/>
      <c r="GE256" s="1661"/>
      <c r="GF256" s="1659">
        <v>0</v>
      </c>
      <c r="GG256" s="1661"/>
      <c r="GH256" s="1661"/>
      <c r="GI256" s="1661"/>
      <c r="GJ256" s="1661"/>
      <c r="GK256" s="1661"/>
      <c r="GL256" s="1661"/>
      <c r="GM256" s="1661"/>
      <c r="GN256" s="1661"/>
      <c r="GO256" s="1661"/>
      <c r="GP256" s="1661"/>
      <c r="GQ256" s="1661"/>
      <c r="GR256" s="1661"/>
      <c r="GS256" s="1661"/>
      <c r="GT256" s="1661"/>
      <c r="GU256" s="1661"/>
      <c r="GV256" s="1661"/>
      <c r="GW256" s="1661"/>
      <c r="GX256" s="1661"/>
      <c r="GY256" s="1661"/>
      <c r="GZ256" s="1661"/>
      <c r="HA256" s="1661"/>
      <c r="HB256" s="1661"/>
      <c r="HC256" s="1661"/>
      <c r="HD256" s="1661"/>
      <c r="HE256" s="1661"/>
      <c r="HF256" s="1661"/>
      <c r="HG256" s="1661"/>
      <c r="HH256" s="1662">
        <v>1697</v>
      </c>
      <c r="HI256" s="1661"/>
      <c r="HJ256" s="1661">
        <v>0</v>
      </c>
      <c r="HK256" s="1661">
        <v>0</v>
      </c>
      <c r="HL256" s="1661">
        <v>0</v>
      </c>
      <c r="HM256" s="1661">
        <v>0</v>
      </c>
      <c r="HN256" s="1661"/>
      <c r="HO256" s="1661"/>
      <c r="HP256" s="1660">
        <v>0</v>
      </c>
      <c r="HQ256" s="1661"/>
      <c r="HR256" s="1660">
        <v>0</v>
      </c>
      <c r="HS256" s="1661"/>
      <c r="HT256" s="1661">
        <v>0</v>
      </c>
      <c r="HU256" s="1661"/>
      <c r="HV256" s="1661"/>
      <c r="HW256" s="1661"/>
      <c r="HX256" s="1661"/>
      <c r="HY256" s="1661"/>
      <c r="HZ256" s="1661"/>
      <c r="IA256" s="1661">
        <v>0</v>
      </c>
      <c r="IB256" s="1661"/>
      <c r="IC256" s="1661"/>
      <c r="ID256" s="1661"/>
      <c r="IE256" s="1661"/>
      <c r="IF256" s="1661">
        <v>0</v>
      </c>
      <c r="IG256" s="1661"/>
      <c r="IH256" s="1661"/>
      <c r="II256" s="1661">
        <v>0</v>
      </c>
      <c r="IJ256" s="1661"/>
      <c r="IK256" s="1661"/>
      <c r="IL256" s="1661">
        <v>0</v>
      </c>
      <c r="IM256" s="1661"/>
      <c r="IN256" s="1661"/>
      <c r="IO256" s="1661"/>
      <c r="IP256" s="1661"/>
      <c r="IQ256" s="1661"/>
      <c r="IR256" s="1661"/>
      <c r="IS256" s="1661"/>
      <c r="IT256" s="1661"/>
      <c r="IU256" s="1661"/>
      <c r="IV256" s="1661"/>
      <c r="IW256" s="1661"/>
      <c r="IX256" s="1661"/>
      <c r="IY256" s="1661"/>
      <c r="IZ256" s="1661"/>
      <c r="JA256" s="1661"/>
      <c r="JB256" s="1661"/>
      <c r="JC256" s="1661"/>
      <c r="JD256" s="1661"/>
      <c r="JE256" s="1660">
        <v>0</v>
      </c>
      <c r="JF256" s="1660">
        <v>0</v>
      </c>
      <c r="JG256" s="1661"/>
      <c r="JH256" s="1661"/>
      <c r="JI256" s="1661"/>
      <c r="JJ256" s="1660">
        <v>0</v>
      </c>
      <c r="JK256" s="1661"/>
      <c r="JL256" s="1661"/>
      <c r="JM256" s="1661"/>
      <c r="JN256" s="1663"/>
      <c r="JO256" s="1663"/>
      <c r="JP256" s="1661"/>
      <c r="JQ256" s="1662"/>
    </row>
    <row r="257" spans="1:277" ht="13" thickBot="1" x14ac:dyDescent="0.3">
      <c r="A257" s="1649">
        <v>42</v>
      </c>
      <c r="B257" s="1651">
        <f t="shared" si="19"/>
        <v>0</v>
      </c>
      <c r="D257" s="521" t="s">
        <v>4186</v>
      </c>
      <c r="E257" s="740"/>
      <c r="F257" s="741"/>
      <c r="G257" s="742"/>
      <c r="H257" s="742"/>
      <c r="I257" s="741"/>
      <c r="J257" s="741"/>
      <c r="K257" s="741"/>
      <c r="L257" s="741"/>
      <c r="M257" s="742"/>
      <c r="N257" s="742"/>
      <c r="O257" s="742"/>
      <c r="P257" s="742"/>
      <c r="Q257" s="742"/>
      <c r="R257" s="742"/>
      <c r="S257" s="742"/>
      <c r="T257" s="742"/>
      <c r="U257" s="742"/>
      <c r="V257" s="742"/>
      <c r="W257" s="742"/>
      <c r="X257" s="742"/>
      <c r="Y257" s="742"/>
      <c r="Z257" s="742"/>
      <c r="AA257" s="742"/>
      <c r="AB257" s="742"/>
      <c r="AC257" s="742"/>
      <c r="AD257" s="742"/>
      <c r="AE257" s="742"/>
      <c r="AF257" s="742"/>
      <c r="AG257" s="742"/>
      <c r="AH257" s="742"/>
      <c r="AI257" s="742"/>
      <c r="AJ257" s="742"/>
      <c r="AK257" s="742"/>
      <c r="AL257" s="742"/>
      <c r="AM257" s="742"/>
      <c r="AN257" s="742"/>
      <c r="AO257" s="742"/>
      <c r="AP257" s="741"/>
      <c r="AQ257" s="741"/>
      <c r="AR257" s="742"/>
      <c r="AS257" s="742"/>
      <c r="AT257" s="742"/>
      <c r="AU257" s="742"/>
      <c r="AV257" s="742"/>
      <c r="AW257" s="742"/>
      <c r="AX257" s="742"/>
      <c r="AY257" s="742"/>
      <c r="AZ257" s="742"/>
      <c r="BA257" s="742"/>
      <c r="BB257" s="741">
        <v>0</v>
      </c>
      <c r="BC257" s="741">
        <v>0</v>
      </c>
      <c r="BD257" s="741">
        <v>0</v>
      </c>
      <c r="BE257" s="741"/>
      <c r="BF257" s="741"/>
      <c r="BG257" s="741"/>
      <c r="BH257" s="741"/>
      <c r="BI257" s="741"/>
      <c r="BJ257" s="741">
        <v>0</v>
      </c>
      <c r="BK257" s="742"/>
      <c r="BL257" s="742"/>
      <c r="BM257" s="741"/>
      <c r="BN257" s="741"/>
      <c r="BO257" s="741"/>
      <c r="BP257" s="741"/>
      <c r="BQ257" s="741"/>
      <c r="BR257" s="741"/>
      <c r="BS257" s="741"/>
      <c r="BT257" s="741"/>
      <c r="BU257" s="741"/>
      <c r="BV257" s="741"/>
      <c r="BW257" s="741"/>
      <c r="BX257" s="741"/>
      <c r="BY257" s="741"/>
      <c r="BZ257" s="741"/>
      <c r="CA257" s="741"/>
      <c r="CB257" s="741">
        <v>0</v>
      </c>
      <c r="CC257" s="742"/>
      <c r="CD257" s="742"/>
      <c r="CE257" s="742"/>
      <c r="CF257" s="742"/>
      <c r="CG257" s="742"/>
      <c r="CH257" s="742"/>
      <c r="CI257" s="742"/>
      <c r="CJ257" s="741">
        <v>0</v>
      </c>
      <c r="CK257" s="742"/>
      <c r="CL257" s="742"/>
      <c r="CM257" s="742"/>
      <c r="CN257" s="742"/>
      <c r="CO257" s="742"/>
      <c r="CP257" s="742"/>
      <c r="CQ257" s="742"/>
      <c r="CR257" s="742"/>
      <c r="CS257" s="742"/>
      <c r="CT257" s="741">
        <v>0</v>
      </c>
      <c r="CU257" s="742"/>
      <c r="CV257" s="742"/>
      <c r="CW257" s="742"/>
      <c r="CX257" s="742"/>
      <c r="CY257" s="742"/>
      <c r="CZ257" s="742"/>
      <c r="DA257" s="742"/>
      <c r="DB257" s="742"/>
      <c r="DC257" s="742"/>
      <c r="DD257" s="742"/>
      <c r="DE257" s="742"/>
      <c r="DF257" s="742"/>
      <c r="DG257" s="742"/>
      <c r="DH257" s="742"/>
      <c r="DI257" s="741"/>
      <c r="DJ257" s="742"/>
      <c r="DK257" s="742"/>
      <c r="DL257" s="742"/>
      <c r="DM257" s="742"/>
      <c r="DN257" s="742"/>
      <c r="DO257" s="742"/>
      <c r="DP257" s="741">
        <v>0</v>
      </c>
      <c r="DQ257" s="742"/>
      <c r="DR257" s="741">
        <v>0</v>
      </c>
      <c r="DS257" s="742"/>
      <c r="DT257" s="741">
        <v>0</v>
      </c>
      <c r="DU257" s="742"/>
      <c r="DV257" s="742"/>
      <c r="DW257" s="741">
        <v>0</v>
      </c>
      <c r="DX257" s="742"/>
      <c r="DY257" s="742"/>
      <c r="DZ257" s="742"/>
      <c r="EA257" s="742"/>
      <c r="EB257" s="742"/>
      <c r="EC257" s="742"/>
      <c r="ED257" s="742"/>
      <c r="EE257" s="742"/>
      <c r="EF257" s="742"/>
      <c r="EG257" s="742"/>
      <c r="EH257" s="742"/>
      <c r="EI257" s="742"/>
      <c r="EJ257" s="742"/>
      <c r="EK257" s="742"/>
      <c r="EL257" s="742"/>
      <c r="EM257" s="741">
        <v>0</v>
      </c>
      <c r="EN257" s="741">
        <v>0</v>
      </c>
      <c r="EO257" s="742"/>
      <c r="EP257" s="742"/>
      <c r="EQ257" s="741">
        <v>0</v>
      </c>
      <c r="ER257" s="742"/>
      <c r="ES257" s="741">
        <v>0</v>
      </c>
      <c r="ET257" s="742"/>
      <c r="EU257" s="741">
        <v>0</v>
      </c>
      <c r="EV257" s="741">
        <v>0</v>
      </c>
      <c r="EW257" s="742"/>
      <c r="EX257" s="741">
        <v>0</v>
      </c>
      <c r="EY257" s="742"/>
      <c r="EZ257" s="742"/>
      <c r="FA257" s="742"/>
      <c r="FB257" s="741">
        <v>0</v>
      </c>
      <c r="FC257" s="741">
        <v>0</v>
      </c>
      <c r="FD257" s="742"/>
      <c r="FE257" s="742"/>
      <c r="FF257" s="741">
        <v>0</v>
      </c>
      <c r="FG257" s="742"/>
      <c r="FH257" s="742"/>
      <c r="FI257" s="742"/>
      <c r="FJ257" s="741">
        <v>0</v>
      </c>
      <c r="FK257" s="742"/>
      <c r="FL257" s="742"/>
      <c r="FM257" s="742"/>
      <c r="FN257" s="742"/>
      <c r="FO257" s="740">
        <v>0</v>
      </c>
      <c r="FP257" s="740">
        <v>0</v>
      </c>
      <c r="FQ257" s="742"/>
      <c r="FR257" s="742"/>
      <c r="FS257" s="742"/>
      <c r="FT257" s="742"/>
      <c r="FU257" s="742"/>
      <c r="FV257" s="742"/>
      <c r="FW257" s="742"/>
      <c r="FX257" s="742"/>
      <c r="FY257" s="742"/>
      <c r="FZ257" s="742"/>
      <c r="GA257" s="742"/>
      <c r="GB257" s="742"/>
      <c r="GC257" s="742"/>
      <c r="GD257" s="742"/>
      <c r="GE257" s="742"/>
      <c r="GF257" s="740">
        <v>0</v>
      </c>
      <c r="GG257" s="742"/>
      <c r="GH257" s="742"/>
      <c r="GI257" s="742"/>
      <c r="GJ257" s="742"/>
      <c r="GK257" s="742"/>
      <c r="GL257" s="742"/>
      <c r="GM257" s="742"/>
      <c r="GN257" s="742"/>
      <c r="GO257" s="742"/>
      <c r="GP257" s="742"/>
      <c r="GQ257" s="742"/>
      <c r="GR257" s="742"/>
      <c r="GS257" s="742"/>
      <c r="GT257" s="742"/>
      <c r="GU257" s="742"/>
      <c r="GV257" s="742"/>
      <c r="GW257" s="742"/>
      <c r="GX257" s="742"/>
      <c r="GY257" s="742"/>
      <c r="GZ257" s="742"/>
      <c r="HA257" s="742"/>
      <c r="HB257" s="742"/>
      <c r="HC257" s="742"/>
      <c r="HD257" s="742"/>
      <c r="HE257" s="742"/>
      <c r="HF257" s="742"/>
      <c r="HG257" s="742"/>
      <c r="HH257" s="741">
        <v>170</v>
      </c>
      <c r="HI257" s="742"/>
      <c r="HJ257" s="741">
        <v>0</v>
      </c>
      <c r="HK257" s="741">
        <v>0</v>
      </c>
      <c r="HL257" s="741">
        <v>0</v>
      </c>
      <c r="HM257" s="741">
        <v>0</v>
      </c>
      <c r="HN257" s="742"/>
      <c r="HO257" s="742"/>
      <c r="HP257" s="741">
        <v>0</v>
      </c>
      <c r="HQ257" s="742"/>
      <c r="HR257" s="741">
        <v>0</v>
      </c>
      <c r="HS257" s="742"/>
      <c r="HT257" s="742">
        <v>0</v>
      </c>
      <c r="HU257" s="742"/>
      <c r="HV257" s="742"/>
      <c r="HW257" s="742"/>
      <c r="HX257" s="742"/>
      <c r="HY257" s="742"/>
      <c r="HZ257" s="742"/>
      <c r="IA257" s="742">
        <v>0</v>
      </c>
      <c r="IB257" s="742"/>
      <c r="IC257" s="742"/>
      <c r="ID257" s="742"/>
      <c r="IE257" s="742"/>
      <c r="IF257" s="742">
        <v>0</v>
      </c>
      <c r="IG257" s="742"/>
      <c r="IH257" s="742"/>
      <c r="II257" s="742">
        <v>0</v>
      </c>
      <c r="IJ257" s="742"/>
      <c r="IK257" s="742"/>
      <c r="IL257" s="742">
        <v>0</v>
      </c>
      <c r="IM257" s="742"/>
      <c r="IN257" s="742"/>
      <c r="IO257" s="742"/>
      <c r="IP257" s="742"/>
      <c r="IQ257" s="742"/>
      <c r="IR257" s="742"/>
      <c r="IS257" s="742"/>
      <c r="IT257" s="742"/>
      <c r="IU257" s="742"/>
      <c r="IV257" s="742"/>
      <c r="IW257" s="742"/>
      <c r="IX257" s="742"/>
      <c r="IY257" s="742"/>
      <c r="IZ257" s="742"/>
      <c r="JA257" s="742"/>
      <c r="JB257" s="742"/>
      <c r="JC257" s="742"/>
      <c r="JD257" s="742"/>
      <c r="JE257" s="741">
        <v>0</v>
      </c>
      <c r="JF257" s="741">
        <v>0</v>
      </c>
      <c r="JG257" s="742"/>
      <c r="JH257" s="742"/>
      <c r="JI257" s="742"/>
      <c r="JJ257" s="741">
        <v>0</v>
      </c>
      <c r="JK257" s="742"/>
      <c r="JL257" s="742"/>
      <c r="JM257" s="742"/>
      <c r="JN257" s="743"/>
      <c r="JO257" s="743"/>
      <c r="JP257" s="742"/>
      <c r="JQ257" s="744"/>
    </row>
    <row r="258" spans="1:277" x14ac:dyDescent="0.25">
      <c r="A258" s="1649">
        <v>43</v>
      </c>
      <c r="B258" s="1651">
        <f t="shared" si="19"/>
        <v>1</v>
      </c>
      <c r="D258" s="521" t="s">
        <v>4187</v>
      </c>
      <c r="E258" s="541"/>
      <c r="F258" s="542"/>
      <c r="G258" s="542"/>
      <c r="H258" s="542"/>
      <c r="I258" s="542"/>
      <c r="J258" s="542"/>
      <c r="K258" s="542"/>
      <c r="L258" s="542"/>
      <c r="M258" s="542"/>
      <c r="N258" s="542"/>
      <c r="O258" s="542"/>
      <c r="P258" s="542"/>
      <c r="Q258" s="542"/>
      <c r="R258" s="542"/>
      <c r="S258" s="542"/>
      <c r="T258" s="542"/>
      <c r="U258" s="542"/>
      <c r="V258" s="542"/>
      <c r="W258" s="542"/>
      <c r="X258" s="542"/>
      <c r="Y258" s="542"/>
      <c r="Z258" s="542"/>
      <c r="AA258" s="542"/>
      <c r="AB258" s="542"/>
      <c r="AC258" s="542"/>
      <c r="AD258" s="542"/>
      <c r="AE258" s="542"/>
      <c r="AF258" s="542"/>
      <c r="AG258" s="542"/>
      <c r="AH258" s="542"/>
      <c r="AI258" s="542"/>
      <c r="AJ258" s="542"/>
      <c r="AK258" s="542"/>
      <c r="AL258" s="542"/>
      <c r="AM258" s="542"/>
      <c r="AN258" s="542"/>
      <c r="AO258" s="542"/>
      <c r="AP258" s="542"/>
      <c r="AQ258" s="542"/>
      <c r="AR258" s="542"/>
      <c r="AS258" s="542"/>
      <c r="AT258" s="542"/>
      <c r="AU258" s="542"/>
      <c r="AV258" s="542"/>
      <c r="AW258" s="542"/>
      <c r="AX258" s="542"/>
      <c r="AY258" s="542"/>
      <c r="AZ258" s="542"/>
      <c r="BA258" s="542"/>
      <c r="BB258" s="542">
        <v>1</v>
      </c>
      <c r="BC258" s="542">
        <v>1</v>
      </c>
      <c r="BD258" s="542">
        <v>1</v>
      </c>
      <c r="BE258" s="542"/>
      <c r="BF258" s="542"/>
      <c r="BG258" s="542"/>
      <c r="BH258" s="542"/>
      <c r="BI258" s="542"/>
      <c r="BJ258" s="542">
        <v>1</v>
      </c>
      <c r="BK258" s="542"/>
      <c r="BL258" s="542"/>
      <c r="BM258" s="542"/>
      <c r="BN258" s="542"/>
      <c r="BO258" s="542"/>
      <c r="BP258" s="542"/>
      <c r="BQ258" s="542"/>
      <c r="BR258" s="542"/>
      <c r="BS258" s="542"/>
      <c r="BT258" s="542"/>
      <c r="BU258" s="542"/>
      <c r="BV258" s="542"/>
      <c r="BW258" s="542"/>
      <c r="BX258" s="542"/>
      <c r="BY258" s="542"/>
      <c r="BZ258" s="542"/>
      <c r="CA258" s="542"/>
      <c r="CB258" s="542">
        <v>1</v>
      </c>
      <c r="CC258" s="542"/>
      <c r="CD258" s="542"/>
      <c r="CE258" s="542"/>
      <c r="CF258" s="542"/>
      <c r="CG258" s="542"/>
      <c r="CH258" s="542"/>
      <c r="CI258" s="542"/>
      <c r="CJ258" s="542">
        <v>1</v>
      </c>
      <c r="CK258" s="542"/>
      <c r="CL258" s="542"/>
      <c r="CM258" s="542"/>
      <c r="CN258" s="542"/>
      <c r="CO258" s="542"/>
      <c r="CP258" s="542"/>
      <c r="CQ258" s="542"/>
      <c r="CR258" s="542"/>
      <c r="CS258" s="542"/>
      <c r="CT258" s="542">
        <v>1</v>
      </c>
      <c r="CU258" s="542"/>
      <c r="CV258" s="542"/>
      <c r="CW258" s="542"/>
      <c r="CX258" s="542"/>
      <c r="CY258" s="542"/>
      <c r="CZ258" s="542"/>
      <c r="DA258" s="542"/>
      <c r="DB258" s="542"/>
      <c r="DC258" s="542"/>
      <c r="DD258" s="542"/>
      <c r="DE258" s="542"/>
      <c r="DF258" s="542"/>
      <c r="DG258" s="542"/>
      <c r="DH258" s="542"/>
      <c r="DI258" s="542"/>
      <c r="DJ258" s="542"/>
      <c r="DK258" s="542"/>
      <c r="DL258" s="542"/>
      <c r="DM258" s="542"/>
      <c r="DN258" s="542"/>
      <c r="DO258" s="542"/>
      <c r="DP258" s="542">
        <v>1</v>
      </c>
      <c r="DQ258" s="542"/>
      <c r="DR258" s="542">
        <v>1</v>
      </c>
      <c r="DS258" s="542"/>
      <c r="DT258" s="542">
        <v>1</v>
      </c>
      <c r="DU258" s="542"/>
      <c r="DV258" s="542"/>
      <c r="DW258" s="542">
        <v>1</v>
      </c>
      <c r="DX258" s="542"/>
      <c r="DY258" s="542"/>
      <c r="DZ258" s="542"/>
      <c r="EA258" s="542"/>
      <c r="EB258" s="542"/>
      <c r="EC258" s="542"/>
      <c r="ED258" s="542"/>
      <c r="EE258" s="542"/>
      <c r="EF258" s="542"/>
      <c r="EG258" s="542"/>
      <c r="EH258" s="542"/>
      <c r="EI258" s="542"/>
      <c r="EJ258" s="542"/>
      <c r="EK258" s="542"/>
      <c r="EL258" s="542"/>
      <c r="EM258" s="542">
        <v>1</v>
      </c>
      <c r="EN258" s="542">
        <v>1</v>
      </c>
      <c r="EO258" s="542"/>
      <c r="EP258" s="542"/>
      <c r="EQ258" s="542">
        <v>1</v>
      </c>
      <c r="ER258" s="542"/>
      <c r="ES258" s="542">
        <v>1</v>
      </c>
      <c r="ET258" s="542"/>
      <c r="EU258" s="542">
        <v>1</v>
      </c>
      <c r="EV258" s="542">
        <v>1</v>
      </c>
      <c r="EW258" s="542"/>
      <c r="EX258" s="542">
        <v>1</v>
      </c>
      <c r="EY258" s="542"/>
      <c r="EZ258" s="542"/>
      <c r="FA258" s="542"/>
      <c r="FB258" s="542">
        <v>1</v>
      </c>
      <c r="FC258" s="542">
        <v>1</v>
      </c>
      <c r="FD258" s="542"/>
      <c r="FE258" s="542"/>
      <c r="FF258" s="542">
        <v>1</v>
      </c>
      <c r="FG258" s="542"/>
      <c r="FH258" s="542"/>
      <c r="FI258" s="542"/>
      <c r="FJ258" s="542">
        <v>1</v>
      </c>
      <c r="FK258" s="542"/>
      <c r="FL258" s="542"/>
      <c r="FM258" s="542"/>
      <c r="FN258" s="542"/>
      <c r="FO258" s="541">
        <v>1</v>
      </c>
      <c r="FP258" s="541">
        <v>1</v>
      </c>
      <c r="FQ258" s="542"/>
      <c r="FR258" s="542"/>
      <c r="FS258" s="542"/>
      <c r="FT258" s="542"/>
      <c r="FU258" s="542"/>
      <c r="FV258" s="542"/>
      <c r="FW258" s="542"/>
      <c r="FX258" s="542"/>
      <c r="FY258" s="542"/>
      <c r="FZ258" s="542"/>
      <c r="GA258" s="542"/>
      <c r="GB258" s="542"/>
      <c r="GC258" s="542"/>
      <c r="GD258" s="542"/>
      <c r="GE258" s="542"/>
      <c r="GF258" s="541">
        <v>1</v>
      </c>
      <c r="GG258" s="542"/>
      <c r="GH258" s="542"/>
      <c r="GI258" s="542"/>
      <c r="GJ258" s="542"/>
      <c r="GK258" s="542"/>
      <c r="GL258" s="542"/>
      <c r="GM258" s="542"/>
      <c r="GN258" s="542"/>
      <c r="GO258" s="542"/>
      <c r="GP258" s="542"/>
      <c r="GQ258" s="542"/>
      <c r="GR258" s="542"/>
      <c r="GS258" s="542"/>
      <c r="GT258" s="542"/>
      <c r="GU258" s="542"/>
      <c r="GV258" s="542"/>
      <c r="GW258" s="542"/>
      <c r="GX258" s="542"/>
      <c r="GY258" s="542"/>
      <c r="GZ258" s="542"/>
      <c r="HA258" s="542"/>
      <c r="HB258" s="542"/>
      <c r="HC258" s="542"/>
      <c r="HD258" s="542"/>
      <c r="HE258" s="542"/>
      <c r="HF258" s="542"/>
      <c r="HG258" s="542"/>
      <c r="HH258" s="543">
        <v>4</v>
      </c>
      <c r="HI258" s="542"/>
      <c r="HJ258" s="542">
        <v>1</v>
      </c>
      <c r="HK258" s="542">
        <v>1</v>
      </c>
      <c r="HL258" s="542">
        <v>1</v>
      </c>
      <c r="HM258" s="542">
        <v>1</v>
      </c>
      <c r="HN258" s="542"/>
      <c r="HO258" s="542"/>
      <c r="HP258" s="542">
        <v>1</v>
      </c>
      <c r="HQ258" s="542"/>
      <c r="HR258" s="542">
        <v>1</v>
      </c>
      <c r="HS258" s="542"/>
      <c r="HT258" s="542">
        <v>1</v>
      </c>
      <c r="HU258" s="542"/>
      <c r="HV258" s="542"/>
      <c r="HW258" s="542"/>
      <c r="HX258" s="542"/>
      <c r="HY258" s="542"/>
      <c r="HZ258" s="542"/>
      <c r="IA258" s="542">
        <v>1</v>
      </c>
      <c r="IB258" s="542"/>
      <c r="IC258" s="542"/>
      <c r="ID258" s="542"/>
      <c r="IE258" s="542"/>
      <c r="IF258" s="542">
        <v>1</v>
      </c>
      <c r="IG258" s="542"/>
      <c r="IH258" s="542"/>
      <c r="II258" s="542">
        <v>1</v>
      </c>
      <c r="IJ258" s="542"/>
      <c r="IK258" s="542"/>
      <c r="IL258" s="542">
        <v>1</v>
      </c>
      <c r="IM258" s="542"/>
      <c r="IN258" s="542"/>
      <c r="IO258" s="542"/>
      <c r="IP258" s="542"/>
      <c r="IQ258" s="542"/>
      <c r="IR258" s="542"/>
      <c r="IS258" s="542"/>
      <c r="IT258" s="542"/>
      <c r="IU258" s="542"/>
      <c r="IV258" s="542"/>
      <c r="IW258" s="542"/>
      <c r="IX258" s="542"/>
      <c r="IY258" s="542"/>
      <c r="IZ258" s="542"/>
      <c r="JA258" s="542"/>
      <c r="JB258" s="542"/>
      <c r="JC258" s="542"/>
      <c r="JD258" s="542"/>
      <c r="JE258" s="542">
        <v>1</v>
      </c>
      <c r="JF258" s="542">
        <v>1</v>
      </c>
      <c r="JG258" s="542"/>
      <c r="JH258" s="542"/>
      <c r="JI258" s="542"/>
      <c r="JJ258" s="542">
        <v>1</v>
      </c>
      <c r="JK258" s="542"/>
      <c r="JL258" s="542"/>
      <c r="JM258" s="542"/>
      <c r="JN258" s="544"/>
      <c r="JO258" s="544"/>
      <c r="JP258" s="542"/>
      <c r="JQ258" s="543"/>
    </row>
    <row r="259" spans="1:277" x14ac:dyDescent="0.25">
      <c r="A259" s="1649">
        <v>44</v>
      </c>
      <c r="B259" s="1651">
        <f t="shared" si="19"/>
        <v>1</v>
      </c>
      <c r="D259" s="521" t="s">
        <v>4188</v>
      </c>
      <c r="E259" s="1655"/>
      <c r="F259" s="1656"/>
      <c r="G259" s="1656"/>
      <c r="H259" s="1656"/>
      <c r="I259" s="1656"/>
      <c r="J259" s="1656"/>
      <c r="K259" s="1656"/>
      <c r="L259" s="1656"/>
      <c r="M259" s="1656"/>
      <c r="N259" s="1656"/>
      <c r="O259" s="1656"/>
      <c r="P259" s="1656"/>
      <c r="Q259" s="1656"/>
      <c r="R259" s="1656"/>
      <c r="S259" s="1656"/>
      <c r="T259" s="1656"/>
      <c r="U259" s="1656"/>
      <c r="V259" s="1656"/>
      <c r="W259" s="1656"/>
      <c r="X259" s="1656"/>
      <c r="Y259" s="1656"/>
      <c r="Z259" s="1656"/>
      <c r="AA259" s="1656"/>
      <c r="AB259" s="1656"/>
      <c r="AC259" s="1656"/>
      <c r="AD259" s="1656"/>
      <c r="AE259" s="1656"/>
      <c r="AF259" s="1656"/>
      <c r="AG259" s="1656"/>
      <c r="AH259" s="1656"/>
      <c r="AI259" s="1656"/>
      <c r="AJ259" s="1656"/>
      <c r="AK259" s="1656"/>
      <c r="AL259" s="1656"/>
      <c r="AM259" s="1656"/>
      <c r="AN259" s="1656"/>
      <c r="AO259" s="1656"/>
      <c r="AP259" s="1656"/>
      <c r="AQ259" s="1656"/>
      <c r="AR259" s="1656"/>
      <c r="AS259" s="1656"/>
      <c r="AT259" s="1656"/>
      <c r="AU259" s="1656"/>
      <c r="AV259" s="1656"/>
      <c r="AW259" s="1656"/>
      <c r="AX259" s="1656"/>
      <c r="AY259" s="1656"/>
      <c r="AZ259" s="1656"/>
      <c r="BA259" s="1656"/>
      <c r="BB259" s="1656">
        <v>1</v>
      </c>
      <c r="BC259" s="1656">
        <v>1</v>
      </c>
      <c r="BD259" s="1656">
        <v>1</v>
      </c>
      <c r="BE259" s="1656"/>
      <c r="BF259" s="1656"/>
      <c r="BG259" s="1656"/>
      <c r="BH259" s="1656"/>
      <c r="BI259" s="1656"/>
      <c r="BJ259" s="1656">
        <v>1</v>
      </c>
      <c r="BK259" s="1656"/>
      <c r="BL259" s="1656"/>
      <c r="BM259" s="1656"/>
      <c r="BN259" s="1656"/>
      <c r="BO259" s="1656"/>
      <c r="BP259" s="1656"/>
      <c r="BQ259" s="1656"/>
      <c r="BR259" s="1656"/>
      <c r="BS259" s="1656"/>
      <c r="BT259" s="1656"/>
      <c r="BU259" s="1656"/>
      <c r="BV259" s="1656"/>
      <c r="BW259" s="1656"/>
      <c r="BX259" s="1656"/>
      <c r="BY259" s="1656"/>
      <c r="BZ259" s="1656"/>
      <c r="CA259" s="1656"/>
      <c r="CB259" s="1656">
        <v>1</v>
      </c>
      <c r="CC259" s="1656"/>
      <c r="CD259" s="1656"/>
      <c r="CE259" s="1656"/>
      <c r="CF259" s="1656"/>
      <c r="CG259" s="1656"/>
      <c r="CH259" s="1656"/>
      <c r="CI259" s="1656"/>
      <c r="CJ259" s="1656">
        <v>1</v>
      </c>
      <c r="CK259" s="1656"/>
      <c r="CL259" s="1656"/>
      <c r="CM259" s="1656"/>
      <c r="CN259" s="1656"/>
      <c r="CO259" s="1656"/>
      <c r="CP259" s="1656"/>
      <c r="CQ259" s="1656"/>
      <c r="CR259" s="1656"/>
      <c r="CS259" s="1656"/>
      <c r="CT259" s="1656">
        <v>1</v>
      </c>
      <c r="CU259" s="1656"/>
      <c r="CV259" s="1656"/>
      <c r="CW259" s="1656"/>
      <c r="CX259" s="1656"/>
      <c r="CY259" s="1656"/>
      <c r="CZ259" s="1656"/>
      <c r="DA259" s="1656"/>
      <c r="DB259" s="1656"/>
      <c r="DC259" s="1656"/>
      <c r="DD259" s="1656"/>
      <c r="DE259" s="1656"/>
      <c r="DF259" s="1656"/>
      <c r="DG259" s="1656"/>
      <c r="DH259" s="1656"/>
      <c r="DI259" s="1656"/>
      <c r="DJ259" s="1656"/>
      <c r="DK259" s="1656"/>
      <c r="DL259" s="1656"/>
      <c r="DM259" s="1656"/>
      <c r="DN259" s="1656"/>
      <c r="DO259" s="1656"/>
      <c r="DP259" s="1656">
        <v>1</v>
      </c>
      <c r="DQ259" s="1656"/>
      <c r="DR259" s="1656">
        <v>1</v>
      </c>
      <c r="DS259" s="1656"/>
      <c r="DT259" s="1656">
        <v>1</v>
      </c>
      <c r="DU259" s="1656"/>
      <c r="DV259" s="1656"/>
      <c r="DW259" s="1656">
        <v>1</v>
      </c>
      <c r="DX259" s="1656"/>
      <c r="DY259" s="1656"/>
      <c r="DZ259" s="1656"/>
      <c r="EA259" s="1656"/>
      <c r="EB259" s="1656"/>
      <c r="EC259" s="1656"/>
      <c r="ED259" s="1656"/>
      <c r="EE259" s="1656"/>
      <c r="EF259" s="1656"/>
      <c r="EG259" s="1656"/>
      <c r="EH259" s="1656"/>
      <c r="EI259" s="1656"/>
      <c r="EJ259" s="1656"/>
      <c r="EK259" s="1656"/>
      <c r="EL259" s="1656"/>
      <c r="EM259" s="1656">
        <v>1</v>
      </c>
      <c r="EN259" s="1656">
        <v>1</v>
      </c>
      <c r="EO259" s="1656"/>
      <c r="EP259" s="1656"/>
      <c r="EQ259" s="1656">
        <v>1</v>
      </c>
      <c r="ER259" s="1656"/>
      <c r="ES259" s="1656">
        <v>1</v>
      </c>
      <c r="ET259" s="1656"/>
      <c r="EU259" s="1656">
        <v>1</v>
      </c>
      <c r="EV259" s="1656">
        <v>1</v>
      </c>
      <c r="EW259" s="1656"/>
      <c r="EX259" s="1656">
        <v>1</v>
      </c>
      <c r="EY259" s="1656"/>
      <c r="EZ259" s="1656"/>
      <c r="FA259" s="1656"/>
      <c r="FB259" s="1656">
        <v>1</v>
      </c>
      <c r="FC259" s="1656">
        <v>1</v>
      </c>
      <c r="FD259" s="1656"/>
      <c r="FE259" s="1656"/>
      <c r="FF259" s="1656">
        <v>1</v>
      </c>
      <c r="FG259" s="1656"/>
      <c r="FH259" s="1656"/>
      <c r="FI259" s="1656"/>
      <c r="FJ259" s="1656">
        <v>1</v>
      </c>
      <c r="FK259" s="1656"/>
      <c r="FL259" s="1656"/>
      <c r="FM259" s="1656"/>
      <c r="FN259" s="1656"/>
      <c r="FO259" s="1655">
        <v>1</v>
      </c>
      <c r="FP259" s="1655">
        <v>1</v>
      </c>
      <c r="FQ259" s="1656"/>
      <c r="FR259" s="1656"/>
      <c r="FS259" s="1656"/>
      <c r="FT259" s="1656"/>
      <c r="FU259" s="1656"/>
      <c r="FV259" s="1656"/>
      <c r="FW259" s="1656"/>
      <c r="FX259" s="1656"/>
      <c r="FY259" s="1656"/>
      <c r="FZ259" s="1656"/>
      <c r="GA259" s="1656"/>
      <c r="GB259" s="1656"/>
      <c r="GC259" s="1656"/>
      <c r="GD259" s="1656"/>
      <c r="GE259" s="1656"/>
      <c r="GF259" s="1655">
        <v>1</v>
      </c>
      <c r="GG259" s="1656"/>
      <c r="GH259" s="1656"/>
      <c r="GI259" s="1656"/>
      <c r="GJ259" s="1656"/>
      <c r="GK259" s="1656"/>
      <c r="GL259" s="1656"/>
      <c r="GM259" s="1656"/>
      <c r="GN259" s="1656"/>
      <c r="GO259" s="1656"/>
      <c r="GP259" s="1656"/>
      <c r="GQ259" s="1656"/>
      <c r="GR259" s="1656"/>
      <c r="GS259" s="1656"/>
      <c r="GT259" s="1656"/>
      <c r="GU259" s="1656"/>
      <c r="GV259" s="1656"/>
      <c r="GW259" s="1656"/>
      <c r="GX259" s="1656"/>
      <c r="GY259" s="1656"/>
      <c r="GZ259" s="1656"/>
      <c r="HA259" s="1656"/>
      <c r="HB259" s="1656"/>
      <c r="HC259" s="1656"/>
      <c r="HD259" s="1656"/>
      <c r="HE259" s="1656"/>
      <c r="HF259" s="1656"/>
      <c r="HG259" s="1656"/>
      <c r="HH259" s="1657">
        <v>6</v>
      </c>
      <c r="HI259" s="1656"/>
      <c r="HJ259" s="1656">
        <v>1</v>
      </c>
      <c r="HK259" s="1656">
        <v>1</v>
      </c>
      <c r="HL259" s="1656">
        <v>1</v>
      </c>
      <c r="HM259" s="1656">
        <v>1</v>
      </c>
      <c r="HN259" s="1656"/>
      <c r="HO259" s="1656"/>
      <c r="HP259" s="1656">
        <v>1</v>
      </c>
      <c r="HQ259" s="1656"/>
      <c r="HR259" s="1656">
        <v>1</v>
      </c>
      <c r="HS259" s="1656"/>
      <c r="HT259" s="1656">
        <v>1</v>
      </c>
      <c r="HU259" s="1656"/>
      <c r="HV259" s="1656"/>
      <c r="HW259" s="1656"/>
      <c r="HX259" s="1656"/>
      <c r="HY259" s="1656"/>
      <c r="HZ259" s="1656"/>
      <c r="IA259" s="1656">
        <v>1</v>
      </c>
      <c r="IB259" s="1656"/>
      <c r="IC259" s="1656"/>
      <c r="ID259" s="1656"/>
      <c r="IE259" s="1656"/>
      <c r="IF259" s="1656">
        <v>1</v>
      </c>
      <c r="IG259" s="1656"/>
      <c r="IH259" s="1656"/>
      <c r="II259" s="1656">
        <v>1</v>
      </c>
      <c r="IJ259" s="1656"/>
      <c r="IK259" s="1656"/>
      <c r="IL259" s="1656">
        <v>1</v>
      </c>
      <c r="IM259" s="1656"/>
      <c r="IN259" s="1656"/>
      <c r="IO259" s="1656"/>
      <c r="IP259" s="1656"/>
      <c r="IQ259" s="1656"/>
      <c r="IR259" s="1656"/>
      <c r="IS259" s="1656"/>
      <c r="IT259" s="1656"/>
      <c r="IU259" s="1656"/>
      <c r="IV259" s="1656"/>
      <c r="IW259" s="1656"/>
      <c r="IX259" s="1656"/>
      <c r="IY259" s="1656"/>
      <c r="IZ259" s="1656"/>
      <c r="JA259" s="1656"/>
      <c r="JB259" s="1656"/>
      <c r="JC259" s="1656"/>
      <c r="JD259" s="1656"/>
      <c r="JE259" s="1656">
        <v>1</v>
      </c>
      <c r="JF259" s="1656">
        <v>1</v>
      </c>
      <c r="JG259" s="1656"/>
      <c r="JH259" s="1656"/>
      <c r="JI259" s="1656"/>
      <c r="JJ259" s="1656">
        <v>1</v>
      </c>
      <c r="JK259" s="1656"/>
      <c r="JL259" s="1656"/>
      <c r="JM259" s="1656"/>
      <c r="JN259" s="1658"/>
      <c r="JO259" s="1658"/>
      <c r="JP259" s="1656"/>
      <c r="JQ259" s="1657"/>
    </row>
    <row r="260" spans="1:277" x14ac:dyDescent="0.25">
      <c r="A260" s="1649">
        <v>45</v>
      </c>
      <c r="B260" s="1651" t="str">
        <f t="shared" si="19"/>
        <v/>
      </c>
      <c r="D260" s="521" t="s">
        <v>4189</v>
      </c>
      <c r="E260" s="1659"/>
      <c r="F260" s="1660"/>
      <c r="G260" s="1661"/>
      <c r="H260" s="1661"/>
      <c r="I260" s="1660"/>
      <c r="J260" s="1660"/>
      <c r="K260" s="1660"/>
      <c r="L260" s="1660"/>
      <c r="M260" s="1661"/>
      <c r="N260" s="1661"/>
      <c r="O260" s="1661"/>
      <c r="P260" s="1661"/>
      <c r="Q260" s="1661"/>
      <c r="R260" s="1661"/>
      <c r="S260" s="1661"/>
      <c r="T260" s="1661"/>
      <c r="U260" s="1661"/>
      <c r="V260" s="1661"/>
      <c r="W260" s="1661"/>
      <c r="X260" s="1661"/>
      <c r="Y260" s="1661"/>
      <c r="Z260" s="1661"/>
      <c r="AA260" s="1661"/>
      <c r="AB260" s="1661"/>
      <c r="AC260" s="1661"/>
      <c r="AD260" s="1661"/>
      <c r="AE260" s="1661"/>
      <c r="AF260" s="1661"/>
      <c r="AG260" s="1661"/>
      <c r="AH260" s="1661"/>
      <c r="AI260" s="1661"/>
      <c r="AJ260" s="1661"/>
      <c r="AK260" s="1661"/>
      <c r="AL260" s="1661"/>
      <c r="AM260" s="1661"/>
      <c r="AN260" s="1661"/>
      <c r="AO260" s="1661"/>
      <c r="AP260" s="1660"/>
      <c r="AQ260" s="1660"/>
      <c r="AR260" s="1661"/>
      <c r="AS260" s="1661"/>
      <c r="AT260" s="1661"/>
      <c r="AU260" s="1661"/>
      <c r="AV260" s="1661"/>
      <c r="AW260" s="1661"/>
      <c r="AX260" s="1661"/>
      <c r="AY260" s="1661"/>
      <c r="AZ260" s="1661"/>
      <c r="BA260" s="1661"/>
      <c r="BB260" s="1660"/>
      <c r="BC260" s="1660"/>
      <c r="BD260" s="1660"/>
      <c r="BE260" s="1660"/>
      <c r="BF260" s="1660"/>
      <c r="BG260" s="1660"/>
      <c r="BH260" s="1660"/>
      <c r="BI260" s="1660"/>
      <c r="BJ260" s="1660"/>
      <c r="BK260" s="1661"/>
      <c r="BL260" s="1661"/>
      <c r="BM260" s="1660"/>
      <c r="BN260" s="1660"/>
      <c r="BO260" s="1660"/>
      <c r="BP260" s="1660"/>
      <c r="BQ260" s="1660"/>
      <c r="BR260" s="1660"/>
      <c r="BS260" s="1660"/>
      <c r="BT260" s="1660"/>
      <c r="BU260" s="1660"/>
      <c r="BV260" s="1660"/>
      <c r="BW260" s="1660"/>
      <c r="BX260" s="1660"/>
      <c r="BY260" s="1660"/>
      <c r="BZ260" s="1660"/>
      <c r="CA260" s="1660"/>
      <c r="CB260" s="1660"/>
      <c r="CC260" s="1661"/>
      <c r="CD260" s="1661"/>
      <c r="CE260" s="1661"/>
      <c r="CF260" s="1661"/>
      <c r="CG260" s="1661"/>
      <c r="CH260" s="1661"/>
      <c r="CI260" s="1661"/>
      <c r="CJ260" s="1660"/>
      <c r="CK260" s="1661"/>
      <c r="CL260" s="1661"/>
      <c r="CM260" s="1661"/>
      <c r="CN260" s="1661"/>
      <c r="CO260" s="1661"/>
      <c r="CP260" s="1661"/>
      <c r="CQ260" s="1661"/>
      <c r="CR260" s="1661"/>
      <c r="CS260" s="1661"/>
      <c r="CT260" s="1660"/>
      <c r="CU260" s="1661"/>
      <c r="CV260" s="1661"/>
      <c r="CW260" s="1661"/>
      <c r="CX260" s="1661"/>
      <c r="CY260" s="1661"/>
      <c r="CZ260" s="1661"/>
      <c r="DA260" s="1661"/>
      <c r="DB260" s="1661"/>
      <c r="DC260" s="1661"/>
      <c r="DD260" s="1661"/>
      <c r="DE260" s="1661"/>
      <c r="DF260" s="1661"/>
      <c r="DG260" s="1661"/>
      <c r="DH260" s="1661"/>
      <c r="DI260" s="1660"/>
      <c r="DJ260" s="1661"/>
      <c r="DK260" s="1661"/>
      <c r="DL260" s="1661"/>
      <c r="DM260" s="1661"/>
      <c r="DN260" s="1661"/>
      <c r="DO260" s="1661"/>
      <c r="DP260" s="1660"/>
      <c r="DQ260" s="1661"/>
      <c r="DR260" s="1660"/>
      <c r="DS260" s="1661"/>
      <c r="DT260" s="1660"/>
      <c r="DU260" s="1661"/>
      <c r="DV260" s="1661"/>
      <c r="DW260" s="1660"/>
      <c r="DX260" s="1661"/>
      <c r="DY260" s="1661"/>
      <c r="DZ260" s="1661"/>
      <c r="EA260" s="1661"/>
      <c r="EB260" s="1661"/>
      <c r="EC260" s="1661"/>
      <c r="ED260" s="1661"/>
      <c r="EE260" s="1661"/>
      <c r="EF260" s="1661"/>
      <c r="EG260" s="1661"/>
      <c r="EH260" s="1661"/>
      <c r="EI260" s="1661"/>
      <c r="EJ260" s="1661"/>
      <c r="EK260" s="1661"/>
      <c r="EL260" s="1661"/>
      <c r="EM260" s="1660"/>
      <c r="EN260" s="1660"/>
      <c r="EO260" s="1661"/>
      <c r="EP260" s="1661"/>
      <c r="EQ260" s="1660"/>
      <c r="ER260" s="1661"/>
      <c r="ES260" s="1660"/>
      <c r="ET260" s="1661"/>
      <c r="EU260" s="1660"/>
      <c r="EV260" s="1660"/>
      <c r="EW260" s="1661"/>
      <c r="EX260" s="1660"/>
      <c r="EY260" s="1661"/>
      <c r="EZ260" s="1661"/>
      <c r="FA260" s="1661"/>
      <c r="FB260" s="1660"/>
      <c r="FC260" s="1660"/>
      <c r="FD260" s="1661"/>
      <c r="FE260" s="1661"/>
      <c r="FF260" s="1660"/>
      <c r="FG260" s="1661"/>
      <c r="FH260" s="1661"/>
      <c r="FI260" s="1661"/>
      <c r="FJ260" s="1660"/>
      <c r="FK260" s="1661"/>
      <c r="FL260" s="1661"/>
      <c r="FM260" s="1661"/>
      <c r="FN260" s="1661"/>
      <c r="FO260" s="1659"/>
      <c r="FP260" s="1659"/>
      <c r="FQ260" s="1661"/>
      <c r="FR260" s="1661"/>
      <c r="FS260" s="1661"/>
      <c r="FT260" s="1661"/>
      <c r="FU260" s="1661"/>
      <c r="FV260" s="1661"/>
      <c r="FW260" s="1661"/>
      <c r="FX260" s="1661"/>
      <c r="FY260" s="1661"/>
      <c r="FZ260" s="1661"/>
      <c r="GA260" s="1661"/>
      <c r="GB260" s="1661"/>
      <c r="GC260" s="1661"/>
      <c r="GD260" s="1661"/>
      <c r="GE260" s="1661"/>
      <c r="GF260" s="1659"/>
      <c r="GG260" s="1661"/>
      <c r="GH260" s="1661"/>
      <c r="GI260" s="1661"/>
      <c r="GJ260" s="1661"/>
      <c r="GK260" s="1661"/>
      <c r="GL260" s="1661"/>
      <c r="GM260" s="1661"/>
      <c r="GN260" s="1661"/>
      <c r="GO260" s="1661"/>
      <c r="GP260" s="1661"/>
      <c r="GQ260" s="1661"/>
      <c r="GR260" s="1661"/>
      <c r="GS260" s="1661"/>
      <c r="GT260" s="1661"/>
      <c r="GU260" s="1661"/>
      <c r="GV260" s="1661"/>
      <c r="GW260" s="1661"/>
      <c r="GX260" s="1661"/>
      <c r="GY260" s="1661"/>
      <c r="GZ260" s="1661"/>
      <c r="HA260" s="1661"/>
      <c r="HB260" s="1661"/>
      <c r="HC260" s="1661"/>
      <c r="HD260" s="1661"/>
      <c r="HE260" s="1661"/>
      <c r="HF260" s="1661"/>
      <c r="HG260" s="1661"/>
      <c r="HH260" s="1662" t="s">
        <v>3880</v>
      </c>
      <c r="HI260" s="1661"/>
      <c r="HJ260" s="1661"/>
      <c r="HK260" s="1661"/>
      <c r="HL260" s="1661"/>
      <c r="HM260" s="1661"/>
      <c r="HN260" s="1661"/>
      <c r="HO260" s="1661"/>
      <c r="HP260" s="1660"/>
      <c r="HQ260" s="1661"/>
      <c r="HR260" s="1660"/>
      <c r="HS260" s="1661"/>
      <c r="HT260" s="1661"/>
      <c r="HU260" s="1661"/>
      <c r="HV260" s="1661"/>
      <c r="HW260" s="1661"/>
      <c r="HX260" s="1661"/>
      <c r="HY260" s="1661"/>
      <c r="HZ260" s="1661"/>
      <c r="IA260" s="1661"/>
      <c r="IB260" s="1661"/>
      <c r="IC260" s="1661"/>
      <c r="ID260" s="1661"/>
      <c r="IE260" s="1661"/>
      <c r="IF260" s="1661"/>
      <c r="IG260" s="1661"/>
      <c r="IH260" s="1661"/>
      <c r="II260" s="1661"/>
      <c r="IJ260" s="1661"/>
      <c r="IK260" s="1661"/>
      <c r="IL260" s="1661"/>
      <c r="IM260" s="1661"/>
      <c r="IN260" s="1661"/>
      <c r="IO260" s="1661"/>
      <c r="IP260" s="1661"/>
      <c r="IQ260" s="1661"/>
      <c r="IR260" s="1661"/>
      <c r="IS260" s="1661"/>
      <c r="IT260" s="1661"/>
      <c r="IU260" s="1661"/>
      <c r="IV260" s="1661"/>
      <c r="IW260" s="1661"/>
      <c r="IX260" s="1661"/>
      <c r="IY260" s="1661"/>
      <c r="IZ260" s="1661"/>
      <c r="JA260" s="1661"/>
      <c r="JB260" s="1661"/>
      <c r="JC260" s="1661"/>
      <c r="JD260" s="1661"/>
      <c r="JE260" s="1660"/>
      <c r="JF260" s="1660"/>
      <c r="JG260" s="1661"/>
      <c r="JH260" s="1661"/>
      <c r="JI260" s="1661"/>
      <c r="JJ260" s="1660"/>
      <c r="JK260" s="1661"/>
      <c r="JL260" s="1661"/>
      <c r="JM260" s="1661"/>
      <c r="JN260" s="1663"/>
      <c r="JO260" s="1663"/>
      <c r="JP260" s="1661"/>
      <c r="JQ260" s="1662"/>
    </row>
    <row r="261" spans="1:277" x14ac:dyDescent="0.25">
      <c r="A261" s="1649">
        <v>46</v>
      </c>
      <c r="B261" s="1651">
        <f t="shared" si="19"/>
        <v>0</v>
      </c>
      <c r="D261" s="521" t="s">
        <v>4190</v>
      </c>
      <c r="E261" s="1659"/>
      <c r="F261" s="1660"/>
      <c r="G261" s="1661"/>
      <c r="H261" s="1661"/>
      <c r="I261" s="1660"/>
      <c r="J261" s="1660"/>
      <c r="K261" s="1660"/>
      <c r="L261" s="1660"/>
      <c r="M261" s="1661"/>
      <c r="N261" s="1661"/>
      <c r="O261" s="1661"/>
      <c r="P261" s="1661"/>
      <c r="Q261" s="1661"/>
      <c r="R261" s="1661"/>
      <c r="S261" s="1661"/>
      <c r="T261" s="1661"/>
      <c r="U261" s="1661"/>
      <c r="V261" s="1661"/>
      <c r="W261" s="1661"/>
      <c r="X261" s="1661"/>
      <c r="Y261" s="1661"/>
      <c r="Z261" s="1661"/>
      <c r="AA261" s="1661"/>
      <c r="AB261" s="1661"/>
      <c r="AC261" s="1661"/>
      <c r="AD261" s="1661"/>
      <c r="AE261" s="1661"/>
      <c r="AF261" s="1661"/>
      <c r="AG261" s="1661"/>
      <c r="AH261" s="1661"/>
      <c r="AI261" s="1661"/>
      <c r="AJ261" s="1661"/>
      <c r="AK261" s="1661"/>
      <c r="AL261" s="1661"/>
      <c r="AM261" s="1661"/>
      <c r="AN261" s="1661"/>
      <c r="AO261" s="1661"/>
      <c r="AP261" s="1660"/>
      <c r="AQ261" s="1660"/>
      <c r="AR261" s="1661"/>
      <c r="AS261" s="1661"/>
      <c r="AT261" s="1661"/>
      <c r="AU261" s="1661"/>
      <c r="AV261" s="1661"/>
      <c r="AW261" s="1661"/>
      <c r="AX261" s="1661"/>
      <c r="AY261" s="1661"/>
      <c r="AZ261" s="1661"/>
      <c r="BA261" s="1661"/>
      <c r="BB261" s="1660">
        <v>0</v>
      </c>
      <c r="BC261" s="1660">
        <v>0</v>
      </c>
      <c r="BD261" s="1660">
        <v>0</v>
      </c>
      <c r="BE261" s="1660"/>
      <c r="BF261" s="1660"/>
      <c r="BG261" s="1660"/>
      <c r="BH261" s="1660"/>
      <c r="BI261" s="1660"/>
      <c r="BJ261" s="1660">
        <v>0</v>
      </c>
      <c r="BK261" s="1661"/>
      <c r="BL261" s="1661"/>
      <c r="BM261" s="1660"/>
      <c r="BN261" s="1660"/>
      <c r="BO261" s="1660"/>
      <c r="BP261" s="1660"/>
      <c r="BQ261" s="1660"/>
      <c r="BR261" s="1660"/>
      <c r="BS261" s="1660"/>
      <c r="BT261" s="1660"/>
      <c r="BU261" s="1660"/>
      <c r="BV261" s="1660"/>
      <c r="BW261" s="1660"/>
      <c r="BX261" s="1660"/>
      <c r="BY261" s="1660"/>
      <c r="BZ261" s="1660"/>
      <c r="CA261" s="1660"/>
      <c r="CB261" s="1660">
        <v>0</v>
      </c>
      <c r="CC261" s="1661"/>
      <c r="CD261" s="1661"/>
      <c r="CE261" s="1661"/>
      <c r="CF261" s="1661"/>
      <c r="CG261" s="1661"/>
      <c r="CH261" s="1661"/>
      <c r="CI261" s="1661"/>
      <c r="CJ261" s="1660">
        <v>0</v>
      </c>
      <c r="CK261" s="1661"/>
      <c r="CL261" s="1661"/>
      <c r="CM261" s="1661"/>
      <c r="CN261" s="1661"/>
      <c r="CO261" s="1661"/>
      <c r="CP261" s="1661"/>
      <c r="CQ261" s="1661"/>
      <c r="CR261" s="1661"/>
      <c r="CS261" s="1661"/>
      <c r="CT261" s="1660">
        <v>0</v>
      </c>
      <c r="CU261" s="1661"/>
      <c r="CV261" s="1661"/>
      <c r="CW261" s="1661"/>
      <c r="CX261" s="1661"/>
      <c r="CY261" s="1661"/>
      <c r="CZ261" s="1661"/>
      <c r="DA261" s="1661"/>
      <c r="DB261" s="1661"/>
      <c r="DC261" s="1661"/>
      <c r="DD261" s="1661"/>
      <c r="DE261" s="1661"/>
      <c r="DF261" s="1661"/>
      <c r="DG261" s="1661"/>
      <c r="DH261" s="1661"/>
      <c r="DI261" s="1660"/>
      <c r="DJ261" s="1661"/>
      <c r="DK261" s="1661"/>
      <c r="DL261" s="1661"/>
      <c r="DM261" s="1661"/>
      <c r="DN261" s="1661"/>
      <c r="DO261" s="1661"/>
      <c r="DP261" s="1660">
        <v>0</v>
      </c>
      <c r="DQ261" s="1661"/>
      <c r="DR261" s="1660">
        <v>0</v>
      </c>
      <c r="DS261" s="1661"/>
      <c r="DT261" s="1660">
        <v>0</v>
      </c>
      <c r="DU261" s="1661"/>
      <c r="DV261" s="1661"/>
      <c r="DW261" s="1660">
        <v>0</v>
      </c>
      <c r="DX261" s="1661"/>
      <c r="DY261" s="1661"/>
      <c r="DZ261" s="1661"/>
      <c r="EA261" s="1661"/>
      <c r="EB261" s="1661"/>
      <c r="EC261" s="1661"/>
      <c r="ED261" s="1661"/>
      <c r="EE261" s="1661"/>
      <c r="EF261" s="1661"/>
      <c r="EG261" s="1661"/>
      <c r="EH261" s="1661"/>
      <c r="EI261" s="1661"/>
      <c r="EJ261" s="1661"/>
      <c r="EK261" s="1661"/>
      <c r="EL261" s="1661"/>
      <c r="EM261" s="1660">
        <v>0</v>
      </c>
      <c r="EN261" s="1660">
        <v>0</v>
      </c>
      <c r="EO261" s="1661"/>
      <c r="EP261" s="1661"/>
      <c r="EQ261" s="1660">
        <v>0</v>
      </c>
      <c r="ER261" s="1661"/>
      <c r="ES261" s="1660">
        <v>0</v>
      </c>
      <c r="ET261" s="1661"/>
      <c r="EU261" s="1660">
        <v>0</v>
      </c>
      <c r="EV261" s="1660">
        <v>0</v>
      </c>
      <c r="EW261" s="1661"/>
      <c r="EX261" s="1660">
        <v>0</v>
      </c>
      <c r="EY261" s="1661"/>
      <c r="EZ261" s="1661"/>
      <c r="FA261" s="1661"/>
      <c r="FB261" s="1660">
        <v>0</v>
      </c>
      <c r="FC261" s="1660">
        <v>0</v>
      </c>
      <c r="FD261" s="1661"/>
      <c r="FE261" s="1661"/>
      <c r="FF261" s="1660">
        <v>0</v>
      </c>
      <c r="FG261" s="1661"/>
      <c r="FH261" s="1661"/>
      <c r="FI261" s="1661"/>
      <c r="FJ261" s="1660">
        <v>0</v>
      </c>
      <c r="FK261" s="1661"/>
      <c r="FL261" s="1661"/>
      <c r="FM261" s="1661"/>
      <c r="FN261" s="1661"/>
      <c r="FO261" s="1659">
        <v>0</v>
      </c>
      <c r="FP261" s="1659">
        <v>0</v>
      </c>
      <c r="FQ261" s="1661"/>
      <c r="FR261" s="1661"/>
      <c r="FS261" s="1661"/>
      <c r="FT261" s="1661"/>
      <c r="FU261" s="1661"/>
      <c r="FV261" s="1661"/>
      <c r="FW261" s="1661"/>
      <c r="FX261" s="1661"/>
      <c r="FY261" s="1661"/>
      <c r="FZ261" s="1661"/>
      <c r="GA261" s="1661"/>
      <c r="GB261" s="1661"/>
      <c r="GC261" s="1661"/>
      <c r="GD261" s="1661"/>
      <c r="GE261" s="1661"/>
      <c r="GF261" s="1659">
        <v>0</v>
      </c>
      <c r="GG261" s="1661"/>
      <c r="GH261" s="1661"/>
      <c r="GI261" s="1661"/>
      <c r="GJ261" s="1661"/>
      <c r="GK261" s="1661"/>
      <c r="GL261" s="1661"/>
      <c r="GM261" s="1661"/>
      <c r="GN261" s="1661"/>
      <c r="GO261" s="1661"/>
      <c r="GP261" s="1661"/>
      <c r="GQ261" s="1661"/>
      <c r="GR261" s="1661"/>
      <c r="GS261" s="1661"/>
      <c r="GT261" s="1661"/>
      <c r="GU261" s="1661"/>
      <c r="GV261" s="1661"/>
      <c r="GW261" s="1661"/>
      <c r="GX261" s="1661"/>
      <c r="GY261" s="1661"/>
      <c r="GZ261" s="1661"/>
      <c r="HA261" s="1661"/>
      <c r="HB261" s="1661"/>
      <c r="HC261" s="1661"/>
      <c r="HD261" s="1661"/>
      <c r="HE261" s="1661"/>
      <c r="HF261" s="1661"/>
      <c r="HG261" s="1661"/>
      <c r="HH261" s="1662">
        <v>1000</v>
      </c>
      <c r="HI261" s="1661"/>
      <c r="HJ261" s="1661">
        <v>0</v>
      </c>
      <c r="HK261" s="1661">
        <v>0</v>
      </c>
      <c r="HL261" s="1661">
        <v>0</v>
      </c>
      <c r="HM261" s="1661">
        <v>0</v>
      </c>
      <c r="HN261" s="1661"/>
      <c r="HO261" s="1661"/>
      <c r="HP261" s="1660">
        <v>0</v>
      </c>
      <c r="HQ261" s="1661"/>
      <c r="HR261" s="1660">
        <v>0</v>
      </c>
      <c r="HS261" s="1661"/>
      <c r="HT261" s="1661">
        <v>0</v>
      </c>
      <c r="HU261" s="1661"/>
      <c r="HV261" s="1661"/>
      <c r="HW261" s="1661"/>
      <c r="HX261" s="1661"/>
      <c r="HY261" s="1661"/>
      <c r="HZ261" s="1661"/>
      <c r="IA261" s="1661">
        <v>0</v>
      </c>
      <c r="IB261" s="1661"/>
      <c r="IC261" s="1661"/>
      <c r="ID261" s="1661"/>
      <c r="IE261" s="1661"/>
      <c r="IF261" s="1661">
        <v>0</v>
      </c>
      <c r="IG261" s="1661"/>
      <c r="IH261" s="1661"/>
      <c r="II261" s="1661">
        <v>0</v>
      </c>
      <c r="IJ261" s="1661"/>
      <c r="IK261" s="1661"/>
      <c r="IL261" s="1661">
        <v>0</v>
      </c>
      <c r="IM261" s="1661"/>
      <c r="IN261" s="1661"/>
      <c r="IO261" s="1661"/>
      <c r="IP261" s="1661"/>
      <c r="IQ261" s="1661"/>
      <c r="IR261" s="1661"/>
      <c r="IS261" s="1661"/>
      <c r="IT261" s="1661"/>
      <c r="IU261" s="1661"/>
      <c r="IV261" s="1661"/>
      <c r="IW261" s="1661"/>
      <c r="IX261" s="1661"/>
      <c r="IY261" s="1661"/>
      <c r="IZ261" s="1661"/>
      <c r="JA261" s="1661"/>
      <c r="JB261" s="1661"/>
      <c r="JC261" s="1661"/>
      <c r="JD261" s="1661"/>
      <c r="JE261" s="1660">
        <v>0</v>
      </c>
      <c r="JF261" s="1660">
        <v>0</v>
      </c>
      <c r="JG261" s="1661"/>
      <c r="JH261" s="1661"/>
      <c r="JI261" s="1661"/>
      <c r="JJ261" s="1660">
        <v>0</v>
      </c>
      <c r="JK261" s="1661"/>
      <c r="JL261" s="1661"/>
      <c r="JM261" s="1661"/>
      <c r="JN261" s="1663"/>
      <c r="JO261" s="1663"/>
      <c r="JP261" s="1661"/>
      <c r="JQ261" s="1662"/>
    </row>
    <row r="262" spans="1:277" ht="13" thickBot="1" x14ac:dyDescent="0.3">
      <c r="A262" s="1649">
        <v>47</v>
      </c>
      <c r="B262" s="1651">
        <f t="shared" si="19"/>
        <v>0</v>
      </c>
      <c r="D262" s="521" t="s">
        <v>4191</v>
      </c>
      <c r="E262" s="740"/>
      <c r="F262" s="741"/>
      <c r="G262" s="742"/>
      <c r="H262" s="742"/>
      <c r="I262" s="741"/>
      <c r="J262" s="741"/>
      <c r="K262" s="741"/>
      <c r="L262" s="741"/>
      <c r="M262" s="742"/>
      <c r="N262" s="742"/>
      <c r="O262" s="742"/>
      <c r="P262" s="742"/>
      <c r="Q262" s="742"/>
      <c r="R262" s="742"/>
      <c r="S262" s="742"/>
      <c r="T262" s="742"/>
      <c r="U262" s="742"/>
      <c r="V262" s="742"/>
      <c r="W262" s="742"/>
      <c r="X262" s="742"/>
      <c r="Y262" s="742"/>
      <c r="Z262" s="742"/>
      <c r="AA262" s="742"/>
      <c r="AB262" s="742"/>
      <c r="AC262" s="742"/>
      <c r="AD262" s="742"/>
      <c r="AE262" s="742"/>
      <c r="AF262" s="742"/>
      <c r="AG262" s="742"/>
      <c r="AH262" s="742"/>
      <c r="AI262" s="742"/>
      <c r="AJ262" s="742"/>
      <c r="AK262" s="742"/>
      <c r="AL262" s="742"/>
      <c r="AM262" s="742"/>
      <c r="AN262" s="742"/>
      <c r="AO262" s="742"/>
      <c r="AP262" s="741"/>
      <c r="AQ262" s="741"/>
      <c r="AR262" s="742"/>
      <c r="AS262" s="742"/>
      <c r="AT262" s="742"/>
      <c r="AU262" s="742"/>
      <c r="AV262" s="742"/>
      <c r="AW262" s="742"/>
      <c r="AX262" s="742"/>
      <c r="AY262" s="742"/>
      <c r="AZ262" s="742"/>
      <c r="BA262" s="742"/>
      <c r="BB262" s="741">
        <v>0</v>
      </c>
      <c r="BC262" s="741">
        <v>0</v>
      </c>
      <c r="BD262" s="741">
        <v>0</v>
      </c>
      <c r="BE262" s="741"/>
      <c r="BF262" s="741"/>
      <c r="BG262" s="741"/>
      <c r="BH262" s="741"/>
      <c r="BI262" s="741"/>
      <c r="BJ262" s="741">
        <v>0</v>
      </c>
      <c r="BK262" s="742"/>
      <c r="BL262" s="742"/>
      <c r="BM262" s="741"/>
      <c r="BN262" s="741"/>
      <c r="BO262" s="741"/>
      <c r="BP262" s="741"/>
      <c r="BQ262" s="741"/>
      <c r="BR262" s="741"/>
      <c r="BS262" s="741"/>
      <c r="BT262" s="741"/>
      <c r="BU262" s="741"/>
      <c r="BV262" s="741"/>
      <c r="BW262" s="741"/>
      <c r="BX262" s="741"/>
      <c r="BY262" s="741"/>
      <c r="BZ262" s="741"/>
      <c r="CA262" s="741"/>
      <c r="CB262" s="741">
        <v>0</v>
      </c>
      <c r="CC262" s="742"/>
      <c r="CD262" s="742"/>
      <c r="CE262" s="742"/>
      <c r="CF262" s="742"/>
      <c r="CG262" s="742"/>
      <c r="CH262" s="742"/>
      <c r="CI262" s="742"/>
      <c r="CJ262" s="741">
        <v>0</v>
      </c>
      <c r="CK262" s="742"/>
      <c r="CL262" s="742"/>
      <c r="CM262" s="742"/>
      <c r="CN262" s="742"/>
      <c r="CO262" s="742"/>
      <c r="CP262" s="742"/>
      <c r="CQ262" s="742"/>
      <c r="CR262" s="742"/>
      <c r="CS262" s="742"/>
      <c r="CT262" s="741">
        <v>0</v>
      </c>
      <c r="CU262" s="742"/>
      <c r="CV262" s="742"/>
      <c r="CW262" s="742"/>
      <c r="CX262" s="742"/>
      <c r="CY262" s="742"/>
      <c r="CZ262" s="742"/>
      <c r="DA262" s="742"/>
      <c r="DB262" s="742"/>
      <c r="DC262" s="742"/>
      <c r="DD262" s="742"/>
      <c r="DE262" s="742"/>
      <c r="DF262" s="742"/>
      <c r="DG262" s="742"/>
      <c r="DH262" s="742"/>
      <c r="DI262" s="741"/>
      <c r="DJ262" s="742"/>
      <c r="DK262" s="742"/>
      <c r="DL262" s="742"/>
      <c r="DM262" s="742"/>
      <c r="DN262" s="742"/>
      <c r="DO262" s="742"/>
      <c r="DP262" s="741">
        <v>0</v>
      </c>
      <c r="DQ262" s="742"/>
      <c r="DR262" s="741">
        <v>0</v>
      </c>
      <c r="DS262" s="742"/>
      <c r="DT262" s="741">
        <v>0</v>
      </c>
      <c r="DU262" s="742"/>
      <c r="DV262" s="742"/>
      <c r="DW262" s="741">
        <v>0</v>
      </c>
      <c r="DX262" s="742"/>
      <c r="DY262" s="742"/>
      <c r="DZ262" s="742"/>
      <c r="EA262" s="742"/>
      <c r="EB262" s="742"/>
      <c r="EC262" s="742"/>
      <c r="ED262" s="742"/>
      <c r="EE262" s="742"/>
      <c r="EF262" s="742"/>
      <c r="EG262" s="742"/>
      <c r="EH262" s="742"/>
      <c r="EI262" s="742"/>
      <c r="EJ262" s="742"/>
      <c r="EK262" s="742"/>
      <c r="EL262" s="742"/>
      <c r="EM262" s="741">
        <v>0</v>
      </c>
      <c r="EN262" s="741">
        <v>0</v>
      </c>
      <c r="EO262" s="742"/>
      <c r="EP262" s="742"/>
      <c r="EQ262" s="741">
        <v>0</v>
      </c>
      <c r="ER262" s="742"/>
      <c r="ES262" s="741">
        <v>0</v>
      </c>
      <c r="ET262" s="742"/>
      <c r="EU262" s="741">
        <v>0</v>
      </c>
      <c r="EV262" s="741">
        <v>0</v>
      </c>
      <c r="EW262" s="742"/>
      <c r="EX262" s="741">
        <v>0</v>
      </c>
      <c r="EY262" s="742"/>
      <c r="EZ262" s="742"/>
      <c r="FA262" s="742"/>
      <c r="FB262" s="741">
        <v>0</v>
      </c>
      <c r="FC262" s="741">
        <v>0</v>
      </c>
      <c r="FD262" s="742"/>
      <c r="FE262" s="742"/>
      <c r="FF262" s="741">
        <v>0</v>
      </c>
      <c r="FG262" s="742"/>
      <c r="FH262" s="742"/>
      <c r="FI262" s="742"/>
      <c r="FJ262" s="741">
        <v>0</v>
      </c>
      <c r="FK262" s="742"/>
      <c r="FL262" s="742"/>
      <c r="FM262" s="742"/>
      <c r="FN262" s="742"/>
      <c r="FO262" s="740">
        <v>0</v>
      </c>
      <c r="FP262" s="740">
        <v>0</v>
      </c>
      <c r="FQ262" s="742"/>
      <c r="FR262" s="742"/>
      <c r="FS262" s="742"/>
      <c r="FT262" s="742"/>
      <c r="FU262" s="742"/>
      <c r="FV262" s="742"/>
      <c r="FW262" s="742"/>
      <c r="FX262" s="742"/>
      <c r="FY262" s="742"/>
      <c r="FZ262" s="742"/>
      <c r="GA262" s="742"/>
      <c r="GB262" s="742"/>
      <c r="GC262" s="742"/>
      <c r="GD262" s="742"/>
      <c r="GE262" s="742"/>
      <c r="GF262" s="740">
        <v>0</v>
      </c>
      <c r="GG262" s="742"/>
      <c r="GH262" s="742"/>
      <c r="GI262" s="742"/>
      <c r="GJ262" s="742"/>
      <c r="GK262" s="742"/>
      <c r="GL262" s="742"/>
      <c r="GM262" s="742"/>
      <c r="GN262" s="742"/>
      <c r="GO262" s="742"/>
      <c r="GP262" s="742"/>
      <c r="GQ262" s="742"/>
      <c r="GR262" s="742"/>
      <c r="GS262" s="742"/>
      <c r="GT262" s="742"/>
      <c r="GU262" s="742"/>
      <c r="GV262" s="742"/>
      <c r="GW262" s="742"/>
      <c r="GX262" s="742"/>
      <c r="GY262" s="742"/>
      <c r="GZ262" s="742"/>
      <c r="HA262" s="742"/>
      <c r="HB262" s="742"/>
      <c r="HC262" s="742"/>
      <c r="HD262" s="742"/>
      <c r="HE262" s="742"/>
      <c r="HF262" s="742"/>
      <c r="HG262" s="742"/>
      <c r="HH262" s="741">
        <v>100</v>
      </c>
      <c r="HI262" s="742"/>
      <c r="HJ262" s="741">
        <v>0</v>
      </c>
      <c r="HK262" s="741">
        <v>0</v>
      </c>
      <c r="HL262" s="741">
        <v>0</v>
      </c>
      <c r="HM262" s="741">
        <v>0</v>
      </c>
      <c r="HN262" s="742"/>
      <c r="HO262" s="742"/>
      <c r="HP262" s="741">
        <v>0</v>
      </c>
      <c r="HQ262" s="742"/>
      <c r="HR262" s="741">
        <v>0</v>
      </c>
      <c r="HS262" s="742"/>
      <c r="HT262" s="742">
        <v>0</v>
      </c>
      <c r="HU262" s="742"/>
      <c r="HV262" s="742"/>
      <c r="HW262" s="742"/>
      <c r="HX262" s="742"/>
      <c r="HY262" s="742"/>
      <c r="HZ262" s="742"/>
      <c r="IA262" s="742">
        <v>0</v>
      </c>
      <c r="IB262" s="742"/>
      <c r="IC262" s="742"/>
      <c r="ID262" s="742"/>
      <c r="IE262" s="742"/>
      <c r="IF262" s="742">
        <v>0</v>
      </c>
      <c r="IG262" s="742"/>
      <c r="IH262" s="742"/>
      <c r="II262" s="742">
        <v>0</v>
      </c>
      <c r="IJ262" s="742"/>
      <c r="IK262" s="742"/>
      <c r="IL262" s="742">
        <v>0</v>
      </c>
      <c r="IM262" s="742"/>
      <c r="IN262" s="742"/>
      <c r="IO262" s="742"/>
      <c r="IP262" s="742"/>
      <c r="IQ262" s="742"/>
      <c r="IR262" s="742"/>
      <c r="IS262" s="742"/>
      <c r="IT262" s="742"/>
      <c r="IU262" s="742"/>
      <c r="IV262" s="742"/>
      <c r="IW262" s="742"/>
      <c r="IX262" s="742"/>
      <c r="IY262" s="742"/>
      <c r="IZ262" s="742"/>
      <c r="JA262" s="742"/>
      <c r="JB262" s="742"/>
      <c r="JC262" s="742"/>
      <c r="JD262" s="742"/>
      <c r="JE262" s="741">
        <v>0</v>
      </c>
      <c r="JF262" s="741">
        <v>0</v>
      </c>
      <c r="JG262" s="742"/>
      <c r="JH262" s="742"/>
      <c r="JI262" s="742"/>
      <c r="JJ262" s="741">
        <v>0</v>
      </c>
      <c r="JK262" s="742"/>
      <c r="JL262" s="742"/>
      <c r="JM262" s="742"/>
      <c r="JN262" s="743"/>
      <c r="JO262" s="743"/>
      <c r="JP262" s="742"/>
      <c r="JQ262" s="744"/>
    </row>
    <row r="263" spans="1:277" x14ac:dyDescent="0.25">
      <c r="A263" s="1649">
        <v>48</v>
      </c>
      <c r="B263" s="1651">
        <f t="shared" si="19"/>
        <v>1</v>
      </c>
      <c r="D263" s="521" t="s">
        <v>4192</v>
      </c>
      <c r="E263" s="541"/>
      <c r="F263" s="542"/>
      <c r="G263" s="542"/>
      <c r="H263" s="542"/>
      <c r="I263" s="542"/>
      <c r="J263" s="542"/>
      <c r="K263" s="542"/>
      <c r="L263" s="542"/>
      <c r="M263" s="542"/>
      <c r="N263" s="542"/>
      <c r="O263" s="542"/>
      <c r="P263" s="542"/>
      <c r="Q263" s="542"/>
      <c r="R263" s="542"/>
      <c r="S263" s="542"/>
      <c r="T263" s="542"/>
      <c r="U263" s="542"/>
      <c r="V263" s="542"/>
      <c r="W263" s="542"/>
      <c r="X263" s="542"/>
      <c r="Y263" s="542"/>
      <c r="Z263" s="542"/>
      <c r="AA263" s="542"/>
      <c r="AB263" s="542"/>
      <c r="AC263" s="542"/>
      <c r="AD263" s="542"/>
      <c r="AE263" s="542"/>
      <c r="AF263" s="542"/>
      <c r="AG263" s="542"/>
      <c r="AH263" s="542"/>
      <c r="AI263" s="542"/>
      <c r="AJ263" s="542"/>
      <c r="AK263" s="542"/>
      <c r="AL263" s="542"/>
      <c r="AM263" s="542"/>
      <c r="AN263" s="542"/>
      <c r="AO263" s="542"/>
      <c r="AP263" s="542"/>
      <c r="AQ263" s="542"/>
      <c r="AR263" s="542"/>
      <c r="AS263" s="542"/>
      <c r="AT263" s="542"/>
      <c r="AU263" s="542"/>
      <c r="AV263" s="542"/>
      <c r="AW263" s="542"/>
      <c r="AX263" s="542"/>
      <c r="AY263" s="542"/>
      <c r="AZ263" s="542"/>
      <c r="BA263" s="542"/>
      <c r="BB263" s="542">
        <v>1</v>
      </c>
      <c r="BC263" s="542">
        <v>1</v>
      </c>
      <c r="BD263" s="542">
        <v>1</v>
      </c>
      <c r="BE263" s="542"/>
      <c r="BF263" s="542"/>
      <c r="BG263" s="542"/>
      <c r="BH263" s="542"/>
      <c r="BI263" s="542"/>
      <c r="BJ263" s="542">
        <v>1</v>
      </c>
      <c r="BK263" s="542"/>
      <c r="BL263" s="542"/>
      <c r="BM263" s="542"/>
      <c r="BN263" s="542"/>
      <c r="BO263" s="542"/>
      <c r="BP263" s="542"/>
      <c r="BQ263" s="542"/>
      <c r="BR263" s="542"/>
      <c r="BS263" s="542"/>
      <c r="BT263" s="542"/>
      <c r="BU263" s="542"/>
      <c r="BV263" s="542"/>
      <c r="BW263" s="542"/>
      <c r="BX263" s="542"/>
      <c r="BY263" s="542"/>
      <c r="BZ263" s="542"/>
      <c r="CA263" s="542"/>
      <c r="CB263" s="542">
        <v>1</v>
      </c>
      <c r="CC263" s="542"/>
      <c r="CD263" s="542"/>
      <c r="CE263" s="542"/>
      <c r="CF263" s="542"/>
      <c r="CG263" s="542"/>
      <c r="CH263" s="542"/>
      <c r="CI263" s="542"/>
      <c r="CJ263" s="542">
        <v>1</v>
      </c>
      <c r="CK263" s="542"/>
      <c r="CL263" s="542"/>
      <c r="CM263" s="542"/>
      <c r="CN263" s="542"/>
      <c r="CO263" s="542"/>
      <c r="CP263" s="542"/>
      <c r="CQ263" s="542"/>
      <c r="CR263" s="542"/>
      <c r="CS263" s="542"/>
      <c r="CT263" s="542">
        <v>1</v>
      </c>
      <c r="CU263" s="542"/>
      <c r="CV263" s="542"/>
      <c r="CW263" s="542"/>
      <c r="CX263" s="542"/>
      <c r="CY263" s="542"/>
      <c r="CZ263" s="542"/>
      <c r="DA263" s="542"/>
      <c r="DB263" s="542"/>
      <c r="DC263" s="542"/>
      <c r="DD263" s="542"/>
      <c r="DE263" s="542"/>
      <c r="DF263" s="542"/>
      <c r="DG263" s="542"/>
      <c r="DH263" s="542"/>
      <c r="DI263" s="542"/>
      <c r="DJ263" s="542"/>
      <c r="DK263" s="542"/>
      <c r="DL263" s="542"/>
      <c r="DM263" s="542"/>
      <c r="DN263" s="542"/>
      <c r="DO263" s="542"/>
      <c r="DP263" s="542">
        <v>1</v>
      </c>
      <c r="DQ263" s="542"/>
      <c r="DR263" s="542">
        <v>1</v>
      </c>
      <c r="DS263" s="542"/>
      <c r="DT263" s="542">
        <v>1</v>
      </c>
      <c r="DU263" s="542"/>
      <c r="DV263" s="542"/>
      <c r="DW263" s="542">
        <v>1</v>
      </c>
      <c r="DX263" s="542"/>
      <c r="DY263" s="542"/>
      <c r="DZ263" s="542"/>
      <c r="EA263" s="542"/>
      <c r="EB263" s="542"/>
      <c r="EC263" s="542"/>
      <c r="ED263" s="542"/>
      <c r="EE263" s="542"/>
      <c r="EF263" s="542"/>
      <c r="EG263" s="542"/>
      <c r="EH263" s="542"/>
      <c r="EI263" s="542"/>
      <c r="EJ263" s="542"/>
      <c r="EK263" s="542"/>
      <c r="EL263" s="542"/>
      <c r="EM263" s="542">
        <v>1</v>
      </c>
      <c r="EN263" s="542">
        <v>1</v>
      </c>
      <c r="EO263" s="542"/>
      <c r="EP263" s="542"/>
      <c r="EQ263" s="542">
        <v>1</v>
      </c>
      <c r="ER263" s="542"/>
      <c r="ES263" s="542">
        <v>1</v>
      </c>
      <c r="ET263" s="542"/>
      <c r="EU263" s="542">
        <v>1</v>
      </c>
      <c r="EV263" s="542">
        <v>1</v>
      </c>
      <c r="EW263" s="542"/>
      <c r="EX263" s="542">
        <v>1</v>
      </c>
      <c r="EY263" s="542"/>
      <c r="EZ263" s="542"/>
      <c r="FA263" s="542"/>
      <c r="FB263" s="542">
        <v>1</v>
      </c>
      <c r="FC263" s="542">
        <v>1</v>
      </c>
      <c r="FD263" s="542"/>
      <c r="FE263" s="542"/>
      <c r="FF263" s="542">
        <v>1</v>
      </c>
      <c r="FG263" s="542"/>
      <c r="FH263" s="542"/>
      <c r="FI263" s="542"/>
      <c r="FJ263" s="542">
        <v>1</v>
      </c>
      <c r="FK263" s="542"/>
      <c r="FL263" s="542"/>
      <c r="FM263" s="542"/>
      <c r="FN263" s="542"/>
      <c r="FO263" s="541">
        <v>1</v>
      </c>
      <c r="FP263" s="541">
        <v>1</v>
      </c>
      <c r="FQ263" s="542"/>
      <c r="FR263" s="542"/>
      <c r="FS263" s="542"/>
      <c r="FT263" s="542"/>
      <c r="FU263" s="542"/>
      <c r="FV263" s="542"/>
      <c r="FW263" s="542"/>
      <c r="FX263" s="542"/>
      <c r="FY263" s="542"/>
      <c r="FZ263" s="542"/>
      <c r="GA263" s="542"/>
      <c r="GB263" s="542"/>
      <c r="GC263" s="542"/>
      <c r="GD263" s="542"/>
      <c r="GE263" s="542"/>
      <c r="GF263" s="541">
        <v>1</v>
      </c>
      <c r="GG263" s="542"/>
      <c r="GH263" s="542"/>
      <c r="GI263" s="542"/>
      <c r="GJ263" s="542"/>
      <c r="GK263" s="542"/>
      <c r="GL263" s="542"/>
      <c r="GM263" s="542"/>
      <c r="GN263" s="542"/>
      <c r="GO263" s="542"/>
      <c r="GP263" s="542"/>
      <c r="GQ263" s="542"/>
      <c r="GR263" s="542"/>
      <c r="GS263" s="542"/>
      <c r="GT263" s="542"/>
      <c r="GU263" s="542"/>
      <c r="GV263" s="542"/>
      <c r="GW263" s="542"/>
      <c r="GX263" s="542"/>
      <c r="GY263" s="542"/>
      <c r="GZ263" s="542"/>
      <c r="HA263" s="542"/>
      <c r="HB263" s="542"/>
      <c r="HC263" s="542"/>
      <c r="HD263" s="542"/>
      <c r="HE263" s="542"/>
      <c r="HF263" s="542"/>
      <c r="HG263" s="542"/>
      <c r="HH263" s="543">
        <v>4</v>
      </c>
      <c r="HI263" s="542"/>
      <c r="HJ263" s="542">
        <v>1</v>
      </c>
      <c r="HK263" s="542">
        <v>1</v>
      </c>
      <c r="HL263" s="542">
        <v>1</v>
      </c>
      <c r="HM263" s="542">
        <v>1</v>
      </c>
      <c r="HN263" s="542"/>
      <c r="HO263" s="542"/>
      <c r="HP263" s="542">
        <v>1</v>
      </c>
      <c r="HQ263" s="542"/>
      <c r="HR263" s="542">
        <v>1</v>
      </c>
      <c r="HS263" s="542"/>
      <c r="HT263" s="542">
        <v>1</v>
      </c>
      <c r="HU263" s="542"/>
      <c r="HV263" s="542"/>
      <c r="HW263" s="542"/>
      <c r="HX263" s="542"/>
      <c r="HY263" s="542"/>
      <c r="HZ263" s="542"/>
      <c r="IA263" s="542">
        <v>1</v>
      </c>
      <c r="IB263" s="542"/>
      <c r="IC263" s="542"/>
      <c r="ID263" s="542"/>
      <c r="IE263" s="542"/>
      <c r="IF263" s="542">
        <v>1</v>
      </c>
      <c r="IG263" s="542"/>
      <c r="IH263" s="542"/>
      <c r="II263" s="542">
        <v>1</v>
      </c>
      <c r="IJ263" s="542"/>
      <c r="IK263" s="542"/>
      <c r="IL263" s="542">
        <v>1</v>
      </c>
      <c r="IM263" s="542"/>
      <c r="IN263" s="542"/>
      <c r="IO263" s="542"/>
      <c r="IP263" s="542"/>
      <c r="IQ263" s="542"/>
      <c r="IR263" s="542"/>
      <c r="IS263" s="542"/>
      <c r="IT263" s="542"/>
      <c r="IU263" s="542"/>
      <c r="IV263" s="542"/>
      <c r="IW263" s="542"/>
      <c r="IX263" s="542"/>
      <c r="IY263" s="542"/>
      <c r="IZ263" s="542"/>
      <c r="JA263" s="542"/>
      <c r="JB263" s="542"/>
      <c r="JC263" s="542"/>
      <c r="JD263" s="542"/>
      <c r="JE263" s="542">
        <v>1</v>
      </c>
      <c r="JF263" s="542">
        <v>1</v>
      </c>
      <c r="JG263" s="542"/>
      <c r="JH263" s="542"/>
      <c r="JI263" s="542"/>
      <c r="JJ263" s="542">
        <v>1</v>
      </c>
      <c r="JK263" s="542"/>
      <c r="JL263" s="542"/>
      <c r="JM263" s="542"/>
      <c r="JN263" s="544"/>
      <c r="JO263" s="544"/>
      <c r="JP263" s="542"/>
      <c r="JQ263" s="543"/>
    </row>
    <row r="264" spans="1:277" x14ac:dyDescent="0.25">
      <c r="A264" s="1649">
        <v>49</v>
      </c>
      <c r="B264" s="1651">
        <f t="shared" si="19"/>
        <v>1</v>
      </c>
      <c r="D264" s="521" t="s">
        <v>4193</v>
      </c>
      <c r="E264" s="1655"/>
      <c r="F264" s="1656"/>
      <c r="G264" s="1656"/>
      <c r="H264" s="1656"/>
      <c r="I264" s="1656"/>
      <c r="J264" s="1656"/>
      <c r="K264" s="1656"/>
      <c r="L264" s="1656"/>
      <c r="M264" s="1656"/>
      <c r="N264" s="1656"/>
      <c r="O264" s="1656"/>
      <c r="P264" s="1656"/>
      <c r="Q264" s="1656"/>
      <c r="R264" s="1656"/>
      <c r="S264" s="1656"/>
      <c r="T264" s="1656"/>
      <c r="U264" s="1656"/>
      <c r="V264" s="1656"/>
      <c r="W264" s="1656"/>
      <c r="X264" s="1656"/>
      <c r="Y264" s="1656"/>
      <c r="Z264" s="1656"/>
      <c r="AA264" s="1656"/>
      <c r="AB264" s="1656"/>
      <c r="AC264" s="1656"/>
      <c r="AD264" s="1656"/>
      <c r="AE264" s="1656"/>
      <c r="AF264" s="1656"/>
      <c r="AG264" s="1656"/>
      <c r="AH264" s="1656"/>
      <c r="AI264" s="1656"/>
      <c r="AJ264" s="1656"/>
      <c r="AK264" s="1656"/>
      <c r="AL264" s="1656"/>
      <c r="AM264" s="1656"/>
      <c r="AN264" s="1656"/>
      <c r="AO264" s="1656"/>
      <c r="AP264" s="1656"/>
      <c r="AQ264" s="1656"/>
      <c r="AR264" s="1656"/>
      <c r="AS264" s="1656"/>
      <c r="AT264" s="1656"/>
      <c r="AU264" s="1656"/>
      <c r="AV264" s="1656"/>
      <c r="AW264" s="1656"/>
      <c r="AX264" s="1656"/>
      <c r="AY264" s="1656"/>
      <c r="AZ264" s="1656"/>
      <c r="BA264" s="1656"/>
      <c r="BB264" s="1656">
        <v>1</v>
      </c>
      <c r="BC264" s="1656">
        <v>1</v>
      </c>
      <c r="BD264" s="1656">
        <v>1</v>
      </c>
      <c r="BE264" s="1656"/>
      <c r="BF264" s="1656"/>
      <c r="BG264" s="1656"/>
      <c r="BH264" s="1656"/>
      <c r="BI264" s="1656"/>
      <c r="BJ264" s="1656">
        <v>1</v>
      </c>
      <c r="BK264" s="1656"/>
      <c r="BL264" s="1656"/>
      <c r="BM264" s="1656"/>
      <c r="BN264" s="1656"/>
      <c r="BO264" s="1656"/>
      <c r="BP264" s="1656"/>
      <c r="BQ264" s="1656"/>
      <c r="BR264" s="1656"/>
      <c r="BS264" s="1656"/>
      <c r="BT264" s="1656"/>
      <c r="BU264" s="1656"/>
      <c r="BV264" s="1656"/>
      <c r="BW264" s="1656"/>
      <c r="BX264" s="1656"/>
      <c r="BY264" s="1656"/>
      <c r="BZ264" s="1656"/>
      <c r="CA264" s="1656"/>
      <c r="CB264" s="1656">
        <v>1</v>
      </c>
      <c r="CC264" s="1656"/>
      <c r="CD264" s="1656"/>
      <c r="CE264" s="1656"/>
      <c r="CF264" s="1656"/>
      <c r="CG264" s="1656"/>
      <c r="CH264" s="1656"/>
      <c r="CI264" s="1656"/>
      <c r="CJ264" s="1656">
        <v>1</v>
      </c>
      <c r="CK264" s="1656"/>
      <c r="CL264" s="1656"/>
      <c r="CM264" s="1656"/>
      <c r="CN264" s="1656"/>
      <c r="CO264" s="1656"/>
      <c r="CP264" s="1656"/>
      <c r="CQ264" s="1656"/>
      <c r="CR264" s="1656"/>
      <c r="CS264" s="1656"/>
      <c r="CT264" s="1656">
        <v>1</v>
      </c>
      <c r="CU264" s="1656"/>
      <c r="CV264" s="1656"/>
      <c r="CW264" s="1656"/>
      <c r="CX264" s="1656"/>
      <c r="CY264" s="1656"/>
      <c r="CZ264" s="1656"/>
      <c r="DA264" s="1656"/>
      <c r="DB264" s="1656"/>
      <c r="DC264" s="1656"/>
      <c r="DD264" s="1656"/>
      <c r="DE264" s="1656"/>
      <c r="DF264" s="1656"/>
      <c r="DG264" s="1656"/>
      <c r="DH264" s="1656"/>
      <c r="DI264" s="1656"/>
      <c r="DJ264" s="1656"/>
      <c r="DK264" s="1656"/>
      <c r="DL264" s="1656"/>
      <c r="DM264" s="1656"/>
      <c r="DN264" s="1656"/>
      <c r="DO264" s="1656"/>
      <c r="DP264" s="1656">
        <v>1</v>
      </c>
      <c r="DQ264" s="1656"/>
      <c r="DR264" s="1656">
        <v>1</v>
      </c>
      <c r="DS264" s="1656"/>
      <c r="DT264" s="1656">
        <v>1</v>
      </c>
      <c r="DU264" s="1656"/>
      <c r="DV264" s="1656"/>
      <c r="DW264" s="1656">
        <v>1</v>
      </c>
      <c r="DX264" s="1656"/>
      <c r="DY264" s="1656"/>
      <c r="DZ264" s="1656"/>
      <c r="EA264" s="1656"/>
      <c r="EB264" s="1656"/>
      <c r="EC264" s="1656"/>
      <c r="ED264" s="1656"/>
      <c r="EE264" s="1656"/>
      <c r="EF264" s="1656"/>
      <c r="EG264" s="1656"/>
      <c r="EH264" s="1656"/>
      <c r="EI264" s="1656"/>
      <c r="EJ264" s="1656"/>
      <c r="EK264" s="1656"/>
      <c r="EL264" s="1656"/>
      <c r="EM264" s="1656">
        <v>1</v>
      </c>
      <c r="EN264" s="1656">
        <v>1</v>
      </c>
      <c r="EO264" s="1656"/>
      <c r="EP264" s="1656"/>
      <c r="EQ264" s="1656">
        <v>1</v>
      </c>
      <c r="ER264" s="1656"/>
      <c r="ES264" s="1656">
        <v>1</v>
      </c>
      <c r="ET264" s="1656"/>
      <c r="EU264" s="1656">
        <v>1</v>
      </c>
      <c r="EV264" s="1656">
        <v>1</v>
      </c>
      <c r="EW264" s="1656"/>
      <c r="EX264" s="1656">
        <v>1</v>
      </c>
      <c r="EY264" s="1656"/>
      <c r="EZ264" s="1656"/>
      <c r="FA264" s="1656"/>
      <c r="FB264" s="1656">
        <v>1</v>
      </c>
      <c r="FC264" s="1656">
        <v>1</v>
      </c>
      <c r="FD264" s="1656"/>
      <c r="FE264" s="1656"/>
      <c r="FF264" s="1656">
        <v>1</v>
      </c>
      <c r="FG264" s="1656"/>
      <c r="FH264" s="1656"/>
      <c r="FI264" s="1656"/>
      <c r="FJ264" s="1656">
        <v>1</v>
      </c>
      <c r="FK264" s="1656"/>
      <c r="FL264" s="1656"/>
      <c r="FM264" s="1656"/>
      <c r="FN264" s="1656"/>
      <c r="FO264" s="1655">
        <v>1</v>
      </c>
      <c r="FP264" s="1655">
        <v>1</v>
      </c>
      <c r="FQ264" s="1656"/>
      <c r="FR264" s="1656"/>
      <c r="FS264" s="1656"/>
      <c r="FT264" s="1656"/>
      <c r="FU264" s="1656"/>
      <c r="FV264" s="1656"/>
      <c r="FW264" s="1656"/>
      <c r="FX264" s="1656"/>
      <c r="FY264" s="1656"/>
      <c r="FZ264" s="1656"/>
      <c r="GA264" s="1656"/>
      <c r="GB264" s="1656"/>
      <c r="GC264" s="1656"/>
      <c r="GD264" s="1656"/>
      <c r="GE264" s="1656"/>
      <c r="GF264" s="1655">
        <v>1</v>
      </c>
      <c r="GG264" s="1656"/>
      <c r="GH264" s="1656"/>
      <c r="GI264" s="1656"/>
      <c r="GJ264" s="1656"/>
      <c r="GK264" s="1656"/>
      <c r="GL264" s="1656"/>
      <c r="GM264" s="1656"/>
      <c r="GN264" s="1656"/>
      <c r="GO264" s="1656"/>
      <c r="GP264" s="1656"/>
      <c r="GQ264" s="1656"/>
      <c r="GR264" s="1656"/>
      <c r="GS264" s="1656"/>
      <c r="GT264" s="1656"/>
      <c r="GU264" s="1656"/>
      <c r="GV264" s="1656"/>
      <c r="GW264" s="1656"/>
      <c r="GX264" s="1656"/>
      <c r="GY264" s="1656"/>
      <c r="GZ264" s="1656"/>
      <c r="HA264" s="1656"/>
      <c r="HB264" s="1656"/>
      <c r="HC264" s="1656"/>
      <c r="HD264" s="1656"/>
      <c r="HE264" s="1656"/>
      <c r="HF264" s="1656"/>
      <c r="HG264" s="1656"/>
      <c r="HH264" s="1657">
        <v>6</v>
      </c>
      <c r="HI264" s="1656"/>
      <c r="HJ264" s="1656">
        <v>1</v>
      </c>
      <c r="HK264" s="1656">
        <v>1</v>
      </c>
      <c r="HL264" s="1656">
        <v>1</v>
      </c>
      <c r="HM264" s="1656">
        <v>1</v>
      </c>
      <c r="HN264" s="1656"/>
      <c r="HO264" s="1656"/>
      <c r="HP264" s="1656">
        <v>1</v>
      </c>
      <c r="HQ264" s="1656"/>
      <c r="HR264" s="1656">
        <v>1</v>
      </c>
      <c r="HS264" s="1656"/>
      <c r="HT264" s="1656">
        <v>1</v>
      </c>
      <c r="HU264" s="1656"/>
      <c r="HV264" s="1656"/>
      <c r="HW264" s="1656"/>
      <c r="HX264" s="1656"/>
      <c r="HY264" s="1656"/>
      <c r="HZ264" s="1656"/>
      <c r="IA264" s="1656">
        <v>1</v>
      </c>
      <c r="IB264" s="1656"/>
      <c r="IC264" s="1656"/>
      <c r="ID264" s="1656"/>
      <c r="IE264" s="1656"/>
      <c r="IF264" s="1656">
        <v>1</v>
      </c>
      <c r="IG264" s="1656"/>
      <c r="IH264" s="1656"/>
      <c r="II264" s="1656">
        <v>1</v>
      </c>
      <c r="IJ264" s="1656"/>
      <c r="IK264" s="1656"/>
      <c r="IL264" s="1656">
        <v>1</v>
      </c>
      <c r="IM264" s="1656"/>
      <c r="IN264" s="1656"/>
      <c r="IO264" s="1656"/>
      <c r="IP264" s="1656"/>
      <c r="IQ264" s="1656"/>
      <c r="IR264" s="1656"/>
      <c r="IS264" s="1656"/>
      <c r="IT264" s="1656"/>
      <c r="IU264" s="1656"/>
      <c r="IV264" s="1656"/>
      <c r="IW264" s="1656"/>
      <c r="IX264" s="1656"/>
      <c r="IY264" s="1656"/>
      <c r="IZ264" s="1656"/>
      <c r="JA264" s="1656"/>
      <c r="JB264" s="1656"/>
      <c r="JC264" s="1656"/>
      <c r="JD264" s="1656"/>
      <c r="JE264" s="1656">
        <v>1</v>
      </c>
      <c r="JF264" s="1656">
        <v>1</v>
      </c>
      <c r="JG264" s="1656"/>
      <c r="JH264" s="1656"/>
      <c r="JI264" s="1656"/>
      <c r="JJ264" s="1656">
        <v>1</v>
      </c>
      <c r="JK264" s="1656"/>
      <c r="JL264" s="1656"/>
      <c r="JM264" s="1656"/>
      <c r="JN264" s="1658"/>
      <c r="JO264" s="1658"/>
      <c r="JP264" s="1656"/>
      <c r="JQ264" s="1657"/>
    </row>
    <row r="265" spans="1:277" x14ac:dyDescent="0.25">
      <c r="A265" s="1649">
        <v>50</v>
      </c>
      <c r="B265" s="1651" t="str">
        <f t="shared" si="19"/>
        <v/>
      </c>
      <c r="D265" s="521" t="s">
        <v>4194</v>
      </c>
      <c r="E265" s="1659"/>
      <c r="F265" s="1660"/>
      <c r="G265" s="1661"/>
      <c r="H265" s="1661"/>
      <c r="I265" s="1660"/>
      <c r="J265" s="1660"/>
      <c r="K265" s="1660"/>
      <c r="L265" s="1660"/>
      <c r="M265" s="1661"/>
      <c r="N265" s="1661"/>
      <c r="O265" s="1661"/>
      <c r="P265" s="1661"/>
      <c r="Q265" s="1661"/>
      <c r="R265" s="1661"/>
      <c r="S265" s="1661"/>
      <c r="T265" s="1661"/>
      <c r="U265" s="1661"/>
      <c r="V265" s="1661"/>
      <c r="W265" s="1661"/>
      <c r="X265" s="1661"/>
      <c r="Y265" s="1661"/>
      <c r="Z265" s="1661"/>
      <c r="AA265" s="1661"/>
      <c r="AB265" s="1661"/>
      <c r="AC265" s="1661"/>
      <c r="AD265" s="1661"/>
      <c r="AE265" s="1661"/>
      <c r="AF265" s="1661"/>
      <c r="AG265" s="1661"/>
      <c r="AH265" s="1661"/>
      <c r="AI265" s="1661"/>
      <c r="AJ265" s="1661"/>
      <c r="AK265" s="1661"/>
      <c r="AL265" s="1661"/>
      <c r="AM265" s="1661"/>
      <c r="AN265" s="1661"/>
      <c r="AO265" s="1661"/>
      <c r="AP265" s="1660"/>
      <c r="AQ265" s="1660"/>
      <c r="AR265" s="1661"/>
      <c r="AS265" s="1661"/>
      <c r="AT265" s="1661"/>
      <c r="AU265" s="1661"/>
      <c r="AV265" s="1661"/>
      <c r="AW265" s="1661"/>
      <c r="AX265" s="1661"/>
      <c r="AY265" s="1661"/>
      <c r="AZ265" s="1661"/>
      <c r="BA265" s="1661"/>
      <c r="BB265" s="1660"/>
      <c r="BC265" s="1660"/>
      <c r="BD265" s="1660"/>
      <c r="BE265" s="1660"/>
      <c r="BF265" s="1660"/>
      <c r="BG265" s="1660"/>
      <c r="BH265" s="1660"/>
      <c r="BI265" s="1660"/>
      <c r="BJ265" s="1660"/>
      <c r="BK265" s="1661"/>
      <c r="BL265" s="1661"/>
      <c r="BM265" s="1660"/>
      <c r="BN265" s="1660"/>
      <c r="BO265" s="1660"/>
      <c r="BP265" s="1660"/>
      <c r="BQ265" s="1660"/>
      <c r="BR265" s="1660"/>
      <c r="BS265" s="1660"/>
      <c r="BT265" s="1660"/>
      <c r="BU265" s="1660"/>
      <c r="BV265" s="1660"/>
      <c r="BW265" s="1660"/>
      <c r="BX265" s="1660"/>
      <c r="BY265" s="1660"/>
      <c r="BZ265" s="1660"/>
      <c r="CA265" s="1660"/>
      <c r="CB265" s="1660"/>
      <c r="CC265" s="1661"/>
      <c r="CD265" s="1661"/>
      <c r="CE265" s="1661"/>
      <c r="CF265" s="1661"/>
      <c r="CG265" s="1661"/>
      <c r="CH265" s="1661"/>
      <c r="CI265" s="1661"/>
      <c r="CJ265" s="1660"/>
      <c r="CK265" s="1661"/>
      <c r="CL265" s="1661"/>
      <c r="CM265" s="1661"/>
      <c r="CN265" s="1661"/>
      <c r="CO265" s="1661"/>
      <c r="CP265" s="1661"/>
      <c r="CQ265" s="1661"/>
      <c r="CR265" s="1661"/>
      <c r="CS265" s="1661"/>
      <c r="CT265" s="1660"/>
      <c r="CU265" s="1661"/>
      <c r="CV265" s="1661"/>
      <c r="CW265" s="1661"/>
      <c r="CX265" s="1661"/>
      <c r="CY265" s="1661"/>
      <c r="CZ265" s="1661"/>
      <c r="DA265" s="1661"/>
      <c r="DB265" s="1661"/>
      <c r="DC265" s="1661"/>
      <c r="DD265" s="1661"/>
      <c r="DE265" s="1661"/>
      <c r="DF265" s="1661"/>
      <c r="DG265" s="1661"/>
      <c r="DH265" s="1661"/>
      <c r="DI265" s="1660"/>
      <c r="DJ265" s="1661"/>
      <c r="DK265" s="1661"/>
      <c r="DL265" s="1661"/>
      <c r="DM265" s="1661"/>
      <c r="DN265" s="1661"/>
      <c r="DO265" s="1661"/>
      <c r="DP265" s="1660"/>
      <c r="DQ265" s="1661"/>
      <c r="DR265" s="1660"/>
      <c r="DS265" s="1661"/>
      <c r="DT265" s="1660"/>
      <c r="DU265" s="1661"/>
      <c r="DV265" s="1661"/>
      <c r="DW265" s="1660"/>
      <c r="DX265" s="1661"/>
      <c r="DY265" s="1661"/>
      <c r="DZ265" s="1661"/>
      <c r="EA265" s="1661"/>
      <c r="EB265" s="1661"/>
      <c r="EC265" s="1661"/>
      <c r="ED265" s="1661"/>
      <c r="EE265" s="1661"/>
      <c r="EF265" s="1661"/>
      <c r="EG265" s="1661"/>
      <c r="EH265" s="1661"/>
      <c r="EI265" s="1661"/>
      <c r="EJ265" s="1661"/>
      <c r="EK265" s="1661"/>
      <c r="EL265" s="1661"/>
      <c r="EM265" s="1660"/>
      <c r="EN265" s="1660"/>
      <c r="EO265" s="1661"/>
      <c r="EP265" s="1661"/>
      <c r="EQ265" s="1660"/>
      <c r="ER265" s="1661"/>
      <c r="ES265" s="1660"/>
      <c r="ET265" s="1661"/>
      <c r="EU265" s="1660"/>
      <c r="EV265" s="1660"/>
      <c r="EW265" s="1661"/>
      <c r="EX265" s="1660"/>
      <c r="EY265" s="1661"/>
      <c r="EZ265" s="1661"/>
      <c r="FA265" s="1661"/>
      <c r="FB265" s="1660"/>
      <c r="FC265" s="1660"/>
      <c r="FD265" s="1661"/>
      <c r="FE265" s="1661"/>
      <c r="FF265" s="1660"/>
      <c r="FG265" s="1661"/>
      <c r="FH265" s="1661"/>
      <c r="FI265" s="1661"/>
      <c r="FJ265" s="1660"/>
      <c r="FK265" s="1661"/>
      <c r="FL265" s="1661"/>
      <c r="FM265" s="1661"/>
      <c r="FN265" s="1661"/>
      <c r="FO265" s="1659"/>
      <c r="FP265" s="1659"/>
      <c r="FQ265" s="1661"/>
      <c r="FR265" s="1661"/>
      <c r="FS265" s="1661"/>
      <c r="FT265" s="1661"/>
      <c r="FU265" s="1661"/>
      <c r="FV265" s="1661"/>
      <c r="FW265" s="1661"/>
      <c r="FX265" s="1661"/>
      <c r="FY265" s="1661"/>
      <c r="FZ265" s="1661"/>
      <c r="GA265" s="1661"/>
      <c r="GB265" s="1661"/>
      <c r="GC265" s="1661"/>
      <c r="GD265" s="1661"/>
      <c r="GE265" s="1661"/>
      <c r="GF265" s="1659"/>
      <c r="GG265" s="1661"/>
      <c r="GH265" s="1661"/>
      <c r="GI265" s="1661"/>
      <c r="GJ265" s="1661"/>
      <c r="GK265" s="1661"/>
      <c r="GL265" s="1661"/>
      <c r="GM265" s="1661"/>
      <c r="GN265" s="1661"/>
      <c r="GO265" s="1661"/>
      <c r="GP265" s="1661"/>
      <c r="GQ265" s="1661"/>
      <c r="GR265" s="1661"/>
      <c r="GS265" s="1661"/>
      <c r="GT265" s="1661"/>
      <c r="GU265" s="1661"/>
      <c r="GV265" s="1661"/>
      <c r="GW265" s="1661"/>
      <c r="GX265" s="1661"/>
      <c r="GY265" s="1661"/>
      <c r="GZ265" s="1661"/>
      <c r="HA265" s="1661"/>
      <c r="HB265" s="1661"/>
      <c r="HC265" s="1661"/>
      <c r="HD265" s="1661"/>
      <c r="HE265" s="1661"/>
      <c r="HF265" s="1661"/>
      <c r="HG265" s="1661"/>
      <c r="HH265" s="1662" t="s">
        <v>3862</v>
      </c>
      <c r="HI265" s="1661"/>
      <c r="HJ265" s="1661"/>
      <c r="HK265" s="1661"/>
      <c r="HL265" s="1661"/>
      <c r="HM265" s="1661"/>
      <c r="HN265" s="1661"/>
      <c r="HO265" s="1661"/>
      <c r="HP265" s="1660"/>
      <c r="HQ265" s="1661"/>
      <c r="HR265" s="1660"/>
      <c r="HS265" s="1661"/>
      <c r="HT265" s="1661"/>
      <c r="HU265" s="1661"/>
      <c r="HV265" s="1661"/>
      <c r="HW265" s="1661"/>
      <c r="HX265" s="1661"/>
      <c r="HY265" s="1661"/>
      <c r="HZ265" s="1661"/>
      <c r="IA265" s="1661"/>
      <c r="IB265" s="1661"/>
      <c r="IC265" s="1661"/>
      <c r="ID265" s="1661"/>
      <c r="IE265" s="1661"/>
      <c r="IF265" s="1661"/>
      <c r="IG265" s="1661"/>
      <c r="IH265" s="1661"/>
      <c r="II265" s="1661"/>
      <c r="IJ265" s="1661"/>
      <c r="IK265" s="1661"/>
      <c r="IL265" s="1661"/>
      <c r="IM265" s="1661"/>
      <c r="IN265" s="1661"/>
      <c r="IO265" s="1661"/>
      <c r="IP265" s="1661"/>
      <c r="IQ265" s="1661"/>
      <c r="IR265" s="1661"/>
      <c r="IS265" s="1661"/>
      <c r="IT265" s="1661"/>
      <c r="IU265" s="1661"/>
      <c r="IV265" s="1661"/>
      <c r="IW265" s="1661"/>
      <c r="IX265" s="1661"/>
      <c r="IY265" s="1661"/>
      <c r="IZ265" s="1661"/>
      <c r="JA265" s="1661"/>
      <c r="JB265" s="1661"/>
      <c r="JC265" s="1661"/>
      <c r="JD265" s="1661"/>
      <c r="JE265" s="1660"/>
      <c r="JF265" s="1660"/>
      <c r="JG265" s="1661"/>
      <c r="JH265" s="1661"/>
      <c r="JI265" s="1661"/>
      <c r="JJ265" s="1660"/>
      <c r="JK265" s="1661"/>
      <c r="JL265" s="1661"/>
      <c r="JM265" s="1661"/>
      <c r="JN265" s="1663"/>
      <c r="JO265" s="1663"/>
      <c r="JP265" s="1661"/>
      <c r="JQ265" s="1662"/>
    </row>
    <row r="266" spans="1:277" x14ac:dyDescent="0.25">
      <c r="A266" s="1649">
        <v>51</v>
      </c>
      <c r="B266" s="1651">
        <f t="shared" si="19"/>
        <v>0</v>
      </c>
      <c r="D266" s="521" t="s">
        <v>4195</v>
      </c>
      <c r="E266" s="1659"/>
      <c r="F266" s="1660"/>
      <c r="G266" s="1661"/>
      <c r="H266" s="1661"/>
      <c r="I266" s="1660"/>
      <c r="J266" s="1660"/>
      <c r="K266" s="1660"/>
      <c r="L266" s="1660"/>
      <c r="M266" s="1661"/>
      <c r="N266" s="1661"/>
      <c r="O266" s="1661"/>
      <c r="P266" s="1661"/>
      <c r="Q266" s="1661"/>
      <c r="R266" s="1661"/>
      <c r="S266" s="1661"/>
      <c r="T266" s="1661"/>
      <c r="U266" s="1661"/>
      <c r="V266" s="1661"/>
      <c r="W266" s="1661"/>
      <c r="X266" s="1661"/>
      <c r="Y266" s="1661"/>
      <c r="Z266" s="1661"/>
      <c r="AA266" s="1661"/>
      <c r="AB266" s="1661"/>
      <c r="AC266" s="1661"/>
      <c r="AD266" s="1661"/>
      <c r="AE266" s="1661"/>
      <c r="AF266" s="1661"/>
      <c r="AG266" s="1661"/>
      <c r="AH266" s="1661"/>
      <c r="AI266" s="1661"/>
      <c r="AJ266" s="1661"/>
      <c r="AK266" s="1661"/>
      <c r="AL266" s="1661"/>
      <c r="AM266" s="1661"/>
      <c r="AN266" s="1661"/>
      <c r="AO266" s="1661"/>
      <c r="AP266" s="1660"/>
      <c r="AQ266" s="1660"/>
      <c r="AR266" s="1661"/>
      <c r="AS266" s="1661"/>
      <c r="AT266" s="1661"/>
      <c r="AU266" s="1661"/>
      <c r="AV266" s="1661"/>
      <c r="AW266" s="1661"/>
      <c r="AX266" s="1661"/>
      <c r="AY266" s="1661"/>
      <c r="AZ266" s="1661"/>
      <c r="BA266" s="1661"/>
      <c r="BB266" s="1660">
        <v>0</v>
      </c>
      <c r="BC266" s="1660">
        <v>0</v>
      </c>
      <c r="BD266" s="1660">
        <v>0</v>
      </c>
      <c r="BE266" s="1660"/>
      <c r="BF266" s="1660"/>
      <c r="BG266" s="1660"/>
      <c r="BH266" s="1660"/>
      <c r="BI266" s="1660"/>
      <c r="BJ266" s="1660">
        <v>0</v>
      </c>
      <c r="BK266" s="1661"/>
      <c r="BL266" s="1661"/>
      <c r="BM266" s="1660"/>
      <c r="BN266" s="1660"/>
      <c r="BO266" s="1660"/>
      <c r="BP266" s="1660"/>
      <c r="BQ266" s="1660"/>
      <c r="BR266" s="1660"/>
      <c r="BS266" s="1660"/>
      <c r="BT266" s="1660"/>
      <c r="BU266" s="1660"/>
      <c r="BV266" s="1660"/>
      <c r="BW266" s="1660"/>
      <c r="BX266" s="1660"/>
      <c r="BY266" s="1660"/>
      <c r="BZ266" s="1660"/>
      <c r="CA266" s="1660"/>
      <c r="CB266" s="1660">
        <v>0</v>
      </c>
      <c r="CC266" s="1661"/>
      <c r="CD266" s="1661"/>
      <c r="CE266" s="1661"/>
      <c r="CF266" s="1661"/>
      <c r="CG266" s="1661"/>
      <c r="CH266" s="1661"/>
      <c r="CI266" s="1661"/>
      <c r="CJ266" s="1660">
        <v>0</v>
      </c>
      <c r="CK266" s="1661"/>
      <c r="CL266" s="1661"/>
      <c r="CM266" s="1661"/>
      <c r="CN266" s="1661"/>
      <c r="CO266" s="1661"/>
      <c r="CP266" s="1661"/>
      <c r="CQ266" s="1661"/>
      <c r="CR266" s="1661"/>
      <c r="CS266" s="1661"/>
      <c r="CT266" s="1660">
        <v>0</v>
      </c>
      <c r="CU266" s="1661"/>
      <c r="CV266" s="1661"/>
      <c r="CW266" s="1661"/>
      <c r="CX266" s="1661"/>
      <c r="CY266" s="1661"/>
      <c r="CZ266" s="1661"/>
      <c r="DA266" s="1661"/>
      <c r="DB266" s="1661"/>
      <c r="DC266" s="1661"/>
      <c r="DD266" s="1661"/>
      <c r="DE266" s="1661"/>
      <c r="DF266" s="1661"/>
      <c r="DG266" s="1661"/>
      <c r="DH266" s="1661"/>
      <c r="DI266" s="1660"/>
      <c r="DJ266" s="1661"/>
      <c r="DK266" s="1661"/>
      <c r="DL266" s="1661"/>
      <c r="DM266" s="1661"/>
      <c r="DN266" s="1661"/>
      <c r="DO266" s="1661"/>
      <c r="DP266" s="1660">
        <v>0</v>
      </c>
      <c r="DQ266" s="1661"/>
      <c r="DR266" s="1660">
        <v>0</v>
      </c>
      <c r="DS266" s="1661"/>
      <c r="DT266" s="1660">
        <v>0</v>
      </c>
      <c r="DU266" s="1661"/>
      <c r="DV266" s="1661"/>
      <c r="DW266" s="1660">
        <v>0</v>
      </c>
      <c r="DX266" s="1661"/>
      <c r="DY266" s="1661"/>
      <c r="DZ266" s="1661"/>
      <c r="EA266" s="1661"/>
      <c r="EB266" s="1661"/>
      <c r="EC266" s="1661"/>
      <c r="ED266" s="1661"/>
      <c r="EE266" s="1661"/>
      <c r="EF266" s="1661"/>
      <c r="EG266" s="1661"/>
      <c r="EH266" s="1661"/>
      <c r="EI266" s="1661"/>
      <c r="EJ266" s="1661"/>
      <c r="EK266" s="1661"/>
      <c r="EL266" s="1661"/>
      <c r="EM266" s="1660">
        <v>0</v>
      </c>
      <c r="EN266" s="1660">
        <v>0</v>
      </c>
      <c r="EO266" s="1661"/>
      <c r="EP266" s="1661"/>
      <c r="EQ266" s="1660">
        <v>0</v>
      </c>
      <c r="ER266" s="1661"/>
      <c r="ES266" s="1660">
        <v>0</v>
      </c>
      <c r="ET266" s="1661"/>
      <c r="EU266" s="1660">
        <v>0</v>
      </c>
      <c r="EV266" s="1660">
        <v>0</v>
      </c>
      <c r="EW266" s="1661"/>
      <c r="EX266" s="1660">
        <v>0</v>
      </c>
      <c r="EY266" s="1661"/>
      <c r="EZ266" s="1661"/>
      <c r="FA266" s="1661"/>
      <c r="FB266" s="1660">
        <v>0</v>
      </c>
      <c r="FC266" s="1660">
        <v>0</v>
      </c>
      <c r="FD266" s="1661"/>
      <c r="FE266" s="1661"/>
      <c r="FF266" s="1660">
        <v>0</v>
      </c>
      <c r="FG266" s="1661"/>
      <c r="FH266" s="1661"/>
      <c r="FI266" s="1661"/>
      <c r="FJ266" s="1660">
        <v>0</v>
      </c>
      <c r="FK266" s="1661"/>
      <c r="FL266" s="1661"/>
      <c r="FM266" s="1661"/>
      <c r="FN266" s="1661"/>
      <c r="FO266" s="1659">
        <v>0</v>
      </c>
      <c r="FP266" s="1659">
        <v>0</v>
      </c>
      <c r="FQ266" s="1661"/>
      <c r="FR266" s="1661"/>
      <c r="FS266" s="1661"/>
      <c r="FT266" s="1661"/>
      <c r="FU266" s="1661"/>
      <c r="FV266" s="1661"/>
      <c r="FW266" s="1661"/>
      <c r="FX266" s="1661"/>
      <c r="FY266" s="1661"/>
      <c r="FZ266" s="1661"/>
      <c r="GA266" s="1661"/>
      <c r="GB266" s="1661"/>
      <c r="GC266" s="1661"/>
      <c r="GD266" s="1661"/>
      <c r="GE266" s="1661"/>
      <c r="GF266" s="1659">
        <v>0</v>
      </c>
      <c r="GG266" s="1661"/>
      <c r="GH266" s="1661"/>
      <c r="GI266" s="1661"/>
      <c r="GJ266" s="1661"/>
      <c r="GK266" s="1661"/>
      <c r="GL266" s="1661"/>
      <c r="GM266" s="1661"/>
      <c r="GN266" s="1661"/>
      <c r="GO266" s="1661"/>
      <c r="GP266" s="1661"/>
      <c r="GQ266" s="1661"/>
      <c r="GR266" s="1661"/>
      <c r="GS266" s="1661"/>
      <c r="GT266" s="1661"/>
      <c r="GU266" s="1661"/>
      <c r="GV266" s="1661"/>
      <c r="GW266" s="1661"/>
      <c r="GX266" s="1661"/>
      <c r="GY266" s="1661"/>
      <c r="GZ266" s="1661"/>
      <c r="HA266" s="1661"/>
      <c r="HB266" s="1661"/>
      <c r="HC266" s="1661"/>
      <c r="HD266" s="1661"/>
      <c r="HE266" s="1661"/>
      <c r="HF266" s="1661"/>
      <c r="HG266" s="1661"/>
      <c r="HH266" s="1662">
        <v>500</v>
      </c>
      <c r="HI266" s="1661"/>
      <c r="HJ266" s="1661">
        <v>0</v>
      </c>
      <c r="HK266" s="1661">
        <v>0</v>
      </c>
      <c r="HL266" s="1661">
        <v>0</v>
      </c>
      <c r="HM266" s="1661">
        <v>0</v>
      </c>
      <c r="HN266" s="1661"/>
      <c r="HO266" s="1661"/>
      <c r="HP266" s="1660">
        <v>0</v>
      </c>
      <c r="HQ266" s="1661"/>
      <c r="HR266" s="1660">
        <v>0</v>
      </c>
      <c r="HS266" s="1661"/>
      <c r="HT266" s="1661">
        <v>0</v>
      </c>
      <c r="HU266" s="1661"/>
      <c r="HV266" s="1661"/>
      <c r="HW266" s="1661"/>
      <c r="HX266" s="1661"/>
      <c r="HY266" s="1661"/>
      <c r="HZ266" s="1661"/>
      <c r="IA266" s="1661">
        <v>0</v>
      </c>
      <c r="IB266" s="1661"/>
      <c r="IC266" s="1661"/>
      <c r="ID266" s="1661"/>
      <c r="IE266" s="1661"/>
      <c r="IF266" s="1661">
        <v>0</v>
      </c>
      <c r="IG266" s="1661"/>
      <c r="IH266" s="1661"/>
      <c r="II266" s="1661">
        <v>0</v>
      </c>
      <c r="IJ266" s="1661"/>
      <c r="IK266" s="1661"/>
      <c r="IL266" s="1661">
        <v>0</v>
      </c>
      <c r="IM266" s="1661"/>
      <c r="IN266" s="1661"/>
      <c r="IO266" s="1661"/>
      <c r="IP266" s="1661"/>
      <c r="IQ266" s="1661"/>
      <c r="IR266" s="1661"/>
      <c r="IS266" s="1661"/>
      <c r="IT266" s="1661"/>
      <c r="IU266" s="1661"/>
      <c r="IV266" s="1661"/>
      <c r="IW266" s="1661"/>
      <c r="IX266" s="1661"/>
      <c r="IY266" s="1661"/>
      <c r="IZ266" s="1661"/>
      <c r="JA266" s="1661"/>
      <c r="JB266" s="1661"/>
      <c r="JC266" s="1661"/>
      <c r="JD266" s="1661"/>
      <c r="JE266" s="1660">
        <v>0</v>
      </c>
      <c r="JF266" s="1660">
        <v>0</v>
      </c>
      <c r="JG266" s="1661"/>
      <c r="JH266" s="1661"/>
      <c r="JI266" s="1661"/>
      <c r="JJ266" s="1660">
        <v>0</v>
      </c>
      <c r="JK266" s="1661"/>
      <c r="JL266" s="1661"/>
      <c r="JM266" s="1661"/>
      <c r="JN266" s="1663"/>
      <c r="JO266" s="1663"/>
      <c r="JP266" s="1661"/>
      <c r="JQ266" s="1662"/>
    </row>
    <row r="267" spans="1:277" ht="13" thickBot="1" x14ac:dyDescent="0.3">
      <c r="A267" s="1649">
        <v>52</v>
      </c>
      <c r="B267" s="1651">
        <f t="shared" si="19"/>
        <v>0</v>
      </c>
      <c r="D267" s="521" t="s">
        <v>4196</v>
      </c>
      <c r="E267" s="740"/>
      <c r="F267" s="741"/>
      <c r="G267" s="742"/>
      <c r="H267" s="742"/>
      <c r="I267" s="741"/>
      <c r="J267" s="741"/>
      <c r="K267" s="741"/>
      <c r="L267" s="741"/>
      <c r="M267" s="742"/>
      <c r="N267" s="742"/>
      <c r="O267" s="742"/>
      <c r="P267" s="742"/>
      <c r="Q267" s="742"/>
      <c r="R267" s="742"/>
      <c r="S267" s="742"/>
      <c r="T267" s="742"/>
      <c r="U267" s="742"/>
      <c r="V267" s="742"/>
      <c r="W267" s="742"/>
      <c r="X267" s="742"/>
      <c r="Y267" s="742"/>
      <c r="Z267" s="742"/>
      <c r="AA267" s="742"/>
      <c r="AB267" s="742"/>
      <c r="AC267" s="742"/>
      <c r="AD267" s="742"/>
      <c r="AE267" s="742"/>
      <c r="AF267" s="742"/>
      <c r="AG267" s="742"/>
      <c r="AH267" s="742"/>
      <c r="AI267" s="742"/>
      <c r="AJ267" s="742"/>
      <c r="AK267" s="742"/>
      <c r="AL267" s="742"/>
      <c r="AM267" s="742"/>
      <c r="AN267" s="742"/>
      <c r="AO267" s="742"/>
      <c r="AP267" s="741"/>
      <c r="AQ267" s="741"/>
      <c r="AR267" s="742"/>
      <c r="AS267" s="742"/>
      <c r="AT267" s="742"/>
      <c r="AU267" s="742"/>
      <c r="AV267" s="742"/>
      <c r="AW267" s="742"/>
      <c r="AX267" s="742"/>
      <c r="AY267" s="742"/>
      <c r="AZ267" s="742"/>
      <c r="BA267" s="742"/>
      <c r="BB267" s="741">
        <v>0</v>
      </c>
      <c r="BC267" s="741">
        <v>0</v>
      </c>
      <c r="BD267" s="741">
        <v>0</v>
      </c>
      <c r="BE267" s="741"/>
      <c r="BF267" s="741"/>
      <c r="BG267" s="741"/>
      <c r="BH267" s="741"/>
      <c r="BI267" s="741"/>
      <c r="BJ267" s="741">
        <v>0</v>
      </c>
      <c r="BK267" s="742"/>
      <c r="BL267" s="742"/>
      <c r="BM267" s="741"/>
      <c r="BN267" s="741"/>
      <c r="BO267" s="741"/>
      <c r="BP267" s="741"/>
      <c r="BQ267" s="741"/>
      <c r="BR267" s="741"/>
      <c r="BS267" s="741"/>
      <c r="BT267" s="741"/>
      <c r="BU267" s="741"/>
      <c r="BV267" s="741"/>
      <c r="BW267" s="741"/>
      <c r="BX267" s="741"/>
      <c r="BY267" s="741"/>
      <c r="BZ267" s="741"/>
      <c r="CA267" s="741"/>
      <c r="CB267" s="741">
        <v>0</v>
      </c>
      <c r="CC267" s="742"/>
      <c r="CD267" s="742"/>
      <c r="CE267" s="742"/>
      <c r="CF267" s="742"/>
      <c r="CG267" s="742"/>
      <c r="CH267" s="742"/>
      <c r="CI267" s="742"/>
      <c r="CJ267" s="741">
        <v>0</v>
      </c>
      <c r="CK267" s="742"/>
      <c r="CL267" s="742"/>
      <c r="CM267" s="742"/>
      <c r="CN267" s="742"/>
      <c r="CO267" s="742"/>
      <c r="CP267" s="742"/>
      <c r="CQ267" s="742"/>
      <c r="CR267" s="742"/>
      <c r="CS267" s="742"/>
      <c r="CT267" s="741">
        <v>0</v>
      </c>
      <c r="CU267" s="742"/>
      <c r="CV267" s="742"/>
      <c r="CW267" s="742"/>
      <c r="CX267" s="742"/>
      <c r="CY267" s="742"/>
      <c r="CZ267" s="742"/>
      <c r="DA267" s="742"/>
      <c r="DB267" s="742"/>
      <c r="DC267" s="742"/>
      <c r="DD267" s="742"/>
      <c r="DE267" s="742"/>
      <c r="DF267" s="742"/>
      <c r="DG267" s="742"/>
      <c r="DH267" s="742"/>
      <c r="DI267" s="741"/>
      <c r="DJ267" s="742"/>
      <c r="DK267" s="742"/>
      <c r="DL267" s="742"/>
      <c r="DM267" s="742"/>
      <c r="DN267" s="742"/>
      <c r="DO267" s="742"/>
      <c r="DP267" s="741">
        <v>0</v>
      </c>
      <c r="DQ267" s="742"/>
      <c r="DR267" s="741">
        <v>0</v>
      </c>
      <c r="DS267" s="742"/>
      <c r="DT267" s="741">
        <v>0</v>
      </c>
      <c r="DU267" s="742"/>
      <c r="DV267" s="742"/>
      <c r="DW267" s="741">
        <v>0</v>
      </c>
      <c r="DX267" s="742"/>
      <c r="DY267" s="742"/>
      <c r="DZ267" s="742"/>
      <c r="EA267" s="742"/>
      <c r="EB267" s="742"/>
      <c r="EC267" s="742"/>
      <c r="ED267" s="742"/>
      <c r="EE267" s="742"/>
      <c r="EF267" s="742"/>
      <c r="EG267" s="742"/>
      <c r="EH267" s="742"/>
      <c r="EI267" s="742"/>
      <c r="EJ267" s="742"/>
      <c r="EK267" s="742"/>
      <c r="EL267" s="742"/>
      <c r="EM267" s="741">
        <v>0</v>
      </c>
      <c r="EN267" s="741">
        <v>0</v>
      </c>
      <c r="EO267" s="742"/>
      <c r="EP267" s="742"/>
      <c r="EQ267" s="741">
        <v>0</v>
      </c>
      <c r="ER267" s="742"/>
      <c r="ES267" s="741">
        <v>0</v>
      </c>
      <c r="ET267" s="742"/>
      <c r="EU267" s="741">
        <v>0</v>
      </c>
      <c r="EV267" s="741">
        <v>0</v>
      </c>
      <c r="EW267" s="742"/>
      <c r="EX267" s="741">
        <v>0</v>
      </c>
      <c r="EY267" s="742"/>
      <c r="EZ267" s="742"/>
      <c r="FA267" s="742"/>
      <c r="FB267" s="741">
        <v>0</v>
      </c>
      <c r="FC267" s="741">
        <v>0</v>
      </c>
      <c r="FD267" s="742"/>
      <c r="FE267" s="742"/>
      <c r="FF267" s="741">
        <v>0</v>
      </c>
      <c r="FG267" s="742"/>
      <c r="FH267" s="742"/>
      <c r="FI267" s="742"/>
      <c r="FJ267" s="741">
        <v>0</v>
      </c>
      <c r="FK267" s="742"/>
      <c r="FL267" s="742"/>
      <c r="FM267" s="742"/>
      <c r="FN267" s="742"/>
      <c r="FO267" s="740">
        <v>0</v>
      </c>
      <c r="FP267" s="740">
        <v>0</v>
      </c>
      <c r="FQ267" s="742"/>
      <c r="FR267" s="742"/>
      <c r="FS267" s="742"/>
      <c r="FT267" s="742"/>
      <c r="FU267" s="742"/>
      <c r="FV267" s="742"/>
      <c r="FW267" s="742"/>
      <c r="FX267" s="742"/>
      <c r="FY267" s="742"/>
      <c r="FZ267" s="742"/>
      <c r="GA267" s="742"/>
      <c r="GB267" s="742"/>
      <c r="GC267" s="742"/>
      <c r="GD267" s="742"/>
      <c r="GE267" s="742"/>
      <c r="GF267" s="740">
        <v>0</v>
      </c>
      <c r="GG267" s="742"/>
      <c r="GH267" s="742"/>
      <c r="GI267" s="742"/>
      <c r="GJ267" s="742"/>
      <c r="GK267" s="742"/>
      <c r="GL267" s="742"/>
      <c r="GM267" s="742"/>
      <c r="GN267" s="742"/>
      <c r="GO267" s="742"/>
      <c r="GP267" s="742"/>
      <c r="GQ267" s="742"/>
      <c r="GR267" s="742"/>
      <c r="GS267" s="742"/>
      <c r="GT267" s="742"/>
      <c r="GU267" s="742"/>
      <c r="GV267" s="742"/>
      <c r="GW267" s="742"/>
      <c r="GX267" s="742"/>
      <c r="GY267" s="742"/>
      <c r="GZ267" s="742"/>
      <c r="HA267" s="742"/>
      <c r="HB267" s="742"/>
      <c r="HC267" s="742"/>
      <c r="HD267" s="742"/>
      <c r="HE267" s="742"/>
      <c r="HF267" s="742"/>
      <c r="HG267" s="742"/>
      <c r="HH267" s="741">
        <v>50</v>
      </c>
      <c r="HI267" s="742"/>
      <c r="HJ267" s="741">
        <v>0</v>
      </c>
      <c r="HK267" s="741">
        <v>0</v>
      </c>
      <c r="HL267" s="741">
        <v>0</v>
      </c>
      <c r="HM267" s="741">
        <v>0</v>
      </c>
      <c r="HN267" s="742"/>
      <c r="HO267" s="742"/>
      <c r="HP267" s="741">
        <v>0</v>
      </c>
      <c r="HQ267" s="742"/>
      <c r="HR267" s="741">
        <v>0</v>
      </c>
      <c r="HS267" s="742"/>
      <c r="HT267" s="742">
        <v>0</v>
      </c>
      <c r="HU267" s="742"/>
      <c r="HV267" s="742"/>
      <c r="HW267" s="742"/>
      <c r="HX267" s="742"/>
      <c r="HY267" s="742"/>
      <c r="HZ267" s="742"/>
      <c r="IA267" s="742">
        <v>0</v>
      </c>
      <c r="IB267" s="742"/>
      <c r="IC267" s="742"/>
      <c r="ID267" s="742"/>
      <c r="IE267" s="742"/>
      <c r="IF267" s="742">
        <v>0</v>
      </c>
      <c r="IG267" s="742"/>
      <c r="IH267" s="742"/>
      <c r="II267" s="742">
        <v>0</v>
      </c>
      <c r="IJ267" s="742"/>
      <c r="IK267" s="742"/>
      <c r="IL267" s="742">
        <v>0</v>
      </c>
      <c r="IM267" s="742"/>
      <c r="IN267" s="742"/>
      <c r="IO267" s="742"/>
      <c r="IP267" s="742"/>
      <c r="IQ267" s="742"/>
      <c r="IR267" s="742"/>
      <c r="IS267" s="742"/>
      <c r="IT267" s="742"/>
      <c r="IU267" s="742"/>
      <c r="IV267" s="742"/>
      <c r="IW267" s="742"/>
      <c r="IX267" s="742"/>
      <c r="IY267" s="742"/>
      <c r="IZ267" s="742"/>
      <c r="JA267" s="742"/>
      <c r="JB267" s="742"/>
      <c r="JC267" s="742"/>
      <c r="JD267" s="742"/>
      <c r="JE267" s="741">
        <v>0</v>
      </c>
      <c r="JF267" s="741">
        <v>0</v>
      </c>
      <c r="JG267" s="742"/>
      <c r="JH267" s="742"/>
      <c r="JI267" s="742"/>
      <c r="JJ267" s="741">
        <v>0</v>
      </c>
      <c r="JK267" s="742"/>
      <c r="JL267" s="742"/>
      <c r="JM267" s="742"/>
      <c r="JN267" s="743"/>
      <c r="JO267" s="743"/>
      <c r="JP267" s="742"/>
      <c r="JQ267" s="744"/>
    </row>
  </sheetData>
  <phoneticPr fontId="58" type="noConversion"/>
  <pageMargins left="0.19685039370078741" right="0.19685039370078741" top="0.19685039370078741" bottom="0.19685039370078741" header="0" footer="0"/>
  <pageSetup paperSize="9" scale="10" orientation="portrait" r:id="rId1"/>
  <headerFooter alignWithMargins="0">
    <oddFooter>&amp;C&amp;1#&amp;"Calibri"&amp;10&amp;K000000OFFICIAL-SENSITIVE</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JT28"/>
  <sheetViews>
    <sheetView showGridLines="0" zoomScaleNormal="100" workbookViewId="0">
      <pane xSplit="4" ySplit="1" topLeftCell="GU23" activePane="bottomRight" state="frozen"/>
      <selection pane="topRight" activeCell="I74" sqref="I74"/>
      <selection pane="bottomLeft" activeCell="I74" sqref="I74"/>
      <selection pane="bottomRight" activeCell="I17" sqref="I17"/>
    </sheetView>
  </sheetViews>
  <sheetFormatPr defaultColWidth="8.7265625" defaultRowHeight="13" x14ac:dyDescent="0.3"/>
  <cols>
    <col min="1" max="1" width="3.81640625" style="260" bestFit="1" customWidth="1"/>
    <col min="2" max="2" width="8.7265625" style="178"/>
    <col min="3" max="3" width="9.1796875" style="2" customWidth="1"/>
    <col min="4" max="4" width="34.81640625" style="178" customWidth="1"/>
    <col min="5" max="7" width="10.54296875" style="178" customWidth="1"/>
    <col min="8" max="8" width="9.1796875" style="178" bestFit="1" customWidth="1"/>
    <col min="9" max="10" width="8.7265625" style="178"/>
    <col min="11" max="11" width="9.81640625" style="178" bestFit="1" customWidth="1"/>
    <col min="12" max="277" width="8.7265625" style="178"/>
    <col min="278" max="278" width="2.1796875" style="178" customWidth="1"/>
    <col min="279" max="279" width="10.81640625" style="178" bestFit="1" customWidth="1"/>
    <col min="280" max="280" width="28.1796875" style="1" customWidth="1"/>
    <col min="281" max="16384" width="8.7265625" style="178"/>
  </cols>
  <sheetData>
    <row r="1" spans="1:280" ht="12.5" x14ac:dyDescent="0.25">
      <c r="A1" s="1367" t="s">
        <v>2201</v>
      </c>
      <c r="B1" s="585" t="s">
        <v>2408</v>
      </c>
      <c r="C1" s="2568" t="s">
        <v>36</v>
      </c>
      <c r="D1" s="597"/>
      <c r="E1" s="418">
        <v>1</v>
      </c>
      <c r="F1" s="418">
        <v>2</v>
      </c>
      <c r="G1" s="418">
        <v>3</v>
      </c>
      <c r="H1" s="418">
        <v>4</v>
      </c>
      <c r="I1" s="418">
        <v>5</v>
      </c>
      <c r="J1" s="418">
        <v>6</v>
      </c>
      <c r="K1" s="418">
        <v>7</v>
      </c>
      <c r="L1" s="418">
        <v>8</v>
      </c>
      <c r="M1" s="447">
        <v>9</v>
      </c>
      <c r="N1" s="447">
        <v>10</v>
      </c>
      <c r="O1" s="447">
        <v>11</v>
      </c>
      <c r="P1" s="418">
        <v>12</v>
      </c>
      <c r="Q1" s="447">
        <v>13</v>
      </c>
      <c r="R1" s="447">
        <v>14</v>
      </c>
      <c r="S1" s="447">
        <v>15</v>
      </c>
      <c r="T1" s="418">
        <v>16</v>
      </c>
      <c r="U1" s="447">
        <v>17</v>
      </c>
      <c r="V1" s="447">
        <v>18</v>
      </c>
      <c r="W1" s="447">
        <v>19</v>
      </c>
      <c r="X1" s="418">
        <v>20</v>
      </c>
      <c r="Y1" s="447">
        <v>21</v>
      </c>
      <c r="Z1" s="447">
        <v>22</v>
      </c>
      <c r="AA1" s="447">
        <v>23</v>
      </c>
      <c r="AB1" s="418">
        <v>24</v>
      </c>
      <c r="AC1" s="447">
        <v>25</v>
      </c>
      <c r="AD1" s="447">
        <v>26</v>
      </c>
      <c r="AE1" s="447">
        <v>27</v>
      </c>
      <c r="AF1" s="418">
        <v>28</v>
      </c>
      <c r="AG1" s="447">
        <v>29</v>
      </c>
      <c r="AH1" s="447">
        <v>30</v>
      </c>
      <c r="AI1" s="447">
        <v>31</v>
      </c>
      <c r="AJ1" s="418">
        <v>32</v>
      </c>
      <c r="AK1" s="447">
        <v>33</v>
      </c>
      <c r="AL1" s="447">
        <v>34</v>
      </c>
      <c r="AM1" s="447">
        <v>35</v>
      </c>
      <c r="AN1" s="418">
        <v>36</v>
      </c>
      <c r="AO1" s="447">
        <v>37</v>
      </c>
      <c r="AP1" s="447">
        <v>38</v>
      </c>
      <c r="AQ1" s="447">
        <v>39</v>
      </c>
      <c r="AR1" s="418">
        <v>40</v>
      </c>
      <c r="AS1" s="447">
        <v>41</v>
      </c>
      <c r="AT1" s="447">
        <v>42</v>
      </c>
      <c r="AU1" s="447">
        <v>43</v>
      </c>
      <c r="AV1" s="418">
        <v>44</v>
      </c>
      <c r="AW1" s="447">
        <v>45</v>
      </c>
      <c r="AX1" s="447">
        <v>46</v>
      </c>
      <c r="AY1" s="447">
        <v>47</v>
      </c>
      <c r="AZ1" s="418">
        <v>48</v>
      </c>
      <c r="BA1" s="447">
        <v>49</v>
      </c>
      <c r="BB1" s="447">
        <v>50</v>
      </c>
      <c r="BC1" s="447">
        <v>51</v>
      </c>
      <c r="BD1" s="418">
        <v>52</v>
      </c>
      <c r="BE1" s="447">
        <v>53</v>
      </c>
      <c r="BF1" s="447">
        <v>54</v>
      </c>
      <c r="BG1" s="447">
        <v>55</v>
      </c>
      <c r="BH1" s="418">
        <v>56</v>
      </c>
      <c r="BI1" s="447">
        <v>57</v>
      </c>
      <c r="BJ1" s="447">
        <v>58</v>
      </c>
      <c r="BK1" s="447">
        <v>59</v>
      </c>
      <c r="BL1" s="418">
        <v>60</v>
      </c>
      <c r="BM1" s="447">
        <v>61</v>
      </c>
      <c r="BN1" s="447">
        <v>62</v>
      </c>
      <c r="BO1" s="447">
        <v>63</v>
      </c>
      <c r="BP1" s="418">
        <v>64</v>
      </c>
      <c r="BQ1" s="447">
        <v>65</v>
      </c>
      <c r="BR1" s="447">
        <v>66</v>
      </c>
      <c r="BS1" s="447">
        <v>67</v>
      </c>
      <c r="BT1" s="418">
        <v>68</v>
      </c>
      <c r="BU1" s="447">
        <v>69</v>
      </c>
      <c r="BV1" s="447">
        <v>70</v>
      </c>
      <c r="BW1" s="447">
        <v>71</v>
      </c>
      <c r="BX1" s="418">
        <v>72</v>
      </c>
      <c r="BY1" s="447">
        <v>73</v>
      </c>
      <c r="BZ1" s="447">
        <v>74</v>
      </c>
      <c r="CA1" s="447">
        <v>75</v>
      </c>
      <c r="CB1" s="418">
        <v>76</v>
      </c>
      <c r="CC1" s="447">
        <v>77</v>
      </c>
      <c r="CD1" s="447">
        <v>78</v>
      </c>
      <c r="CE1" s="447">
        <v>79</v>
      </c>
      <c r="CF1" s="418">
        <v>80</v>
      </c>
      <c r="CG1" s="447">
        <v>81</v>
      </c>
      <c r="CH1" s="447">
        <v>82</v>
      </c>
      <c r="CI1" s="447">
        <v>83</v>
      </c>
      <c r="CJ1" s="418">
        <v>84</v>
      </c>
      <c r="CK1" s="447">
        <v>85</v>
      </c>
      <c r="CL1" s="447">
        <v>86</v>
      </c>
      <c r="CM1" s="447">
        <v>87</v>
      </c>
      <c r="CN1" s="418">
        <v>88</v>
      </c>
      <c r="CO1" s="447">
        <v>89</v>
      </c>
      <c r="CP1" s="447">
        <v>90</v>
      </c>
      <c r="CQ1" s="447">
        <v>91</v>
      </c>
      <c r="CR1" s="418">
        <v>92</v>
      </c>
      <c r="CS1" s="447">
        <v>93</v>
      </c>
      <c r="CT1" s="447">
        <v>94</v>
      </c>
      <c r="CU1" s="447">
        <v>95</v>
      </c>
      <c r="CV1" s="418">
        <v>96</v>
      </c>
      <c r="CW1" s="447">
        <v>97</v>
      </c>
      <c r="CX1" s="447">
        <v>98</v>
      </c>
      <c r="CY1" s="447">
        <v>99</v>
      </c>
      <c r="CZ1" s="418">
        <v>100</v>
      </c>
      <c r="DA1" s="447">
        <v>101</v>
      </c>
      <c r="DB1" s="447">
        <v>102</v>
      </c>
      <c r="DC1" s="447">
        <v>103</v>
      </c>
      <c r="DD1" s="418">
        <v>104</v>
      </c>
      <c r="DE1" s="447">
        <v>105</v>
      </c>
      <c r="DF1" s="447">
        <v>106</v>
      </c>
      <c r="DG1" s="447">
        <v>107</v>
      </c>
      <c r="DH1" s="418">
        <v>108</v>
      </c>
      <c r="DI1" s="447">
        <v>109</v>
      </c>
      <c r="DJ1" s="447">
        <v>110</v>
      </c>
      <c r="DK1" s="447">
        <v>111</v>
      </c>
      <c r="DL1" s="418">
        <v>112</v>
      </c>
      <c r="DM1" s="447">
        <v>113</v>
      </c>
      <c r="DN1" s="447">
        <v>114</v>
      </c>
      <c r="DO1" s="447">
        <v>115</v>
      </c>
      <c r="DP1" s="418">
        <v>116</v>
      </c>
      <c r="DQ1" s="447">
        <v>117</v>
      </c>
      <c r="DR1" s="447">
        <v>118</v>
      </c>
      <c r="DS1" s="447">
        <v>119</v>
      </c>
      <c r="DT1" s="418">
        <v>120</v>
      </c>
      <c r="DU1" s="447">
        <v>121</v>
      </c>
      <c r="DV1" s="447">
        <v>122</v>
      </c>
      <c r="DW1" s="447">
        <v>123</v>
      </c>
      <c r="DX1" s="418">
        <v>124</v>
      </c>
      <c r="DY1" s="447">
        <v>125</v>
      </c>
      <c r="DZ1" s="447">
        <v>126</v>
      </c>
      <c r="EA1" s="447">
        <v>127</v>
      </c>
      <c r="EB1" s="418">
        <v>128</v>
      </c>
      <c r="EC1" s="447">
        <v>129</v>
      </c>
      <c r="ED1" s="447">
        <v>130</v>
      </c>
      <c r="EE1" s="447">
        <v>131</v>
      </c>
      <c r="EF1" s="418">
        <v>132</v>
      </c>
      <c r="EG1" s="447">
        <v>133</v>
      </c>
      <c r="EH1" s="447">
        <v>134</v>
      </c>
      <c r="EI1" s="447">
        <v>135</v>
      </c>
      <c r="EJ1" s="418">
        <v>136</v>
      </c>
      <c r="EK1" s="447">
        <v>137</v>
      </c>
      <c r="EL1" s="447">
        <v>138</v>
      </c>
      <c r="EM1" s="447">
        <v>139</v>
      </c>
      <c r="EN1" s="418">
        <v>140</v>
      </c>
      <c r="EO1" s="447">
        <v>141</v>
      </c>
      <c r="EP1" s="447">
        <v>142</v>
      </c>
      <c r="EQ1" s="447">
        <v>143</v>
      </c>
      <c r="ER1" s="418">
        <v>144</v>
      </c>
      <c r="ES1" s="447">
        <v>145</v>
      </c>
      <c r="ET1" s="447">
        <v>146</v>
      </c>
      <c r="EU1" s="447">
        <v>147</v>
      </c>
      <c r="EV1" s="418">
        <v>148</v>
      </c>
      <c r="EW1" s="447">
        <v>149</v>
      </c>
      <c r="EX1" s="447">
        <v>150</v>
      </c>
      <c r="EY1" s="447">
        <v>151</v>
      </c>
      <c r="EZ1" s="418">
        <v>152</v>
      </c>
      <c r="FA1" s="447">
        <v>153</v>
      </c>
      <c r="FB1" s="447">
        <v>154</v>
      </c>
      <c r="FC1" s="447">
        <v>155</v>
      </c>
      <c r="FD1" s="418">
        <v>156</v>
      </c>
      <c r="FE1" s="447">
        <v>157</v>
      </c>
      <c r="FF1" s="447">
        <v>158</v>
      </c>
      <c r="FG1" s="447">
        <v>159</v>
      </c>
      <c r="FH1" s="418">
        <v>160</v>
      </c>
      <c r="FI1" s="447">
        <v>161</v>
      </c>
      <c r="FJ1" s="447">
        <v>162</v>
      </c>
      <c r="FK1" s="447">
        <v>163</v>
      </c>
      <c r="FL1" s="418">
        <v>164</v>
      </c>
      <c r="FM1" s="447">
        <v>165</v>
      </c>
      <c r="FN1" s="447">
        <v>166</v>
      </c>
      <c r="FO1" s="447">
        <v>167</v>
      </c>
      <c r="FP1" s="418">
        <v>168</v>
      </c>
      <c r="FQ1" s="447">
        <v>169</v>
      </c>
      <c r="FR1" s="447">
        <v>170</v>
      </c>
      <c r="FS1" s="447">
        <v>171</v>
      </c>
      <c r="FT1" s="418">
        <v>172</v>
      </c>
      <c r="FU1" s="447">
        <v>173</v>
      </c>
      <c r="FV1" s="447">
        <v>174</v>
      </c>
      <c r="FW1" s="447">
        <v>175</v>
      </c>
      <c r="FX1" s="418">
        <v>176</v>
      </c>
      <c r="FY1" s="447">
        <v>177</v>
      </c>
      <c r="FZ1" s="447">
        <v>178</v>
      </c>
      <c r="GA1" s="447">
        <v>179</v>
      </c>
      <c r="GB1" s="418">
        <v>180</v>
      </c>
      <c r="GC1" s="447">
        <v>181</v>
      </c>
      <c r="GD1" s="447">
        <v>182</v>
      </c>
      <c r="GE1" s="447">
        <v>183</v>
      </c>
      <c r="GF1" s="418">
        <v>184</v>
      </c>
      <c r="GG1" s="447">
        <v>185</v>
      </c>
      <c r="GH1" s="447">
        <v>186</v>
      </c>
      <c r="GI1" s="447">
        <v>187</v>
      </c>
      <c r="GJ1" s="418">
        <v>188</v>
      </c>
      <c r="GK1" s="447">
        <v>189</v>
      </c>
      <c r="GL1" s="447">
        <v>190</v>
      </c>
      <c r="GM1" s="447">
        <v>191</v>
      </c>
      <c r="GN1" s="418">
        <v>192</v>
      </c>
      <c r="GO1" s="447">
        <v>193</v>
      </c>
      <c r="GP1" s="447">
        <v>194</v>
      </c>
      <c r="GQ1" s="447">
        <v>195</v>
      </c>
      <c r="GR1" s="418">
        <v>196</v>
      </c>
      <c r="GS1" s="447">
        <v>197</v>
      </c>
      <c r="GT1" s="447">
        <v>198</v>
      </c>
      <c r="GU1" s="447">
        <v>199</v>
      </c>
      <c r="GV1" s="418">
        <v>200</v>
      </c>
      <c r="GW1" s="447">
        <v>201</v>
      </c>
      <c r="GX1" s="447">
        <v>202</v>
      </c>
      <c r="GY1" s="447">
        <v>203</v>
      </c>
      <c r="GZ1" s="418">
        <v>204</v>
      </c>
      <c r="HA1" s="447">
        <v>205</v>
      </c>
      <c r="HB1" s="447">
        <v>206</v>
      </c>
      <c r="HC1" s="447">
        <v>207</v>
      </c>
      <c r="HD1" s="418">
        <v>208</v>
      </c>
      <c r="HE1" s="447">
        <v>209</v>
      </c>
      <c r="HF1" s="447">
        <v>210</v>
      </c>
      <c r="HG1" s="447">
        <v>211</v>
      </c>
      <c r="HH1" s="418">
        <v>212</v>
      </c>
      <c r="HI1" s="447">
        <v>213</v>
      </c>
      <c r="HJ1" s="447">
        <v>214</v>
      </c>
      <c r="HK1" s="447">
        <v>215</v>
      </c>
      <c r="HL1" s="418">
        <v>216</v>
      </c>
      <c r="HM1" s="447">
        <v>217</v>
      </c>
      <c r="HN1" s="447">
        <v>218</v>
      </c>
      <c r="HO1" s="447">
        <v>219</v>
      </c>
      <c r="HP1" s="418">
        <v>220</v>
      </c>
      <c r="HQ1" s="447">
        <v>221</v>
      </c>
      <c r="HR1" s="447">
        <v>222</v>
      </c>
      <c r="HS1" s="447">
        <v>223</v>
      </c>
      <c r="HT1" s="418">
        <v>224</v>
      </c>
      <c r="HU1" s="447">
        <v>225</v>
      </c>
      <c r="HV1" s="447">
        <v>226</v>
      </c>
      <c r="HW1" s="447">
        <v>227</v>
      </c>
      <c r="HX1" s="418">
        <v>228</v>
      </c>
      <c r="HY1" s="447">
        <v>229</v>
      </c>
      <c r="HZ1" s="447">
        <v>230</v>
      </c>
      <c r="IA1" s="447">
        <v>231</v>
      </c>
      <c r="IB1" s="418">
        <v>232</v>
      </c>
      <c r="IC1" s="447">
        <v>233</v>
      </c>
      <c r="ID1" s="447">
        <v>234</v>
      </c>
      <c r="IE1" s="447">
        <v>235</v>
      </c>
      <c r="IF1" s="418">
        <v>236</v>
      </c>
      <c r="IG1" s="447">
        <v>237</v>
      </c>
      <c r="IH1" s="447">
        <v>238</v>
      </c>
      <c r="II1" s="447">
        <v>239</v>
      </c>
      <c r="IJ1" s="418">
        <v>240</v>
      </c>
      <c r="IK1" s="447">
        <v>241</v>
      </c>
      <c r="IL1" s="447">
        <v>242</v>
      </c>
      <c r="IM1" s="447">
        <v>243</v>
      </c>
      <c r="IN1" s="418">
        <v>244</v>
      </c>
      <c r="IO1" s="447">
        <v>245</v>
      </c>
      <c r="IP1" s="447">
        <v>246</v>
      </c>
      <c r="IQ1" s="447">
        <v>247</v>
      </c>
      <c r="IR1" s="418">
        <v>248</v>
      </c>
      <c r="IS1" s="447">
        <v>249</v>
      </c>
      <c r="IT1" s="447">
        <v>250</v>
      </c>
      <c r="IU1" s="447">
        <v>251</v>
      </c>
      <c r="IV1" s="418">
        <v>252</v>
      </c>
      <c r="IW1" s="447">
        <v>253</v>
      </c>
      <c r="IX1" s="418">
        <v>254</v>
      </c>
      <c r="IY1" s="447">
        <v>255</v>
      </c>
      <c r="IZ1" s="418">
        <v>256</v>
      </c>
      <c r="JA1" s="447">
        <v>257</v>
      </c>
      <c r="JB1" s="418">
        <v>258</v>
      </c>
      <c r="JC1" s="447">
        <v>259</v>
      </c>
      <c r="JD1" s="418">
        <v>260</v>
      </c>
      <c r="JE1" s="447">
        <v>261</v>
      </c>
      <c r="JF1" s="418">
        <v>262</v>
      </c>
      <c r="JG1" s="447">
        <v>263</v>
      </c>
      <c r="JH1" s="418">
        <v>264</v>
      </c>
      <c r="JI1" s="447">
        <v>265</v>
      </c>
      <c r="JJ1" s="418">
        <v>266</v>
      </c>
      <c r="JK1" s="447">
        <v>267</v>
      </c>
      <c r="JL1" s="418">
        <v>268</v>
      </c>
      <c r="JM1" s="447">
        <v>269</v>
      </c>
      <c r="JN1" s="418">
        <v>270</v>
      </c>
      <c r="JO1" s="447">
        <v>271</v>
      </c>
      <c r="JP1" s="418">
        <v>272</v>
      </c>
      <c r="JQ1" s="447">
        <v>273</v>
      </c>
      <c r="JR1" s="351"/>
      <c r="JS1" s="1470" t="s">
        <v>2198</v>
      </c>
      <c r="JT1" s="360" t="s">
        <v>2199</v>
      </c>
    </row>
    <row r="2" spans="1:280" ht="12.5" x14ac:dyDescent="0.25">
      <c r="A2" s="1367">
        <v>2</v>
      </c>
      <c r="B2" s="1411" t="str">
        <f t="shared" ref="B2:B25" si="0">IF(TRU_IND&gt;1,IF(HLOOKUP(TRU_IND-1,TRU_RANGE,A2)="","",HLOOKUP(TRU_IND-1,TRU_RANGE,A2)),"")</f>
        <v/>
      </c>
      <c r="C2" s="796" t="s">
        <v>4197</v>
      </c>
      <c r="D2" s="1667" t="s">
        <v>4198</v>
      </c>
      <c r="E2" s="1535"/>
      <c r="F2" s="1535"/>
      <c r="G2" s="1535"/>
      <c r="H2" s="1535"/>
      <c r="I2" s="1535"/>
      <c r="J2" s="1535"/>
      <c r="K2" s="1535"/>
      <c r="L2" s="1535"/>
      <c r="M2" s="1535"/>
      <c r="N2" s="1535"/>
      <c r="O2" s="1535"/>
      <c r="P2" s="1535"/>
      <c r="Q2" s="1535"/>
      <c r="R2" s="1535"/>
      <c r="S2" s="1535"/>
      <c r="T2" s="1535"/>
      <c r="U2" s="1535"/>
      <c r="V2" s="1535"/>
      <c r="W2" s="1535"/>
      <c r="X2" s="1535"/>
      <c r="Y2" s="1535"/>
      <c r="Z2" s="1535"/>
      <c r="AA2" s="1535"/>
      <c r="AB2" s="1535"/>
      <c r="AC2" s="1535"/>
      <c r="AD2" s="1535"/>
      <c r="AE2" s="1535"/>
      <c r="AF2" s="1535"/>
      <c r="AG2" s="1535"/>
      <c r="AH2" s="1535"/>
      <c r="AI2" s="1535"/>
      <c r="AJ2" s="1535"/>
      <c r="AK2" s="1535"/>
      <c r="AL2" s="1535"/>
      <c r="AM2" s="1535"/>
      <c r="AN2" s="1535"/>
      <c r="AO2" s="1535"/>
      <c r="AP2" s="1535"/>
      <c r="AQ2" s="2570"/>
      <c r="AR2" s="1535"/>
      <c r="AS2" s="1535"/>
      <c r="AT2" s="1535"/>
      <c r="AU2" s="1535"/>
      <c r="AV2" s="2570">
        <v>10200</v>
      </c>
      <c r="AW2" s="1535"/>
      <c r="AX2" s="1535"/>
      <c r="AY2" s="1535"/>
      <c r="AZ2" s="1535"/>
      <c r="BA2" s="1535"/>
      <c r="BB2" s="1535"/>
      <c r="BC2" s="1532"/>
      <c r="BD2" s="1532"/>
      <c r="BE2" s="1535"/>
      <c r="BF2" s="1535"/>
      <c r="BG2" s="1535"/>
      <c r="BH2" s="1535"/>
      <c r="BI2" s="1535"/>
      <c r="BJ2" s="1535"/>
      <c r="BK2" s="1535"/>
      <c r="BL2" s="2570">
        <v>10200</v>
      </c>
      <c r="BM2" s="1535"/>
      <c r="BN2" s="1535"/>
      <c r="BO2" s="1535"/>
      <c r="BP2" s="1535"/>
      <c r="BQ2" s="1535"/>
      <c r="BR2" s="1535"/>
      <c r="BS2" s="1535"/>
      <c r="BT2" s="1535"/>
      <c r="BU2" s="1535"/>
      <c r="BV2" s="1535"/>
      <c r="BW2" s="1535"/>
      <c r="BX2" s="1535"/>
      <c r="BY2" s="1535"/>
      <c r="BZ2" s="1535"/>
      <c r="CA2" s="1535"/>
      <c r="CB2" s="1535"/>
      <c r="CC2" s="2570"/>
      <c r="CD2" s="1535"/>
      <c r="CE2" s="1535"/>
      <c r="CF2" s="1535"/>
      <c r="CG2" s="1535"/>
      <c r="CH2" s="1535"/>
      <c r="CI2" s="1535"/>
      <c r="CJ2" s="1535"/>
      <c r="CK2" s="1535"/>
      <c r="CL2" s="1535"/>
      <c r="CM2" s="1535"/>
      <c r="CN2" s="1535"/>
      <c r="CO2" s="1535"/>
      <c r="CP2" s="1535"/>
      <c r="CQ2" s="1535"/>
      <c r="CR2" s="1535"/>
      <c r="CS2" s="1535"/>
      <c r="CT2" s="1535"/>
      <c r="CU2" s="1535"/>
      <c r="CV2" s="1535"/>
      <c r="CW2" s="1535"/>
      <c r="CX2" s="1535"/>
      <c r="CY2" s="1535"/>
      <c r="CZ2" s="1535"/>
      <c r="DA2" s="1535"/>
      <c r="DB2" s="1535"/>
      <c r="DC2" s="1535"/>
      <c r="DD2" s="1535"/>
      <c r="DE2" s="1535"/>
      <c r="DF2" s="1535"/>
      <c r="DG2" s="1535"/>
      <c r="DH2" s="2570"/>
      <c r="DI2" s="1535"/>
      <c r="DJ2" s="2570"/>
      <c r="DK2" s="2570">
        <v>10200</v>
      </c>
      <c r="DL2" s="1535"/>
      <c r="DM2" s="1532"/>
      <c r="DN2" s="1535"/>
      <c r="DO2" s="1535"/>
      <c r="DP2" s="1535"/>
      <c r="DQ2" s="1535"/>
      <c r="DR2" s="1532">
        <v>44507</v>
      </c>
      <c r="DS2" s="1535"/>
      <c r="DT2" s="1535"/>
      <c r="DU2" s="1535"/>
      <c r="DV2" s="1535"/>
      <c r="DW2" s="1535"/>
      <c r="DX2" s="1535"/>
      <c r="DY2" s="1535"/>
      <c r="DZ2" s="1535"/>
      <c r="EA2" s="1535"/>
      <c r="EB2" s="1535"/>
      <c r="EC2" s="1535"/>
      <c r="ED2" s="1535"/>
      <c r="EE2" s="1535"/>
      <c r="EF2" s="1535"/>
      <c r="EG2" s="1535"/>
      <c r="EH2" s="1535"/>
      <c r="EI2" s="1535"/>
      <c r="EJ2" s="1535"/>
      <c r="EK2" s="1535"/>
      <c r="EL2" s="1535"/>
      <c r="EM2" s="1535"/>
      <c r="EN2" s="1535"/>
      <c r="EO2" s="1535"/>
      <c r="EP2" s="1535"/>
      <c r="EQ2" s="1535"/>
      <c r="ER2" s="1535"/>
      <c r="ES2" s="1535"/>
      <c r="ET2" s="1535"/>
      <c r="EU2" s="1535"/>
      <c r="EV2" s="1535"/>
      <c r="EW2" s="2570">
        <v>10200</v>
      </c>
      <c r="EX2" s="1535"/>
      <c r="EY2" s="1535"/>
      <c r="EZ2" s="1535"/>
      <c r="FA2" s="1535"/>
      <c r="FB2" s="1535"/>
      <c r="FC2" s="1535"/>
      <c r="FD2" s="1535"/>
      <c r="FE2" s="1535"/>
      <c r="FF2" s="1535"/>
      <c r="FG2" s="1535"/>
      <c r="FH2" s="1535"/>
      <c r="FI2" s="1535"/>
      <c r="FJ2" s="1535"/>
      <c r="FK2" s="1535"/>
      <c r="FL2" s="1535"/>
      <c r="FM2" s="1535"/>
      <c r="FN2" s="1535"/>
      <c r="FO2" s="1535"/>
      <c r="FP2" s="1535"/>
      <c r="FQ2" s="1535"/>
      <c r="FR2" s="1535"/>
      <c r="FS2" s="1535"/>
      <c r="FT2" s="1535"/>
      <c r="FU2" s="1535"/>
      <c r="FV2" s="1535"/>
      <c r="FW2" s="2570"/>
      <c r="FX2" s="1535"/>
      <c r="FY2" s="1535"/>
      <c r="FZ2" s="1535"/>
      <c r="GA2" s="1535"/>
      <c r="GB2" s="1535"/>
      <c r="GC2" s="1535"/>
      <c r="GD2" s="1535"/>
      <c r="GE2" s="1535"/>
      <c r="GF2" s="1535"/>
      <c r="GG2" s="2570">
        <v>10200</v>
      </c>
      <c r="GH2" s="1535"/>
      <c r="GI2" s="1535"/>
      <c r="GJ2" s="1535"/>
      <c r="GK2" s="1535"/>
      <c r="GL2" s="1535"/>
      <c r="GM2" s="1535"/>
      <c r="GN2" s="1535"/>
      <c r="GO2" s="1535"/>
      <c r="GP2" s="1535"/>
      <c r="GQ2" s="1535"/>
      <c r="GR2" s="1535"/>
      <c r="GS2" s="1535"/>
      <c r="GT2" s="1535"/>
      <c r="GU2" s="1535"/>
      <c r="GV2" s="1535"/>
      <c r="GW2" s="2571">
        <v>9500</v>
      </c>
      <c r="GX2" s="1535"/>
      <c r="GY2" s="1535"/>
      <c r="GZ2" s="1535"/>
      <c r="HA2" s="1535"/>
      <c r="HB2" s="1535"/>
      <c r="HC2" s="1535"/>
      <c r="HD2" s="1535"/>
      <c r="HE2" s="1535"/>
      <c r="HF2" s="1535"/>
      <c r="HG2" s="1535"/>
      <c r="HH2" s="1535"/>
      <c r="HI2" s="1535"/>
      <c r="HJ2" s="1535"/>
      <c r="HK2" s="1535"/>
      <c r="HL2" s="1535"/>
      <c r="HM2" s="1535"/>
      <c r="HN2" s="1535"/>
      <c r="HO2" s="1535"/>
      <c r="HP2" s="1535"/>
      <c r="HQ2" s="1535"/>
      <c r="HR2" s="1535"/>
      <c r="HS2" s="1535"/>
      <c r="HT2" s="1535"/>
      <c r="HU2" s="1535"/>
      <c r="HV2" s="1535"/>
      <c r="HW2" s="1535"/>
      <c r="HX2" s="1535"/>
      <c r="HY2" s="1535"/>
      <c r="HZ2" s="1535"/>
      <c r="IA2" s="1535"/>
      <c r="IB2" s="1535"/>
      <c r="IC2" s="1535"/>
      <c r="ID2" s="1535"/>
      <c r="IE2" s="1535"/>
      <c r="IF2" s="1535"/>
      <c r="IG2" s="1535"/>
      <c r="IH2" s="1535"/>
      <c r="II2" s="1535"/>
      <c r="IJ2" s="1535"/>
      <c r="IK2" s="2571">
        <v>7500</v>
      </c>
      <c r="IL2" s="1535"/>
      <c r="IM2" s="1535"/>
      <c r="IN2" s="1535"/>
      <c r="IO2" s="1535"/>
      <c r="IP2" s="1532"/>
      <c r="IQ2" s="1535"/>
      <c r="IR2" s="1535"/>
      <c r="IS2" s="1535"/>
      <c r="IT2" s="1535"/>
      <c r="IU2" s="1535"/>
      <c r="IV2" s="1535"/>
      <c r="IW2" s="1535"/>
      <c r="IX2" s="1535"/>
      <c r="IY2" s="1535"/>
      <c r="IZ2" s="1535"/>
      <c r="JA2" s="1535"/>
      <c r="JB2" s="1535"/>
      <c r="JC2" s="1535"/>
      <c r="JD2" s="1535"/>
      <c r="JE2" s="1535"/>
      <c r="JF2" s="2570"/>
      <c r="JG2" s="1535"/>
      <c r="JH2" s="1535"/>
      <c r="JI2" s="1535"/>
      <c r="JJ2" s="1535"/>
      <c r="JK2" s="1535"/>
      <c r="JL2" s="1535"/>
      <c r="JM2" s="1535"/>
      <c r="JN2" s="1535"/>
      <c r="JO2" s="1535"/>
      <c r="JP2" s="1535"/>
      <c r="JQ2" s="2572"/>
      <c r="JR2" s="351"/>
      <c r="JS2" s="1470"/>
      <c r="JT2" s="1666" t="s">
        <v>2242</v>
      </c>
    </row>
    <row r="3" spans="1:280" ht="12.5" x14ac:dyDescent="0.25">
      <c r="A3" s="1367">
        <v>3</v>
      </c>
      <c r="B3" s="1411" t="str">
        <f t="shared" si="0"/>
        <v/>
      </c>
      <c r="C3" s="796" t="s">
        <v>4199</v>
      </c>
      <c r="D3" s="1667" t="s">
        <v>4200</v>
      </c>
      <c r="E3" s="1535"/>
      <c r="F3" s="1535"/>
      <c r="G3" s="1535"/>
      <c r="H3" s="1535"/>
      <c r="I3" s="1535"/>
      <c r="J3" s="1535"/>
      <c r="K3" s="1535"/>
      <c r="L3" s="1535"/>
      <c r="M3" s="1535"/>
      <c r="N3" s="1535"/>
      <c r="O3" s="1535"/>
      <c r="P3" s="1535"/>
      <c r="Q3" s="1535"/>
      <c r="R3" s="1535"/>
      <c r="S3" s="1535"/>
      <c r="T3" s="1535"/>
      <c r="U3" s="1535"/>
      <c r="V3" s="1535"/>
      <c r="W3" s="1535"/>
      <c r="X3" s="1535"/>
      <c r="Y3" s="1535"/>
      <c r="Z3" s="1535"/>
      <c r="AA3" s="1535"/>
      <c r="AB3" s="1535"/>
      <c r="AC3" s="1535"/>
      <c r="AD3" s="1535"/>
      <c r="AE3" s="1535"/>
      <c r="AF3" s="1535"/>
      <c r="AG3" s="1535"/>
      <c r="AH3" s="1535"/>
      <c r="AI3" s="1535"/>
      <c r="AJ3" s="1535"/>
      <c r="AK3" s="1535"/>
      <c r="AL3" s="1535"/>
      <c r="AM3" s="1535"/>
      <c r="AN3" s="1535"/>
      <c r="AO3" s="1535"/>
      <c r="AP3" s="1535"/>
      <c r="AQ3" s="1532"/>
      <c r="AR3" s="1535"/>
      <c r="AS3" s="1535"/>
      <c r="AT3" s="1535"/>
      <c r="AU3" s="1535"/>
      <c r="AV3" s="1532"/>
      <c r="AW3" s="1535"/>
      <c r="AX3" s="1535"/>
      <c r="AY3" s="1535"/>
      <c r="AZ3" s="1535"/>
      <c r="BA3" s="1535"/>
      <c r="BB3" s="1535"/>
      <c r="BC3" s="1532"/>
      <c r="BD3" s="1532"/>
      <c r="BE3" s="1535"/>
      <c r="BF3" s="1535"/>
      <c r="BG3" s="1535"/>
      <c r="BH3" s="1535"/>
      <c r="BI3" s="1535"/>
      <c r="BJ3" s="1535"/>
      <c r="BK3" s="1535"/>
      <c r="BL3" s="1532"/>
      <c r="BM3" s="1535"/>
      <c r="BN3" s="1535"/>
      <c r="BO3" s="1535"/>
      <c r="BP3" s="1535"/>
      <c r="BQ3" s="1535"/>
      <c r="BR3" s="1535"/>
      <c r="BS3" s="1535"/>
      <c r="BT3" s="1535"/>
      <c r="BU3" s="1535"/>
      <c r="BV3" s="1535"/>
      <c r="BW3" s="1535"/>
      <c r="BX3" s="1535"/>
      <c r="BY3" s="1535"/>
      <c r="BZ3" s="1535"/>
      <c r="CA3" s="1535"/>
      <c r="CB3" s="1535"/>
      <c r="CC3" s="1532"/>
      <c r="CD3" s="1535"/>
      <c r="CE3" s="1535"/>
      <c r="CF3" s="1535"/>
      <c r="CG3" s="1535"/>
      <c r="CH3" s="1535"/>
      <c r="CI3" s="1535"/>
      <c r="CJ3" s="1535"/>
      <c r="CK3" s="1535"/>
      <c r="CL3" s="1535"/>
      <c r="CM3" s="1535"/>
      <c r="CN3" s="1535"/>
      <c r="CO3" s="1535"/>
      <c r="CP3" s="1535"/>
      <c r="CQ3" s="1535"/>
      <c r="CR3" s="1535"/>
      <c r="CS3" s="1535"/>
      <c r="CT3" s="1535"/>
      <c r="CU3" s="1535"/>
      <c r="CV3" s="1535"/>
      <c r="CW3" s="1535"/>
      <c r="CX3" s="1535"/>
      <c r="CY3" s="1535"/>
      <c r="CZ3" s="1535"/>
      <c r="DA3" s="1535"/>
      <c r="DB3" s="1535"/>
      <c r="DC3" s="1535"/>
      <c r="DD3" s="1535"/>
      <c r="DE3" s="1535"/>
      <c r="DF3" s="1535"/>
      <c r="DG3" s="1535"/>
      <c r="DH3" s="1532">
        <v>2530</v>
      </c>
      <c r="DI3" s="1535"/>
      <c r="DJ3" s="1532"/>
      <c r="DK3" s="1532"/>
      <c r="DL3" s="1535"/>
      <c r="DM3" s="1532"/>
      <c r="DN3" s="1535"/>
      <c r="DO3" s="1535"/>
      <c r="DP3" s="1535"/>
      <c r="DQ3" s="1535"/>
      <c r="DR3" s="1532">
        <v>4500</v>
      </c>
      <c r="DS3" s="1535"/>
      <c r="DT3" s="1535"/>
      <c r="DU3" s="1535"/>
      <c r="DV3" s="1535"/>
      <c r="DW3" s="1535"/>
      <c r="DX3" s="1535"/>
      <c r="DY3" s="1535"/>
      <c r="DZ3" s="1535"/>
      <c r="EA3" s="1535"/>
      <c r="EB3" s="1535"/>
      <c r="EC3" s="1535"/>
      <c r="ED3" s="1535"/>
      <c r="EE3" s="1535"/>
      <c r="EF3" s="1535"/>
      <c r="EG3" s="1535"/>
      <c r="EH3" s="1535"/>
      <c r="EI3" s="1535"/>
      <c r="EJ3" s="1535"/>
      <c r="EK3" s="1535"/>
      <c r="EL3" s="1535"/>
      <c r="EM3" s="1535"/>
      <c r="EN3" s="1535"/>
      <c r="EO3" s="1535"/>
      <c r="EP3" s="1535"/>
      <c r="EQ3" s="1535"/>
      <c r="ER3" s="1535"/>
      <c r="ES3" s="1535"/>
      <c r="ET3" s="1535"/>
      <c r="EU3" s="1535"/>
      <c r="EV3" s="1535"/>
      <c r="EW3" s="1532"/>
      <c r="EX3" s="1535"/>
      <c r="EY3" s="1535"/>
      <c r="EZ3" s="1535"/>
      <c r="FA3" s="1535"/>
      <c r="FB3" s="1535"/>
      <c r="FC3" s="1535"/>
      <c r="FD3" s="1535"/>
      <c r="FE3" s="1535"/>
      <c r="FF3" s="1535"/>
      <c r="FG3" s="1535"/>
      <c r="FH3" s="1535"/>
      <c r="FI3" s="1535"/>
      <c r="FJ3" s="1535"/>
      <c r="FK3" s="1535"/>
      <c r="FL3" s="1535"/>
      <c r="FM3" s="1535"/>
      <c r="FN3" s="1535"/>
      <c r="FO3" s="1535"/>
      <c r="FP3" s="1535"/>
      <c r="FQ3" s="1535"/>
      <c r="FR3" s="1535"/>
      <c r="FS3" s="1535"/>
      <c r="FT3" s="1535"/>
      <c r="FU3" s="1535"/>
      <c r="FV3" s="1535"/>
      <c r="FW3" s="1532">
        <v>2150</v>
      </c>
      <c r="FX3" s="1535"/>
      <c r="FY3" s="1535"/>
      <c r="FZ3" s="1535"/>
      <c r="GA3" s="1535"/>
      <c r="GB3" s="1535"/>
      <c r="GC3" s="1535"/>
      <c r="GD3" s="1535"/>
      <c r="GE3" s="1535"/>
      <c r="GF3" s="1535"/>
      <c r="GG3" s="1532"/>
      <c r="GH3" s="1535"/>
      <c r="GI3" s="1535"/>
      <c r="GJ3" s="1535"/>
      <c r="GK3" s="1535"/>
      <c r="GL3" s="1535"/>
      <c r="GM3" s="1535"/>
      <c r="GN3" s="1535"/>
      <c r="GO3" s="1535"/>
      <c r="GP3" s="1535"/>
      <c r="GQ3" s="1535"/>
      <c r="GR3" s="1535"/>
      <c r="GS3" s="1535"/>
      <c r="GT3" s="1535"/>
      <c r="GU3" s="1535"/>
      <c r="GV3" s="1535"/>
      <c r="GW3" s="1532"/>
      <c r="GX3" s="1535"/>
      <c r="GY3" s="1535"/>
      <c r="GZ3" s="1535"/>
      <c r="HA3" s="1535"/>
      <c r="HB3" s="1535"/>
      <c r="HC3" s="1535"/>
      <c r="HD3" s="1535"/>
      <c r="HE3" s="1535"/>
      <c r="HF3" s="1535"/>
      <c r="HG3" s="1535"/>
      <c r="HH3" s="1535"/>
      <c r="HI3" s="1535"/>
      <c r="HJ3" s="1535"/>
      <c r="HK3" s="1535"/>
      <c r="HL3" s="1535"/>
      <c r="HM3" s="1535"/>
      <c r="HN3" s="1535"/>
      <c r="HO3" s="1535"/>
      <c r="HP3" s="1535"/>
      <c r="HQ3" s="1535"/>
      <c r="HR3" s="1535"/>
      <c r="HS3" s="1535"/>
      <c r="HT3" s="1535"/>
      <c r="HU3" s="1535"/>
      <c r="HV3" s="1535"/>
      <c r="HW3" s="1535"/>
      <c r="HX3" s="1535"/>
      <c r="HY3" s="1535"/>
      <c r="HZ3" s="1535"/>
      <c r="IA3" s="1535"/>
      <c r="IB3" s="1535"/>
      <c r="IC3" s="1535"/>
      <c r="ID3" s="1535"/>
      <c r="IE3" s="1535"/>
      <c r="IF3" s="1535"/>
      <c r="IG3" s="1535"/>
      <c r="IH3" s="1535"/>
      <c r="II3" s="1535"/>
      <c r="IJ3" s="1535"/>
      <c r="IK3" s="1532"/>
      <c r="IL3" s="1535"/>
      <c r="IM3" s="1535"/>
      <c r="IN3" s="1535"/>
      <c r="IO3" s="1535"/>
      <c r="IP3" s="1532"/>
      <c r="IQ3" s="1535"/>
      <c r="IR3" s="1535"/>
      <c r="IS3" s="1535"/>
      <c r="IT3" s="1535"/>
      <c r="IU3" s="1535"/>
      <c r="IV3" s="1535"/>
      <c r="IW3" s="1535"/>
      <c r="IX3" s="1535"/>
      <c r="IY3" s="1535"/>
      <c r="IZ3" s="1535"/>
      <c r="JA3" s="1535"/>
      <c r="JB3" s="1535"/>
      <c r="JC3" s="1535"/>
      <c r="JD3" s="1535"/>
      <c r="JE3" s="1535"/>
      <c r="JF3" s="1532"/>
      <c r="JG3" s="1535"/>
      <c r="JH3" s="1535"/>
      <c r="JI3" s="1535"/>
      <c r="JJ3" s="1535"/>
      <c r="JK3" s="1535"/>
      <c r="JL3" s="1535"/>
      <c r="JM3" s="1535"/>
      <c r="JN3" s="1535"/>
      <c r="JO3" s="1535"/>
      <c r="JP3" s="1535"/>
      <c r="JQ3" s="2572"/>
      <c r="JR3" s="351"/>
      <c r="JS3" s="1400"/>
      <c r="JT3" s="1666" t="s">
        <v>2882</v>
      </c>
    </row>
    <row r="4" spans="1:280" ht="12.5" x14ac:dyDescent="0.25">
      <c r="A4" s="1367">
        <v>4</v>
      </c>
      <c r="B4" s="1411" t="str">
        <f t="shared" si="0"/>
        <v/>
      </c>
      <c r="C4" s="796" t="s">
        <v>4201</v>
      </c>
      <c r="D4" s="1667" t="s">
        <v>4202</v>
      </c>
      <c r="E4" s="1535"/>
      <c r="F4" s="1535"/>
      <c r="G4" s="1535"/>
      <c r="H4" s="1535"/>
      <c r="I4" s="1535"/>
      <c r="J4" s="1535"/>
      <c r="K4" s="1535"/>
      <c r="L4" s="1535"/>
      <c r="M4" s="1535"/>
      <c r="N4" s="1535"/>
      <c r="O4" s="1535"/>
      <c r="P4" s="1535"/>
      <c r="Q4" s="1535"/>
      <c r="R4" s="1535"/>
      <c r="S4" s="1535"/>
      <c r="T4" s="1535"/>
      <c r="U4" s="1535"/>
      <c r="V4" s="1535"/>
      <c r="W4" s="1535"/>
      <c r="X4" s="1535"/>
      <c r="Y4" s="1535"/>
      <c r="Z4" s="1535"/>
      <c r="AA4" s="1535"/>
      <c r="AB4" s="1535"/>
      <c r="AC4" s="1535"/>
      <c r="AD4" s="1535"/>
      <c r="AE4" s="1535"/>
      <c r="AF4" s="1535"/>
      <c r="AG4" s="1535"/>
      <c r="AH4" s="1535"/>
      <c r="AI4" s="1535"/>
      <c r="AJ4" s="1535"/>
      <c r="AK4" s="1535"/>
      <c r="AL4" s="1535"/>
      <c r="AM4" s="1535"/>
      <c r="AN4" s="1535"/>
      <c r="AO4" s="1535"/>
      <c r="AP4" s="1535"/>
      <c r="AQ4" s="1532"/>
      <c r="AR4" s="1535"/>
      <c r="AS4" s="1535"/>
      <c r="AT4" s="1535"/>
      <c r="AU4" s="1535"/>
      <c r="AV4" s="1532">
        <v>10568</v>
      </c>
      <c r="AW4" s="1535"/>
      <c r="AX4" s="1535"/>
      <c r="AY4" s="1535"/>
      <c r="AZ4" s="1535"/>
      <c r="BA4" s="1535"/>
      <c r="BB4" s="1535"/>
      <c r="BC4" s="1532"/>
      <c r="BD4" s="1532">
        <v>137238</v>
      </c>
      <c r="BE4" s="1535"/>
      <c r="BF4" s="1535"/>
      <c r="BG4" s="1535"/>
      <c r="BH4" s="1535"/>
      <c r="BI4" s="1535"/>
      <c r="BJ4" s="1535"/>
      <c r="BK4" s="1535"/>
      <c r="BL4" s="1532">
        <v>10568</v>
      </c>
      <c r="BM4" s="1535"/>
      <c r="BN4" s="1535"/>
      <c r="BO4" s="1535"/>
      <c r="BP4" s="1535"/>
      <c r="BQ4" s="1535"/>
      <c r="BR4" s="1535"/>
      <c r="BS4" s="1535"/>
      <c r="BT4" s="1535"/>
      <c r="BU4" s="1535"/>
      <c r="BV4" s="1535"/>
      <c r="BW4" s="1535"/>
      <c r="BX4" s="1535"/>
      <c r="BY4" s="1535"/>
      <c r="BZ4" s="1535"/>
      <c r="CA4" s="1535"/>
      <c r="CB4" s="1535"/>
      <c r="CC4" s="1532"/>
      <c r="CD4" s="1535"/>
      <c r="CE4" s="1535"/>
      <c r="CF4" s="1535"/>
      <c r="CG4" s="1535"/>
      <c r="CH4" s="1535"/>
      <c r="CI4" s="1535"/>
      <c r="CJ4" s="1535"/>
      <c r="CK4" s="1535"/>
      <c r="CL4" s="1535"/>
      <c r="CM4" s="1535"/>
      <c r="CN4" s="1535"/>
      <c r="CO4" s="1535"/>
      <c r="CP4" s="1535"/>
      <c r="CQ4" s="1535"/>
      <c r="CR4" s="1535"/>
      <c r="CS4" s="1535"/>
      <c r="CT4" s="1535"/>
      <c r="CU4" s="1535"/>
      <c r="CV4" s="1535"/>
      <c r="CW4" s="1535"/>
      <c r="CX4" s="1535"/>
      <c r="CY4" s="1535"/>
      <c r="CZ4" s="1535"/>
      <c r="DA4" s="1535"/>
      <c r="DB4" s="1535"/>
      <c r="DC4" s="1535"/>
      <c r="DD4" s="1535"/>
      <c r="DE4" s="1535"/>
      <c r="DF4" s="1535"/>
      <c r="DG4" s="1535"/>
      <c r="DH4" s="1532"/>
      <c r="DI4" s="1535"/>
      <c r="DJ4" s="1532"/>
      <c r="DK4" s="1532">
        <v>10568</v>
      </c>
      <c r="DL4" s="1535"/>
      <c r="DM4" s="1532"/>
      <c r="DN4" s="1535"/>
      <c r="DO4" s="1535"/>
      <c r="DP4" s="1535"/>
      <c r="DQ4" s="1535"/>
      <c r="DR4" s="1532"/>
      <c r="DS4" s="1535"/>
      <c r="DT4" s="1535"/>
      <c r="DU4" s="1535"/>
      <c r="DV4" s="1535"/>
      <c r="DW4" s="1535"/>
      <c r="DX4" s="1535"/>
      <c r="DY4" s="1535"/>
      <c r="DZ4" s="1535"/>
      <c r="EA4" s="1535"/>
      <c r="EB4" s="1535"/>
      <c r="EC4" s="1535"/>
      <c r="ED4" s="1535"/>
      <c r="EE4" s="1535"/>
      <c r="EF4" s="1535"/>
      <c r="EG4" s="1535"/>
      <c r="EH4" s="1535"/>
      <c r="EI4" s="1535"/>
      <c r="EJ4" s="1535"/>
      <c r="EK4" s="1535"/>
      <c r="EL4" s="1535"/>
      <c r="EM4" s="1535"/>
      <c r="EN4" s="1535"/>
      <c r="EO4" s="1535"/>
      <c r="EP4" s="1535"/>
      <c r="EQ4" s="1535"/>
      <c r="ER4" s="1535"/>
      <c r="ES4" s="1535"/>
      <c r="ET4" s="1535"/>
      <c r="EU4" s="1535"/>
      <c r="EV4" s="1535"/>
      <c r="EW4" s="1532">
        <v>10568</v>
      </c>
      <c r="EX4" s="1535"/>
      <c r="EY4" s="1535"/>
      <c r="EZ4" s="1535"/>
      <c r="FA4" s="1535"/>
      <c r="FB4" s="1535"/>
      <c r="FC4" s="1535"/>
      <c r="FD4" s="1535"/>
      <c r="FE4" s="1535"/>
      <c r="FF4" s="1535"/>
      <c r="FG4" s="1535"/>
      <c r="FH4" s="1535"/>
      <c r="FI4" s="1535"/>
      <c r="FJ4" s="1535"/>
      <c r="FK4" s="1535"/>
      <c r="FL4" s="1537">
        <v>589.6</v>
      </c>
      <c r="FM4" s="1535"/>
      <c r="FN4" s="1535"/>
      <c r="FO4" s="1535"/>
      <c r="FP4" s="1535"/>
      <c r="FQ4" s="1535"/>
      <c r="FR4" s="1535"/>
      <c r="FS4" s="1535"/>
      <c r="FT4" s="1535"/>
      <c r="FU4" s="1535"/>
      <c r="FV4" s="1535"/>
      <c r="FW4" s="1532"/>
      <c r="FX4" s="1535"/>
      <c r="FY4" s="1535"/>
      <c r="FZ4" s="1535"/>
      <c r="GA4" s="1535"/>
      <c r="GB4" s="1535"/>
      <c r="GC4" s="1535"/>
      <c r="GD4" s="1535"/>
      <c r="GE4" s="1535"/>
      <c r="GF4" s="1535"/>
      <c r="GG4" s="1532">
        <v>10568</v>
      </c>
      <c r="GH4" s="1535"/>
      <c r="GI4" s="1535"/>
      <c r="GJ4" s="1535"/>
      <c r="GK4" s="1535"/>
      <c r="GL4" s="1535"/>
      <c r="GM4" s="1535"/>
      <c r="GN4" s="1535"/>
      <c r="GO4" s="1535"/>
      <c r="GP4" s="1535"/>
      <c r="GQ4" s="1535"/>
      <c r="GR4" s="1535"/>
      <c r="GS4" s="1535"/>
      <c r="GT4" s="1535"/>
      <c r="GU4" s="1535"/>
      <c r="GV4" s="1535"/>
      <c r="GW4" s="1541">
        <v>6039</v>
      </c>
      <c r="GX4" s="1535"/>
      <c r="GY4" s="1535"/>
      <c r="GZ4" s="1535"/>
      <c r="HA4" s="1535"/>
      <c r="HB4" s="1535"/>
      <c r="HC4" s="1535"/>
      <c r="HD4" s="1535"/>
      <c r="HE4" s="1535"/>
      <c r="HF4" s="1535"/>
      <c r="HG4" s="1535"/>
      <c r="HH4" s="1535"/>
      <c r="HI4" s="1535"/>
      <c r="HJ4" s="1535"/>
      <c r="HK4" s="1535"/>
      <c r="HL4" s="1535"/>
      <c r="HM4" s="1535"/>
      <c r="HN4" s="1535"/>
      <c r="HO4" s="1535"/>
      <c r="HP4" s="1535"/>
      <c r="HQ4" s="1535"/>
      <c r="HR4" s="1535"/>
      <c r="HS4" s="1535"/>
      <c r="HT4" s="1535"/>
      <c r="HU4" s="1535"/>
      <c r="HV4" s="1535"/>
      <c r="HW4" s="1535"/>
      <c r="HX4" s="1535"/>
      <c r="HY4" s="1535"/>
      <c r="HZ4" s="1535"/>
      <c r="IA4" s="1535"/>
      <c r="IB4" s="1535"/>
      <c r="IC4" s="1535"/>
      <c r="ID4" s="1535"/>
      <c r="IE4" s="1535"/>
      <c r="IF4" s="1535"/>
      <c r="IG4" s="1535"/>
      <c r="IH4" s="1535"/>
      <c r="II4" s="1535"/>
      <c r="IJ4" s="1535"/>
      <c r="IK4" s="1541">
        <v>4279</v>
      </c>
      <c r="IL4" s="1535"/>
      <c r="IM4" s="1535"/>
      <c r="IN4" s="1535"/>
      <c r="IO4" s="1535"/>
      <c r="IP4" s="1532"/>
      <c r="IQ4" s="1535"/>
      <c r="IR4" s="1535"/>
      <c r="IS4" s="1535"/>
      <c r="IT4" s="1535"/>
      <c r="IU4" s="1535"/>
      <c r="IV4" s="1535"/>
      <c r="IW4" s="1535"/>
      <c r="IX4" s="1535"/>
      <c r="IY4" s="1535"/>
      <c r="IZ4" s="1535"/>
      <c r="JA4" s="1535"/>
      <c r="JB4" s="1535"/>
      <c r="JC4" s="1535"/>
      <c r="JD4" s="1535"/>
      <c r="JE4" s="1535"/>
      <c r="JF4" s="1532"/>
      <c r="JG4" s="1535"/>
      <c r="JH4" s="1535"/>
      <c r="JI4" s="1535"/>
      <c r="JJ4" s="1535"/>
      <c r="JK4" s="1535"/>
      <c r="JL4" s="1535"/>
      <c r="JM4" s="1535"/>
      <c r="JN4" s="1535"/>
      <c r="JO4" s="1535"/>
      <c r="JP4" s="1535"/>
      <c r="JQ4" s="2572"/>
      <c r="JR4" s="351"/>
      <c r="JS4" s="1400"/>
      <c r="JT4" s="1666" t="s">
        <v>2242</v>
      </c>
    </row>
    <row r="5" spans="1:280" ht="12.5" x14ac:dyDescent="0.25">
      <c r="A5" s="1367">
        <v>5</v>
      </c>
      <c r="B5" s="1411" t="str">
        <f t="shared" si="0"/>
        <v/>
      </c>
      <c r="C5" s="796" t="s">
        <v>4203</v>
      </c>
      <c r="D5" s="1667" t="s">
        <v>4204</v>
      </c>
      <c r="E5" s="1535"/>
      <c r="F5" s="1535"/>
      <c r="G5" s="1535"/>
      <c r="H5" s="1535"/>
      <c r="I5" s="1535"/>
      <c r="J5" s="1535"/>
      <c r="K5" s="1535"/>
      <c r="L5" s="1535"/>
      <c r="M5" s="1535"/>
      <c r="N5" s="1535"/>
      <c r="O5" s="1535"/>
      <c r="P5" s="1535"/>
      <c r="Q5" s="1535"/>
      <c r="R5" s="1535"/>
      <c r="S5" s="1535"/>
      <c r="T5" s="1535"/>
      <c r="U5" s="1535"/>
      <c r="V5" s="1535"/>
      <c r="W5" s="1535"/>
      <c r="X5" s="1535"/>
      <c r="Y5" s="1535"/>
      <c r="Z5" s="1535"/>
      <c r="AA5" s="1535"/>
      <c r="AB5" s="1535"/>
      <c r="AC5" s="1535"/>
      <c r="AD5" s="1535"/>
      <c r="AE5" s="1535"/>
      <c r="AF5" s="1535"/>
      <c r="AG5" s="1535"/>
      <c r="AH5" s="1535"/>
      <c r="AI5" s="1535"/>
      <c r="AJ5" s="1535"/>
      <c r="AK5" s="1535"/>
      <c r="AL5" s="1535"/>
      <c r="AM5" s="1535"/>
      <c r="AN5" s="1535"/>
      <c r="AO5" s="1535"/>
      <c r="AP5" s="1535"/>
      <c r="AQ5" s="1532"/>
      <c r="AR5" s="1535"/>
      <c r="AS5" s="1535"/>
      <c r="AT5" s="1535"/>
      <c r="AU5" s="1535"/>
      <c r="AV5" s="131">
        <v>800</v>
      </c>
      <c r="AW5" s="1535"/>
      <c r="AX5" s="1535"/>
      <c r="AY5" s="1535"/>
      <c r="AZ5" s="1535"/>
      <c r="BA5" s="1535"/>
      <c r="BB5" s="1535"/>
      <c r="BC5" s="1532"/>
      <c r="BD5" s="1532">
        <v>15726</v>
      </c>
      <c r="BE5" s="1535"/>
      <c r="BF5" s="1535"/>
      <c r="BG5" s="1535"/>
      <c r="BH5" s="1535"/>
      <c r="BI5" s="1535"/>
      <c r="BJ5" s="1535"/>
      <c r="BK5" s="1535"/>
      <c r="BL5" s="131">
        <v>800</v>
      </c>
      <c r="BM5" s="1535"/>
      <c r="BN5" s="1535"/>
      <c r="BO5" s="1535"/>
      <c r="BP5" s="1535"/>
      <c r="BQ5" s="1535"/>
      <c r="BR5" s="1535"/>
      <c r="BS5" s="1535"/>
      <c r="BT5" s="1535"/>
      <c r="BU5" s="1535"/>
      <c r="BV5" s="1535"/>
      <c r="BW5" s="1535"/>
      <c r="BX5" s="1535"/>
      <c r="BY5" s="1535"/>
      <c r="BZ5" s="1535"/>
      <c r="CA5" s="1535"/>
      <c r="CB5" s="1535"/>
      <c r="CC5" s="1532"/>
      <c r="CD5" s="1535"/>
      <c r="CE5" s="1535"/>
      <c r="CF5" s="1535"/>
      <c r="CG5" s="1535"/>
      <c r="CH5" s="1535"/>
      <c r="CI5" s="1535"/>
      <c r="CJ5" s="1535"/>
      <c r="CK5" s="1535"/>
      <c r="CL5" s="1535"/>
      <c r="CM5" s="1535"/>
      <c r="CN5" s="1535"/>
      <c r="CO5" s="1535"/>
      <c r="CP5" s="1535"/>
      <c r="CQ5" s="1535"/>
      <c r="CR5" s="1535"/>
      <c r="CS5" s="1535"/>
      <c r="CT5" s="1535"/>
      <c r="CU5" s="1535"/>
      <c r="CV5" s="1535"/>
      <c r="CW5" s="1535"/>
      <c r="CX5" s="1535"/>
      <c r="CY5" s="1535"/>
      <c r="CZ5" s="1535"/>
      <c r="DA5" s="1535"/>
      <c r="DB5" s="1535"/>
      <c r="DC5" s="1535"/>
      <c r="DD5" s="1535"/>
      <c r="DE5" s="1535"/>
      <c r="DF5" s="1535"/>
      <c r="DG5" s="1535"/>
      <c r="DH5" s="1532"/>
      <c r="DI5" s="1535"/>
      <c r="DJ5" s="1532"/>
      <c r="DK5" s="131">
        <v>800</v>
      </c>
      <c r="DL5" s="1535"/>
      <c r="DM5" s="1532"/>
      <c r="DN5" s="1535"/>
      <c r="DO5" s="1535"/>
      <c r="DP5" s="1535"/>
      <c r="DQ5" s="1535"/>
      <c r="DR5" s="1532"/>
      <c r="DS5" s="1535"/>
      <c r="DT5" s="1535"/>
      <c r="DU5" s="1535"/>
      <c r="DV5" s="1535"/>
      <c r="DW5" s="1535"/>
      <c r="DX5" s="1535"/>
      <c r="DY5" s="1535"/>
      <c r="DZ5" s="1535"/>
      <c r="EA5" s="1535"/>
      <c r="EB5" s="1535"/>
      <c r="EC5" s="1535"/>
      <c r="ED5" s="1535"/>
      <c r="EE5" s="1535"/>
      <c r="EF5" s="1535"/>
      <c r="EG5" s="1535"/>
      <c r="EH5" s="1535"/>
      <c r="EI5" s="1535"/>
      <c r="EJ5" s="1535"/>
      <c r="EK5" s="1535"/>
      <c r="EL5" s="1535"/>
      <c r="EM5" s="1535"/>
      <c r="EN5" s="1535"/>
      <c r="EO5" s="1535"/>
      <c r="EP5" s="1535"/>
      <c r="EQ5" s="1535"/>
      <c r="ER5" s="1535"/>
      <c r="ES5" s="1535"/>
      <c r="ET5" s="1535"/>
      <c r="EU5" s="1535"/>
      <c r="EV5" s="1535"/>
      <c r="EW5" s="131">
        <v>800</v>
      </c>
      <c r="EX5" s="1535"/>
      <c r="EY5" s="1535"/>
      <c r="EZ5" s="1535"/>
      <c r="FA5" s="1535"/>
      <c r="FB5" s="1535"/>
      <c r="FC5" s="1535"/>
      <c r="FD5" s="1535"/>
      <c r="FE5" s="1535"/>
      <c r="FF5" s="1535"/>
      <c r="FG5" s="1535"/>
      <c r="FH5" s="1535"/>
      <c r="FI5" s="1535"/>
      <c r="FJ5" s="1535"/>
      <c r="FK5" s="1535"/>
      <c r="FL5" s="1537">
        <v>3680.7</v>
      </c>
      <c r="FM5" s="1535"/>
      <c r="FN5" s="1535"/>
      <c r="FO5" s="1535"/>
      <c r="FP5" s="1535"/>
      <c r="FQ5" s="1535"/>
      <c r="FR5" s="1535"/>
      <c r="FS5" s="1535"/>
      <c r="FT5" s="1535"/>
      <c r="FU5" s="1535"/>
      <c r="FV5" s="1535"/>
      <c r="FW5" s="1532"/>
      <c r="FX5" s="1535"/>
      <c r="FY5" s="1535"/>
      <c r="FZ5" s="1535"/>
      <c r="GA5" s="1535"/>
      <c r="GB5" s="1535"/>
      <c r="GC5" s="1535"/>
      <c r="GD5" s="1535"/>
      <c r="GE5" s="1535"/>
      <c r="GF5" s="1535"/>
      <c r="GG5" s="131">
        <v>800</v>
      </c>
      <c r="GH5" s="1535"/>
      <c r="GI5" s="1535"/>
      <c r="GJ5" s="1535"/>
      <c r="GK5" s="1535"/>
      <c r="GL5" s="1535"/>
      <c r="GM5" s="1535"/>
      <c r="GN5" s="1535"/>
      <c r="GO5" s="1535"/>
      <c r="GP5" s="1535"/>
      <c r="GQ5" s="1535"/>
      <c r="GR5" s="1535"/>
      <c r="GS5" s="1535"/>
      <c r="GT5" s="1535"/>
      <c r="GU5" s="1535"/>
      <c r="GV5" s="1535"/>
      <c r="GW5" s="1014">
        <v>550</v>
      </c>
      <c r="GX5" s="1535"/>
      <c r="GY5" s="1535"/>
      <c r="GZ5" s="1535"/>
      <c r="HA5" s="1535"/>
      <c r="HB5" s="1535"/>
      <c r="HC5" s="1535"/>
      <c r="HD5" s="1535"/>
      <c r="HE5" s="1535"/>
      <c r="HF5" s="1535"/>
      <c r="HG5" s="1535"/>
      <c r="HH5" s="1535"/>
      <c r="HI5" s="1535"/>
      <c r="HJ5" s="1535"/>
      <c r="HK5" s="1535"/>
      <c r="HL5" s="1535"/>
      <c r="HM5" s="1535"/>
      <c r="HN5" s="1535"/>
      <c r="HO5" s="1535"/>
      <c r="HP5" s="1535"/>
      <c r="HQ5" s="1535"/>
      <c r="HR5" s="1535"/>
      <c r="HS5" s="1535"/>
      <c r="HT5" s="1535"/>
      <c r="HU5" s="1535"/>
      <c r="HV5" s="1535"/>
      <c r="HW5" s="1535"/>
      <c r="HX5" s="1535"/>
      <c r="HY5" s="1535"/>
      <c r="HZ5" s="1535"/>
      <c r="IA5" s="1535"/>
      <c r="IB5" s="1535"/>
      <c r="IC5" s="1535"/>
      <c r="ID5" s="1535"/>
      <c r="IE5" s="1535"/>
      <c r="IF5" s="1535"/>
      <c r="IG5" s="1535"/>
      <c r="IH5" s="1535"/>
      <c r="II5" s="1535"/>
      <c r="IJ5" s="1535"/>
      <c r="IK5" s="1014">
        <v>350</v>
      </c>
      <c r="IL5" s="1535"/>
      <c r="IM5" s="1535"/>
      <c r="IN5" s="1535"/>
      <c r="IO5" s="1535"/>
      <c r="IP5" s="1535">
        <v>148</v>
      </c>
      <c r="IQ5" s="1535"/>
      <c r="IR5" s="1535"/>
      <c r="IS5" s="1535"/>
      <c r="IT5" s="1535"/>
      <c r="IU5" s="1535"/>
      <c r="IV5" s="1535"/>
      <c r="IW5" s="1535"/>
      <c r="IX5" s="1535"/>
      <c r="IY5" s="1535"/>
      <c r="IZ5" s="1535"/>
      <c r="JA5" s="1535"/>
      <c r="JB5" s="1535"/>
      <c r="JC5" s="1535"/>
      <c r="JD5" s="1535"/>
      <c r="JE5" s="1535"/>
      <c r="JF5" s="1532"/>
      <c r="JG5" s="1535"/>
      <c r="JH5" s="1535"/>
      <c r="JI5" s="1535"/>
      <c r="JJ5" s="1535"/>
      <c r="JK5" s="1535"/>
      <c r="JL5" s="1535"/>
      <c r="JM5" s="1535"/>
      <c r="JN5" s="1535"/>
      <c r="JO5" s="1535"/>
      <c r="JP5" s="1535"/>
      <c r="JQ5" s="2572"/>
      <c r="JR5" s="351"/>
      <c r="JS5" s="1400"/>
      <c r="JT5" s="1666" t="s">
        <v>2242</v>
      </c>
    </row>
    <row r="6" spans="1:280" ht="12.5" x14ac:dyDescent="0.25">
      <c r="A6" s="1367">
        <v>6</v>
      </c>
      <c r="B6" s="1411" t="str">
        <f t="shared" si="0"/>
        <v/>
      </c>
      <c r="C6" s="796" t="s">
        <v>4205</v>
      </c>
      <c r="D6" s="1667" t="s">
        <v>4206</v>
      </c>
      <c r="E6" s="1535"/>
      <c r="F6" s="1535"/>
      <c r="G6" s="1535"/>
      <c r="H6" s="1535"/>
      <c r="I6" s="1535"/>
      <c r="J6" s="1535"/>
      <c r="K6" s="1535"/>
      <c r="L6" s="1535"/>
      <c r="M6" s="1535"/>
      <c r="N6" s="1535"/>
      <c r="O6" s="1535"/>
      <c r="P6" s="1535"/>
      <c r="Q6" s="1535"/>
      <c r="R6" s="1535"/>
      <c r="S6" s="1535"/>
      <c r="T6" s="1535"/>
      <c r="U6" s="1535"/>
      <c r="V6" s="1535"/>
      <c r="W6" s="1535"/>
      <c r="X6" s="1535"/>
      <c r="Y6" s="1535"/>
      <c r="Z6" s="1535"/>
      <c r="AA6" s="1535"/>
      <c r="AB6" s="1535"/>
      <c r="AC6" s="1535"/>
      <c r="AD6" s="1535"/>
      <c r="AE6" s="1535"/>
      <c r="AF6" s="1535"/>
      <c r="AG6" s="1535"/>
      <c r="AH6" s="1535"/>
      <c r="AI6" s="1535"/>
      <c r="AJ6" s="1535"/>
      <c r="AK6" s="1535"/>
      <c r="AL6" s="1535"/>
      <c r="AM6" s="1535"/>
      <c r="AN6" s="1535"/>
      <c r="AO6" s="1535"/>
      <c r="AP6" s="1535"/>
      <c r="AQ6" s="1532"/>
      <c r="AR6" s="1535"/>
      <c r="AS6" s="1535"/>
      <c r="AT6" s="1535"/>
      <c r="AU6" s="1535"/>
      <c r="AV6" s="2573">
        <v>2278</v>
      </c>
      <c r="AW6" s="1535"/>
      <c r="AX6" s="1535"/>
      <c r="AY6" s="1535"/>
      <c r="AZ6" s="1535"/>
      <c r="BA6" s="1535"/>
      <c r="BB6" s="1535"/>
      <c r="BC6" s="1532"/>
      <c r="BD6" s="1532">
        <v>26811</v>
      </c>
      <c r="BE6" s="1535"/>
      <c r="BF6" s="1535"/>
      <c r="BG6" s="1535"/>
      <c r="BH6" s="1535"/>
      <c r="BI6" s="1535"/>
      <c r="BJ6" s="1535"/>
      <c r="BK6" s="1535"/>
      <c r="BL6" s="2573">
        <v>2278</v>
      </c>
      <c r="BM6" s="1535"/>
      <c r="BN6" s="1535"/>
      <c r="BO6" s="1535"/>
      <c r="BP6" s="1535"/>
      <c r="BQ6" s="1535"/>
      <c r="BR6" s="1535"/>
      <c r="BS6" s="1535"/>
      <c r="BT6" s="1535"/>
      <c r="BU6" s="1535"/>
      <c r="BV6" s="1535"/>
      <c r="BW6" s="1535"/>
      <c r="BX6" s="1535"/>
      <c r="BY6" s="1535"/>
      <c r="BZ6" s="1535"/>
      <c r="CA6" s="1535"/>
      <c r="CB6" s="1535"/>
      <c r="CC6" s="1532"/>
      <c r="CD6" s="1535"/>
      <c r="CE6" s="1535"/>
      <c r="CF6" s="1535"/>
      <c r="CG6" s="1535"/>
      <c r="CH6" s="1535"/>
      <c r="CI6" s="1535"/>
      <c r="CJ6" s="1535"/>
      <c r="CK6" s="1535"/>
      <c r="CL6" s="1535"/>
      <c r="CM6" s="1535"/>
      <c r="CN6" s="1535"/>
      <c r="CO6" s="1535"/>
      <c r="CP6" s="1535"/>
      <c r="CQ6" s="1535"/>
      <c r="CR6" s="1535"/>
      <c r="CS6" s="1535"/>
      <c r="CT6" s="1535"/>
      <c r="CU6" s="1535"/>
      <c r="CV6" s="1535"/>
      <c r="CW6" s="1535"/>
      <c r="CX6" s="1535"/>
      <c r="CY6" s="1535"/>
      <c r="CZ6" s="1535"/>
      <c r="DA6" s="1535"/>
      <c r="DB6" s="1535"/>
      <c r="DC6" s="1535"/>
      <c r="DD6" s="1535"/>
      <c r="DE6" s="1535"/>
      <c r="DF6" s="1535"/>
      <c r="DG6" s="1535"/>
      <c r="DH6" s="1532"/>
      <c r="DI6" s="1535"/>
      <c r="DJ6" s="1532"/>
      <c r="DK6" s="2573">
        <v>2278</v>
      </c>
      <c r="DL6" s="1535"/>
      <c r="DM6" s="1532"/>
      <c r="DN6" s="1535"/>
      <c r="DO6" s="1535"/>
      <c r="DP6" s="1535"/>
      <c r="DQ6" s="1535"/>
      <c r="DR6" s="1532"/>
      <c r="DS6" s="1535"/>
      <c r="DT6" s="1535"/>
      <c r="DU6" s="1535"/>
      <c r="DV6" s="1535"/>
      <c r="DW6" s="1535"/>
      <c r="DX6" s="1535"/>
      <c r="DY6" s="1535"/>
      <c r="DZ6" s="1535"/>
      <c r="EA6" s="1535"/>
      <c r="EB6" s="1535"/>
      <c r="EC6" s="1535"/>
      <c r="ED6" s="1535"/>
      <c r="EE6" s="1535"/>
      <c r="EF6" s="1535"/>
      <c r="EG6" s="1535"/>
      <c r="EH6" s="1535"/>
      <c r="EI6" s="1535"/>
      <c r="EJ6" s="1535"/>
      <c r="EK6" s="1535"/>
      <c r="EL6" s="1535"/>
      <c r="EM6" s="1535"/>
      <c r="EN6" s="1535"/>
      <c r="EO6" s="1535"/>
      <c r="EP6" s="1535"/>
      <c r="EQ6" s="1535"/>
      <c r="ER6" s="1535"/>
      <c r="ES6" s="1535"/>
      <c r="ET6" s="1535"/>
      <c r="EU6" s="1535"/>
      <c r="EV6" s="1535"/>
      <c r="EW6" s="2573">
        <v>2278</v>
      </c>
      <c r="EX6" s="1535"/>
      <c r="EY6" s="1535"/>
      <c r="EZ6" s="1535"/>
      <c r="FA6" s="1535"/>
      <c r="FB6" s="1535"/>
      <c r="FC6" s="1535"/>
      <c r="FD6" s="1535"/>
      <c r="FE6" s="1535"/>
      <c r="FF6" s="1535"/>
      <c r="FG6" s="1535"/>
      <c r="FH6" s="1535"/>
      <c r="FI6" s="1535"/>
      <c r="FJ6" s="1535"/>
      <c r="FK6" s="1535"/>
      <c r="FL6" s="1537">
        <v>6351.92</v>
      </c>
      <c r="FM6" s="1535"/>
      <c r="FN6" s="1535"/>
      <c r="FO6" s="1535"/>
      <c r="FP6" s="1535"/>
      <c r="FQ6" s="1535"/>
      <c r="FR6" s="1535"/>
      <c r="FS6" s="1535"/>
      <c r="FT6" s="1535"/>
      <c r="FU6" s="1535"/>
      <c r="FV6" s="1535"/>
      <c r="FW6" s="1532"/>
      <c r="FX6" s="1535"/>
      <c r="FY6" s="1535"/>
      <c r="FZ6" s="1535"/>
      <c r="GA6" s="1535"/>
      <c r="GB6" s="1535"/>
      <c r="GC6" s="1535"/>
      <c r="GD6" s="1535"/>
      <c r="GE6" s="1535"/>
      <c r="GF6" s="1535"/>
      <c r="GG6" s="2573">
        <v>2278</v>
      </c>
      <c r="GH6" s="1535"/>
      <c r="GI6" s="1535"/>
      <c r="GJ6" s="1535"/>
      <c r="GK6" s="1535"/>
      <c r="GL6" s="1535"/>
      <c r="GM6" s="1535"/>
      <c r="GN6" s="1535"/>
      <c r="GO6" s="1535"/>
      <c r="GP6" s="1535"/>
      <c r="GQ6" s="1535"/>
      <c r="GR6" s="1535"/>
      <c r="GS6" s="1535"/>
      <c r="GT6" s="1535"/>
      <c r="GU6" s="1535"/>
      <c r="GV6" s="1535"/>
      <c r="GW6" s="2574">
        <v>4621</v>
      </c>
      <c r="GX6" s="1535"/>
      <c r="GY6" s="1535"/>
      <c r="GZ6" s="1535"/>
      <c r="HA6" s="1535"/>
      <c r="HB6" s="1535"/>
      <c r="HC6" s="1535"/>
      <c r="HD6" s="1535"/>
      <c r="HE6" s="1535"/>
      <c r="HF6" s="1535"/>
      <c r="HG6" s="1535"/>
      <c r="HH6" s="1535"/>
      <c r="HI6" s="1535"/>
      <c r="HJ6" s="1535"/>
      <c r="HK6" s="1535"/>
      <c r="HL6" s="1535"/>
      <c r="HM6" s="1535"/>
      <c r="HN6" s="1535"/>
      <c r="HO6" s="1535"/>
      <c r="HP6" s="1535"/>
      <c r="HQ6" s="1535"/>
      <c r="HR6" s="1535"/>
      <c r="HS6" s="1535"/>
      <c r="HT6" s="1535"/>
      <c r="HU6" s="1535"/>
      <c r="HV6" s="1535"/>
      <c r="HW6" s="1535"/>
      <c r="HX6" s="1535"/>
      <c r="HY6" s="1535"/>
      <c r="HZ6" s="1535"/>
      <c r="IA6" s="1535"/>
      <c r="IB6" s="1535"/>
      <c r="IC6" s="1535"/>
      <c r="ID6" s="1535"/>
      <c r="IE6" s="1535"/>
      <c r="IF6" s="1535"/>
      <c r="IG6" s="1535"/>
      <c r="IH6" s="1535"/>
      <c r="II6" s="1535"/>
      <c r="IJ6" s="1535"/>
      <c r="IK6" s="2574">
        <v>3779</v>
      </c>
      <c r="IL6" s="1535"/>
      <c r="IM6" s="1535"/>
      <c r="IN6" s="1535"/>
      <c r="IO6" s="1535"/>
      <c r="IP6" s="1535">
        <v>8861</v>
      </c>
      <c r="IQ6" s="1535"/>
      <c r="IR6" s="1535"/>
      <c r="IS6" s="1535"/>
      <c r="IT6" s="1535"/>
      <c r="IU6" s="1535"/>
      <c r="IV6" s="1535"/>
      <c r="IW6" s="1535"/>
      <c r="IX6" s="1535"/>
      <c r="IY6" s="1535"/>
      <c r="IZ6" s="1535"/>
      <c r="JA6" s="1535"/>
      <c r="JB6" s="1535"/>
      <c r="JC6" s="1535"/>
      <c r="JD6" s="1535"/>
      <c r="JE6" s="1535"/>
      <c r="JF6" s="1532"/>
      <c r="JG6" s="1535"/>
      <c r="JH6" s="1535"/>
      <c r="JI6" s="1535"/>
      <c r="JJ6" s="1535"/>
      <c r="JK6" s="1535"/>
      <c r="JL6" s="1535"/>
      <c r="JM6" s="1535"/>
      <c r="JN6" s="1535"/>
      <c r="JO6" s="1535"/>
      <c r="JP6" s="1535"/>
      <c r="JQ6" s="2572"/>
      <c r="JR6" s="351"/>
      <c r="JS6" s="1400"/>
      <c r="JT6" s="1666" t="s">
        <v>2242</v>
      </c>
    </row>
    <row r="7" spans="1:280" ht="12.5" x14ac:dyDescent="0.25">
      <c r="A7" s="1367">
        <v>7</v>
      </c>
      <c r="B7" s="1411" t="str">
        <f t="shared" si="0"/>
        <v/>
      </c>
      <c r="C7" s="796" t="s">
        <v>4207</v>
      </c>
      <c r="D7" s="1667" t="s">
        <v>4208</v>
      </c>
      <c r="E7" s="1410"/>
      <c r="F7" s="1410"/>
      <c r="G7" s="1410"/>
      <c r="H7" s="1410"/>
      <c r="I7" s="1410"/>
      <c r="J7" s="1410"/>
      <c r="K7" s="1410"/>
      <c r="L7" s="1410"/>
      <c r="M7" s="1410"/>
      <c r="N7" s="1410"/>
      <c r="O7" s="1410"/>
      <c r="P7" s="1410"/>
      <c r="Q7" s="1410"/>
      <c r="R7" s="1410"/>
      <c r="S7" s="1410"/>
      <c r="T7" s="1410"/>
      <c r="U7" s="1410"/>
      <c r="V7" s="1410"/>
      <c r="W7" s="1410"/>
      <c r="X7" s="1410"/>
      <c r="Y7" s="1410"/>
      <c r="Z7" s="1410"/>
      <c r="AA7" s="1410"/>
      <c r="AB7" s="1410"/>
      <c r="AC7" s="1410"/>
      <c r="AD7" s="1410"/>
      <c r="AE7" s="1410"/>
      <c r="AF7" s="1410"/>
      <c r="AG7" s="1410"/>
      <c r="AH7" s="1410"/>
      <c r="AI7" s="1410"/>
      <c r="AJ7" s="1410"/>
      <c r="AK7" s="1410"/>
      <c r="AL7" s="1410"/>
      <c r="AM7" s="1410"/>
      <c r="AN7" s="1410"/>
      <c r="AO7" s="1410"/>
      <c r="AP7" s="1410"/>
      <c r="AQ7" s="1381"/>
      <c r="AR7" s="1410"/>
      <c r="AS7" s="1410"/>
      <c r="AT7" s="1410"/>
      <c r="AU7" s="1410"/>
      <c r="AV7" s="1381" t="s">
        <v>1615</v>
      </c>
      <c r="AW7" s="1410"/>
      <c r="AX7" s="1410"/>
      <c r="AY7" s="1410"/>
      <c r="AZ7" s="1410"/>
      <c r="BA7" s="1410"/>
      <c r="BB7" s="1410"/>
      <c r="BC7" s="1381" t="s">
        <v>1615</v>
      </c>
      <c r="BD7" s="1381" t="s">
        <v>1707</v>
      </c>
      <c r="BE7" s="1410"/>
      <c r="BF7" s="1410"/>
      <c r="BG7" s="1410"/>
      <c r="BH7" s="1410"/>
      <c r="BI7" s="1410"/>
      <c r="BJ7" s="1410"/>
      <c r="BK7" s="1410"/>
      <c r="BL7" s="1381" t="s">
        <v>1615</v>
      </c>
      <c r="BM7" s="1410"/>
      <c r="BN7" s="1410"/>
      <c r="BO7" s="1410"/>
      <c r="BP7" s="1410"/>
      <c r="BQ7" s="1410"/>
      <c r="BR7" s="1410"/>
      <c r="BS7" s="1410"/>
      <c r="BT7" s="1410"/>
      <c r="BU7" s="1410"/>
      <c r="BV7" s="1410"/>
      <c r="BW7" s="1410"/>
      <c r="BX7" s="1410"/>
      <c r="BY7" s="1410"/>
      <c r="BZ7" s="1410"/>
      <c r="CA7" s="1410"/>
      <c r="CB7" s="1410"/>
      <c r="CC7" s="1381" t="s">
        <v>1615</v>
      </c>
      <c r="CD7" s="1410"/>
      <c r="CE7" s="1410"/>
      <c r="CF7" s="1410"/>
      <c r="CG7" s="1410"/>
      <c r="CH7" s="1410"/>
      <c r="CI7" s="1410"/>
      <c r="CJ7" s="1410"/>
      <c r="CK7" s="1410"/>
      <c r="CL7" s="1410"/>
      <c r="CM7" s="1410"/>
      <c r="CN7" s="1410"/>
      <c r="CO7" s="1410"/>
      <c r="CP7" s="1410"/>
      <c r="CQ7" s="1410"/>
      <c r="CR7" s="1410"/>
      <c r="CS7" s="1410"/>
      <c r="CT7" s="1410"/>
      <c r="CU7" s="1410"/>
      <c r="CV7" s="1410"/>
      <c r="CW7" s="1410"/>
      <c r="CX7" s="1410"/>
      <c r="CY7" s="1410"/>
      <c r="CZ7" s="1410"/>
      <c r="DA7" s="1410"/>
      <c r="DB7" s="1410"/>
      <c r="DC7" s="1410"/>
      <c r="DD7" s="1410"/>
      <c r="DE7" s="1410"/>
      <c r="DF7" s="1410"/>
      <c r="DG7" s="1410"/>
      <c r="DH7" s="1381" t="s">
        <v>1615</v>
      </c>
      <c r="DI7" s="1410"/>
      <c r="DJ7" s="1381" t="s">
        <v>1615</v>
      </c>
      <c r="DK7" s="1381" t="s">
        <v>1615</v>
      </c>
      <c r="DL7" s="1410"/>
      <c r="DM7" s="1381" t="s">
        <v>1615</v>
      </c>
      <c r="DN7" s="1410"/>
      <c r="DO7" s="1410"/>
      <c r="DP7" s="1410"/>
      <c r="DQ7" s="1410"/>
      <c r="DR7" s="1381" t="s">
        <v>1615</v>
      </c>
      <c r="DS7" s="1410"/>
      <c r="DT7" s="1410"/>
      <c r="DU7" s="1410"/>
      <c r="DV7" s="1410"/>
      <c r="DW7" s="1410"/>
      <c r="DX7" s="1410"/>
      <c r="DY7" s="1410"/>
      <c r="DZ7" s="1410"/>
      <c r="EA7" s="1410"/>
      <c r="EB7" s="1410"/>
      <c r="EC7" s="1410"/>
      <c r="ED7" s="1410"/>
      <c r="EE7" s="1410"/>
      <c r="EF7" s="1410"/>
      <c r="EG7" s="1410"/>
      <c r="EH7" s="1410"/>
      <c r="EI7" s="1410"/>
      <c r="EJ7" s="1410"/>
      <c r="EK7" s="1410"/>
      <c r="EL7" s="1410"/>
      <c r="EM7" s="1410"/>
      <c r="EN7" s="1410"/>
      <c r="EO7" s="1410"/>
      <c r="EP7" s="1410"/>
      <c r="EQ7" s="1410"/>
      <c r="ER7" s="1410"/>
      <c r="ES7" s="1410"/>
      <c r="ET7" s="1410"/>
      <c r="EU7" s="1410"/>
      <c r="EV7" s="1410"/>
      <c r="EW7" s="1381" t="s">
        <v>1615</v>
      </c>
      <c r="EX7" s="1410"/>
      <c r="EY7" s="1410"/>
      <c r="EZ7" s="1410"/>
      <c r="FA7" s="1410"/>
      <c r="FB7" s="1410"/>
      <c r="FC7" s="1410"/>
      <c r="FD7" s="1410"/>
      <c r="FE7" s="1410"/>
      <c r="FF7" s="1410"/>
      <c r="FG7" s="1410"/>
      <c r="FH7" s="1410"/>
      <c r="FI7" s="1410"/>
      <c r="FJ7" s="1410"/>
      <c r="FK7" s="1410"/>
      <c r="FL7" s="1410"/>
      <c r="FM7" s="1410"/>
      <c r="FN7" s="1410"/>
      <c r="FO7" s="1410"/>
      <c r="FP7" s="1410"/>
      <c r="FQ7" s="1410"/>
      <c r="FR7" s="1410"/>
      <c r="FS7" s="1410"/>
      <c r="FT7" s="1410"/>
      <c r="FU7" s="1410"/>
      <c r="FV7" s="1410"/>
      <c r="FW7" s="1381" t="s">
        <v>1615</v>
      </c>
      <c r="FX7" s="1410"/>
      <c r="FY7" s="1410"/>
      <c r="FZ7" s="1410"/>
      <c r="GA7" s="1410"/>
      <c r="GB7" s="1410"/>
      <c r="GC7" s="1410"/>
      <c r="GD7" s="1410"/>
      <c r="GE7" s="1410"/>
      <c r="GF7" s="1410"/>
      <c r="GG7" s="1381" t="s">
        <v>1615</v>
      </c>
      <c r="GH7" s="1410"/>
      <c r="GI7" s="1410"/>
      <c r="GJ7" s="1410"/>
      <c r="GK7" s="1410"/>
      <c r="GL7" s="1410"/>
      <c r="GM7" s="1410"/>
      <c r="GN7" s="1410"/>
      <c r="GO7" s="1410"/>
      <c r="GP7" s="1410"/>
      <c r="GQ7" s="1410"/>
      <c r="GR7" s="1410"/>
      <c r="GS7" s="1410"/>
      <c r="GT7" s="1410"/>
      <c r="GU7" s="1410"/>
      <c r="GV7" s="1410"/>
      <c r="GW7" s="1381" t="s">
        <v>1615</v>
      </c>
      <c r="GX7" s="1410"/>
      <c r="GY7" s="1410"/>
      <c r="GZ7" s="1410"/>
      <c r="HA7" s="1410"/>
      <c r="HB7" s="1410"/>
      <c r="HC7" s="1410"/>
      <c r="HD7" s="1410"/>
      <c r="HE7" s="1410"/>
      <c r="HF7" s="1410"/>
      <c r="HG7" s="1410"/>
      <c r="HH7" s="1410"/>
      <c r="HI7" s="1410"/>
      <c r="HJ7" s="1410"/>
      <c r="HK7" s="1410"/>
      <c r="HL7" s="1410"/>
      <c r="HM7" s="1410"/>
      <c r="HN7" s="1410"/>
      <c r="HO7" s="1410"/>
      <c r="HP7" s="1410"/>
      <c r="HQ7" s="1410"/>
      <c r="HR7" s="1410"/>
      <c r="HS7" s="1410"/>
      <c r="HT7" s="1410"/>
      <c r="HU7" s="1410"/>
      <c r="HV7" s="1410"/>
      <c r="HW7" s="1410"/>
      <c r="HX7" s="1410"/>
      <c r="HY7" s="1410"/>
      <c r="HZ7" s="1410"/>
      <c r="IA7" s="1410"/>
      <c r="IB7" s="1410"/>
      <c r="IC7" s="1410"/>
      <c r="ID7" s="1410"/>
      <c r="IE7" s="1410"/>
      <c r="IF7" s="1410"/>
      <c r="IG7" s="1410"/>
      <c r="IH7" s="1410"/>
      <c r="II7" s="1410"/>
      <c r="IJ7" s="1410"/>
      <c r="IK7" s="1382" t="s">
        <v>1615</v>
      </c>
      <c r="IL7" s="1410"/>
      <c r="IM7" s="1410"/>
      <c r="IN7" s="1410"/>
      <c r="IO7" s="1410"/>
      <c r="IP7" s="1410"/>
      <c r="IQ7" s="1410"/>
      <c r="IR7" s="1410"/>
      <c r="IS7" s="1410"/>
      <c r="IT7" s="1410"/>
      <c r="IU7" s="1410"/>
      <c r="IV7" s="1410"/>
      <c r="IW7" s="1410"/>
      <c r="IX7" s="1410"/>
      <c r="IY7" s="1410"/>
      <c r="IZ7" s="1410"/>
      <c r="JA7" s="1410"/>
      <c r="JB7" s="1410"/>
      <c r="JC7" s="1410"/>
      <c r="JD7" s="1410"/>
      <c r="JE7" s="1410"/>
      <c r="JF7" s="1381" t="s">
        <v>1615</v>
      </c>
      <c r="JG7" s="1410"/>
      <c r="JH7" s="1410"/>
      <c r="JI7" s="1410"/>
      <c r="JJ7" s="1410"/>
      <c r="JK7" s="1410"/>
      <c r="JL7" s="1410"/>
      <c r="JM7" s="1410"/>
      <c r="JN7" s="1410"/>
      <c r="JO7" s="1410"/>
      <c r="JP7" s="1410"/>
      <c r="JQ7" s="1405"/>
      <c r="JR7" s="351"/>
      <c r="JS7" s="1400"/>
      <c r="JT7" s="1666" t="s">
        <v>2319</v>
      </c>
    </row>
    <row r="8" spans="1:280" ht="12.5" x14ac:dyDescent="0.25">
      <c r="A8" s="1367">
        <v>8</v>
      </c>
      <c r="B8" s="1411" t="str">
        <f t="shared" si="0"/>
        <v/>
      </c>
      <c r="C8" s="796" t="s">
        <v>4209</v>
      </c>
      <c r="D8" s="1667" t="s">
        <v>4210</v>
      </c>
      <c r="E8" s="1535"/>
      <c r="F8" s="1535"/>
      <c r="G8" s="1535"/>
      <c r="H8" s="1535"/>
      <c r="I8" s="1535"/>
      <c r="J8" s="1535"/>
      <c r="K8" s="1535"/>
      <c r="L8" s="1535"/>
      <c r="M8" s="1535"/>
      <c r="N8" s="1535"/>
      <c r="O8" s="1535"/>
      <c r="P8" s="1535"/>
      <c r="Q8" s="1535"/>
      <c r="R8" s="1535"/>
      <c r="S8" s="1535"/>
      <c r="T8" s="1535"/>
      <c r="U8" s="1535"/>
      <c r="V8" s="1535"/>
      <c r="W8" s="1535"/>
      <c r="X8" s="1535"/>
      <c r="Y8" s="1535"/>
      <c r="Z8" s="1535"/>
      <c r="AA8" s="1535"/>
      <c r="AB8" s="1535"/>
      <c r="AC8" s="1535"/>
      <c r="AD8" s="1535"/>
      <c r="AE8" s="1535"/>
      <c r="AF8" s="1535"/>
      <c r="AG8" s="1535"/>
      <c r="AH8" s="1535"/>
      <c r="AI8" s="1535"/>
      <c r="AJ8" s="1535"/>
      <c r="AK8" s="1535"/>
      <c r="AL8" s="1535"/>
      <c r="AM8" s="1535"/>
      <c r="AN8" s="1535"/>
      <c r="AO8" s="1535"/>
      <c r="AP8" s="1535"/>
      <c r="AQ8" s="1532"/>
      <c r="AR8" s="1535"/>
      <c r="AS8" s="1535"/>
      <c r="AT8" s="1535"/>
      <c r="AU8" s="1535"/>
      <c r="AV8" s="1453"/>
      <c r="AW8" s="1535"/>
      <c r="AX8" s="1535"/>
      <c r="AY8" s="1535"/>
      <c r="AZ8" s="1535"/>
      <c r="BA8" s="1535"/>
      <c r="BB8" s="1535"/>
      <c r="BC8" s="1532"/>
      <c r="BD8" s="1532">
        <v>1476</v>
      </c>
      <c r="BE8" s="1535"/>
      <c r="BF8" s="1535"/>
      <c r="BG8" s="1535"/>
      <c r="BH8" s="1535"/>
      <c r="BI8" s="1535"/>
      <c r="BJ8" s="1535"/>
      <c r="BK8" s="1535"/>
      <c r="BL8" s="1453"/>
      <c r="BM8" s="1535"/>
      <c r="BN8" s="1535"/>
      <c r="BO8" s="1535"/>
      <c r="BP8" s="1535"/>
      <c r="BQ8" s="1535"/>
      <c r="BR8" s="1535"/>
      <c r="BS8" s="1535"/>
      <c r="BT8" s="1535"/>
      <c r="BU8" s="1535"/>
      <c r="BV8" s="1535"/>
      <c r="BW8" s="1535"/>
      <c r="BX8" s="1535"/>
      <c r="BY8" s="1535"/>
      <c r="BZ8" s="1535"/>
      <c r="CA8" s="1535"/>
      <c r="CB8" s="1535"/>
      <c r="CC8" s="1532">
        <v>451</v>
      </c>
      <c r="CD8" s="1535"/>
      <c r="CE8" s="1535"/>
      <c r="CF8" s="1535"/>
      <c r="CG8" s="1535"/>
      <c r="CH8" s="1535"/>
      <c r="CI8" s="1535"/>
      <c r="CJ8" s="1535"/>
      <c r="CK8" s="1535"/>
      <c r="CL8" s="1535"/>
      <c r="CM8" s="1535"/>
      <c r="CN8" s="1535"/>
      <c r="CO8" s="1535"/>
      <c r="CP8" s="1535"/>
      <c r="CQ8" s="1535"/>
      <c r="CR8" s="1535"/>
      <c r="CS8" s="1535"/>
      <c r="CT8" s="1535"/>
      <c r="CU8" s="1535"/>
      <c r="CV8" s="1535"/>
      <c r="CW8" s="1535"/>
      <c r="CX8" s="1535"/>
      <c r="CY8" s="1535"/>
      <c r="CZ8" s="1535"/>
      <c r="DA8" s="1535"/>
      <c r="DB8" s="1535"/>
      <c r="DC8" s="1535"/>
      <c r="DD8" s="1535"/>
      <c r="DE8" s="1535"/>
      <c r="DF8" s="1535"/>
      <c r="DG8" s="1535"/>
      <c r="DH8" s="1453"/>
      <c r="DI8" s="1535"/>
      <c r="DJ8" s="1532">
        <v>451</v>
      </c>
      <c r="DK8" s="1453"/>
      <c r="DL8" s="1535"/>
      <c r="DM8" s="1532">
        <v>239</v>
      </c>
      <c r="DN8" s="1535"/>
      <c r="DO8" s="1535"/>
      <c r="DP8" s="1535"/>
      <c r="DQ8" s="1535"/>
      <c r="DR8" s="1532"/>
      <c r="DS8" s="1535"/>
      <c r="DT8" s="1535"/>
      <c r="DU8" s="1535"/>
      <c r="DV8" s="1535"/>
      <c r="DW8" s="1535"/>
      <c r="DX8" s="1535"/>
      <c r="DY8" s="1535"/>
      <c r="DZ8" s="1535"/>
      <c r="EA8" s="1535"/>
      <c r="EB8" s="1535"/>
      <c r="EC8" s="1535"/>
      <c r="ED8" s="1535"/>
      <c r="EE8" s="1535"/>
      <c r="EF8" s="1535"/>
      <c r="EG8" s="1535"/>
      <c r="EH8" s="1535"/>
      <c r="EI8" s="1535"/>
      <c r="EJ8" s="1535"/>
      <c r="EK8" s="1535"/>
      <c r="EL8" s="1535"/>
      <c r="EM8" s="1535"/>
      <c r="EN8" s="1535"/>
      <c r="EO8" s="1535"/>
      <c r="EP8" s="1535"/>
      <c r="EQ8" s="1535"/>
      <c r="ER8" s="1535"/>
      <c r="ES8" s="1535"/>
      <c r="ET8" s="1535"/>
      <c r="EU8" s="1535"/>
      <c r="EV8" s="1535"/>
      <c r="EW8" s="1453"/>
      <c r="EX8" s="1535"/>
      <c r="EY8" s="1535"/>
      <c r="EZ8" s="1535"/>
      <c r="FA8" s="1535"/>
      <c r="FB8" s="1535"/>
      <c r="FC8" s="1535"/>
      <c r="FD8" s="1535"/>
      <c r="FE8" s="1535"/>
      <c r="FF8" s="1535"/>
      <c r="FG8" s="1535"/>
      <c r="FH8" s="1535"/>
      <c r="FI8" s="1535"/>
      <c r="FJ8" s="1535"/>
      <c r="FK8" s="1535"/>
      <c r="FL8" s="1535"/>
      <c r="FM8" s="1535"/>
      <c r="FN8" s="1535"/>
      <c r="FO8" s="1535"/>
      <c r="FP8" s="1535"/>
      <c r="FQ8" s="1535"/>
      <c r="FR8" s="1535"/>
      <c r="FS8" s="1535"/>
      <c r="FT8" s="1535"/>
      <c r="FU8" s="1535"/>
      <c r="FV8" s="1535"/>
      <c r="FW8" s="1453"/>
      <c r="FX8" s="1535"/>
      <c r="FY8" s="1535"/>
      <c r="FZ8" s="1535"/>
      <c r="GA8" s="1535"/>
      <c r="GB8" s="1535"/>
      <c r="GC8" s="1535"/>
      <c r="GD8" s="1535"/>
      <c r="GE8" s="1535"/>
      <c r="GF8" s="1535"/>
      <c r="GG8" s="1453"/>
      <c r="GH8" s="1535"/>
      <c r="GI8" s="1535"/>
      <c r="GJ8" s="1535"/>
      <c r="GK8" s="1535"/>
      <c r="GL8" s="1535"/>
      <c r="GM8" s="1535"/>
      <c r="GN8" s="1535"/>
      <c r="GO8" s="1535"/>
      <c r="GP8" s="1535"/>
      <c r="GQ8" s="1535"/>
      <c r="GR8" s="1535"/>
      <c r="GS8" s="1535"/>
      <c r="GT8" s="1535"/>
      <c r="GU8" s="1535"/>
      <c r="GV8" s="1535"/>
      <c r="GW8" s="1453"/>
      <c r="GX8" s="1535"/>
      <c r="GY8" s="1535"/>
      <c r="GZ8" s="1535"/>
      <c r="HA8" s="1535"/>
      <c r="HB8" s="1535"/>
      <c r="HC8" s="1535"/>
      <c r="HD8" s="1535"/>
      <c r="HE8" s="1535"/>
      <c r="HF8" s="1535"/>
      <c r="HG8" s="1535"/>
      <c r="HH8" s="1535"/>
      <c r="HI8" s="1535"/>
      <c r="HJ8" s="1535"/>
      <c r="HK8" s="1535"/>
      <c r="HL8" s="1535"/>
      <c r="HM8" s="1535"/>
      <c r="HN8" s="1535"/>
      <c r="HO8" s="1535"/>
      <c r="HP8" s="1535"/>
      <c r="HQ8" s="1535"/>
      <c r="HR8" s="1535"/>
      <c r="HS8" s="1535"/>
      <c r="HT8" s="1535"/>
      <c r="HU8" s="1535"/>
      <c r="HV8" s="1535"/>
      <c r="HW8" s="1535"/>
      <c r="HX8" s="1535"/>
      <c r="HY8" s="1535"/>
      <c r="HZ8" s="1535"/>
      <c r="IA8" s="1535"/>
      <c r="IB8" s="1535"/>
      <c r="IC8" s="1535"/>
      <c r="ID8" s="1535"/>
      <c r="IE8" s="1535"/>
      <c r="IF8" s="1535"/>
      <c r="IG8" s="1535"/>
      <c r="IH8" s="1535"/>
      <c r="II8" s="1535"/>
      <c r="IJ8" s="1535"/>
      <c r="IK8" s="1453"/>
      <c r="IL8" s="1535"/>
      <c r="IM8" s="1535"/>
      <c r="IN8" s="1535"/>
      <c r="IO8" s="1535"/>
      <c r="IP8" s="1535"/>
      <c r="IQ8" s="1535"/>
      <c r="IR8" s="1535"/>
      <c r="IS8" s="1535"/>
      <c r="IT8" s="1535"/>
      <c r="IU8" s="1535"/>
      <c r="IV8" s="1535"/>
      <c r="IW8" s="1535"/>
      <c r="IX8" s="1535"/>
      <c r="IY8" s="1535"/>
      <c r="IZ8" s="1535"/>
      <c r="JA8" s="1535"/>
      <c r="JB8" s="1535"/>
      <c r="JC8" s="1535"/>
      <c r="JD8" s="1535"/>
      <c r="JE8" s="1535"/>
      <c r="JF8" s="1532">
        <v>451</v>
      </c>
      <c r="JG8" s="1535"/>
      <c r="JH8" s="1535"/>
      <c r="JI8" s="1535"/>
      <c r="JJ8" s="1535"/>
      <c r="JK8" s="1535"/>
      <c r="JL8" s="1535"/>
      <c r="JM8" s="1535"/>
      <c r="JN8" s="1535"/>
      <c r="JO8" s="1535"/>
      <c r="JP8" s="1535"/>
      <c r="JQ8" s="2572"/>
      <c r="JR8" s="351"/>
      <c r="JS8" s="1400"/>
      <c r="JT8" s="1666" t="s">
        <v>2242</v>
      </c>
    </row>
    <row r="9" spans="1:280" ht="12.5" x14ac:dyDescent="0.25">
      <c r="A9" s="1367">
        <v>9</v>
      </c>
      <c r="B9" s="1411" t="str">
        <f t="shared" si="0"/>
        <v/>
      </c>
      <c r="C9" s="796" t="s">
        <v>4211</v>
      </c>
      <c r="D9" s="1667" t="s">
        <v>4212</v>
      </c>
      <c r="E9" s="1535"/>
      <c r="F9" s="1535"/>
      <c r="G9" s="1535"/>
      <c r="H9" s="1535"/>
      <c r="I9" s="1535"/>
      <c r="J9" s="1535"/>
      <c r="K9" s="1535"/>
      <c r="L9" s="1535"/>
      <c r="M9" s="1535"/>
      <c r="N9" s="1535"/>
      <c r="O9" s="1535"/>
      <c r="P9" s="1535"/>
      <c r="Q9" s="1535"/>
      <c r="R9" s="1535"/>
      <c r="S9" s="1535"/>
      <c r="T9" s="1535"/>
      <c r="U9" s="1535"/>
      <c r="V9" s="1535"/>
      <c r="W9" s="1535"/>
      <c r="X9" s="1535"/>
      <c r="Y9" s="1535"/>
      <c r="Z9" s="1535"/>
      <c r="AA9" s="1535"/>
      <c r="AB9" s="1535"/>
      <c r="AC9" s="1535"/>
      <c r="AD9" s="1535"/>
      <c r="AE9" s="1535"/>
      <c r="AF9" s="1535"/>
      <c r="AG9" s="1535"/>
      <c r="AH9" s="1535"/>
      <c r="AI9" s="1535"/>
      <c r="AJ9" s="1535"/>
      <c r="AK9" s="1535"/>
      <c r="AL9" s="1535"/>
      <c r="AM9" s="1535"/>
      <c r="AN9" s="1535"/>
      <c r="AO9" s="1535"/>
      <c r="AP9" s="1535"/>
      <c r="AQ9" s="1452"/>
      <c r="AR9" s="1535"/>
      <c r="AS9" s="1535"/>
      <c r="AT9" s="1535"/>
      <c r="AU9" s="1535"/>
      <c r="AV9" s="1452"/>
      <c r="AW9" s="1535"/>
      <c r="AX9" s="1535"/>
      <c r="AY9" s="1535"/>
      <c r="AZ9" s="1535"/>
      <c r="BA9" s="1535"/>
      <c r="BB9" s="1535"/>
      <c r="BC9" s="1532">
        <v>800</v>
      </c>
      <c r="BD9" s="1532">
        <v>200</v>
      </c>
      <c r="BE9" s="1535"/>
      <c r="BF9" s="1535"/>
      <c r="BG9" s="1535"/>
      <c r="BH9" s="1535"/>
      <c r="BI9" s="1535"/>
      <c r="BJ9" s="1535"/>
      <c r="BK9" s="1535"/>
      <c r="BL9" s="1452"/>
      <c r="BM9" s="1535"/>
      <c r="BN9" s="1535"/>
      <c r="BO9" s="1535"/>
      <c r="BP9" s="1535"/>
      <c r="BQ9" s="1535"/>
      <c r="BR9" s="1535"/>
      <c r="BS9" s="1535"/>
      <c r="BT9" s="1535"/>
      <c r="BU9" s="1535"/>
      <c r="BV9" s="1535"/>
      <c r="BW9" s="1535"/>
      <c r="BX9" s="1535"/>
      <c r="BY9" s="1535"/>
      <c r="BZ9" s="1535"/>
      <c r="CA9" s="1535"/>
      <c r="CB9" s="1535"/>
      <c r="CC9" s="1452">
        <v>116</v>
      </c>
      <c r="CD9" s="1535"/>
      <c r="CE9" s="1535"/>
      <c r="CF9" s="1535"/>
      <c r="CG9" s="1535"/>
      <c r="CH9" s="1535"/>
      <c r="CI9" s="1535"/>
      <c r="CJ9" s="1535"/>
      <c r="CK9" s="1535"/>
      <c r="CL9" s="1535"/>
      <c r="CM9" s="1535"/>
      <c r="CN9" s="1535"/>
      <c r="CO9" s="1535"/>
      <c r="CP9" s="1535"/>
      <c r="CQ9" s="1535"/>
      <c r="CR9" s="1535"/>
      <c r="CS9" s="1535"/>
      <c r="CT9" s="1535"/>
      <c r="CU9" s="1535"/>
      <c r="CV9" s="1535"/>
      <c r="CW9" s="1535"/>
      <c r="CX9" s="1535"/>
      <c r="CY9" s="1535"/>
      <c r="CZ9" s="1535"/>
      <c r="DA9" s="1535"/>
      <c r="DB9" s="1535"/>
      <c r="DC9" s="1535"/>
      <c r="DD9" s="1535"/>
      <c r="DE9" s="1535"/>
      <c r="DF9" s="1535"/>
      <c r="DG9" s="1535"/>
      <c r="DH9" s="1452"/>
      <c r="DI9" s="1535"/>
      <c r="DJ9" s="1452">
        <v>116</v>
      </c>
      <c r="DK9" s="1452"/>
      <c r="DL9" s="1535"/>
      <c r="DM9" s="1532">
        <v>523</v>
      </c>
      <c r="DN9" s="1535"/>
      <c r="DO9" s="1535"/>
      <c r="DP9" s="1535"/>
      <c r="DQ9" s="1535"/>
      <c r="DR9" s="1532"/>
      <c r="DS9" s="1535"/>
      <c r="DT9" s="1535"/>
      <c r="DU9" s="1535"/>
      <c r="DV9" s="1535"/>
      <c r="DW9" s="1535"/>
      <c r="DX9" s="1535"/>
      <c r="DY9" s="1535"/>
      <c r="DZ9" s="1535"/>
      <c r="EA9" s="1535"/>
      <c r="EB9" s="1535"/>
      <c r="EC9" s="1535"/>
      <c r="ED9" s="1535"/>
      <c r="EE9" s="1535"/>
      <c r="EF9" s="1535"/>
      <c r="EG9" s="1535"/>
      <c r="EH9" s="1535"/>
      <c r="EI9" s="1535"/>
      <c r="EJ9" s="1535"/>
      <c r="EK9" s="1535"/>
      <c r="EL9" s="1535"/>
      <c r="EM9" s="1535"/>
      <c r="EN9" s="1535"/>
      <c r="EO9" s="1535"/>
      <c r="EP9" s="1535"/>
      <c r="EQ9" s="1535"/>
      <c r="ER9" s="1535"/>
      <c r="ES9" s="1535"/>
      <c r="ET9" s="1535"/>
      <c r="EU9" s="1535"/>
      <c r="EV9" s="1535"/>
      <c r="EW9" s="1452"/>
      <c r="EX9" s="1535"/>
      <c r="EY9" s="1535"/>
      <c r="EZ9" s="1535"/>
      <c r="FA9" s="1535"/>
      <c r="FB9" s="1535"/>
      <c r="FC9" s="1535"/>
      <c r="FD9" s="1535"/>
      <c r="FE9" s="1535"/>
      <c r="FF9" s="1535"/>
      <c r="FG9" s="1535"/>
      <c r="FH9" s="1535"/>
      <c r="FI9" s="1535"/>
      <c r="FJ9" s="1535"/>
      <c r="FK9" s="1535"/>
      <c r="FL9" s="1535"/>
      <c r="FM9" s="1535"/>
      <c r="FN9" s="1535"/>
      <c r="FO9" s="1535"/>
      <c r="FP9" s="1535"/>
      <c r="FQ9" s="1535"/>
      <c r="FR9" s="1535"/>
      <c r="FS9" s="1535"/>
      <c r="FT9" s="1535"/>
      <c r="FU9" s="1535"/>
      <c r="FV9" s="1535"/>
      <c r="FW9" s="1452"/>
      <c r="FX9" s="1535"/>
      <c r="FY9" s="1535"/>
      <c r="FZ9" s="1535"/>
      <c r="GA9" s="1535"/>
      <c r="GB9" s="1535"/>
      <c r="GC9" s="1535"/>
      <c r="GD9" s="1535"/>
      <c r="GE9" s="1535"/>
      <c r="GF9" s="1535"/>
      <c r="GG9" s="1452"/>
      <c r="GH9" s="1535"/>
      <c r="GI9" s="1535"/>
      <c r="GJ9" s="1535"/>
      <c r="GK9" s="1535"/>
      <c r="GL9" s="1535"/>
      <c r="GM9" s="1535"/>
      <c r="GN9" s="1535"/>
      <c r="GO9" s="1535"/>
      <c r="GP9" s="1535"/>
      <c r="GQ9" s="1535"/>
      <c r="GR9" s="1535"/>
      <c r="GS9" s="1535"/>
      <c r="GT9" s="1535"/>
      <c r="GU9" s="1535"/>
      <c r="GV9" s="1535"/>
      <c r="GW9" s="1452"/>
      <c r="GX9" s="1535"/>
      <c r="GY9" s="1535"/>
      <c r="GZ9" s="1535"/>
      <c r="HA9" s="1535"/>
      <c r="HB9" s="1535"/>
      <c r="HC9" s="1535"/>
      <c r="HD9" s="1535"/>
      <c r="HE9" s="1535"/>
      <c r="HF9" s="1535"/>
      <c r="HG9" s="1535"/>
      <c r="HH9" s="1535"/>
      <c r="HI9" s="1535"/>
      <c r="HJ9" s="1535"/>
      <c r="HK9" s="1535"/>
      <c r="HL9" s="1535"/>
      <c r="HM9" s="1535"/>
      <c r="HN9" s="1535"/>
      <c r="HO9" s="1535"/>
      <c r="HP9" s="1535"/>
      <c r="HQ9" s="1535"/>
      <c r="HR9" s="1535"/>
      <c r="HS9" s="1535"/>
      <c r="HT9" s="1535"/>
      <c r="HU9" s="1535"/>
      <c r="HV9" s="1535"/>
      <c r="HW9" s="1535"/>
      <c r="HX9" s="1535"/>
      <c r="HY9" s="1535"/>
      <c r="HZ9" s="1535"/>
      <c r="IA9" s="1535"/>
      <c r="IB9" s="1535"/>
      <c r="IC9" s="1535"/>
      <c r="ID9" s="1535"/>
      <c r="IE9" s="1535"/>
      <c r="IF9" s="1535"/>
      <c r="IG9" s="1535"/>
      <c r="IH9" s="1535"/>
      <c r="II9" s="1535"/>
      <c r="IJ9" s="1535"/>
      <c r="IK9" s="1452"/>
      <c r="IL9" s="1535"/>
      <c r="IM9" s="1535"/>
      <c r="IN9" s="1535"/>
      <c r="IO9" s="1535"/>
      <c r="IP9" s="1535">
        <v>778</v>
      </c>
      <c r="IQ9" s="1535"/>
      <c r="IR9" s="1535"/>
      <c r="IS9" s="1535"/>
      <c r="IT9" s="1535"/>
      <c r="IU9" s="1535"/>
      <c r="IV9" s="1535"/>
      <c r="IW9" s="1535"/>
      <c r="IX9" s="1535"/>
      <c r="IY9" s="1535"/>
      <c r="IZ9" s="1535"/>
      <c r="JA9" s="1535"/>
      <c r="JB9" s="1535"/>
      <c r="JC9" s="1535"/>
      <c r="JD9" s="1535"/>
      <c r="JE9" s="1535"/>
      <c r="JF9" s="1452">
        <v>116</v>
      </c>
      <c r="JG9" s="1535"/>
      <c r="JH9" s="1535"/>
      <c r="JI9" s="1535"/>
      <c r="JJ9" s="1535"/>
      <c r="JK9" s="1535"/>
      <c r="JL9" s="1535"/>
      <c r="JM9" s="1535"/>
      <c r="JN9" s="1535"/>
      <c r="JO9" s="1535"/>
      <c r="JP9" s="1535"/>
      <c r="JQ9" s="2572"/>
      <c r="JR9" s="351"/>
      <c r="JS9" s="1400"/>
      <c r="JT9" s="1666" t="s">
        <v>2242</v>
      </c>
    </row>
    <row r="10" spans="1:280" ht="12.5" x14ac:dyDescent="0.25">
      <c r="A10" s="1367">
        <v>10</v>
      </c>
      <c r="B10" s="1411" t="str">
        <f t="shared" si="0"/>
        <v/>
      </c>
      <c r="C10" s="796" t="s">
        <v>4213</v>
      </c>
      <c r="D10" s="1667" t="s">
        <v>4214</v>
      </c>
      <c r="E10" s="1535"/>
      <c r="F10" s="1535"/>
      <c r="G10" s="1535"/>
      <c r="H10" s="1535"/>
      <c r="I10" s="1535"/>
      <c r="J10" s="1535"/>
      <c r="K10" s="1535"/>
      <c r="L10" s="1535"/>
      <c r="M10" s="1535"/>
      <c r="N10" s="1535"/>
      <c r="O10" s="1535"/>
      <c r="P10" s="1535"/>
      <c r="Q10" s="1535"/>
      <c r="R10" s="1535"/>
      <c r="S10" s="1535"/>
      <c r="T10" s="1535"/>
      <c r="U10" s="1535"/>
      <c r="V10" s="1535"/>
      <c r="W10" s="1535"/>
      <c r="X10" s="1535"/>
      <c r="Y10" s="1535"/>
      <c r="Z10" s="1535"/>
      <c r="AA10" s="1535"/>
      <c r="AB10" s="1535"/>
      <c r="AC10" s="1535"/>
      <c r="AD10" s="1535"/>
      <c r="AE10" s="1535"/>
      <c r="AF10" s="1535"/>
      <c r="AG10" s="1535"/>
      <c r="AH10" s="1535"/>
      <c r="AI10" s="1535"/>
      <c r="AJ10" s="1535"/>
      <c r="AK10" s="1535"/>
      <c r="AL10" s="1535"/>
      <c r="AM10" s="1535"/>
      <c r="AN10" s="1535"/>
      <c r="AO10" s="1535"/>
      <c r="AP10" s="1535"/>
      <c r="AQ10" s="1452"/>
      <c r="AR10" s="1535"/>
      <c r="AS10" s="1535"/>
      <c r="AT10" s="1535"/>
      <c r="AU10" s="1535"/>
      <c r="AV10" s="1452"/>
      <c r="AW10" s="1535"/>
      <c r="AX10" s="1535"/>
      <c r="AY10" s="1535"/>
      <c r="AZ10" s="1535"/>
      <c r="BA10" s="1535"/>
      <c r="BB10" s="1535"/>
      <c r="BC10" s="1532"/>
      <c r="BD10" s="1532">
        <v>23696</v>
      </c>
      <c r="BE10" s="1535"/>
      <c r="BF10" s="1535"/>
      <c r="BG10" s="1535"/>
      <c r="BH10" s="1535"/>
      <c r="BI10" s="1535"/>
      <c r="BJ10" s="1535"/>
      <c r="BK10" s="1535"/>
      <c r="BL10" s="1452"/>
      <c r="BM10" s="1535"/>
      <c r="BN10" s="1535"/>
      <c r="BO10" s="1535"/>
      <c r="BP10" s="1535"/>
      <c r="BQ10" s="1535"/>
      <c r="BR10" s="1535"/>
      <c r="BS10" s="1535"/>
      <c r="BT10" s="1535"/>
      <c r="BU10" s="1535"/>
      <c r="BV10" s="1535"/>
      <c r="BW10" s="1535"/>
      <c r="BX10" s="1535"/>
      <c r="BY10" s="1535"/>
      <c r="BZ10" s="1535"/>
      <c r="CA10" s="1535"/>
      <c r="CB10" s="1535"/>
      <c r="CC10" s="1452">
        <v>59</v>
      </c>
      <c r="CD10" s="1535"/>
      <c r="CE10" s="1535"/>
      <c r="CF10" s="1535"/>
      <c r="CG10" s="1535"/>
      <c r="CH10" s="1535"/>
      <c r="CI10" s="1535"/>
      <c r="CJ10" s="1535"/>
      <c r="CK10" s="1535"/>
      <c r="CL10" s="1535"/>
      <c r="CM10" s="1535"/>
      <c r="CN10" s="1535"/>
      <c r="CO10" s="1535"/>
      <c r="CP10" s="1535"/>
      <c r="CQ10" s="1535"/>
      <c r="CR10" s="1535"/>
      <c r="CS10" s="1535"/>
      <c r="CT10" s="1535"/>
      <c r="CU10" s="1535"/>
      <c r="CV10" s="1535"/>
      <c r="CW10" s="1535"/>
      <c r="CX10" s="1535"/>
      <c r="CY10" s="1535"/>
      <c r="CZ10" s="1535"/>
      <c r="DA10" s="1535"/>
      <c r="DB10" s="1535"/>
      <c r="DC10" s="1535"/>
      <c r="DD10" s="1535"/>
      <c r="DE10" s="1535"/>
      <c r="DF10" s="1535"/>
      <c r="DG10" s="1535"/>
      <c r="DH10" s="1452"/>
      <c r="DI10" s="1535"/>
      <c r="DJ10" s="1452">
        <v>59</v>
      </c>
      <c r="DK10" s="1452"/>
      <c r="DL10" s="1535"/>
      <c r="DM10" s="1532"/>
      <c r="DN10" s="1535"/>
      <c r="DO10" s="1535"/>
      <c r="DP10" s="1535"/>
      <c r="DQ10" s="1535"/>
      <c r="DR10" s="1532"/>
      <c r="DS10" s="1535"/>
      <c r="DT10" s="1535"/>
      <c r="DU10" s="1535"/>
      <c r="DV10" s="1535"/>
      <c r="DW10" s="1535"/>
      <c r="DX10" s="1535"/>
      <c r="DY10" s="1535"/>
      <c r="DZ10" s="1535"/>
      <c r="EA10" s="1535"/>
      <c r="EB10" s="1535"/>
      <c r="EC10" s="1535"/>
      <c r="ED10" s="1535"/>
      <c r="EE10" s="1535"/>
      <c r="EF10" s="1535"/>
      <c r="EG10" s="1535"/>
      <c r="EH10" s="1535"/>
      <c r="EI10" s="1535"/>
      <c r="EJ10" s="1535"/>
      <c r="EK10" s="1535"/>
      <c r="EL10" s="1535"/>
      <c r="EM10" s="1535"/>
      <c r="EN10" s="1535"/>
      <c r="EO10" s="1535"/>
      <c r="EP10" s="1535"/>
      <c r="EQ10" s="1535"/>
      <c r="ER10" s="1535"/>
      <c r="ES10" s="1535"/>
      <c r="ET10" s="1535"/>
      <c r="EU10" s="1535"/>
      <c r="EV10" s="1535"/>
      <c r="EW10" s="1452"/>
      <c r="EX10" s="1535"/>
      <c r="EY10" s="1535"/>
      <c r="EZ10" s="1535"/>
      <c r="FA10" s="1535"/>
      <c r="FB10" s="1535"/>
      <c r="FC10" s="1535"/>
      <c r="FD10" s="1535"/>
      <c r="FE10" s="1535"/>
      <c r="FF10" s="1535"/>
      <c r="FG10" s="1535"/>
      <c r="FH10" s="1535"/>
      <c r="FI10" s="1535"/>
      <c r="FJ10" s="1535"/>
      <c r="FK10" s="1535"/>
      <c r="FL10" s="1535"/>
      <c r="FM10" s="1535"/>
      <c r="FN10" s="1535"/>
      <c r="FO10" s="1535"/>
      <c r="FP10" s="1535"/>
      <c r="FQ10" s="1535"/>
      <c r="FR10" s="1535"/>
      <c r="FS10" s="1535"/>
      <c r="FT10" s="1535"/>
      <c r="FU10" s="1535"/>
      <c r="FV10" s="1535"/>
      <c r="FW10" s="1452"/>
      <c r="FX10" s="1535"/>
      <c r="FY10" s="1535"/>
      <c r="FZ10" s="1535"/>
      <c r="GA10" s="1535"/>
      <c r="GB10" s="1535"/>
      <c r="GC10" s="1535"/>
      <c r="GD10" s="1535"/>
      <c r="GE10" s="1535"/>
      <c r="GF10" s="1535"/>
      <c r="GG10" s="1452"/>
      <c r="GH10" s="1535"/>
      <c r="GI10" s="1535"/>
      <c r="GJ10" s="1535"/>
      <c r="GK10" s="1535"/>
      <c r="GL10" s="1535"/>
      <c r="GM10" s="1535"/>
      <c r="GN10" s="1535"/>
      <c r="GO10" s="1535"/>
      <c r="GP10" s="1535"/>
      <c r="GQ10" s="1535"/>
      <c r="GR10" s="1535"/>
      <c r="GS10" s="1535"/>
      <c r="GT10" s="1535"/>
      <c r="GU10" s="1535"/>
      <c r="GV10" s="1535"/>
      <c r="GW10" s="1452"/>
      <c r="GX10" s="1535"/>
      <c r="GY10" s="1535"/>
      <c r="GZ10" s="1535"/>
      <c r="HA10" s="1535"/>
      <c r="HB10" s="1535"/>
      <c r="HC10" s="1535"/>
      <c r="HD10" s="1535"/>
      <c r="HE10" s="1535"/>
      <c r="HF10" s="1535"/>
      <c r="HG10" s="1535"/>
      <c r="HH10" s="1535"/>
      <c r="HI10" s="1535"/>
      <c r="HJ10" s="1535"/>
      <c r="HK10" s="1535"/>
      <c r="HL10" s="1535"/>
      <c r="HM10" s="1535"/>
      <c r="HN10" s="1535"/>
      <c r="HO10" s="1535"/>
      <c r="HP10" s="1535"/>
      <c r="HQ10" s="1535"/>
      <c r="HR10" s="1535"/>
      <c r="HS10" s="1535"/>
      <c r="HT10" s="1535"/>
      <c r="HU10" s="1535"/>
      <c r="HV10" s="1535"/>
      <c r="HW10" s="1535"/>
      <c r="HX10" s="1535"/>
      <c r="HY10" s="1535"/>
      <c r="HZ10" s="1535"/>
      <c r="IA10" s="1535"/>
      <c r="IB10" s="1535"/>
      <c r="IC10" s="1535"/>
      <c r="ID10" s="1535"/>
      <c r="IE10" s="1535"/>
      <c r="IF10" s="1535"/>
      <c r="IG10" s="1535"/>
      <c r="IH10" s="1535"/>
      <c r="II10" s="1535"/>
      <c r="IJ10" s="1535"/>
      <c r="IK10" s="1452"/>
      <c r="IL10" s="1535"/>
      <c r="IM10" s="1535"/>
      <c r="IN10" s="1535"/>
      <c r="IO10" s="1535"/>
      <c r="IP10" s="1535">
        <v>155</v>
      </c>
      <c r="IQ10" s="1535"/>
      <c r="IR10" s="1535"/>
      <c r="IS10" s="1535"/>
      <c r="IT10" s="1535"/>
      <c r="IU10" s="1535"/>
      <c r="IV10" s="1535"/>
      <c r="IW10" s="1535"/>
      <c r="IX10" s="1535"/>
      <c r="IY10" s="1535"/>
      <c r="IZ10" s="1535"/>
      <c r="JA10" s="1535"/>
      <c r="JB10" s="1535"/>
      <c r="JC10" s="1535"/>
      <c r="JD10" s="1535"/>
      <c r="JE10" s="1535"/>
      <c r="JF10" s="1452">
        <v>59</v>
      </c>
      <c r="JG10" s="1535"/>
      <c r="JH10" s="1535"/>
      <c r="JI10" s="1535"/>
      <c r="JJ10" s="1535"/>
      <c r="JK10" s="1535"/>
      <c r="JL10" s="1535"/>
      <c r="JM10" s="1535"/>
      <c r="JN10" s="1535"/>
      <c r="JO10" s="1535"/>
      <c r="JP10" s="1535"/>
      <c r="JQ10" s="2572"/>
      <c r="JR10" s="351"/>
      <c r="JS10" s="1400"/>
      <c r="JT10" s="1666" t="s">
        <v>2242</v>
      </c>
    </row>
    <row r="11" spans="1:280" ht="12.5" x14ac:dyDescent="0.25">
      <c r="A11" s="1367">
        <v>11</v>
      </c>
      <c r="B11" s="1411" t="str">
        <f t="shared" si="0"/>
        <v/>
      </c>
      <c r="C11" s="796" t="s">
        <v>4215</v>
      </c>
      <c r="D11" s="1667" t="s">
        <v>4216</v>
      </c>
      <c r="E11" s="1535"/>
      <c r="F11" s="1535"/>
      <c r="G11" s="1535"/>
      <c r="H11" s="1535"/>
      <c r="I11" s="1535"/>
      <c r="J11" s="1535"/>
      <c r="K11" s="1535"/>
      <c r="L11" s="1535"/>
      <c r="M11" s="1535"/>
      <c r="N11" s="1535"/>
      <c r="O11" s="1535"/>
      <c r="P11" s="1535"/>
      <c r="Q11" s="1535"/>
      <c r="R11" s="1535"/>
      <c r="S11" s="1535"/>
      <c r="T11" s="1535"/>
      <c r="U11" s="1535"/>
      <c r="V11" s="1535"/>
      <c r="W11" s="1535"/>
      <c r="X11" s="1535"/>
      <c r="Y11" s="1535"/>
      <c r="Z11" s="1535"/>
      <c r="AA11" s="1535"/>
      <c r="AB11" s="1535"/>
      <c r="AC11" s="1535"/>
      <c r="AD11" s="1535"/>
      <c r="AE11" s="1535"/>
      <c r="AF11" s="1535"/>
      <c r="AG11" s="1535"/>
      <c r="AH11" s="1535"/>
      <c r="AI11" s="1535"/>
      <c r="AJ11" s="1535"/>
      <c r="AK11" s="1535"/>
      <c r="AL11" s="1535"/>
      <c r="AM11" s="1535"/>
      <c r="AN11" s="1535"/>
      <c r="AO11" s="1535"/>
      <c r="AP11" s="1535"/>
      <c r="AQ11" s="1452"/>
      <c r="AR11" s="1535"/>
      <c r="AS11" s="1535"/>
      <c r="AT11" s="1535"/>
      <c r="AU11" s="1535"/>
      <c r="AV11" s="1452"/>
      <c r="AW11" s="1535"/>
      <c r="AX11" s="1535"/>
      <c r="AY11" s="1535"/>
      <c r="AZ11" s="1535"/>
      <c r="BA11" s="1535"/>
      <c r="BB11" s="1535"/>
      <c r="BC11" s="1532"/>
      <c r="BD11" s="1532"/>
      <c r="BE11" s="1535"/>
      <c r="BF11" s="1535"/>
      <c r="BG11" s="1535"/>
      <c r="BH11" s="1535"/>
      <c r="BI11" s="1535"/>
      <c r="BJ11" s="1535"/>
      <c r="BK11" s="1535"/>
      <c r="BL11" s="1452"/>
      <c r="BM11" s="1535"/>
      <c r="BN11" s="1535"/>
      <c r="BO11" s="1535"/>
      <c r="BP11" s="1535"/>
      <c r="BQ11" s="1535"/>
      <c r="BR11" s="1535"/>
      <c r="BS11" s="1535"/>
      <c r="BT11" s="1535"/>
      <c r="BU11" s="1535"/>
      <c r="BV11" s="1535"/>
      <c r="BW11" s="1535"/>
      <c r="BX11" s="1535"/>
      <c r="BY11" s="1535"/>
      <c r="BZ11" s="1535"/>
      <c r="CA11" s="1535"/>
      <c r="CB11" s="1535"/>
      <c r="CC11" s="1452">
        <v>3200</v>
      </c>
      <c r="CD11" s="1535"/>
      <c r="CE11" s="1535"/>
      <c r="CF11" s="1535"/>
      <c r="CG11" s="1535"/>
      <c r="CH11" s="1535"/>
      <c r="CI11" s="1535"/>
      <c r="CJ11" s="1535"/>
      <c r="CK11" s="1535"/>
      <c r="CL11" s="1535"/>
      <c r="CM11" s="1535"/>
      <c r="CN11" s="1535"/>
      <c r="CO11" s="1535"/>
      <c r="CP11" s="1535"/>
      <c r="CQ11" s="1535"/>
      <c r="CR11" s="1535"/>
      <c r="CS11" s="1535"/>
      <c r="CT11" s="1535"/>
      <c r="CU11" s="1535"/>
      <c r="CV11" s="1535"/>
      <c r="CW11" s="1535"/>
      <c r="CX11" s="1535"/>
      <c r="CY11" s="1535"/>
      <c r="CZ11" s="1535"/>
      <c r="DA11" s="1535"/>
      <c r="DB11" s="1535"/>
      <c r="DC11" s="1535"/>
      <c r="DD11" s="1535"/>
      <c r="DE11" s="1535"/>
      <c r="DF11" s="1535"/>
      <c r="DG11" s="1535"/>
      <c r="DH11" s="1452"/>
      <c r="DI11" s="1535"/>
      <c r="DJ11" s="1452">
        <v>3200</v>
      </c>
      <c r="DK11" s="1452"/>
      <c r="DL11" s="1535"/>
      <c r="DM11" s="1532"/>
      <c r="DN11" s="1535"/>
      <c r="DO11" s="1535"/>
      <c r="DP11" s="1535"/>
      <c r="DQ11" s="1535"/>
      <c r="DR11" s="1532"/>
      <c r="DS11" s="1535"/>
      <c r="DT11" s="1535"/>
      <c r="DU11" s="1535"/>
      <c r="DV11" s="1535"/>
      <c r="DW11" s="1535"/>
      <c r="DX11" s="1535"/>
      <c r="DY11" s="1535"/>
      <c r="DZ11" s="1535"/>
      <c r="EA11" s="1535"/>
      <c r="EB11" s="1535"/>
      <c r="EC11" s="1535"/>
      <c r="ED11" s="1535"/>
      <c r="EE11" s="1535"/>
      <c r="EF11" s="1535"/>
      <c r="EG11" s="1535"/>
      <c r="EH11" s="1535"/>
      <c r="EI11" s="1535"/>
      <c r="EJ11" s="1535"/>
      <c r="EK11" s="1535"/>
      <c r="EL11" s="1535"/>
      <c r="EM11" s="1535"/>
      <c r="EN11" s="1535"/>
      <c r="EO11" s="1535"/>
      <c r="EP11" s="1535"/>
      <c r="EQ11" s="1535"/>
      <c r="ER11" s="1535"/>
      <c r="ES11" s="1535"/>
      <c r="ET11" s="1535"/>
      <c r="EU11" s="1535"/>
      <c r="EV11" s="1535"/>
      <c r="EW11" s="1452"/>
      <c r="EX11" s="1535"/>
      <c r="EY11" s="1535"/>
      <c r="EZ11" s="1535"/>
      <c r="FA11" s="1535"/>
      <c r="FB11" s="1535"/>
      <c r="FC11" s="1535"/>
      <c r="FD11" s="1535"/>
      <c r="FE11" s="1535"/>
      <c r="FF11" s="1535"/>
      <c r="FG11" s="1535"/>
      <c r="FH11" s="1535"/>
      <c r="FI11" s="1535"/>
      <c r="FJ11" s="1535"/>
      <c r="FK11" s="1535"/>
      <c r="FL11" s="1535"/>
      <c r="FM11" s="1535"/>
      <c r="FN11" s="1535"/>
      <c r="FO11" s="1535"/>
      <c r="FP11" s="1535"/>
      <c r="FQ11" s="1535"/>
      <c r="FR11" s="1535"/>
      <c r="FS11" s="1535"/>
      <c r="FT11" s="1535"/>
      <c r="FU11" s="1535"/>
      <c r="FV11" s="1535"/>
      <c r="FW11" s="1452"/>
      <c r="FX11" s="1535"/>
      <c r="FY11" s="1535"/>
      <c r="FZ11" s="1535"/>
      <c r="GA11" s="1535"/>
      <c r="GB11" s="1535"/>
      <c r="GC11" s="1535"/>
      <c r="GD11" s="1535"/>
      <c r="GE11" s="1535"/>
      <c r="GF11" s="1535"/>
      <c r="GG11" s="1452"/>
      <c r="GH11" s="1535"/>
      <c r="GI11" s="1535"/>
      <c r="GJ11" s="1535"/>
      <c r="GK11" s="1535"/>
      <c r="GL11" s="1535"/>
      <c r="GM11" s="1535"/>
      <c r="GN11" s="1535"/>
      <c r="GO11" s="1535"/>
      <c r="GP11" s="1535"/>
      <c r="GQ11" s="1535"/>
      <c r="GR11" s="1535"/>
      <c r="GS11" s="1535"/>
      <c r="GT11" s="1535"/>
      <c r="GU11" s="1535"/>
      <c r="GV11" s="1535"/>
      <c r="GW11" s="1452"/>
      <c r="GX11" s="1535"/>
      <c r="GY11" s="1535"/>
      <c r="GZ11" s="1535"/>
      <c r="HA11" s="1535"/>
      <c r="HB11" s="1535"/>
      <c r="HC11" s="1535"/>
      <c r="HD11" s="1535"/>
      <c r="HE11" s="1535"/>
      <c r="HF11" s="1535"/>
      <c r="HG11" s="1535"/>
      <c r="HH11" s="1535"/>
      <c r="HI11" s="1535"/>
      <c r="HJ11" s="1535"/>
      <c r="HK11" s="1535"/>
      <c r="HL11" s="1535"/>
      <c r="HM11" s="1535"/>
      <c r="HN11" s="1535"/>
      <c r="HO11" s="1535"/>
      <c r="HP11" s="1535"/>
      <c r="HQ11" s="1535"/>
      <c r="HR11" s="1535"/>
      <c r="HS11" s="1535"/>
      <c r="HT11" s="1535"/>
      <c r="HU11" s="1535"/>
      <c r="HV11" s="1535"/>
      <c r="HW11" s="1535"/>
      <c r="HX11" s="1535"/>
      <c r="HY11" s="1535"/>
      <c r="HZ11" s="1535"/>
      <c r="IA11" s="1535"/>
      <c r="IB11" s="1535"/>
      <c r="IC11" s="1535"/>
      <c r="ID11" s="1535"/>
      <c r="IE11" s="1535"/>
      <c r="IF11" s="1535"/>
      <c r="IG11" s="1535"/>
      <c r="IH11" s="1535"/>
      <c r="II11" s="1535"/>
      <c r="IJ11" s="1535"/>
      <c r="IK11" s="1452"/>
      <c r="IL11" s="1535"/>
      <c r="IM11" s="1535"/>
      <c r="IN11" s="1535"/>
      <c r="IO11" s="1535"/>
      <c r="IP11" s="1535"/>
      <c r="IQ11" s="1535"/>
      <c r="IR11" s="1535"/>
      <c r="IS11" s="1535"/>
      <c r="IT11" s="1535"/>
      <c r="IU11" s="1535"/>
      <c r="IV11" s="1535"/>
      <c r="IW11" s="1535"/>
      <c r="IX11" s="1535"/>
      <c r="IY11" s="1535"/>
      <c r="IZ11" s="1535"/>
      <c r="JA11" s="1535"/>
      <c r="JB11" s="1535"/>
      <c r="JC11" s="1535"/>
      <c r="JD11" s="1535"/>
      <c r="JE11" s="1535"/>
      <c r="JF11" s="1452">
        <v>3200</v>
      </c>
      <c r="JG11" s="1535"/>
      <c r="JH11" s="1535"/>
      <c r="JI11" s="1535"/>
      <c r="JJ11" s="1535"/>
      <c r="JK11" s="1535"/>
      <c r="JL11" s="1535"/>
      <c r="JM11" s="1535"/>
      <c r="JN11" s="1535"/>
      <c r="JO11" s="1535"/>
      <c r="JP11" s="1535"/>
      <c r="JQ11" s="2572"/>
      <c r="JR11" s="351"/>
      <c r="JS11" s="1400"/>
      <c r="JT11" s="1666" t="s">
        <v>2242</v>
      </c>
    </row>
    <row r="12" spans="1:280" ht="12.5" x14ac:dyDescent="0.25">
      <c r="A12" s="1367">
        <v>12</v>
      </c>
      <c r="B12" s="1411" t="str">
        <f t="shared" si="0"/>
        <v/>
      </c>
      <c r="C12" s="796" t="s">
        <v>4217</v>
      </c>
      <c r="D12" s="1667" t="s">
        <v>4218</v>
      </c>
      <c r="E12" s="1535"/>
      <c r="F12" s="1535"/>
      <c r="G12" s="1535"/>
      <c r="H12" s="1535"/>
      <c r="I12" s="1535"/>
      <c r="J12" s="1535"/>
      <c r="K12" s="1535"/>
      <c r="L12" s="1535"/>
      <c r="M12" s="1535"/>
      <c r="N12" s="1535"/>
      <c r="O12" s="1535"/>
      <c r="P12" s="1535"/>
      <c r="Q12" s="1535"/>
      <c r="R12" s="1535"/>
      <c r="S12" s="1535"/>
      <c r="T12" s="1535"/>
      <c r="U12" s="1535"/>
      <c r="V12" s="1535"/>
      <c r="W12" s="1535"/>
      <c r="X12" s="1535"/>
      <c r="Y12" s="1535"/>
      <c r="Z12" s="1535"/>
      <c r="AA12" s="1535"/>
      <c r="AB12" s="1535"/>
      <c r="AC12" s="1535"/>
      <c r="AD12" s="1535"/>
      <c r="AE12" s="1535"/>
      <c r="AF12" s="1535"/>
      <c r="AG12" s="1535"/>
      <c r="AH12" s="1535"/>
      <c r="AI12" s="1535"/>
      <c r="AJ12" s="1535"/>
      <c r="AK12" s="1535"/>
      <c r="AL12" s="1535"/>
      <c r="AM12" s="1535"/>
      <c r="AN12" s="1535"/>
      <c r="AO12" s="1535"/>
      <c r="AP12" s="1535"/>
      <c r="AQ12" s="1452"/>
      <c r="AR12" s="1535"/>
      <c r="AS12" s="1535"/>
      <c r="AT12" s="1535"/>
      <c r="AU12" s="1535"/>
      <c r="AV12" s="1452"/>
      <c r="AW12" s="1535"/>
      <c r="AX12" s="1535"/>
      <c r="AY12" s="1535"/>
      <c r="AZ12" s="1535"/>
      <c r="BA12" s="1535"/>
      <c r="BB12" s="1535"/>
      <c r="BC12" s="1532">
        <v>1762</v>
      </c>
      <c r="BD12" s="1532"/>
      <c r="BE12" s="1535"/>
      <c r="BF12" s="1535"/>
      <c r="BG12" s="1535"/>
      <c r="BH12" s="1535"/>
      <c r="BI12" s="1535"/>
      <c r="BJ12" s="1535"/>
      <c r="BK12" s="1535"/>
      <c r="BL12" s="1452"/>
      <c r="BM12" s="1535"/>
      <c r="BN12" s="1535"/>
      <c r="BO12" s="1535"/>
      <c r="BP12" s="1535"/>
      <c r="BQ12" s="1535"/>
      <c r="BR12" s="1535"/>
      <c r="BS12" s="1535"/>
      <c r="BT12" s="1535"/>
      <c r="BU12" s="1535"/>
      <c r="BV12" s="1535"/>
      <c r="BW12" s="1535"/>
      <c r="BX12" s="1535"/>
      <c r="BY12" s="1535"/>
      <c r="BZ12" s="1535"/>
      <c r="CA12" s="1535"/>
      <c r="CB12" s="1535"/>
      <c r="CC12" s="1452"/>
      <c r="CD12" s="1535"/>
      <c r="CE12" s="1535"/>
      <c r="CF12" s="1535"/>
      <c r="CG12" s="1535"/>
      <c r="CH12" s="1535"/>
      <c r="CI12" s="1535"/>
      <c r="CJ12" s="1535"/>
      <c r="CK12" s="1535"/>
      <c r="CL12" s="1535"/>
      <c r="CM12" s="1535"/>
      <c r="CN12" s="1535"/>
      <c r="CO12" s="1535"/>
      <c r="CP12" s="1535"/>
      <c r="CQ12" s="1535"/>
      <c r="CR12" s="1535"/>
      <c r="CS12" s="1535"/>
      <c r="CT12" s="1535"/>
      <c r="CU12" s="1535"/>
      <c r="CV12" s="1535"/>
      <c r="CW12" s="1535"/>
      <c r="CX12" s="1535"/>
      <c r="CY12" s="1535"/>
      <c r="CZ12" s="1535"/>
      <c r="DA12" s="1535"/>
      <c r="DB12" s="1535"/>
      <c r="DC12" s="1535"/>
      <c r="DD12" s="1535"/>
      <c r="DE12" s="1535"/>
      <c r="DF12" s="1535"/>
      <c r="DG12" s="1535"/>
      <c r="DH12" s="1452"/>
      <c r="DI12" s="1535"/>
      <c r="DJ12" s="1452"/>
      <c r="DK12" s="1452"/>
      <c r="DL12" s="1535"/>
      <c r="DM12" s="1532">
        <v>40</v>
      </c>
      <c r="DN12" s="1535"/>
      <c r="DO12" s="1535"/>
      <c r="DP12" s="1535"/>
      <c r="DQ12" s="1535"/>
      <c r="DR12" s="1532"/>
      <c r="DS12" s="1535"/>
      <c r="DT12" s="1535"/>
      <c r="DU12" s="1535"/>
      <c r="DV12" s="1535"/>
      <c r="DW12" s="1535"/>
      <c r="DX12" s="1535"/>
      <c r="DY12" s="1535"/>
      <c r="DZ12" s="1535"/>
      <c r="EA12" s="1535"/>
      <c r="EB12" s="1535"/>
      <c r="EC12" s="1535"/>
      <c r="ED12" s="1535"/>
      <c r="EE12" s="1535"/>
      <c r="EF12" s="1535"/>
      <c r="EG12" s="1535"/>
      <c r="EH12" s="1535"/>
      <c r="EI12" s="1535"/>
      <c r="EJ12" s="1535"/>
      <c r="EK12" s="1535"/>
      <c r="EL12" s="1535"/>
      <c r="EM12" s="1535"/>
      <c r="EN12" s="1535"/>
      <c r="EO12" s="1535"/>
      <c r="EP12" s="1535"/>
      <c r="EQ12" s="1535"/>
      <c r="ER12" s="1535"/>
      <c r="ES12" s="1535"/>
      <c r="ET12" s="1535"/>
      <c r="EU12" s="1535"/>
      <c r="EV12" s="1535"/>
      <c r="EW12" s="1452"/>
      <c r="EX12" s="1535"/>
      <c r="EY12" s="1535"/>
      <c r="EZ12" s="1535"/>
      <c r="FA12" s="1535"/>
      <c r="FB12" s="1535"/>
      <c r="FC12" s="1535"/>
      <c r="FD12" s="1535"/>
      <c r="FE12" s="1535"/>
      <c r="FF12" s="1535"/>
      <c r="FG12" s="1535"/>
      <c r="FH12" s="1535"/>
      <c r="FI12" s="1535"/>
      <c r="FJ12" s="1535"/>
      <c r="FK12" s="1535"/>
      <c r="FL12" s="1535"/>
      <c r="FM12" s="1535"/>
      <c r="FN12" s="1535"/>
      <c r="FO12" s="1535"/>
      <c r="FP12" s="1535"/>
      <c r="FQ12" s="1535"/>
      <c r="FR12" s="1535"/>
      <c r="FS12" s="1535"/>
      <c r="FT12" s="1535"/>
      <c r="FU12" s="1535"/>
      <c r="FV12" s="1535"/>
      <c r="FW12" s="1452"/>
      <c r="FX12" s="1535"/>
      <c r="FY12" s="1535"/>
      <c r="FZ12" s="1535"/>
      <c r="GA12" s="1535"/>
      <c r="GB12" s="1535"/>
      <c r="GC12" s="1535"/>
      <c r="GD12" s="1535"/>
      <c r="GE12" s="1535"/>
      <c r="GF12" s="1535"/>
      <c r="GG12" s="1452"/>
      <c r="GH12" s="1535"/>
      <c r="GI12" s="1535"/>
      <c r="GJ12" s="1535"/>
      <c r="GK12" s="1535"/>
      <c r="GL12" s="1535"/>
      <c r="GM12" s="1535"/>
      <c r="GN12" s="1535"/>
      <c r="GO12" s="1535"/>
      <c r="GP12" s="1535"/>
      <c r="GQ12" s="1535"/>
      <c r="GR12" s="1535"/>
      <c r="GS12" s="1535"/>
      <c r="GT12" s="1535"/>
      <c r="GU12" s="1535"/>
      <c r="GV12" s="1535"/>
      <c r="GW12" s="1452"/>
      <c r="GX12" s="1535"/>
      <c r="GY12" s="1535"/>
      <c r="GZ12" s="1535"/>
      <c r="HA12" s="1535"/>
      <c r="HB12" s="1535"/>
      <c r="HC12" s="1535"/>
      <c r="HD12" s="1535"/>
      <c r="HE12" s="1535"/>
      <c r="HF12" s="1535"/>
      <c r="HG12" s="1535"/>
      <c r="HH12" s="1535"/>
      <c r="HI12" s="1535"/>
      <c r="HJ12" s="1535"/>
      <c r="HK12" s="1535"/>
      <c r="HL12" s="1535"/>
      <c r="HM12" s="1535"/>
      <c r="HN12" s="1535"/>
      <c r="HO12" s="1535"/>
      <c r="HP12" s="1535"/>
      <c r="HQ12" s="1535"/>
      <c r="HR12" s="1535"/>
      <c r="HS12" s="1535"/>
      <c r="HT12" s="1535"/>
      <c r="HU12" s="1535"/>
      <c r="HV12" s="1535"/>
      <c r="HW12" s="1535"/>
      <c r="HX12" s="1535"/>
      <c r="HY12" s="1535"/>
      <c r="HZ12" s="1535"/>
      <c r="IA12" s="1535"/>
      <c r="IB12" s="1535"/>
      <c r="IC12" s="1535"/>
      <c r="ID12" s="1535"/>
      <c r="IE12" s="1535"/>
      <c r="IF12" s="1535"/>
      <c r="IG12" s="1535"/>
      <c r="IH12" s="1535"/>
      <c r="II12" s="1535"/>
      <c r="IJ12" s="1535"/>
      <c r="IK12" s="1452"/>
      <c r="IL12" s="1535"/>
      <c r="IM12" s="1535"/>
      <c r="IN12" s="1535"/>
      <c r="IO12" s="1535"/>
      <c r="IP12" s="1535"/>
      <c r="IQ12" s="1535"/>
      <c r="IR12" s="1535"/>
      <c r="IS12" s="1535"/>
      <c r="IT12" s="1535"/>
      <c r="IU12" s="1535"/>
      <c r="IV12" s="1535"/>
      <c r="IW12" s="1535"/>
      <c r="IX12" s="1535"/>
      <c r="IY12" s="1535"/>
      <c r="IZ12" s="1535"/>
      <c r="JA12" s="1535"/>
      <c r="JB12" s="1535"/>
      <c r="JC12" s="1535"/>
      <c r="JD12" s="1535"/>
      <c r="JE12" s="1535"/>
      <c r="JF12" s="1452"/>
      <c r="JG12" s="1535"/>
      <c r="JH12" s="1535"/>
      <c r="JI12" s="1535"/>
      <c r="JJ12" s="1535"/>
      <c r="JK12" s="1535"/>
      <c r="JL12" s="1535"/>
      <c r="JM12" s="1535"/>
      <c r="JN12" s="1535"/>
      <c r="JO12" s="1535"/>
      <c r="JP12" s="1535"/>
      <c r="JQ12" s="2572"/>
      <c r="JR12" s="351"/>
      <c r="JS12" s="1400"/>
      <c r="JT12" s="1666" t="s">
        <v>2242</v>
      </c>
    </row>
    <row r="13" spans="1:280" ht="12.5" x14ac:dyDescent="0.25">
      <c r="A13" s="1367">
        <v>13</v>
      </c>
      <c r="B13" s="1411" t="str">
        <f t="shared" si="0"/>
        <v/>
      </c>
      <c r="C13" s="796" t="s">
        <v>4219</v>
      </c>
      <c r="D13" s="1667" t="s">
        <v>4220</v>
      </c>
      <c r="E13" s="1535"/>
      <c r="F13" s="1535"/>
      <c r="G13" s="1535"/>
      <c r="H13" s="1535"/>
      <c r="I13" s="1535"/>
      <c r="J13" s="1535"/>
      <c r="K13" s="1535"/>
      <c r="L13" s="1535"/>
      <c r="M13" s="1535"/>
      <c r="N13" s="1535"/>
      <c r="O13" s="1535"/>
      <c r="P13" s="1535"/>
      <c r="Q13" s="1535"/>
      <c r="R13" s="1535"/>
      <c r="S13" s="1535"/>
      <c r="T13" s="1535"/>
      <c r="U13" s="1535"/>
      <c r="V13" s="1535"/>
      <c r="W13" s="1535"/>
      <c r="X13" s="1535"/>
      <c r="Y13" s="1535"/>
      <c r="Z13" s="1535"/>
      <c r="AA13" s="1535"/>
      <c r="AB13" s="1535"/>
      <c r="AC13" s="1535"/>
      <c r="AD13" s="1535"/>
      <c r="AE13" s="1535"/>
      <c r="AF13" s="1535"/>
      <c r="AG13" s="1535"/>
      <c r="AH13" s="1535"/>
      <c r="AI13" s="1535"/>
      <c r="AJ13" s="1535"/>
      <c r="AK13" s="1535"/>
      <c r="AL13" s="1535"/>
      <c r="AM13" s="1535"/>
      <c r="AN13" s="1535"/>
      <c r="AO13" s="1535"/>
      <c r="AP13" s="1535"/>
      <c r="AQ13" s="1452"/>
      <c r="AR13" s="1535"/>
      <c r="AS13" s="1535"/>
      <c r="AT13" s="1535"/>
      <c r="AU13" s="1535"/>
      <c r="AV13" s="1452"/>
      <c r="AW13" s="1535"/>
      <c r="AX13" s="1535"/>
      <c r="AY13" s="1535"/>
      <c r="AZ13" s="1535"/>
      <c r="BA13" s="1535"/>
      <c r="BB13" s="1535"/>
      <c r="BC13" s="1532">
        <v>4468</v>
      </c>
      <c r="BD13" s="1532"/>
      <c r="BE13" s="1535"/>
      <c r="BF13" s="1535"/>
      <c r="BG13" s="1535"/>
      <c r="BH13" s="1535"/>
      <c r="BI13" s="1535"/>
      <c r="BJ13" s="1535"/>
      <c r="BK13" s="1535"/>
      <c r="BL13" s="1452"/>
      <c r="BM13" s="1535"/>
      <c r="BN13" s="1535"/>
      <c r="BO13" s="1535"/>
      <c r="BP13" s="1535"/>
      <c r="BQ13" s="1535"/>
      <c r="BR13" s="1535"/>
      <c r="BS13" s="1535"/>
      <c r="BT13" s="1535"/>
      <c r="BU13" s="1535"/>
      <c r="BV13" s="1535"/>
      <c r="BW13" s="1535"/>
      <c r="BX13" s="1535"/>
      <c r="BY13" s="1535"/>
      <c r="BZ13" s="1535"/>
      <c r="CA13" s="1535"/>
      <c r="CB13" s="1535"/>
      <c r="CC13" s="1452"/>
      <c r="CD13" s="1535"/>
      <c r="CE13" s="1535"/>
      <c r="CF13" s="1535"/>
      <c r="CG13" s="1535"/>
      <c r="CH13" s="1535"/>
      <c r="CI13" s="1535"/>
      <c r="CJ13" s="1535"/>
      <c r="CK13" s="1535"/>
      <c r="CL13" s="1535"/>
      <c r="CM13" s="1535"/>
      <c r="CN13" s="1535"/>
      <c r="CO13" s="1535"/>
      <c r="CP13" s="1535"/>
      <c r="CQ13" s="1535"/>
      <c r="CR13" s="1535"/>
      <c r="CS13" s="1535"/>
      <c r="CT13" s="1535"/>
      <c r="CU13" s="1535"/>
      <c r="CV13" s="1535"/>
      <c r="CW13" s="1535"/>
      <c r="CX13" s="1535"/>
      <c r="CY13" s="1535"/>
      <c r="CZ13" s="1535"/>
      <c r="DA13" s="1535"/>
      <c r="DB13" s="1535"/>
      <c r="DC13" s="1535"/>
      <c r="DD13" s="1535"/>
      <c r="DE13" s="1535"/>
      <c r="DF13" s="1535"/>
      <c r="DG13" s="1535"/>
      <c r="DH13" s="1452"/>
      <c r="DI13" s="1535"/>
      <c r="DJ13" s="1452"/>
      <c r="DK13" s="1452"/>
      <c r="DL13" s="1535"/>
      <c r="DM13" s="1532">
        <v>6034</v>
      </c>
      <c r="DN13" s="1535"/>
      <c r="DO13" s="1535"/>
      <c r="DP13" s="1535"/>
      <c r="DQ13" s="1535"/>
      <c r="DR13" s="1532"/>
      <c r="DS13" s="1535"/>
      <c r="DT13" s="1535"/>
      <c r="DU13" s="1535"/>
      <c r="DV13" s="1535"/>
      <c r="DW13" s="1535"/>
      <c r="DX13" s="1535"/>
      <c r="DY13" s="1535"/>
      <c r="DZ13" s="1535"/>
      <c r="EA13" s="1535"/>
      <c r="EB13" s="1535"/>
      <c r="EC13" s="1535"/>
      <c r="ED13" s="1535"/>
      <c r="EE13" s="1535"/>
      <c r="EF13" s="1535"/>
      <c r="EG13" s="1535"/>
      <c r="EH13" s="1535"/>
      <c r="EI13" s="1535"/>
      <c r="EJ13" s="1535"/>
      <c r="EK13" s="1535"/>
      <c r="EL13" s="1535"/>
      <c r="EM13" s="1535"/>
      <c r="EN13" s="1535"/>
      <c r="EO13" s="1535"/>
      <c r="EP13" s="1535"/>
      <c r="EQ13" s="1535"/>
      <c r="ER13" s="1535"/>
      <c r="ES13" s="1535"/>
      <c r="ET13" s="1535"/>
      <c r="EU13" s="1535"/>
      <c r="EV13" s="1535"/>
      <c r="EW13" s="1452"/>
      <c r="EX13" s="1535"/>
      <c r="EY13" s="1535"/>
      <c r="EZ13" s="1535"/>
      <c r="FA13" s="1535"/>
      <c r="FB13" s="1535"/>
      <c r="FC13" s="1535"/>
      <c r="FD13" s="1535"/>
      <c r="FE13" s="1535"/>
      <c r="FF13" s="1535"/>
      <c r="FG13" s="1535"/>
      <c r="FH13" s="1535"/>
      <c r="FI13" s="1535"/>
      <c r="FJ13" s="1535"/>
      <c r="FK13" s="1535"/>
      <c r="FL13" s="1535"/>
      <c r="FM13" s="1535"/>
      <c r="FN13" s="1535"/>
      <c r="FO13" s="1535"/>
      <c r="FP13" s="1535"/>
      <c r="FQ13" s="1535"/>
      <c r="FR13" s="1535"/>
      <c r="FS13" s="1535"/>
      <c r="FT13" s="1535"/>
      <c r="FU13" s="1535"/>
      <c r="FV13" s="1535"/>
      <c r="FW13" s="1452"/>
      <c r="FX13" s="1535"/>
      <c r="FY13" s="1535"/>
      <c r="FZ13" s="1535"/>
      <c r="GA13" s="1535"/>
      <c r="GB13" s="1535"/>
      <c r="GC13" s="1535"/>
      <c r="GD13" s="1535"/>
      <c r="GE13" s="1535"/>
      <c r="GF13" s="1535"/>
      <c r="GG13" s="1452"/>
      <c r="GH13" s="1535"/>
      <c r="GI13" s="1535"/>
      <c r="GJ13" s="1535"/>
      <c r="GK13" s="1535"/>
      <c r="GL13" s="1535"/>
      <c r="GM13" s="1535"/>
      <c r="GN13" s="1535"/>
      <c r="GO13" s="1535"/>
      <c r="GP13" s="1535"/>
      <c r="GQ13" s="1535"/>
      <c r="GR13" s="1535"/>
      <c r="GS13" s="1535"/>
      <c r="GT13" s="1535"/>
      <c r="GU13" s="1535"/>
      <c r="GV13" s="1535"/>
      <c r="GW13" s="1452"/>
      <c r="GX13" s="1535"/>
      <c r="GY13" s="1535"/>
      <c r="GZ13" s="1535"/>
      <c r="HA13" s="1535"/>
      <c r="HB13" s="1535"/>
      <c r="HC13" s="1535"/>
      <c r="HD13" s="1535"/>
      <c r="HE13" s="1535"/>
      <c r="HF13" s="1535"/>
      <c r="HG13" s="1535"/>
      <c r="HH13" s="1535"/>
      <c r="HI13" s="1535"/>
      <c r="HJ13" s="1535"/>
      <c r="HK13" s="1535"/>
      <c r="HL13" s="1535"/>
      <c r="HM13" s="1535"/>
      <c r="HN13" s="1535"/>
      <c r="HO13" s="1535"/>
      <c r="HP13" s="1535"/>
      <c r="HQ13" s="1535"/>
      <c r="HR13" s="1535"/>
      <c r="HS13" s="1535"/>
      <c r="HT13" s="1535"/>
      <c r="HU13" s="1535"/>
      <c r="HV13" s="1535"/>
      <c r="HW13" s="1535"/>
      <c r="HX13" s="1535"/>
      <c r="HY13" s="1535"/>
      <c r="HZ13" s="1535"/>
      <c r="IA13" s="1535"/>
      <c r="IB13" s="1535"/>
      <c r="IC13" s="1535"/>
      <c r="ID13" s="1535"/>
      <c r="IE13" s="1535"/>
      <c r="IF13" s="1535"/>
      <c r="IG13" s="1535"/>
      <c r="IH13" s="1535"/>
      <c r="II13" s="1535"/>
      <c r="IJ13" s="1535"/>
      <c r="IK13" s="1452"/>
      <c r="IL13" s="1535"/>
      <c r="IM13" s="1535"/>
      <c r="IN13" s="1535"/>
      <c r="IO13" s="1535"/>
      <c r="IP13" s="1535">
        <v>10998</v>
      </c>
      <c r="IQ13" s="1535"/>
      <c r="IR13" s="1535"/>
      <c r="IS13" s="1535"/>
      <c r="IT13" s="1535"/>
      <c r="IU13" s="1535"/>
      <c r="IV13" s="1535"/>
      <c r="IW13" s="1535"/>
      <c r="IX13" s="1535"/>
      <c r="IY13" s="1535"/>
      <c r="IZ13" s="1535"/>
      <c r="JA13" s="1535"/>
      <c r="JB13" s="1535"/>
      <c r="JC13" s="1535"/>
      <c r="JD13" s="1535"/>
      <c r="JE13" s="1535"/>
      <c r="JF13" s="1452"/>
      <c r="JG13" s="1535"/>
      <c r="JH13" s="1535"/>
      <c r="JI13" s="1535"/>
      <c r="JJ13" s="1535"/>
      <c r="JK13" s="1535"/>
      <c r="JL13" s="1535"/>
      <c r="JM13" s="1535"/>
      <c r="JN13" s="1535"/>
      <c r="JO13" s="1535"/>
      <c r="JP13" s="1535"/>
      <c r="JQ13" s="2572"/>
      <c r="JR13" s="351"/>
      <c r="JS13" s="1400"/>
      <c r="JT13" s="1666" t="s">
        <v>2242</v>
      </c>
    </row>
    <row r="14" spans="1:280" ht="12.5" x14ac:dyDescent="0.25">
      <c r="A14" s="1367">
        <v>14</v>
      </c>
      <c r="B14" s="1411" t="str">
        <f t="shared" si="0"/>
        <v/>
      </c>
      <c r="C14" s="796" t="s">
        <v>4221</v>
      </c>
      <c r="D14" s="1667" t="s">
        <v>4222</v>
      </c>
      <c r="E14" s="1535"/>
      <c r="F14" s="1535"/>
      <c r="G14" s="1535"/>
      <c r="H14" s="1535"/>
      <c r="I14" s="1535"/>
      <c r="J14" s="1535"/>
      <c r="K14" s="1535"/>
      <c r="L14" s="1535"/>
      <c r="M14" s="1535"/>
      <c r="N14" s="1535"/>
      <c r="O14" s="1535"/>
      <c r="P14" s="1535"/>
      <c r="Q14" s="1535"/>
      <c r="R14" s="1535"/>
      <c r="S14" s="1535"/>
      <c r="T14" s="1535"/>
      <c r="U14" s="1535"/>
      <c r="V14" s="1535"/>
      <c r="W14" s="1535"/>
      <c r="X14" s="1535"/>
      <c r="Y14" s="1535"/>
      <c r="Z14" s="1535"/>
      <c r="AA14" s="1535"/>
      <c r="AB14" s="1535"/>
      <c r="AC14" s="1535"/>
      <c r="AD14" s="1535"/>
      <c r="AE14" s="1535"/>
      <c r="AF14" s="1535"/>
      <c r="AG14" s="1535"/>
      <c r="AH14" s="1535"/>
      <c r="AI14" s="1535"/>
      <c r="AJ14" s="1535"/>
      <c r="AK14" s="1535"/>
      <c r="AL14" s="1535"/>
      <c r="AM14" s="1535"/>
      <c r="AN14" s="1535"/>
      <c r="AO14" s="1535"/>
      <c r="AP14" s="1535"/>
      <c r="AQ14" s="1452"/>
      <c r="AR14" s="1535"/>
      <c r="AS14" s="1535"/>
      <c r="AT14" s="1535"/>
      <c r="AU14" s="1535"/>
      <c r="AV14" s="1452"/>
      <c r="AW14" s="1535"/>
      <c r="AX14" s="1535"/>
      <c r="AY14" s="1535"/>
      <c r="AZ14" s="1535"/>
      <c r="BA14" s="1535"/>
      <c r="BB14" s="1535"/>
      <c r="BC14" s="1532"/>
      <c r="BD14" s="1532"/>
      <c r="BE14" s="1535"/>
      <c r="BF14" s="1535"/>
      <c r="BG14" s="1535"/>
      <c r="BH14" s="1535"/>
      <c r="BI14" s="1535"/>
      <c r="BJ14" s="1535"/>
      <c r="BK14" s="1535"/>
      <c r="BL14" s="1452"/>
      <c r="BM14" s="1535"/>
      <c r="BN14" s="1535"/>
      <c r="BO14" s="1535"/>
      <c r="BP14" s="1535"/>
      <c r="BQ14" s="1535"/>
      <c r="BR14" s="1535"/>
      <c r="BS14" s="1535"/>
      <c r="BT14" s="1535"/>
      <c r="BU14" s="1535"/>
      <c r="BV14" s="1535"/>
      <c r="BW14" s="1535"/>
      <c r="BX14" s="1535"/>
      <c r="BY14" s="1535"/>
      <c r="BZ14" s="1535"/>
      <c r="CA14" s="1535"/>
      <c r="CB14" s="1535"/>
      <c r="CC14" s="1452">
        <v>246</v>
      </c>
      <c r="CD14" s="1535"/>
      <c r="CE14" s="1535"/>
      <c r="CF14" s="1535"/>
      <c r="CG14" s="1535"/>
      <c r="CH14" s="1535"/>
      <c r="CI14" s="1535"/>
      <c r="CJ14" s="1535"/>
      <c r="CK14" s="1535"/>
      <c r="CL14" s="1535"/>
      <c r="CM14" s="1535"/>
      <c r="CN14" s="1535"/>
      <c r="CO14" s="1535"/>
      <c r="CP14" s="1535"/>
      <c r="CQ14" s="1535"/>
      <c r="CR14" s="1535"/>
      <c r="CS14" s="1535"/>
      <c r="CT14" s="1535"/>
      <c r="CU14" s="1535"/>
      <c r="CV14" s="1535"/>
      <c r="CW14" s="1535"/>
      <c r="CX14" s="1535"/>
      <c r="CY14" s="1535"/>
      <c r="CZ14" s="1535"/>
      <c r="DA14" s="1535"/>
      <c r="DB14" s="1535"/>
      <c r="DC14" s="1535"/>
      <c r="DD14" s="1535"/>
      <c r="DE14" s="1535"/>
      <c r="DF14" s="1535"/>
      <c r="DG14" s="1535"/>
      <c r="DH14" s="1452"/>
      <c r="DI14" s="1535"/>
      <c r="DJ14" s="1452">
        <v>246</v>
      </c>
      <c r="DK14" s="1452"/>
      <c r="DL14" s="1535"/>
      <c r="DM14" s="1532"/>
      <c r="DN14" s="1535"/>
      <c r="DO14" s="1535"/>
      <c r="DP14" s="1535"/>
      <c r="DQ14" s="1535"/>
      <c r="DR14" s="1532"/>
      <c r="DS14" s="1535"/>
      <c r="DT14" s="1535"/>
      <c r="DU14" s="1535"/>
      <c r="DV14" s="1535"/>
      <c r="DW14" s="1535"/>
      <c r="DX14" s="1535"/>
      <c r="DY14" s="1535"/>
      <c r="DZ14" s="1535"/>
      <c r="EA14" s="1535"/>
      <c r="EB14" s="1535"/>
      <c r="EC14" s="1535"/>
      <c r="ED14" s="1535"/>
      <c r="EE14" s="1535"/>
      <c r="EF14" s="1535"/>
      <c r="EG14" s="1535"/>
      <c r="EH14" s="1535"/>
      <c r="EI14" s="1535"/>
      <c r="EJ14" s="1535"/>
      <c r="EK14" s="1535"/>
      <c r="EL14" s="1535"/>
      <c r="EM14" s="1535"/>
      <c r="EN14" s="1535"/>
      <c r="EO14" s="1535"/>
      <c r="EP14" s="1535"/>
      <c r="EQ14" s="1535"/>
      <c r="ER14" s="1535"/>
      <c r="ES14" s="1535"/>
      <c r="ET14" s="1535"/>
      <c r="EU14" s="1535"/>
      <c r="EV14" s="1535"/>
      <c r="EW14" s="1452"/>
      <c r="EX14" s="1535"/>
      <c r="EY14" s="1535"/>
      <c r="EZ14" s="1535"/>
      <c r="FA14" s="1535"/>
      <c r="FB14" s="1535"/>
      <c r="FC14" s="1535"/>
      <c r="FD14" s="1535"/>
      <c r="FE14" s="1535"/>
      <c r="FF14" s="1535"/>
      <c r="FG14" s="1535"/>
      <c r="FH14" s="1535"/>
      <c r="FI14" s="1535"/>
      <c r="FJ14" s="1535"/>
      <c r="FK14" s="1535"/>
      <c r="FL14" s="1535"/>
      <c r="FM14" s="1535"/>
      <c r="FN14" s="1535"/>
      <c r="FO14" s="1535"/>
      <c r="FP14" s="1535"/>
      <c r="FQ14" s="1535"/>
      <c r="FR14" s="1535"/>
      <c r="FS14" s="1535"/>
      <c r="FT14" s="1535"/>
      <c r="FU14" s="1535"/>
      <c r="FV14" s="1535"/>
      <c r="FW14" s="1452"/>
      <c r="FX14" s="1535"/>
      <c r="FY14" s="1535"/>
      <c r="FZ14" s="1535"/>
      <c r="GA14" s="1535"/>
      <c r="GB14" s="1535"/>
      <c r="GC14" s="1535"/>
      <c r="GD14" s="1535"/>
      <c r="GE14" s="1535"/>
      <c r="GF14" s="1535"/>
      <c r="GG14" s="1452"/>
      <c r="GH14" s="1535"/>
      <c r="GI14" s="1535"/>
      <c r="GJ14" s="1535"/>
      <c r="GK14" s="1535"/>
      <c r="GL14" s="1535"/>
      <c r="GM14" s="1535"/>
      <c r="GN14" s="1535"/>
      <c r="GO14" s="1535"/>
      <c r="GP14" s="1535"/>
      <c r="GQ14" s="1535"/>
      <c r="GR14" s="1535"/>
      <c r="GS14" s="1535"/>
      <c r="GT14" s="1535"/>
      <c r="GU14" s="1535"/>
      <c r="GV14" s="1535"/>
      <c r="GW14" s="1452"/>
      <c r="GX14" s="1535"/>
      <c r="GY14" s="1535"/>
      <c r="GZ14" s="1535"/>
      <c r="HA14" s="1535"/>
      <c r="HB14" s="1535"/>
      <c r="HC14" s="1535"/>
      <c r="HD14" s="1535"/>
      <c r="HE14" s="1535"/>
      <c r="HF14" s="1535"/>
      <c r="HG14" s="1535"/>
      <c r="HH14" s="1535"/>
      <c r="HI14" s="1535"/>
      <c r="HJ14" s="1535"/>
      <c r="HK14" s="1535"/>
      <c r="HL14" s="1535"/>
      <c r="HM14" s="1535"/>
      <c r="HN14" s="1535"/>
      <c r="HO14" s="1535"/>
      <c r="HP14" s="1535"/>
      <c r="HQ14" s="1535"/>
      <c r="HR14" s="1535"/>
      <c r="HS14" s="1535"/>
      <c r="HT14" s="1535"/>
      <c r="HU14" s="1535"/>
      <c r="HV14" s="1535"/>
      <c r="HW14" s="1535"/>
      <c r="HX14" s="1535"/>
      <c r="HY14" s="1535"/>
      <c r="HZ14" s="1535"/>
      <c r="IA14" s="1535"/>
      <c r="IB14" s="1535"/>
      <c r="IC14" s="1535"/>
      <c r="ID14" s="1535"/>
      <c r="IE14" s="1535"/>
      <c r="IF14" s="1535"/>
      <c r="IG14" s="1535"/>
      <c r="IH14" s="1535"/>
      <c r="II14" s="1535"/>
      <c r="IJ14" s="1535"/>
      <c r="IK14" s="1452"/>
      <c r="IL14" s="1535"/>
      <c r="IM14" s="1535"/>
      <c r="IN14" s="1535"/>
      <c r="IO14" s="1535"/>
      <c r="IP14" s="1532"/>
      <c r="IQ14" s="1535"/>
      <c r="IR14" s="1535"/>
      <c r="IS14" s="1535"/>
      <c r="IT14" s="1535"/>
      <c r="IU14" s="1535"/>
      <c r="IV14" s="1535"/>
      <c r="IW14" s="1535"/>
      <c r="IX14" s="1535"/>
      <c r="IY14" s="1535"/>
      <c r="IZ14" s="1535"/>
      <c r="JA14" s="1535"/>
      <c r="JB14" s="1535"/>
      <c r="JC14" s="1535"/>
      <c r="JD14" s="1535"/>
      <c r="JE14" s="1535"/>
      <c r="JF14" s="1452">
        <v>246</v>
      </c>
      <c r="JG14" s="1535"/>
      <c r="JH14" s="1535"/>
      <c r="JI14" s="1535"/>
      <c r="JJ14" s="1535"/>
      <c r="JK14" s="1535"/>
      <c r="JL14" s="1535"/>
      <c r="JM14" s="1535"/>
      <c r="JN14" s="1535"/>
      <c r="JO14" s="1535"/>
      <c r="JP14" s="1535"/>
      <c r="JQ14" s="2572"/>
      <c r="JR14" s="351"/>
      <c r="JS14" s="1400"/>
      <c r="JT14" s="1666" t="s">
        <v>2242</v>
      </c>
    </row>
    <row r="15" spans="1:280" ht="12.5" x14ac:dyDescent="0.25">
      <c r="A15" s="1367">
        <v>15</v>
      </c>
      <c r="B15" s="1411" t="str">
        <f t="shared" si="0"/>
        <v/>
      </c>
      <c r="C15" s="796" t="s">
        <v>4223</v>
      </c>
      <c r="D15" s="1667" t="s">
        <v>4224</v>
      </c>
      <c r="E15" s="1535"/>
      <c r="F15" s="1535"/>
      <c r="G15" s="1535"/>
      <c r="H15" s="1535"/>
      <c r="I15" s="1535"/>
      <c r="J15" s="1535"/>
      <c r="K15" s="1535"/>
      <c r="L15" s="1535"/>
      <c r="M15" s="1535"/>
      <c r="N15" s="1535"/>
      <c r="O15" s="1535"/>
      <c r="P15" s="1535"/>
      <c r="Q15" s="1535"/>
      <c r="R15" s="1535"/>
      <c r="S15" s="1535"/>
      <c r="T15" s="1535"/>
      <c r="U15" s="1535"/>
      <c r="V15" s="1535"/>
      <c r="W15" s="1535"/>
      <c r="X15" s="1535"/>
      <c r="Y15" s="1535"/>
      <c r="Z15" s="1535"/>
      <c r="AA15" s="1535"/>
      <c r="AB15" s="1535"/>
      <c r="AC15" s="1535"/>
      <c r="AD15" s="1535"/>
      <c r="AE15" s="1535"/>
      <c r="AF15" s="1535"/>
      <c r="AG15" s="1535"/>
      <c r="AH15" s="1535"/>
      <c r="AI15" s="1535"/>
      <c r="AJ15" s="1535"/>
      <c r="AK15" s="1535"/>
      <c r="AL15" s="1535"/>
      <c r="AM15" s="1535"/>
      <c r="AN15" s="1535"/>
      <c r="AO15" s="1535"/>
      <c r="AP15" s="1535"/>
      <c r="AQ15" s="1452"/>
      <c r="AR15" s="1535"/>
      <c r="AS15" s="1535"/>
      <c r="AT15" s="1535"/>
      <c r="AU15" s="1535"/>
      <c r="AV15" s="1452"/>
      <c r="AW15" s="1535"/>
      <c r="AX15" s="1535"/>
      <c r="AY15" s="1535"/>
      <c r="AZ15" s="1535"/>
      <c r="BA15" s="1535"/>
      <c r="BB15" s="1535"/>
      <c r="BC15" s="1532"/>
      <c r="BD15" s="1532"/>
      <c r="BE15" s="1535"/>
      <c r="BF15" s="1535"/>
      <c r="BG15" s="1535"/>
      <c r="BH15" s="1535"/>
      <c r="BI15" s="1535"/>
      <c r="BJ15" s="1535"/>
      <c r="BK15" s="1535"/>
      <c r="BL15" s="1452"/>
      <c r="BM15" s="1535"/>
      <c r="BN15" s="1535"/>
      <c r="BO15" s="1535"/>
      <c r="BP15" s="1535"/>
      <c r="BQ15" s="1535"/>
      <c r="BR15" s="1535"/>
      <c r="BS15" s="1535"/>
      <c r="BT15" s="1535"/>
      <c r="BU15" s="1535"/>
      <c r="BV15" s="1535"/>
      <c r="BW15" s="1535"/>
      <c r="BX15" s="1535"/>
      <c r="BY15" s="1535"/>
      <c r="BZ15" s="1535"/>
      <c r="CA15" s="1535"/>
      <c r="CB15" s="1535"/>
      <c r="CC15" s="1452"/>
      <c r="CD15" s="1535"/>
      <c r="CE15" s="1535"/>
      <c r="CF15" s="1535"/>
      <c r="CG15" s="1535"/>
      <c r="CH15" s="1535"/>
      <c r="CI15" s="1535"/>
      <c r="CJ15" s="1535"/>
      <c r="CK15" s="1535"/>
      <c r="CL15" s="1535"/>
      <c r="CM15" s="1535"/>
      <c r="CN15" s="1535"/>
      <c r="CO15" s="1535"/>
      <c r="CP15" s="1535"/>
      <c r="CQ15" s="1535"/>
      <c r="CR15" s="1535"/>
      <c r="CS15" s="1535"/>
      <c r="CT15" s="1535"/>
      <c r="CU15" s="1535"/>
      <c r="CV15" s="1535"/>
      <c r="CW15" s="1535"/>
      <c r="CX15" s="1535"/>
      <c r="CY15" s="1535"/>
      <c r="CZ15" s="1535"/>
      <c r="DA15" s="1535"/>
      <c r="DB15" s="1535"/>
      <c r="DC15" s="1535"/>
      <c r="DD15" s="1535"/>
      <c r="DE15" s="1535"/>
      <c r="DF15" s="1535"/>
      <c r="DG15" s="1535"/>
      <c r="DH15" s="1452"/>
      <c r="DI15" s="1535"/>
      <c r="DJ15" s="1452"/>
      <c r="DK15" s="1452"/>
      <c r="DL15" s="1535"/>
      <c r="DM15" s="1532">
        <v>48</v>
      </c>
      <c r="DN15" s="1535"/>
      <c r="DO15" s="1535"/>
      <c r="DP15" s="1535"/>
      <c r="DQ15" s="1535"/>
      <c r="DR15" s="1532"/>
      <c r="DS15" s="1535"/>
      <c r="DT15" s="1535"/>
      <c r="DU15" s="1535"/>
      <c r="DV15" s="1535"/>
      <c r="DW15" s="1535"/>
      <c r="DX15" s="1535"/>
      <c r="DY15" s="1535"/>
      <c r="DZ15" s="1535"/>
      <c r="EA15" s="1535"/>
      <c r="EB15" s="1535"/>
      <c r="EC15" s="1535"/>
      <c r="ED15" s="1535"/>
      <c r="EE15" s="1535"/>
      <c r="EF15" s="1535"/>
      <c r="EG15" s="1535"/>
      <c r="EH15" s="1535"/>
      <c r="EI15" s="1535"/>
      <c r="EJ15" s="1535"/>
      <c r="EK15" s="1535"/>
      <c r="EL15" s="1535"/>
      <c r="EM15" s="1535"/>
      <c r="EN15" s="1535"/>
      <c r="EO15" s="1535"/>
      <c r="EP15" s="1535"/>
      <c r="EQ15" s="1535"/>
      <c r="ER15" s="1535"/>
      <c r="ES15" s="1535"/>
      <c r="ET15" s="1535"/>
      <c r="EU15" s="1535"/>
      <c r="EV15" s="1535"/>
      <c r="EW15" s="1452"/>
      <c r="EX15" s="1535"/>
      <c r="EY15" s="1535"/>
      <c r="EZ15" s="1535"/>
      <c r="FA15" s="1535"/>
      <c r="FB15" s="1535"/>
      <c r="FC15" s="1535"/>
      <c r="FD15" s="1535"/>
      <c r="FE15" s="1535"/>
      <c r="FF15" s="1535"/>
      <c r="FG15" s="1535"/>
      <c r="FH15" s="1535"/>
      <c r="FI15" s="1535"/>
      <c r="FJ15" s="1535"/>
      <c r="FK15" s="1535"/>
      <c r="FL15" s="1535"/>
      <c r="FM15" s="1535"/>
      <c r="FN15" s="1535"/>
      <c r="FO15" s="1535"/>
      <c r="FP15" s="1535"/>
      <c r="FQ15" s="1535"/>
      <c r="FR15" s="1535"/>
      <c r="FS15" s="1535"/>
      <c r="FT15" s="1535"/>
      <c r="FU15" s="1535"/>
      <c r="FV15" s="1535"/>
      <c r="FW15" s="1452"/>
      <c r="FX15" s="1535"/>
      <c r="FY15" s="1535"/>
      <c r="FZ15" s="1535"/>
      <c r="GA15" s="1535"/>
      <c r="GB15" s="1535"/>
      <c r="GC15" s="1535"/>
      <c r="GD15" s="1535"/>
      <c r="GE15" s="1535"/>
      <c r="GF15" s="1535"/>
      <c r="GG15" s="1452"/>
      <c r="GH15" s="1535"/>
      <c r="GI15" s="1535"/>
      <c r="GJ15" s="1535"/>
      <c r="GK15" s="1535"/>
      <c r="GL15" s="1535"/>
      <c r="GM15" s="1535"/>
      <c r="GN15" s="1535"/>
      <c r="GO15" s="1535"/>
      <c r="GP15" s="1535"/>
      <c r="GQ15" s="1535"/>
      <c r="GR15" s="1535"/>
      <c r="GS15" s="1535"/>
      <c r="GT15" s="1535"/>
      <c r="GU15" s="1535"/>
      <c r="GV15" s="1535"/>
      <c r="GW15" s="1452"/>
      <c r="GX15" s="1535"/>
      <c r="GY15" s="1535"/>
      <c r="GZ15" s="1535"/>
      <c r="HA15" s="1535"/>
      <c r="HB15" s="1535"/>
      <c r="HC15" s="1535"/>
      <c r="HD15" s="1535"/>
      <c r="HE15" s="1535"/>
      <c r="HF15" s="1535"/>
      <c r="HG15" s="1535"/>
      <c r="HH15" s="1535"/>
      <c r="HI15" s="1535"/>
      <c r="HJ15" s="1535"/>
      <c r="HK15" s="1535"/>
      <c r="HL15" s="1535"/>
      <c r="HM15" s="1535"/>
      <c r="HN15" s="1535"/>
      <c r="HO15" s="1535"/>
      <c r="HP15" s="1535"/>
      <c r="HQ15" s="1535"/>
      <c r="HR15" s="1535"/>
      <c r="HS15" s="1535"/>
      <c r="HT15" s="1535"/>
      <c r="HU15" s="1535"/>
      <c r="HV15" s="1535"/>
      <c r="HW15" s="1535"/>
      <c r="HX15" s="1535"/>
      <c r="HY15" s="1535"/>
      <c r="HZ15" s="1535"/>
      <c r="IA15" s="1535"/>
      <c r="IB15" s="1535"/>
      <c r="IC15" s="1535"/>
      <c r="ID15" s="1535"/>
      <c r="IE15" s="1535"/>
      <c r="IF15" s="1535"/>
      <c r="IG15" s="1535"/>
      <c r="IH15" s="1535"/>
      <c r="II15" s="1535"/>
      <c r="IJ15" s="1535"/>
      <c r="IK15" s="1452"/>
      <c r="IL15" s="1535"/>
      <c r="IM15" s="1535"/>
      <c r="IN15" s="1535"/>
      <c r="IO15" s="1535"/>
      <c r="IP15" s="1532"/>
      <c r="IQ15" s="1535"/>
      <c r="IR15" s="1535"/>
      <c r="IS15" s="1535"/>
      <c r="IT15" s="1535"/>
      <c r="IU15" s="1535"/>
      <c r="IV15" s="1535"/>
      <c r="IW15" s="1535"/>
      <c r="IX15" s="1535"/>
      <c r="IY15" s="1535"/>
      <c r="IZ15" s="1535"/>
      <c r="JA15" s="1535"/>
      <c r="JB15" s="1535"/>
      <c r="JC15" s="1535"/>
      <c r="JD15" s="1535"/>
      <c r="JE15" s="1535"/>
      <c r="JF15" s="1452"/>
      <c r="JG15" s="1535"/>
      <c r="JH15" s="1535"/>
      <c r="JI15" s="1535"/>
      <c r="JJ15" s="1535"/>
      <c r="JK15" s="1535"/>
      <c r="JL15" s="1535"/>
      <c r="JM15" s="1535"/>
      <c r="JN15" s="1535"/>
      <c r="JO15" s="1535"/>
      <c r="JP15" s="1535"/>
      <c r="JQ15" s="2572"/>
      <c r="JR15" s="351"/>
      <c r="JS15" s="1400"/>
      <c r="JT15" s="1666" t="s">
        <v>2242</v>
      </c>
    </row>
    <row r="16" spans="1:280" ht="12.5" x14ac:dyDescent="0.25">
      <c r="A16" s="1367">
        <v>16</v>
      </c>
      <c r="B16" s="1411" t="str">
        <f t="shared" si="0"/>
        <v/>
      </c>
      <c r="C16" s="796" t="s">
        <v>4225</v>
      </c>
      <c r="D16" s="1667" t="s">
        <v>4226</v>
      </c>
      <c r="E16" s="1535"/>
      <c r="F16" s="1535"/>
      <c r="G16" s="1535"/>
      <c r="H16" s="1535"/>
      <c r="I16" s="1535"/>
      <c r="J16" s="1535"/>
      <c r="K16" s="1535"/>
      <c r="L16" s="1535"/>
      <c r="M16" s="1535"/>
      <c r="N16" s="1535"/>
      <c r="O16" s="1535"/>
      <c r="P16" s="1535"/>
      <c r="Q16" s="1535"/>
      <c r="R16" s="1535"/>
      <c r="S16" s="1535"/>
      <c r="T16" s="1535"/>
      <c r="U16" s="1535"/>
      <c r="V16" s="1535"/>
      <c r="W16" s="1535"/>
      <c r="X16" s="1535"/>
      <c r="Y16" s="1535"/>
      <c r="Z16" s="1535"/>
      <c r="AA16" s="1535"/>
      <c r="AB16" s="1535"/>
      <c r="AC16" s="1535"/>
      <c r="AD16" s="1535"/>
      <c r="AE16" s="1535"/>
      <c r="AF16" s="1535"/>
      <c r="AG16" s="1535"/>
      <c r="AH16" s="1535"/>
      <c r="AI16" s="1535"/>
      <c r="AJ16" s="1535"/>
      <c r="AK16" s="1535"/>
      <c r="AL16" s="1535"/>
      <c r="AM16" s="1535"/>
      <c r="AN16" s="1535"/>
      <c r="AO16" s="1535"/>
      <c r="AP16" s="1535"/>
      <c r="AQ16" s="1452"/>
      <c r="AR16" s="1535"/>
      <c r="AS16" s="1535"/>
      <c r="AT16" s="1535"/>
      <c r="AU16" s="1535"/>
      <c r="AV16" s="1452"/>
      <c r="AW16" s="1535"/>
      <c r="AX16" s="1535"/>
      <c r="AY16" s="1535"/>
      <c r="AZ16" s="1535"/>
      <c r="BA16" s="1535"/>
      <c r="BB16" s="1535"/>
      <c r="BC16" s="1532"/>
      <c r="BD16" s="1532"/>
      <c r="BE16" s="1535"/>
      <c r="BF16" s="1535"/>
      <c r="BG16" s="1535"/>
      <c r="BH16" s="1535"/>
      <c r="BI16" s="1535"/>
      <c r="BJ16" s="1535"/>
      <c r="BK16" s="1535"/>
      <c r="BL16" s="1452"/>
      <c r="BM16" s="1535"/>
      <c r="BN16" s="1535"/>
      <c r="BO16" s="1535"/>
      <c r="BP16" s="1535"/>
      <c r="BQ16" s="1535"/>
      <c r="BR16" s="1535"/>
      <c r="BS16" s="1535"/>
      <c r="BT16" s="1535"/>
      <c r="BU16" s="1535"/>
      <c r="BV16" s="1535"/>
      <c r="BW16" s="1535"/>
      <c r="BX16" s="1535"/>
      <c r="BY16" s="1535"/>
      <c r="BZ16" s="1535"/>
      <c r="CA16" s="1535"/>
      <c r="CB16" s="1535"/>
      <c r="CC16" s="1452"/>
      <c r="CD16" s="1535"/>
      <c r="CE16" s="1535"/>
      <c r="CF16" s="1535"/>
      <c r="CG16" s="1535"/>
      <c r="CH16" s="1535"/>
      <c r="CI16" s="1535"/>
      <c r="CJ16" s="1535"/>
      <c r="CK16" s="1535"/>
      <c r="CL16" s="1535"/>
      <c r="CM16" s="1535"/>
      <c r="CN16" s="1535"/>
      <c r="CO16" s="1535"/>
      <c r="CP16" s="1535"/>
      <c r="CQ16" s="1535"/>
      <c r="CR16" s="1535"/>
      <c r="CS16" s="1535"/>
      <c r="CT16" s="1535"/>
      <c r="CU16" s="1535"/>
      <c r="CV16" s="1535"/>
      <c r="CW16" s="1535"/>
      <c r="CX16" s="1535"/>
      <c r="CY16" s="1535"/>
      <c r="CZ16" s="1535"/>
      <c r="DA16" s="1535"/>
      <c r="DB16" s="1535"/>
      <c r="DC16" s="1535"/>
      <c r="DD16" s="1535"/>
      <c r="DE16" s="1535"/>
      <c r="DF16" s="1535"/>
      <c r="DG16" s="1535"/>
      <c r="DH16" s="1452">
        <v>1808</v>
      </c>
      <c r="DI16" s="1535"/>
      <c r="DJ16" s="1452"/>
      <c r="DK16" s="1452"/>
      <c r="DL16" s="1535"/>
      <c r="DM16" s="1532"/>
      <c r="DN16" s="1535"/>
      <c r="DO16" s="1535"/>
      <c r="DP16" s="1535"/>
      <c r="DQ16" s="1535"/>
      <c r="DR16" s="1532"/>
      <c r="DS16" s="1535"/>
      <c r="DT16" s="1535"/>
      <c r="DU16" s="1535"/>
      <c r="DV16" s="1535"/>
      <c r="DW16" s="1535"/>
      <c r="DX16" s="1535"/>
      <c r="DY16" s="1535"/>
      <c r="DZ16" s="1535"/>
      <c r="EA16" s="1535"/>
      <c r="EB16" s="1535"/>
      <c r="EC16" s="1535"/>
      <c r="ED16" s="1535"/>
      <c r="EE16" s="1535"/>
      <c r="EF16" s="1535"/>
      <c r="EG16" s="1535"/>
      <c r="EH16" s="1535"/>
      <c r="EI16" s="1535"/>
      <c r="EJ16" s="1535"/>
      <c r="EK16" s="1535"/>
      <c r="EL16" s="1535"/>
      <c r="EM16" s="1535"/>
      <c r="EN16" s="1535"/>
      <c r="EO16" s="1535"/>
      <c r="EP16" s="1535"/>
      <c r="EQ16" s="1535"/>
      <c r="ER16" s="1535"/>
      <c r="ES16" s="1535"/>
      <c r="ET16" s="1535"/>
      <c r="EU16" s="1535"/>
      <c r="EV16" s="1535"/>
      <c r="EW16" s="1452"/>
      <c r="EX16" s="1535"/>
      <c r="EY16" s="1535"/>
      <c r="EZ16" s="1535"/>
      <c r="FA16" s="1535"/>
      <c r="FB16" s="1535"/>
      <c r="FC16" s="1535"/>
      <c r="FD16" s="1535"/>
      <c r="FE16" s="1535"/>
      <c r="FF16" s="1535"/>
      <c r="FG16" s="1535"/>
      <c r="FH16" s="1535"/>
      <c r="FI16" s="1535"/>
      <c r="FJ16" s="1535"/>
      <c r="FK16" s="1535"/>
      <c r="FL16" s="1535"/>
      <c r="FM16" s="1535"/>
      <c r="FN16" s="1535"/>
      <c r="FO16" s="1535"/>
      <c r="FP16" s="1535"/>
      <c r="FQ16" s="1535"/>
      <c r="FR16" s="1535"/>
      <c r="FS16" s="1535"/>
      <c r="FT16" s="1535"/>
      <c r="FU16" s="1535"/>
      <c r="FV16" s="1535"/>
      <c r="FW16" s="1452">
        <v>1808</v>
      </c>
      <c r="FX16" s="1535"/>
      <c r="FY16" s="1535"/>
      <c r="FZ16" s="1535"/>
      <c r="GA16" s="1535"/>
      <c r="GB16" s="1535"/>
      <c r="GC16" s="1535"/>
      <c r="GD16" s="1535"/>
      <c r="GE16" s="1535"/>
      <c r="GF16" s="1535"/>
      <c r="GG16" s="1452"/>
      <c r="GH16" s="1535"/>
      <c r="GI16" s="1535"/>
      <c r="GJ16" s="1535"/>
      <c r="GK16" s="1535"/>
      <c r="GL16" s="1535"/>
      <c r="GM16" s="1535"/>
      <c r="GN16" s="1535"/>
      <c r="GO16" s="1535"/>
      <c r="GP16" s="1535"/>
      <c r="GQ16" s="1535"/>
      <c r="GR16" s="1535"/>
      <c r="GS16" s="1535"/>
      <c r="GT16" s="1535"/>
      <c r="GU16" s="1535"/>
      <c r="GV16" s="1535"/>
      <c r="GW16" s="1452"/>
      <c r="GX16" s="1535"/>
      <c r="GY16" s="1535"/>
      <c r="GZ16" s="1535"/>
      <c r="HA16" s="1535"/>
      <c r="HB16" s="1535"/>
      <c r="HC16" s="1535"/>
      <c r="HD16" s="1535"/>
      <c r="HE16" s="1535"/>
      <c r="HF16" s="1535"/>
      <c r="HG16" s="1535"/>
      <c r="HH16" s="1535"/>
      <c r="HI16" s="1535"/>
      <c r="HJ16" s="1535"/>
      <c r="HK16" s="1535"/>
      <c r="HL16" s="1535"/>
      <c r="HM16" s="1535"/>
      <c r="HN16" s="1535"/>
      <c r="HO16" s="1535"/>
      <c r="HP16" s="1535"/>
      <c r="HQ16" s="1535"/>
      <c r="HR16" s="1535"/>
      <c r="HS16" s="1535"/>
      <c r="HT16" s="1535"/>
      <c r="HU16" s="1535"/>
      <c r="HV16" s="1535"/>
      <c r="HW16" s="1535"/>
      <c r="HX16" s="1535"/>
      <c r="HY16" s="1535"/>
      <c r="HZ16" s="1535"/>
      <c r="IA16" s="1535"/>
      <c r="IB16" s="1535"/>
      <c r="IC16" s="1535"/>
      <c r="ID16" s="1535"/>
      <c r="IE16" s="1535"/>
      <c r="IF16" s="1535"/>
      <c r="IG16" s="1535"/>
      <c r="IH16" s="1535"/>
      <c r="II16" s="1535"/>
      <c r="IJ16" s="1535"/>
      <c r="IK16" s="1452"/>
      <c r="IL16" s="1535"/>
      <c r="IM16" s="1535"/>
      <c r="IN16" s="1535"/>
      <c r="IO16" s="1535"/>
      <c r="IP16" s="1532"/>
      <c r="IQ16" s="1535"/>
      <c r="IR16" s="1535"/>
      <c r="IS16" s="1535"/>
      <c r="IT16" s="1535"/>
      <c r="IU16" s="1535"/>
      <c r="IV16" s="1535"/>
      <c r="IW16" s="1535"/>
      <c r="IX16" s="1535"/>
      <c r="IY16" s="1535"/>
      <c r="IZ16" s="1535"/>
      <c r="JA16" s="1535"/>
      <c r="JB16" s="1535"/>
      <c r="JC16" s="1535"/>
      <c r="JD16" s="1535"/>
      <c r="JE16" s="1535"/>
      <c r="JF16" s="1452"/>
      <c r="JG16" s="1535"/>
      <c r="JH16" s="1535"/>
      <c r="JI16" s="1535"/>
      <c r="JJ16" s="1535"/>
      <c r="JK16" s="1535"/>
      <c r="JL16" s="1535"/>
      <c r="JM16" s="1535"/>
      <c r="JN16" s="1535"/>
      <c r="JO16" s="1535"/>
      <c r="JP16" s="1535"/>
      <c r="JQ16" s="2572"/>
      <c r="JR16" s="351"/>
      <c r="JS16" s="1400"/>
      <c r="JT16" s="1666" t="s">
        <v>2242</v>
      </c>
    </row>
    <row r="17" spans="1:280" ht="12.5" x14ac:dyDescent="0.25">
      <c r="A17" s="1367">
        <v>17</v>
      </c>
      <c r="B17" s="1411" t="str">
        <f t="shared" si="0"/>
        <v/>
      </c>
      <c r="C17" s="796" t="s">
        <v>4227</v>
      </c>
      <c r="D17" s="1667" t="s">
        <v>4228</v>
      </c>
      <c r="E17" s="1535"/>
      <c r="F17" s="1535"/>
      <c r="G17" s="1535"/>
      <c r="H17" s="1535"/>
      <c r="I17" s="1535"/>
      <c r="J17" s="1535"/>
      <c r="K17" s="1535"/>
      <c r="L17" s="1535"/>
      <c r="M17" s="1535"/>
      <c r="N17" s="1535"/>
      <c r="O17" s="1535"/>
      <c r="P17" s="1535"/>
      <c r="Q17" s="1535"/>
      <c r="R17" s="1535"/>
      <c r="S17" s="1535"/>
      <c r="T17" s="1535"/>
      <c r="U17" s="1535"/>
      <c r="V17" s="1535"/>
      <c r="W17" s="1535"/>
      <c r="X17" s="1535"/>
      <c r="Y17" s="1535"/>
      <c r="Z17" s="1535"/>
      <c r="AA17" s="1535"/>
      <c r="AB17" s="1535"/>
      <c r="AC17" s="1535"/>
      <c r="AD17" s="1535"/>
      <c r="AE17" s="1535"/>
      <c r="AF17" s="1535"/>
      <c r="AG17" s="1535"/>
      <c r="AH17" s="1535"/>
      <c r="AI17" s="1535"/>
      <c r="AJ17" s="1535"/>
      <c r="AK17" s="1535"/>
      <c r="AL17" s="1535"/>
      <c r="AM17" s="1535"/>
      <c r="AN17" s="1535"/>
      <c r="AO17" s="1535"/>
      <c r="AP17" s="1535"/>
      <c r="AQ17" s="1452"/>
      <c r="AR17" s="1535"/>
      <c r="AS17" s="1535"/>
      <c r="AT17" s="1535"/>
      <c r="AU17" s="1535"/>
      <c r="AV17" s="1452"/>
      <c r="AW17" s="1535"/>
      <c r="AX17" s="1535"/>
      <c r="AY17" s="1535"/>
      <c r="AZ17" s="1535"/>
      <c r="BA17" s="1535"/>
      <c r="BB17" s="1535"/>
      <c r="BC17" s="1532"/>
      <c r="BD17" s="1532"/>
      <c r="BE17" s="1535"/>
      <c r="BF17" s="1535"/>
      <c r="BG17" s="1535"/>
      <c r="BH17" s="1535"/>
      <c r="BI17" s="1535"/>
      <c r="BJ17" s="1535"/>
      <c r="BK17" s="1535"/>
      <c r="BL17" s="1452"/>
      <c r="BM17" s="1535"/>
      <c r="BN17" s="1535"/>
      <c r="BO17" s="1535"/>
      <c r="BP17" s="1535"/>
      <c r="BQ17" s="1535"/>
      <c r="BR17" s="1535"/>
      <c r="BS17" s="1535"/>
      <c r="BT17" s="1535"/>
      <c r="BU17" s="1535"/>
      <c r="BV17" s="1535"/>
      <c r="BW17" s="1535"/>
      <c r="BX17" s="1535"/>
      <c r="BY17" s="1535"/>
      <c r="BZ17" s="1535"/>
      <c r="CA17" s="1535"/>
      <c r="CB17" s="1535"/>
      <c r="CC17" s="1452"/>
      <c r="CD17" s="1535"/>
      <c r="CE17" s="1535"/>
      <c r="CF17" s="1535"/>
      <c r="CG17" s="1535"/>
      <c r="CH17" s="1535"/>
      <c r="CI17" s="1535"/>
      <c r="CJ17" s="1535"/>
      <c r="CK17" s="1535"/>
      <c r="CL17" s="1535"/>
      <c r="CM17" s="1535"/>
      <c r="CN17" s="1535"/>
      <c r="CO17" s="1535"/>
      <c r="CP17" s="1535"/>
      <c r="CQ17" s="1535"/>
      <c r="CR17" s="1535"/>
      <c r="CS17" s="1535"/>
      <c r="CT17" s="1535"/>
      <c r="CU17" s="1535"/>
      <c r="CV17" s="1535"/>
      <c r="CW17" s="1535"/>
      <c r="CX17" s="1535"/>
      <c r="CY17" s="1535"/>
      <c r="CZ17" s="1535"/>
      <c r="DA17" s="1535"/>
      <c r="DB17" s="1535"/>
      <c r="DC17" s="1535"/>
      <c r="DD17" s="1535"/>
      <c r="DE17" s="1535"/>
      <c r="DF17" s="1535"/>
      <c r="DG17" s="1535"/>
      <c r="DH17" s="1452">
        <v>1379</v>
      </c>
      <c r="DI17" s="1535"/>
      <c r="DJ17" s="1452"/>
      <c r="DK17" s="1452"/>
      <c r="DL17" s="1535"/>
      <c r="DM17" s="1532"/>
      <c r="DN17" s="1535"/>
      <c r="DO17" s="1535"/>
      <c r="DP17" s="1535"/>
      <c r="DQ17" s="1535"/>
      <c r="DR17" s="1532"/>
      <c r="DS17" s="1535"/>
      <c r="DT17" s="1535"/>
      <c r="DU17" s="1535"/>
      <c r="DV17" s="1535"/>
      <c r="DW17" s="1535"/>
      <c r="DX17" s="1535"/>
      <c r="DY17" s="1535"/>
      <c r="DZ17" s="1535"/>
      <c r="EA17" s="1535"/>
      <c r="EB17" s="1535"/>
      <c r="EC17" s="1535"/>
      <c r="ED17" s="1535"/>
      <c r="EE17" s="1535"/>
      <c r="EF17" s="1535"/>
      <c r="EG17" s="1535"/>
      <c r="EH17" s="1535"/>
      <c r="EI17" s="1535"/>
      <c r="EJ17" s="1535"/>
      <c r="EK17" s="1535"/>
      <c r="EL17" s="1535"/>
      <c r="EM17" s="1535"/>
      <c r="EN17" s="1535"/>
      <c r="EO17" s="1535"/>
      <c r="EP17" s="1535"/>
      <c r="EQ17" s="1535"/>
      <c r="ER17" s="1535"/>
      <c r="ES17" s="1535"/>
      <c r="ET17" s="1535"/>
      <c r="EU17" s="1535"/>
      <c r="EV17" s="1535"/>
      <c r="EW17" s="1452"/>
      <c r="EX17" s="1535"/>
      <c r="EY17" s="1535"/>
      <c r="EZ17" s="1535"/>
      <c r="FA17" s="1535"/>
      <c r="FB17" s="1535"/>
      <c r="FC17" s="1535"/>
      <c r="FD17" s="1535"/>
      <c r="FE17" s="1535"/>
      <c r="FF17" s="1535"/>
      <c r="FG17" s="1535"/>
      <c r="FH17" s="1535"/>
      <c r="FI17" s="1535"/>
      <c r="FJ17" s="1535"/>
      <c r="FK17" s="1535"/>
      <c r="FL17" s="1535"/>
      <c r="FM17" s="1535"/>
      <c r="FN17" s="1535"/>
      <c r="FO17" s="1535"/>
      <c r="FP17" s="1535"/>
      <c r="FQ17" s="1535"/>
      <c r="FR17" s="1535"/>
      <c r="FS17" s="1535"/>
      <c r="FT17" s="1535"/>
      <c r="FU17" s="1535"/>
      <c r="FV17" s="1535"/>
      <c r="FW17" s="1452">
        <v>1379</v>
      </c>
      <c r="FX17" s="1535"/>
      <c r="FY17" s="1535"/>
      <c r="FZ17" s="1535"/>
      <c r="GA17" s="1535"/>
      <c r="GB17" s="1535"/>
      <c r="GC17" s="1535"/>
      <c r="GD17" s="1535"/>
      <c r="GE17" s="1535"/>
      <c r="GF17" s="1535"/>
      <c r="GG17" s="1452"/>
      <c r="GH17" s="1535"/>
      <c r="GI17" s="1535"/>
      <c r="GJ17" s="1535"/>
      <c r="GK17" s="1535"/>
      <c r="GL17" s="1535"/>
      <c r="GM17" s="1535"/>
      <c r="GN17" s="1535"/>
      <c r="GO17" s="1535"/>
      <c r="GP17" s="1535"/>
      <c r="GQ17" s="1535"/>
      <c r="GR17" s="1535"/>
      <c r="GS17" s="1535"/>
      <c r="GT17" s="1535"/>
      <c r="GU17" s="1535"/>
      <c r="GV17" s="1535"/>
      <c r="GW17" s="1452"/>
      <c r="GX17" s="1535"/>
      <c r="GY17" s="1535"/>
      <c r="GZ17" s="1535"/>
      <c r="HA17" s="1535"/>
      <c r="HB17" s="1535"/>
      <c r="HC17" s="1535"/>
      <c r="HD17" s="1535"/>
      <c r="HE17" s="1535"/>
      <c r="HF17" s="1535"/>
      <c r="HG17" s="1535"/>
      <c r="HH17" s="1535"/>
      <c r="HI17" s="1535"/>
      <c r="HJ17" s="1535"/>
      <c r="HK17" s="1535"/>
      <c r="HL17" s="1535"/>
      <c r="HM17" s="1535"/>
      <c r="HN17" s="1535"/>
      <c r="HO17" s="1535"/>
      <c r="HP17" s="1535"/>
      <c r="HQ17" s="1535"/>
      <c r="HR17" s="1535"/>
      <c r="HS17" s="1535"/>
      <c r="HT17" s="1535"/>
      <c r="HU17" s="1535"/>
      <c r="HV17" s="1535"/>
      <c r="HW17" s="1535"/>
      <c r="HX17" s="1535"/>
      <c r="HY17" s="1535"/>
      <c r="HZ17" s="1535"/>
      <c r="IA17" s="1535"/>
      <c r="IB17" s="1535"/>
      <c r="IC17" s="1535"/>
      <c r="ID17" s="1535"/>
      <c r="IE17" s="1535"/>
      <c r="IF17" s="1535"/>
      <c r="IG17" s="1535"/>
      <c r="IH17" s="1535"/>
      <c r="II17" s="1535"/>
      <c r="IJ17" s="1535"/>
      <c r="IK17" s="1452"/>
      <c r="IL17" s="1535"/>
      <c r="IM17" s="1535"/>
      <c r="IN17" s="1535"/>
      <c r="IO17" s="1535"/>
      <c r="IP17" s="1532"/>
      <c r="IQ17" s="1535"/>
      <c r="IR17" s="1535"/>
      <c r="IS17" s="1535"/>
      <c r="IT17" s="1535"/>
      <c r="IU17" s="1535"/>
      <c r="IV17" s="1535"/>
      <c r="IW17" s="1535"/>
      <c r="IX17" s="1535"/>
      <c r="IY17" s="1535"/>
      <c r="IZ17" s="1535"/>
      <c r="JA17" s="1535"/>
      <c r="JB17" s="1535"/>
      <c r="JC17" s="1535"/>
      <c r="JD17" s="1535"/>
      <c r="JE17" s="1535"/>
      <c r="JF17" s="1452"/>
      <c r="JG17" s="1535"/>
      <c r="JH17" s="1535"/>
      <c r="JI17" s="1535"/>
      <c r="JJ17" s="1535"/>
      <c r="JK17" s="1535"/>
      <c r="JL17" s="1535"/>
      <c r="JM17" s="1535"/>
      <c r="JN17" s="1535"/>
      <c r="JO17" s="1535"/>
      <c r="JP17" s="1535"/>
      <c r="JQ17" s="2572"/>
      <c r="JR17" s="351"/>
      <c r="JS17" s="1400"/>
      <c r="JT17" s="1666" t="s">
        <v>2242</v>
      </c>
    </row>
    <row r="18" spans="1:280" ht="12.5" x14ac:dyDescent="0.25">
      <c r="A18" s="1367">
        <v>18</v>
      </c>
      <c r="B18" s="1411" t="str">
        <f t="shared" si="0"/>
        <v/>
      </c>
      <c r="C18" s="796" t="s">
        <v>4229</v>
      </c>
      <c r="D18" s="1667" t="s">
        <v>4230</v>
      </c>
      <c r="E18" s="1535"/>
      <c r="F18" s="1535"/>
      <c r="G18" s="1535"/>
      <c r="H18" s="1535"/>
      <c r="I18" s="1535"/>
      <c r="J18" s="1535"/>
      <c r="K18" s="1535"/>
      <c r="L18" s="1535"/>
      <c r="M18" s="1535"/>
      <c r="N18" s="1535"/>
      <c r="O18" s="1535"/>
      <c r="P18" s="1535"/>
      <c r="Q18" s="1535"/>
      <c r="R18" s="1535"/>
      <c r="S18" s="1535"/>
      <c r="T18" s="1535"/>
      <c r="U18" s="1535"/>
      <c r="V18" s="1535"/>
      <c r="W18" s="1535"/>
      <c r="X18" s="1535"/>
      <c r="Y18" s="1535"/>
      <c r="Z18" s="1535"/>
      <c r="AA18" s="1535"/>
      <c r="AB18" s="1535"/>
      <c r="AC18" s="1535"/>
      <c r="AD18" s="1535"/>
      <c r="AE18" s="1535"/>
      <c r="AF18" s="1535"/>
      <c r="AG18" s="1535"/>
      <c r="AH18" s="1535"/>
      <c r="AI18" s="1535"/>
      <c r="AJ18" s="1535"/>
      <c r="AK18" s="1535"/>
      <c r="AL18" s="1535"/>
      <c r="AM18" s="1535"/>
      <c r="AN18" s="1535"/>
      <c r="AO18" s="1535"/>
      <c r="AP18" s="1535"/>
      <c r="AQ18" s="1452"/>
      <c r="AR18" s="1535"/>
      <c r="AS18" s="1535"/>
      <c r="AT18" s="1535"/>
      <c r="AU18" s="1535"/>
      <c r="AV18" s="1452"/>
      <c r="AW18" s="1535"/>
      <c r="AX18" s="1535"/>
      <c r="AY18" s="1535"/>
      <c r="AZ18" s="1535"/>
      <c r="BA18" s="1535"/>
      <c r="BB18" s="1535"/>
      <c r="BC18" s="1532"/>
      <c r="BD18" s="1532"/>
      <c r="BE18" s="1535"/>
      <c r="BF18" s="1535"/>
      <c r="BG18" s="1535"/>
      <c r="BH18" s="1535"/>
      <c r="BI18" s="1535"/>
      <c r="BJ18" s="1535"/>
      <c r="BK18" s="1535"/>
      <c r="BL18" s="1452"/>
      <c r="BM18" s="1535"/>
      <c r="BN18" s="1535"/>
      <c r="BO18" s="1535"/>
      <c r="BP18" s="1535"/>
      <c r="BQ18" s="1535"/>
      <c r="BR18" s="1535"/>
      <c r="BS18" s="1535"/>
      <c r="BT18" s="1535"/>
      <c r="BU18" s="1535"/>
      <c r="BV18" s="1535"/>
      <c r="BW18" s="1535"/>
      <c r="BX18" s="1535"/>
      <c r="BY18" s="1535"/>
      <c r="BZ18" s="1535"/>
      <c r="CA18" s="1535"/>
      <c r="CB18" s="1535"/>
      <c r="CC18" s="1452"/>
      <c r="CD18" s="1535"/>
      <c r="CE18" s="1535"/>
      <c r="CF18" s="1535"/>
      <c r="CG18" s="1535"/>
      <c r="CH18" s="1535"/>
      <c r="CI18" s="1535"/>
      <c r="CJ18" s="1535"/>
      <c r="CK18" s="1535"/>
      <c r="CL18" s="1535"/>
      <c r="CM18" s="1535"/>
      <c r="CN18" s="1535"/>
      <c r="CO18" s="1535"/>
      <c r="CP18" s="1535"/>
      <c r="CQ18" s="1535"/>
      <c r="CR18" s="1535"/>
      <c r="CS18" s="1535"/>
      <c r="CT18" s="1535"/>
      <c r="CU18" s="1535"/>
      <c r="CV18" s="1535"/>
      <c r="CW18" s="1535"/>
      <c r="CX18" s="1535"/>
      <c r="CY18" s="1535"/>
      <c r="CZ18" s="1535"/>
      <c r="DA18" s="1535"/>
      <c r="DB18" s="1535"/>
      <c r="DC18" s="1535"/>
      <c r="DD18" s="1535"/>
      <c r="DE18" s="1535"/>
      <c r="DF18" s="1535"/>
      <c r="DG18" s="1535"/>
      <c r="DH18" s="1452">
        <v>122</v>
      </c>
      <c r="DI18" s="1535"/>
      <c r="DJ18" s="1452"/>
      <c r="DK18" s="1452"/>
      <c r="DL18" s="1535"/>
      <c r="DM18" s="1532"/>
      <c r="DN18" s="1535"/>
      <c r="DO18" s="1535"/>
      <c r="DP18" s="1535"/>
      <c r="DQ18" s="1535"/>
      <c r="DR18" s="1532"/>
      <c r="DS18" s="1535"/>
      <c r="DT18" s="1535"/>
      <c r="DU18" s="1535"/>
      <c r="DV18" s="1535"/>
      <c r="DW18" s="1535"/>
      <c r="DX18" s="1535"/>
      <c r="DY18" s="1535"/>
      <c r="DZ18" s="1535"/>
      <c r="EA18" s="1535"/>
      <c r="EB18" s="1535"/>
      <c r="EC18" s="1535"/>
      <c r="ED18" s="1535"/>
      <c r="EE18" s="1535"/>
      <c r="EF18" s="1535"/>
      <c r="EG18" s="1535"/>
      <c r="EH18" s="1535"/>
      <c r="EI18" s="1535"/>
      <c r="EJ18" s="1535"/>
      <c r="EK18" s="1535"/>
      <c r="EL18" s="1535"/>
      <c r="EM18" s="1535"/>
      <c r="EN18" s="1535"/>
      <c r="EO18" s="1535"/>
      <c r="EP18" s="1535"/>
      <c r="EQ18" s="1535"/>
      <c r="ER18" s="1535"/>
      <c r="ES18" s="1535"/>
      <c r="ET18" s="1535"/>
      <c r="EU18" s="1535"/>
      <c r="EV18" s="1535"/>
      <c r="EW18" s="1452"/>
      <c r="EX18" s="1535"/>
      <c r="EY18" s="1535"/>
      <c r="EZ18" s="1535"/>
      <c r="FA18" s="1535"/>
      <c r="FB18" s="1535"/>
      <c r="FC18" s="1535"/>
      <c r="FD18" s="1535"/>
      <c r="FE18" s="1535"/>
      <c r="FF18" s="1535"/>
      <c r="FG18" s="1535"/>
      <c r="FH18" s="1535"/>
      <c r="FI18" s="1535"/>
      <c r="FJ18" s="1535"/>
      <c r="FK18" s="1535"/>
      <c r="FL18" s="1535"/>
      <c r="FM18" s="1535"/>
      <c r="FN18" s="1535"/>
      <c r="FO18" s="1535"/>
      <c r="FP18" s="1535"/>
      <c r="FQ18" s="1535"/>
      <c r="FR18" s="1535"/>
      <c r="FS18" s="1535"/>
      <c r="FT18" s="1535"/>
      <c r="FU18" s="1535"/>
      <c r="FV18" s="1535"/>
      <c r="FW18" s="1452">
        <v>122</v>
      </c>
      <c r="FX18" s="1535"/>
      <c r="FY18" s="1535"/>
      <c r="FZ18" s="1535"/>
      <c r="GA18" s="1535"/>
      <c r="GB18" s="1535"/>
      <c r="GC18" s="1535"/>
      <c r="GD18" s="1535"/>
      <c r="GE18" s="1535"/>
      <c r="GF18" s="1535"/>
      <c r="GG18" s="1452"/>
      <c r="GH18" s="1535"/>
      <c r="GI18" s="1535"/>
      <c r="GJ18" s="1535"/>
      <c r="GK18" s="1535"/>
      <c r="GL18" s="1535"/>
      <c r="GM18" s="1535"/>
      <c r="GN18" s="1535"/>
      <c r="GO18" s="1535"/>
      <c r="GP18" s="1535"/>
      <c r="GQ18" s="1535"/>
      <c r="GR18" s="1535"/>
      <c r="GS18" s="1535"/>
      <c r="GT18" s="1535"/>
      <c r="GU18" s="1535"/>
      <c r="GV18" s="1535"/>
      <c r="GW18" s="1452"/>
      <c r="GX18" s="1535"/>
      <c r="GY18" s="1535"/>
      <c r="GZ18" s="1535"/>
      <c r="HA18" s="1535"/>
      <c r="HB18" s="1535"/>
      <c r="HC18" s="1535"/>
      <c r="HD18" s="1535"/>
      <c r="HE18" s="1535"/>
      <c r="HF18" s="1535"/>
      <c r="HG18" s="1535"/>
      <c r="HH18" s="1535"/>
      <c r="HI18" s="1535"/>
      <c r="HJ18" s="1535"/>
      <c r="HK18" s="1535"/>
      <c r="HL18" s="1535"/>
      <c r="HM18" s="1535"/>
      <c r="HN18" s="1535"/>
      <c r="HO18" s="1535"/>
      <c r="HP18" s="1535"/>
      <c r="HQ18" s="1535"/>
      <c r="HR18" s="1535"/>
      <c r="HS18" s="1535"/>
      <c r="HT18" s="1535"/>
      <c r="HU18" s="1535"/>
      <c r="HV18" s="1535"/>
      <c r="HW18" s="1535"/>
      <c r="HX18" s="1535"/>
      <c r="HY18" s="1535"/>
      <c r="HZ18" s="1535"/>
      <c r="IA18" s="1535"/>
      <c r="IB18" s="1535"/>
      <c r="IC18" s="1535"/>
      <c r="ID18" s="1535"/>
      <c r="IE18" s="1535"/>
      <c r="IF18" s="1535"/>
      <c r="IG18" s="1535"/>
      <c r="IH18" s="1535"/>
      <c r="II18" s="1535"/>
      <c r="IJ18" s="1535"/>
      <c r="IK18" s="1452"/>
      <c r="IL18" s="1535"/>
      <c r="IM18" s="1535"/>
      <c r="IN18" s="1535"/>
      <c r="IO18" s="1535"/>
      <c r="IP18" s="1532"/>
      <c r="IQ18" s="1535"/>
      <c r="IR18" s="1535"/>
      <c r="IS18" s="1535"/>
      <c r="IT18" s="1535"/>
      <c r="IU18" s="1535"/>
      <c r="IV18" s="1535"/>
      <c r="IW18" s="1535"/>
      <c r="IX18" s="1535"/>
      <c r="IY18" s="1535"/>
      <c r="IZ18" s="1535"/>
      <c r="JA18" s="1535"/>
      <c r="JB18" s="1535"/>
      <c r="JC18" s="1535"/>
      <c r="JD18" s="1535"/>
      <c r="JE18" s="1535"/>
      <c r="JF18" s="1452"/>
      <c r="JG18" s="1535"/>
      <c r="JH18" s="1535"/>
      <c r="JI18" s="1535"/>
      <c r="JJ18" s="1535"/>
      <c r="JK18" s="1535"/>
      <c r="JL18" s="1535"/>
      <c r="JM18" s="1535"/>
      <c r="JN18" s="1535"/>
      <c r="JO18" s="1535"/>
      <c r="JP18" s="1535"/>
      <c r="JQ18" s="2572"/>
      <c r="JR18" s="351"/>
      <c r="JS18" s="1400"/>
      <c r="JT18" s="1666" t="s">
        <v>2242</v>
      </c>
    </row>
    <row r="19" spans="1:280" ht="12.5" x14ac:dyDescent="0.25">
      <c r="A19" s="1367">
        <v>19</v>
      </c>
      <c r="B19" s="1411" t="str">
        <f t="shared" si="0"/>
        <v/>
      </c>
      <c r="C19" s="796" t="s">
        <v>4231</v>
      </c>
      <c r="D19" s="1667" t="s">
        <v>4232</v>
      </c>
      <c r="E19" s="1535"/>
      <c r="F19" s="1535"/>
      <c r="G19" s="1535"/>
      <c r="H19" s="1535"/>
      <c r="I19" s="1535"/>
      <c r="J19" s="1535"/>
      <c r="K19" s="1535"/>
      <c r="L19" s="1535"/>
      <c r="M19" s="1535"/>
      <c r="N19" s="1535"/>
      <c r="O19" s="1535"/>
      <c r="P19" s="1535"/>
      <c r="Q19" s="1535"/>
      <c r="R19" s="1535"/>
      <c r="S19" s="1535"/>
      <c r="T19" s="1535"/>
      <c r="U19" s="1535"/>
      <c r="V19" s="1535"/>
      <c r="W19" s="1535"/>
      <c r="X19" s="1535"/>
      <c r="Y19" s="1535"/>
      <c r="Z19" s="1535"/>
      <c r="AA19" s="1535"/>
      <c r="AB19" s="1535"/>
      <c r="AC19" s="1535"/>
      <c r="AD19" s="1535"/>
      <c r="AE19" s="1535"/>
      <c r="AF19" s="1535"/>
      <c r="AG19" s="1535"/>
      <c r="AH19" s="1535"/>
      <c r="AI19" s="1535"/>
      <c r="AJ19" s="1535"/>
      <c r="AK19" s="1535"/>
      <c r="AL19" s="1535"/>
      <c r="AM19" s="1535"/>
      <c r="AN19" s="1535"/>
      <c r="AO19" s="1535"/>
      <c r="AP19" s="1535"/>
      <c r="AQ19" s="1452"/>
      <c r="AR19" s="1535"/>
      <c r="AS19" s="1535"/>
      <c r="AT19" s="1535"/>
      <c r="AU19" s="1535"/>
      <c r="AV19" s="1452"/>
      <c r="AW19" s="1535"/>
      <c r="AX19" s="1535"/>
      <c r="AY19" s="1535"/>
      <c r="AZ19" s="1535"/>
      <c r="BA19" s="1535"/>
      <c r="BB19" s="1535"/>
      <c r="BC19" s="1532">
        <v>11984</v>
      </c>
      <c r="BD19" s="1532"/>
      <c r="BE19" s="1535"/>
      <c r="BF19" s="1535"/>
      <c r="BG19" s="1535"/>
      <c r="BH19" s="1535"/>
      <c r="BI19" s="1535"/>
      <c r="BJ19" s="1535"/>
      <c r="BK19" s="1535"/>
      <c r="BL19" s="1452"/>
      <c r="BM19" s="1535"/>
      <c r="BN19" s="1535"/>
      <c r="BO19" s="1535"/>
      <c r="BP19" s="1535"/>
      <c r="BQ19" s="1535"/>
      <c r="BR19" s="1535"/>
      <c r="BS19" s="1535"/>
      <c r="BT19" s="1535"/>
      <c r="BU19" s="1535"/>
      <c r="BV19" s="1535"/>
      <c r="BW19" s="1535"/>
      <c r="BX19" s="1535"/>
      <c r="BY19" s="1535"/>
      <c r="BZ19" s="1535"/>
      <c r="CA19" s="1535"/>
      <c r="CB19" s="1535"/>
      <c r="CC19" s="1452"/>
      <c r="CD19" s="1535"/>
      <c r="CE19" s="1535"/>
      <c r="CF19" s="1535"/>
      <c r="CG19" s="1535"/>
      <c r="CH19" s="1535"/>
      <c r="CI19" s="1535"/>
      <c r="CJ19" s="1535"/>
      <c r="CK19" s="1535"/>
      <c r="CL19" s="1535"/>
      <c r="CM19" s="1535"/>
      <c r="CN19" s="1535"/>
      <c r="CO19" s="1535"/>
      <c r="CP19" s="1535"/>
      <c r="CQ19" s="1535"/>
      <c r="CR19" s="1535"/>
      <c r="CS19" s="1535"/>
      <c r="CT19" s="1535"/>
      <c r="CU19" s="1535"/>
      <c r="CV19" s="1535"/>
      <c r="CW19" s="1535"/>
      <c r="CX19" s="1535"/>
      <c r="CY19" s="1535"/>
      <c r="CZ19" s="1535"/>
      <c r="DA19" s="1535"/>
      <c r="DB19" s="1535"/>
      <c r="DC19" s="1535"/>
      <c r="DD19" s="1535"/>
      <c r="DE19" s="1535"/>
      <c r="DF19" s="1535"/>
      <c r="DG19" s="1535"/>
      <c r="DH19" s="1452">
        <v>159</v>
      </c>
      <c r="DI19" s="1535"/>
      <c r="DJ19" s="1452"/>
      <c r="DK19" s="1452"/>
      <c r="DL19" s="1535"/>
      <c r="DM19" s="1532"/>
      <c r="DN19" s="1535"/>
      <c r="DO19" s="1535"/>
      <c r="DP19" s="1535"/>
      <c r="DQ19" s="1535"/>
      <c r="DR19" s="1532"/>
      <c r="DS19" s="1535"/>
      <c r="DT19" s="1535"/>
      <c r="DU19" s="1535"/>
      <c r="DV19" s="1535"/>
      <c r="DW19" s="1535"/>
      <c r="DX19" s="1535"/>
      <c r="DY19" s="1535"/>
      <c r="DZ19" s="1535"/>
      <c r="EA19" s="1535"/>
      <c r="EB19" s="1535"/>
      <c r="EC19" s="1535"/>
      <c r="ED19" s="1535"/>
      <c r="EE19" s="1535"/>
      <c r="EF19" s="1535"/>
      <c r="EG19" s="1535"/>
      <c r="EH19" s="1535"/>
      <c r="EI19" s="1535"/>
      <c r="EJ19" s="1535"/>
      <c r="EK19" s="1535"/>
      <c r="EL19" s="1535"/>
      <c r="EM19" s="1535"/>
      <c r="EN19" s="1535"/>
      <c r="EO19" s="1535"/>
      <c r="EP19" s="1535"/>
      <c r="EQ19" s="1535"/>
      <c r="ER19" s="1535"/>
      <c r="ES19" s="1535"/>
      <c r="ET19" s="1535"/>
      <c r="EU19" s="1535"/>
      <c r="EV19" s="1535"/>
      <c r="EW19" s="1452"/>
      <c r="EX19" s="1535"/>
      <c r="EY19" s="1535"/>
      <c r="EZ19" s="1535"/>
      <c r="FA19" s="1535"/>
      <c r="FB19" s="1535"/>
      <c r="FC19" s="1535"/>
      <c r="FD19" s="1535"/>
      <c r="FE19" s="1535"/>
      <c r="FF19" s="1535"/>
      <c r="FG19" s="1535"/>
      <c r="FH19" s="1535"/>
      <c r="FI19" s="1535"/>
      <c r="FJ19" s="1535"/>
      <c r="FK19" s="1535"/>
      <c r="FL19" s="1535"/>
      <c r="FM19" s="1535"/>
      <c r="FN19" s="1535"/>
      <c r="FO19" s="1535"/>
      <c r="FP19" s="1535"/>
      <c r="FQ19" s="1535"/>
      <c r="FR19" s="1535"/>
      <c r="FS19" s="1535"/>
      <c r="FT19" s="1535"/>
      <c r="FU19" s="1535"/>
      <c r="FV19" s="1535"/>
      <c r="FW19" s="1452">
        <v>259</v>
      </c>
      <c r="FX19" s="1535"/>
      <c r="FY19" s="1535"/>
      <c r="FZ19" s="1535"/>
      <c r="GA19" s="1535"/>
      <c r="GB19" s="1535"/>
      <c r="GC19" s="1535"/>
      <c r="GD19" s="1535"/>
      <c r="GE19" s="1535"/>
      <c r="GF19" s="1535"/>
      <c r="GG19" s="1452"/>
      <c r="GH19" s="1535"/>
      <c r="GI19" s="1535"/>
      <c r="GJ19" s="1535"/>
      <c r="GK19" s="1535"/>
      <c r="GL19" s="1535"/>
      <c r="GM19" s="1535"/>
      <c r="GN19" s="1535"/>
      <c r="GO19" s="1535"/>
      <c r="GP19" s="1535"/>
      <c r="GQ19" s="1535"/>
      <c r="GR19" s="1535"/>
      <c r="GS19" s="1535"/>
      <c r="GT19" s="1535"/>
      <c r="GU19" s="1535"/>
      <c r="GV19" s="1535"/>
      <c r="GW19" s="1452"/>
      <c r="GX19" s="1535"/>
      <c r="GY19" s="1535"/>
      <c r="GZ19" s="1535"/>
      <c r="HA19" s="1535"/>
      <c r="HB19" s="1535"/>
      <c r="HC19" s="1535"/>
      <c r="HD19" s="1535"/>
      <c r="HE19" s="1535"/>
      <c r="HF19" s="1535"/>
      <c r="HG19" s="1535"/>
      <c r="HH19" s="1535"/>
      <c r="HI19" s="1535"/>
      <c r="HJ19" s="1535"/>
      <c r="HK19" s="1535"/>
      <c r="HL19" s="1535"/>
      <c r="HM19" s="1535"/>
      <c r="HN19" s="1535"/>
      <c r="HO19" s="1535"/>
      <c r="HP19" s="1535"/>
      <c r="HQ19" s="1535"/>
      <c r="HR19" s="1535"/>
      <c r="HS19" s="1535"/>
      <c r="HT19" s="1535"/>
      <c r="HU19" s="1535"/>
      <c r="HV19" s="1535"/>
      <c r="HW19" s="1535"/>
      <c r="HX19" s="1535"/>
      <c r="HY19" s="1535"/>
      <c r="HZ19" s="1535"/>
      <c r="IA19" s="1535"/>
      <c r="IB19" s="1535"/>
      <c r="IC19" s="1535"/>
      <c r="ID19" s="1535"/>
      <c r="IE19" s="1535"/>
      <c r="IF19" s="1535"/>
      <c r="IG19" s="1535"/>
      <c r="IH19" s="1535"/>
      <c r="II19" s="1535"/>
      <c r="IJ19" s="1535"/>
      <c r="IK19" s="1452"/>
      <c r="IL19" s="1535"/>
      <c r="IM19" s="1535"/>
      <c r="IN19" s="1535"/>
      <c r="IO19" s="1535"/>
      <c r="IP19" s="1532"/>
      <c r="IQ19" s="1535"/>
      <c r="IR19" s="1535"/>
      <c r="IS19" s="1535"/>
      <c r="IT19" s="1535"/>
      <c r="IU19" s="1535"/>
      <c r="IV19" s="1535"/>
      <c r="IW19" s="1535"/>
      <c r="IX19" s="1535"/>
      <c r="IY19" s="1535"/>
      <c r="IZ19" s="1535"/>
      <c r="JA19" s="1535"/>
      <c r="JB19" s="1535"/>
      <c r="JC19" s="1535"/>
      <c r="JD19" s="1535"/>
      <c r="JE19" s="1535"/>
      <c r="JF19" s="1452"/>
      <c r="JG19" s="1535"/>
      <c r="JH19" s="1535"/>
      <c r="JI19" s="1535"/>
      <c r="JJ19" s="1535"/>
      <c r="JK19" s="1535"/>
      <c r="JL19" s="1535"/>
      <c r="JM19" s="1535"/>
      <c r="JN19" s="1535"/>
      <c r="JO19" s="1535"/>
      <c r="JP19" s="1535"/>
      <c r="JQ19" s="2572"/>
      <c r="JR19" s="351"/>
      <c r="JS19" s="1400"/>
      <c r="JT19" s="1666" t="s">
        <v>2242</v>
      </c>
    </row>
    <row r="20" spans="1:280" ht="12.5" x14ac:dyDescent="0.25">
      <c r="A20" s="1367">
        <v>20</v>
      </c>
      <c r="B20" s="1411" t="str">
        <f>IF(TRU_IND&gt;1,IF(HLOOKUP(TRU_IND-1,TRU_RANGE,A20)="","",HLOOKUP(TRU_IND-1,TRU_RANGE,A20)),"")</f>
        <v/>
      </c>
      <c r="C20" s="796" t="s">
        <v>4233</v>
      </c>
      <c r="D20" s="1667" t="s">
        <v>4234</v>
      </c>
      <c r="E20" s="1535"/>
      <c r="F20" s="1535"/>
      <c r="G20" s="1535"/>
      <c r="H20" s="1535"/>
      <c r="I20" s="1535"/>
      <c r="J20" s="1535"/>
      <c r="K20" s="1535"/>
      <c r="L20" s="1535"/>
      <c r="M20" s="1535"/>
      <c r="N20" s="1535"/>
      <c r="O20" s="1535"/>
      <c r="P20" s="1535"/>
      <c r="Q20" s="1535"/>
      <c r="R20" s="1535"/>
      <c r="S20" s="1535"/>
      <c r="T20" s="1535"/>
      <c r="U20" s="1535"/>
      <c r="V20" s="1535"/>
      <c r="W20" s="1535"/>
      <c r="X20" s="1535"/>
      <c r="Y20" s="1535"/>
      <c r="Z20" s="1535"/>
      <c r="AA20" s="1535"/>
      <c r="AB20" s="1535"/>
      <c r="AC20" s="1535"/>
      <c r="AD20" s="1535"/>
      <c r="AE20" s="1535"/>
      <c r="AF20" s="1535"/>
      <c r="AG20" s="1535"/>
      <c r="AH20" s="1535"/>
      <c r="AI20" s="1535"/>
      <c r="AJ20" s="1535"/>
      <c r="AK20" s="1535"/>
      <c r="AL20" s="1535"/>
      <c r="AM20" s="1535"/>
      <c r="AN20" s="1535"/>
      <c r="AO20" s="1535"/>
      <c r="AP20" s="1535"/>
      <c r="AQ20" s="1452"/>
      <c r="AR20" s="1535"/>
      <c r="AS20" s="1535"/>
      <c r="AT20" s="1535"/>
      <c r="AU20" s="1535"/>
      <c r="AV20" s="1452"/>
      <c r="AW20" s="1535"/>
      <c r="AX20" s="1535"/>
      <c r="AY20" s="1535"/>
      <c r="AZ20" s="1535"/>
      <c r="BA20" s="1535"/>
      <c r="BB20" s="1535"/>
      <c r="BC20" s="1532"/>
      <c r="BD20" s="1532"/>
      <c r="BE20" s="1535"/>
      <c r="BF20" s="1535"/>
      <c r="BG20" s="1535"/>
      <c r="BH20" s="1535"/>
      <c r="BI20" s="1535"/>
      <c r="BJ20" s="1535"/>
      <c r="BK20" s="1535"/>
      <c r="BL20" s="1452"/>
      <c r="BM20" s="1535"/>
      <c r="BN20" s="1535"/>
      <c r="BO20" s="1535"/>
      <c r="BP20" s="1535"/>
      <c r="BQ20" s="1535"/>
      <c r="BR20" s="1535"/>
      <c r="BS20" s="1535"/>
      <c r="BT20" s="1535"/>
      <c r="BU20" s="1535"/>
      <c r="BV20" s="1535"/>
      <c r="BW20" s="1535"/>
      <c r="BX20" s="1535"/>
      <c r="BY20" s="1535"/>
      <c r="BZ20" s="1535"/>
      <c r="CA20" s="1535"/>
      <c r="CB20" s="1535"/>
      <c r="CC20" s="1452"/>
      <c r="CD20" s="1535"/>
      <c r="CE20" s="1535"/>
      <c r="CF20" s="1535"/>
      <c r="CG20" s="1535"/>
      <c r="CH20" s="1535"/>
      <c r="CI20" s="1535"/>
      <c r="CJ20" s="1535"/>
      <c r="CK20" s="1535"/>
      <c r="CL20" s="1535"/>
      <c r="CM20" s="1535"/>
      <c r="CN20" s="1535"/>
      <c r="CO20" s="1535"/>
      <c r="CP20" s="1535"/>
      <c r="CQ20" s="1535"/>
      <c r="CR20" s="1535"/>
      <c r="CS20" s="1535"/>
      <c r="CT20" s="1535"/>
      <c r="CU20" s="1535"/>
      <c r="CV20" s="1535"/>
      <c r="CW20" s="1535"/>
      <c r="CX20" s="1535"/>
      <c r="CY20" s="1535"/>
      <c r="CZ20" s="1535"/>
      <c r="DA20" s="1535"/>
      <c r="DB20" s="1535"/>
      <c r="DC20" s="1535"/>
      <c r="DD20" s="1535"/>
      <c r="DE20" s="1535"/>
      <c r="DF20" s="1535"/>
      <c r="DG20" s="1535"/>
      <c r="DH20" s="1452">
        <v>100</v>
      </c>
      <c r="DI20" s="1535"/>
      <c r="DJ20" s="1452"/>
      <c r="DK20" s="1452"/>
      <c r="DL20" s="1535"/>
      <c r="DM20" s="1532"/>
      <c r="DN20" s="1535"/>
      <c r="DO20" s="1535"/>
      <c r="DP20" s="1535"/>
      <c r="DQ20" s="1535"/>
      <c r="DR20" s="1532"/>
      <c r="DS20" s="1535"/>
      <c r="DT20" s="1535"/>
      <c r="DU20" s="1535"/>
      <c r="DV20" s="1535"/>
      <c r="DW20" s="1535"/>
      <c r="DX20" s="1535"/>
      <c r="DY20" s="1535"/>
      <c r="DZ20" s="1535"/>
      <c r="EA20" s="1535"/>
      <c r="EB20" s="1535"/>
      <c r="EC20" s="1535"/>
      <c r="ED20" s="1535"/>
      <c r="EE20" s="1535"/>
      <c r="EF20" s="1535"/>
      <c r="EG20" s="1535"/>
      <c r="EH20" s="1535"/>
      <c r="EI20" s="1535"/>
      <c r="EJ20" s="1535"/>
      <c r="EK20" s="1535"/>
      <c r="EL20" s="1535"/>
      <c r="EM20" s="1535"/>
      <c r="EN20" s="1535"/>
      <c r="EO20" s="1535"/>
      <c r="EP20" s="1535"/>
      <c r="EQ20" s="1535"/>
      <c r="ER20" s="1535"/>
      <c r="ES20" s="1535"/>
      <c r="ET20" s="1535"/>
      <c r="EU20" s="1535"/>
      <c r="EV20" s="1535"/>
      <c r="EW20" s="1452"/>
      <c r="EX20" s="1535"/>
      <c r="EY20" s="1535"/>
      <c r="EZ20" s="1535"/>
      <c r="FA20" s="1535"/>
      <c r="FB20" s="1535"/>
      <c r="FC20" s="1535"/>
      <c r="FD20" s="1535"/>
      <c r="FE20" s="1535"/>
      <c r="FF20" s="1535"/>
      <c r="FG20" s="1535"/>
      <c r="FH20" s="1535"/>
      <c r="FI20" s="1535"/>
      <c r="FJ20" s="1535"/>
      <c r="FK20" s="1535"/>
      <c r="FL20" s="1535"/>
      <c r="FM20" s="1535"/>
      <c r="FN20" s="1535"/>
      <c r="FO20" s="1535"/>
      <c r="FP20" s="1535"/>
      <c r="FQ20" s="1535"/>
      <c r="FR20" s="1535"/>
      <c r="FS20" s="1535"/>
      <c r="FT20" s="1535"/>
      <c r="FU20" s="1535"/>
      <c r="FV20" s="1535"/>
      <c r="FW20" s="1452"/>
      <c r="FX20" s="1535"/>
      <c r="FY20" s="1535"/>
      <c r="FZ20" s="1535"/>
      <c r="GA20" s="1535"/>
      <c r="GB20" s="1535"/>
      <c r="GC20" s="1535"/>
      <c r="GD20" s="1535"/>
      <c r="GE20" s="1535"/>
      <c r="GF20" s="1535"/>
      <c r="GG20" s="1452"/>
      <c r="GH20" s="1535"/>
      <c r="GI20" s="1535"/>
      <c r="GJ20" s="1535"/>
      <c r="GK20" s="1535"/>
      <c r="GL20" s="1535"/>
      <c r="GM20" s="1535"/>
      <c r="GN20" s="1535"/>
      <c r="GO20" s="1535"/>
      <c r="GP20" s="1535"/>
      <c r="GQ20" s="1535"/>
      <c r="GR20" s="1535"/>
      <c r="GS20" s="1535"/>
      <c r="GT20" s="1535"/>
      <c r="GU20" s="1535"/>
      <c r="GV20" s="1535"/>
      <c r="GW20" s="1452"/>
      <c r="GX20" s="1535"/>
      <c r="GY20" s="1535"/>
      <c r="GZ20" s="1535"/>
      <c r="HA20" s="1535"/>
      <c r="HB20" s="1535"/>
      <c r="HC20" s="1535"/>
      <c r="HD20" s="1535"/>
      <c r="HE20" s="1535"/>
      <c r="HF20" s="1535"/>
      <c r="HG20" s="1535"/>
      <c r="HH20" s="1535"/>
      <c r="HI20" s="1535"/>
      <c r="HJ20" s="1535"/>
      <c r="HK20" s="1535"/>
      <c r="HL20" s="1535"/>
      <c r="HM20" s="1535"/>
      <c r="HN20" s="1535"/>
      <c r="HO20" s="1535"/>
      <c r="HP20" s="1535"/>
      <c r="HQ20" s="1535"/>
      <c r="HR20" s="1535"/>
      <c r="HS20" s="1535"/>
      <c r="HT20" s="1535"/>
      <c r="HU20" s="1535"/>
      <c r="HV20" s="1535"/>
      <c r="HW20" s="1535"/>
      <c r="HX20" s="1535"/>
      <c r="HY20" s="1535"/>
      <c r="HZ20" s="1535"/>
      <c r="IA20" s="1535"/>
      <c r="IB20" s="1535"/>
      <c r="IC20" s="1535"/>
      <c r="ID20" s="1535"/>
      <c r="IE20" s="1535"/>
      <c r="IF20" s="1535"/>
      <c r="IG20" s="1535"/>
      <c r="IH20" s="1535"/>
      <c r="II20" s="1535"/>
      <c r="IJ20" s="1535"/>
      <c r="IK20" s="1452"/>
      <c r="IL20" s="1535"/>
      <c r="IM20" s="1535"/>
      <c r="IN20" s="1535"/>
      <c r="IO20" s="1535"/>
      <c r="IP20" s="1532"/>
      <c r="IQ20" s="1535"/>
      <c r="IR20" s="1535"/>
      <c r="IS20" s="1535"/>
      <c r="IT20" s="1535"/>
      <c r="IU20" s="1535"/>
      <c r="IV20" s="1535"/>
      <c r="IW20" s="1535"/>
      <c r="IX20" s="1535"/>
      <c r="IY20" s="1535"/>
      <c r="IZ20" s="1535"/>
      <c r="JA20" s="1535"/>
      <c r="JB20" s="1535"/>
      <c r="JC20" s="1535"/>
      <c r="JD20" s="1535"/>
      <c r="JE20" s="1535"/>
      <c r="JF20" s="1452"/>
      <c r="JG20" s="1535"/>
      <c r="JH20" s="1535"/>
      <c r="JI20" s="1535"/>
      <c r="JJ20" s="1535"/>
      <c r="JK20" s="1535"/>
      <c r="JL20" s="1535"/>
      <c r="JM20" s="1535"/>
      <c r="JN20" s="1535"/>
      <c r="JO20" s="1535"/>
      <c r="JP20" s="1535"/>
      <c r="JQ20" s="2572"/>
      <c r="JR20" s="351"/>
      <c r="JS20" s="1400"/>
      <c r="JT20" s="1666"/>
    </row>
    <row r="21" spans="1:280" ht="12.5" x14ac:dyDescent="0.25">
      <c r="A21" s="1367">
        <v>21</v>
      </c>
      <c r="B21" s="1411" t="str">
        <f>IF(TRU_IND&gt;1,IF(HLOOKUP(TRU_IND-1,TRU_RANGE,A21)="","",HLOOKUP(TRU_IND-1,TRU_RANGE,A21)),"")</f>
        <v/>
      </c>
      <c r="C21" s="796" t="s">
        <v>4235</v>
      </c>
      <c r="D21" s="1667" t="s">
        <v>4236</v>
      </c>
      <c r="E21" s="1535"/>
      <c r="F21" s="1535"/>
      <c r="G21" s="1535"/>
      <c r="H21" s="1535"/>
      <c r="I21" s="1535"/>
      <c r="J21" s="1535"/>
      <c r="K21" s="1535"/>
      <c r="L21" s="1535"/>
      <c r="M21" s="1535"/>
      <c r="N21" s="1535"/>
      <c r="O21" s="1535"/>
      <c r="P21" s="1535"/>
      <c r="Q21" s="1535"/>
      <c r="R21" s="1535"/>
      <c r="S21" s="1535"/>
      <c r="T21" s="1535"/>
      <c r="U21" s="1535"/>
      <c r="V21" s="1535"/>
      <c r="W21" s="1535"/>
      <c r="X21" s="1535"/>
      <c r="Y21" s="1535"/>
      <c r="Z21" s="1535"/>
      <c r="AA21" s="1535"/>
      <c r="AB21" s="1535"/>
      <c r="AC21" s="1535"/>
      <c r="AD21" s="1535"/>
      <c r="AE21" s="1535"/>
      <c r="AF21" s="1535"/>
      <c r="AG21" s="1535"/>
      <c r="AH21" s="1535"/>
      <c r="AI21" s="1535"/>
      <c r="AJ21" s="1535"/>
      <c r="AK21" s="1535"/>
      <c r="AL21" s="1535"/>
      <c r="AM21" s="1535"/>
      <c r="AN21" s="1535"/>
      <c r="AO21" s="1535"/>
      <c r="AP21" s="1535"/>
      <c r="AQ21" s="1452"/>
      <c r="AR21" s="1535"/>
      <c r="AS21" s="1535"/>
      <c r="AT21" s="1535"/>
      <c r="AU21" s="1535"/>
      <c r="AV21" s="1452"/>
      <c r="AW21" s="1535"/>
      <c r="AX21" s="1535"/>
      <c r="AY21" s="1535"/>
      <c r="AZ21" s="1535"/>
      <c r="BA21" s="1535"/>
      <c r="BB21" s="1535"/>
      <c r="BC21" s="1532"/>
      <c r="BD21" s="1532"/>
      <c r="BE21" s="1535"/>
      <c r="BF21" s="1535"/>
      <c r="BG21" s="1535"/>
      <c r="BH21" s="1535"/>
      <c r="BI21" s="1535"/>
      <c r="BJ21" s="1535"/>
      <c r="BK21" s="1535"/>
      <c r="BL21" s="1452"/>
      <c r="BM21" s="1535"/>
      <c r="BN21" s="1535"/>
      <c r="BO21" s="1535"/>
      <c r="BP21" s="1535"/>
      <c r="BQ21" s="1535"/>
      <c r="BR21" s="1535"/>
      <c r="BS21" s="1535"/>
      <c r="BT21" s="1535"/>
      <c r="BU21" s="1535"/>
      <c r="BV21" s="1535"/>
      <c r="BW21" s="1535"/>
      <c r="BX21" s="1535"/>
      <c r="BY21" s="1535"/>
      <c r="BZ21" s="1535"/>
      <c r="CA21" s="1535"/>
      <c r="CB21" s="1535"/>
      <c r="CC21" s="1452"/>
      <c r="CD21" s="1535"/>
      <c r="CE21" s="1535"/>
      <c r="CF21" s="1535"/>
      <c r="CG21" s="1535"/>
      <c r="CH21" s="1535"/>
      <c r="CI21" s="1535"/>
      <c r="CJ21" s="1535"/>
      <c r="CK21" s="1535"/>
      <c r="CL21" s="1535"/>
      <c r="CM21" s="1535"/>
      <c r="CN21" s="1535"/>
      <c r="CO21" s="1535"/>
      <c r="CP21" s="1535"/>
      <c r="CQ21" s="1535"/>
      <c r="CR21" s="1535"/>
      <c r="CS21" s="1535"/>
      <c r="CT21" s="1535"/>
      <c r="CU21" s="1535"/>
      <c r="CV21" s="1535"/>
      <c r="CW21" s="1535"/>
      <c r="CX21" s="1535"/>
      <c r="CY21" s="1535"/>
      <c r="CZ21" s="1535"/>
      <c r="DA21" s="1535"/>
      <c r="DB21" s="1535"/>
      <c r="DC21" s="1535"/>
      <c r="DD21" s="1535"/>
      <c r="DE21" s="1535"/>
      <c r="DF21" s="1535"/>
      <c r="DG21" s="1535"/>
      <c r="DH21" s="1452">
        <v>400</v>
      </c>
      <c r="DI21" s="1535"/>
      <c r="DJ21" s="1452"/>
      <c r="DK21" s="1452"/>
      <c r="DL21" s="1535"/>
      <c r="DM21" s="1532"/>
      <c r="DN21" s="1535"/>
      <c r="DO21" s="1535"/>
      <c r="DP21" s="1535"/>
      <c r="DQ21" s="1535"/>
      <c r="DR21" s="1532"/>
      <c r="DS21" s="1535"/>
      <c r="DT21" s="1535"/>
      <c r="DU21" s="1535"/>
      <c r="DV21" s="1535"/>
      <c r="DW21" s="1535"/>
      <c r="DX21" s="1535"/>
      <c r="DY21" s="1535"/>
      <c r="DZ21" s="1535"/>
      <c r="EA21" s="1535"/>
      <c r="EB21" s="1535"/>
      <c r="EC21" s="1535"/>
      <c r="ED21" s="1535"/>
      <c r="EE21" s="1535"/>
      <c r="EF21" s="1535"/>
      <c r="EG21" s="1535"/>
      <c r="EH21" s="1535"/>
      <c r="EI21" s="1535"/>
      <c r="EJ21" s="1535"/>
      <c r="EK21" s="1535"/>
      <c r="EL21" s="1535"/>
      <c r="EM21" s="1535"/>
      <c r="EN21" s="1535"/>
      <c r="EO21" s="1535"/>
      <c r="EP21" s="1535"/>
      <c r="EQ21" s="1535"/>
      <c r="ER21" s="1535"/>
      <c r="ES21" s="1535"/>
      <c r="ET21" s="1535"/>
      <c r="EU21" s="1535"/>
      <c r="EV21" s="1535"/>
      <c r="EW21" s="1452"/>
      <c r="EX21" s="1535"/>
      <c r="EY21" s="1535"/>
      <c r="EZ21" s="1535"/>
      <c r="FA21" s="1535"/>
      <c r="FB21" s="1535"/>
      <c r="FC21" s="1535"/>
      <c r="FD21" s="1535"/>
      <c r="FE21" s="1535"/>
      <c r="FF21" s="1535"/>
      <c r="FG21" s="1535"/>
      <c r="FH21" s="1535"/>
      <c r="FI21" s="1535"/>
      <c r="FJ21" s="1535"/>
      <c r="FK21" s="1535"/>
      <c r="FL21" s="1535"/>
      <c r="FM21" s="1535"/>
      <c r="FN21" s="1535"/>
      <c r="FO21" s="1535"/>
      <c r="FP21" s="1535"/>
      <c r="FQ21" s="1535"/>
      <c r="FR21" s="1535"/>
      <c r="FS21" s="1535"/>
      <c r="FT21" s="1535"/>
      <c r="FU21" s="1535"/>
      <c r="FV21" s="1535"/>
      <c r="FW21" s="1452">
        <v>700</v>
      </c>
      <c r="FX21" s="1535"/>
      <c r="FY21" s="1535"/>
      <c r="FZ21" s="1535"/>
      <c r="GA21" s="1535"/>
      <c r="GB21" s="1535"/>
      <c r="GC21" s="1535"/>
      <c r="GD21" s="1535"/>
      <c r="GE21" s="1535"/>
      <c r="GF21" s="1535"/>
      <c r="GG21" s="1452"/>
      <c r="GH21" s="1535"/>
      <c r="GI21" s="1535"/>
      <c r="GJ21" s="1535"/>
      <c r="GK21" s="1535"/>
      <c r="GL21" s="1535"/>
      <c r="GM21" s="1535"/>
      <c r="GN21" s="1535"/>
      <c r="GO21" s="1535"/>
      <c r="GP21" s="1535"/>
      <c r="GQ21" s="1535"/>
      <c r="GR21" s="1535"/>
      <c r="GS21" s="1535"/>
      <c r="GT21" s="1535"/>
      <c r="GU21" s="1535"/>
      <c r="GV21" s="1535"/>
      <c r="GW21" s="1452"/>
      <c r="GX21" s="1535"/>
      <c r="GY21" s="1535"/>
      <c r="GZ21" s="1535"/>
      <c r="HA21" s="1535"/>
      <c r="HB21" s="1535"/>
      <c r="HC21" s="1535"/>
      <c r="HD21" s="1535"/>
      <c r="HE21" s="1535"/>
      <c r="HF21" s="1535"/>
      <c r="HG21" s="1535"/>
      <c r="HH21" s="1535"/>
      <c r="HI21" s="1535"/>
      <c r="HJ21" s="1535"/>
      <c r="HK21" s="1535"/>
      <c r="HL21" s="1535"/>
      <c r="HM21" s="1535"/>
      <c r="HN21" s="1535"/>
      <c r="HO21" s="1535"/>
      <c r="HP21" s="1535"/>
      <c r="HQ21" s="1535"/>
      <c r="HR21" s="1535"/>
      <c r="HS21" s="1535"/>
      <c r="HT21" s="1535"/>
      <c r="HU21" s="1535"/>
      <c r="HV21" s="1535"/>
      <c r="HW21" s="1535"/>
      <c r="HX21" s="1535"/>
      <c r="HY21" s="1535"/>
      <c r="HZ21" s="1535"/>
      <c r="IA21" s="1535"/>
      <c r="IB21" s="1535"/>
      <c r="IC21" s="1535"/>
      <c r="ID21" s="1535"/>
      <c r="IE21" s="1535"/>
      <c r="IF21" s="1535"/>
      <c r="IG21" s="1535"/>
      <c r="IH21" s="1535"/>
      <c r="II21" s="1535"/>
      <c r="IJ21" s="1535"/>
      <c r="IK21" s="1452"/>
      <c r="IL21" s="1535"/>
      <c r="IM21" s="1535"/>
      <c r="IN21" s="1535"/>
      <c r="IO21" s="1535"/>
      <c r="IP21" s="1532"/>
      <c r="IQ21" s="1535"/>
      <c r="IR21" s="1535"/>
      <c r="IS21" s="1535"/>
      <c r="IT21" s="1535"/>
      <c r="IU21" s="1535"/>
      <c r="IV21" s="1535"/>
      <c r="IW21" s="1535"/>
      <c r="IX21" s="1535"/>
      <c r="IY21" s="1535"/>
      <c r="IZ21" s="1535"/>
      <c r="JA21" s="1535"/>
      <c r="JB21" s="1535"/>
      <c r="JC21" s="1535"/>
      <c r="JD21" s="1535"/>
      <c r="JE21" s="1535"/>
      <c r="JF21" s="1452"/>
      <c r="JG21" s="1535"/>
      <c r="JH21" s="1535"/>
      <c r="JI21" s="1535"/>
      <c r="JJ21" s="1535"/>
      <c r="JK21" s="1535"/>
      <c r="JL21" s="1535"/>
      <c r="JM21" s="1535"/>
      <c r="JN21" s="1535"/>
      <c r="JO21" s="1535"/>
      <c r="JP21" s="1535"/>
      <c r="JQ21" s="2572"/>
      <c r="JR21" s="351"/>
      <c r="JS21" s="1400"/>
      <c r="JT21" s="1666" t="s">
        <v>2242</v>
      </c>
    </row>
    <row r="22" spans="1:280" ht="12.5" x14ac:dyDescent="0.25">
      <c r="A22" s="1367">
        <v>22</v>
      </c>
      <c r="B22" s="1411" t="str">
        <f t="shared" si="0"/>
        <v/>
      </c>
      <c r="C22" s="796" t="s">
        <v>4237</v>
      </c>
      <c r="D22" s="1667" t="s">
        <v>4238</v>
      </c>
      <c r="E22" s="1535"/>
      <c r="F22" s="1535"/>
      <c r="G22" s="1535"/>
      <c r="H22" s="1535"/>
      <c r="I22" s="1535"/>
      <c r="J22" s="1535"/>
      <c r="K22" s="1535"/>
      <c r="L22" s="1535"/>
      <c r="M22" s="1535"/>
      <c r="N22" s="1535"/>
      <c r="O22" s="1535"/>
      <c r="P22" s="1535"/>
      <c r="Q22" s="1535"/>
      <c r="R22" s="1535"/>
      <c r="S22" s="1535"/>
      <c r="T22" s="1535"/>
      <c r="U22" s="1535"/>
      <c r="V22" s="1535"/>
      <c r="W22" s="1535"/>
      <c r="X22" s="1535"/>
      <c r="Y22" s="1535"/>
      <c r="Z22" s="1535"/>
      <c r="AA22" s="1535"/>
      <c r="AB22" s="1535"/>
      <c r="AC22" s="1535"/>
      <c r="AD22" s="1535"/>
      <c r="AE22" s="1535"/>
      <c r="AF22" s="1535"/>
      <c r="AG22" s="1535"/>
      <c r="AH22" s="1535"/>
      <c r="AI22" s="1535"/>
      <c r="AJ22" s="1535"/>
      <c r="AK22" s="1535"/>
      <c r="AL22" s="1535"/>
      <c r="AM22" s="1535"/>
      <c r="AN22" s="1535"/>
      <c r="AO22" s="1535"/>
      <c r="AP22" s="1535"/>
      <c r="AQ22" s="1452"/>
      <c r="AR22" s="1535"/>
      <c r="AS22" s="1535"/>
      <c r="AT22" s="1535"/>
      <c r="AU22" s="1535"/>
      <c r="AV22" s="1452">
        <v>230</v>
      </c>
      <c r="AW22" s="1535"/>
      <c r="AX22" s="1535"/>
      <c r="AY22" s="1535"/>
      <c r="AZ22" s="1535"/>
      <c r="BA22" s="1535"/>
      <c r="BB22" s="1535"/>
      <c r="BC22" s="1532">
        <v>33799</v>
      </c>
      <c r="BD22" s="1532"/>
      <c r="BE22" s="1535"/>
      <c r="BF22" s="1535"/>
      <c r="BG22" s="1535"/>
      <c r="BH22" s="1535"/>
      <c r="BI22" s="1535"/>
      <c r="BJ22" s="1535"/>
      <c r="BK22" s="1535"/>
      <c r="BL22" s="1452">
        <v>230</v>
      </c>
      <c r="BM22" s="1535"/>
      <c r="BN22" s="1535"/>
      <c r="BO22" s="1535"/>
      <c r="BP22" s="1535"/>
      <c r="BQ22" s="1535"/>
      <c r="BR22" s="1535"/>
      <c r="BS22" s="1535"/>
      <c r="BT22" s="1535"/>
      <c r="BU22" s="1535"/>
      <c r="BV22" s="1535"/>
      <c r="BW22" s="1535"/>
      <c r="BX22" s="1535"/>
      <c r="BY22" s="1535"/>
      <c r="BZ22" s="1535"/>
      <c r="CA22" s="1535"/>
      <c r="CB22" s="1535"/>
      <c r="CC22" s="1452"/>
      <c r="CD22" s="1535"/>
      <c r="CE22" s="1535"/>
      <c r="CF22" s="1535"/>
      <c r="CG22" s="1535"/>
      <c r="CH22" s="1535"/>
      <c r="CI22" s="1535"/>
      <c r="CJ22" s="1535"/>
      <c r="CK22" s="1535"/>
      <c r="CL22" s="1535"/>
      <c r="CM22" s="1535"/>
      <c r="CN22" s="1535"/>
      <c r="CO22" s="1535"/>
      <c r="CP22" s="1535"/>
      <c r="CQ22" s="1535"/>
      <c r="CR22" s="1535"/>
      <c r="CS22" s="1535"/>
      <c r="CT22" s="1535"/>
      <c r="CU22" s="1535"/>
      <c r="CV22" s="1535"/>
      <c r="CW22" s="1535"/>
      <c r="CX22" s="1535"/>
      <c r="CY22" s="1535"/>
      <c r="CZ22" s="1535"/>
      <c r="DA22" s="1535"/>
      <c r="DB22" s="1535"/>
      <c r="DC22" s="1535"/>
      <c r="DD22" s="1535"/>
      <c r="DE22" s="1535"/>
      <c r="DF22" s="1535"/>
      <c r="DG22" s="1535"/>
      <c r="DH22" s="1452"/>
      <c r="DI22" s="1535"/>
      <c r="DJ22" s="1452"/>
      <c r="DK22" s="1452">
        <v>230</v>
      </c>
      <c r="DL22" s="1535"/>
      <c r="DM22" s="1532"/>
      <c r="DN22" s="1535"/>
      <c r="DO22" s="1535"/>
      <c r="DP22" s="1535"/>
      <c r="DQ22" s="1535"/>
      <c r="DR22" s="1532">
        <v>55640</v>
      </c>
      <c r="DS22" s="1535"/>
      <c r="DT22" s="1535"/>
      <c r="DU22" s="1535"/>
      <c r="DV22" s="1535"/>
      <c r="DW22" s="1535"/>
      <c r="DX22" s="1535"/>
      <c r="DY22" s="1535"/>
      <c r="DZ22" s="1535"/>
      <c r="EA22" s="1535"/>
      <c r="EB22" s="1535"/>
      <c r="EC22" s="1535"/>
      <c r="ED22" s="1535"/>
      <c r="EE22" s="1535"/>
      <c r="EF22" s="1535"/>
      <c r="EG22" s="1535"/>
      <c r="EH22" s="1535"/>
      <c r="EI22" s="1535"/>
      <c r="EJ22" s="1535"/>
      <c r="EK22" s="1535"/>
      <c r="EL22" s="1535"/>
      <c r="EM22" s="1535"/>
      <c r="EN22" s="1535"/>
      <c r="EO22" s="1535"/>
      <c r="EP22" s="1535"/>
      <c r="EQ22" s="1535"/>
      <c r="ER22" s="1535"/>
      <c r="ES22" s="1535"/>
      <c r="ET22" s="1535"/>
      <c r="EU22" s="1535"/>
      <c r="EV22" s="1535"/>
      <c r="EW22" s="1452">
        <v>230</v>
      </c>
      <c r="EX22" s="1535"/>
      <c r="EY22" s="1535"/>
      <c r="EZ22" s="1535"/>
      <c r="FA22" s="1535"/>
      <c r="FB22" s="1535"/>
      <c r="FC22" s="1535"/>
      <c r="FD22" s="1535"/>
      <c r="FE22" s="1535"/>
      <c r="FF22" s="1535"/>
      <c r="FG22" s="1535"/>
      <c r="FH22" s="1535"/>
      <c r="FI22" s="1535"/>
      <c r="FJ22" s="1535"/>
      <c r="FK22" s="1535"/>
      <c r="FL22" s="1535"/>
      <c r="FM22" s="1535"/>
      <c r="FN22" s="1535"/>
      <c r="FO22" s="1535"/>
      <c r="FP22" s="1535"/>
      <c r="FQ22" s="1535"/>
      <c r="FR22" s="1535"/>
      <c r="FS22" s="1535"/>
      <c r="FT22" s="1535"/>
      <c r="FU22" s="1535"/>
      <c r="FV22" s="1535"/>
      <c r="FW22" s="1452"/>
      <c r="FX22" s="1535"/>
      <c r="FY22" s="1535"/>
      <c r="FZ22" s="1535"/>
      <c r="GA22" s="1535"/>
      <c r="GB22" s="1535"/>
      <c r="GC22" s="1535"/>
      <c r="GD22" s="1535"/>
      <c r="GE22" s="1535"/>
      <c r="GF22" s="1535"/>
      <c r="GG22" s="1452">
        <v>230</v>
      </c>
      <c r="GH22" s="1535"/>
      <c r="GI22" s="1535"/>
      <c r="GJ22" s="1535"/>
      <c r="GK22" s="1535"/>
      <c r="GL22" s="1535"/>
      <c r="GM22" s="1535"/>
      <c r="GN22" s="1535"/>
      <c r="GO22" s="1535"/>
      <c r="GP22" s="1535"/>
      <c r="GQ22" s="1535"/>
      <c r="GR22" s="1535"/>
      <c r="GS22" s="1535"/>
      <c r="GT22" s="1535"/>
      <c r="GU22" s="1535"/>
      <c r="GV22" s="1535"/>
      <c r="GW22" s="1454">
        <v>200</v>
      </c>
      <c r="GX22" s="1535"/>
      <c r="GY22" s="1535"/>
      <c r="GZ22" s="1535"/>
      <c r="HA22" s="1535"/>
      <c r="HB22" s="1535"/>
      <c r="HC22" s="1535"/>
      <c r="HD22" s="1535"/>
      <c r="HE22" s="1535"/>
      <c r="HF22" s="1535"/>
      <c r="HG22" s="1535"/>
      <c r="HH22" s="1535"/>
      <c r="HI22" s="1535"/>
      <c r="HJ22" s="1535"/>
      <c r="HK22" s="1535"/>
      <c r="HL22" s="1535"/>
      <c r="HM22" s="1535"/>
      <c r="HN22" s="1535"/>
      <c r="HO22" s="1535"/>
      <c r="HP22" s="1535"/>
      <c r="HQ22" s="1535"/>
      <c r="HR22" s="1535"/>
      <c r="HS22" s="1535"/>
      <c r="HT22" s="1535"/>
      <c r="HU22" s="1535"/>
      <c r="HV22" s="1535"/>
      <c r="HW22" s="1535"/>
      <c r="HX22" s="1535"/>
      <c r="HY22" s="1535"/>
      <c r="HZ22" s="1535"/>
      <c r="IA22" s="1535"/>
      <c r="IB22" s="1535"/>
      <c r="IC22" s="1535"/>
      <c r="ID22" s="1535"/>
      <c r="IE22" s="1535"/>
      <c r="IF22" s="1535"/>
      <c r="IG22" s="1535"/>
      <c r="IH22" s="1535"/>
      <c r="II22" s="1535"/>
      <c r="IJ22" s="1535"/>
      <c r="IK22" s="1454">
        <v>1785</v>
      </c>
      <c r="IL22" s="1535"/>
      <c r="IM22" s="1535"/>
      <c r="IN22" s="1535"/>
      <c r="IO22" s="1535"/>
      <c r="IP22" s="1532"/>
      <c r="IQ22" s="1535"/>
      <c r="IR22" s="1535"/>
      <c r="IS22" s="1535"/>
      <c r="IT22" s="1535"/>
      <c r="IU22" s="1535"/>
      <c r="IV22" s="1535"/>
      <c r="IW22" s="1535"/>
      <c r="IX22" s="1535"/>
      <c r="IY22" s="1535"/>
      <c r="IZ22" s="1535"/>
      <c r="JA22" s="1535"/>
      <c r="JB22" s="1535"/>
      <c r="JC22" s="1535"/>
      <c r="JD22" s="1535"/>
      <c r="JE22" s="1535"/>
      <c r="JF22" s="1452"/>
      <c r="JG22" s="1535"/>
      <c r="JH22" s="1535"/>
      <c r="JI22" s="1535"/>
      <c r="JJ22" s="1535"/>
      <c r="JK22" s="1535"/>
      <c r="JL22" s="1535"/>
      <c r="JM22" s="1535"/>
      <c r="JN22" s="1535"/>
      <c r="JO22" s="1535"/>
      <c r="JP22" s="1535"/>
      <c r="JQ22" s="2572"/>
      <c r="JR22" s="351"/>
      <c r="JS22" s="1400"/>
      <c r="JT22" s="1666" t="s">
        <v>2242</v>
      </c>
    </row>
    <row r="23" spans="1:280" ht="12.5" x14ac:dyDescent="0.25">
      <c r="A23" s="1367">
        <v>23</v>
      </c>
      <c r="B23" s="1411" t="str">
        <f t="shared" si="0"/>
        <v/>
      </c>
      <c r="C23" s="1089" t="s">
        <v>4239</v>
      </c>
      <c r="D23" s="2575" t="s">
        <v>3252</v>
      </c>
      <c r="E23" s="1535"/>
      <c r="F23" s="1535"/>
      <c r="G23" s="1535"/>
      <c r="H23" s="1535"/>
      <c r="I23" s="1535"/>
      <c r="J23" s="1535"/>
      <c r="K23" s="1535"/>
      <c r="L23" s="1535"/>
      <c r="M23" s="1535"/>
      <c r="N23" s="1535"/>
      <c r="O23" s="1535"/>
      <c r="P23" s="1535"/>
      <c r="Q23" s="1535"/>
      <c r="R23" s="1535"/>
      <c r="S23" s="1535"/>
      <c r="T23" s="1535"/>
      <c r="U23" s="1535"/>
      <c r="V23" s="1535"/>
      <c r="W23" s="1535"/>
      <c r="X23" s="1535"/>
      <c r="Y23" s="1535"/>
      <c r="Z23" s="1535"/>
      <c r="AA23" s="1535"/>
      <c r="AB23" s="1535"/>
      <c r="AC23" s="1535"/>
      <c r="AD23" s="1535"/>
      <c r="AE23" s="1535"/>
      <c r="AF23" s="1535"/>
      <c r="AG23" s="1535"/>
      <c r="AH23" s="1535"/>
      <c r="AI23" s="1535"/>
      <c r="AJ23" s="1535"/>
      <c r="AK23" s="1535"/>
      <c r="AL23" s="1535"/>
      <c r="AM23" s="1535"/>
      <c r="AN23" s="1535"/>
      <c r="AO23" s="1535"/>
      <c r="AP23" s="1535"/>
      <c r="AQ23" s="1452"/>
      <c r="AR23" s="1535"/>
      <c r="AS23" s="1535"/>
      <c r="AT23" s="1535"/>
      <c r="AU23" s="1535"/>
      <c r="AV23" s="1452"/>
      <c r="AW23" s="1535"/>
      <c r="AX23" s="1535"/>
      <c r="AY23" s="1535"/>
      <c r="AZ23" s="1535"/>
      <c r="BA23" s="1535"/>
      <c r="BB23" s="1535"/>
      <c r="BC23" s="1532"/>
      <c r="BD23" s="1532"/>
      <c r="BE23" s="1535"/>
      <c r="BF23" s="1535"/>
      <c r="BG23" s="1535"/>
      <c r="BH23" s="1535"/>
      <c r="BI23" s="1535"/>
      <c r="BJ23" s="1535"/>
      <c r="BK23" s="1535"/>
      <c r="BL23" s="1452"/>
      <c r="BM23" s="1535"/>
      <c r="BN23" s="1535"/>
      <c r="BO23" s="1535"/>
      <c r="BP23" s="1535"/>
      <c r="BQ23" s="1535"/>
      <c r="BR23" s="1535"/>
      <c r="BS23" s="1535"/>
      <c r="BT23" s="1535"/>
      <c r="BU23" s="1535"/>
      <c r="BV23" s="1535"/>
      <c r="BW23" s="1535"/>
      <c r="BX23" s="1535"/>
      <c r="BY23" s="1535"/>
      <c r="BZ23" s="1535"/>
      <c r="CA23" s="1535"/>
      <c r="CB23" s="1535"/>
      <c r="CC23" s="1452"/>
      <c r="CD23" s="1535"/>
      <c r="CE23" s="1535"/>
      <c r="CF23" s="1535"/>
      <c r="CG23" s="1535"/>
      <c r="CH23" s="1535"/>
      <c r="CI23" s="1535"/>
      <c r="CJ23" s="1535"/>
      <c r="CK23" s="1535"/>
      <c r="CL23" s="1535"/>
      <c r="CM23" s="1535"/>
      <c r="CN23" s="1535"/>
      <c r="CO23" s="1535"/>
      <c r="CP23" s="1535"/>
      <c r="CQ23" s="1535"/>
      <c r="CR23" s="1535"/>
      <c r="CS23" s="1535"/>
      <c r="CT23" s="1535"/>
      <c r="CU23" s="1535"/>
      <c r="CV23" s="1535"/>
      <c r="CW23" s="1535"/>
      <c r="CX23" s="1535"/>
      <c r="CY23" s="1535"/>
      <c r="CZ23" s="1535"/>
      <c r="DA23" s="1535"/>
      <c r="DB23" s="1535"/>
      <c r="DC23" s="1535"/>
      <c r="DD23" s="1535"/>
      <c r="DE23" s="1535"/>
      <c r="DF23" s="1535"/>
      <c r="DG23" s="1535"/>
      <c r="DH23" s="1452"/>
      <c r="DI23" s="1535"/>
      <c r="DJ23" s="1452"/>
      <c r="DK23" s="1452"/>
      <c r="DL23" s="1535"/>
      <c r="DM23" s="1532"/>
      <c r="DN23" s="1535"/>
      <c r="DO23" s="1535"/>
      <c r="DP23" s="1535"/>
      <c r="DQ23" s="1535"/>
      <c r="DR23" s="1532"/>
      <c r="DS23" s="1535"/>
      <c r="DT23" s="1535"/>
      <c r="DU23" s="1535"/>
      <c r="DV23" s="1535"/>
      <c r="DW23" s="1535"/>
      <c r="DX23" s="1535"/>
      <c r="DY23" s="1535"/>
      <c r="DZ23" s="1535"/>
      <c r="EA23" s="1535"/>
      <c r="EB23" s="1535"/>
      <c r="EC23" s="1535"/>
      <c r="ED23" s="1535"/>
      <c r="EE23" s="1535"/>
      <c r="EF23" s="1535"/>
      <c r="EG23" s="1535"/>
      <c r="EH23" s="1535"/>
      <c r="EI23" s="1535"/>
      <c r="EJ23" s="1535"/>
      <c r="EK23" s="1535"/>
      <c r="EL23" s="1535"/>
      <c r="EM23" s="1535"/>
      <c r="EN23" s="1535"/>
      <c r="EO23" s="1535"/>
      <c r="EP23" s="1535"/>
      <c r="EQ23" s="1535"/>
      <c r="ER23" s="1535"/>
      <c r="ES23" s="1535"/>
      <c r="ET23" s="1535"/>
      <c r="EU23" s="1535"/>
      <c r="EV23" s="1535"/>
      <c r="EW23" s="1452"/>
      <c r="EX23" s="1535"/>
      <c r="EY23" s="1535"/>
      <c r="EZ23" s="1535"/>
      <c r="FA23" s="1535"/>
      <c r="FB23" s="1535"/>
      <c r="FC23" s="1535"/>
      <c r="FD23" s="1535"/>
      <c r="FE23" s="1535"/>
      <c r="FF23" s="1535"/>
      <c r="FG23" s="1535"/>
      <c r="FH23" s="1535"/>
      <c r="FI23" s="1535"/>
      <c r="FJ23" s="1535"/>
      <c r="FK23" s="1535"/>
      <c r="FL23" s="1535"/>
      <c r="FM23" s="1535"/>
      <c r="FN23" s="1535"/>
      <c r="FO23" s="1535"/>
      <c r="FP23" s="1535"/>
      <c r="FQ23" s="1535"/>
      <c r="FR23" s="1535"/>
      <c r="FS23" s="1535"/>
      <c r="FT23" s="1535"/>
      <c r="FU23" s="1535"/>
      <c r="FV23" s="1535"/>
      <c r="FW23" s="1452"/>
      <c r="FX23" s="1535"/>
      <c r="FY23" s="1535"/>
      <c r="FZ23" s="1535"/>
      <c r="GA23" s="1535"/>
      <c r="GB23" s="1535"/>
      <c r="GC23" s="1535"/>
      <c r="GD23" s="1535"/>
      <c r="GE23" s="1535"/>
      <c r="GF23" s="1535"/>
      <c r="GG23" s="1452"/>
      <c r="GH23" s="1535"/>
      <c r="GI23" s="1535"/>
      <c r="GJ23" s="1535"/>
      <c r="GK23" s="1535"/>
      <c r="GL23" s="1535"/>
      <c r="GM23" s="1535"/>
      <c r="GN23" s="1535"/>
      <c r="GO23" s="1535"/>
      <c r="GP23" s="1535"/>
      <c r="GQ23" s="1535"/>
      <c r="GR23" s="1535"/>
      <c r="GS23" s="1535"/>
      <c r="GT23" s="1535"/>
      <c r="GU23" s="1535"/>
      <c r="GV23" s="1535"/>
      <c r="GW23" s="1452"/>
      <c r="GX23" s="1535"/>
      <c r="GY23" s="1535"/>
      <c r="GZ23" s="1535"/>
      <c r="HA23" s="1535"/>
      <c r="HB23" s="1535"/>
      <c r="HC23" s="1535"/>
      <c r="HD23" s="1535"/>
      <c r="HE23" s="1535"/>
      <c r="HF23" s="1535"/>
      <c r="HG23" s="1535"/>
      <c r="HH23" s="1535"/>
      <c r="HI23" s="1535"/>
      <c r="HJ23" s="1535"/>
      <c r="HK23" s="1535"/>
      <c r="HL23" s="1535"/>
      <c r="HM23" s="1535"/>
      <c r="HN23" s="1535"/>
      <c r="HO23" s="1535"/>
      <c r="HP23" s="1535"/>
      <c r="HQ23" s="1535"/>
      <c r="HR23" s="1535"/>
      <c r="HS23" s="1535"/>
      <c r="HT23" s="1535"/>
      <c r="HU23" s="1535"/>
      <c r="HV23" s="1535"/>
      <c r="HW23" s="1535"/>
      <c r="HX23" s="1535"/>
      <c r="HY23" s="1535"/>
      <c r="HZ23" s="1535"/>
      <c r="IA23" s="1535"/>
      <c r="IB23" s="1535"/>
      <c r="IC23" s="1535"/>
      <c r="ID23" s="1535"/>
      <c r="IE23" s="1535"/>
      <c r="IF23" s="1535"/>
      <c r="IG23" s="1535"/>
      <c r="IH23" s="1535"/>
      <c r="II23" s="1535"/>
      <c r="IJ23" s="1535"/>
      <c r="IK23" s="1537">
        <v>1785</v>
      </c>
      <c r="IL23" s="1535"/>
      <c r="IM23" s="1535"/>
      <c r="IN23" s="1535"/>
      <c r="IO23" s="1535"/>
      <c r="IP23" s="1532"/>
      <c r="IQ23" s="1535"/>
      <c r="IR23" s="1535"/>
      <c r="IS23" s="1535"/>
      <c r="IT23" s="1535"/>
      <c r="IU23" s="1535"/>
      <c r="IV23" s="1535"/>
      <c r="IW23" s="1535"/>
      <c r="IX23" s="1535"/>
      <c r="IY23" s="1535"/>
      <c r="IZ23" s="1535"/>
      <c r="JA23" s="1535"/>
      <c r="JB23" s="1535"/>
      <c r="JC23" s="1535"/>
      <c r="JD23" s="1535"/>
      <c r="JE23" s="1535"/>
      <c r="JF23" s="1452"/>
      <c r="JG23" s="1535"/>
      <c r="JH23" s="1535"/>
      <c r="JI23" s="1535"/>
      <c r="JJ23" s="1535"/>
      <c r="JK23" s="1535"/>
      <c r="JL23" s="1535"/>
      <c r="JM23" s="1535"/>
      <c r="JN23" s="1535"/>
      <c r="JO23" s="1535"/>
      <c r="JP23" s="1535"/>
      <c r="JQ23" s="2572"/>
      <c r="JR23" s="351"/>
      <c r="JS23" s="1400"/>
      <c r="JT23" s="1666"/>
    </row>
    <row r="24" spans="1:280" ht="12.5" x14ac:dyDescent="0.25">
      <c r="A24" s="1367">
        <v>24</v>
      </c>
      <c r="B24" s="1411" t="str">
        <f t="shared" si="0"/>
        <v/>
      </c>
      <c r="C24" s="796" t="s">
        <v>4240</v>
      </c>
      <c r="D24" s="1667" t="s">
        <v>4241</v>
      </c>
      <c r="E24" s="1535"/>
      <c r="F24" s="1535"/>
      <c r="G24" s="1535"/>
      <c r="H24" s="1535"/>
      <c r="I24" s="1535"/>
      <c r="J24" s="1535"/>
      <c r="K24" s="1535"/>
      <c r="L24" s="1535"/>
      <c r="M24" s="1535"/>
      <c r="N24" s="1535"/>
      <c r="O24" s="1535"/>
      <c r="P24" s="1535"/>
      <c r="Q24" s="1535"/>
      <c r="R24" s="1535"/>
      <c r="S24" s="1535"/>
      <c r="T24" s="1535"/>
      <c r="U24" s="1535"/>
      <c r="V24" s="1535"/>
      <c r="W24" s="1535"/>
      <c r="X24" s="1535"/>
      <c r="Y24" s="1535"/>
      <c r="Z24" s="1535"/>
      <c r="AA24" s="1535"/>
      <c r="AB24" s="1535"/>
      <c r="AC24" s="1535"/>
      <c r="AD24" s="1535"/>
      <c r="AE24" s="1535"/>
      <c r="AF24" s="1535"/>
      <c r="AG24" s="1535"/>
      <c r="AH24" s="1535"/>
      <c r="AI24" s="1535"/>
      <c r="AJ24" s="1535"/>
      <c r="AK24" s="1535"/>
      <c r="AL24" s="1535"/>
      <c r="AM24" s="1535"/>
      <c r="AN24" s="1535"/>
      <c r="AO24" s="1535"/>
      <c r="AP24" s="1535"/>
      <c r="AQ24" s="1452"/>
      <c r="AR24" s="1535"/>
      <c r="AS24" s="1535"/>
      <c r="AT24" s="1535"/>
      <c r="AU24" s="1535"/>
      <c r="AV24" s="1452"/>
      <c r="AW24" s="1535"/>
      <c r="AX24" s="1535"/>
      <c r="AY24" s="1535"/>
      <c r="AZ24" s="1535"/>
      <c r="BA24" s="1535"/>
      <c r="BB24" s="1535"/>
      <c r="BC24" s="1532">
        <v>2716</v>
      </c>
      <c r="BD24" s="1532"/>
      <c r="BE24" s="1535"/>
      <c r="BF24" s="1535"/>
      <c r="BG24" s="1535"/>
      <c r="BH24" s="1535"/>
      <c r="BI24" s="1535"/>
      <c r="BJ24" s="1535"/>
      <c r="BK24" s="1535"/>
      <c r="BL24" s="1452"/>
      <c r="BM24" s="1535"/>
      <c r="BN24" s="1535"/>
      <c r="BO24" s="1535"/>
      <c r="BP24" s="1535"/>
      <c r="BQ24" s="1535"/>
      <c r="BR24" s="1535"/>
      <c r="BS24" s="1535"/>
      <c r="BT24" s="1535"/>
      <c r="BU24" s="1535"/>
      <c r="BV24" s="1535"/>
      <c r="BW24" s="1535"/>
      <c r="BX24" s="1535"/>
      <c r="BY24" s="1535"/>
      <c r="BZ24" s="1535"/>
      <c r="CA24" s="1535"/>
      <c r="CB24" s="1535"/>
      <c r="CC24" s="1452"/>
      <c r="CD24" s="1535"/>
      <c r="CE24" s="1535"/>
      <c r="CF24" s="1535"/>
      <c r="CG24" s="1535"/>
      <c r="CH24" s="1535"/>
      <c r="CI24" s="1535"/>
      <c r="CJ24" s="1535"/>
      <c r="CK24" s="1535"/>
      <c r="CL24" s="1535"/>
      <c r="CM24" s="1535"/>
      <c r="CN24" s="1535"/>
      <c r="CO24" s="1535"/>
      <c r="CP24" s="1535"/>
      <c r="CQ24" s="1535"/>
      <c r="CR24" s="1535"/>
      <c r="CS24" s="1535"/>
      <c r="CT24" s="1535"/>
      <c r="CU24" s="1535"/>
      <c r="CV24" s="1535"/>
      <c r="CW24" s="1535"/>
      <c r="CX24" s="1535"/>
      <c r="CY24" s="1535"/>
      <c r="CZ24" s="1535"/>
      <c r="DA24" s="1535"/>
      <c r="DB24" s="1535"/>
      <c r="DC24" s="1535"/>
      <c r="DD24" s="1535"/>
      <c r="DE24" s="1535"/>
      <c r="DF24" s="1535"/>
      <c r="DG24" s="1535"/>
      <c r="DH24" s="1452"/>
      <c r="DI24" s="1535"/>
      <c r="DJ24" s="1452"/>
      <c r="DK24" s="1452"/>
      <c r="DL24" s="1535"/>
      <c r="DM24" s="1532"/>
      <c r="DN24" s="1535"/>
      <c r="DO24" s="1535"/>
      <c r="DP24" s="1535"/>
      <c r="DQ24" s="1535"/>
      <c r="DR24" s="1532"/>
      <c r="DS24" s="1535"/>
      <c r="DT24" s="1535"/>
      <c r="DU24" s="1535"/>
      <c r="DV24" s="1535"/>
      <c r="DW24" s="1535"/>
      <c r="DX24" s="1535"/>
      <c r="DY24" s="1535"/>
      <c r="DZ24" s="1535"/>
      <c r="EA24" s="1535"/>
      <c r="EB24" s="1535"/>
      <c r="EC24" s="1535"/>
      <c r="ED24" s="1535"/>
      <c r="EE24" s="1535"/>
      <c r="EF24" s="1535"/>
      <c r="EG24" s="1535"/>
      <c r="EH24" s="1535"/>
      <c r="EI24" s="1535"/>
      <c r="EJ24" s="1535"/>
      <c r="EK24" s="1535"/>
      <c r="EL24" s="1535"/>
      <c r="EM24" s="1535"/>
      <c r="EN24" s="1535"/>
      <c r="EO24" s="1535"/>
      <c r="EP24" s="1535"/>
      <c r="EQ24" s="1535"/>
      <c r="ER24" s="1535"/>
      <c r="ES24" s="1535"/>
      <c r="ET24" s="1535"/>
      <c r="EU24" s="1535"/>
      <c r="EV24" s="1535"/>
      <c r="EW24" s="1452"/>
      <c r="EX24" s="1535"/>
      <c r="EY24" s="1535"/>
      <c r="EZ24" s="1535"/>
      <c r="FA24" s="1535"/>
      <c r="FB24" s="1535"/>
      <c r="FC24" s="1535"/>
      <c r="FD24" s="1535"/>
      <c r="FE24" s="1535"/>
      <c r="FF24" s="1535"/>
      <c r="FG24" s="1535"/>
      <c r="FH24" s="1535"/>
      <c r="FI24" s="1535"/>
      <c r="FJ24" s="1535"/>
      <c r="FK24" s="1535"/>
      <c r="FL24" s="1535"/>
      <c r="FM24" s="1535"/>
      <c r="FN24" s="1535"/>
      <c r="FO24" s="1535"/>
      <c r="FP24" s="1535"/>
      <c r="FQ24" s="1535"/>
      <c r="FR24" s="1535"/>
      <c r="FS24" s="1535"/>
      <c r="FT24" s="1535"/>
      <c r="FU24" s="1535"/>
      <c r="FV24" s="1535"/>
      <c r="FW24" s="1452"/>
      <c r="FX24" s="1535"/>
      <c r="FY24" s="1535"/>
      <c r="FZ24" s="1535"/>
      <c r="GA24" s="1535"/>
      <c r="GB24" s="1535"/>
      <c r="GC24" s="1535"/>
      <c r="GD24" s="1535"/>
      <c r="GE24" s="1535"/>
      <c r="GF24" s="1535"/>
      <c r="GG24" s="1452"/>
      <c r="GH24" s="1535"/>
      <c r="GI24" s="1535"/>
      <c r="GJ24" s="1535"/>
      <c r="GK24" s="1535"/>
      <c r="GL24" s="1535"/>
      <c r="GM24" s="1535"/>
      <c r="GN24" s="1535"/>
      <c r="GO24" s="1535"/>
      <c r="GP24" s="1535"/>
      <c r="GQ24" s="1535"/>
      <c r="GR24" s="1535"/>
      <c r="GS24" s="1535"/>
      <c r="GT24" s="1535"/>
      <c r="GU24" s="1535"/>
      <c r="GV24" s="1535"/>
      <c r="GW24" s="1452"/>
      <c r="GX24" s="1535"/>
      <c r="GY24" s="1535"/>
      <c r="GZ24" s="1535"/>
      <c r="HA24" s="1535"/>
      <c r="HB24" s="1535"/>
      <c r="HC24" s="1535"/>
      <c r="HD24" s="1535"/>
      <c r="HE24" s="1535"/>
      <c r="HF24" s="1535"/>
      <c r="HG24" s="1535"/>
      <c r="HH24" s="1535"/>
      <c r="HI24" s="1535"/>
      <c r="HJ24" s="1535"/>
      <c r="HK24" s="1535"/>
      <c r="HL24" s="1535"/>
      <c r="HM24" s="1535"/>
      <c r="HN24" s="1535"/>
      <c r="HO24" s="1535"/>
      <c r="HP24" s="1535"/>
      <c r="HQ24" s="1535"/>
      <c r="HR24" s="1535"/>
      <c r="HS24" s="1535"/>
      <c r="HT24" s="1535"/>
      <c r="HU24" s="1535"/>
      <c r="HV24" s="1535"/>
      <c r="HW24" s="1535"/>
      <c r="HX24" s="1535"/>
      <c r="HY24" s="1535"/>
      <c r="HZ24" s="1535"/>
      <c r="IA24" s="1535"/>
      <c r="IB24" s="1535"/>
      <c r="IC24" s="1535"/>
      <c r="ID24" s="1535"/>
      <c r="IE24" s="1535"/>
      <c r="IF24" s="1535"/>
      <c r="IG24" s="1535"/>
      <c r="IH24" s="1535"/>
      <c r="II24" s="1535"/>
      <c r="IJ24" s="1535"/>
      <c r="IK24" s="1535"/>
      <c r="IL24" s="1535"/>
      <c r="IM24" s="1535"/>
      <c r="IN24" s="1535"/>
      <c r="IO24" s="1535"/>
      <c r="IP24" s="1532"/>
      <c r="IQ24" s="1535"/>
      <c r="IR24" s="1535"/>
      <c r="IS24" s="1535"/>
      <c r="IT24" s="1535"/>
      <c r="IU24" s="1535"/>
      <c r="IV24" s="1535"/>
      <c r="IW24" s="1535"/>
      <c r="IX24" s="1535"/>
      <c r="IY24" s="1535"/>
      <c r="IZ24" s="1535"/>
      <c r="JA24" s="1535"/>
      <c r="JB24" s="1535"/>
      <c r="JC24" s="1535"/>
      <c r="JD24" s="1535"/>
      <c r="JE24" s="1535"/>
      <c r="JF24" s="1452"/>
      <c r="JG24" s="1535"/>
      <c r="JH24" s="1535"/>
      <c r="JI24" s="1535"/>
      <c r="JJ24" s="1535"/>
      <c r="JK24" s="1535"/>
      <c r="JL24" s="1535"/>
      <c r="JM24" s="1535"/>
      <c r="JN24" s="1535"/>
      <c r="JO24" s="1535"/>
      <c r="JP24" s="1535"/>
      <c r="JQ24" s="2572"/>
      <c r="JR24" s="351"/>
      <c r="JS24" s="1400"/>
      <c r="JT24" s="1666" t="s">
        <v>2242</v>
      </c>
    </row>
    <row r="25" spans="1:280" ht="12.5" x14ac:dyDescent="0.25">
      <c r="A25" s="1367">
        <v>25</v>
      </c>
      <c r="B25" s="1411" t="str">
        <f t="shared" si="0"/>
        <v/>
      </c>
      <c r="C25" s="796" t="s">
        <v>4242</v>
      </c>
      <c r="D25" s="1667" t="s">
        <v>4243</v>
      </c>
      <c r="E25" s="1535"/>
      <c r="F25" s="1535"/>
      <c r="G25" s="1535"/>
      <c r="H25" s="1535"/>
      <c r="I25" s="1535"/>
      <c r="J25" s="1535"/>
      <c r="K25" s="1535"/>
      <c r="L25" s="1535"/>
      <c r="M25" s="1535"/>
      <c r="N25" s="1535"/>
      <c r="O25" s="1535"/>
      <c r="P25" s="1535"/>
      <c r="Q25" s="1535"/>
      <c r="R25" s="1535"/>
      <c r="S25" s="1535"/>
      <c r="T25" s="1535"/>
      <c r="U25" s="1535"/>
      <c r="V25" s="1535"/>
      <c r="W25" s="1535"/>
      <c r="X25" s="1535"/>
      <c r="Y25" s="1535"/>
      <c r="Z25" s="1535"/>
      <c r="AA25" s="1535"/>
      <c r="AB25" s="1535"/>
      <c r="AC25" s="1535"/>
      <c r="AD25" s="1535"/>
      <c r="AE25" s="1535"/>
      <c r="AF25" s="1535"/>
      <c r="AG25" s="1535"/>
      <c r="AH25" s="1535"/>
      <c r="AI25" s="1535"/>
      <c r="AJ25" s="1535"/>
      <c r="AK25" s="1535"/>
      <c r="AL25" s="1535"/>
      <c r="AM25" s="1535"/>
      <c r="AN25" s="1535"/>
      <c r="AO25" s="1535"/>
      <c r="AP25" s="1535"/>
      <c r="AQ25" s="1452"/>
      <c r="AR25" s="1535"/>
      <c r="AS25" s="1535"/>
      <c r="AT25" s="1535"/>
      <c r="AU25" s="1535"/>
      <c r="AV25" s="1452"/>
      <c r="AW25" s="1535"/>
      <c r="AX25" s="1535"/>
      <c r="AY25" s="1535"/>
      <c r="AZ25" s="1535"/>
      <c r="BA25" s="1535"/>
      <c r="BB25" s="1535"/>
      <c r="BC25" s="1532"/>
      <c r="BD25" s="1532"/>
      <c r="BE25" s="1535"/>
      <c r="BF25" s="1535"/>
      <c r="BG25" s="1535"/>
      <c r="BH25" s="1535"/>
      <c r="BI25" s="1535"/>
      <c r="BJ25" s="1535"/>
      <c r="BK25" s="1535"/>
      <c r="BL25" s="1452"/>
      <c r="BM25" s="1535"/>
      <c r="BN25" s="1535"/>
      <c r="BO25" s="1535"/>
      <c r="BP25" s="1535"/>
      <c r="BQ25" s="1535"/>
      <c r="BR25" s="1535"/>
      <c r="BS25" s="1535"/>
      <c r="BT25" s="1535"/>
      <c r="BU25" s="1535"/>
      <c r="BV25" s="1535"/>
      <c r="BW25" s="1535"/>
      <c r="BX25" s="1535"/>
      <c r="BY25" s="1535"/>
      <c r="BZ25" s="1535"/>
      <c r="CA25" s="1535"/>
      <c r="CB25" s="1535"/>
      <c r="CC25" s="1452"/>
      <c r="CD25" s="1535"/>
      <c r="CE25" s="1535"/>
      <c r="CF25" s="1535"/>
      <c r="CG25" s="1535"/>
      <c r="CH25" s="1535"/>
      <c r="CI25" s="1535"/>
      <c r="CJ25" s="1535"/>
      <c r="CK25" s="1535"/>
      <c r="CL25" s="1535"/>
      <c r="CM25" s="1535"/>
      <c r="CN25" s="1535"/>
      <c r="CO25" s="1535"/>
      <c r="CP25" s="1535"/>
      <c r="CQ25" s="1535"/>
      <c r="CR25" s="1535"/>
      <c r="CS25" s="1535"/>
      <c r="CT25" s="1535"/>
      <c r="CU25" s="1535"/>
      <c r="CV25" s="1535"/>
      <c r="CW25" s="1535"/>
      <c r="CX25" s="1535"/>
      <c r="CY25" s="1535"/>
      <c r="CZ25" s="1535"/>
      <c r="DA25" s="1535"/>
      <c r="DB25" s="1535"/>
      <c r="DC25" s="1535"/>
      <c r="DD25" s="1535"/>
      <c r="DE25" s="1535"/>
      <c r="DF25" s="1535"/>
      <c r="DG25" s="1535"/>
      <c r="DH25" s="1452"/>
      <c r="DI25" s="1535"/>
      <c r="DJ25" s="1452"/>
      <c r="DK25" s="1452"/>
      <c r="DL25" s="1535"/>
      <c r="DM25" s="1532"/>
      <c r="DN25" s="1535"/>
      <c r="DO25" s="1535"/>
      <c r="DP25" s="1535"/>
      <c r="DQ25" s="1535"/>
      <c r="DR25" s="1532">
        <v>1850</v>
      </c>
      <c r="DS25" s="1535"/>
      <c r="DT25" s="1535"/>
      <c r="DU25" s="1535"/>
      <c r="DV25" s="1535"/>
      <c r="DW25" s="1535"/>
      <c r="DX25" s="1535"/>
      <c r="DY25" s="1535"/>
      <c r="DZ25" s="1535"/>
      <c r="EA25" s="1535"/>
      <c r="EB25" s="1535"/>
      <c r="EC25" s="1535"/>
      <c r="ED25" s="1535"/>
      <c r="EE25" s="1535"/>
      <c r="EF25" s="1535"/>
      <c r="EG25" s="1535"/>
      <c r="EH25" s="1535"/>
      <c r="EI25" s="1535"/>
      <c r="EJ25" s="1535"/>
      <c r="EK25" s="1535"/>
      <c r="EL25" s="1535"/>
      <c r="EM25" s="1535"/>
      <c r="EN25" s="1535"/>
      <c r="EO25" s="1535"/>
      <c r="EP25" s="1535"/>
      <c r="EQ25" s="1535"/>
      <c r="ER25" s="1535"/>
      <c r="ES25" s="1535"/>
      <c r="ET25" s="1535"/>
      <c r="EU25" s="1535"/>
      <c r="EV25" s="1535"/>
      <c r="EW25" s="1452"/>
      <c r="EX25" s="1535"/>
      <c r="EY25" s="1535"/>
      <c r="EZ25" s="1535"/>
      <c r="FA25" s="1535"/>
      <c r="FB25" s="1535"/>
      <c r="FC25" s="1535"/>
      <c r="FD25" s="1535"/>
      <c r="FE25" s="1535"/>
      <c r="FF25" s="1535"/>
      <c r="FG25" s="1535"/>
      <c r="FH25" s="1535"/>
      <c r="FI25" s="1535"/>
      <c r="FJ25" s="1535"/>
      <c r="FK25" s="1535"/>
      <c r="FL25" s="1535"/>
      <c r="FM25" s="1535"/>
      <c r="FN25" s="1535"/>
      <c r="FO25" s="1535"/>
      <c r="FP25" s="1535"/>
      <c r="FQ25" s="1535"/>
      <c r="FR25" s="1535"/>
      <c r="FS25" s="1535"/>
      <c r="FT25" s="1535"/>
      <c r="FU25" s="1535"/>
      <c r="FV25" s="1535"/>
      <c r="FW25" s="1452"/>
      <c r="FX25" s="1535"/>
      <c r="FY25" s="1535"/>
      <c r="FZ25" s="1535"/>
      <c r="GA25" s="1535"/>
      <c r="GB25" s="1535"/>
      <c r="GC25" s="1535"/>
      <c r="GD25" s="1535"/>
      <c r="GE25" s="1535"/>
      <c r="GF25" s="1535"/>
      <c r="GG25" s="1452"/>
      <c r="GH25" s="1535"/>
      <c r="GI25" s="1535"/>
      <c r="GJ25" s="1535"/>
      <c r="GK25" s="1535"/>
      <c r="GL25" s="1535"/>
      <c r="GM25" s="1535"/>
      <c r="GN25" s="1535"/>
      <c r="GO25" s="1535"/>
      <c r="GP25" s="1535"/>
      <c r="GQ25" s="1535"/>
      <c r="GR25" s="1535"/>
      <c r="GS25" s="1535"/>
      <c r="GT25" s="1535"/>
      <c r="GU25" s="1535"/>
      <c r="GV25" s="1535"/>
      <c r="GW25" s="1452"/>
      <c r="GX25" s="1535"/>
      <c r="GY25" s="1535"/>
      <c r="GZ25" s="1535"/>
      <c r="HA25" s="1535"/>
      <c r="HB25" s="1535"/>
      <c r="HC25" s="1535"/>
      <c r="HD25" s="1535"/>
      <c r="HE25" s="1535"/>
      <c r="HF25" s="1535"/>
      <c r="HG25" s="1535"/>
      <c r="HH25" s="1535"/>
      <c r="HI25" s="1535"/>
      <c r="HJ25" s="1535"/>
      <c r="HK25" s="1535"/>
      <c r="HL25" s="1535"/>
      <c r="HM25" s="1535"/>
      <c r="HN25" s="1535"/>
      <c r="HO25" s="1535"/>
      <c r="HP25" s="1535"/>
      <c r="HQ25" s="1535"/>
      <c r="HR25" s="1535"/>
      <c r="HS25" s="1535"/>
      <c r="HT25" s="1535"/>
      <c r="HU25" s="1535"/>
      <c r="HV25" s="1535"/>
      <c r="HW25" s="1535"/>
      <c r="HX25" s="1535"/>
      <c r="HY25" s="1535"/>
      <c r="HZ25" s="1535"/>
      <c r="IA25" s="1535"/>
      <c r="IB25" s="1535"/>
      <c r="IC25" s="1535"/>
      <c r="ID25" s="1535"/>
      <c r="IE25" s="1535"/>
      <c r="IF25" s="1535"/>
      <c r="IG25" s="1535"/>
      <c r="IH25" s="1535"/>
      <c r="II25" s="1535"/>
      <c r="IJ25" s="1535"/>
      <c r="IK25" s="1535"/>
      <c r="IL25" s="1535"/>
      <c r="IM25" s="1535"/>
      <c r="IN25" s="1535"/>
      <c r="IO25" s="1535"/>
      <c r="IP25" s="1532"/>
      <c r="IQ25" s="1535"/>
      <c r="IR25" s="1535"/>
      <c r="IS25" s="1535"/>
      <c r="IT25" s="1535"/>
      <c r="IU25" s="1535"/>
      <c r="IV25" s="1535"/>
      <c r="IW25" s="1535"/>
      <c r="IX25" s="1535"/>
      <c r="IY25" s="1535"/>
      <c r="IZ25" s="1535"/>
      <c r="JA25" s="1535"/>
      <c r="JB25" s="1535"/>
      <c r="JC25" s="1535"/>
      <c r="JD25" s="1535"/>
      <c r="JE25" s="1535"/>
      <c r="JF25" s="1452"/>
      <c r="JG25" s="1535"/>
      <c r="JH25" s="1535"/>
      <c r="JI25" s="1535"/>
      <c r="JJ25" s="1535"/>
      <c r="JK25" s="1535"/>
      <c r="JL25" s="1535"/>
      <c r="JM25" s="1535"/>
      <c r="JN25" s="1535"/>
      <c r="JO25" s="1535"/>
      <c r="JP25" s="1535"/>
      <c r="JQ25" s="2572"/>
      <c r="JR25" s="351"/>
      <c r="JS25" s="1400"/>
      <c r="JT25" s="1666" t="s">
        <v>2242</v>
      </c>
    </row>
    <row r="26" spans="1:280" ht="12.5" x14ac:dyDescent="0.25">
      <c r="A26" s="1367">
        <v>26</v>
      </c>
      <c r="B26" s="1411" t="str">
        <f>IF(TRU_IND&gt;1,IF(HLOOKUP(TRU_IND-1,TRU_RANGE,A26)="","",HLOOKUP(TRU_IND-1,TRU_RANGE,A26)),"")</f>
        <v/>
      </c>
      <c r="C26" s="796" t="s">
        <v>2127</v>
      </c>
      <c r="D26" s="1667" t="s">
        <v>4244</v>
      </c>
      <c r="E26" s="1535"/>
      <c r="F26" s="1535"/>
      <c r="G26" s="1535"/>
      <c r="H26" s="1535"/>
      <c r="I26" s="1535"/>
      <c r="J26" s="1535"/>
      <c r="K26" s="1535"/>
      <c r="L26" s="1535"/>
      <c r="M26" s="1535"/>
      <c r="N26" s="1535"/>
      <c r="O26" s="1535"/>
      <c r="P26" s="1535"/>
      <c r="Q26" s="1535"/>
      <c r="R26" s="1535"/>
      <c r="S26" s="1535"/>
      <c r="T26" s="1535"/>
      <c r="U26" s="1535"/>
      <c r="V26" s="1535"/>
      <c r="W26" s="1535"/>
      <c r="X26" s="1535"/>
      <c r="Y26" s="1535"/>
      <c r="Z26" s="1535"/>
      <c r="AA26" s="1535"/>
      <c r="AB26" s="1535"/>
      <c r="AC26" s="1535"/>
      <c r="AD26" s="1535"/>
      <c r="AE26" s="1535"/>
      <c r="AF26" s="1535"/>
      <c r="AG26" s="1535"/>
      <c r="AH26" s="1535"/>
      <c r="AI26" s="1535"/>
      <c r="AJ26" s="1535"/>
      <c r="AK26" s="1535"/>
      <c r="AL26" s="1535"/>
      <c r="AM26" s="1535"/>
      <c r="AN26" s="1535"/>
      <c r="AO26" s="1535"/>
      <c r="AP26" s="1535"/>
      <c r="AQ26" s="1452"/>
      <c r="AR26" s="1535"/>
      <c r="AS26" s="1535"/>
      <c r="AT26" s="1535"/>
      <c r="AU26" s="1535"/>
      <c r="AV26" s="1452"/>
      <c r="AW26" s="1535"/>
      <c r="AX26" s="1535"/>
      <c r="AY26" s="1535"/>
      <c r="AZ26" s="1535"/>
      <c r="BA26" s="1535"/>
      <c r="BB26" s="1535"/>
      <c r="BC26" s="1532"/>
      <c r="BD26" s="1532">
        <v>1200</v>
      </c>
      <c r="BE26" s="1535"/>
      <c r="BF26" s="1535"/>
      <c r="BG26" s="1535"/>
      <c r="BH26" s="1535"/>
      <c r="BI26" s="1535"/>
      <c r="BJ26" s="1535"/>
      <c r="BK26" s="1535"/>
      <c r="BL26" s="1452"/>
      <c r="BM26" s="1535"/>
      <c r="BN26" s="1535"/>
      <c r="BO26" s="1535"/>
      <c r="BP26" s="1535"/>
      <c r="BQ26" s="1535"/>
      <c r="BR26" s="1535"/>
      <c r="BS26" s="1535"/>
      <c r="BT26" s="1535"/>
      <c r="BU26" s="1535"/>
      <c r="BV26" s="1535"/>
      <c r="BW26" s="1535"/>
      <c r="BX26" s="1535"/>
      <c r="BY26" s="1535"/>
      <c r="BZ26" s="1535"/>
      <c r="CA26" s="1535"/>
      <c r="CB26" s="1535"/>
      <c r="CC26" s="1452"/>
      <c r="CD26" s="1535"/>
      <c r="CE26" s="1535"/>
      <c r="CF26" s="1535"/>
      <c r="CG26" s="1535"/>
      <c r="CH26" s="1535"/>
      <c r="CI26" s="1535"/>
      <c r="CJ26" s="1535"/>
      <c r="CK26" s="1535"/>
      <c r="CL26" s="1535"/>
      <c r="CM26" s="1535"/>
      <c r="CN26" s="1535"/>
      <c r="CO26" s="1535"/>
      <c r="CP26" s="1535"/>
      <c r="CQ26" s="1535"/>
      <c r="CR26" s="1535"/>
      <c r="CS26" s="1535"/>
      <c r="CT26" s="1535"/>
      <c r="CU26" s="1535"/>
      <c r="CV26" s="1535"/>
      <c r="CW26" s="1535"/>
      <c r="CX26" s="1535"/>
      <c r="CY26" s="1535"/>
      <c r="CZ26" s="1535"/>
      <c r="DA26" s="1535"/>
      <c r="DB26" s="1535"/>
      <c r="DC26" s="1535"/>
      <c r="DD26" s="1535"/>
      <c r="DE26" s="1535"/>
      <c r="DF26" s="1535"/>
      <c r="DG26" s="1535"/>
      <c r="DH26" s="1452"/>
      <c r="DI26" s="1535"/>
      <c r="DJ26" s="1452"/>
      <c r="DK26" s="1452"/>
      <c r="DL26" s="1535"/>
      <c r="DM26" s="1532"/>
      <c r="DN26" s="1535"/>
      <c r="DO26" s="1535"/>
      <c r="DP26" s="1535"/>
      <c r="DQ26" s="1535"/>
      <c r="DR26" s="1532"/>
      <c r="DS26" s="1535"/>
      <c r="DT26" s="1535"/>
      <c r="DU26" s="1535"/>
      <c r="DV26" s="1535"/>
      <c r="DW26" s="1535"/>
      <c r="DX26" s="1535"/>
      <c r="DY26" s="1535"/>
      <c r="DZ26" s="1535"/>
      <c r="EA26" s="1535"/>
      <c r="EB26" s="1535"/>
      <c r="EC26" s="1535"/>
      <c r="ED26" s="1535"/>
      <c r="EE26" s="1535"/>
      <c r="EF26" s="1535"/>
      <c r="EG26" s="1535"/>
      <c r="EH26" s="1535"/>
      <c r="EI26" s="1535"/>
      <c r="EJ26" s="1535"/>
      <c r="EK26" s="1535"/>
      <c r="EL26" s="1535"/>
      <c r="EM26" s="1535"/>
      <c r="EN26" s="1535"/>
      <c r="EO26" s="1535"/>
      <c r="EP26" s="1535"/>
      <c r="EQ26" s="1535"/>
      <c r="ER26" s="1535"/>
      <c r="ES26" s="1535"/>
      <c r="ET26" s="1535"/>
      <c r="EU26" s="1535"/>
      <c r="EV26" s="1535"/>
      <c r="EW26" s="1452"/>
      <c r="EX26" s="1535"/>
      <c r="EY26" s="1535"/>
      <c r="EZ26" s="1535"/>
      <c r="FA26" s="1535"/>
      <c r="FB26" s="1535"/>
      <c r="FC26" s="1535"/>
      <c r="FD26" s="1535"/>
      <c r="FE26" s="1535"/>
      <c r="FF26" s="1535"/>
      <c r="FG26" s="1535"/>
      <c r="FH26" s="1535"/>
      <c r="FI26" s="1535"/>
      <c r="FJ26" s="1535"/>
      <c r="FK26" s="1535"/>
      <c r="FL26" s="1535"/>
      <c r="FM26" s="1535"/>
      <c r="FN26" s="1535"/>
      <c r="FO26" s="1535"/>
      <c r="FP26" s="1535"/>
      <c r="FQ26" s="1535"/>
      <c r="FR26" s="1535"/>
      <c r="FS26" s="1535"/>
      <c r="FT26" s="1535"/>
      <c r="FU26" s="1535"/>
      <c r="FV26" s="1535"/>
      <c r="FW26" s="1452"/>
      <c r="FX26" s="1535"/>
      <c r="FY26" s="1535"/>
      <c r="FZ26" s="1535"/>
      <c r="GA26" s="1535"/>
      <c r="GB26" s="1535"/>
      <c r="GC26" s="1535"/>
      <c r="GD26" s="1535"/>
      <c r="GE26" s="1535"/>
      <c r="GF26" s="1535"/>
      <c r="GG26" s="1452"/>
      <c r="GH26" s="1535"/>
      <c r="GI26" s="1535"/>
      <c r="GJ26" s="1535"/>
      <c r="GK26" s="1535"/>
      <c r="GL26" s="1535"/>
      <c r="GM26" s="1535"/>
      <c r="GN26" s="1535"/>
      <c r="GO26" s="1535"/>
      <c r="GP26" s="1535"/>
      <c r="GQ26" s="1535"/>
      <c r="GR26" s="1535"/>
      <c r="GS26" s="1535"/>
      <c r="GT26" s="1535"/>
      <c r="GU26" s="1535"/>
      <c r="GV26" s="1535"/>
      <c r="GW26" s="1452"/>
      <c r="GX26" s="1535"/>
      <c r="GY26" s="1535"/>
      <c r="GZ26" s="1535"/>
      <c r="HA26" s="1535"/>
      <c r="HB26" s="1535"/>
      <c r="HC26" s="1535"/>
      <c r="HD26" s="1535"/>
      <c r="HE26" s="1535"/>
      <c r="HF26" s="1535"/>
      <c r="HG26" s="1535"/>
      <c r="HH26" s="1535"/>
      <c r="HI26" s="1535"/>
      <c r="HJ26" s="1535"/>
      <c r="HK26" s="1535"/>
      <c r="HL26" s="1535"/>
      <c r="HM26" s="1535"/>
      <c r="HN26" s="1535"/>
      <c r="HO26" s="1535"/>
      <c r="HP26" s="1535"/>
      <c r="HQ26" s="1535"/>
      <c r="HR26" s="1535"/>
      <c r="HS26" s="1535"/>
      <c r="HT26" s="1535"/>
      <c r="HU26" s="1535"/>
      <c r="HV26" s="1535"/>
      <c r="HW26" s="1535"/>
      <c r="HX26" s="1535"/>
      <c r="HY26" s="1535"/>
      <c r="HZ26" s="1535"/>
      <c r="IA26" s="1535"/>
      <c r="IB26" s="1535"/>
      <c r="IC26" s="1535"/>
      <c r="ID26" s="1535"/>
      <c r="IE26" s="1535"/>
      <c r="IF26" s="1535"/>
      <c r="IG26" s="1535"/>
      <c r="IH26" s="1535"/>
      <c r="II26" s="1535"/>
      <c r="IJ26" s="1535"/>
      <c r="IK26" s="1535"/>
      <c r="IL26" s="1535"/>
      <c r="IM26" s="1535"/>
      <c r="IN26" s="1535"/>
      <c r="IO26" s="1535"/>
      <c r="IP26" s="1532"/>
      <c r="IQ26" s="1535"/>
      <c r="IR26" s="1535"/>
      <c r="IS26" s="1535"/>
      <c r="IT26" s="1535"/>
      <c r="IU26" s="1535"/>
      <c r="IV26" s="1535"/>
      <c r="IW26" s="1535"/>
      <c r="IX26" s="1535"/>
      <c r="IY26" s="1535"/>
      <c r="IZ26" s="1535"/>
      <c r="JA26" s="1535"/>
      <c r="JB26" s="1535"/>
      <c r="JC26" s="1535"/>
      <c r="JD26" s="1535"/>
      <c r="JE26" s="1535"/>
      <c r="JF26" s="1452"/>
      <c r="JG26" s="1535"/>
      <c r="JH26" s="1535"/>
      <c r="JI26" s="1535"/>
      <c r="JJ26" s="1535"/>
      <c r="JK26" s="1535"/>
      <c r="JL26" s="1535"/>
      <c r="JM26" s="1535"/>
      <c r="JN26" s="1535"/>
      <c r="JO26" s="1535"/>
      <c r="JP26" s="1535"/>
      <c r="JQ26" s="2572"/>
      <c r="JR26" s="351"/>
      <c r="JS26" s="1400"/>
      <c r="JT26" s="1666" t="s">
        <v>2242</v>
      </c>
    </row>
    <row r="27" spans="1:280" ht="12.5" x14ac:dyDescent="0.25">
      <c r="A27" s="1367">
        <v>27</v>
      </c>
      <c r="B27" s="1411" t="str">
        <f>IF(TRU_IND&gt;1,IF(HLOOKUP(TRU_IND-1,TRU_RANGE,A27)="","",HLOOKUP(TRU_IND-1,TRU_RANGE,A27)),"")</f>
        <v/>
      </c>
      <c r="C27" s="796" t="s">
        <v>2128</v>
      </c>
      <c r="D27" s="1667" t="s">
        <v>3985</v>
      </c>
      <c r="E27" s="1535"/>
      <c r="F27" s="1535"/>
      <c r="G27" s="1535"/>
      <c r="H27" s="1535"/>
      <c r="I27" s="1535"/>
      <c r="J27" s="1535"/>
      <c r="K27" s="1535"/>
      <c r="L27" s="1535"/>
      <c r="M27" s="1535"/>
      <c r="N27" s="1535"/>
      <c r="O27" s="1535"/>
      <c r="P27" s="1535"/>
      <c r="Q27" s="1535"/>
      <c r="R27" s="1535"/>
      <c r="S27" s="1535"/>
      <c r="T27" s="1535"/>
      <c r="U27" s="1535"/>
      <c r="V27" s="1535"/>
      <c r="W27" s="1535"/>
      <c r="X27" s="1535"/>
      <c r="Y27" s="1535"/>
      <c r="Z27" s="1535"/>
      <c r="AA27" s="1535"/>
      <c r="AB27" s="1535"/>
      <c r="AC27" s="1535"/>
      <c r="AD27" s="1535"/>
      <c r="AE27" s="1535"/>
      <c r="AF27" s="1535"/>
      <c r="AG27" s="1535"/>
      <c r="AH27" s="1535"/>
      <c r="AI27" s="1535"/>
      <c r="AJ27" s="1535"/>
      <c r="AK27" s="1535"/>
      <c r="AL27" s="1535"/>
      <c r="AM27" s="1535"/>
      <c r="AN27" s="1535"/>
      <c r="AO27" s="1535"/>
      <c r="AP27" s="1535"/>
      <c r="AQ27" s="1452"/>
      <c r="AR27" s="1535"/>
      <c r="AS27" s="1535"/>
      <c r="AT27" s="1535"/>
      <c r="AU27" s="1535"/>
      <c r="AV27" s="1452"/>
      <c r="AW27" s="1535"/>
      <c r="AX27" s="1535"/>
      <c r="AY27" s="1535"/>
      <c r="AZ27" s="1535"/>
      <c r="BA27" s="1535"/>
      <c r="BB27" s="1535"/>
      <c r="BC27" s="1532"/>
      <c r="BD27" s="1532">
        <v>500</v>
      </c>
      <c r="BE27" s="1535"/>
      <c r="BF27" s="1535"/>
      <c r="BG27" s="1535"/>
      <c r="BH27" s="1535"/>
      <c r="BI27" s="1535"/>
      <c r="BJ27" s="1535"/>
      <c r="BK27" s="1535"/>
      <c r="BL27" s="1452"/>
      <c r="BM27" s="1535"/>
      <c r="BN27" s="1535"/>
      <c r="BO27" s="1535"/>
      <c r="BP27" s="1535"/>
      <c r="BQ27" s="1535"/>
      <c r="BR27" s="1535"/>
      <c r="BS27" s="1535"/>
      <c r="BT27" s="1535"/>
      <c r="BU27" s="1535"/>
      <c r="BV27" s="1535"/>
      <c r="BW27" s="1535"/>
      <c r="BX27" s="1535"/>
      <c r="BY27" s="1535"/>
      <c r="BZ27" s="1535"/>
      <c r="CA27" s="1535"/>
      <c r="CB27" s="1535"/>
      <c r="CC27" s="1452"/>
      <c r="CD27" s="1535"/>
      <c r="CE27" s="1535"/>
      <c r="CF27" s="1535"/>
      <c r="CG27" s="1535"/>
      <c r="CH27" s="1535"/>
      <c r="CI27" s="1535"/>
      <c r="CJ27" s="1535"/>
      <c r="CK27" s="1535"/>
      <c r="CL27" s="1535"/>
      <c r="CM27" s="1535"/>
      <c r="CN27" s="1535"/>
      <c r="CO27" s="1535"/>
      <c r="CP27" s="1535"/>
      <c r="CQ27" s="1535"/>
      <c r="CR27" s="1535"/>
      <c r="CS27" s="1535"/>
      <c r="CT27" s="1535"/>
      <c r="CU27" s="1535"/>
      <c r="CV27" s="1535"/>
      <c r="CW27" s="1535"/>
      <c r="CX27" s="1535"/>
      <c r="CY27" s="1535"/>
      <c r="CZ27" s="1535"/>
      <c r="DA27" s="1535"/>
      <c r="DB27" s="1535"/>
      <c r="DC27" s="1535"/>
      <c r="DD27" s="1535"/>
      <c r="DE27" s="1535"/>
      <c r="DF27" s="1535"/>
      <c r="DG27" s="1535"/>
      <c r="DH27" s="1452"/>
      <c r="DI27" s="1535"/>
      <c r="DJ27" s="1452"/>
      <c r="DK27" s="1452"/>
      <c r="DL27" s="1535"/>
      <c r="DM27" s="1532"/>
      <c r="DN27" s="1535"/>
      <c r="DO27" s="1535"/>
      <c r="DP27" s="1535"/>
      <c r="DQ27" s="1535"/>
      <c r="DR27" s="1532"/>
      <c r="DS27" s="1535"/>
      <c r="DT27" s="1535"/>
      <c r="DU27" s="1535"/>
      <c r="DV27" s="1535"/>
      <c r="DW27" s="1535"/>
      <c r="DX27" s="1535"/>
      <c r="DY27" s="1535"/>
      <c r="DZ27" s="1535"/>
      <c r="EA27" s="1535"/>
      <c r="EB27" s="1535"/>
      <c r="EC27" s="1535"/>
      <c r="ED27" s="1535"/>
      <c r="EE27" s="1535"/>
      <c r="EF27" s="1535"/>
      <c r="EG27" s="1535"/>
      <c r="EH27" s="1535"/>
      <c r="EI27" s="1535"/>
      <c r="EJ27" s="1535"/>
      <c r="EK27" s="1535"/>
      <c r="EL27" s="1535"/>
      <c r="EM27" s="1535"/>
      <c r="EN27" s="1535"/>
      <c r="EO27" s="1535"/>
      <c r="EP27" s="1535"/>
      <c r="EQ27" s="1535"/>
      <c r="ER27" s="1535"/>
      <c r="ES27" s="1535"/>
      <c r="ET27" s="1535"/>
      <c r="EU27" s="1535"/>
      <c r="EV27" s="1535"/>
      <c r="EW27" s="1452"/>
      <c r="EX27" s="1535"/>
      <c r="EY27" s="1535"/>
      <c r="EZ27" s="1535"/>
      <c r="FA27" s="1535"/>
      <c r="FB27" s="1535"/>
      <c r="FC27" s="1535"/>
      <c r="FD27" s="1535"/>
      <c r="FE27" s="1535"/>
      <c r="FF27" s="1535"/>
      <c r="FG27" s="1535"/>
      <c r="FH27" s="1535"/>
      <c r="FI27" s="1535"/>
      <c r="FJ27" s="1535"/>
      <c r="FK27" s="1535"/>
      <c r="FL27" s="1535"/>
      <c r="FM27" s="1535"/>
      <c r="FN27" s="1535"/>
      <c r="FO27" s="1535"/>
      <c r="FP27" s="1535"/>
      <c r="FQ27" s="1535"/>
      <c r="FR27" s="1535"/>
      <c r="FS27" s="1535"/>
      <c r="FT27" s="1535"/>
      <c r="FU27" s="1535"/>
      <c r="FV27" s="1535"/>
      <c r="FW27" s="1452"/>
      <c r="FX27" s="1535"/>
      <c r="FY27" s="1535"/>
      <c r="FZ27" s="1535"/>
      <c r="GA27" s="1535"/>
      <c r="GB27" s="1535"/>
      <c r="GC27" s="1535"/>
      <c r="GD27" s="1535"/>
      <c r="GE27" s="1535"/>
      <c r="GF27" s="1535"/>
      <c r="GG27" s="1452"/>
      <c r="GH27" s="1535"/>
      <c r="GI27" s="1535"/>
      <c r="GJ27" s="1535"/>
      <c r="GK27" s="1535"/>
      <c r="GL27" s="1535"/>
      <c r="GM27" s="1535"/>
      <c r="GN27" s="1535"/>
      <c r="GO27" s="1535"/>
      <c r="GP27" s="1535"/>
      <c r="GQ27" s="1535"/>
      <c r="GR27" s="1535"/>
      <c r="GS27" s="1535"/>
      <c r="GT27" s="1535"/>
      <c r="GU27" s="1535"/>
      <c r="GV27" s="1535"/>
      <c r="GW27" s="1452"/>
      <c r="GX27" s="1535"/>
      <c r="GY27" s="1535"/>
      <c r="GZ27" s="1535"/>
      <c r="HA27" s="1535"/>
      <c r="HB27" s="1535"/>
      <c r="HC27" s="1535"/>
      <c r="HD27" s="1535"/>
      <c r="HE27" s="1535"/>
      <c r="HF27" s="1535"/>
      <c r="HG27" s="1535"/>
      <c r="HH27" s="1535"/>
      <c r="HI27" s="1535"/>
      <c r="HJ27" s="1535"/>
      <c r="HK27" s="1535"/>
      <c r="HL27" s="1535"/>
      <c r="HM27" s="1535"/>
      <c r="HN27" s="1535"/>
      <c r="HO27" s="1535"/>
      <c r="HP27" s="1535"/>
      <c r="HQ27" s="1535"/>
      <c r="HR27" s="1535"/>
      <c r="HS27" s="1535"/>
      <c r="HT27" s="1535"/>
      <c r="HU27" s="1535"/>
      <c r="HV27" s="1535"/>
      <c r="HW27" s="1535"/>
      <c r="HX27" s="1535"/>
      <c r="HY27" s="1535"/>
      <c r="HZ27" s="1535"/>
      <c r="IA27" s="1535"/>
      <c r="IB27" s="1535"/>
      <c r="IC27" s="1535"/>
      <c r="ID27" s="1535"/>
      <c r="IE27" s="1535"/>
      <c r="IF27" s="1535"/>
      <c r="IG27" s="1535"/>
      <c r="IH27" s="1535"/>
      <c r="II27" s="1535"/>
      <c r="IJ27" s="1535"/>
      <c r="IK27" s="1535"/>
      <c r="IL27" s="1535"/>
      <c r="IM27" s="1535"/>
      <c r="IN27" s="1535"/>
      <c r="IO27" s="1535"/>
      <c r="IP27" s="1532"/>
      <c r="IQ27" s="1535"/>
      <c r="IR27" s="1535"/>
      <c r="IS27" s="1535"/>
      <c r="IT27" s="1535"/>
      <c r="IU27" s="1535"/>
      <c r="IV27" s="1535"/>
      <c r="IW27" s="1535"/>
      <c r="IX27" s="1535"/>
      <c r="IY27" s="1535"/>
      <c r="IZ27" s="1535"/>
      <c r="JA27" s="1535"/>
      <c r="JB27" s="1535"/>
      <c r="JC27" s="1535"/>
      <c r="JD27" s="1535"/>
      <c r="JE27" s="1535"/>
      <c r="JF27" s="1452"/>
      <c r="JG27" s="1535"/>
      <c r="JH27" s="1535"/>
      <c r="JI27" s="1535"/>
      <c r="JJ27" s="1535"/>
      <c r="JK27" s="1535"/>
      <c r="JL27" s="1535"/>
      <c r="JM27" s="1535"/>
      <c r="JN27" s="1535"/>
      <c r="JO27" s="1535"/>
      <c r="JP27" s="1535"/>
      <c r="JQ27" s="2572"/>
      <c r="JR27" s="351"/>
      <c r="JS27" s="1400"/>
      <c r="JT27" s="1666" t="s">
        <v>2224</v>
      </c>
    </row>
    <row r="28" spans="1:280" thickBot="1" x14ac:dyDescent="0.3">
      <c r="A28" s="1367">
        <v>28</v>
      </c>
      <c r="B28" s="1411" t="str">
        <f>IF(TRU_IND&gt;1,IF(HLOOKUP(TRU_IND-1,TRU_RANGE,A28)="","",HLOOKUP(TRU_IND-1,TRU_RANGE,A28)),"")</f>
        <v/>
      </c>
      <c r="C28" s="2569" t="s">
        <v>4245</v>
      </c>
      <c r="D28" s="503" t="s">
        <v>4246</v>
      </c>
      <c r="E28" s="713"/>
      <c r="F28" s="713"/>
      <c r="G28" s="713"/>
      <c r="H28" s="713"/>
      <c r="I28" s="713"/>
      <c r="J28" s="713"/>
      <c r="K28" s="713"/>
      <c r="L28" s="713"/>
      <c r="M28" s="713"/>
      <c r="N28" s="713"/>
      <c r="O28" s="713"/>
      <c r="P28" s="713"/>
      <c r="Q28" s="713"/>
      <c r="R28" s="713"/>
      <c r="S28" s="713"/>
      <c r="T28" s="713"/>
      <c r="U28" s="713"/>
      <c r="V28" s="713"/>
      <c r="W28" s="713"/>
      <c r="X28" s="713"/>
      <c r="Y28" s="713"/>
      <c r="Z28" s="713"/>
      <c r="AA28" s="713"/>
      <c r="AB28" s="713"/>
      <c r="AC28" s="713"/>
      <c r="AD28" s="713"/>
      <c r="AE28" s="713"/>
      <c r="AF28" s="713"/>
      <c r="AG28" s="713"/>
      <c r="AH28" s="713"/>
      <c r="AI28" s="713"/>
      <c r="AJ28" s="713"/>
      <c r="AK28" s="713"/>
      <c r="AL28" s="713"/>
      <c r="AM28" s="713"/>
      <c r="AN28" s="713"/>
      <c r="AO28" s="713"/>
      <c r="AP28" s="713"/>
      <c r="AQ28" s="745"/>
      <c r="AR28" s="713"/>
      <c r="AS28" s="713"/>
      <c r="AT28" s="713"/>
      <c r="AU28" s="713"/>
      <c r="AV28" s="745"/>
      <c r="AW28" s="713"/>
      <c r="AX28" s="713"/>
      <c r="AY28" s="713"/>
      <c r="AZ28" s="713"/>
      <c r="BA28" s="713"/>
      <c r="BB28" s="713"/>
      <c r="BC28" s="714"/>
      <c r="BD28" s="714"/>
      <c r="BE28" s="713"/>
      <c r="BF28" s="713"/>
      <c r="BG28" s="713"/>
      <c r="BH28" s="713"/>
      <c r="BI28" s="713"/>
      <c r="BJ28" s="713"/>
      <c r="BK28" s="713"/>
      <c r="BL28" s="745"/>
      <c r="BM28" s="713"/>
      <c r="BN28" s="713"/>
      <c r="BO28" s="713"/>
      <c r="BP28" s="713"/>
      <c r="BQ28" s="713"/>
      <c r="BR28" s="713"/>
      <c r="BS28" s="713"/>
      <c r="BT28" s="713"/>
      <c r="BU28" s="713"/>
      <c r="BV28" s="713"/>
      <c r="BW28" s="713"/>
      <c r="BX28" s="713"/>
      <c r="BY28" s="713"/>
      <c r="BZ28" s="713"/>
      <c r="CA28" s="713"/>
      <c r="CB28" s="713"/>
      <c r="CC28" s="745"/>
      <c r="CD28" s="713"/>
      <c r="CE28" s="713"/>
      <c r="CF28" s="713"/>
      <c r="CG28" s="713"/>
      <c r="CH28" s="713"/>
      <c r="CI28" s="713"/>
      <c r="CJ28" s="713"/>
      <c r="CK28" s="713"/>
      <c r="CL28" s="713"/>
      <c r="CM28" s="713"/>
      <c r="CN28" s="713"/>
      <c r="CO28" s="713"/>
      <c r="CP28" s="713"/>
      <c r="CQ28" s="713"/>
      <c r="CR28" s="713"/>
      <c r="CS28" s="713"/>
      <c r="CT28" s="713"/>
      <c r="CU28" s="713"/>
      <c r="CV28" s="713"/>
      <c r="CW28" s="713"/>
      <c r="CX28" s="713"/>
      <c r="CY28" s="713"/>
      <c r="CZ28" s="713"/>
      <c r="DA28" s="713"/>
      <c r="DB28" s="713"/>
      <c r="DC28" s="713"/>
      <c r="DD28" s="713"/>
      <c r="DE28" s="713"/>
      <c r="DF28" s="713"/>
      <c r="DG28" s="713"/>
      <c r="DH28" s="539"/>
      <c r="DI28" s="713"/>
      <c r="DJ28" s="745"/>
      <c r="DK28" s="745"/>
      <c r="DL28" s="713"/>
      <c r="DM28" s="714"/>
      <c r="DN28" s="713"/>
      <c r="DO28" s="713"/>
      <c r="DP28" s="713"/>
      <c r="DQ28" s="713"/>
      <c r="DR28" s="714"/>
      <c r="DS28" s="713"/>
      <c r="DT28" s="713"/>
      <c r="DU28" s="713"/>
      <c r="DV28" s="713"/>
      <c r="DW28" s="713"/>
      <c r="DX28" s="713"/>
      <c r="DY28" s="713"/>
      <c r="DZ28" s="713"/>
      <c r="EA28" s="713"/>
      <c r="EB28" s="713"/>
      <c r="EC28" s="713"/>
      <c r="ED28" s="713"/>
      <c r="EE28" s="713"/>
      <c r="EF28" s="713"/>
      <c r="EG28" s="713"/>
      <c r="EH28" s="713"/>
      <c r="EI28" s="713"/>
      <c r="EJ28" s="713"/>
      <c r="EK28" s="713"/>
      <c r="EL28" s="713"/>
      <c r="EM28" s="713"/>
      <c r="EN28" s="713"/>
      <c r="EO28" s="713"/>
      <c r="EP28" s="713"/>
      <c r="EQ28" s="713"/>
      <c r="ER28" s="713"/>
      <c r="ES28" s="713"/>
      <c r="ET28" s="713"/>
      <c r="EU28" s="713"/>
      <c r="EV28" s="713"/>
      <c r="EW28" s="745"/>
      <c r="EX28" s="713"/>
      <c r="EY28" s="713"/>
      <c r="EZ28" s="713"/>
      <c r="FA28" s="713"/>
      <c r="FB28" s="713"/>
      <c r="FC28" s="713"/>
      <c r="FD28" s="713"/>
      <c r="FE28" s="713"/>
      <c r="FF28" s="713"/>
      <c r="FG28" s="713"/>
      <c r="FH28" s="713"/>
      <c r="FI28" s="713"/>
      <c r="FJ28" s="713"/>
      <c r="FK28" s="713"/>
      <c r="FL28" s="713"/>
      <c r="FM28" s="713"/>
      <c r="FN28" s="713"/>
      <c r="FO28" s="713"/>
      <c r="FP28" s="713"/>
      <c r="FQ28" s="713"/>
      <c r="FR28" s="713"/>
      <c r="FS28" s="713"/>
      <c r="FT28" s="713"/>
      <c r="FU28" s="713"/>
      <c r="FV28" s="713"/>
      <c r="FW28" s="539"/>
      <c r="FX28" s="713"/>
      <c r="FY28" s="713"/>
      <c r="FZ28" s="713"/>
      <c r="GA28" s="713"/>
      <c r="GB28" s="713"/>
      <c r="GC28" s="713"/>
      <c r="GD28" s="713"/>
      <c r="GE28" s="713"/>
      <c r="GF28" s="713"/>
      <c r="GG28" s="745"/>
      <c r="GH28" s="713"/>
      <c r="GI28" s="713"/>
      <c r="GJ28" s="713"/>
      <c r="GK28" s="713"/>
      <c r="GL28" s="713"/>
      <c r="GM28" s="713"/>
      <c r="GN28" s="713"/>
      <c r="GO28" s="713"/>
      <c r="GP28" s="713"/>
      <c r="GQ28" s="713"/>
      <c r="GR28" s="713"/>
      <c r="GS28" s="713"/>
      <c r="GT28" s="713"/>
      <c r="GU28" s="713"/>
      <c r="GV28" s="713"/>
      <c r="GW28" s="745"/>
      <c r="GX28" s="713"/>
      <c r="GY28" s="713"/>
      <c r="GZ28" s="713"/>
      <c r="HA28" s="713"/>
      <c r="HB28" s="713"/>
      <c r="HC28" s="713"/>
      <c r="HD28" s="713"/>
      <c r="HE28" s="713"/>
      <c r="HF28" s="713"/>
      <c r="HG28" s="713"/>
      <c r="HH28" s="713"/>
      <c r="HI28" s="713"/>
      <c r="HJ28" s="713"/>
      <c r="HK28" s="713"/>
      <c r="HL28" s="713"/>
      <c r="HM28" s="713"/>
      <c r="HN28" s="713"/>
      <c r="HO28" s="713"/>
      <c r="HP28" s="713"/>
      <c r="HQ28" s="713"/>
      <c r="HR28" s="713"/>
      <c r="HS28" s="713"/>
      <c r="HT28" s="713"/>
      <c r="HU28" s="713"/>
      <c r="HV28" s="713"/>
      <c r="HW28" s="713"/>
      <c r="HX28" s="713"/>
      <c r="HY28" s="713"/>
      <c r="HZ28" s="713"/>
      <c r="IA28" s="713"/>
      <c r="IB28" s="713"/>
      <c r="IC28" s="713"/>
      <c r="ID28" s="713"/>
      <c r="IE28" s="713"/>
      <c r="IF28" s="713"/>
      <c r="IG28" s="713"/>
      <c r="IH28" s="713"/>
      <c r="II28" s="713"/>
      <c r="IJ28" s="713"/>
      <c r="IK28" s="713"/>
      <c r="IL28" s="713"/>
      <c r="IM28" s="713"/>
      <c r="IN28" s="713"/>
      <c r="IO28" s="713"/>
      <c r="IP28" s="714"/>
      <c r="IQ28" s="713"/>
      <c r="IR28" s="713"/>
      <c r="IS28" s="713"/>
      <c r="IT28" s="713"/>
      <c r="IU28" s="713"/>
      <c r="IV28" s="713"/>
      <c r="IW28" s="713"/>
      <c r="IX28" s="713"/>
      <c r="IY28" s="713"/>
      <c r="IZ28" s="713"/>
      <c r="JA28" s="713"/>
      <c r="JB28" s="713"/>
      <c r="JC28" s="713"/>
      <c r="JD28" s="713"/>
      <c r="JE28" s="713"/>
      <c r="JF28" s="745"/>
      <c r="JG28" s="713"/>
      <c r="JH28" s="713"/>
      <c r="JI28" s="713"/>
      <c r="JJ28" s="713"/>
      <c r="JK28" s="713"/>
      <c r="JL28" s="713"/>
      <c r="JM28" s="713"/>
      <c r="JN28" s="713"/>
      <c r="JO28" s="713"/>
      <c r="JP28" s="713"/>
      <c r="JQ28" s="739"/>
      <c r="JR28" s="351"/>
      <c r="JS28" s="1400"/>
      <c r="JT28" s="1666" t="s">
        <v>2291</v>
      </c>
    </row>
  </sheetData>
  <phoneticPr fontId="58" type="noConversion"/>
  <dataValidations count="1">
    <dataValidation type="list" allowBlank="1" showInputMessage="1" showErrorMessage="1" sqref="JT2:JT28" xr:uid="{00000000-0002-0000-1000-000000000000}">
      <formula1>allowedTypes</formula1>
    </dataValidation>
  </dataValidations>
  <pageMargins left="0.196850393700787" right="0.196850393700787" top="0.196850393700787" bottom="0.196850393700787" header="0" footer="0"/>
  <pageSetup paperSize="9" orientation="landscape" r:id="rId1"/>
  <headerFooter alignWithMargins="0">
    <oddFooter>&amp;C&amp;1#&amp;"Calibri"&amp;10&amp;K000000OFFICIAL-SENSITIVE</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dimension ref="A1:JV177"/>
  <sheetViews>
    <sheetView showGridLines="0" zoomScaleNormal="100" workbookViewId="0">
      <pane xSplit="3" ySplit="1" topLeftCell="IE2" activePane="bottomRight" state="frozen"/>
      <selection pane="topRight" activeCell="I74" sqref="I74"/>
      <selection pane="bottomLeft" activeCell="I74" sqref="I74"/>
      <selection pane="bottomRight" activeCell="IO17" sqref="IO17"/>
    </sheetView>
  </sheetViews>
  <sheetFormatPr defaultColWidth="9.1796875" defaultRowHeight="11.5" x14ac:dyDescent="0.25"/>
  <cols>
    <col min="1" max="1" width="3.81640625" style="259" bestFit="1" customWidth="1"/>
    <col min="2" max="2" width="11" style="8" customWidth="1"/>
    <col min="3" max="3" width="9.1796875" style="24"/>
    <col min="4" max="4" width="36.453125" style="8" customWidth="1"/>
    <col min="5" max="7" width="10.81640625" style="8" bestFit="1" customWidth="1"/>
    <col min="8" max="8" width="10.54296875" style="8" customWidth="1"/>
    <col min="9" max="9" width="10.81640625" style="8" bestFit="1" customWidth="1"/>
    <col min="10" max="10" width="11" style="8" customWidth="1"/>
    <col min="11" max="11" width="10.81640625" style="8" bestFit="1" customWidth="1"/>
    <col min="12" max="12" width="11" style="8" customWidth="1"/>
    <col min="13" max="13" width="10" style="8" bestFit="1" customWidth="1"/>
    <col min="14" max="14" width="9.81640625" style="8" bestFit="1" customWidth="1"/>
    <col min="15" max="15" width="11" style="8" bestFit="1" customWidth="1"/>
    <col min="16" max="137" width="11" style="8" customWidth="1"/>
    <col min="138" max="138" width="16.453125" style="8" customWidth="1"/>
    <col min="139" max="142" width="11" style="8" customWidth="1"/>
    <col min="143" max="143" width="15" style="8" customWidth="1"/>
    <col min="144" max="149" width="11" style="8" customWidth="1"/>
    <col min="150" max="150" width="13.81640625" style="8" customWidth="1"/>
    <col min="151" max="157" width="11" style="8" customWidth="1"/>
    <col min="158" max="158" width="13.453125" style="8" customWidth="1"/>
    <col min="159" max="161" width="11" style="8" customWidth="1"/>
    <col min="162" max="162" width="13.453125" style="8" customWidth="1"/>
    <col min="163" max="242" width="11" style="8" customWidth="1"/>
    <col min="243" max="243" width="13.453125" style="8" customWidth="1"/>
    <col min="244" max="254" width="11" style="8" customWidth="1"/>
    <col min="255" max="255" width="13.453125" style="8" customWidth="1"/>
    <col min="256" max="257" width="11" style="8" customWidth="1"/>
    <col min="258" max="258" width="14.7265625" style="8" customWidth="1"/>
    <col min="259" max="276" width="11" style="8" customWidth="1"/>
    <col min="277" max="277" width="11" style="8" bestFit="1" customWidth="1"/>
    <col min="278" max="278" width="2.1796875" style="8" customWidth="1"/>
    <col min="279" max="279" width="60.1796875" style="8" customWidth="1"/>
    <col min="280" max="280" width="22.54296875" style="1" customWidth="1"/>
    <col min="281" max="281" width="10.54296875" style="8" bestFit="1" customWidth="1"/>
    <col min="282" max="282" width="35.1796875" style="8" bestFit="1" customWidth="1"/>
    <col min="283" max="16384" width="9.1796875" style="8"/>
  </cols>
  <sheetData>
    <row r="1" spans="1:282" ht="13" thickBot="1" x14ac:dyDescent="0.3">
      <c r="E1" s="1433">
        <v>1</v>
      </c>
      <c r="F1" s="1433">
        <v>2</v>
      </c>
      <c r="G1" s="1433">
        <v>3</v>
      </c>
      <c r="H1" s="1433">
        <v>4</v>
      </c>
      <c r="I1" s="1433">
        <v>5</v>
      </c>
      <c r="J1" s="1433">
        <v>6</v>
      </c>
      <c r="K1" s="1433">
        <v>7</v>
      </c>
      <c r="L1" s="1433">
        <v>8</v>
      </c>
      <c r="M1" s="1433">
        <v>9</v>
      </c>
      <c r="N1" s="1355">
        <v>10</v>
      </c>
      <c r="O1" s="1433">
        <v>11</v>
      </c>
      <c r="P1" s="1433">
        <v>12</v>
      </c>
      <c r="Q1" s="1433">
        <v>13</v>
      </c>
      <c r="R1" s="1433">
        <v>14</v>
      </c>
      <c r="S1" s="1433">
        <v>15</v>
      </c>
      <c r="T1" s="1433">
        <v>16</v>
      </c>
      <c r="U1" s="1433">
        <v>17</v>
      </c>
      <c r="V1" s="1433">
        <v>18</v>
      </c>
      <c r="W1" s="1433">
        <v>19</v>
      </c>
      <c r="X1" s="1433">
        <v>20</v>
      </c>
      <c r="Y1" s="1433">
        <v>21</v>
      </c>
      <c r="Z1" s="1433">
        <v>22</v>
      </c>
      <c r="AA1" s="1433">
        <v>23</v>
      </c>
      <c r="AB1" s="1433">
        <v>24</v>
      </c>
      <c r="AC1" s="1433">
        <v>25</v>
      </c>
      <c r="AD1" s="1433">
        <v>26</v>
      </c>
      <c r="AE1" s="1433">
        <v>27</v>
      </c>
      <c r="AF1" s="1433">
        <v>28</v>
      </c>
      <c r="AG1" s="1433">
        <v>29</v>
      </c>
      <c r="AH1" s="1433">
        <v>30</v>
      </c>
      <c r="AI1" s="1433">
        <v>31</v>
      </c>
      <c r="AJ1" s="1433">
        <v>32</v>
      </c>
      <c r="AK1" s="1433">
        <v>33</v>
      </c>
      <c r="AL1" s="1433">
        <v>34</v>
      </c>
      <c r="AM1" s="1433">
        <v>35</v>
      </c>
      <c r="AN1" s="1433">
        <v>36</v>
      </c>
      <c r="AO1" s="1433">
        <v>37</v>
      </c>
      <c r="AP1" s="1433">
        <v>38</v>
      </c>
      <c r="AQ1" s="1433">
        <v>39</v>
      </c>
      <c r="AR1" s="1433">
        <v>40</v>
      </c>
      <c r="AS1" s="1433">
        <v>41</v>
      </c>
      <c r="AT1" s="1433">
        <v>42</v>
      </c>
      <c r="AU1" s="1433">
        <v>43</v>
      </c>
      <c r="AV1" s="1433">
        <v>44</v>
      </c>
      <c r="AW1" s="1433">
        <v>45</v>
      </c>
      <c r="AX1" s="1433">
        <v>46</v>
      </c>
      <c r="AY1" s="1433">
        <v>47</v>
      </c>
      <c r="AZ1" s="1433">
        <v>48</v>
      </c>
      <c r="BA1" s="1433">
        <v>49</v>
      </c>
      <c r="BB1" s="1433">
        <v>50</v>
      </c>
      <c r="BC1" s="1433">
        <v>51</v>
      </c>
      <c r="BD1" s="1433">
        <v>52</v>
      </c>
      <c r="BE1" s="1433">
        <v>53</v>
      </c>
      <c r="BF1" s="1433">
        <v>54</v>
      </c>
      <c r="BG1" s="1433">
        <v>55</v>
      </c>
      <c r="BH1" s="1433">
        <v>56</v>
      </c>
      <c r="BI1" s="1433">
        <v>57</v>
      </c>
      <c r="BJ1" s="1433">
        <v>58</v>
      </c>
      <c r="BK1" s="1433">
        <v>59</v>
      </c>
      <c r="BL1" s="1433">
        <v>60</v>
      </c>
      <c r="BM1" s="1433">
        <v>61</v>
      </c>
      <c r="BN1" s="1433">
        <v>62</v>
      </c>
      <c r="BO1" s="1433">
        <v>63</v>
      </c>
      <c r="BP1" s="1433">
        <v>64</v>
      </c>
      <c r="BQ1" s="1433">
        <v>65</v>
      </c>
      <c r="BR1" s="1433">
        <v>66</v>
      </c>
      <c r="BS1" s="1433">
        <v>67</v>
      </c>
      <c r="BT1" s="1433">
        <v>68</v>
      </c>
      <c r="BU1" s="1433">
        <v>69</v>
      </c>
      <c r="BV1" s="1433">
        <v>70</v>
      </c>
      <c r="BW1" s="1433">
        <v>71</v>
      </c>
      <c r="BX1" s="1433">
        <v>72</v>
      </c>
      <c r="BY1" s="1433">
        <v>73</v>
      </c>
      <c r="BZ1" s="1433">
        <v>74</v>
      </c>
      <c r="CA1" s="1433">
        <v>75</v>
      </c>
      <c r="CB1" s="1433">
        <v>76</v>
      </c>
      <c r="CC1" s="1433">
        <v>77</v>
      </c>
      <c r="CD1" s="1433">
        <v>78</v>
      </c>
      <c r="CE1" s="1433">
        <v>79</v>
      </c>
      <c r="CF1" s="1433">
        <v>80</v>
      </c>
      <c r="CG1" s="1433">
        <v>81</v>
      </c>
      <c r="CH1" s="1433">
        <v>82</v>
      </c>
      <c r="CI1" s="1433">
        <v>83</v>
      </c>
      <c r="CJ1" s="1433">
        <v>84</v>
      </c>
      <c r="CK1" s="1433">
        <v>85</v>
      </c>
      <c r="CL1" s="1433">
        <v>86</v>
      </c>
      <c r="CM1" s="1433">
        <v>87</v>
      </c>
      <c r="CN1" s="1433">
        <v>88</v>
      </c>
      <c r="CO1" s="1433">
        <v>89</v>
      </c>
      <c r="CP1" s="1433">
        <v>90</v>
      </c>
      <c r="CQ1" s="1433">
        <v>91</v>
      </c>
      <c r="CR1" s="1433">
        <v>92</v>
      </c>
      <c r="CS1" s="1433">
        <v>93</v>
      </c>
      <c r="CT1" s="1433">
        <v>94</v>
      </c>
      <c r="CU1" s="1433">
        <v>95</v>
      </c>
      <c r="CV1" s="1433">
        <v>96</v>
      </c>
      <c r="CW1" s="1433">
        <v>97</v>
      </c>
      <c r="CX1" s="1433">
        <v>98</v>
      </c>
      <c r="CY1" s="1433">
        <v>99</v>
      </c>
      <c r="CZ1" s="1433">
        <v>100</v>
      </c>
      <c r="DA1" s="1433">
        <v>101</v>
      </c>
      <c r="DB1" s="1433">
        <v>102</v>
      </c>
      <c r="DC1" s="1433">
        <v>103</v>
      </c>
      <c r="DD1" s="1433">
        <v>104</v>
      </c>
      <c r="DE1" s="1433">
        <v>105</v>
      </c>
      <c r="DF1" s="1433">
        <v>106</v>
      </c>
      <c r="DG1" s="1433">
        <v>107</v>
      </c>
      <c r="DH1" s="1433">
        <v>108</v>
      </c>
      <c r="DI1" s="1433">
        <v>109</v>
      </c>
      <c r="DJ1" s="1433">
        <v>110</v>
      </c>
      <c r="DK1" s="1433">
        <v>111</v>
      </c>
      <c r="DL1" s="1433">
        <v>112</v>
      </c>
      <c r="DM1" s="1433">
        <v>113</v>
      </c>
      <c r="DN1" s="1433">
        <v>114</v>
      </c>
      <c r="DO1" s="1433">
        <v>115</v>
      </c>
      <c r="DP1" s="1433">
        <v>116</v>
      </c>
      <c r="DQ1" s="1433">
        <v>117</v>
      </c>
      <c r="DR1" s="1433">
        <v>118</v>
      </c>
      <c r="DS1" s="1433">
        <v>119</v>
      </c>
      <c r="DT1" s="1433">
        <v>120</v>
      </c>
      <c r="DU1" s="1433">
        <v>121</v>
      </c>
      <c r="DV1" s="1433">
        <v>122</v>
      </c>
      <c r="DW1" s="1433">
        <v>123</v>
      </c>
      <c r="DX1" s="1433">
        <v>124</v>
      </c>
      <c r="DY1" s="1433">
        <v>125</v>
      </c>
      <c r="DZ1" s="1433">
        <v>126</v>
      </c>
      <c r="EA1" s="1433">
        <v>127</v>
      </c>
      <c r="EB1" s="1433">
        <v>128</v>
      </c>
      <c r="EC1" s="1433">
        <v>129</v>
      </c>
      <c r="ED1" s="1433">
        <v>130</v>
      </c>
      <c r="EE1" s="1433">
        <v>131</v>
      </c>
      <c r="EF1" s="1433">
        <v>132</v>
      </c>
      <c r="EG1" s="1433">
        <v>133</v>
      </c>
      <c r="EH1" s="1433">
        <v>134</v>
      </c>
      <c r="EI1" s="1433">
        <v>135</v>
      </c>
      <c r="EJ1" s="1433">
        <v>136</v>
      </c>
      <c r="EK1" s="1433">
        <v>137</v>
      </c>
      <c r="EL1" s="1433">
        <v>138</v>
      </c>
      <c r="EM1" s="1433">
        <v>139</v>
      </c>
      <c r="EN1" s="1433">
        <v>140</v>
      </c>
      <c r="EO1" s="1433">
        <v>141</v>
      </c>
      <c r="EP1" s="1433">
        <v>142</v>
      </c>
      <c r="EQ1" s="1433">
        <v>143</v>
      </c>
      <c r="ER1" s="1433">
        <v>144</v>
      </c>
      <c r="ES1" s="1433">
        <v>145</v>
      </c>
      <c r="ET1" s="1433">
        <v>146</v>
      </c>
      <c r="EU1" s="1433">
        <v>147</v>
      </c>
      <c r="EV1" s="1433">
        <v>148</v>
      </c>
      <c r="EW1" s="1433">
        <v>149</v>
      </c>
      <c r="EX1" s="1433">
        <v>150</v>
      </c>
      <c r="EY1" s="1433">
        <v>151</v>
      </c>
      <c r="EZ1" s="1433">
        <v>152</v>
      </c>
      <c r="FA1" s="1433">
        <v>153</v>
      </c>
      <c r="FB1" s="1433">
        <v>154</v>
      </c>
      <c r="FC1" s="1433">
        <v>155</v>
      </c>
      <c r="FD1" s="1433">
        <v>156</v>
      </c>
      <c r="FE1" s="1433">
        <v>157</v>
      </c>
      <c r="FF1" s="1433">
        <v>158</v>
      </c>
      <c r="FG1" s="1433">
        <v>159</v>
      </c>
      <c r="FH1" s="1433">
        <v>160</v>
      </c>
      <c r="FI1" s="1433">
        <v>161</v>
      </c>
      <c r="FJ1" s="1433">
        <v>162</v>
      </c>
      <c r="FK1" s="1433">
        <v>163</v>
      </c>
      <c r="FL1" s="1433">
        <v>164</v>
      </c>
      <c r="FM1" s="1433">
        <v>165</v>
      </c>
      <c r="FN1" s="1433">
        <v>166</v>
      </c>
      <c r="FO1" s="1433">
        <v>167</v>
      </c>
      <c r="FP1" s="1433">
        <v>168</v>
      </c>
      <c r="FQ1" s="1433">
        <v>169</v>
      </c>
      <c r="FR1" s="1433">
        <v>170</v>
      </c>
      <c r="FS1" s="1433">
        <v>171</v>
      </c>
      <c r="FT1" s="1433">
        <v>172</v>
      </c>
      <c r="FU1" s="1433">
        <v>173</v>
      </c>
      <c r="FV1" s="1433">
        <v>174</v>
      </c>
      <c r="FW1" s="1433">
        <v>175</v>
      </c>
      <c r="FX1" s="1433">
        <v>176</v>
      </c>
      <c r="FY1" s="1433">
        <v>177</v>
      </c>
      <c r="FZ1" s="1433">
        <v>178</v>
      </c>
      <c r="GA1" s="1433">
        <v>179</v>
      </c>
      <c r="GB1" s="1433">
        <v>180</v>
      </c>
      <c r="GC1" s="1433">
        <v>181</v>
      </c>
      <c r="GD1" s="1433">
        <v>182</v>
      </c>
      <c r="GE1" s="1433">
        <v>183</v>
      </c>
      <c r="GF1" s="1433">
        <v>184</v>
      </c>
      <c r="GG1" s="1433">
        <v>185</v>
      </c>
      <c r="GH1" s="1433">
        <v>186</v>
      </c>
      <c r="GI1" s="1433">
        <v>187</v>
      </c>
      <c r="GJ1" s="1433">
        <v>188</v>
      </c>
      <c r="GK1" s="1433">
        <v>189</v>
      </c>
      <c r="GL1" s="1433">
        <v>190</v>
      </c>
      <c r="GM1" s="1433">
        <v>191</v>
      </c>
      <c r="GN1" s="1433">
        <v>192</v>
      </c>
      <c r="GO1" s="1433">
        <v>193</v>
      </c>
      <c r="GP1" s="1433">
        <v>194</v>
      </c>
      <c r="GQ1" s="1433">
        <v>195</v>
      </c>
      <c r="GR1" s="1433">
        <v>196</v>
      </c>
      <c r="GS1" s="1433">
        <v>197</v>
      </c>
      <c r="GT1" s="1433">
        <v>198</v>
      </c>
      <c r="GU1" s="1433">
        <v>199</v>
      </c>
      <c r="GV1" s="1433">
        <v>200</v>
      </c>
      <c r="GW1" s="1433">
        <v>201</v>
      </c>
      <c r="GX1" s="1433">
        <v>202</v>
      </c>
      <c r="GY1" s="1433">
        <v>203</v>
      </c>
      <c r="GZ1" s="1433">
        <v>204</v>
      </c>
      <c r="HA1" s="1433">
        <v>205</v>
      </c>
      <c r="HB1" s="1433">
        <v>206</v>
      </c>
      <c r="HC1" s="1433">
        <v>207</v>
      </c>
      <c r="HD1" s="1433">
        <v>208</v>
      </c>
      <c r="HE1" s="1433">
        <v>209</v>
      </c>
      <c r="HF1" s="1433">
        <v>210</v>
      </c>
      <c r="HG1" s="1433">
        <v>211</v>
      </c>
      <c r="HH1" s="1433">
        <v>212</v>
      </c>
      <c r="HI1" s="1433">
        <v>213</v>
      </c>
      <c r="HJ1" s="1433">
        <v>214</v>
      </c>
      <c r="HK1" s="1433">
        <v>215</v>
      </c>
      <c r="HL1" s="1433">
        <v>216</v>
      </c>
      <c r="HM1" s="1433">
        <v>217</v>
      </c>
      <c r="HN1" s="1433">
        <v>218</v>
      </c>
      <c r="HO1" s="1433">
        <v>219</v>
      </c>
      <c r="HP1" s="1433">
        <v>220</v>
      </c>
      <c r="HQ1" s="1433">
        <v>221</v>
      </c>
      <c r="HR1" s="1433">
        <v>222</v>
      </c>
      <c r="HS1" s="1433">
        <v>223</v>
      </c>
      <c r="HT1" s="1433">
        <v>224</v>
      </c>
      <c r="HU1" s="1433">
        <v>225</v>
      </c>
      <c r="HV1" s="1433">
        <v>226</v>
      </c>
      <c r="HW1" s="1433">
        <v>227</v>
      </c>
      <c r="HX1" s="1433">
        <v>228</v>
      </c>
      <c r="HY1" s="1433">
        <v>229</v>
      </c>
      <c r="HZ1" s="1433">
        <v>230</v>
      </c>
      <c r="IA1" s="1433">
        <v>231</v>
      </c>
      <c r="IB1" s="1433">
        <v>232</v>
      </c>
      <c r="IC1" s="1433">
        <v>233</v>
      </c>
      <c r="ID1" s="1433">
        <v>234</v>
      </c>
      <c r="IE1" s="1433">
        <v>235</v>
      </c>
      <c r="IF1" s="1433">
        <v>236</v>
      </c>
      <c r="IG1" s="1433">
        <v>237</v>
      </c>
      <c r="IH1" s="1433">
        <v>238</v>
      </c>
      <c r="II1" s="1433">
        <v>239</v>
      </c>
      <c r="IJ1" s="1433">
        <v>240</v>
      </c>
      <c r="IK1" s="1433">
        <v>241</v>
      </c>
      <c r="IL1" s="1433">
        <v>242</v>
      </c>
      <c r="IM1" s="1433">
        <v>243</v>
      </c>
      <c r="IN1" s="1433">
        <v>244</v>
      </c>
      <c r="IO1" s="1433">
        <v>245</v>
      </c>
      <c r="IP1" s="1433">
        <v>246</v>
      </c>
      <c r="IQ1" s="1433">
        <v>247</v>
      </c>
      <c r="IR1" s="1433">
        <v>248</v>
      </c>
      <c r="IS1" s="1433">
        <v>249</v>
      </c>
      <c r="IT1" s="1433">
        <v>250</v>
      </c>
      <c r="IU1" s="1433">
        <v>251</v>
      </c>
      <c r="IV1" s="1433">
        <v>252</v>
      </c>
      <c r="IW1" s="1433">
        <v>253</v>
      </c>
      <c r="IX1" s="1433">
        <v>254</v>
      </c>
      <c r="IY1" s="1433">
        <v>255</v>
      </c>
      <c r="IZ1" s="1433">
        <v>256</v>
      </c>
      <c r="JA1" s="1433">
        <v>257</v>
      </c>
      <c r="JB1" s="1433">
        <v>258</v>
      </c>
      <c r="JC1" s="1433">
        <v>259</v>
      </c>
      <c r="JD1" s="1433">
        <v>260</v>
      </c>
      <c r="JE1" s="1433">
        <v>261</v>
      </c>
      <c r="JF1" s="1433">
        <v>262</v>
      </c>
      <c r="JG1" s="1433">
        <v>263</v>
      </c>
      <c r="JH1" s="1433">
        <v>264</v>
      </c>
      <c r="JI1" s="1433">
        <v>265</v>
      </c>
      <c r="JJ1" s="1433">
        <v>266</v>
      </c>
      <c r="JK1" s="1433">
        <v>267</v>
      </c>
      <c r="JL1" s="1433">
        <v>268</v>
      </c>
      <c r="JM1" s="1433">
        <v>269</v>
      </c>
      <c r="JN1" s="1433">
        <v>270</v>
      </c>
      <c r="JO1" s="1433">
        <v>271</v>
      </c>
      <c r="JP1" s="1433">
        <v>272</v>
      </c>
      <c r="JQ1" s="1433">
        <v>273</v>
      </c>
      <c r="JR1" s="1375"/>
      <c r="JS1" s="1668" t="s">
        <v>2198</v>
      </c>
      <c r="JT1" s="2585" t="s">
        <v>2199</v>
      </c>
      <c r="JU1" s="1668" t="s">
        <v>4247</v>
      </c>
      <c r="JV1" s="2586" t="s">
        <v>4248</v>
      </c>
    </row>
    <row r="2" spans="1:282" ht="12.5" x14ac:dyDescent="0.25">
      <c r="A2" s="1367" t="s">
        <v>2201</v>
      </c>
      <c r="B2" s="585" t="s">
        <v>2408</v>
      </c>
      <c r="C2" s="2576" t="s">
        <v>37</v>
      </c>
      <c r="D2" s="297"/>
      <c r="E2" s="418">
        <v>1</v>
      </c>
      <c r="F2" s="418">
        <v>2</v>
      </c>
      <c r="G2" s="418">
        <v>3</v>
      </c>
      <c r="H2" s="418">
        <v>4</v>
      </c>
      <c r="I2" s="418">
        <v>5</v>
      </c>
      <c r="J2" s="418">
        <v>6</v>
      </c>
      <c r="K2" s="418">
        <v>7</v>
      </c>
      <c r="L2" s="418">
        <v>8</v>
      </c>
      <c r="M2" s="418">
        <v>9</v>
      </c>
      <c r="N2" s="418">
        <v>10</v>
      </c>
      <c r="O2" s="418">
        <v>11</v>
      </c>
      <c r="P2" s="418">
        <v>12</v>
      </c>
      <c r="Q2" s="418">
        <v>13</v>
      </c>
      <c r="R2" s="418">
        <v>14</v>
      </c>
      <c r="S2" s="418">
        <v>15</v>
      </c>
      <c r="T2" s="418">
        <v>16</v>
      </c>
      <c r="U2" s="418">
        <v>17</v>
      </c>
      <c r="V2" s="418">
        <v>18</v>
      </c>
      <c r="W2" s="418">
        <v>19</v>
      </c>
      <c r="X2" s="418">
        <v>20</v>
      </c>
      <c r="Y2" s="418">
        <v>21</v>
      </c>
      <c r="Z2" s="418">
        <v>22</v>
      </c>
      <c r="AA2" s="418">
        <v>23</v>
      </c>
      <c r="AB2" s="418">
        <v>24</v>
      </c>
      <c r="AC2" s="418">
        <v>25</v>
      </c>
      <c r="AD2" s="418">
        <v>26</v>
      </c>
      <c r="AE2" s="418">
        <v>27</v>
      </c>
      <c r="AF2" s="418">
        <v>28</v>
      </c>
      <c r="AG2" s="418">
        <v>29</v>
      </c>
      <c r="AH2" s="418">
        <v>30</v>
      </c>
      <c r="AI2" s="418">
        <v>31</v>
      </c>
      <c r="AJ2" s="418">
        <v>32</v>
      </c>
      <c r="AK2" s="418">
        <v>33</v>
      </c>
      <c r="AL2" s="418">
        <v>34</v>
      </c>
      <c r="AM2" s="418">
        <v>35</v>
      </c>
      <c r="AN2" s="418">
        <v>36</v>
      </c>
      <c r="AO2" s="418">
        <v>37</v>
      </c>
      <c r="AP2" s="418">
        <v>38</v>
      </c>
      <c r="AQ2" s="418">
        <v>39</v>
      </c>
      <c r="AR2" s="418">
        <v>40</v>
      </c>
      <c r="AS2" s="418">
        <v>41</v>
      </c>
      <c r="AT2" s="418">
        <v>42</v>
      </c>
      <c r="AU2" s="418">
        <v>43</v>
      </c>
      <c r="AV2" s="418">
        <v>44</v>
      </c>
      <c r="AW2" s="418">
        <v>45</v>
      </c>
      <c r="AX2" s="418">
        <v>46</v>
      </c>
      <c r="AY2" s="418">
        <v>47</v>
      </c>
      <c r="AZ2" s="418">
        <v>48</v>
      </c>
      <c r="BA2" s="418">
        <v>49</v>
      </c>
      <c r="BB2" s="418">
        <v>50</v>
      </c>
      <c r="BC2" s="418">
        <v>51</v>
      </c>
      <c r="BD2" s="418">
        <v>52</v>
      </c>
      <c r="BE2" s="418">
        <v>53</v>
      </c>
      <c r="BF2" s="418">
        <v>54</v>
      </c>
      <c r="BG2" s="418">
        <v>55</v>
      </c>
      <c r="BH2" s="418">
        <v>56</v>
      </c>
      <c r="BI2" s="418">
        <v>57</v>
      </c>
      <c r="BJ2" s="418">
        <v>58</v>
      </c>
      <c r="BK2" s="418">
        <v>59</v>
      </c>
      <c r="BL2" s="418">
        <v>60</v>
      </c>
      <c r="BM2" s="418">
        <v>61</v>
      </c>
      <c r="BN2" s="418">
        <v>62</v>
      </c>
      <c r="BO2" s="418">
        <v>63</v>
      </c>
      <c r="BP2" s="418">
        <v>64</v>
      </c>
      <c r="BQ2" s="418">
        <v>65</v>
      </c>
      <c r="BR2" s="418">
        <v>66</v>
      </c>
      <c r="BS2" s="418">
        <v>67</v>
      </c>
      <c r="BT2" s="418">
        <v>68</v>
      </c>
      <c r="BU2" s="418">
        <v>69</v>
      </c>
      <c r="BV2" s="418">
        <v>70</v>
      </c>
      <c r="BW2" s="418">
        <v>71</v>
      </c>
      <c r="BX2" s="418">
        <v>72</v>
      </c>
      <c r="BY2" s="418">
        <v>73</v>
      </c>
      <c r="BZ2" s="418">
        <v>74</v>
      </c>
      <c r="CA2" s="418">
        <v>75</v>
      </c>
      <c r="CB2" s="418">
        <v>76</v>
      </c>
      <c r="CC2" s="418">
        <v>77</v>
      </c>
      <c r="CD2" s="418">
        <v>78</v>
      </c>
      <c r="CE2" s="418">
        <v>79</v>
      </c>
      <c r="CF2" s="418">
        <v>80</v>
      </c>
      <c r="CG2" s="418">
        <v>81</v>
      </c>
      <c r="CH2" s="418">
        <v>82</v>
      </c>
      <c r="CI2" s="418">
        <v>83</v>
      </c>
      <c r="CJ2" s="418">
        <v>84</v>
      </c>
      <c r="CK2" s="418">
        <v>85</v>
      </c>
      <c r="CL2" s="418">
        <v>86</v>
      </c>
      <c r="CM2" s="418">
        <v>87</v>
      </c>
      <c r="CN2" s="418">
        <v>88</v>
      </c>
      <c r="CO2" s="418">
        <v>89</v>
      </c>
      <c r="CP2" s="418">
        <v>90</v>
      </c>
      <c r="CQ2" s="418">
        <v>91</v>
      </c>
      <c r="CR2" s="418">
        <v>92</v>
      </c>
      <c r="CS2" s="418">
        <v>93</v>
      </c>
      <c r="CT2" s="418">
        <v>94</v>
      </c>
      <c r="CU2" s="418">
        <v>95</v>
      </c>
      <c r="CV2" s="418">
        <v>96</v>
      </c>
      <c r="CW2" s="418">
        <v>97</v>
      </c>
      <c r="CX2" s="418">
        <v>98</v>
      </c>
      <c r="CY2" s="418">
        <v>99</v>
      </c>
      <c r="CZ2" s="418">
        <v>100</v>
      </c>
      <c r="DA2" s="418">
        <v>101</v>
      </c>
      <c r="DB2" s="418">
        <v>102</v>
      </c>
      <c r="DC2" s="418">
        <v>103</v>
      </c>
      <c r="DD2" s="418">
        <v>104</v>
      </c>
      <c r="DE2" s="418">
        <v>105</v>
      </c>
      <c r="DF2" s="418">
        <v>106</v>
      </c>
      <c r="DG2" s="418">
        <v>107</v>
      </c>
      <c r="DH2" s="418">
        <v>108</v>
      </c>
      <c r="DI2" s="418">
        <v>109</v>
      </c>
      <c r="DJ2" s="418">
        <v>110</v>
      </c>
      <c r="DK2" s="418">
        <v>111</v>
      </c>
      <c r="DL2" s="418">
        <v>112</v>
      </c>
      <c r="DM2" s="418">
        <v>113</v>
      </c>
      <c r="DN2" s="418">
        <v>114</v>
      </c>
      <c r="DO2" s="418">
        <v>115</v>
      </c>
      <c r="DP2" s="418">
        <v>116</v>
      </c>
      <c r="DQ2" s="418">
        <v>117</v>
      </c>
      <c r="DR2" s="418">
        <v>118</v>
      </c>
      <c r="DS2" s="418">
        <v>119</v>
      </c>
      <c r="DT2" s="418">
        <v>120</v>
      </c>
      <c r="DU2" s="418">
        <v>121</v>
      </c>
      <c r="DV2" s="418">
        <v>122</v>
      </c>
      <c r="DW2" s="418">
        <v>123</v>
      </c>
      <c r="DX2" s="418">
        <v>124</v>
      </c>
      <c r="DY2" s="418">
        <v>125</v>
      </c>
      <c r="DZ2" s="418">
        <v>126</v>
      </c>
      <c r="EA2" s="418">
        <v>127</v>
      </c>
      <c r="EB2" s="418">
        <v>128</v>
      </c>
      <c r="EC2" s="418">
        <v>129</v>
      </c>
      <c r="ED2" s="418">
        <v>130</v>
      </c>
      <c r="EE2" s="418">
        <v>131</v>
      </c>
      <c r="EF2" s="418">
        <v>132</v>
      </c>
      <c r="EG2" s="418">
        <v>133</v>
      </c>
      <c r="EH2" s="418">
        <v>134</v>
      </c>
      <c r="EI2" s="418">
        <v>135</v>
      </c>
      <c r="EJ2" s="418">
        <v>136</v>
      </c>
      <c r="EK2" s="418">
        <v>137</v>
      </c>
      <c r="EL2" s="418">
        <v>138</v>
      </c>
      <c r="EM2" s="418">
        <v>139</v>
      </c>
      <c r="EN2" s="418">
        <v>140</v>
      </c>
      <c r="EO2" s="418">
        <v>141</v>
      </c>
      <c r="EP2" s="418">
        <v>142</v>
      </c>
      <c r="EQ2" s="418">
        <v>143</v>
      </c>
      <c r="ER2" s="418">
        <v>144</v>
      </c>
      <c r="ES2" s="418">
        <v>145</v>
      </c>
      <c r="ET2" s="418">
        <v>146</v>
      </c>
      <c r="EU2" s="418">
        <v>147</v>
      </c>
      <c r="EV2" s="418">
        <v>148</v>
      </c>
      <c r="EW2" s="418">
        <v>149</v>
      </c>
      <c r="EX2" s="418">
        <v>150</v>
      </c>
      <c r="EY2" s="418">
        <v>151</v>
      </c>
      <c r="EZ2" s="418">
        <v>152</v>
      </c>
      <c r="FA2" s="418">
        <v>153</v>
      </c>
      <c r="FB2" s="418">
        <v>154</v>
      </c>
      <c r="FC2" s="418">
        <v>155</v>
      </c>
      <c r="FD2" s="418">
        <v>156</v>
      </c>
      <c r="FE2" s="418">
        <v>157</v>
      </c>
      <c r="FF2" s="418">
        <v>158</v>
      </c>
      <c r="FG2" s="418">
        <v>159</v>
      </c>
      <c r="FH2" s="418">
        <v>160</v>
      </c>
      <c r="FI2" s="418">
        <v>161</v>
      </c>
      <c r="FJ2" s="418">
        <v>162</v>
      </c>
      <c r="FK2" s="418">
        <v>163</v>
      </c>
      <c r="FL2" s="418">
        <v>164</v>
      </c>
      <c r="FM2" s="418">
        <v>165</v>
      </c>
      <c r="FN2" s="418">
        <v>166</v>
      </c>
      <c r="FO2" s="418">
        <v>167</v>
      </c>
      <c r="FP2" s="418">
        <v>168</v>
      </c>
      <c r="FQ2" s="418">
        <v>169</v>
      </c>
      <c r="FR2" s="418">
        <v>170</v>
      </c>
      <c r="FS2" s="418">
        <v>171</v>
      </c>
      <c r="FT2" s="418">
        <v>172</v>
      </c>
      <c r="FU2" s="418">
        <v>173</v>
      </c>
      <c r="FV2" s="418">
        <v>174</v>
      </c>
      <c r="FW2" s="418">
        <v>175</v>
      </c>
      <c r="FX2" s="418">
        <v>176</v>
      </c>
      <c r="FY2" s="418">
        <v>177</v>
      </c>
      <c r="FZ2" s="418">
        <v>178</v>
      </c>
      <c r="GA2" s="418">
        <v>179</v>
      </c>
      <c r="GB2" s="418">
        <v>180</v>
      </c>
      <c r="GC2" s="418">
        <v>181</v>
      </c>
      <c r="GD2" s="418">
        <v>182</v>
      </c>
      <c r="GE2" s="418">
        <v>183</v>
      </c>
      <c r="GF2" s="418">
        <v>184</v>
      </c>
      <c r="GG2" s="418">
        <v>185</v>
      </c>
      <c r="GH2" s="418">
        <v>186</v>
      </c>
      <c r="GI2" s="418">
        <v>187</v>
      </c>
      <c r="GJ2" s="418">
        <v>188</v>
      </c>
      <c r="GK2" s="418">
        <v>189</v>
      </c>
      <c r="GL2" s="418">
        <v>190</v>
      </c>
      <c r="GM2" s="418">
        <v>191</v>
      </c>
      <c r="GN2" s="418">
        <v>192</v>
      </c>
      <c r="GO2" s="418">
        <v>193</v>
      </c>
      <c r="GP2" s="418">
        <v>194</v>
      </c>
      <c r="GQ2" s="418">
        <v>195</v>
      </c>
      <c r="GR2" s="418">
        <v>196</v>
      </c>
      <c r="GS2" s="418">
        <v>197</v>
      </c>
      <c r="GT2" s="418">
        <v>198</v>
      </c>
      <c r="GU2" s="418">
        <v>199</v>
      </c>
      <c r="GV2" s="418">
        <v>200</v>
      </c>
      <c r="GW2" s="418">
        <v>201</v>
      </c>
      <c r="GX2" s="418">
        <v>202</v>
      </c>
      <c r="GY2" s="418">
        <v>203</v>
      </c>
      <c r="GZ2" s="418">
        <v>204</v>
      </c>
      <c r="HA2" s="418">
        <v>205</v>
      </c>
      <c r="HB2" s="418">
        <v>206</v>
      </c>
      <c r="HC2" s="418">
        <v>207</v>
      </c>
      <c r="HD2" s="418">
        <v>208</v>
      </c>
      <c r="HE2" s="418">
        <v>209</v>
      </c>
      <c r="HF2" s="418">
        <v>210</v>
      </c>
      <c r="HG2" s="418">
        <v>211</v>
      </c>
      <c r="HH2" s="418">
        <v>212</v>
      </c>
      <c r="HI2" s="418">
        <v>213</v>
      </c>
      <c r="HJ2" s="418">
        <v>214</v>
      </c>
      <c r="HK2" s="418">
        <v>215</v>
      </c>
      <c r="HL2" s="418">
        <v>216</v>
      </c>
      <c r="HM2" s="418">
        <v>217</v>
      </c>
      <c r="HN2" s="418">
        <v>218</v>
      </c>
      <c r="HO2" s="418">
        <v>219</v>
      </c>
      <c r="HP2" s="418">
        <v>220</v>
      </c>
      <c r="HQ2" s="418">
        <v>221</v>
      </c>
      <c r="HR2" s="418">
        <v>222</v>
      </c>
      <c r="HS2" s="418">
        <v>223</v>
      </c>
      <c r="HT2" s="418">
        <v>224</v>
      </c>
      <c r="HU2" s="418">
        <v>225</v>
      </c>
      <c r="HV2" s="418">
        <v>226</v>
      </c>
      <c r="HW2" s="418">
        <v>227</v>
      </c>
      <c r="HX2" s="418">
        <v>228</v>
      </c>
      <c r="HY2" s="418">
        <v>229</v>
      </c>
      <c r="HZ2" s="418">
        <v>230</v>
      </c>
      <c r="IA2" s="418">
        <v>231</v>
      </c>
      <c r="IB2" s="418">
        <v>232</v>
      </c>
      <c r="IC2" s="418">
        <v>233</v>
      </c>
      <c r="ID2" s="418">
        <v>234</v>
      </c>
      <c r="IE2" s="418">
        <v>235</v>
      </c>
      <c r="IF2" s="418">
        <v>236</v>
      </c>
      <c r="IG2" s="418">
        <v>237</v>
      </c>
      <c r="IH2" s="418">
        <v>238</v>
      </c>
      <c r="II2" s="418">
        <v>239</v>
      </c>
      <c r="IJ2" s="418">
        <v>240</v>
      </c>
      <c r="IK2" s="418">
        <v>241</v>
      </c>
      <c r="IL2" s="418">
        <v>242</v>
      </c>
      <c r="IM2" s="418">
        <v>243</v>
      </c>
      <c r="IN2" s="418">
        <v>244</v>
      </c>
      <c r="IO2" s="418">
        <v>245</v>
      </c>
      <c r="IP2" s="418">
        <v>246</v>
      </c>
      <c r="IQ2" s="418">
        <v>247</v>
      </c>
      <c r="IR2" s="418">
        <v>248</v>
      </c>
      <c r="IS2" s="418">
        <v>249</v>
      </c>
      <c r="IT2" s="418">
        <v>250</v>
      </c>
      <c r="IU2" s="418">
        <v>251</v>
      </c>
      <c r="IV2" s="418">
        <v>252</v>
      </c>
      <c r="IW2" s="418">
        <v>253</v>
      </c>
      <c r="IX2" s="418">
        <v>254</v>
      </c>
      <c r="IY2" s="418">
        <v>255</v>
      </c>
      <c r="IZ2" s="418">
        <v>256</v>
      </c>
      <c r="JA2" s="418">
        <v>257</v>
      </c>
      <c r="JB2" s="418">
        <v>258</v>
      </c>
      <c r="JC2" s="418">
        <v>259</v>
      </c>
      <c r="JD2" s="418">
        <v>260</v>
      </c>
      <c r="JE2" s="418">
        <v>261</v>
      </c>
      <c r="JF2" s="418">
        <v>262</v>
      </c>
      <c r="JG2" s="418">
        <v>263</v>
      </c>
      <c r="JH2" s="418">
        <v>264</v>
      </c>
      <c r="JI2" s="418">
        <v>265</v>
      </c>
      <c r="JJ2" s="418">
        <v>266</v>
      </c>
      <c r="JK2" s="418">
        <v>267</v>
      </c>
      <c r="JL2" s="418">
        <v>268</v>
      </c>
      <c r="JM2" s="418">
        <v>269</v>
      </c>
      <c r="JN2" s="418">
        <v>270</v>
      </c>
      <c r="JO2" s="418">
        <v>271</v>
      </c>
      <c r="JP2" s="418">
        <v>272</v>
      </c>
      <c r="JQ2" s="418">
        <v>273</v>
      </c>
      <c r="JR2" s="593"/>
      <c r="JS2" s="1668" t="s">
        <v>2198</v>
      </c>
      <c r="JT2" s="356"/>
      <c r="JU2" s="1668" t="s">
        <v>4247</v>
      </c>
      <c r="JV2" s="2586" t="s">
        <v>4248</v>
      </c>
    </row>
    <row r="3" spans="1:282" x14ac:dyDescent="0.25">
      <c r="A3" s="1367">
        <v>2</v>
      </c>
      <c r="B3" s="1411" t="str">
        <f t="shared" ref="B3:B34" si="0">IF(CGT_IND&gt;1,IF(HLOOKUP(CGT_IND-1,CGT_RANGE,A3)="","",HLOOKUP(CGT_IND-1,CGT_RANGE,A3)),"")</f>
        <v/>
      </c>
      <c r="C3" s="1688" t="s">
        <v>4249</v>
      </c>
      <c r="D3" s="1360" t="s">
        <v>4250</v>
      </c>
      <c r="E3" s="1669"/>
      <c r="F3" s="1669"/>
      <c r="G3" s="1669"/>
      <c r="H3" s="1669"/>
      <c r="I3" s="1669"/>
      <c r="J3" s="1669"/>
      <c r="K3" s="1669"/>
      <c r="L3" s="1669"/>
      <c r="M3" s="1669"/>
      <c r="N3" s="1669"/>
      <c r="O3" s="1669"/>
      <c r="P3" s="1669"/>
      <c r="Q3" s="1669"/>
      <c r="R3" s="1669"/>
      <c r="S3" s="1669"/>
      <c r="T3" s="1669"/>
      <c r="U3" s="1669"/>
      <c r="V3" s="1669"/>
      <c r="W3" s="1669"/>
      <c r="X3" s="1669"/>
      <c r="Y3" s="1669"/>
      <c r="Z3" s="1669"/>
      <c r="AA3" s="1669"/>
      <c r="AB3" s="1669"/>
      <c r="AC3" s="1669"/>
      <c r="AD3" s="1669"/>
      <c r="AE3" s="1669"/>
      <c r="AF3" s="1669"/>
      <c r="AG3" s="1669"/>
      <c r="AH3" s="1669"/>
      <c r="AI3" s="1670"/>
      <c r="AJ3" s="1669"/>
      <c r="AK3" s="1670"/>
      <c r="AL3" s="1669"/>
      <c r="AM3" s="1669"/>
      <c r="AN3" s="1669"/>
      <c r="AO3" s="1669"/>
      <c r="AP3" s="1669"/>
      <c r="AQ3" s="1669"/>
      <c r="AR3" s="1669"/>
      <c r="AS3" s="1669"/>
      <c r="AT3" s="1669"/>
      <c r="AU3" s="1670"/>
      <c r="AV3" s="1669"/>
      <c r="AW3" s="1669"/>
      <c r="AX3" s="1669"/>
      <c r="AY3" s="1669"/>
      <c r="AZ3" s="1669"/>
      <c r="BA3" s="1669"/>
      <c r="BB3" s="1670"/>
      <c r="BC3" s="1669"/>
      <c r="BD3" s="1670"/>
      <c r="BE3" s="1669"/>
      <c r="BF3" s="1669"/>
      <c r="BG3" s="1670"/>
      <c r="BH3" s="1669"/>
      <c r="BI3" s="1669"/>
      <c r="BJ3" s="1669"/>
      <c r="BK3" s="1669"/>
      <c r="BL3" s="1669"/>
      <c r="BM3" s="1669"/>
      <c r="BN3" s="1669"/>
      <c r="BO3" s="1669"/>
      <c r="BP3" s="1670"/>
      <c r="BQ3" s="1669"/>
      <c r="BR3" s="1669"/>
      <c r="BS3" s="1669"/>
      <c r="BT3" s="1670"/>
      <c r="BU3" s="1670"/>
      <c r="BV3" s="1669"/>
      <c r="BW3" s="1670"/>
      <c r="BX3" s="1669"/>
      <c r="BY3" s="1669"/>
      <c r="BZ3" s="1670"/>
      <c r="CA3" s="1669"/>
      <c r="CB3" s="1669"/>
      <c r="CC3" s="1669"/>
      <c r="CD3" s="1670"/>
      <c r="CE3" s="1669"/>
      <c r="CF3" s="1669"/>
      <c r="CG3" s="1669"/>
      <c r="CH3" s="1669"/>
      <c r="CI3" s="1669"/>
      <c r="CJ3" s="1669"/>
      <c r="CK3" s="1669"/>
      <c r="CL3" s="1669"/>
      <c r="CM3" s="1669"/>
      <c r="CN3" s="1669"/>
      <c r="CO3" s="1669"/>
      <c r="CP3" s="1669"/>
      <c r="CQ3" s="1669"/>
      <c r="CR3" s="1669"/>
      <c r="CS3" s="1669"/>
      <c r="CT3" s="1670"/>
      <c r="CU3" s="1669"/>
      <c r="CV3" s="1669"/>
      <c r="CW3" s="1669"/>
      <c r="CX3" s="1669"/>
      <c r="CY3" s="1669"/>
      <c r="CZ3" s="1669"/>
      <c r="DA3" s="1670"/>
      <c r="DB3" s="1669"/>
      <c r="DC3" s="1670"/>
      <c r="DD3" s="1669"/>
      <c r="DE3" s="1669"/>
      <c r="DF3" s="1669"/>
      <c r="DG3" s="1670"/>
      <c r="DH3" s="1669"/>
      <c r="DI3" s="1669"/>
      <c r="DJ3" s="1670"/>
      <c r="DK3" s="1669"/>
      <c r="DL3" s="1669"/>
      <c r="DM3" s="1670"/>
      <c r="DN3" s="1669"/>
      <c r="DO3" s="1670"/>
      <c r="DP3" s="1669"/>
      <c r="DQ3" s="1669"/>
      <c r="DR3" s="1669"/>
      <c r="DS3" s="1669"/>
      <c r="DT3" s="1669"/>
      <c r="DU3" s="1669"/>
      <c r="DV3" s="1669"/>
      <c r="DW3" s="1669"/>
      <c r="DX3" s="1669"/>
      <c r="DY3" s="1669"/>
      <c r="DZ3" s="1669"/>
      <c r="EA3" s="1669"/>
      <c r="EB3" s="1669"/>
      <c r="EC3" s="1669"/>
      <c r="ED3" s="1670"/>
      <c r="EE3" s="1670"/>
      <c r="EF3" s="1669"/>
      <c r="EG3" s="1670"/>
      <c r="EH3" s="1670"/>
      <c r="EI3" s="1669"/>
      <c r="EJ3" s="1669"/>
      <c r="EK3" s="1669"/>
      <c r="EL3" s="1669"/>
      <c r="EM3" s="1669"/>
      <c r="EN3" s="1669"/>
      <c r="EO3" s="1669"/>
      <c r="EP3" s="1669"/>
      <c r="EQ3" s="1669"/>
      <c r="ER3" s="1670"/>
      <c r="ES3" s="1669"/>
      <c r="ET3" s="1669"/>
      <c r="EU3" s="1669"/>
      <c r="EV3" s="1670"/>
      <c r="EW3" s="1669"/>
      <c r="EX3" s="1669"/>
      <c r="EY3" s="1670"/>
      <c r="EZ3" s="1669"/>
      <c r="FA3" s="1669"/>
      <c r="FB3" s="1669"/>
      <c r="FC3" s="1669"/>
      <c r="FD3" s="1669"/>
      <c r="FE3" s="1670"/>
      <c r="FF3" s="1670"/>
      <c r="FG3" s="1670"/>
      <c r="FH3" s="1670"/>
      <c r="FI3" s="1670"/>
      <c r="FJ3" s="1670"/>
      <c r="FK3" s="1670"/>
      <c r="FL3" s="1670"/>
      <c r="FM3" s="1670"/>
      <c r="FN3" s="1670"/>
      <c r="FO3" s="1670"/>
      <c r="FP3" s="1670"/>
      <c r="FQ3" s="1669"/>
      <c r="FR3" s="1669"/>
      <c r="FS3" s="1669"/>
      <c r="FT3" s="1669"/>
      <c r="FU3" s="1669"/>
      <c r="FV3" s="1669"/>
      <c r="FW3" s="1669"/>
      <c r="FX3" s="1669"/>
      <c r="FY3" s="1669"/>
      <c r="FZ3" s="1669"/>
      <c r="GA3" s="1669"/>
      <c r="GB3" s="1669"/>
      <c r="GC3" s="1669"/>
      <c r="GD3" s="1669"/>
      <c r="GE3" s="1669"/>
      <c r="GF3" s="1669"/>
      <c r="GG3" s="1669"/>
      <c r="GH3" s="1669"/>
      <c r="GI3" s="1669"/>
      <c r="GJ3" s="1669"/>
      <c r="GK3" s="1669"/>
      <c r="GL3" s="1669"/>
      <c r="GM3" s="1669"/>
      <c r="GN3" s="1669"/>
      <c r="GO3" s="1669"/>
      <c r="GP3" s="1669"/>
      <c r="GQ3" s="1669"/>
      <c r="GR3" s="1669"/>
      <c r="GS3" s="1669"/>
      <c r="GT3" s="1669"/>
      <c r="GU3" s="1669"/>
      <c r="GV3" s="1669"/>
      <c r="GW3" s="1669"/>
      <c r="GX3" s="1669"/>
      <c r="GY3" s="1669"/>
      <c r="GZ3" s="1669"/>
      <c r="HA3" s="1669"/>
      <c r="HB3" s="1670"/>
      <c r="HC3" s="1669"/>
      <c r="HD3" s="1669"/>
      <c r="HE3" s="1669"/>
      <c r="HF3" s="1669"/>
      <c r="HG3" s="1670"/>
      <c r="HH3" s="1669"/>
      <c r="HI3" s="1670"/>
      <c r="HJ3" s="1670"/>
      <c r="HK3" s="1670"/>
      <c r="HL3" s="1670"/>
      <c r="HM3" s="1670"/>
      <c r="HN3" s="1669"/>
      <c r="HO3" s="1669"/>
      <c r="HP3" s="1670"/>
      <c r="HQ3" s="1669"/>
      <c r="HR3" s="1669"/>
      <c r="HS3" s="1669"/>
      <c r="HT3" s="1669"/>
      <c r="HU3" s="1669"/>
      <c r="HV3" s="1669"/>
      <c r="HW3" s="1669"/>
      <c r="HX3" s="1669"/>
      <c r="HY3" s="1669"/>
      <c r="HZ3" s="1669"/>
      <c r="IA3" s="1669"/>
      <c r="IB3" s="1669"/>
      <c r="IC3" s="1669"/>
      <c r="ID3" s="1669"/>
      <c r="IE3" s="1669"/>
      <c r="IF3" s="1669"/>
      <c r="IG3" s="1669"/>
      <c r="IH3" s="1669"/>
      <c r="II3" s="1669"/>
      <c r="IJ3" s="1669"/>
      <c r="IK3" s="1669"/>
      <c r="IL3" s="1669"/>
      <c r="IM3" s="1669"/>
      <c r="IN3" s="1669"/>
      <c r="IO3" s="1669"/>
      <c r="IP3" s="1669"/>
      <c r="IQ3" s="1669"/>
      <c r="IR3" s="1669"/>
      <c r="IS3" s="1669"/>
      <c r="IT3" s="1669"/>
      <c r="IU3" s="1669"/>
      <c r="IV3" s="1669"/>
      <c r="IW3" s="1669"/>
      <c r="IX3" s="1670"/>
      <c r="IY3" s="1669"/>
      <c r="IZ3" s="1670"/>
      <c r="JA3" s="1669"/>
      <c r="JB3" s="1669"/>
      <c r="JC3" s="1669"/>
      <c r="JD3" s="1669"/>
      <c r="JE3" s="1669"/>
      <c r="JF3" s="1669"/>
      <c r="JG3" s="1669"/>
      <c r="JH3" s="1669"/>
      <c r="JI3" s="1669"/>
      <c r="JJ3" s="1669"/>
      <c r="JK3" s="1669"/>
      <c r="JL3" s="1669"/>
      <c r="JM3" s="1669"/>
      <c r="JN3" s="1669"/>
      <c r="JO3" s="1669"/>
      <c r="JP3" s="1669"/>
      <c r="JQ3" s="1671"/>
      <c r="JR3" s="593"/>
      <c r="JS3" s="746" t="s">
        <v>3130</v>
      </c>
      <c r="JT3" s="355" t="s">
        <v>2215</v>
      </c>
      <c r="JU3" s="1672"/>
      <c r="JV3" s="598"/>
    </row>
    <row r="4" spans="1:282" x14ac:dyDescent="0.25">
      <c r="A4" s="1367">
        <v>3</v>
      </c>
      <c r="B4" s="1411" t="str">
        <f t="shared" si="0"/>
        <v/>
      </c>
      <c r="C4" s="1688" t="s">
        <v>4251</v>
      </c>
      <c r="D4" s="1360" t="s">
        <v>4252</v>
      </c>
      <c r="E4" s="1673"/>
      <c r="F4" s="1673"/>
      <c r="G4" s="1673"/>
      <c r="H4" s="1673"/>
      <c r="I4" s="1673"/>
      <c r="J4" s="1673"/>
      <c r="K4" s="1673"/>
      <c r="L4" s="1673"/>
      <c r="M4" s="1673"/>
      <c r="N4" s="1673"/>
      <c r="O4" s="1673"/>
      <c r="P4" s="1673"/>
      <c r="Q4" s="1673"/>
      <c r="R4" s="1673"/>
      <c r="S4" s="1673"/>
      <c r="T4" s="1673"/>
      <c r="U4" s="1673"/>
      <c r="V4" s="1673"/>
      <c r="W4" s="1673"/>
      <c r="X4" s="1673"/>
      <c r="Y4" s="1673"/>
      <c r="Z4" s="1673"/>
      <c r="AA4" s="1673"/>
      <c r="AB4" s="1673"/>
      <c r="AC4" s="1673"/>
      <c r="AD4" s="1673"/>
      <c r="AE4" s="1673"/>
      <c r="AF4" s="1673"/>
      <c r="AG4" s="1673"/>
      <c r="AH4" s="1673"/>
      <c r="AI4" s="1674"/>
      <c r="AJ4" s="1673"/>
      <c r="AK4" s="1674"/>
      <c r="AL4" s="1673"/>
      <c r="AM4" s="1673"/>
      <c r="AN4" s="1673"/>
      <c r="AO4" s="1673"/>
      <c r="AP4" s="1673"/>
      <c r="AQ4" s="1673"/>
      <c r="AR4" s="1673"/>
      <c r="AS4" s="1673"/>
      <c r="AT4" s="1673"/>
      <c r="AU4" s="1675"/>
      <c r="AV4" s="1673"/>
      <c r="AW4" s="1673"/>
      <c r="AX4" s="1673"/>
      <c r="AY4" s="1673"/>
      <c r="AZ4" s="1673"/>
      <c r="BA4" s="1673"/>
      <c r="BB4" s="1675"/>
      <c r="BC4" s="1673"/>
      <c r="BD4" s="1675"/>
      <c r="BE4" s="1673"/>
      <c r="BF4" s="1673"/>
      <c r="BG4" s="1674"/>
      <c r="BH4" s="1673"/>
      <c r="BI4" s="1673"/>
      <c r="BJ4" s="1673"/>
      <c r="BK4" s="1673"/>
      <c r="BL4" s="1673"/>
      <c r="BM4" s="1673"/>
      <c r="BN4" s="1673"/>
      <c r="BO4" s="1673"/>
      <c r="BP4" s="1675"/>
      <c r="BQ4" s="1673"/>
      <c r="BR4" s="1673"/>
      <c r="BS4" s="1673"/>
      <c r="BT4" s="1674"/>
      <c r="BU4" s="1670"/>
      <c r="BV4" s="1673"/>
      <c r="BW4" s="1675"/>
      <c r="BX4" s="1673"/>
      <c r="BY4" s="1673"/>
      <c r="BZ4" s="1675"/>
      <c r="CA4" s="1673"/>
      <c r="CB4" s="1673"/>
      <c r="CC4" s="1673"/>
      <c r="CD4" s="1670"/>
      <c r="CE4" s="1673"/>
      <c r="CF4" s="1673"/>
      <c r="CG4" s="1673"/>
      <c r="CH4" s="1673"/>
      <c r="CI4" s="1673"/>
      <c r="CJ4" s="1673"/>
      <c r="CK4" s="1673"/>
      <c r="CL4" s="1673"/>
      <c r="CM4" s="1673"/>
      <c r="CN4" s="1673"/>
      <c r="CO4" s="1673"/>
      <c r="CP4" s="1673"/>
      <c r="CQ4" s="1673"/>
      <c r="CR4" s="1673"/>
      <c r="CS4" s="1673"/>
      <c r="CT4" s="1670"/>
      <c r="CU4" s="1673"/>
      <c r="CV4" s="1673"/>
      <c r="CW4" s="1673"/>
      <c r="CX4" s="1673"/>
      <c r="CY4" s="1673"/>
      <c r="CZ4" s="1673"/>
      <c r="DA4" s="1675"/>
      <c r="DB4" s="1673"/>
      <c r="DC4" s="1675"/>
      <c r="DD4" s="1673"/>
      <c r="DE4" s="1673"/>
      <c r="DF4" s="1673"/>
      <c r="DG4" s="1675"/>
      <c r="DH4" s="1673"/>
      <c r="DI4" s="1673"/>
      <c r="DJ4" s="1674"/>
      <c r="DK4" s="1673"/>
      <c r="DL4" s="1673"/>
      <c r="DM4" s="1674"/>
      <c r="DN4" s="1673"/>
      <c r="DO4" s="1674"/>
      <c r="DP4" s="1673"/>
      <c r="DQ4" s="1673"/>
      <c r="DR4" s="1673"/>
      <c r="DS4" s="1673"/>
      <c r="DT4" s="1673"/>
      <c r="DU4" s="1673"/>
      <c r="DV4" s="1673"/>
      <c r="DW4" s="1673"/>
      <c r="DX4" s="1673"/>
      <c r="DY4" s="1673"/>
      <c r="DZ4" s="1673"/>
      <c r="EA4" s="1673"/>
      <c r="EB4" s="1673"/>
      <c r="EC4" s="1673"/>
      <c r="ED4" s="1674"/>
      <c r="EE4" s="1674"/>
      <c r="EF4" s="1673"/>
      <c r="EG4" s="1674"/>
      <c r="EH4" s="1674"/>
      <c r="EI4" s="1673"/>
      <c r="EJ4" s="1673"/>
      <c r="EK4" s="1673"/>
      <c r="EL4" s="1673"/>
      <c r="EM4" s="1673"/>
      <c r="EN4" s="1673"/>
      <c r="EO4" s="1673"/>
      <c r="EP4" s="1673"/>
      <c r="EQ4" s="1673"/>
      <c r="ER4" s="1674"/>
      <c r="ES4" s="1673"/>
      <c r="ET4" s="1673"/>
      <c r="EU4" s="1673"/>
      <c r="EV4" s="1670"/>
      <c r="EW4" s="1673"/>
      <c r="EX4" s="1673"/>
      <c r="EY4" s="1674"/>
      <c r="EZ4" s="1673"/>
      <c r="FA4" s="1673"/>
      <c r="FB4" s="1673"/>
      <c r="FC4" s="1673"/>
      <c r="FD4" s="1673"/>
      <c r="FE4" s="1674"/>
      <c r="FF4" s="1674"/>
      <c r="FG4" s="1675"/>
      <c r="FH4" s="1675"/>
      <c r="FI4" s="1675"/>
      <c r="FJ4" s="1675"/>
      <c r="FK4" s="1675"/>
      <c r="FL4" s="1674"/>
      <c r="FM4" s="1674"/>
      <c r="FN4" s="1674"/>
      <c r="FO4" s="1674"/>
      <c r="FP4" s="1674"/>
      <c r="FQ4" s="1673"/>
      <c r="FR4" s="1673"/>
      <c r="FS4" s="1673"/>
      <c r="FT4" s="1673"/>
      <c r="FU4" s="1673"/>
      <c r="FV4" s="1673"/>
      <c r="FW4" s="1673"/>
      <c r="FX4" s="1673"/>
      <c r="FY4" s="1673"/>
      <c r="FZ4" s="1673"/>
      <c r="GA4" s="1673"/>
      <c r="GB4" s="1673"/>
      <c r="GC4" s="1673"/>
      <c r="GD4" s="1673"/>
      <c r="GE4" s="1673"/>
      <c r="GF4" s="1673"/>
      <c r="GG4" s="1673"/>
      <c r="GH4" s="1673"/>
      <c r="GI4" s="1673"/>
      <c r="GJ4" s="1673"/>
      <c r="GK4" s="1673"/>
      <c r="GL4" s="1673"/>
      <c r="GM4" s="1673"/>
      <c r="GN4" s="1673"/>
      <c r="GO4" s="1673"/>
      <c r="GP4" s="1673"/>
      <c r="GQ4" s="1673"/>
      <c r="GR4" s="1673"/>
      <c r="GS4" s="1673"/>
      <c r="GT4" s="1673"/>
      <c r="GU4" s="1673"/>
      <c r="GV4" s="1673"/>
      <c r="GW4" s="1673"/>
      <c r="GX4" s="1673"/>
      <c r="GY4" s="1673"/>
      <c r="GZ4" s="1673"/>
      <c r="HA4" s="1673"/>
      <c r="HB4" s="1674"/>
      <c r="HC4" s="1673"/>
      <c r="HD4" s="1673"/>
      <c r="HE4" s="1673"/>
      <c r="HF4" s="1673"/>
      <c r="HG4" s="1674"/>
      <c r="HH4" s="1673"/>
      <c r="HI4" s="1674"/>
      <c r="HJ4" s="1674"/>
      <c r="HK4" s="1674"/>
      <c r="HL4" s="1674"/>
      <c r="HM4" s="1674"/>
      <c r="HN4" s="1673"/>
      <c r="HO4" s="1673"/>
      <c r="HP4" s="1674"/>
      <c r="HQ4" s="1673"/>
      <c r="HR4" s="1673"/>
      <c r="HS4" s="1673"/>
      <c r="HT4" s="1673"/>
      <c r="HU4" s="1673"/>
      <c r="HV4" s="1673"/>
      <c r="HW4" s="1673"/>
      <c r="HX4" s="1673"/>
      <c r="HY4" s="1673"/>
      <c r="HZ4" s="1673"/>
      <c r="IA4" s="1673"/>
      <c r="IB4" s="1673"/>
      <c r="IC4" s="1673"/>
      <c r="ID4" s="1673"/>
      <c r="IE4" s="1673"/>
      <c r="IF4" s="1673"/>
      <c r="IG4" s="1673"/>
      <c r="IH4" s="1673"/>
      <c r="II4" s="1673"/>
      <c r="IJ4" s="1673"/>
      <c r="IK4" s="1673"/>
      <c r="IL4" s="1673"/>
      <c r="IM4" s="1673"/>
      <c r="IN4" s="1673"/>
      <c r="IO4" s="1673"/>
      <c r="IP4" s="1673"/>
      <c r="IQ4" s="1673"/>
      <c r="IR4" s="1673"/>
      <c r="IS4" s="1673"/>
      <c r="IT4" s="1673"/>
      <c r="IU4" s="1673"/>
      <c r="IV4" s="1673"/>
      <c r="IW4" s="1673"/>
      <c r="IX4" s="1674"/>
      <c r="IY4" s="1673"/>
      <c r="IZ4" s="1674"/>
      <c r="JA4" s="1673"/>
      <c r="JB4" s="1673"/>
      <c r="JC4" s="1673"/>
      <c r="JD4" s="1673"/>
      <c r="JE4" s="1673"/>
      <c r="JF4" s="1673"/>
      <c r="JG4" s="1673"/>
      <c r="JH4" s="1673"/>
      <c r="JI4" s="1673"/>
      <c r="JJ4" s="1673"/>
      <c r="JK4" s="1673"/>
      <c r="JL4" s="1673"/>
      <c r="JM4" s="1673"/>
      <c r="JN4" s="1673"/>
      <c r="JO4" s="1673"/>
      <c r="JP4" s="1673"/>
      <c r="JQ4" s="1676"/>
      <c r="JR4" s="593"/>
      <c r="JS4" s="353" t="s">
        <v>4253</v>
      </c>
      <c r="JT4" s="355" t="s">
        <v>3459</v>
      </c>
      <c r="JU4" s="598"/>
      <c r="JV4" s="598"/>
    </row>
    <row r="5" spans="1:282" x14ac:dyDescent="0.25">
      <c r="A5" s="1367">
        <v>4</v>
      </c>
      <c r="B5" s="1677">
        <f t="shared" si="0"/>
        <v>1</v>
      </c>
      <c r="C5" s="1688" t="s">
        <v>4254</v>
      </c>
      <c r="D5" s="1360" t="s">
        <v>4255</v>
      </c>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1678"/>
      <c r="AD5" s="1678"/>
      <c r="AE5" s="1678"/>
      <c r="AF5" s="1678"/>
      <c r="AG5" s="1678"/>
      <c r="AH5" s="1678"/>
      <c r="AI5" s="1679"/>
      <c r="AJ5" s="1678"/>
      <c r="AK5" s="1679"/>
      <c r="AL5" s="1678"/>
      <c r="AM5" s="1678"/>
      <c r="AN5" s="1678"/>
      <c r="AO5" s="1678"/>
      <c r="AP5" s="1678"/>
      <c r="AQ5" s="1678"/>
      <c r="AR5" s="1678"/>
      <c r="AS5" s="1678"/>
      <c r="AT5" s="1678"/>
      <c r="AU5" s="1679"/>
      <c r="AV5" s="1678"/>
      <c r="AW5" s="1678"/>
      <c r="AX5" s="1678"/>
      <c r="AY5" s="1681">
        <v>1</v>
      </c>
      <c r="AZ5" s="1678"/>
      <c r="BA5" s="1678"/>
      <c r="BB5" s="1680">
        <v>1</v>
      </c>
      <c r="BC5" s="1681">
        <v>1</v>
      </c>
      <c r="BD5" s="1679">
        <v>1</v>
      </c>
      <c r="BE5" s="1678"/>
      <c r="BF5" s="1678"/>
      <c r="BG5" s="1679">
        <v>1</v>
      </c>
      <c r="BH5" s="1678"/>
      <c r="BI5" s="1678"/>
      <c r="BJ5" s="1678"/>
      <c r="BK5" s="1678"/>
      <c r="BL5" s="1678"/>
      <c r="BM5" s="1678"/>
      <c r="BN5" s="1678"/>
      <c r="BO5" s="1678"/>
      <c r="BP5" s="1680">
        <v>2</v>
      </c>
      <c r="BQ5" s="1678"/>
      <c r="BR5" s="1678"/>
      <c r="BS5" s="1678"/>
      <c r="BT5" s="1679"/>
      <c r="BU5" s="1679"/>
      <c r="BV5" s="1678"/>
      <c r="BW5" s="1679"/>
      <c r="BX5" s="1678"/>
      <c r="BY5" s="1678"/>
      <c r="BZ5" s="1679"/>
      <c r="CA5" s="1678"/>
      <c r="CB5" s="1678"/>
      <c r="CC5" s="1678"/>
      <c r="CD5" s="1679"/>
      <c r="CE5" s="1678"/>
      <c r="CF5" s="1678"/>
      <c r="CG5" s="1678"/>
      <c r="CH5" s="1678"/>
      <c r="CI5" s="1678"/>
      <c r="CJ5" s="1678"/>
      <c r="CK5" s="1678"/>
      <c r="CL5" s="1678"/>
      <c r="CM5" s="1678"/>
      <c r="CN5" s="1678"/>
      <c r="CO5" s="1678"/>
      <c r="CP5" s="1678"/>
      <c r="CQ5" s="1678">
        <v>1</v>
      </c>
      <c r="CR5" s="1678"/>
      <c r="CS5" s="1678"/>
      <c r="CT5" s="1679"/>
      <c r="CU5" s="1678"/>
      <c r="CV5" s="1678"/>
      <c r="CW5" s="1678"/>
      <c r="CX5" s="1678"/>
      <c r="CY5" s="1678"/>
      <c r="CZ5" s="1678"/>
      <c r="DA5" s="1679"/>
      <c r="DB5" s="1678"/>
      <c r="DC5" s="1679"/>
      <c r="DD5" s="1678"/>
      <c r="DE5" s="1678"/>
      <c r="DF5" s="1678"/>
      <c r="DG5" s="1679"/>
      <c r="DH5" s="1678"/>
      <c r="DI5" s="1678"/>
      <c r="DJ5" s="1679"/>
      <c r="DK5" s="1678"/>
      <c r="DL5" s="1678"/>
      <c r="DM5" s="1679"/>
      <c r="DN5" s="1678"/>
      <c r="DO5" s="1679"/>
      <c r="DP5" s="1678"/>
      <c r="DQ5" s="1678"/>
      <c r="DR5" s="1678"/>
      <c r="DS5" s="1678"/>
      <c r="DT5" s="1678"/>
      <c r="DU5" s="1678"/>
      <c r="DV5" s="1678"/>
      <c r="DW5" s="1678"/>
      <c r="DX5" s="1678"/>
      <c r="DY5" s="1678"/>
      <c r="DZ5" s="1678"/>
      <c r="EA5" s="1678"/>
      <c r="EB5" s="1678"/>
      <c r="EC5" s="1678"/>
      <c r="ED5" s="1679"/>
      <c r="EE5" s="1679"/>
      <c r="EF5" s="1678"/>
      <c r="EG5" s="1680">
        <v>1</v>
      </c>
      <c r="EH5" s="1682"/>
      <c r="EI5" s="1678"/>
      <c r="EJ5" s="1678"/>
      <c r="EK5" s="1678"/>
      <c r="EL5" s="1678"/>
      <c r="EM5" s="1681">
        <v>1</v>
      </c>
      <c r="EN5" s="1681"/>
      <c r="EO5" s="1678"/>
      <c r="EP5" s="1678"/>
      <c r="EQ5" s="1678"/>
      <c r="ER5" s="1680">
        <v>1</v>
      </c>
      <c r="ES5" s="1678"/>
      <c r="ET5" s="1678"/>
      <c r="EU5" s="1678"/>
      <c r="EV5" s="1679"/>
      <c r="EW5" s="1678"/>
      <c r="EX5" s="1678"/>
      <c r="EY5" s="1679"/>
      <c r="EZ5" s="1681"/>
      <c r="FA5" s="1678">
        <v>1</v>
      </c>
      <c r="FB5" s="1681">
        <v>4</v>
      </c>
      <c r="FC5" s="1681">
        <v>1</v>
      </c>
      <c r="FD5" s="1681">
        <v>2</v>
      </c>
      <c r="FE5" s="1680">
        <v>7</v>
      </c>
      <c r="FF5" s="1680">
        <v>19</v>
      </c>
      <c r="FG5" s="1679"/>
      <c r="FH5" s="1680">
        <v>2</v>
      </c>
      <c r="FI5" s="1680">
        <v>8</v>
      </c>
      <c r="FJ5" s="1680">
        <v>1</v>
      </c>
      <c r="FK5" s="1680">
        <v>8</v>
      </c>
      <c r="FL5" s="1679"/>
      <c r="FM5" s="1680">
        <v>1</v>
      </c>
      <c r="FN5" s="1679"/>
      <c r="FO5" s="1680">
        <v>3</v>
      </c>
      <c r="FP5" s="1680">
        <v>1</v>
      </c>
      <c r="FQ5" s="1678"/>
      <c r="FR5" s="1678"/>
      <c r="FS5" s="1678"/>
      <c r="FT5" s="1678"/>
      <c r="FU5" s="1678"/>
      <c r="FV5" s="1678"/>
      <c r="FW5" s="1678"/>
      <c r="FX5" s="1678"/>
      <c r="FY5" s="1678"/>
      <c r="FZ5" s="1678"/>
      <c r="GA5" s="1678"/>
      <c r="GB5" s="1678"/>
      <c r="GC5" s="1678"/>
      <c r="GD5" s="1678"/>
      <c r="GE5" s="1678"/>
      <c r="GF5" s="1678"/>
      <c r="GG5" s="1678"/>
      <c r="GH5" s="1678"/>
      <c r="GI5" s="1678"/>
      <c r="GJ5" s="1678"/>
      <c r="GK5" s="1678">
        <v>2</v>
      </c>
      <c r="GL5" s="1678"/>
      <c r="GM5" s="1678"/>
      <c r="GN5" s="1678"/>
      <c r="GO5" s="1678"/>
      <c r="GP5" s="1678"/>
      <c r="GQ5" s="1678"/>
      <c r="GR5" s="1678"/>
      <c r="GS5" s="1678"/>
      <c r="GT5" s="1678"/>
      <c r="GU5" s="1678"/>
      <c r="GV5" s="1678"/>
      <c r="GW5" s="1678"/>
      <c r="GX5" s="1678"/>
      <c r="GY5" s="1678"/>
      <c r="GZ5" s="1678"/>
      <c r="HA5" s="1678"/>
      <c r="HB5" s="1679">
        <v>4</v>
      </c>
      <c r="HC5" s="1678"/>
      <c r="HD5" s="1678"/>
      <c r="HE5" s="1678"/>
      <c r="HF5" s="1678"/>
      <c r="HG5" s="1680">
        <v>1</v>
      </c>
      <c r="HH5" s="1678"/>
      <c r="HI5" s="1680">
        <v>8</v>
      </c>
      <c r="HJ5" s="1679">
        <v>1</v>
      </c>
      <c r="HK5" s="1679">
        <v>1</v>
      </c>
      <c r="HL5" s="1679">
        <v>1</v>
      </c>
      <c r="HM5" s="1679">
        <v>1</v>
      </c>
      <c r="HN5" s="1678"/>
      <c r="HO5" s="1678"/>
      <c r="HP5" s="1680">
        <v>1</v>
      </c>
      <c r="HQ5" s="1678"/>
      <c r="HR5" s="1678"/>
      <c r="HS5" s="1678"/>
      <c r="HT5" s="1678"/>
      <c r="HU5" s="1678"/>
      <c r="HV5" s="1678"/>
      <c r="HW5" s="1678"/>
      <c r="HX5" s="1678"/>
      <c r="HY5" s="1678"/>
      <c r="HZ5" s="1678"/>
      <c r="IA5" s="1678"/>
      <c r="IB5" s="1678"/>
      <c r="IC5" s="1678"/>
      <c r="ID5" s="1678"/>
      <c r="IE5" s="1678"/>
      <c r="IF5" s="1681">
        <v>1</v>
      </c>
      <c r="IG5" s="1678"/>
      <c r="IH5" s="1678"/>
      <c r="II5" s="1678"/>
      <c r="IJ5" s="1678"/>
      <c r="IK5" s="1678"/>
      <c r="IL5" s="1678"/>
      <c r="IM5" s="1678"/>
      <c r="IN5" s="1678"/>
      <c r="IO5" s="1678"/>
      <c r="IP5" s="1678"/>
      <c r="IQ5" s="1678"/>
      <c r="IR5" s="1678"/>
      <c r="IS5" s="1681">
        <v>1</v>
      </c>
      <c r="IT5" s="1678">
        <v>4</v>
      </c>
      <c r="IU5" s="1678">
        <v>3</v>
      </c>
      <c r="IV5" s="1678">
        <v>1</v>
      </c>
      <c r="IW5" s="1678">
        <v>1</v>
      </c>
      <c r="IX5" s="1680">
        <v>1</v>
      </c>
      <c r="IY5" s="1681">
        <v>1</v>
      </c>
      <c r="IZ5" s="1679"/>
      <c r="JA5" s="1678"/>
      <c r="JB5" s="1678">
        <v>3</v>
      </c>
      <c r="JC5" s="1678"/>
      <c r="JD5" s="1681">
        <v>7</v>
      </c>
      <c r="JE5" s="1678"/>
      <c r="JF5" s="1678"/>
      <c r="JG5" s="1681">
        <v>1</v>
      </c>
      <c r="JH5" s="1678">
        <v>1</v>
      </c>
      <c r="JI5" s="1678">
        <v>1</v>
      </c>
      <c r="JJ5" s="1678">
        <v>1</v>
      </c>
      <c r="JK5" s="1678">
        <v>2</v>
      </c>
      <c r="JL5" s="1678">
        <v>2</v>
      </c>
      <c r="JM5" s="1678">
        <v>2</v>
      </c>
      <c r="JN5" s="1678"/>
      <c r="JO5" s="1678"/>
      <c r="JP5" s="1678"/>
      <c r="JQ5" s="1683"/>
      <c r="JR5" s="593"/>
      <c r="JS5" s="354"/>
      <c r="JT5" s="355" t="s">
        <v>3734</v>
      </c>
      <c r="JU5" s="598"/>
      <c r="JV5" s="598"/>
    </row>
    <row r="6" spans="1:282" x14ac:dyDescent="0.25">
      <c r="A6" s="1367">
        <v>5</v>
      </c>
      <c r="B6" s="1684" t="str">
        <f t="shared" si="0"/>
        <v/>
      </c>
      <c r="C6" s="1688" t="s">
        <v>4256</v>
      </c>
      <c r="D6" s="1360" t="s">
        <v>4257</v>
      </c>
      <c r="E6" s="1358"/>
      <c r="F6" s="1358"/>
      <c r="G6" s="1358"/>
      <c r="H6" s="1358"/>
      <c r="I6" s="1358"/>
      <c r="J6" s="1358"/>
      <c r="K6" s="1358"/>
      <c r="L6" s="1358"/>
      <c r="M6" s="1358"/>
      <c r="N6" s="1358"/>
      <c r="O6" s="1358"/>
      <c r="P6" s="1358"/>
      <c r="Q6" s="1358"/>
      <c r="R6" s="1358"/>
      <c r="S6" s="1358"/>
      <c r="T6" s="1358"/>
      <c r="U6" s="1358"/>
      <c r="V6" s="1358"/>
      <c r="W6" s="1358"/>
      <c r="X6" s="1358"/>
      <c r="Y6" s="1358"/>
      <c r="Z6" s="1358"/>
      <c r="AA6" s="1358"/>
      <c r="AB6" s="1358"/>
      <c r="AC6" s="1358"/>
      <c r="AD6" s="1358"/>
      <c r="AE6" s="1358"/>
      <c r="AF6" s="1358"/>
      <c r="AG6" s="1358"/>
      <c r="AH6" s="1358"/>
      <c r="AI6" s="1290"/>
      <c r="AJ6" s="1358"/>
      <c r="AK6" s="1290"/>
      <c r="AL6" s="1358"/>
      <c r="AM6" s="1358"/>
      <c r="AN6" s="1358"/>
      <c r="AO6" s="1358"/>
      <c r="AP6" s="1358"/>
      <c r="AQ6" s="1358"/>
      <c r="AR6" s="1358"/>
      <c r="AS6" s="1358"/>
      <c r="AT6" s="1358"/>
      <c r="AU6" s="1290"/>
      <c r="AV6" s="1358"/>
      <c r="AW6" s="1358"/>
      <c r="AX6" s="1358"/>
      <c r="AY6" s="1490">
        <v>290000</v>
      </c>
      <c r="AZ6" s="1358"/>
      <c r="BA6" s="1358"/>
      <c r="BB6" s="1422">
        <v>785134</v>
      </c>
      <c r="BC6" s="1685">
        <v>198469</v>
      </c>
      <c r="BD6" s="1290"/>
      <c r="BE6" s="1358"/>
      <c r="BF6" s="1358"/>
      <c r="BG6" s="1422">
        <v>1842210</v>
      </c>
      <c r="BH6" s="1358"/>
      <c r="BI6" s="1358"/>
      <c r="BJ6" s="1358"/>
      <c r="BK6" s="1358"/>
      <c r="BL6" s="1358"/>
      <c r="BM6" s="1358"/>
      <c r="BN6" s="1358"/>
      <c r="BO6" s="1358"/>
      <c r="BP6" s="1422">
        <v>145000</v>
      </c>
      <c r="BQ6" s="1358"/>
      <c r="BR6" s="1358"/>
      <c r="BS6" s="1358"/>
      <c r="BT6" s="1290"/>
      <c r="BU6" s="1290"/>
      <c r="BV6" s="1358"/>
      <c r="BW6" s="1290"/>
      <c r="BX6" s="1358"/>
      <c r="BY6" s="1358"/>
      <c r="BZ6" s="1290"/>
      <c r="CA6" s="1358"/>
      <c r="CB6" s="1358"/>
      <c r="CC6" s="1358"/>
      <c r="CD6" s="1290"/>
      <c r="CE6" s="1358"/>
      <c r="CF6" s="1358"/>
      <c r="CG6" s="1358"/>
      <c r="CH6" s="1358"/>
      <c r="CI6" s="1358"/>
      <c r="CJ6" s="1358"/>
      <c r="CK6" s="1358"/>
      <c r="CL6" s="1358"/>
      <c r="CM6" s="1358"/>
      <c r="CN6" s="1358"/>
      <c r="CO6" s="1358"/>
      <c r="CP6" s="1358"/>
      <c r="CQ6" s="1358"/>
      <c r="CR6" s="1358"/>
      <c r="CS6" s="1358"/>
      <c r="CT6" s="1290"/>
      <c r="CU6" s="1358"/>
      <c r="CV6" s="1358"/>
      <c r="CW6" s="1358"/>
      <c r="CX6" s="1358"/>
      <c r="CY6" s="1358"/>
      <c r="CZ6" s="1358"/>
      <c r="DA6" s="1290"/>
      <c r="DB6" s="1358"/>
      <c r="DC6" s="1290"/>
      <c r="DD6" s="1358"/>
      <c r="DE6" s="1358"/>
      <c r="DF6" s="1358"/>
      <c r="DG6" s="1290"/>
      <c r="DH6" s="1358"/>
      <c r="DI6" s="1358"/>
      <c r="DJ6" s="1290"/>
      <c r="DK6" s="1358"/>
      <c r="DL6" s="1358"/>
      <c r="DM6" s="1290"/>
      <c r="DN6" s="1358"/>
      <c r="DO6" s="1290"/>
      <c r="DP6" s="1358"/>
      <c r="DQ6" s="1358"/>
      <c r="DR6" s="1358"/>
      <c r="DS6" s="1358"/>
      <c r="DT6" s="1358"/>
      <c r="DU6" s="1358"/>
      <c r="DV6" s="1358"/>
      <c r="DW6" s="1358"/>
      <c r="DX6" s="1358"/>
      <c r="DY6" s="1358"/>
      <c r="DZ6" s="1358"/>
      <c r="EA6" s="1358"/>
      <c r="EB6" s="1358"/>
      <c r="EC6" s="1358"/>
      <c r="ED6" s="1290"/>
      <c r="EE6" s="1290"/>
      <c r="EF6" s="1358"/>
      <c r="EG6" s="1422">
        <v>87516</v>
      </c>
      <c r="EH6" s="1422"/>
      <c r="EI6" s="1358"/>
      <c r="EJ6" s="1358"/>
      <c r="EK6" s="1358"/>
      <c r="EL6" s="1358"/>
      <c r="EM6" s="1490">
        <v>450000</v>
      </c>
      <c r="EN6" s="1490"/>
      <c r="EO6" s="1358"/>
      <c r="EP6" s="1358"/>
      <c r="EQ6" s="1358"/>
      <c r="ER6" s="1290"/>
      <c r="ES6" s="1358"/>
      <c r="ET6" s="1358"/>
      <c r="EU6" s="1358"/>
      <c r="EV6" s="1290"/>
      <c r="EW6" s="1358"/>
      <c r="EX6" s="1358"/>
      <c r="EY6" s="1290"/>
      <c r="EZ6" s="1490"/>
      <c r="FA6" s="1358"/>
      <c r="FB6" s="1358"/>
      <c r="FC6" s="1358"/>
      <c r="FD6" s="1358"/>
      <c r="FE6" s="1422">
        <v>280769.52</v>
      </c>
      <c r="FF6" s="1422">
        <v>4475188</v>
      </c>
      <c r="FG6" s="1290"/>
      <c r="FH6" s="1290"/>
      <c r="FI6" s="1290"/>
      <c r="FJ6" s="1290"/>
      <c r="FK6" s="1422">
        <v>133655</v>
      </c>
      <c r="FL6" s="1290"/>
      <c r="FM6" s="1290"/>
      <c r="FN6" s="1290"/>
      <c r="FO6" s="1290"/>
      <c r="FP6" s="1290"/>
      <c r="FQ6" s="1358"/>
      <c r="FR6" s="1358"/>
      <c r="FS6" s="1358"/>
      <c r="FT6" s="1358"/>
      <c r="FU6" s="1358"/>
      <c r="FV6" s="1358"/>
      <c r="FW6" s="1358"/>
      <c r="FX6" s="1358"/>
      <c r="FY6" s="1358"/>
      <c r="FZ6" s="1358"/>
      <c r="GA6" s="1358"/>
      <c r="GB6" s="1358"/>
      <c r="GC6" s="1358"/>
      <c r="GD6" s="1358"/>
      <c r="GE6" s="1358"/>
      <c r="GF6" s="1358"/>
      <c r="GG6" s="1358"/>
      <c r="GH6" s="1358"/>
      <c r="GI6" s="1358"/>
      <c r="GJ6" s="1358"/>
      <c r="GK6" s="1358"/>
      <c r="GL6" s="1358"/>
      <c r="GM6" s="1358"/>
      <c r="GN6" s="1358"/>
      <c r="GO6" s="1358"/>
      <c r="GP6" s="1358"/>
      <c r="GQ6" s="1358"/>
      <c r="GR6" s="1358"/>
      <c r="GS6" s="1358"/>
      <c r="GT6" s="1358"/>
      <c r="GU6" s="1358"/>
      <c r="GV6" s="1358"/>
      <c r="GW6" s="1358"/>
      <c r="GX6" s="1358"/>
      <c r="GY6" s="1358"/>
      <c r="GZ6" s="1358"/>
      <c r="HA6" s="1358"/>
      <c r="HB6" s="1290">
        <v>625000</v>
      </c>
      <c r="HC6" s="1358"/>
      <c r="HD6" s="1358"/>
      <c r="HE6" s="1358"/>
      <c r="HF6" s="1358"/>
      <c r="HG6" s="1422">
        <v>776959</v>
      </c>
      <c r="HH6" s="1358"/>
      <c r="HI6" s="1290"/>
      <c r="HJ6" s="1290">
        <v>226000</v>
      </c>
      <c r="HK6" s="1290">
        <v>200000</v>
      </c>
      <c r="HL6" s="1422"/>
      <c r="HM6" s="1422"/>
      <c r="HN6" s="1358"/>
      <c r="HO6" s="1358"/>
      <c r="HP6" s="1290"/>
      <c r="HQ6" s="1358"/>
      <c r="HR6" s="1358"/>
      <c r="HS6" s="1358"/>
      <c r="HT6" s="1358"/>
      <c r="HU6" s="1358"/>
      <c r="HV6" s="1358"/>
      <c r="HW6" s="1358"/>
      <c r="HX6" s="1358"/>
      <c r="HY6" s="1358"/>
      <c r="HZ6" s="1358"/>
      <c r="IA6" s="1358"/>
      <c r="IB6" s="1358"/>
      <c r="IC6" s="1358"/>
      <c r="ID6" s="1358"/>
      <c r="IE6" s="1358"/>
      <c r="IF6" s="1358"/>
      <c r="IG6" s="1358"/>
      <c r="IH6" s="1358"/>
      <c r="II6" s="1358"/>
      <c r="IJ6" s="1358"/>
      <c r="IK6" s="1358"/>
      <c r="IL6" s="1358"/>
      <c r="IM6" s="1358"/>
      <c r="IN6" s="1358"/>
      <c r="IO6" s="1358"/>
      <c r="IP6" s="1358"/>
      <c r="IQ6" s="1358"/>
      <c r="IR6" s="1358"/>
      <c r="IS6" s="1358"/>
      <c r="IT6" s="1358">
        <v>385723</v>
      </c>
      <c r="IU6" s="1686">
        <v>172570</v>
      </c>
      <c r="IV6" s="1686">
        <v>440000</v>
      </c>
      <c r="IW6" s="1358">
        <v>93723</v>
      </c>
      <c r="IX6" s="1290"/>
      <c r="IY6" s="1490">
        <v>1445.07</v>
      </c>
      <c r="IZ6" s="1290"/>
      <c r="JA6" s="1358"/>
      <c r="JB6" s="1358">
        <v>179700</v>
      </c>
      <c r="JC6" s="1358"/>
      <c r="JD6" s="1358"/>
      <c r="JE6" s="1358"/>
      <c r="JF6" s="1358"/>
      <c r="JG6" s="1490">
        <v>58950</v>
      </c>
      <c r="JH6" s="1686">
        <v>475000</v>
      </c>
      <c r="JI6" s="1686">
        <v>55000</v>
      </c>
      <c r="JJ6" s="1358">
        <v>540013</v>
      </c>
      <c r="JK6" s="1358">
        <v>343840</v>
      </c>
      <c r="JL6" s="1358">
        <v>1090000</v>
      </c>
      <c r="JM6" s="1358">
        <v>1090000</v>
      </c>
      <c r="JN6" s="1358"/>
      <c r="JO6" s="1358"/>
      <c r="JP6" s="1358"/>
      <c r="JQ6" s="1364"/>
      <c r="JR6" s="593"/>
      <c r="JS6" s="354"/>
      <c r="JT6" s="355" t="s">
        <v>2242</v>
      </c>
      <c r="JU6" s="355" t="s">
        <v>4254</v>
      </c>
      <c r="JV6" s="598"/>
    </row>
    <row r="7" spans="1:282" x14ac:dyDescent="0.25">
      <c r="A7" s="1367">
        <v>6</v>
      </c>
      <c r="B7" s="1684" t="str">
        <f t="shared" si="0"/>
        <v/>
      </c>
      <c r="C7" s="1688" t="s">
        <v>4258</v>
      </c>
      <c r="D7" s="1360" t="s">
        <v>4259</v>
      </c>
      <c r="E7" s="1358"/>
      <c r="F7" s="1358"/>
      <c r="G7" s="1358"/>
      <c r="H7" s="1358"/>
      <c r="I7" s="1358"/>
      <c r="J7" s="1358"/>
      <c r="K7" s="1358"/>
      <c r="L7" s="1358"/>
      <c r="M7" s="1358"/>
      <c r="N7" s="1358"/>
      <c r="O7" s="1358"/>
      <c r="P7" s="1358"/>
      <c r="Q7" s="1358"/>
      <c r="R7" s="1358"/>
      <c r="S7" s="1358"/>
      <c r="T7" s="1358"/>
      <c r="U7" s="1358"/>
      <c r="V7" s="1358"/>
      <c r="W7" s="1358"/>
      <c r="X7" s="1358"/>
      <c r="Y7" s="1358"/>
      <c r="Z7" s="1358"/>
      <c r="AA7" s="1358"/>
      <c r="AB7" s="1358"/>
      <c r="AC7" s="1358"/>
      <c r="AD7" s="1358"/>
      <c r="AE7" s="1358"/>
      <c r="AF7" s="1358"/>
      <c r="AG7" s="1358"/>
      <c r="AH7" s="1358"/>
      <c r="AI7" s="1290"/>
      <c r="AJ7" s="1358"/>
      <c r="AK7" s="1290"/>
      <c r="AL7" s="1358"/>
      <c r="AM7" s="1358"/>
      <c r="AN7" s="1358"/>
      <c r="AO7" s="1358"/>
      <c r="AP7" s="1358"/>
      <c r="AQ7" s="1358"/>
      <c r="AR7" s="1358"/>
      <c r="AS7" s="1358"/>
      <c r="AT7" s="1358"/>
      <c r="AU7" s="1290"/>
      <c r="AV7" s="1358"/>
      <c r="AW7" s="1358"/>
      <c r="AX7" s="1358"/>
      <c r="AY7" s="1687">
        <v>250669.35</v>
      </c>
      <c r="AZ7" s="1358"/>
      <c r="BA7" s="1358"/>
      <c r="BB7" s="1290"/>
      <c r="BC7" s="1685">
        <v>91037</v>
      </c>
      <c r="BD7" s="1290"/>
      <c r="BE7" s="1358"/>
      <c r="BF7" s="1358"/>
      <c r="BG7" s="1422">
        <v>1829028</v>
      </c>
      <c r="BH7" s="1358"/>
      <c r="BI7" s="1358"/>
      <c r="BJ7" s="1358"/>
      <c r="BK7" s="1358"/>
      <c r="BL7" s="1358"/>
      <c r="BM7" s="1358"/>
      <c r="BN7" s="1358"/>
      <c r="BO7" s="1358"/>
      <c r="BP7" s="1422">
        <v>127758</v>
      </c>
      <c r="BQ7" s="1358"/>
      <c r="BR7" s="1358"/>
      <c r="BS7" s="1358"/>
      <c r="BT7" s="1290"/>
      <c r="BU7" s="1290"/>
      <c r="BV7" s="1358"/>
      <c r="BW7" s="1290"/>
      <c r="BX7" s="1358"/>
      <c r="BY7" s="1358"/>
      <c r="BZ7" s="1290"/>
      <c r="CA7" s="1358"/>
      <c r="CB7" s="1358"/>
      <c r="CC7" s="1358"/>
      <c r="CD7" s="1290"/>
      <c r="CE7" s="1358"/>
      <c r="CF7" s="1358"/>
      <c r="CG7" s="1358"/>
      <c r="CH7" s="1358"/>
      <c r="CI7" s="1358"/>
      <c r="CJ7" s="1358"/>
      <c r="CK7" s="1358"/>
      <c r="CL7" s="1358"/>
      <c r="CM7" s="1358"/>
      <c r="CN7" s="1358"/>
      <c r="CO7" s="1358"/>
      <c r="CP7" s="1358"/>
      <c r="CQ7" s="1358"/>
      <c r="CR7" s="1358"/>
      <c r="CS7" s="1358"/>
      <c r="CT7" s="1290"/>
      <c r="CU7" s="1358"/>
      <c r="CV7" s="1358"/>
      <c r="CW7" s="1358"/>
      <c r="CX7" s="1358"/>
      <c r="CY7" s="1358"/>
      <c r="CZ7" s="1358"/>
      <c r="DA7" s="1290"/>
      <c r="DB7" s="1358"/>
      <c r="DC7" s="1290"/>
      <c r="DD7" s="1358"/>
      <c r="DE7" s="1358"/>
      <c r="DF7" s="1358"/>
      <c r="DG7" s="1290"/>
      <c r="DH7" s="1358"/>
      <c r="DI7" s="1358"/>
      <c r="DJ7" s="1290"/>
      <c r="DK7" s="1358"/>
      <c r="DL7" s="1358"/>
      <c r="DM7" s="1290"/>
      <c r="DN7" s="1358"/>
      <c r="DO7" s="1290"/>
      <c r="DP7" s="1358"/>
      <c r="DQ7" s="1358"/>
      <c r="DR7" s="1358"/>
      <c r="DS7" s="1358"/>
      <c r="DT7" s="1358"/>
      <c r="DU7" s="1358"/>
      <c r="DV7" s="1358"/>
      <c r="DW7" s="1358"/>
      <c r="DX7" s="1358"/>
      <c r="DY7" s="1358"/>
      <c r="DZ7" s="1358"/>
      <c r="EA7" s="1358"/>
      <c r="EB7" s="1358"/>
      <c r="EC7" s="1358"/>
      <c r="ED7" s="1290"/>
      <c r="EE7" s="1290"/>
      <c r="EF7" s="1358"/>
      <c r="EG7" s="1290"/>
      <c r="EH7" s="1422"/>
      <c r="EI7" s="1358"/>
      <c r="EJ7" s="1358"/>
      <c r="EK7" s="1358"/>
      <c r="EL7" s="1358"/>
      <c r="EM7" s="1490">
        <v>255057</v>
      </c>
      <c r="EN7" s="1490"/>
      <c r="EO7" s="1358"/>
      <c r="EP7" s="1358"/>
      <c r="EQ7" s="1358"/>
      <c r="ER7" s="1290"/>
      <c r="ES7" s="1358"/>
      <c r="ET7" s="1358"/>
      <c r="EU7" s="1358"/>
      <c r="EV7" s="1290"/>
      <c r="EW7" s="1358"/>
      <c r="EX7" s="1358"/>
      <c r="EY7" s="1290"/>
      <c r="EZ7" s="1490"/>
      <c r="FA7" s="1358"/>
      <c r="FB7" s="1358"/>
      <c r="FC7" s="1358"/>
      <c r="FD7" s="1358"/>
      <c r="FE7" s="1290"/>
      <c r="FF7" s="1290"/>
      <c r="FG7" s="1290"/>
      <c r="FH7" s="1290"/>
      <c r="FI7" s="1290"/>
      <c r="FJ7" s="1290"/>
      <c r="FK7" s="1290"/>
      <c r="FL7" s="1290"/>
      <c r="FM7" s="1290"/>
      <c r="FN7" s="1290"/>
      <c r="FO7" s="1290"/>
      <c r="FP7" s="1290"/>
      <c r="FQ7" s="1358"/>
      <c r="FR7" s="1358"/>
      <c r="FS7" s="1358"/>
      <c r="FT7" s="1358"/>
      <c r="FU7" s="1358"/>
      <c r="FV7" s="1358"/>
      <c r="FW7" s="1358"/>
      <c r="FX7" s="1358"/>
      <c r="FY7" s="1358"/>
      <c r="FZ7" s="1358"/>
      <c r="GA7" s="1358"/>
      <c r="GB7" s="1358"/>
      <c r="GC7" s="1358"/>
      <c r="GD7" s="1358"/>
      <c r="GE7" s="1358"/>
      <c r="GF7" s="1358"/>
      <c r="GG7" s="1358"/>
      <c r="GH7" s="1358"/>
      <c r="GI7" s="1358"/>
      <c r="GJ7" s="1358"/>
      <c r="GK7" s="1358"/>
      <c r="GL7" s="1358"/>
      <c r="GM7" s="1358"/>
      <c r="GN7" s="1358"/>
      <c r="GO7" s="1358"/>
      <c r="GP7" s="1358"/>
      <c r="GQ7" s="1358"/>
      <c r="GR7" s="1358"/>
      <c r="GS7" s="1358"/>
      <c r="GT7" s="1358"/>
      <c r="GU7" s="1358"/>
      <c r="GV7" s="1358"/>
      <c r="GW7" s="1358"/>
      <c r="GX7" s="1358"/>
      <c r="GY7" s="1358"/>
      <c r="GZ7" s="1358"/>
      <c r="HA7" s="1358"/>
      <c r="HB7" s="1290">
        <v>600900</v>
      </c>
      <c r="HC7" s="1358"/>
      <c r="HD7" s="1358"/>
      <c r="HE7" s="1358"/>
      <c r="HF7" s="1358"/>
      <c r="HG7" s="1422">
        <v>235473</v>
      </c>
      <c r="HH7" s="1358"/>
      <c r="HI7" s="1290"/>
      <c r="HJ7" s="1290">
        <v>150860</v>
      </c>
      <c r="HK7" s="1290">
        <v>150860</v>
      </c>
      <c r="HL7" s="1422"/>
      <c r="HM7" s="1422"/>
      <c r="HN7" s="1358"/>
      <c r="HO7" s="1358"/>
      <c r="HP7" s="1290"/>
      <c r="HQ7" s="1358"/>
      <c r="HR7" s="1358"/>
      <c r="HS7" s="1358"/>
      <c r="HT7" s="1358"/>
      <c r="HU7" s="1358"/>
      <c r="HV7" s="1358"/>
      <c r="HW7" s="1358"/>
      <c r="HX7" s="1358"/>
      <c r="HY7" s="1358"/>
      <c r="HZ7" s="1358"/>
      <c r="IA7" s="1358"/>
      <c r="IB7" s="1358"/>
      <c r="IC7" s="1358"/>
      <c r="ID7" s="1358"/>
      <c r="IE7" s="1358"/>
      <c r="IF7" s="1358"/>
      <c r="IG7" s="1358"/>
      <c r="IH7" s="1358"/>
      <c r="II7" s="1358"/>
      <c r="IJ7" s="1358"/>
      <c r="IK7" s="1358"/>
      <c r="IL7" s="1358"/>
      <c r="IM7" s="1358"/>
      <c r="IN7" s="1358"/>
      <c r="IO7" s="1358"/>
      <c r="IP7" s="1358"/>
      <c r="IQ7" s="1358"/>
      <c r="IR7" s="1358"/>
      <c r="IS7" s="1358"/>
      <c r="IT7" s="1358">
        <v>316588</v>
      </c>
      <c r="IU7" s="1686">
        <v>116677</v>
      </c>
      <c r="IV7" s="1686">
        <v>81000</v>
      </c>
      <c r="IW7" s="1358">
        <v>82641</v>
      </c>
      <c r="IX7" s="1290"/>
      <c r="IY7" s="1358"/>
      <c r="IZ7" s="1290"/>
      <c r="JA7" s="1358"/>
      <c r="JB7" s="1358">
        <v>119650</v>
      </c>
      <c r="JC7" s="1358"/>
      <c r="JD7" s="1358"/>
      <c r="JE7" s="1358"/>
      <c r="JF7" s="1358"/>
      <c r="JG7" s="1358"/>
      <c r="JH7" s="1686">
        <v>114421</v>
      </c>
      <c r="JI7" s="1686">
        <v>49037</v>
      </c>
      <c r="JJ7" s="1358">
        <v>503006</v>
      </c>
      <c r="JK7" s="1358">
        <v>320261</v>
      </c>
      <c r="JL7" s="1358">
        <v>987500</v>
      </c>
      <c r="JM7" s="1358">
        <v>987500</v>
      </c>
      <c r="JN7" s="1358"/>
      <c r="JO7" s="1358"/>
      <c r="JP7" s="1358"/>
      <c r="JQ7" s="1364"/>
      <c r="JR7" s="593"/>
      <c r="JS7" s="354"/>
      <c r="JT7" s="355" t="s">
        <v>2242</v>
      </c>
      <c r="JU7" s="355" t="s">
        <v>3492</v>
      </c>
      <c r="JV7" s="598"/>
    </row>
    <row r="8" spans="1:282" x14ac:dyDescent="0.25">
      <c r="A8" s="1367">
        <v>7</v>
      </c>
      <c r="B8" s="1684">
        <f t="shared" si="0"/>
        <v>29077</v>
      </c>
      <c r="C8" s="1688" t="s">
        <v>4260</v>
      </c>
      <c r="D8" s="1360" t="s">
        <v>4261</v>
      </c>
      <c r="E8" s="1358"/>
      <c r="F8" s="1358"/>
      <c r="G8" s="1358"/>
      <c r="H8" s="1358"/>
      <c r="I8" s="1358"/>
      <c r="J8" s="1358"/>
      <c r="K8" s="1358"/>
      <c r="L8" s="1358"/>
      <c r="M8" s="1358"/>
      <c r="N8" s="1358"/>
      <c r="O8" s="1358"/>
      <c r="P8" s="1358"/>
      <c r="Q8" s="1358"/>
      <c r="R8" s="1358"/>
      <c r="S8" s="1358"/>
      <c r="T8" s="1358"/>
      <c r="U8" s="1358"/>
      <c r="V8" s="1358"/>
      <c r="W8" s="1358"/>
      <c r="X8" s="1358"/>
      <c r="Y8" s="1358"/>
      <c r="Z8" s="1358"/>
      <c r="AA8" s="1358"/>
      <c r="AB8" s="1358"/>
      <c r="AC8" s="1358"/>
      <c r="AD8" s="1358"/>
      <c r="AE8" s="1358"/>
      <c r="AF8" s="1358"/>
      <c r="AG8" s="1358"/>
      <c r="AH8" s="1358"/>
      <c r="AI8" s="1358"/>
      <c r="AJ8" s="1358"/>
      <c r="AK8" s="1358"/>
      <c r="AL8" s="1358"/>
      <c r="AM8" s="1358"/>
      <c r="AN8" s="1358"/>
      <c r="AO8" s="1358"/>
      <c r="AP8" s="1358"/>
      <c r="AQ8" s="1358"/>
      <c r="AR8" s="1358"/>
      <c r="AS8" s="1358"/>
      <c r="AT8" s="1358"/>
      <c r="AU8" s="1358"/>
      <c r="AV8" s="1358"/>
      <c r="AW8" s="1358"/>
      <c r="AX8" s="1358"/>
      <c r="AY8" s="1693">
        <v>39330.65</v>
      </c>
      <c r="AZ8" s="1358"/>
      <c r="BA8" s="1358"/>
      <c r="BB8" s="1694">
        <v>226835</v>
      </c>
      <c r="BC8" s="1693">
        <v>107432</v>
      </c>
      <c r="BD8" s="1358">
        <v>11000</v>
      </c>
      <c r="BE8" s="1358"/>
      <c r="BF8" s="1358"/>
      <c r="BG8" s="1694">
        <v>13182</v>
      </c>
      <c r="BH8" s="1358"/>
      <c r="BI8" s="1358"/>
      <c r="BJ8" s="1358"/>
      <c r="BK8" s="1358"/>
      <c r="BL8" s="1358"/>
      <c r="BM8" s="1358"/>
      <c r="BN8" s="1358"/>
      <c r="BO8" s="1358"/>
      <c r="BP8" s="1694">
        <v>17243</v>
      </c>
      <c r="BQ8" s="1358"/>
      <c r="BR8" s="1358"/>
      <c r="BS8" s="1358"/>
      <c r="BT8" s="1358"/>
      <c r="BU8" s="1358"/>
      <c r="BV8" s="1358"/>
      <c r="BW8" s="1358"/>
      <c r="BX8" s="1358"/>
      <c r="BY8" s="1358"/>
      <c r="BZ8" s="1358"/>
      <c r="CA8" s="1358"/>
      <c r="CB8" s="1358"/>
      <c r="CC8" s="1358"/>
      <c r="CD8" s="1358"/>
      <c r="CE8" s="1358"/>
      <c r="CF8" s="1358"/>
      <c r="CG8" s="1358"/>
      <c r="CH8" s="1358"/>
      <c r="CI8" s="1358"/>
      <c r="CJ8" s="1358"/>
      <c r="CK8" s="1358"/>
      <c r="CL8" s="1358"/>
      <c r="CM8" s="1358"/>
      <c r="CN8" s="1358"/>
      <c r="CO8" s="1358"/>
      <c r="CP8" s="1358"/>
      <c r="CQ8" s="1358">
        <v>14600</v>
      </c>
      <c r="CR8" s="1358"/>
      <c r="CS8" s="1358"/>
      <c r="CT8" s="1358"/>
      <c r="CU8" s="1358"/>
      <c r="CV8" s="1358"/>
      <c r="CW8" s="1358"/>
      <c r="CX8" s="1358"/>
      <c r="CY8" s="1358"/>
      <c r="CZ8" s="1358"/>
      <c r="DA8" s="1358"/>
      <c r="DB8" s="1358"/>
      <c r="DC8" s="1358"/>
      <c r="DD8" s="1358"/>
      <c r="DE8" s="1358"/>
      <c r="DF8" s="1358"/>
      <c r="DG8" s="1358"/>
      <c r="DH8" s="1358"/>
      <c r="DI8" s="1358"/>
      <c r="DJ8" s="1358"/>
      <c r="DK8" s="1358"/>
      <c r="DL8" s="1358"/>
      <c r="DM8" s="1358"/>
      <c r="DN8" s="1358"/>
      <c r="DO8" s="1358"/>
      <c r="DP8" s="1358"/>
      <c r="DQ8" s="1358"/>
      <c r="DR8" s="1358"/>
      <c r="DS8" s="1358"/>
      <c r="DT8" s="1358"/>
      <c r="DU8" s="1358"/>
      <c r="DV8" s="1358"/>
      <c r="DW8" s="1358"/>
      <c r="DX8" s="1358"/>
      <c r="DY8" s="1358"/>
      <c r="DZ8" s="1358"/>
      <c r="EA8" s="1358"/>
      <c r="EB8" s="1358"/>
      <c r="EC8" s="1358"/>
      <c r="ED8" s="1358"/>
      <c r="EE8" s="1358"/>
      <c r="EF8" s="1358"/>
      <c r="EG8" s="1694">
        <v>87516</v>
      </c>
      <c r="EH8" s="1358"/>
      <c r="EI8" s="1358"/>
      <c r="EJ8" s="1358"/>
      <c r="EK8" s="1358"/>
      <c r="EL8" s="1358"/>
      <c r="EM8" s="1693">
        <v>194943</v>
      </c>
      <c r="EN8" s="1693"/>
      <c r="EO8" s="1358"/>
      <c r="EP8" s="1358"/>
      <c r="EQ8" s="1358"/>
      <c r="ER8" s="1694">
        <v>7149</v>
      </c>
      <c r="ES8" s="1358"/>
      <c r="ET8" s="1358"/>
      <c r="EU8" s="1358"/>
      <c r="EV8" s="1358"/>
      <c r="EW8" s="1358"/>
      <c r="EX8" s="1358"/>
      <c r="EY8" s="1358"/>
      <c r="EZ8" s="1693"/>
      <c r="FA8" s="1693">
        <v>98278</v>
      </c>
      <c r="FB8" s="1693">
        <v>7758939</v>
      </c>
      <c r="FC8" s="1693">
        <v>7149</v>
      </c>
      <c r="FD8" s="1693">
        <v>112761</v>
      </c>
      <c r="FE8" s="1694">
        <v>280769</v>
      </c>
      <c r="FF8" s="1694">
        <v>4475188</v>
      </c>
      <c r="FG8" s="1358"/>
      <c r="FH8" s="1694">
        <v>112761</v>
      </c>
      <c r="FI8" s="1694">
        <v>7902</v>
      </c>
      <c r="FJ8" s="1694">
        <v>225088</v>
      </c>
      <c r="FK8" s="1694">
        <v>134266</v>
      </c>
      <c r="FL8" s="1358"/>
      <c r="FM8" s="1694">
        <v>585300</v>
      </c>
      <c r="FN8" s="1358"/>
      <c r="FO8" s="1358"/>
      <c r="FP8" s="1694">
        <v>29077</v>
      </c>
      <c r="FQ8" s="1358"/>
      <c r="FR8" s="1358"/>
      <c r="FS8" s="1358"/>
      <c r="FT8" s="1358"/>
      <c r="FU8" s="1358"/>
      <c r="FV8" s="1358"/>
      <c r="FW8" s="1358"/>
      <c r="FX8" s="1358"/>
      <c r="FY8" s="1358"/>
      <c r="FZ8" s="1358"/>
      <c r="GA8" s="1358"/>
      <c r="GB8" s="1358"/>
      <c r="GC8" s="1358"/>
      <c r="GD8" s="1358"/>
      <c r="GE8" s="1358"/>
      <c r="GF8" s="1358"/>
      <c r="GG8" s="1358"/>
      <c r="GH8" s="1358"/>
      <c r="GI8" s="1358"/>
      <c r="GJ8" s="1358"/>
      <c r="GK8" s="1358">
        <v>8000</v>
      </c>
      <c r="GL8" s="1358"/>
      <c r="GM8" s="1358"/>
      <c r="GN8" s="1358"/>
      <c r="GO8" s="1358"/>
      <c r="GP8" s="1358"/>
      <c r="GQ8" s="1358"/>
      <c r="GR8" s="1358"/>
      <c r="GS8" s="1358"/>
      <c r="GT8" s="1358"/>
      <c r="GU8" s="1358"/>
      <c r="GV8" s="1358"/>
      <c r="GW8" s="1358"/>
      <c r="GX8" s="1358"/>
      <c r="GY8" s="1358"/>
      <c r="GZ8" s="1358"/>
      <c r="HA8" s="1358"/>
      <c r="HB8" s="1358">
        <v>5000</v>
      </c>
      <c r="HC8" s="1358"/>
      <c r="HD8" s="1358"/>
      <c r="HE8" s="1358"/>
      <c r="HF8" s="1358"/>
      <c r="HG8" s="1490">
        <v>753416</v>
      </c>
      <c r="HH8" s="1358"/>
      <c r="HI8" s="1358">
        <v>932832</v>
      </c>
      <c r="HJ8" s="1358">
        <f>MAX(0,HJ6-HJ7)</f>
        <v>75140</v>
      </c>
      <c r="HK8" s="1358">
        <f>MAX(0,HK6-HK7)</f>
        <v>49140</v>
      </c>
      <c r="HL8" s="1694">
        <v>304305</v>
      </c>
      <c r="HM8" s="1694">
        <v>5756386</v>
      </c>
      <c r="HN8" s="1358"/>
      <c r="HO8" s="1358"/>
      <c r="HP8" s="1694">
        <v>56681</v>
      </c>
      <c r="HQ8" s="1358"/>
      <c r="HR8" s="1358"/>
      <c r="HS8" s="1358"/>
      <c r="HT8" s="1358"/>
      <c r="HU8" s="1358"/>
      <c r="HV8" s="1358"/>
      <c r="HW8" s="1358"/>
      <c r="HX8" s="1358"/>
      <c r="HY8" s="1358"/>
      <c r="HZ8" s="1358"/>
      <c r="IA8" s="1358"/>
      <c r="IB8" s="1358"/>
      <c r="IC8" s="1358"/>
      <c r="ID8" s="1358"/>
      <c r="IE8" s="1358"/>
      <c r="IF8" s="1693">
        <v>357554</v>
      </c>
      <c r="IG8" s="1358"/>
      <c r="IH8" s="1358"/>
      <c r="II8" s="1358"/>
      <c r="IJ8" s="1358"/>
      <c r="IK8" s="1358"/>
      <c r="IL8" s="1358"/>
      <c r="IM8" s="1358"/>
      <c r="IN8" s="1358"/>
      <c r="IO8" s="1358"/>
      <c r="IP8" s="1358"/>
      <c r="IQ8" s="1358"/>
      <c r="IR8" s="1358"/>
      <c r="IS8" s="1693">
        <v>1911950</v>
      </c>
      <c r="IT8" s="1358">
        <f>MAX(0,IT6-IT7)</f>
        <v>69135</v>
      </c>
      <c r="IU8" s="1358">
        <f>MAX(0,IU6-IU7)</f>
        <v>55893</v>
      </c>
      <c r="IV8" s="1358">
        <f>MAX(0,IV6-IV7)</f>
        <v>359000</v>
      </c>
      <c r="IW8" s="1358">
        <f>MAX(0,IW6-IW7)</f>
        <v>11082</v>
      </c>
      <c r="IX8" s="1693">
        <v>5656628</v>
      </c>
      <c r="IY8" s="1693">
        <v>1445</v>
      </c>
      <c r="IZ8" s="1358"/>
      <c r="JA8" s="1358"/>
      <c r="JB8" s="1358">
        <f t="shared" ref="JB8" si="1">MAX(0,JB6-JB7)</f>
        <v>60050</v>
      </c>
      <c r="JC8" s="1358"/>
      <c r="JD8" s="1693">
        <v>273567</v>
      </c>
      <c r="JE8" s="1358"/>
      <c r="JF8" s="1358"/>
      <c r="JG8" s="1490">
        <v>58950</v>
      </c>
      <c r="JH8" s="1358">
        <f t="shared" ref="JH8:JM8" si="2">MAX(0,JH6-JH7)</f>
        <v>360579</v>
      </c>
      <c r="JI8" s="1358">
        <f t="shared" si="2"/>
        <v>5963</v>
      </c>
      <c r="JJ8" s="1358">
        <f t="shared" si="2"/>
        <v>37007</v>
      </c>
      <c r="JK8" s="1358">
        <f t="shared" si="2"/>
        <v>23579</v>
      </c>
      <c r="JL8" s="1358">
        <f t="shared" si="2"/>
        <v>102500</v>
      </c>
      <c r="JM8" s="1358">
        <f t="shared" si="2"/>
        <v>102500</v>
      </c>
      <c r="JN8" s="1358"/>
      <c r="JO8" s="1358"/>
      <c r="JP8" s="1358"/>
      <c r="JQ8" s="1358"/>
      <c r="JR8" s="593"/>
      <c r="JS8" s="354"/>
      <c r="JT8" s="355" t="s">
        <v>2242</v>
      </c>
      <c r="JU8" s="355" t="s">
        <v>4254</v>
      </c>
      <c r="JV8" s="598"/>
    </row>
    <row r="9" spans="1:282" x14ac:dyDescent="0.25">
      <c r="A9" s="1367">
        <v>8</v>
      </c>
      <c r="B9" s="1684" t="str">
        <f t="shared" si="0"/>
        <v/>
      </c>
      <c r="C9" s="1689" t="s">
        <v>4262</v>
      </c>
      <c r="D9" s="1690" t="s">
        <v>3252</v>
      </c>
      <c r="E9" s="1358"/>
      <c r="F9" s="1358"/>
      <c r="G9" s="1358"/>
      <c r="H9" s="1358"/>
      <c r="I9" s="1358"/>
      <c r="J9" s="1358"/>
      <c r="K9" s="1358"/>
      <c r="L9" s="1358"/>
      <c r="M9" s="1358"/>
      <c r="N9" s="1358"/>
      <c r="O9" s="1358"/>
      <c r="P9" s="1358"/>
      <c r="Q9" s="1358"/>
      <c r="R9" s="1358"/>
      <c r="S9" s="1358"/>
      <c r="T9" s="1358"/>
      <c r="U9" s="1358"/>
      <c r="V9" s="1358"/>
      <c r="W9" s="1358"/>
      <c r="X9" s="1358"/>
      <c r="Y9" s="1358"/>
      <c r="Z9" s="1358"/>
      <c r="AA9" s="1358"/>
      <c r="AB9" s="1358"/>
      <c r="AC9" s="1358"/>
      <c r="AD9" s="1358"/>
      <c r="AE9" s="1358"/>
      <c r="AF9" s="1358"/>
      <c r="AG9" s="1358"/>
      <c r="AH9" s="1358"/>
      <c r="AI9" s="1358"/>
      <c r="AJ9" s="1358"/>
      <c r="AK9" s="1358"/>
      <c r="AL9" s="1358"/>
      <c r="AM9" s="1358"/>
      <c r="AN9" s="1358"/>
      <c r="AO9" s="1358"/>
      <c r="AP9" s="1358"/>
      <c r="AQ9" s="1358"/>
      <c r="AR9" s="1358"/>
      <c r="AS9" s="1358"/>
      <c r="AT9" s="1358"/>
      <c r="AU9" s="1358"/>
      <c r="AV9" s="1358"/>
      <c r="AW9" s="1358"/>
      <c r="AX9" s="1358"/>
      <c r="AY9" s="1686"/>
      <c r="AZ9" s="1358"/>
      <c r="BA9" s="1358"/>
      <c r="BB9" s="1691"/>
      <c r="BC9" s="1686"/>
      <c r="BD9" s="1358"/>
      <c r="BE9" s="1358"/>
      <c r="BF9" s="1358"/>
      <c r="BG9" s="1691"/>
      <c r="BH9" s="1358"/>
      <c r="BI9" s="1358"/>
      <c r="BJ9" s="1358"/>
      <c r="BK9" s="1358"/>
      <c r="BL9" s="1358"/>
      <c r="BM9" s="1358"/>
      <c r="BN9" s="1358"/>
      <c r="BO9" s="1358"/>
      <c r="BP9" s="1691"/>
      <c r="BQ9" s="1358"/>
      <c r="BR9" s="1358"/>
      <c r="BS9" s="1358"/>
      <c r="BT9" s="1358"/>
      <c r="BU9" s="1358"/>
      <c r="BV9" s="1358"/>
      <c r="BW9" s="1358"/>
      <c r="BX9" s="1358"/>
      <c r="BY9" s="1358"/>
      <c r="BZ9" s="1358"/>
      <c r="CA9" s="1358"/>
      <c r="CB9" s="1358"/>
      <c r="CC9" s="1358"/>
      <c r="CD9" s="1358"/>
      <c r="CE9" s="1358"/>
      <c r="CF9" s="1358"/>
      <c r="CG9" s="1358"/>
      <c r="CH9" s="1358"/>
      <c r="CI9" s="1358"/>
      <c r="CJ9" s="1358"/>
      <c r="CK9" s="1358"/>
      <c r="CL9" s="1358"/>
      <c r="CM9" s="1358"/>
      <c r="CN9" s="1358"/>
      <c r="CO9" s="1358"/>
      <c r="CP9" s="1358"/>
      <c r="CQ9" s="1358"/>
      <c r="CR9" s="1358"/>
      <c r="CS9" s="1358"/>
      <c r="CT9" s="1358"/>
      <c r="CU9" s="1358"/>
      <c r="CV9" s="1358"/>
      <c r="CW9" s="1358"/>
      <c r="CX9" s="1358"/>
      <c r="CY9" s="1358"/>
      <c r="CZ9" s="1358"/>
      <c r="DA9" s="1358"/>
      <c r="DB9" s="1358"/>
      <c r="DC9" s="1358"/>
      <c r="DD9" s="1358"/>
      <c r="DE9" s="1358"/>
      <c r="DF9" s="1358"/>
      <c r="DG9" s="1358"/>
      <c r="DH9" s="1358"/>
      <c r="DI9" s="1358"/>
      <c r="DJ9" s="1358"/>
      <c r="DK9" s="1358"/>
      <c r="DL9" s="1358"/>
      <c r="DM9" s="1358"/>
      <c r="DN9" s="1358"/>
      <c r="DO9" s="1358"/>
      <c r="DP9" s="1358"/>
      <c r="DQ9" s="1358"/>
      <c r="DR9" s="1358"/>
      <c r="DS9" s="1358"/>
      <c r="DT9" s="1358"/>
      <c r="DU9" s="1358"/>
      <c r="DV9" s="1358"/>
      <c r="DW9" s="1358"/>
      <c r="DX9" s="1358"/>
      <c r="DY9" s="1358"/>
      <c r="DZ9" s="1358"/>
      <c r="EA9" s="1358"/>
      <c r="EB9" s="1358"/>
      <c r="EC9" s="1358"/>
      <c r="ED9" s="1358"/>
      <c r="EE9" s="1358"/>
      <c r="EF9" s="1358"/>
      <c r="EG9" s="1691"/>
      <c r="EH9" s="1358"/>
      <c r="EI9" s="1358"/>
      <c r="EJ9" s="1358"/>
      <c r="EK9" s="1358"/>
      <c r="EL9" s="1358"/>
      <c r="EM9" s="1686"/>
      <c r="EN9" s="1686"/>
      <c r="EO9" s="1358"/>
      <c r="EP9" s="1358"/>
      <c r="EQ9" s="1358"/>
      <c r="ER9" s="1691"/>
      <c r="ES9" s="1358"/>
      <c r="ET9" s="1358"/>
      <c r="EU9" s="1358"/>
      <c r="EV9" s="1358"/>
      <c r="EW9" s="1358"/>
      <c r="EX9" s="1358"/>
      <c r="EY9" s="1358"/>
      <c r="EZ9" s="1686"/>
      <c r="FA9" s="1686"/>
      <c r="FB9" s="1686"/>
      <c r="FC9" s="1686"/>
      <c r="FD9" s="1686"/>
      <c r="FE9" s="1691"/>
      <c r="FF9" s="1691"/>
      <c r="FG9" s="1358"/>
      <c r="FH9" s="1691"/>
      <c r="FI9" s="1691"/>
      <c r="FJ9" s="1691"/>
      <c r="FK9" s="1691"/>
      <c r="FL9" s="1358"/>
      <c r="FM9" s="1691"/>
      <c r="FN9" s="1358"/>
      <c r="FO9" s="1358"/>
      <c r="FP9" s="1691"/>
      <c r="FQ9" s="1358"/>
      <c r="FR9" s="1358"/>
      <c r="FS9" s="1358"/>
      <c r="FT9" s="1358"/>
      <c r="FU9" s="1358"/>
      <c r="FV9" s="1358"/>
      <c r="FW9" s="1358"/>
      <c r="FX9" s="1358"/>
      <c r="FY9" s="1358"/>
      <c r="FZ9" s="1358"/>
      <c r="GA9" s="1358"/>
      <c r="GB9" s="1358"/>
      <c r="GC9" s="1358"/>
      <c r="GD9" s="1358"/>
      <c r="GE9" s="1358"/>
      <c r="GF9" s="1358"/>
      <c r="GG9" s="1358"/>
      <c r="GH9" s="1358"/>
      <c r="GI9" s="1358"/>
      <c r="GJ9" s="1358"/>
      <c r="GK9" s="1358"/>
      <c r="GL9" s="1358"/>
      <c r="GM9" s="1358"/>
      <c r="GN9" s="1358"/>
      <c r="GO9" s="1358"/>
      <c r="GP9" s="1358"/>
      <c r="GQ9" s="1358"/>
      <c r="GR9" s="1358"/>
      <c r="GS9" s="1358"/>
      <c r="GT9" s="1358"/>
      <c r="GU9" s="1358"/>
      <c r="GV9" s="1358"/>
      <c r="GW9" s="1358"/>
      <c r="GX9" s="1358"/>
      <c r="GY9" s="1358"/>
      <c r="GZ9" s="1358"/>
      <c r="HA9" s="1358"/>
      <c r="HB9" s="1358"/>
      <c r="HC9" s="1358"/>
      <c r="HD9" s="1358"/>
      <c r="HE9" s="1358"/>
      <c r="HF9" s="1358"/>
      <c r="HG9" s="1490">
        <v>753416</v>
      </c>
      <c r="HH9" s="1358"/>
      <c r="HI9" s="1358"/>
      <c r="HJ9" s="1358"/>
      <c r="HK9" s="1358"/>
      <c r="HL9" s="1691"/>
      <c r="HM9" s="1691"/>
      <c r="HN9" s="1358"/>
      <c r="HO9" s="1358"/>
      <c r="HP9" s="1691"/>
      <c r="HQ9" s="1358"/>
      <c r="HR9" s="1358"/>
      <c r="HS9" s="1358"/>
      <c r="HT9" s="1358"/>
      <c r="HU9" s="1358"/>
      <c r="HV9" s="1358"/>
      <c r="HW9" s="1358"/>
      <c r="HX9" s="1358"/>
      <c r="HY9" s="1358"/>
      <c r="HZ9" s="1358"/>
      <c r="IA9" s="1358"/>
      <c r="IB9" s="1358"/>
      <c r="IC9" s="1358"/>
      <c r="ID9" s="1358"/>
      <c r="IE9" s="1358"/>
      <c r="IF9" s="1686"/>
      <c r="IG9" s="1358"/>
      <c r="IH9" s="1358"/>
      <c r="II9" s="1358"/>
      <c r="IJ9" s="1358"/>
      <c r="IK9" s="1358"/>
      <c r="IL9" s="1358"/>
      <c r="IM9" s="1358"/>
      <c r="IN9" s="1358"/>
      <c r="IO9" s="1358"/>
      <c r="IP9" s="1358"/>
      <c r="IQ9" s="1358"/>
      <c r="IR9" s="1358"/>
      <c r="IS9" s="1686"/>
      <c r="IT9" s="1358"/>
      <c r="IU9" s="1358"/>
      <c r="IV9" s="1358"/>
      <c r="IW9" s="1358"/>
      <c r="IX9" s="1686"/>
      <c r="IY9" s="1686"/>
      <c r="IZ9" s="1358"/>
      <c r="JA9" s="1358"/>
      <c r="JB9" s="1358"/>
      <c r="JC9" s="1358"/>
      <c r="JD9" s="1686"/>
      <c r="JE9" s="1358"/>
      <c r="JF9" s="1358"/>
      <c r="JG9" s="1358"/>
      <c r="JH9" s="1358"/>
      <c r="JI9" s="1358"/>
      <c r="JJ9" s="1358"/>
      <c r="JK9" s="1358"/>
      <c r="JL9" s="1358"/>
      <c r="JM9" s="1358"/>
      <c r="JN9" s="1358"/>
      <c r="JO9" s="1358"/>
      <c r="JP9" s="1358"/>
      <c r="JQ9" s="1358"/>
      <c r="JR9" s="593"/>
      <c r="JS9" s="354"/>
      <c r="JT9" s="355"/>
      <c r="JU9" s="355"/>
      <c r="JV9" s="598"/>
    </row>
    <row r="10" spans="1:282" x14ac:dyDescent="0.25">
      <c r="A10" s="1367">
        <v>9</v>
      </c>
      <c r="B10" s="1684" t="str">
        <f t="shared" si="0"/>
        <v/>
      </c>
      <c r="C10" s="1688" t="s">
        <v>4263</v>
      </c>
      <c r="D10" s="1360" t="s">
        <v>4264</v>
      </c>
      <c r="E10" s="1686"/>
      <c r="F10" s="1686"/>
      <c r="G10" s="1686"/>
      <c r="H10" s="1686"/>
      <c r="I10" s="1686"/>
      <c r="J10" s="1686"/>
      <c r="K10" s="1686"/>
      <c r="L10" s="1686"/>
      <c r="M10" s="1686"/>
      <c r="N10" s="1686"/>
      <c r="O10" s="1686"/>
      <c r="P10" s="1686"/>
      <c r="Q10" s="1686"/>
      <c r="R10" s="1686"/>
      <c r="S10" s="1686"/>
      <c r="T10" s="1686"/>
      <c r="U10" s="1686"/>
      <c r="V10" s="1686"/>
      <c r="W10" s="1686"/>
      <c r="X10" s="1686"/>
      <c r="Y10" s="1686"/>
      <c r="Z10" s="1686"/>
      <c r="AA10" s="1686"/>
      <c r="AB10" s="1686"/>
      <c r="AC10" s="1686"/>
      <c r="AD10" s="1686"/>
      <c r="AE10" s="1686"/>
      <c r="AF10" s="1686"/>
      <c r="AG10" s="1686"/>
      <c r="AH10" s="1686"/>
      <c r="AI10" s="1691"/>
      <c r="AJ10" s="1686"/>
      <c r="AK10" s="1691"/>
      <c r="AL10" s="1686"/>
      <c r="AM10" s="1686"/>
      <c r="AN10" s="1686"/>
      <c r="AO10" s="1686"/>
      <c r="AP10" s="1686"/>
      <c r="AQ10" s="1686"/>
      <c r="AR10" s="1686"/>
      <c r="AS10" s="1686"/>
      <c r="AT10" s="1686"/>
      <c r="AU10" s="1691"/>
      <c r="AV10" s="1686"/>
      <c r="AW10" s="1686"/>
      <c r="AX10" s="1686"/>
      <c r="AY10" s="1686"/>
      <c r="AZ10" s="1686"/>
      <c r="BA10" s="1686"/>
      <c r="BB10" s="1691"/>
      <c r="BC10" s="1686"/>
      <c r="BD10" s="1691"/>
      <c r="BE10" s="1686"/>
      <c r="BF10" s="1686"/>
      <c r="BG10" s="1691"/>
      <c r="BH10" s="1686"/>
      <c r="BI10" s="1686"/>
      <c r="BJ10" s="1686"/>
      <c r="BK10" s="1686"/>
      <c r="BL10" s="1686"/>
      <c r="BM10" s="1686"/>
      <c r="BN10" s="1686"/>
      <c r="BO10" s="1686"/>
      <c r="BP10" s="1691"/>
      <c r="BQ10" s="1686"/>
      <c r="BR10" s="1686"/>
      <c r="BS10" s="1686"/>
      <c r="BT10" s="1691"/>
      <c r="BU10" s="1691"/>
      <c r="BV10" s="1686"/>
      <c r="BW10" s="1691"/>
      <c r="BX10" s="1686"/>
      <c r="BY10" s="1686"/>
      <c r="BZ10" s="1691"/>
      <c r="CA10" s="1686"/>
      <c r="CB10" s="1686"/>
      <c r="CC10" s="1686"/>
      <c r="CD10" s="1691"/>
      <c r="CE10" s="1686"/>
      <c r="CF10" s="1686"/>
      <c r="CG10" s="1686"/>
      <c r="CH10" s="1686"/>
      <c r="CI10" s="1686"/>
      <c r="CJ10" s="1686"/>
      <c r="CK10" s="1686"/>
      <c r="CL10" s="1686"/>
      <c r="CM10" s="1686"/>
      <c r="CN10" s="1686"/>
      <c r="CO10" s="1686"/>
      <c r="CP10" s="1686"/>
      <c r="CQ10" s="1686"/>
      <c r="CR10" s="1686"/>
      <c r="CS10" s="1686"/>
      <c r="CT10" s="1691"/>
      <c r="CU10" s="1686"/>
      <c r="CV10" s="1686"/>
      <c r="CW10" s="1686"/>
      <c r="CX10" s="1686"/>
      <c r="CY10" s="1686"/>
      <c r="CZ10" s="1686"/>
      <c r="DA10" s="1691"/>
      <c r="DB10" s="1686"/>
      <c r="DC10" s="1691"/>
      <c r="DD10" s="1686"/>
      <c r="DE10" s="1686"/>
      <c r="DF10" s="1686"/>
      <c r="DG10" s="1691"/>
      <c r="DH10" s="1686"/>
      <c r="DI10" s="1686"/>
      <c r="DJ10" s="1691"/>
      <c r="DK10" s="1686"/>
      <c r="DL10" s="1686"/>
      <c r="DM10" s="1691"/>
      <c r="DN10" s="1686"/>
      <c r="DO10" s="1691"/>
      <c r="DP10" s="1686"/>
      <c r="DQ10" s="1686"/>
      <c r="DR10" s="1686"/>
      <c r="DS10" s="1686"/>
      <c r="DT10" s="1686"/>
      <c r="DU10" s="1686"/>
      <c r="DV10" s="1686"/>
      <c r="DW10" s="1686"/>
      <c r="DX10" s="1686"/>
      <c r="DY10" s="1686"/>
      <c r="DZ10" s="1686"/>
      <c r="EA10" s="1686"/>
      <c r="EB10" s="1686"/>
      <c r="EC10" s="1686"/>
      <c r="ED10" s="1691"/>
      <c r="EE10" s="1691"/>
      <c r="EF10" s="1686"/>
      <c r="EG10" s="1691"/>
      <c r="EH10" s="1694"/>
      <c r="EI10" s="1686"/>
      <c r="EJ10" s="1686"/>
      <c r="EK10" s="1686"/>
      <c r="EL10" s="1686"/>
      <c r="EM10" s="1686"/>
      <c r="EN10" s="1686"/>
      <c r="EO10" s="1686"/>
      <c r="EP10" s="1686"/>
      <c r="EQ10" s="1686"/>
      <c r="ER10" s="1691"/>
      <c r="ES10" s="1686"/>
      <c r="ET10" s="1686"/>
      <c r="EU10" s="1686"/>
      <c r="EV10" s="1691"/>
      <c r="EW10" s="1686"/>
      <c r="EX10" s="1686"/>
      <c r="EY10" s="1691"/>
      <c r="EZ10" s="1686"/>
      <c r="FA10" s="1686"/>
      <c r="FB10" s="1686"/>
      <c r="FC10" s="1686"/>
      <c r="FD10" s="1686"/>
      <c r="FE10" s="1691"/>
      <c r="FF10" s="1691"/>
      <c r="FG10" s="1691"/>
      <c r="FH10" s="1691"/>
      <c r="FI10" s="1691"/>
      <c r="FJ10" s="1691"/>
      <c r="FK10" s="1691"/>
      <c r="FL10" s="1691"/>
      <c r="FM10" s="1691"/>
      <c r="FN10" s="1691"/>
      <c r="FO10" s="1691"/>
      <c r="FP10" s="1691"/>
      <c r="FQ10" s="1686"/>
      <c r="FR10" s="1686"/>
      <c r="FS10" s="1686"/>
      <c r="FT10" s="1686"/>
      <c r="FU10" s="1686"/>
      <c r="FV10" s="1686"/>
      <c r="FW10" s="1686"/>
      <c r="FX10" s="1686"/>
      <c r="FY10" s="1686"/>
      <c r="FZ10" s="1686"/>
      <c r="GA10" s="1686"/>
      <c r="GB10" s="1686"/>
      <c r="GC10" s="1686"/>
      <c r="GD10" s="1686"/>
      <c r="GE10" s="1686"/>
      <c r="GF10" s="1686"/>
      <c r="GG10" s="1686"/>
      <c r="GH10" s="1686"/>
      <c r="GI10" s="1686"/>
      <c r="GJ10" s="1686"/>
      <c r="GK10" s="1686"/>
      <c r="GL10" s="1686"/>
      <c r="GM10" s="1686"/>
      <c r="GN10" s="1686"/>
      <c r="GO10" s="1686"/>
      <c r="GP10" s="1686"/>
      <c r="GQ10" s="1686"/>
      <c r="GR10" s="1686"/>
      <c r="GS10" s="1686"/>
      <c r="GT10" s="1686"/>
      <c r="GU10" s="1686"/>
      <c r="GV10" s="1686"/>
      <c r="GW10" s="1686"/>
      <c r="GX10" s="1686"/>
      <c r="GY10" s="1686"/>
      <c r="GZ10" s="1686"/>
      <c r="HA10" s="1686"/>
      <c r="HB10" s="1691">
        <v>2000</v>
      </c>
      <c r="HC10" s="1686"/>
      <c r="HD10" s="1686"/>
      <c r="HE10" s="1686"/>
      <c r="HF10" s="1686"/>
      <c r="HG10" s="1691"/>
      <c r="HH10" s="1686"/>
      <c r="HI10" s="1691"/>
      <c r="HJ10" s="1691"/>
      <c r="HK10" s="1691"/>
      <c r="HL10" s="1691"/>
      <c r="HM10" s="1691"/>
      <c r="HN10" s="1686"/>
      <c r="HO10" s="1686"/>
      <c r="HP10" s="1691"/>
      <c r="HQ10" s="1686"/>
      <c r="HR10" s="1686"/>
      <c r="HS10" s="1686"/>
      <c r="HT10" s="1686"/>
      <c r="HU10" s="1686"/>
      <c r="HV10" s="1686"/>
      <c r="HW10" s="1686"/>
      <c r="HX10" s="1686"/>
      <c r="HY10" s="1686"/>
      <c r="HZ10" s="1686"/>
      <c r="IA10" s="1686"/>
      <c r="IB10" s="1686"/>
      <c r="IC10" s="1686"/>
      <c r="ID10" s="1686"/>
      <c r="IE10" s="1686"/>
      <c r="IF10" s="1686"/>
      <c r="IG10" s="1686"/>
      <c r="IH10" s="1686"/>
      <c r="II10" s="1686"/>
      <c r="IJ10" s="1686"/>
      <c r="IK10" s="1686"/>
      <c r="IL10" s="1686"/>
      <c r="IM10" s="1686"/>
      <c r="IN10" s="1686"/>
      <c r="IO10" s="1686"/>
      <c r="IP10" s="1686"/>
      <c r="IQ10" s="1686"/>
      <c r="IR10" s="1686"/>
      <c r="IS10" s="1686"/>
      <c r="IT10" s="1686"/>
      <c r="IU10" s="1686"/>
      <c r="IV10" s="1686"/>
      <c r="IW10" s="1686"/>
      <c r="IX10" s="1691"/>
      <c r="IY10" s="1686"/>
      <c r="IZ10" s="1691"/>
      <c r="JA10" s="1686"/>
      <c r="JB10" s="1686"/>
      <c r="JC10" s="1686"/>
      <c r="JD10" s="1686"/>
      <c r="JE10" s="1686"/>
      <c r="JF10" s="1686"/>
      <c r="JG10" s="1693">
        <v>28950</v>
      </c>
      <c r="JH10" s="1686"/>
      <c r="JI10" s="1686"/>
      <c r="JJ10" s="1686"/>
      <c r="JK10" s="1686"/>
      <c r="JL10" s="1686"/>
      <c r="JM10" s="1686"/>
      <c r="JN10" s="1686"/>
      <c r="JO10" s="1686"/>
      <c r="JP10" s="1686"/>
      <c r="JQ10" s="1724"/>
      <c r="JR10" s="593"/>
      <c r="JS10" s="354"/>
      <c r="JT10" s="355" t="s">
        <v>2242</v>
      </c>
      <c r="JU10" s="355" t="s">
        <v>4254</v>
      </c>
      <c r="JV10" s="598"/>
    </row>
    <row r="11" spans="1:282" ht="20.5" x14ac:dyDescent="0.25">
      <c r="A11" s="1367">
        <v>10</v>
      </c>
      <c r="B11" s="1411" t="str">
        <f t="shared" si="0"/>
        <v/>
      </c>
      <c r="C11" s="1688" t="s">
        <v>4265</v>
      </c>
      <c r="D11" s="1360" t="s">
        <v>4266</v>
      </c>
      <c r="E11" s="1358"/>
      <c r="F11" s="1358"/>
      <c r="G11" s="1358"/>
      <c r="H11" s="1358"/>
      <c r="I11" s="1358"/>
      <c r="J11" s="1358"/>
      <c r="K11" s="1358"/>
      <c r="L11" s="1358"/>
      <c r="M11" s="1358"/>
      <c r="N11" s="1358"/>
      <c r="O11" s="1358"/>
      <c r="P11" s="1358"/>
      <c r="Q11" s="1358"/>
      <c r="R11" s="1358"/>
      <c r="S11" s="1358"/>
      <c r="T11" s="1358"/>
      <c r="U11" s="1358"/>
      <c r="V11" s="1358"/>
      <c r="W11" s="1358"/>
      <c r="X11" s="1358"/>
      <c r="Y11" s="1358"/>
      <c r="Z11" s="1358"/>
      <c r="AA11" s="1358"/>
      <c r="AB11" s="1358"/>
      <c r="AC11" s="1358"/>
      <c r="AD11" s="1358"/>
      <c r="AE11" s="1358"/>
      <c r="AF11" s="1358"/>
      <c r="AG11" s="1358"/>
      <c r="AH11" s="1358"/>
      <c r="AI11" s="1290"/>
      <c r="AJ11" s="1358"/>
      <c r="AK11" s="1290"/>
      <c r="AL11" s="1358"/>
      <c r="AM11" s="1358"/>
      <c r="AN11" s="1358"/>
      <c r="AO11" s="1358"/>
      <c r="AP11" s="1358"/>
      <c r="AQ11" s="1358"/>
      <c r="AR11" s="1358"/>
      <c r="AS11" s="1358"/>
      <c r="AT11" s="1358"/>
      <c r="AU11" s="1290"/>
      <c r="AV11" s="1358"/>
      <c r="AW11" s="1358"/>
      <c r="AX11" s="1358"/>
      <c r="AY11" s="1358"/>
      <c r="AZ11" s="1358"/>
      <c r="BA11" s="1358"/>
      <c r="BB11" s="1290"/>
      <c r="BC11" s="1358"/>
      <c r="BD11" s="1290"/>
      <c r="BE11" s="1358"/>
      <c r="BF11" s="1358"/>
      <c r="BG11" s="1290"/>
      <c r="BH11" s="1358"/>
      <c r="BI11" s="1358"/>
      <c r="BJ11" s="1358"/>
      <c r="BK11" s="1358"/>
      <c r="BL11" s="1358"/>
      <c r="BM11" s="1358"/>
      <c r="BN11" s="1358"/>
      <c r="BO11" s="1358"/>
      <c r="BP11" s="1290"/>
      <c r="BQ11" s="1358"/>
      <c r="BR11" s="1358"/>
      <c r="BS11" s="1358"/>
      <c r="BT11" s="1290"/>
      <c r="BU11" s="1290"/>
      <c r="BV11" s="1358"/>
      <c r="BW11" s="1290"/>
      <c r="BX11" s="1358"/>
      <c r="BY11" s="1358"/>
      <c r="BZ11" s="1290"/>
      <c r="CA11" s="1358"/>
      <c r="CB11" s="1358"/>
      <c r="CC11" s="1358"/>
      <c r="CD11" s="1290"/>
      <c r="CE11" s="1358"/>
      <c r="CF11" s="1358"/>
      <c r="CG11" s="1358"/>
      <c r="CH11" s="1358"/>
      <c r="CI11" s="1358"/>
      <c r="CJ11" s="1358"/>
      <c r="CK11" s="1358"/>
      <c r="CL11" s="1358"/>
      <c r="CM11" s="1358"/>
      <c r="CN11" s="1358"/>
      <c r="CO11" s="1358"/>
      <c r="CP11" s="1358"/>
      <c r="CQ11" s="1358"/>
      <c r="CR11" s="1358"/>
      <c r="CS11" s="1358"/>
      <c r="CT11" s="1290"/>
      <c r="CU11" s="1358"/>
      <c r="CV11" s="1358"/>
      <c r="CW11" s="1358"/>
      <c r="CX11" s="1358"/>
      <c r="CY11" s="1358"/>
      <c r="CZ11" s="1358"/>
      <c r="DA11" s="1290"/>
      <c r="DB11" s="1358"/>
      <c r="DC11" s="1290"/>
      <c r="DD11" s="1358"/>
      <c r="DE11" s="1358"/>
      <c r="DF11" s="1358"/>
      <c r="DG11" s="1290"/>
      <c r="DH11" s="1358"/>
      <c r="DI11" s="1358"/>
      <c r="DJ11" s="1290"/>
      <c r="DK11" s="1358"/>
      <c r="DL11" s="1358"/>
      <c r="DM11" s="1290"/>
      <c r="DN11" s="1358"/>
      <c r="DO11" s="1290"/>
      <c r="DP11" s="1358"/>
      <c r="DQ11" s="1358"/>
      <c r="DR11" s="1358"/>
      <c r="DS11" s="1358"/>
      <c r="DT11" s="1358"/>
      <c r="DU11" s="1358"/>
      <c r="DV11" s="1358"/>
      <c r="DW11" s="1358"/>
      <c r="DX11" s="1358"/>
      <c r="DY11" s="1358"/>
      <c r="DZ11" s="1358"/>
      <c r="EA11" s="1358"/>
      <c r="EB11" s="1358"/>
      <c r="EC11" s="1358"/>
      <c r="ED11" s="1290"/>
      <c r="EE11" s="1290"/>
      <c r="EF11" s="1358"/>
      <c r="EG11" s="1290"/>
      <c r="EH11" s="1290"/>
      <c r="EI11" s="1358"/>
      <c r="EJ11" s="1358"/>
      <c r="EK11" s="1358"/>
      <c r="EL11" s="1358"/>
      <c r="EM11" s="1358"/>
      <c r="EN11" s="1358"/>
      <c r="EO11" s="1358"/>
      <c r="EP11" s="1358"/>
      <c r="EQ11" s="1358"/>
      <c r="ER11" s="1290"/>
      <c r="ES11" s="1358"/>
      <c r="ET11" s="1358"/>
      <c r="EU11" s="1358"/>
      <c r="EV11" s="1290"/>
      <c r="EW11" s="1358"/>
      <c r="EX11" s="1358"/>
      <c r="EY11" s="1290"/>
      <c r="EZ11" s="1358"/>
      <c r="FA11" s="1358"/>
      <c r="FB11" s="1358"/>
      <c r="FC11" s="1490" t="s">
        <v>4267</v>
      </c>
      <c r="FD11" s="1358"/>
      <c r="FE11" s="1290"/>
      <c r="FF11" s="1290"/>
      <c r="FG11" s="1290"/>
      <c r="FH11" s="1290"/>
      <c r="FI11" s="1290"/>
      <c r="FJ11" s="1290"/>
      <c r="FK11" s="1290"/>
      <c r="FL11" s="1290"/>
      <c r="FM11" s="1290"/>
      <c r="FN11" s="1290"/>
      <c r="FO11" s="1290"/>
      <c r="FP11" s="1290"/>
      <c r="FQ11" s="1358"/>
      <c r="FR11" s="1358"/>
      <c r="FS11" s="1358"/>
      <c r="FT11" s="1358"/>
      <c r="FU11" s="1358"/>
      <c r="FV11" s="1358"/>
      <c r="FW11" s="1358"/>
      <c r="FX11" s="1358"/>
      <c r="FY11" s="1358"/>
      <c r="FZ11" s="1358"/>
      <c r="GA11" s="1358"/>
      <c r="GB11" s="1358"/>
      <c r="GC11" s="1358"/>
      <c r="GD11" s="1358"/>
      <c r="GE11" s="1358"/>
      <c r="GF11" s="1358"/>
      <c r="GG11" s="1358"/>
      <c r="GH11" s="1358"/>
      <c r="GI11" s="1358"/>
      <c r="GJ11" s="1358"/>
      <c r="GK11" s="1358"/>
      <c r="GL11" s="1358"/>
      <c r="GM11" s="1358"/>
      <c r="GN11" s="1358"/>
      <c r="GO11" s="1358"/>
      <c r="GP11" s="1358"/>
      <c r="GQ11" s="1358"/>
      <c r="GR11" s="1358"/>
      <c r="GS11" s="1358"/>
      <c r="GT11" s="1358"/>
      <c r="GU11" s="1358"/>
      <c r="GV11" s="1358"/>
      <c r="GW11" s="1358"/>
      <c r="GX11" s="1358"/>
      <c r="GY11" s="1358"/>
      <c r="GZ11" s="1358"/>
      <c r="HA11" s="1358"/>
      <c r="HB11" s="1290" t="s">
        <v>4268</v>
      </c>
      <c r="HC11" s="1358"/>
      <c r="HD11" s="1358"/>
      <c r="HE11" s="1358"/>
      <c r="HF11" s="1358"/>
      <c r="HG11" s="1290"/>
      <c r="HH11" s="1358"/>
      <c r="HI11" s="1290"/>
      <c r="HJ11" s="1290"/>
      <c r="HK11" s="1290"/>
      <c r="HL11" s="1290"/>
      <c r="HM11" s="1422" t="s">
        <v>4267</v>
      </c>
      <c r="HN11" s="1358"/>
      <c r="HO11" s="1358"/>
      <c r="HP11" s="1290"/>
      <c r="HQ11" s="1358"/>
      <c r="HR11" s="1358"/>
      <c r="HS11" s="1358"/>
      <c r="HT11" s="1358"/>
      <c r="HU11" s="1358"/>
      <c r="HV11" s="1358"/>
      <c r="HW11" s="1358"/>
      <c r="HX11" s="1358"/>
      <c r="HY11" s="1358"/>
      <c r="HZ11" s="1358"/>
      <c r="IA11" s="1358"/>
      <c r="IB11" s="1358"/>
      <c r="IC11" s="1358"/>
      <c r="ID11" s="1358"/>
      <c r="IE11" s="1358"/>
      <c r="IF11" s="1490" t="s">
        <v>4267</v>
      </c>
      <c r="IG11" s="1358"/>
      <c r="IH11" s="1358"/>
      <c r="II11" s="1358"/>
      <c r="IJ11" s="1358"/>
      <c r="IK11" s="1358"/>
      <c r="IL11" s="1358"/>
      <c r="IM11" s="1358"/>
      <c r="IN11" s="1358"/>
      <c r="IO11" s="1358"/>
      <c r="IP11" s="1358"/>
      <c r="IQ11" s="1358"/>
      <c r="IR11" s="1358"/>
      <c r="IS11" s="1358"/>
      <c r="IT11" s="1358"/>
      <c r="IU11" s="1358"/>
      <c r="IV11" s="1358"/>
      <c r="IW11" s="1358"/>
      <c r="IX11" s="1290"/>
      <c r="IY11" s="1358"/>
      <c r="IZ11" s="1290"/>
      <c r="JA11" s="1358"/>
      <c r="JB11" s="1358"/>
      <c r="JC11" s="1358"/>
      <c r="JD11" s="1358"/>
      <c r="JE11" s="1358"/>
      <c r="JF11" s="1358"/>
      <c r="JG11" s="1358"/>
      <c r="JH11" s="1358"/>
      <c r="JI11" s="1358"/>
      <c r="JJ11" s="1358"/>
      <c r="JK11" s="1358"/>
      <c r="JL11" s="1358" t="s">
        <v>4269</v>
      </c>
      <c r="JM11" s="1358" t="s">
        <v>4269</v>
      </c>
      <c r="JN11" s="1358"/>
      <c r="JO11" s="1358"/>
      <c r="JP11" s="1358"/>
      <c r="JQ11" s="1364"/>
      <c r="JR11" s="593"/>
      <c r="JS11" s="354" t="s">
        <v>4270</v>
      </c>
      <c r="JT11" s="355" t="s">
        <v>4271</v>
      </c>
      <c r="JU11" s="598"/>
      <c r="JV11" s="598"/>
    </row>
    <row r="12" spans="1:282" x14ac:dyDescent="0.25">
      <c r="A12" s="1367">
        <v>11</v>
      </c>
      <c r="B12" s="1411" t="str">
        <f t="shared" si="0"/>
        <v/>
      </c>
      <c r="C12" s="1688" t="s">
        <v>4272</v>
      </c>
      <c r="D12" s="1360" t="s">
        <v>4273</v>
      </c>
      <c r="E12" s="1358"/>
      <c r="F12" s="1358"/>
      <c r="G12" s="1358"/>
      <c r="H12" s="1358"/>
      <c r="I12" s="1358"/>
      <c r="J12" s="1358"/>
      <c r="K12" s="1358"/>
      <c r="L12" s="1358"/>
      <c r="M12" s="1358"/>
      <c r="N12" s="1358"/>
      <c r="O12" s="1358"/>
      <c r="P12" s="1358"/>
      <c r="Q12" s="1358"/>
      <c r="R12" s="1358"/>
      <c r="S12" s="1358"/>
      <c r="T12" s="1358"/>
      <c r="U12" s="1358"/>
      <c r="V12" s="1358"/>
      <c r="W12" s="1358"/>
      <c r="X12" s="1358"/>
      <c r="Y12" s="1358"/>
      <c r="Z12" s="1358"/>
      <c r="AA12" s="1358"/>
      <c r="AB12" s="1358"/>
      <c r="AC12" s="1358"/>
      <c r="AD12" s="1358"/>
      <c r="AE12" s="1358"/>
      <c r="AF12" s="1358"/>
      <c r="AG12" s="1358"/>
      <c r="AH12" s="1358"/>
      <c r="AI12" s="1290"/>
      <c r="AJ12" s="1358"/>
      <c r="AK12" s="1290"/>
      <c r="AL12" s="1358"/>
      <c r="AM12" s="1358"/>
      <c r="AN12" s="1358"/>
      <c r="AO12" s="1358"/>
      <c r="AP12" s="1358"/>
      <c r="AQ12" s="1358"/>
      <c r="AR12" s="1358"/>
      <c r="AS12" s="1358"/>
      <c r="AT12" s="1358"/>
      <c r="AU12" s="1290"/>
      <c r="AV12" s="1358"/>
      <c r="AW12" s="1358"/>
      <c r="AX12" s="1358"/>
      <c r="AY12" s="1358"/>
      <c r="AZ12" s="1358"/>
      <c r="BA12" s="1358"/>
      <c r="BB12" s="1290"/>
      <c r="BC12" s="1358"/>
      <c r="BD12" s="1691">
        <v>11000</v>
      </c>
      <c r="BE12" s="1358"/>
      <c r="BF12" s="1358"/>
      <c r="BG12" s="1290"/>
      <c r="BH12" s="1358"/>
      <c r="BI12" s="1358"/>
      <c r="BJ12" s="1358"/>
      <c r="BK12" s="1358"/>
      <c r="BL12" s="1358"/>
      <c r="BM12" s="1358"/>
      <c r="BN12" s="1358"/>
      <c r="BO12" s="1358"/>
      <c r="BP12" s="1422">
        <v>10440</v>
      </c>
      <c r="BQ12" s="1358"/>
      <c r="BR12" s="1358"/>
      <c r="BS12" s="1358"/>
      <c r="BT12" s="1290"/>
      <c r="BU12" s="1290"/>
      <c r="BV12" s="1358"/>
      <c r="BW12" s="1290"/>
      <c r="BX12" s="1358"/>
      <c r="BY12" s="1358"/>
      <c r="BZ12" s="1290"/>
      <c r="CA12" s="1358"/>
      <c r="CB12" s="1358"/>
      <c r="CC12" s="1358"/>
      <c r="CD12" s="1290"/>
      <c r="CE12" s="1358"/>
      <c r="CF12" s="1358"/>
      <c r="CG12" s="1358"/>
      <c r="CH12" s="1358"/>
      <c r="CI12" s="1358"/>
      <c r="CJ12" s="1358"/>
      <c r="CK12" s="1358"/>
      <c r="CL12" s="1358"/>
      <c r="CM12" s="1358"/>
      <c r="CN12" s="1358"/>
      <c r="CO12" s="1358"/>
      <c r="CP12" s="1358"/>
      <c r="CQ12" s="1686">
        <v>14600</v>
      </c>
      <c r="CR12" s="1358"/>
      <c r="CS12" s="1358"/>
      <c r="CT12" s="1290"/>
      <c r="CU12" s="1358"/>
      <c r="CV12" s="1358"/>
      <c r="CW12" s="1358"/>
      <c r="CX12" s="1358"/>
      <c r="CY12" s="1358"/>
      <c r="CZ12" s="1358"/>
      <c r="DA12" s="1290"/>
      <c r="DB12" s="1358"/>
      <c r="DC12" s="1290"/>
      <c r="DD12" s="1358"/>
      <c r="DE12" s="1358"/>
      <c r="DF12" s="1358"/>
      <c r="DG12" s="1290"/>
      <c r="DH12" s="1358"/>
      <c r="DI12" s="1358"/>
      <c r="DJ12" s="1290"/>
      <c r="DK12" s="1358"/>
      <c r="DL12" s="1358"/>
      <c r="DM12" s="1290"/>
      <c r="DN12" s="1358"/>
      <c r="DO12" s="1290"/>
      <c r="DP12" s="1358"/>
      <c r="DQ12" s="1358"/>
      <c r="DR12" s="1358"/>
      <c r="DS12" s="1358"/>
      <c r="DT12" s="1358"/>
      <c r="DU12" s="1358"/>
      <c r="DV12" s="1358"/>
      <c r="DW12" s="1358"/>
      <c r="DX12" s="1358"/>
      <c r="DY12" s="1358"/>
      <c r="DZ12" s="1358"/>
      <c r="EA12" s="1358"/>
      <c r="EB12" s="1358"/>
      <c r="EC12" s="1358"/>
      <c r="ED12" s="1290"/>
      <c r="EE12" s="1290"/>
      <c r="EF12" s="1358"/>
      <c r="EG12" s="1290"/>
      <c r="EH12" s="2587"/>
      <c r="EI12" s="1358"/>
      <c r="EJ12" s="1358"/>
      <c r="EK12" s="1358"/>
      <c r="EL12" s="1358"/>
      <c r="EM12" s="1358"/>
      <c r="EN12" s="1490"/>
      <c r="EO12" s="1358"/>
      <c r="EP12" s="1358"/>
      <c r="EQ12" s="1358"/>
      <c r="ER12" s="1290"/>
      <c r="ES12" s="1358"/>
      <c r="ET12" s="1358"/>
      <c r="EU12" s="1358"/>
      <c r="EV12" s="1290"/>
      <c r="EW12" s="1358"/>
      <c r="EX12" s="1358"/>
      <c r="EY12" s="1290"/>
      <c r="EZ12" s="1358"/>
      <c r="FA12" s="1693"/>
      <c r="FB12" s="1358"/>
      <c r="FC12" s="1358"/>
      <c r="FD12" s="1358"/>
      <c r="FE12" s="1290"/>
      <c r="FF12" s="1290"/>
      <c r="FG12" s="1290"/>
      <c r="FH12" s="1290"/>
      <c r="FI12" s="1290"/>
      <c r="FJ12" s="1290"/>
      <c r="FK12" s="1290"/>
      <c r="FL12" s="1290"/>
      <c r="FM12" s="1290"/>
      <c r="FN12" s="1290"/>
      <c r="FO12" s="1290"/>
      <c r="FP12" s="1290"/>
      <c r="FQ12" s="1358"/>
      <c r="FR12" s="1358"/>
      <c r="FS12" s="1358"/>
      <c r="FT12" s="1358"/>
      <c r="FU12" s="1358"/>
      <c r="FV12" s="1358"/>
      <c r="FW12" s="1358"/>
      <c r="FX12" s="1358"/>
      <c r="FY12" s="1358"/>
      <c r="FZ12" s="1358"/>
      <c r="GA12" s="1358"/>
      <c r="GB12" s="1358"/>
      <c r="GC12" s="1358"/>
      <c r="GD12" s="1358"/>
      <c r="GE12" s="1358"/>
      <c r="GF12" s="1358"/>
      <c r="GG12" s="1358"/>
      <c r="GH12" s="1358"/>
      <c r="GI12" s="1358"/>
      <c r="GJ12" s="1358"/>
      <c r="GK12" s="1358"/>
      <c r="GL12" s="1358"/>
      <c r="GM12" s="1358"/>
      <c r="GN12" s="1358"/>
      <c r="GO12" s="1358"/>
      <c r="GP12" s="1358"/>
      <c r="GQ12" s="1358"/>
      <c r="GR12" s="1358"/>
      <c r="GS12" s="1358"/>
      <c r="GT12" s="1358"/>
      <c r="GU12" s="1358"/>
      <c r="GV12" s="1358"/>
      <c r="GW12" s="1358"/>
      <c r="GX12" s="1358"/>
      <c r="GY12" s="1358"/>
      <c r="GZ12" s="1358"/>
      <c r="HA12" s="1358"/>
      <c r="HB12" s="1290"/>
      <c r="HC12" s="1358"/>
      <c r="HD12" s="1358"/>
      <c r="HE12" s="1358"/>
      <c r="HF12" s="1358"/>
      <c r="HG12" s="1290"/>
      <c r="HH12" s="1358"/>
      <c r="HI12" s="1290"/>
      <c r="HJ12" s="1691">
        <v>26000</v>
      </c>
      <c r="HK12" s="1290"/>
      <c r="HL12" s="1290"/>
      <c r="HM12" s="1290"/>
      <c r="HN12" s="1358"/>
      <c r="HO12" s="1358"/>
      <c r="HP12" s="1290"/>
      <c r="HQ12" s="1358"/>
      <c r="HR12" s="1358"/>
      <c r="HS12" s="1358"/>
      <c r="HT12" s="1358"/>
      <c r="HU12" s="1358"/>
      <c r="HV12" s="1358"/>
      <c r="HW12" s="1358"/>
      <c r="HX12" s="1358"/>
      <c r="HY12" s="1358"/>
      <c r="HZ12" s="1358"/>
      <c r="IA12" s="1358"/>
      <c r="IB12" s="1358"/>
      <c r="IC12" s="1358"/>
      <c r="ID12" s="1358"/>
      <c r="IE12" s="1358"/>
      <c r="IF12" s="1358"/>
      <c r="IG12" s="1358"/>
      <c r="IH12" s="1358"/>
      <c r="II12" s="1358"/>
      <c r="IJ12" s="1358"/>
      <c r="IK12" s="1358"/>
      <c r="IL12" s="1358"/>
      <c r="IM12" s="1358"/>
      <c r="IN12" s="1358"/>
      <c r="IO12" s="1358"/>
      <c r="IP12" s="1358"/>
      <c r="IQ12" s="1358"/>
      <c r="IR12" s="1358"/>
      <c r="IS12" s="1358"/>
      <c r="IT12" s="1358"/>
      <c r="IU12" s="1358"/>
      <c r="IV12" s="1358"/>
      <c r="IW12" s="1358"/>
      <c r="IX12" s="1290"/>
      <c r="IY12" s="1358"/>
      <c r="IZ12" s="1290"/>
      <c r="JA12" s="1358"/>
      <c r="JB12" s="1686">
        <v>60050</v>
      </c>
      <c r="JC12" s="1358"/>
      <c r="JD12" s="1358"/>
      <c r="JE12" s="1358"/>
      <c r="JF12" s="1358"/>
      <c r="JG12" s="1490">
        <v>34000</v>
      </c>
      <c r="JH12" s="1358"/>
      <c r="JI12" s="1358"/>
      <c r="JJ12" s="1686">
        <v>47007</v>
      </c>
      <c r="JK12" s="1686">
        <v>23579</v>
      </c>
      <c r="JL12" s="1693">
        <v>102500</v>
      </c>
      <c r="JM12" s="1693">
        <v>102500</v>
      </c>
      <c r="JN12" s="1358"/>
      <c r="JO12" s="1358"/>
      <c r="JP12" s="1358"/>
      <c r="JQ12" s="1364"/>
      <c r="JR12" s="593"/>
      <c r="JS12" s="354" t="s">
        <v>4274</v>
      </c>
      <c r="JT12" s="355" t="s">
        <v>2253</v>
      </c>
      <c r="JU12" s="355" t="s">
        <v>4254</v>
      </c>
      <c r="JV12" s="598"/>
    </row>
    <row r="13" spans="1:282" x14ac:dyDescent="0.25">
      <c r="A13" s="1367">
        <v>12</v>
      </c>
      <c r="B13" s="1411" t="str">
        <f t="shared" si="0"/>
        <v/>
      </c>
      <c r="C13" s="1688" t="s">
        <v>4275</v>
      </c>
      <c r="D13" s="1360" t="s">
        <v>4276</v>
      </c>
      <c r="E13" s="1358"/>
      <c r="F13" s="1358"/>
      <c r="G13" s="1358"/>
      <c r="H13" s="1358"/>
      <c r="I13" s="1358"/>
      <c r="J13" s="1358"/>
      <c r="K13" s="1358"/>
      <c r="L13" s="1358"/>
      <c r="M13" s="1358"/>
      <c r="N13" s="1358"/>
      <c r="O13" s="1358"/>
      <c r="P13" s="1358"/>
      <c r="Q13" s="1358"/>
      <c r="R13" s="1358"/>
      <c r="S13" s="1358"/>
      <c r="T13" s="1358"/>
      <c r="U13" s="1358"/>
      <c r="V13" s="1358"/>
      <c r="W13" s="1358"/>
      <c r="X13" s="1358"/>
      <c r="Y13" s="1358"/>
      <c r="Z13" s="1358"/>
      <c r="AA13" s="1358"/>
      <c r="AB13" s="1358"/>
      <c r="AC13" s="1358"/>
      <c r="AD13" s="1358"/>
      <c r="AE13" s="1358"/>
      <c r="AF13" s="1358"/>
      <c r="AG13" s="1358"/>
      <c r="AH13" s="1358"/>
      <c r="AI13" s="1290"/>
      <c r="AJ13" s="1358"/>
      <c r="AK13" s="1290"/>
      <c r="AL13" s="1358"/>
      <c r="AM13" s="1358"/>
      <c r="AN13" s="1358"/>
      <c r="AO13" s="1358"/>
      <c r="AP13" s="1358"/>
      <c r="AQ13" s="1358"/>
      <c r="AR13" s="1358"/>
      <c r="AS13" s="1358"/>
      <c r="AT13" s="1358"/>
      <c r="AU13" s="1290"/>
      <c r="AV13" s="1358"/>
      <c r="AW13" s="1358"/>
      <c r="AX13" s="1358"/>
      <c r="AY13" s="1358"/>
      <c r="AZ13" s="1358"/>
      <c r="BA13" s="1358"/>
      <c r="BB13" s="1290"/>
      <c r="BC13" s="1358"/>
      <c r="BD13" s="1290">
        <v>4551</v>
      </c>
      <c r="BE13" s="1358"/>
      <c r="BF13" s="1358"/>
      <c r="BG13" s="1290"/>
      <c r="BH13" s="1358"/>
      <c r="BI13" s="1358"/>
      <c r="BJ13" s="1358"/>
      <c r="BK13" s="1358"/>
      <c r="BL13" s="1358"/>
      <c r="BM13" s="1358"/>
      <c r="BN13" s="1358"/>
      <c r="BO13" s="1358"/>
      <c r="BP13" s="1422">
        <v>2827</v>
      </c>
      <c r="BQ13" s="1358"/>
      <c r="BR13" s="1358"/>
      <c r="BS13" s="1358"/>
      <c r="BT13" s="1290"/>
      <c r="BU13" s="1290"/>
      <c r="BV13" s="1358"/>
      <c r="BW13" s="1290"/>
      <c r="BX13" s="1358"/>
      <c r="BY13" s="1358"/>
      <c r="BZ13" s="1290"/>
      <c r="CA13" s="1358"/>
      <c r="CB13" s="1358"/>
      <c r="CC13" s="1358"/>
      <c r="CD13" s="1290"/>
      <c r="CE13" s="1358"/>
      <c r="CF13" s="1358"/>
      <c r="CG13" s="1358"/>
      <c r="CH13" s="1358"/>
      <c r="CI13" s="1358"/>
      <c r="CJ13" s="1358"/>
      <c r="CK13" s="1358"/>
      <c r="CL13" s="1358"/>
      <c r="CM13" s="1358"/>
      <c r="CN13" s="1358"/>
      <c r="CO13" s="1358"/>
      <c r="CP13" s="1358"/>
      <c r="CQ13" s="1358">
        <v>615</v>
      </c>
      <c r="CR13" s="1358"/>
      <c r="CS13" s="1358"/>
      <c r="CT13" s="1290"/>
      <c r="CU13" s="1358"/>
      <c r="CV13" s="1358"/>
      <c r="CW13" s="1358"/>
      <c r="CX13" s="1358"/>
      <c r="CY13" s="1358"/>
      <c r="CZ13" s="1358"/>
      <c r="DA13" s="1290"/>
      <c r="DB13" s="1358"/>
      <c r="DC13" s="1290"/>
      <c r="DD13" s="1358"/>
      <c r="DE13" s="1358"/>
      <c r="DF13" s="1358"/>
      <c r="DG13" s="1290"/>
      <c r="DH13" s="1358"/>
      <c r="DI13" s="1358"/>
      <c r="DJ13" s="1290"/>
      <c r="DK13" s="1358"/>
      <c r="DL13" s="1358"/>
      <c r="DM13" s="1290"/>
      <c r="DN13" s="1358"/>
      <c r="DO13" s="1290"/>
      <c r="DP13" s="1358"/>
      <c r="DQ13" s="1358"/>
      <c r="DR13" s="1358"/>
      <c r="DS13" s="1358"/>
      <c r="DT13" s="1358"/>
      <c r="DU13" s="1358"/>
      <c r="DV13" s="1358"/>
      <c r="DW13" s="1358"/>
      <c r="DX13" s="1358"/>
      <c r="DY13" s="1358"/>
      <c r="DZ13" s="1358"/>
      <c r="EA13" s="1358"/>
      <c r="EB13" s="1358"/>
      <c r="EC13" s="1358"/>
      <c r="ED13" s="1290"/>
      <c r="EE13" s="1290"/>
      <c r="EF13" s="1358"/>
      <c r="EG13" s="1290"/>
      <c r="EH13" s="1290"/>
      <c r="EI13" s="1358"/>
      <c r="EJ13" s="1358"/>
      <c r="EK13" s="1358"/>
      <c r="EL13" s="1358"/>
      <c r="EM13" s="1358"/>
      <c r="EN13" s="1490"/>
      <c r="EO13" s="1358"/>
      <c r="EP13" s="1686"/>
      <c r="EQ13" s="1358"/>
      <c r="ER13" s="1290"/>
      <c r="ES13" s="1358"/>
      <c r="ET13" s="1358"/>
      <c r="EU13" s="1358"/>
      <c r="EV13" s="1290"/>
      <c r="EW13" s="1358"/>
      <c r="EX13" s="1358"/>
      <c r="EY13" s="1290"/>
      <c r="EZ13" s="1358"/>
      <c r="FA13" s="1490"/>
      <c r="FB13" s="1358"/>
      <c r="FC13" s="1358"/>
      <c r="FD13" s="1358"/>
      <c r="FE13" s="1290"/>
      <c r="FF13" s="1290"/>
      <c r="FG13" s="1290"/>
      <c r="FH13" s="1290"/>
      <c r="FI13" s="1290"/>
      <c r="FJ13" s="1290"/>
      <c r="FK13" s="1290"/>
      <c r="FL13" s="1290"/>
      <c r="FM13" s="1290"/>
      <c r="FN13" s="1290"/>
      <c r="FO13" s="1290"/>
      <c r="FP13" s="1290"/>
      <c r="FQ13" s="1358"/>
      <c r="FR13" s="1358"/>
      <c r="FS13" s="1358"/>
      <c r="FT13" s="1358"/>
      <c r="FU13" s="1358"/>
      <c r="FV13" s="1358"/>
      <c r="FW13" s="1358"/>
      <c r="FX13" s="1358"/>
      <c r="FY13" s="1358"/>
      <c r="FZ13" s="1358"/>
      <c r="GA13" s="1358"/>
      <c r="GB13" s="1358"/>
      <c r="GC13" s="1358"/>
      <c r="GD13" s="1358"/>
      <c r="GE13" s="1358"/>
      <c r="GF13" s="1358"/>
      <c r="GG13" s="1358"/>
      <c r="GH13" s="1358"/>
      <c r="GI13" s="1358"/>
      <c r="GJ13" s="1358"/>
      <c r="GK13" s="1358"/>
      <c r="GL13" s="1358"/>
      <c r="GM13" s="1358"/>
      <c r="GN13" s="1358"/>
      <c r="GO13" s="1358"/>
      <c r="GP13" s="1358"/>
      <c r="GQ13" s="1358"/>
      <c r="GR13" s="1358"/>
      <c r="GS13" s="1358"/>
      <c r="GT13" s="1358"/>
      <c r="GU13" s="1358"/>
      <c r="GV13" s="1358"/>
      <c r="GW13" s="1358"/>
      <c r="GX13" s="1358"/>
      <c r="GY13" s="1358"/>
      <c r="GZ13" s="1358"/>
      <c r="HA13" s="1358"/>
      <c r="HB13" s="1290"/>
      <c r="HC13" s="1358"/>
      <c r="HD13" s="1358"/>
      <c r="HE13" s="1358"/>
      <c r="HF13" s="1358"/>
      <c r="HG13" s="1290"/>
      <c r="HH13" s="1358"/>
      <c r="HI13" s="1290"/>
      <c r="HJ13" s="1691">
        <v>7280</v>
      </c>
      <c r="HK13" s="1290"/>
      <c r="HL13" s="1290"/>
      <c r="HM13" s="1290"/>
      <c r="HN13" s="1358"/>
      <c r="HO13" s="1358"/>
      <c r="HP13" s="1290"/>
      <c r="HQ13" s="1358"/>
      <c r="HR13" s="1358"/>
      <c r="HS13" s="1358"/>
      <c r="HT13" s="1358"/>
      <c r="HU13" s="1358"/>
      <c r="HV13" s="1358"/>
      <c r="HW13" s="1358"/>
      <c r="HX13" s="1358"/>
      <c r="HY13" s="1358"/>
      <c r="HZ13" s="1358"/>
      <c r="IA13" s="1358"/>
      <c r="IB13" s="1358"/>
      <c r="IC13" s="1358"/>
      <c r="ID13" s="1358"/>
      <c r="IE13" s="1358"/>
      <c r="IF13" s="1358"/>
      <c r="IG13" s="1358"/>
      <c r="IH13" s="1358"/>
      <c r="II13" s="1358"/>
      <c r="IJ13" s="1358"/>
      <c r="IK13" s="1358"/>
      <c r="IL13" s="1358"/>
      <c r="IM13" s="1358"/>
      <c r="IN13" s="1358"/>
      <c r="IO13" s="1358"/>
      <c r="IP13" s="1358"/>
      <c r="IQ13" s="1358"/>
      <c r="IR13" s="1358"/>
      <c r="IS13" s="1358"/>
      <c r="IT13" s="1358"/>
      <c r="IU13" s="1358"/>
      <c r="IV13" s="1358"/>
      <c r="IW13" s="1358"/>
      <c r="IX13" s="1290"/>
      <c r="IY13" s="1358"/>
      <c r="IZ13" s="1290"/>
      <c r="JA13" s="1358"/>
      <c r="JB13" s="1358">
        <v>18000</v>
      </c>
      <c r="JC13" s="1358"/>
      <c r="JD13" s="1358"/>
      <c r="JE13" s="1358"/>
      <c r="JF13" s="1358"/>
      <c r="JG13" s="1490">
        <v>12960</v>
      </c>
      <c r="JH13" s="1358"/>
      <c r="JI13" s="1358"/>
      <c r="JJ13" s="1686">
        <v>10477</v>
      </c>
      <c r="JK13" s="1686">
        <v>2118</v>
      </c>
      <c r="JL13" s="1693">
        <v>50000</v>
      </c>
      <c r="JM13" s="1693">
        <v>24600</v>
      </c>
      <c r="JN13" s="1358"/>
      <c r="JO13" s="1358"/>
      <c r="JP13" s="1358"/>
      <c r="JQ13" s="1364"/>
      <c r="JR13" s="593"/>
      <c r="JS13" s="354"/>
      <c r="JT13" s="355" t="s">
        <v>2242</v>
      </c>
      <c r="JU13" s="355" t="s">
        <v>4272</v>
      </c>
      <c r="JV13" s="598"/>
    </row>
    <row r="14" spans="1:282" ht="40.5" x14ac:dyDescent="0.25">
      <c r="A14" s="1367">
        <v>13</v>
      </c>
      <c r="B14" s="1684" t="str">
        <f t="shared" si="0"/>
        <v/>
      </c>
      <c r="C14" s="1688" t="s">
        <v>4277</v>
      </c>
      <c r="D14" s="1360" t="str">
        <f>"If, during "&amp;tax_year&amp;", you  submitted a Real Time Transaction Tax return for the disposal of a residential property or properties, put the overall gain or loss in the box -  include the  individual amounts of gains in  box 6 and losses in box 7"</f>
        <v>If, during 2025-26, you  submitted a Real Time Transaction Tax return for the disposal of a residential property or properties, put the overall gain or loss in the box -  include the  individual amounts of gains in  box 6 and losses in box 7</v>
      </c>
      <c r="E14" s="1358"/>
      <c r="F14" s="1358"/>
      <c r="G14" s="1358"/>
      <c r="H14" s="1358"/>
      <c r="I14" s="1358"/>
      <c r="J14" s="1358"/>
      <c r="K14" s="1358"/>
      <c r="L14" s="1358"/>
      <c r="M14" s="1358"/>
      <c r="N14" s="1358"/>
      <c r="O14" s="1358"/>
      <c r="P14" s="1358"/>
      <c r="Q14" s="1358"/>
      <c r="R14" s="1358"/>
      <c r="S14" s="1358"/>
      <c r="T14" s="1358"/>
      <c r="U14" s="1358"/>
      <c r="V14" s="1358"/>
      <c r="W14" s="1358"/>
      <c r="X14" s="1358"/>
      <c r="Y14" s="1358"/>
      <c r="Z14" s="1358"/>
      <c r="AA14" s="1358"/>
      <c r="AB14" s="1358"/>
      <c r="AC14" s="1358"/>
      <c r="AD14" s="1358"/>
      <c r="AE14" s="1358"/>
      <c r="AF14" s="1358"/>
      <c r="AG14" s="1358"/>
      <c r="AH14" s="1358"/>
      <c r="AI14" s="1290"/>
      <c r="AJ14" s="1358"/>
      <c r="AK14" s="1290"/>
      <c r="AL14" s="1358"/>
      <c r="AM14" s="1358"/>
      <c r="AN14" s="1358"/>
      <c r="AO14" s="1358"/>
      <c r="AP14" s="1358"/>
      <c r="AQ14" s="1358"/>
      <c r="AR14" s="1358"/>
      <c r="AS14" s="1358"/>
      <c r="AT14" s="1358"/>
      <c r="AU14" s="1290"/>
      <c r="AV14" s="1358"/>
      <c r="AW14" s="1358"/>
      <c r="AX14" s="1358"/>
      <c r="AY14" s="1358"/>
      <c r="AZ14" s="1358"/>
      <c r="BA14" s="1358"/>
      <c r="BB14" s="1290"/>
      <c r="BC14" s="1358"/>
      <c r="BD14" s="1290"/>
      <c r="BE14" s="1358"/>
      <c r="BF14" s="1358"/>
      <c r="BG14" s="1290"/>
      <c r="BH14" s="1358"/>
      <c r="BI14" s="1358"/>
      <c r="BJ14" s="1358"/>
      <c r="BK14" s="1358"/>
      <c r="BL14" s="1358"/>
      <c r="BM14" s="1358"/>
      <c r="BN14" s="1358"/>
      <c r="BO14" s="1358"/>
      <c r="BP14" s="1290"/>
      <c r="BQ14" s="1358"/>
      <c r="BR14" s="1358"/>
      <c r="BS14" s="1358"/>
      <c r="BT14" s="1290"/>
      <c r="BU14" s="1290"/>
      <c r="BV14" s="1358"/>
      <c r="BW14" s="1290"/>
      <c r="BX14" s="1358"/>
      <c r="BY14" s="1358"/>
      <c r="BZ14" s="1290"/>
      <c r="CA14" s="1358"/>
      <c r="CB14" s="1358"/>
      <c r="CC14" s="1358"/>
      <c r="CD14" s="1290"/>
      <c r="CE14" s="1358"/>
      <c r="CF14" s="1358"/>
      <c r="CG14" s="1358"/>
      <c r="CH14" s="1358"/>
      <c r="CI14" s="1358"/>
      <c r="CJ14" s="1358"/>
      <c r="CK14" s="1358"/>
      <c r="CL14" s="1358"/>
      <c r="CM14" s="1358"/>
      <c r="CN14" s="1358"/>
      <c r="CO14" s="1358"/>
      <c r="CP14" s="1358"/>
      <c r="CQ14" s="1358"/>
      <c r="CR14" s="1358"/>
      <c r="CS14" s="1358"/>
      <c r="CT14" s="1290"/>
      <c r="CU14" s="1358"/>
      <c r="CV14" s="1358"/>
      <c r="CW14" s="1358"/>
      <c r="CX14" s="1358"/>
      <c r="CY14" s="1358"/>
      <c r="CZ14" s="1358"/>
      <c r="DA14" s="1290"/>
      <c r="DB14" s="1358"/>
      <c r="DC14" s="1290"/>
      <c r="DD14" s="1358"/>
      <c r="DE14" s="1358"/>
      <c r="DF14" s="1358"/>
      <c r="DG14" s="1290"/>
      <c r="DH14" s="1358"/>
      <c r="DI14" s="1358"/>
      <c r="DJ14" s="1290"/>
      <c r="DK14" s="1358"/>
      <c r="DL14" s="1358"/>
      <c r="DM14" s="1290"/>
      <c r="DN14" s="1358"/>
      <c r="DO14" s="1290"/>
      <c r="DP14" s="1358"/>
      <c r="DQ14" s="1358"/>
      <c r="DR14" s="1358"/>
      <c r="DS14" s="1358"/>
      <c r="DT14" s="1358"/>
      <c r="DU14" s="1358"/>
      <c r="DV14" s="1358"/>
      <c r="DW14" s="1358"/>
      <c r="DX14" s="1358"/>
      <c r="DY14" s="1358"/>
      <c r="DZ14" s="1358"/>
      <c r="EA14" s="1358"/>
      <c r="EB14" s="1358"/>
      <c r="EC14" s="1358"/>
      <c r="ED14" s="1290"/>
      <c r="EE14" s="1290"/>
      <c r="EF14" s="1358"/>
      <c r="EG14" s="1290"/>
      <c r="EH14" s="1692"/>
      <c r="EI14" s="1358"/>
      <c r="EJ14" s="1358"/>
      <c r="EK14" s="1358"/>
      <c r="EL14" s="1358"/>
      <c r="EM14" s="1490">
        <v>194943</v>
      </c>
      <c r="EN14" s="1358"/>
      <c r="EO14" s="1358"/>
      <c r="EP14" s="1358"/>
      <c r="EQ14" s="1358"/>
      <c r="ER14" s="1290"/>
      <c r="ES14" s="1358"/>
      <c r="ET14" s="1358"/>
      <c r="EU14" s="1358"/>
      <c r="EV14" s="1290"/>
      <c r="EW14" s="1358"/>
      <c r="EX14" s="1358"/>
      <c r="EY14" s="1290"/>
      <c r="EZ14" s="1490"/>
      <c r="FA14" s="1358"/>
      <c r="FB14" s="1358"/>
      <c r="FC14" s="1358"/>
      <c r="FD14" s="1358"/>
      <c r="FE14" s="1290"/>
      <c r="FF14" s="1290"/>
      <c r="FG14" s="1290"/>
      <c r="FH14" s="1290"/>
      <c r="FI14" s="1290"/>
      <c r="FJ14" s="1290"/>
      <c r="FK14" s="1290"/>
      <c r="FL14" s="1290"/>
      <c r="FM14" s="1290"/>
      <c r="FN14" s="1290"/>
      <c r="FO14" s="1290"/>
      <c r="FP14" s="1290"/>
      <c r="FQ14" s="1358"/>
      <c r="FR14" s="1358"/>
      <c r="FS14" s="1358"/>
      <c r="FT14" s="1358"/>
      <c r="FU14" s="1358"/>
      <c r="FV14" s="1358"/>
      <c r="FW14" s="1358"/>
      <c r="FX14" s="1358"/>
      <c r="FY14" s="1358"/>
      <c r="FZ14" s="1358"/>
      <c r="GA14" s="1358"/>
      <c r="GB14" s="1358"/>
      <c r="GC14" s="1358"/>
      <c r="GD14" s="1358"/>
      <c r="GE14" s="1358"/>
      <c r="GF14" s="1358"/>
      <c r="GG14" s="1358"/>
      <c r="GH14" s="1358"/>
      <c r="GI14" s="1358"/>
      <c r="GJ14" s="1358"/>
      <c r="GK14" s="1358"/>
      <c r="GL14" s="1358"/>
      <c r="GM14" s="1358"/>
      <c r="GN14" s="1358"/>
      <c r="GO14" s="1358"/>
      <c r="GP14" s="1358"/>
      <c r="GQ14" s="1358"/>
      <c r="GR14" s="1358"/>
      <c r="GS14" s="1358"/>
      <c r="GT14" s="1358"/>
      <c r="GU14" s="1358"/>
      <c r="GV14" s="1358"/>
      <c r="GW14" s="1358"/>
      <c r="GX14" s="1358"/>
      <c r="GY14" s="1358"/>
      <c r="GZ14" s="1358"/>
      <c r="HA14" s="1358"/>
      <c r="HB14" s="1290">
        <v>3000</v>
      </c>
      <c r="HC14" s="1358"/>
      <c r="HD14" s="1358"/>
      <c r="HE14" s="1358"/>
      <c r="HF14" s="1358"/>
      <c r="HG14" s="1290"/>
      <c r="HH14" s="1358"/>
      <c r="HI14" s="1290"/>
      <c r="HJ14" s="1290"/>
      <c r="HK14" s="1290"/>
      <c r="HL14" s="1290"/>
      <c r="HM14" s="1290"/>
      <c r="HN14" s="1358"/>
      <c r="HO14" s="1358"/>
      <c r="HP14" s="1290"/>
      <c r="HQ14" s="1358"/>
      <c r="HR14" s="1358"/>
      <c r="HS14" s="1358"/>
      <c r="HT14" s="1358"/>
      <c r="HU14" s="1358"/>
      <c r="HV14" s="1358"/>
      <c r="HW14" s="1358"/>
      <c r="HX14" s="1358"/>
      <c r="HY14" s="1358"/>
      <c r="HZ14" s="1358"/>
      <c r="IA14" s="1358"/>
      <c r="IB14" s="1358"/>
      <c r="IC14" s="1358"/>
      <c r="ID14" s="1358"/>
      <c r="IE14" s="1358"/>
      <c r="IF14" s="1358"/>
      <c r="IG14" s="1358"/>
      <c r="IH14" s="1358"/>
      <c r="II14" s="1358"/>
      <c r="IJ14" s="1358"/>
      <c r="IK14" s="1358"/>
      <c r="IL14" s="1358"/>
      <c r="IM14" s="1358"/>
      <c r="IN14" s="1358"/>
      <c r="IO14" s="1358"/>
      <c r="IP14" s="1358"/>
      <c r="IQ14" s="1358"/>
      <c r="IR14" s="1358"/>
      <c r="IS14" s="1358"/>
      <c r="IT14" s="1358"/>
      <c r="IU14" s="1358"/>
      <c r="IV14" s="1358"/>
      <c r="IW14" s="1358"/>
      <c r="IX14" s="1290"/>
      <c r="IY14" s="1358"/>
      <c r="IZ14" s="1290"/>
      <c r="JA14" s="1358"/>
      <c r="JB14" s="1358"/>
      <c r="JC14" s="1358"/>
      <c r="JD14" s="1358"/>
      <c r="JE14" s="1358"/>
      <c r="JF14" s="1358"/>
      <c r="JG14" s="1358"/>
      <c r="JH14" s="1358"/>
      <c r="JI14" s="1358"/>
      <c r="JJ14" s="1358"/>
      <c r="JK14" s="1358"/>
      <c r="JL14" s="1358"/>
      <c r="JM14" s="1358"/>
      <c r="JN14" s="1358"/>
      <c r="JO14" s="1358"/>
      <c r="JP14" s="1358"/>
      <c r="JQ14" s="1364"/>
      <c r="JR14" s="593"/>
      <c r="JS14" s="355" t="s">
        <v>4278</v>
      </c>
      <c r="JT14" s="355" t="s">
        <v>2253</v>
      </c>
      <c r="JU14" s="598"/>
      <c r="JV14" s="598"/>
    </row>
    <row r="15" spans="1:282" x14ac:dyDescent="0.25">
      <c r="A15" s="1367">
        <v>14</v>
      </c>
      <c r="B15" s="1684" t="str">
        <f t="shared" si="0"/>
        <v/>
      </c>
      <c r="C15" s="1688" t="s">
        <v>4279</v>
      </c>
      <c r="D15" s="1360" t="s">
        <v>4280</v>
      </c>
      <c r="E15" s="1358"/>
      <c r="F15" s="1358"/>
      <c r="G15" s="1358"/>
      <c r="H15" s="1358"/>
      <c r="I15" s="1358"/>
      <c r="J15" s="1358"/>
      <c r="K15" s="1358"/>
      <c r="L15" s="1358"/>
      <c r="M15" s="1358"/>
      <c r="N15" s="1358"/>
      <c r="O15" s="1358"/>
      <c r="P15" s="1358"/>
      <c r="Q15" s="1358"/>
      <c r="R15" s="1358"/>
      <c r="S15" s="1358"/>
      <c r="T15" s="1358"/>
      <c r="U15" s="1358"/>
      <c r="V15" s="1358"/>
      <c r="W15" s="1358"/>
      <c r="X15" s="1358"/>
      <c r="Y15" s="1358"/>
      <c r="Z15" s="1358"/>
      <c r="AA15" s="1358"/>
      <c r="AB15" s="1358"/>
      <c r="AC15" s="1358"/>
      <c r="AD15" s="1358"/>
      <c r="AE15" s="1358"/>
      <c r="AF15" s="1358"/>
      <c r="AG15" s="1358"/>
      <c r="AH15" s="1358"/>
      <c r="AI15" s="1290"/>
      <c r="AJ15" s="1358"/>
      <c r="AK15" s="1290"/>
      <c r="AL15" s="1358"/>
      <c r="AM15" s="1358"/>
      <c r="AN15" s="1358"/>
      <c r="AO15" s="1358"/>
      <c r="AP15" s="1358"/>
      <c r="AQ15" s="1358"/>
      <c r="AR15" s="1358"/>
      <c r="AS15" s="1358"/>
      <c r="AT15" s="1358"/>
      <c r="AU15" s="1290"/>
      <c r="AV15" s="1358"/>
      <c r="AW15" s="1358"/>
      <c r="AX15" s="1358"/>
      <c r="AY15" s="1358"/>
      <c r="AZ15" s="1358"/>
      <c r="BA15" s="1358"/>
      <c r="BB15" s="1290"/>
      <c r="BC15" s="1358"/>
      <c r="BD15" s="1290"/>
      <c r="BE15" s="1358"/>
      <c r="BF15" s="1358"/>
      <c r="BG15" s="1290"/>
      <c r="BH15" s="1358"/>
      <c r="BI15" s="1358"/>
      <c r="BJ15" s="1358"/>
      <c r="BK15" s="1358"/>
      <c r="BL15" s="1358"/>
      <c r="BM15" s="1358"/>
      <c r="BN15" s="1358"/>
      <c r="BO15" s="1358"/>
      <c r="BP15" s="1290"/>
      <c r="BQ15" s="1358"/>
      <c r="BR15" s="1358"/>
      <c r="BS15" s="1358"/>
      <c r="BT15" s="1290"/>
      <c r="BU15" s="1290"/>
      <c r="BV15" s="1358"/>
      <c r="BW15" s="1290"/>
      <c r="BX15" s="1358"/>
      <c r="BY15" s="1358"/>
      <c r="BZ15" s="1290"/>
      <c r="CA15" s="1358"/>
      <c r="CB15" s="1358"/>
      <c r="CC15" s="1358"/>
      <c r="CD15" s="1290"/>
      <c r="CE15" s="1358"/>
      <c r="CF15" s="1358"/>
      <c r="CG15" s="1358"/>
      <c r="CH15" s="1358"/>
      <c r="CI15" s="1358"/>
      <c r="CJ15" s="1358"/>
      <c r="CK15" s="1358"/>
      <c r="CL15" s="1358"/>
      <c r="CM15" s="1358"/>
      <c r="CN15" s="1358"/>
      <c r="CO15" s="1358"/>
      <c r="CP15" s="1358"/>
      <c r="CQ15" s="1358"/>
      <c r="CR15" s="1358"/>
      <c r="CS15" s="1358"/>
      <c r="CT15" s="1290"/>
      <c r="CU15" s="1358"/>
      <c r="CV15" s="1358"/>
      <c r="CW15" s="1358"/>
      <c r="CX15" s="1358"/>
      <c r="CY15" s="1358"/>
      <c r="CZ15" s="1358"/>
      <c r="DA15" s="1290"/>
      <c r="DB15" s="1358"/>
      <c r="DC15" s="1290"/>
      <c r="DD15" s="1358"/>
      <c r="DE15" s="1358"/>
      <c r="DF15" s="1358"/>
      <c r="DG15" s="1290"/>
      <c r="DH15" s="1358"/>
      <c r="DI15" s="1358"/>
      <c r="DJ15" s="1290"/>
      <c r="DK15" s="1358"/>
      <c r="DL15" s="1358"/>
      <c r="DM15" s="1290"/>
      <c r="DN15" s="1358"/>
      <c r="DO15" s="1290"/>
      <c r="DP15" s="1358"/>
      <c r="DQ15" s="1358"/>
      <c r="DR15" s="1358"/>
      <c r="DS15" s="1358"/>
      <c r="DT15" s="1358"/>
      <c r="DU15" s="1358"/>
      <c r="DV15" s="1358"/>
      <c r="DW15" s="1358"/>
      <c r="DX15" s="1358"/>
      <c r="DY15" s="1358"/>
      <c r="DZ15" s="1358"/>
      <c r="EA15" s="1358"/>
      <c r="EB15" s="1358"/>
      <c r="EC15" s="1358"/>
      <c r="ED15" s="1290"/>
      <c r="EE15" s="1290"/>
      <c r="EF15" s="1358"/>
      <c r="EG15" s="1290"/>
      <c r="EH15" s="1290"/>
      <c r="EI15" s="1358"/>
      <c r="EJ15" s="1358"/>
      <c r="EK15" s="1358"/>
      <c r="EL15" s="1358"/>
      <c r="EM15" s="1358"/>
      <c r="EN15" s="1358"/>
      <c r="EO15" s="1358"/>
      <c r="EP15" s="1358"/>
      <c r="EQ15" s="1358"/>
      <c r="ER15" s="1290"/>
      <c r="ES15" s="1358"/>
      <c r="ET15" s="1358"/>
      <c r="EU15" s="1358"/>
      <c r="EV15" s="1290"/>
      <c r="EW15" s="1358"/>
      <c r="EX15" s="1358"/>
      <c r="EY15" s="1290"/>
      <c r="EZ15" s="1693"/>
      <c r="FA15" s="1358"/>
      <c r="FB15" s="1358"/>
      <c r="FC15" s="1358"/>
      <c r="FD15" s="1358"/>
      <c r="FE15" s="1290"/>
      <c r="FF15" s="1290"/>
      <c r="FG15" s="1290"/>
      <c r="FH15" s="1290"/>
      <c r="FI15" s="1290"/>
      <c r="FJ15" s="1290"/>
      <c r="FK15" s="1290"/>
      <c r="FL15" s="1290"/>
      <c r="FM15" s="1290"/>
      <c r="FN15" s="1290"/>
      <c r="FO15" s="1290"/>
      <c r="FP15" s="1290"/>
      <c r="FQ15" s="1358"/>
      <c r="FR15" s="1358"/>
      <c r="FS15" s="1358"/>
      <c r="FT15" s="1358"/>
      <c r="FU15" s="1358"/>
      <c r="FV15" s="1358"/>
      <c r="FW15" s="1358"/>
      <c r="FX15" s="1358"/>
      <c r="FY15" s="1358"/>
      <c r="FZ15" s="1358"/>
      <c r="GA15" s="1358"/>
      <c r="GB15" s="1358"/>
      <c r="GC15" s="1358"/>
      <c r="GD15" s="1358"/>
      <c r="GE15" s="1358"/>
      <c r="GF15" s="1358"/>
      <c r="GG15" s="1358"/>
      <c r="GH15" s="1358"/>
      <c r="GI15" s="1358"/>
      <c r="GJ15" s="1358"/>
      <c r="GK15" s="1358"/>
      <c r="GL15" s="1358"/>
      <c r="GM15" s="1358"/>
      <c r="GN15" s="1358"/>
      <c r="GO15" s="1358"/>
      <c r="GP15" s="1358"/>
      <c r="GQ15" s="1358"/>
      <c r="GR15" s="1358"/>
      <c r="GS15" s="1358"/>
      <c r="GT15" s="1358"/>
      <c r="GU15" s="1358"/>
      <c r="GV15" s="1358"/>
      <c r="GW15" s="1358"/>
      <c r="GX15" s="1358"/>
      <c r="GY15" s="1358"/>
      <c r="GZ15" s="1358"/>
      <c r="HA15" s="1358"/>
      <c r="HB15" s="1290">
        <v>900</v>
      </c>
      <c r="HC15" s="1358"/>
      <c r="HD15" s="1358"/>
      <c r="HE15" s="1358"/>
      <c r="HF15" s="1358"/>
      <c r="HG15" s="1290"/>
      <c r="HH15" s="1358"/>
      <c r="HI15" s="1290"/>
      <c r="HJ15" s="1290"/>
      <c r="HK15" s="1290"/>
      <c r="HL15" s="1290"/>
      <c r="HM15" s="1290"/>
      <c r="HN15" s="1358"/>
      <c r="HO15" s="1358"/>
      <c r="HP15" s="1290"/>
      <c r="HQ15" s="1358"/>
      <c r="HR15" s="1358"/>
      <c r="HS15" s="1358"/>
      <c r="HT15" s="1358"/>
      <c r="HU15" s="1358"/>
      <c r="HV15" s="1358"/>
      <c r="HW15" s="1358"/>
      <c r="HX15" s="1358"/>
      <c r="HY15" s="1358"/>
      <c r="HZ15" s="1358"/>
      <c r="IA15" s="1358"/>
      <c r="IB15" s="1358"/>
      <c r="IC15" s="1358"/>
      <c r="ID15" s="1358"/>
      <c r="IE15" s="1358"/>
      <c r="IF15" s="1358"/>
      <c r="IG15" s="1358"/>
      <c r="IH15" s="1358"/>
      <c r="II15" s="1358"/>
      <c r="IJ15" s="1358"/>
      <c r="IK15" s="1358"/>
      <c r="IL15" s="1358"/>
      <c r="IM15" s="1358"/>
      <c r="IN15" s="1358"/>
      <c r="IO15" s="1358"/>
      <c r="IP15" s="1358"/>
      <c r="IQ15" s="1358"/>
      <c r="IR15" s="1358"/>
      <c r="IS15" s="1358"/>
      <c r="IT15" s="1358"/>
      <c r="IU15" s="1358"/>
      <c r="IV15" s="1358"/>
      <c r="IW15" s="1358"/>
      <c r="IX15" s="1290"/>
      <c r="IY15" s="1358"/>
      <c r="IZ15" s="1290"/>
      <c r="JA15" s="1358"/>
      <c r="JB15" s="1358"/>
      <c r="JC15" s="1358"/>
      <c r="JD15" s="1358"/>
      <c r="JE15" s="1358"/>
      <c r="JF15" s="1358"/>
      <c r="JG15" s="1358"/>
      <c r="JH15" s="1358"/>
      <c r="JI15" s="1358"/>
      <c r="JJ15" s="1358"/>
      <c r="JK15" s="1358"/>
      <c r="JL15" s="1358"/>
      <c r="JM15" s="1358"/>
      <c r="JN15" s="1358"/>
      <c r="JO15" s="1358"/>
      <c r="JP15" s="1358"/>
      <c r="JQ15" s="1364"/>
      <c r="JR15" s="593"/>
      <c r="JS15" s="354"/>
      <c r="JT15" s="355" t="s">
        <v>2242</v>
      </c>
      <c r="JU15" s="355" t="s">
        <v>4277</v>
      </c>
      <c r="JV15" s="598"/>
    </row>
    <row r="16" spans="1:282" x14ac:dyDescent="0.25">
      <c r="A16" s="1367">
        <v>15</v>
      </c>
      <c r="B16" s="1684" t="str">
        <f t="shared" si="0"/>
        <v/>
      </c>
      <c r="C16" s="1688" t="s">
        <v>4281</v>
      </c>
      <c r="D16" s="1360" t="s">
        <v>4282</v>
      </c>
      <c r="E16" s="1686"/>
      <c r="F16" s="1686"/>
      <c r="G16" s="1686"/>
      <c r="H16" s="1686"/>
      <c r="I16" s="1686"/>
      <c r="J16" s="1686"/>
      <c r="K16" s="1686"/>
      <c r="L16" s="1686"/>
      <c r="M16" s="1686"/>
      <c r="N16" s="1686"/>
      <c r="O16" s="1686"/>
      <c r="P16" s="1686"/>
      <c r="Q16" s="1686"/>
      <c r="R16" s="1686"/>
      <c r="S16" s="1686"/>
      <c r="T16" s="1686"/>
      <c r="U16" s="1686"/>
      <c r="V16" s="1686"/>
      <c r="W16" s="1686"/>
      <c r="X16" s="1686"/>
      <c r="Y16" s="1686"/>
      <c r="Z16" s="1686"/>
      <c r="AA16" s="1686"/>
      <c r="AB16" s="1686"/>
      <c r="AC16" s="1686"/>
      <c r="AD16" s="1686"/>
      <c r="AE16" s="1686"/>
      <c r="AF16" s="1686"/>
      <c r="AG16" s="1686"/>
      <c r="AH16" s="1686"/>
      <c r="AI16" s="1290"/>
      <c r="AJ16" s="1686"/>
      <c r="AK16" s="1290"/>
      <c r="AL16" s="1686"/>
      <c r="AM16" s="1686"/>
      <c r="AN16" s="1686"/>
      <c r="AO16" s="1686"/>
      <c r="AP16" s="1686"/>
      <c r="AQ16" s="1686"/>
      <c r="AR16" s="1686"/>
      <c r="AS16" s="1686"/>
      <c r="AT16" s="1686"/>
      <c r="AU16" s="1290"/>
      <c r="AV16" s="1686"/>
      <c r="AW16" s="1686"/>
      <c r="AX16" s="1686"/>
      <c r="AY16" s="1686"/>
      <c r="AZ16" s="1686"/>
      <c r="BA16" s="1686"/>
      <c r="BB16" s="1290"/>
      <c r="BC16" s="1686"/>
      <c r="BD16" s="1290"/>
      <c r="BE16" s="1686"/>
      <c r="BF16" s="1686"/>
      <c r="BG16" s="1290"/>
      <c r="BH16" s="1686"/>
      <c r="BI16" s="1686"/>
      <c r="BJ16" s="1686"/>
      <c r="BK16" s="1686"/>
      <c r="BL16" s="1686"/>
      <c r="BM16" s="1686"/>
      <c r="BN16" s="1686"/>
      <c r="BO16" s="1686"/>
      <c r="BP16" s="1290"/>
      <c r="BQ16" s="1686"/>
      <c r="BR16" s="1686"/>
      <c r="BS16" s="1686"/>
      <c r="BT16" s="1290"/>
      <c r="BU16" s="1290"/>
      <c r="BV16" s="1686"/>
      <c r="BW16" s="1290"/>
      <c r="BX16" s="1686"/>
      <c r="BY16" s="1686"/>
      <c r="BZ16" s="1290"/>
      <c r="CA16" s="1686"/>
      <c r="CB16" s="1686"/>
      <c r="CC16" s="1686"/>
      <c r="CD16" s="1290"/>
      <c r="CE16" s="1686"/>
      <c r="CF16" s="1686"/>
      <c r="CG16" s="1686"/>
      <c r="CH16" s="1686"/>
      <c r="CI16" s="1686"/>
      <c r="CJ16" s="1686"/>
      <c r="CK16" s="1686"/>
      <c r="CL16" s="1686"/>
      <c r="CM16" s="1686"/>
      <c r="CN16" s="1686"/>
      <c r="CO16" s="1686"/>
      <c r="CP16" s="1686"/>
      <c r="CQ16" s="1686"/>
      <c r="CR16" s="1686"/>
      <c r="CS16" s="1686"/>
      <c r="CT16" s="1290"/>
      <c r="CU16" s="1686"/>
      <c r="CV16" s="1686"/>
      <c r="CW16" s="1686"/>
      <c r="CX16" s="1686"/>
      <c r="CY16" s="1686"/>
      <c r="CZ16" s="1686"/>
      <c r="DA16" s="1290"/>
      <c r="DB16" s="1686"/>
      <c r="DC16" s="1290"/>
      <c r="DD16" s="1686"/>
      <c r="DE16" s="1686"/>
      <c r="DF16" s="1686"/>
      <c r="DG16" s="1290"/>
      <c r="DH16" s="1686"/>
      <c r="DI16" s="1686"/>
      <c r="DJ16" s="1290"/>
      <c r="DK16" s="1686"/>
      <c r="DL16" s="1686"/>
      <c r="DM16" s="1290"/>
      <c r="DN16" s="1686"/>
      <c r="DO16" s="1290"/>
      <c r="DP16" s="1686"/>
      <c r="DQ16" s="1686"/>
      <c r="DR16" s="1686"/>
      <c r="DS16" s="1686"/>
      <c r="DT16" s="1686"/>
      <c r="DU16" s="1686"/>
      <c r="DV16" s="1686"/>
      <c r="DW16" s="1686"/>
      <c r="DX16" s="1686"/>
      <c r="DY16" s="1686"/>
      <c r="DZ16" s="1686"/>
      <c r="EA16" s="1686"/>
      <c r="EB16" s="1686"/>
      <c r="EC16" s="1686"/>
      <c r="ED16" s="1290"/>
      <c r="EE16" s="1290"/>
      <c r="EF16" s="1686"/>
      <c r="EG16" s="1422"/>
      <c r="EH16" s="1290"/>
      <c r="EI16" s="1686"/>
      <c r="EJ16" s="1686"/>
      <c r="EK16" s="1686"/>
      <c r="EL16" s="1686"/>
      <c r="EM16" s="1686"/>
      <c r="EN16" s="1693"/>
      <c r="EO16" s="1686"/>
      <c r="EP16" s="1686"/>
      <c r="EQ16" s="1686"/>
      <c r="ER16" s="1290"/>
      <c r="ES16" s="1686"/>
      <c r="ET16" s="1686"/>
      <c r="EU16" s="1686"/>
      <c r="EV16" s="1290"/>
      <c r="EW16" s="1686"/>
      <c r="EX16" s="1686"/>
      <c r="EY16" s="1290"/>
      <c r="EZ16" s="1693"/>
      <c r="FA16" s="1693"/>
      <c r="FB16" s="1693"/>
      <c r="FC16" s="1693"/>
      <c r="FD16" s="1693"/>
      <c r="FE16" s="1422"/>
      <c r="FF16" s="1290"/>
      <c r="FG16" s="1290"/>
      <c r="FH16" s="1422"/>
      <c r="FI16" s="1422"/>
      <c r="FJ16" s="1422"/>
      <c r="FK16" s="1422"/>
      <c r="FL16" s="1290"/>
      <c r="FM16" s="1422"/>
      <c r="FN16" s="1290"/>
      <c r="FO16" s="1694"/>
      <c r="FP16" s="1422"/>
      <c r="FQ16" s="1686"/>
      <c r="FR16" s="1686"/>
      <c r="FS16" s="1686"/>
      <c r="FT16" s="1686"/>
      <c r="FU16" s="1686"/>
      <c r="FV16" s="1686"/>
      <c r="FW16" s="1686"/>
      <c r="FX16" s="1686"/>
      <c r="FY16" s="1686"/>
      <c r="FZ16" s="1686"/>
      <c r="GA16" s="1686"/>
      <c r="GB16" s="1686"/>
      <c r="GC16" s="1686"/>
      <c r="GD16" s="1686"/>
      <c r="GE16" s="1686"/>
      <c r="GF16" s="1686"/>
      <c r="GG16" s="1686"/>
      <c r="GH16" s="1686"/>
      <c r="GI16" s="1686"/>
      <c r="GJ16" s="1686"/>
      <c r="GK16" s="1691">
        <v>16500</v>
      </c>
      <c r="GL16" s="1686"/>
      <c r="GM16" s="1686"/>
      <c r="GN16" s="1686"/>
      <c r="GO16" s="1686"/>
      <c r="GP16" s="1686"/>
      <c r="GQ16" s="1686"/>
      <c r="GR16" s="1686"/>
      <c r="GS16" s="1686"/>
      <c r="GT16" s="1686"/>
      <c r="GU16" s="1686"/>
      <c r="GV16" s="1686"/>
      <c r="GW16" s="1686"/>
      <c r="GX16" s="1686"/>
      <c r="GY16" s="1686"/>
      <c r="GZ16" s="1686"/>
      <c r="HA16" s="1686"/>
      <c r="HB16" s="1290"/>
      <c r="HC16" s="1686"/>
      <c r="HD16" s="1686"/>
      <c r="HE16" s="1686"/>
      <c r="HF16" s="1686"/>
      <c r="HG16" s="1290"/>
      <c r="HH16" s="1686"/>
      <c r="HI16" s="1422"/>
      <c r="HJ16" s="1290"/>
      <c r="HK16" s="1290"/>
      <c r="HL16" s="1422"/>
      <c r="HM16" s="1422"/>
      <c r="HN16" s="1686"/>
      <c r="HO16" s="1686"/>
      <c r="HP16" s="1422"/>
      <c r="HQ16" s="1686"/>
      <c r="HR16" s="1686"/>
      <c r="HS16" s="1686"/>
      <c r="HT16" s="1686"/>
      <c r="HU16" s="1686"/>
      <c r="HV16" s="1686"/>
      <c r="HW16" s="1686"/>
      <c r="HX16" s="1686"/>
      <c r="HY16" s="1686"/>
      <c r="HZ16" s="1686"/>
      <c r="IA16" s="1686"/>
      <c r="IB16" s="1686"/>
      <c r="IC16" s="1686"/>
      <c r="ID16" s="1686"/>
      <c r="IE16" s="1686"/>
      <c r="IF16" s="1693"/>
      <c r="IG16" s="1686"/>
      <c r="IH16" s="1686"/>
      <c r="II16" s="1686"/>
      <c r="IJ16" s="1686"/>
      <c r="IK16" s="1686"/>
      <c r="IL16" s="1686"/>
      <c r="IM16" s="1686"/>
      <c r="IN16" s="1686"/>
      <c r="IO16" s="1686"/>
      <c r="IP16" s="1686"/>
      <c r="IQ16" s="1686"/>
      <c r="IR16" s="1686"/>
      <c r="IS16" s="1693"/>
      <c r="IT16" s="1686"/>
      <c r="IU16" s="1686"/>
      <c r="IV16" s="1686"/>
      <c r="IW16" s="1686"/>
      <c r="IX16" s="1422"/>
      <c r="IY16" s="1693"/>
      <c r="IZ16" s="1290"/>
      <c r="JA16" s="1686"/>
      <c r="JB16" s="1686"/>
      <c r="JC16" s="1686"/>
      <c r="JD16" s="1693"/>
      <c r="JE16" s="1686"/>
      <c r="JF16" s="1686"/>
      <c r="JG16" s="1686"/>
      <c r="JH16" s="1686"/>
      <c r="JI16" s="1686"/>
      <c r="JJ16" s="1686"/>
      <c r="JK16" s="1686"/>
      <c r="JL16" s="1693">
        <v>1896981</v>
      </c>
      <c r="JM16" s="1686"/>
      <c r="JN16" s="1686"/>
      <c r="JO16" s="1686"/>
      <c r="JP16" s="1686"/>
      <c r="JQ16" s="1695"/>
      <c r="JR16" s="593"/>
      <c r="JS16" s="354"/>
      <c r="JT16" s="355" t="s">
        <v>2242</v>
      </c>
      <c r="JU16" s="598"/>
      <c r="JV16" s="598"/>
    </row>
    <row r="17" spans="1:282" x14ac:dyDescent="0.25">
      <c r="A17" s="1367">
        <v>16</v>
      </c>
      <c r="B17" s="1684" t="str">
        <f t="shared" si="0"/>
        <v/>
      </c>
      <c r="C17" s="1688" t="s">
        <v>4283</v>
      </c>
      <c r="D17" s="1360" t="s">
        <v>4284</v>
      </c>
      <c r="E17" s="1686"/>
      <c r="F17" s="1686"/>
      <c r="G17" s="1686"/>
      <c r="H17" s="1686"/>
      <c r="I17" s="1686"/>
      <c r="J17" s="1686"/>
      <c r="K17" s="1686"/>
      <c r="L17" s="1686"/>
      <c r="M17" s="1686"/>
      <c r="N17" s="1686"/>
      <c r="O17" s="1686"/>
      <c r="P17" s="1686"/>
      <c r="Q17" s="1686"/>
      <c r="R17" s="1686"/>
      <c r="S17" s="1686"/>
      <c r="T17" s="1686"/>
      <c r="U17" s="1686"/>
      <c r="V17" s="1686"/>
      <c r="W17" s="1686"/>
      <c r="X17" s="1686"/>
      <c r="Y17" s="1686"/>
      <c r="Z17" s="1686"/>
      <c r="AA17" s="1686"/>
      <c r="AB17" s="1686"/>
      <c r="AC17" s="1686"/>
      <c r="AD17" s="1686"/>
      <c r="AE17" s="1686"/>
      <c r="AF17" s="1686"/>
      <c r="AG17" s="1686"/>
      <c r="AH17" s="1686"/>
      <c r="AI17" s="1358"/>
      <c r="AJ17" s="1686"/>
      <c r="AK17" s="1290"/>
      <c r="AL17" s="1686"/>
      <c r="AM17" s="1686"/>
      <c r="AN17" s="1686"/>
      <c r="AO17" s="1686"/>
      <c r="AP17" s="1686"/>
      <c r="AQ17" s="1686"/>
      <c r="AR17" s="1686"/>
      <c r="AS17" s="1686"/>
      <c r="AT17" s="1686"/>
      <c r="AU17" s="1290"/>
      <c r="AV17" s="1686"/>
      <c r="AW17" s="1686"/>
      <c r="AX17" s="1686"/>
      <c r="AY17" s="1686"/>
      <c r="AZ17" s="1686"/>
      <c r="BA17" s="1686"/>
      <c r="BB17" s="1290"/>
      <c r="BC17" s="1686"/>
      <c r="BD17" s="1290"/>
      <c r="BE17" s="1686"/>
      <c r="BF17" s="1686"/>
      <c r="BG17" s="1290"/>
      <c r="BH17" s="1686"/>
      <c r="BI17" s="1686"/>
      <c r="BJ17" s="1686"/>
      <c r="BK17" s="1686"/>
      <c r="BL17" s="1686"/>
      <c r="BM17" s="1686"/>
      <c r="BN17" s="1686"/>
      <c r="BO17" s="1686"/>
      <c r="BP17" s="1290"/>
      <c r="BQ17" s="1686"/>
      <c r="BR17" s="1686"/>
      <c r="BS17" s="1686"/>
      <c r="BT17" s="1290"/>
      <c r="BU17" s="1290"/>
      <c r="BV17" s="1686"/>
      <c r="BW17" s="1290"/>
      <c r="BX17" s="1686"/>
      <c r="BY17" s="1686"/>
      <c r="BZ17" s="1290"/>
      <c r="CA17" s="1686"/>
      <c r="CB17" s="1686"/>
      <c r="CC17" s="1686"/>
      <c r="CD17" s="1290"/>
      <c r="CE17" s="1686"/>
      <c r="CF17" s="1686"/>
      <c r="CG17" s="1686"/>
      <c r="CH17" s="1686"/>
      <c r="CI17" s="1686"/>
      <c r="CJ17" s="1686"/>
      <c r="CK17" s="1686"/>
      <c r="CL17" s="1686"/>
      <c r="CM17" s="1686"/>
      <c r="CN17" s="1686"/>
      <c r="CO17" s="1686"/>
      <c r="CP17" s="1686"/>
      <c r="CQ17" s="1686"/>
      <c r="CR17" s="1686"/>
      <c r="CS17" s="1686"/>
      <c r="CT17" s="1290"/>
      <c r="CU17" s="1686"/>
      <c r="CV17" s="1686"/>
      <c r="CW17" s="1686"/>
      <c r="CX17" s="1686"/>
      <c r="CY17" s="1686"/>
      <c r="CZ17" s="1686"/>
      <c r="DA17" s="1290"/>
      <c r="DB17" s="1686"/>
      <c r="DC17" s="1290"/>
      <c r="DD17" s="1686"/>
      <c r="DE17" s="1686"/>
      <c r="DF17" s="1686"/>
      <c r="DG17" s="1290"/>
      <c r="DH17" s="1686"/>
      <c r="DI17" s="1686"/>
      <c r="DJ17" s="1290"/>
      <c r="DK17" s="1686"/>
      <c r="DL17" s="1686"/>
      <c r="DM17" s="1290"/>
      <c r="DN17" s="1686"/>
      <c r="DO17" s="1290"/>
      <c r="DP17" s="1686"/>
      <c r="DQ17" s="1686"/>
      <c r="DR17" s="1686"/>
      <c r="DS17" s="1686"/>
      <c r="DT17" s="1686"/>
      <c r="DU17" s="1686"/>
      <c r="DV17" s="1686"/>
      <c r="DW17" s="1686"/>
      <c r="DX17" s="1686"/>
      <c r="DY17" s="1686"/>
      <c r="DZ17" s="1686"/>
      <c r="EA17" s="1686"/>
      <c r="EB17" s="1686"/>
      <c r="EC17" s="1686"/>
      <c r="ED17" s="1290"/>
      <c r="EE17" s="1290"/>
      <c r="EF17" s="1686"/>
      <c r="EG17" s="1290"/>
      <c r="EH17" s="1290"/>
      <c r="EI17" s="1686"/>
      <c r="EJ17" s="1686"/>
      <c r="EK17" s="1686"/>
      <c r="EL17" s="1686"/>
      <c r="EM17" s="1686"/>
      <c r="EN17" s="1686"/>
      <c r="EO17" s="1686"/>
      <c r="EP17" s="1693">
        <v>178486</v>
      </c>
      <c r="EQ17" s="1686"/>
      <c r="ER17" s="1290"/>
      <c r="ES17" s="1686"/>
      <c r="ET17" s="1686"/>
      <c r="EU17" s="1686"/>
      <c r="EV17" s="1290"/>
      <c r="EW17" s="1686"/>
      <c r="EX17" s="1686"/>
      <c r="EY17" s="1290"/>
      <c r="EZ17" s="1686"/>
      <c r="FA17" s="1686"/>
      <c r="FB17" s="1686"/>
      <c r="FC17" s="1686"/>
      <c r="FD17" s="1686"/>
      <c r="FE17" s="1290"/>
      <c r="FF17" s="1290"/>
      <c r="FG17" s="1290"/>
      <c r="FH17" s="1290"/>
      <c r="FI17" s="1290"/>
      <c r="FJ17" s="1290"/>
      <c r="FK17" s="1290"/>
      <c r="FL17" s="1290"/>
      <c r="FM17" s="1290"/>
      <c r="FN17" s="1290"/>
      <c r="FO17" s="1290"/>
      <c r="FP17" s="1290"/>
      <c r="FQ17" s="1686"/>
      <c r="FR17" s="1686"/>
      <c r="FS17" s="1686"/>
      <c r="FT17" s="1686"/>
      <c r="FU17" s="1686"/>
      <c r="FV17" s="1686"/>
      <c r="FW17" s="1686"/>
      <c r="FX17" s="1686"/>
      <c r="FY17" s="1686"/>
      <c r="FZ17" s="1686"/>
      <c r="GA17" s="1686"/>
      <c r="GB17" s="1686"/>
      <c r="GC17" s="1686"/>
      <c r="GD17" s="1686"/>
      <c r="GE17" s="1686"/>
      <c r="GF17" s="1686"/>
      <c r="GG17" s="1686"/>
      <c r="GH17" s="1686"/>
      <c r="GI17" s="1686"/>
      <c r="GJ17" s="1686"/>
      <c r="GK17" s="1686">
        <v>29800</v>
      </c>
      <c r="GL17" s="1686"/>
      <c r="GM17" s="1686"/>
      <c r="GN17" s="1686"/>
      <c r="GO17" s="1686"/>
      <c r="GP17" s="1686"/>
      <c r="GQ17" s="1686"/>
      <c r="GR17" s="1686"/>
      <c r="GS17" s="1686"/>
      <c r="GT17" s="1686"/>
      <c r="GU17" s="1686"/>
      <c r="GV17" s="1686"/>
      <c r="GW17" s="1686"/>
      <c r="GX17" s="1686"/>
      <c r="GY17" s="1686"/>
      <c r="GZ17" s="1686"/>
      <c r="HA17" s="1686"/>
      <c r="HB17" s="1290"/>
      <c r="HC17" s="1686"/>
      <c r="HD17" s="1686"/>
      <c r="HE17" s="1686"/>
      <c r="HF17" s="1686"/>
      <c r="HG17" s="1290"/>
      <c r="HH17" s="1686"/>
      <c r="HI17" s="1290"/>
      <c r="HJ17" s="1290"/>
      <c r="HK17" s="1290"/>
      <c r="HL17" s="1290"/>
      <c r="HM17" s="1290"/>
      <c r="HN17" s="1686"/>
      <c r="HO17" s="1686"/>
      <c r="HP17" s="1290"/>
      <c r="HQ17" s="1686"/>
      <c r="HR17" s="1686"/>
      <c r="HS17" s="1686"/>
      <c r="HT17" s="1686"/>
      <c r="HU17" s="1686"/>
      <c r="HV17" s="1686"/>
      <c r="HW17" s="1686"/>
      <c r="HX17" s="1686"/>
      <c r="HY17" s="1686"/>
      <c r="HZ17" s="1686"/>
      <c r="IA17" s="1686"/>
      <c r="IB17" s="1686"/>
      <c r="IC17" s="1686"/>
      <c r="ID17" s="1686"/>
      <c r="IE17" s="1686"/>
      <c r="IF17" s="1686"/>
      <c r="IG17" s="1686"/>
      <c r="IH17" s="1686"/>
      <c r="II17" s="1686"/>
      <c r="IJ17" s="1686"/>
      <c r="IK17" s="1686"/>
      <c r="IL17" s="1686"/>
      <c r="IM17" s="1686"/>
      <c r="IN17" s="1686"/>
      <c r="IO17" s="1686"/>
      <c r="IP17" s="1686"/>
      <c r="IQ17" s="1686"/>
      <c r="IR17" s="1686"/>
      <c r="IS17" s="1686"/>
      <c r="IT17" s="1686"/>
      <c r="IU17" s="1686"/>
      <c r="IV17" s="1686"/>
      <c r="IW17" s="1686"/>
      <c r="IX17" s="1290"/>
      <c r="IY17" s="1686"/>
      <c r="IZ17" s="1290"/>
      <c r="JA17" s="1686"/>
      <c r="JB17" s="1686"/>
      <c r="JC17" s="1686"/>
      <c r="JD17" s="1686"/>
      <c r="JE17" s="1686"/>
      <c r="JF17" s="1686"/>
      <c r="JG17" s="1686"/>
      <c r="JH17" s="1686"/>
      <c r="JI17" s="1686"/>
      <c r="JJ17" s="1686"/>
      <c r="JK17" s="1686"/>
      <c r="JL17" s="1686"/>
      <c r="JM17" s="1686"/>
      <c r="JN17" s="1686"/>
      <c r="JO17" s="1686"/>
      <c r="JP17" s="1686"/>
      <c r="JQ17" s="1695"/>
      <c r="JR17" s="593"/>
      <c r="JS17" s="354"/>
      <c r="JT17" s="355"/>
      <c r="JU17" s="598"/>
      <c r="JV17" s="598"/>
    </row>
    <row r="18" spans="1:282" x14ac:dyDescent="0.25">
      <c r="A18" s="1367">
        <v>17</v>
      </c>
      <c r="B18" s="1684" t="str">
        <f t="shared" si="0"/>
        <v/>
      </c>
      <c r="C18" s="1688" t="s">
        <v>4285</v>
      </c>
      <c r="D18" s="1360" t="s">
        <v>4286</v>
      </c>
      <c r="E18" s="1686"/>
      <c r="F18" s="1686"/>
      <c r="G18" s="1686"/>
      <c r="H18" s="1686"/>
      <c r="I18" s="1686"/>
      <c r="J18" s="1686"/>
      <c r="K18" s="1686"/>
      <c r="L18" s="1686"/>
      <c r="M18" s="1686"/>
      <c r="N18" s="1686"/>
      <c r="O18" s="1686"/>
      <c r="P18" s="1686"/>
      <c r="Q18" s="1686"/>
      <c r="R18" s="1686"/>
      <c r="S18" s="1686"/>
      <c r="T18" s="1686"/>
      <c r="U18" s="1686"/>
      <c r="V18" s="1686"/>
      <c r="W18" s="1686"/>
      <c r="X18" s="1686"/>
      <c r="Y18" s="1686"/>
      <c r="Z18" s="1686"/>
      <c r="AA18" s="1686"/>
      <c r="AB18" s="1686"/>
      <c r="AC18" s="1686"/>
      <c r="AD18" s="1686"/>
      <c r="AE18" s="1686"/>
      <c r="AF18" s="1686"/>
      <c r="AG18" s="1686"/>
      <c r="AH18" s="1686"/>
      <c r="AI18" s="1358"/>
      <c r="AJ18" s="1686"/>
      <c r="AK18" s="1290"/>
      <c r="AL18" s="1686"/>
      <c r="AM18" s="1686"/>
      <c r="AN18" s="1686"/>
      <c r="AO18" s="1686"/>
      <c r="AP18" s="1686"/>
      <c r="AQ18" s="1686"/>
      <c r="AR18" s="1686"/>
      <c r="AS18" s="1686"/>
      <c r="AT18" s="1686"/>
      <c r="AU18" s="1290"/>
      <c r="AV18" s="1686"/>
      <c r="AW18" s="1686"/>
      <c r="AX18" s="1686"/>
      <c r="AY18" s="1686"/>
      <c r="AZ18" s="1686"/>
      <c r="BA18" s="1686"/>
      <c r="BB18" s="1290"/>
      <c r="BC18" s="1686"/>
      <c r="BD18" s="1290"/>
      <c r="BE18" s="1686"/>
      <c r="BF18" s="1686"/>
      <c r="BG18" s="1290"/>
      <c r="BH18" s="1686"/>
      <c r="BI18" s="1686"/>
      <c r="BJ18" s="1686"/>
      <c r="BK18" s="1686"/>
      <c r="BL18" s="1686"/>
      <c r="BM18" s="1686"/>
      <c r="BN18" s="1686"/>
      <c r="BO18" s="1686"/>
      <c r="BP18" s="1290"/>
      <c r="BQ18" s="1686"/>
      <c r="BR18" s="1686"/>
      <c r="BS18" s="1686"/>
      <c r="BT18" s="1290"/>
      <c r="BU18" s="1290"/>
      <c r="BV18" s="1686"/>
      <c r="BW18" s="1290"/>
      <c r="BX18" s="1686"/>
      <c r="BY18" s="1686"/>
      <c r="BZ18" s="1290"/>
      <c r="CA18" s="1686"/>
      <c r="CB18" s="1686"/>
      <c r="CC18" s="1686"/>
      <c r="CD18" s="1290"/>
      <c r="CE18" s="1686"/>
      <c r="CF18" s="1686"/>
      <c r="CG18" s="1686"/>
      <c r="CH18" s="1686"/>
      <c r="CI18" s="1686"/>
      <c r="CJ18" s="1686"/>
      <c r="CK18" s="1686"/>
      <c r="CL18" s="1686"/>
      <c r="CM18" s="1686"/>
      <c r="CN18" s="1686"/>
      <c r="CO18" s="1686"/>
      <c r="CP18" s="1686"/>
      <c r="CQ18" s="1686"/>
      <c r="CR18" s="1686"/>
      <c r="CS18" s="1686"/>
      <c r="CT18" s="1290"/>
      <c r="CU18" s="1686"/>
      <c r="CV18" s="1686"/>
      <c r="CW18" s="1686"/>
      <c r="CX18" s="1686"/>
      <c r="CY18" s="1686"/>
      <c r="CZ18" s="1686"/>
      <c r="DA18" s="1290"/>
      <c r="DB18" s="1686"/>
      <c r="DC18" s="1290"/>
      <c r="DD18" s="1686"/>
      <c r="DE18" s="1686"/>
      <c r="DF18" s="1686"/>
      <c r="DG18" s="1290"/>
      <c r="DH18" s="1686"/>
      <c r="DI18" s="1686"/>
      <c r="DJ18" s="1290"/>
      <c r="DK18" s="1686"/>
      <c r="DL18" s="1686"/>
      <c r="DM18" s="1290"/>
      <c r="DN18" s="1686"/>
      <c r="DO18" s="1290"/>
      <c r="DP18" s="1686"/>
      <c r="DQ18" s="1686"/>
      <c r="DR18" s="1686"/>
      <c r="DS18" s="1686"/>
      <c r="DT18" s="1686"/>
      <c r="DU18" s="1686"/>
      <c r="DV18" s="1686"/>
      <c r="DW18" s="1686"/>
      <c r="DX18" s="1686"/>
      <c r="DY18" s="1686"/>
      <c r="DZ18" s="1686"/>
      <c r="EA18" s="1686"/>
      <c r="EB18" s="1686"/>
      <c r="EC18" s="1686"/>
      <c r="ED18" s="1290"/>
      <c r="EE18" s="1290"/>
      <c r="EF18" s="1686"/>
      <c r="EG18" s="1290"/>
      <c r="EH18" s="1290"/>
      <c r="EI18" s="1686"/>
      <c r="EJ18" s="1686"/>
      <c r="EK18" s="1686"/>
      <c r="EL18" s="1686"/>
      <c r="EM18" s="1686"/>
      <c r="EN18" s="1693"/>
      <c r="EO18" s="1686"/>
      <c r="EP18" s="1693">
        <v>178486</v>
      </c>
      <c r="EQ18" s="1686"/>
      <c r="ER18" s="1694">
        <v>7149</v>
      </c>
      <c r="ES18" s="1686"/>
      <c r="ET18" s="1686"/>
      <c r="EU18" s="1686"/>
      <c r="EV18" s="1290"/>
      <c r="EW18" s="1686"/>
      <c r="EX18" s="1686"/>
      <c r="EY18" s="1290"/>
      <c r="EZ18" s="1693"/>
      <c r="FA18" s="1686"/>
      <c r="FB18" s="1686"/>
      <c r="FC18" s="1686"/>
      <c r="FD18" s="1686"/>
      <c r="FE18" s="1290"/>
      <c r="FF18" s="1290"/>
      <c r="FG18" s="1290"/>
      <c r="FH18" s="1290"/>
      <c r="FI18" s="1290"/>
      <c r="FJ18" s="1290"/>
      <c r="FK18" s="1290"/>
      <c r="FL18" s="1290"/>
      <c r="FM18" s="1290"/>
      <c r="FN18" s="1290"/>
      <c r="FO18" s="1290"/>
      <c r="FP18" s="1290"/>
      <c r="FQ18" s="1686"/>
      <c r="FR18" s="1686"/>
      <c r="FS18" s="1686"/>
      <c r="FT18" s="1686"/>
      <c r="FU18" s="1686"/>
      <c r="FV18" s="1686"/>
      <c r="FW18" s="1686"/>
      <c r="FX18" s="1686"/>
      <c r="FY18" s="1686"/>
      <c r="FZ18" s="1686"/>
      <c r="GA18" s="1686"/>
      <c r="GB18" s="1686"/>
      <c r="GC18" s="1686"/>
      <c r="GD18" s="1686"/>
      <c r="GE18" s="1686"/>
      <c r="GF18" s="1686"/>
      <c r="GG18" s="1686"/>
      <c r="GH18" s="1686"/>
      <c r="GI18" s="1686"/>
      <c r="GJ18" s="1686"/>
      <c r="GK18" s="1686">
        <v>30000</v>
      </c>
      <c r="GL18" s="1686"/>
      <c r="GM18" s="1686"/>
      <c r="GN18" s="1686"/>
      <c r="GO18" s="1686"/>
      <c r="GP18" s="1686"/>
      <c r="GQ18" s="1686"/>
      <c r="GR18" s="1686"/>
      <c r="GS18" s="1686"/>
      <c r="GT18" s="1686"/>
      <c r="GU18" s="1686"/>
      <c r="GV18" s="1686"/>
      <c r="GW18" s="1686"/>
      <c r="GX18" s="1686"/>
      <c r="GY18" s="1686"/>
      <c r="GZ18" s="1686"/>
      <c r="HA18" s="1686"/>
      <c r="HB18" s="1290"/>
      <c r="HC18" s="1686"/>
      <c r="HD18" s="1686"/>
      <c r="HE18" s="1686"/>
      <c r="HF18" s="1686"/>
      <c r="HG18" s="1290"/>
      <c r="HH18" s="1686"/>
      <c r="HI18" s="1290"/>
      <c r="HJ18" s="1290"/>
      <c r="HK18" s="1290"/>
      <c r="HL18" s="1290"/>
      <c r="HM18" s="1290"/>
      <c r="HN18" s="1686"/>
      <c r="HO18" s="1686"/>
      <c r="HP18" s="1290"/>
      <c r="HQ18" s="1686"/>
      <c r="HR18" s="1686"/>
      <c r="HS18" s="1686"/>
      <c r="HT18" s="1686"/>
      <c r="HU18" s="1686"/>
      <c r="HV18" s="1686"/>
      <c r="HW18" s="1686"/>
      <c r="HX18" s="1686"/>
      <c r="HY18" s="1686"/>
      <c r="HZ18" s="1686"/>
      <c r="IA18" s="1686"/>
      <c r="IB18" s="1686"/>
      <c r="IC18" s="1686"/>
      <c r="ID18" s="1686"/>
      <c r="IE18" s="1686"/>
      <c r="IF18" s="1686"/>
      <c r="IG18" s="1686"/>
      <c r="IH18" s="1686"/>
      <c r="II18" s="1686"/>
      <c r="IJ18" s="1686"/>
      <c r="IK18" s="1686"/>
      <c r="IL18" s="1686"/>
      <c r="IM18" s="1686"/>
      <c r="IN18" s="1686"/>
      <c r="IO18" s="1686"/>
      <c r="IP18" s="1686"/>
      <c r="IQ18" s="1686"/>
      <c r="IR18" s="1686"/>
      <c r="IS18" s="1686"/>
      <c r="IT18" s="1686"/>
      <c r="IU18" s="1686"/>
      <c r="IV18" s="1686"/>
      <c r="IW18" s="1686"/>
      <c r="IX18" s="1290"/>
      <c r="IY18" s="1686"/>
      <c r="IZ18" s="1290"/>
      <c r="JA18" s="1686"/>
      <c r="JB18" s="1686"/>
      <c r="JC18" s="1686"/>
      <c r="JD18" s="1686"/>
      <c r="JE18" s="1686"/>
      <c r="JF18" s="1686"/>
      <c r="JG18" s="1686"/>
      <c r="JH18" s="1686"/>
      <c r="JI18" s="1686"/>
      <c r="JJ18" s="1686"/>
      <c r="JK18" s="1686"/>
      <c r="JL18" s="1693">
        <v>1896981</v>
      </c>
      <c r="JM18" s="1686"/>
      <c r="JN18" s="1686"/>
      <c r="JO18" s="1686"/>
      <c r="JP18" s="1686"/>
      <c r="JQ18" s="1695"/>
      <c r="JR18" s="593"/>
      <c r="JS18" s="354"/>
      <c r="JT18" s="355"/>
      <c r="JU18" s="598"/>
      <c r="JV18" s="598"/>
    </row>
    <row r="19" spans="1:282" x14ac:dyDescent="0.25">
      <c r="A19" s="1367">
        <v>18</v>
      </c>
      <c r="B19" s="1684" t="str">
        <f t="shared" si="0"/>
        <v/>
      </c>
      <c r="C19" s="1689" t="s">
        <v>4287</v>
      </c>
      <c r="D19" s="1690" t="s">
        <v>3252</v>
      </c>
      <c r="E19" s="1686"/>
      <c r="F19" s="1686"/>
      <c r="G19" s="1686"/>
      <c r="H19" s="1686"/>
      <c r="I19" s="1686"/>
      <c r="J19" s="1686"/>
      <c r="K19" s="1686"/>
      <c r="L19" s="1686"/>
      <c r="M19" s="1686"/>
      <c r="N19" s="1686"/>
      <c r="O19" s="1686"/>
      <c r="P19" s="1686"/>
      <c r="Q19" s="1686"/>
      <c r="R19" s="1686"/>
      <c r="S19" s="1686"/>
      <c r="T19" s="1686"/>
      <c r="U19" s="1686"/>
      <c r="V19" s="1686"/>
      <c r="W19" s="1686"/>
      <c r="X19" s="1686"/>
      <c r="Y19" s="1686"/>
      <c r="Z19" s="1686"/>
      <c r="AA19" s="1686"/>
      <c r="AB19" s="1686"/>
      <c r="AC19" s="1686"/>
      <c r="AD19" s="1686"/>
      <c r="AE19" s="1686"/>
      <c r="AF19" s="1686"/>
      <c r="AG19" s="1686"/>
      <c r="AH19" s="1686"/>
      <c r="AI19" s="1358"/>
      <c r="AJ19" s="1686"/>
      <c r="AK19" s="1290"/>
      <c r="AL19" s="1686"/>
      <c r="AM19" s="1686"/>
      <c r="AN19" s="1686"/>
      <c r="AO19" s="1686"/>
      <c r="AP19" s="1686"/>
      <c r="AQ19" s="1686"/>
      <c r="AR19" s="1686"/>
      <c r="AS19" s="1686"/>
      <c r="AT19" s="1686"/>
      <c r="AU19" s="1290"/>
      <c r="AV19" s="1686"/>
      <c r="AW19" s="1686"/>
      <c r="AX19" s="1686"/>
      <c r="AY19" s="1686"/>
      <c r="AZ19" s="1686"/>
      <c r="BA19" s="1686"/>
      <c r="BB19" s="1290"/>
      <c r="BC19" s="1686"/>
      <c r="BD19" s="1290"/>
      <c r="BE19" s="1686"/>
      <c r="BF19" s="1686"/>
      <c r="BG19" s="1290"/>
      <c r="BH19" s="1686"/>
      <c r="BI19" s="1686"/>
      <c r="BJ19" s="1686"/>
      <c r="BK19" s="1686"/>
      <c r="BL19" s="1686"/>
      <c r="BM19" s="1686"/>
      <c r="BN19" s="1686"/>
      <c r="BO19" s="1686"/>
      <c r="BP19" s="1290"/>
      <c r="BQ19" s="1686"/>
      <c r="BR19" s="1686"/>
      <c r="BS19" s="1686"/>
      <c r="BT19" s="1290"/>
      <c r="BU19" s="1290"/>
      <c r="BV19" s="1686"/>
      <c r="BW19" s="1290"/>
      <c r="BX19" s="1686"/>
      <c r="BY19" s="1686"/>
      <c r="BZ19" s="1290"/>
      <c r="CA19" s="1686"/>
      <c r="CB19" s="1686"/>
      <c r="CC19" s="1686"/>
      <c r="CD19" s="1290"/>
      <c r="CE19" s="1686"/>
      <c r="CF19" s="1686"/>
      <c r="CG19" s="1686"/>
      <c r="CH19" s="1686"/>
      <c r="CI19" s="1686"/>
      <c r="CJ19" s="1686"/>
      <c r="CK19" s="1686"/>
      <c r="CL19" s="1686"/>
      <c r="CM19" s="1686"/>
      <c r="CN19" s="1686"/>
      <c r="CO19" s="1686"/>
      <c r="CP19" s="1686"/>
      <c r="CQ19" s="1686"/>
      <c r="CR19" s="1686"/>
      <c r="CS19" s="1686"/>
      <c r="CT19" s="1290"/>
      <c r="CU19" s="1686"/>
      <c r="CV19" s="1686"/>
      <c r="CW19" s="1686"/>
      <c r="CX19" s="1686"/>
      <c r="CY19" s="1686"/>
      <c r="CZ19" s="1686"/>
      <c r="DA19" s="1290"/>
      <c r="DB19" s="1686"/>
      <c r="DC19" s="1290"/>
      <c r="DD19" s="1686"/>
      <c r="DE19" s="1686"/>
      <c r="DF19" s="1686"/>
      <c r="DG19" s="1290"/>
      <c r="DH19" s="1686"/>
      <c r="DI19" s="1686"/>
      <c r="DJ19" s="1290"/>
      <c r="DK19" s="1686"/>
      <c r="DL19" s="1686"/>
      <c r="DM19" s="1290"/>
      <c r="DN19" s="1686"/>
      <c r="DO19" s="1290"/>
      <c r="DP19" s="1686"/>
      <c r="DQ19" s="1686"/>
      <c r="DR19" s="1686"/>
      <c r="DS19" s="1686"/>
      <c r="DT19" s="1686"/>
      <c r="DU19" s="1686"/>
      <c r="DV19" s="1686"/>
      <c r="DW19" s="1686"/>
      <c r="DX19" s="1686"/>
      <c r="DY19" s="1686"/>
      <c r="DZ19" s="1686"/>
      <c r="EA19" s="1686"/>
      <c r="EB19" s="1686"/>
      <c r="EC19" s="1686"/>
      <c r="ED19" s="1290"/>
      <c r="EE19" s="1290"/>
      <c r="EF19" s="1686"/>
      <c r="EG19" s="1290"/>
      <c r="EH19" s="1290"/>
      <c r="EI19" s="1686"/>
      <c r="EJ19" s="1686"/>
      <c r="EK19" s="1686"/>
      <c r="EL19" s="1686"/>
      <c r="EM19" s="1686"/>
      <c r="EN19" s="1686"/>
      <c r="EO19" s="1686"/>
      <c r="EP19" s="1686"/>
      <c r="EQ19" s="1686"/>
      <c r="ER19" s="1691"/>
      <c r="ES19" s="1686"/>
      <c r="ET19" s="1686"/>
      <c r="EU19" s="1686"/>
      <c r="EV19" s="1290"/>
      <c r="EW19" s="1686"/>
      <c r="EX19" s="1686"/>
      <c r="EY19" s="1290"/>
      <c r="EZ19" s="1686"/>
      <c r="FA19" s="1686"/>
      <c r="FB19" s="1686"/>
      <c r="FC19" s="1686"/>
      <c r="FD19" s="1686"/>
      <c r="FE19" s="1290"/>
      <c r="FF19" s="1290"/>
      <c r="FG19" s="1290"/>
      <c r="FH19" s="1290"/>
      <c r="FI19" s="1290"/>
      <c r="FJ19" s="1290"/>
      <c r="FK19" s="1290"/>
      <c r="FL19" s="1290"/>
      <c r="FM19" s="1290"/>
      <c r="FN19" s="1290"/>
      <c r="FO19" s="1290"/>
      <c r="FP19" s="1290"/>
      <c r="FQ19" s="1686"/>
      <c r="FR19" s="1686"/>
      <c r="FS19" s="1686"/>
      <c r="FT19" s="1686"/>
      <c r="FU19" s="1686"/>
      <c r="FV19" s="1686"/>
      <c r="FW19" s="1686"/>
      <c r="FX19" s="1686"/>
      <c r="FY19" s="1686"/>
      <c r="FZ19" s="1686"/>
      <c r="GA19" s="1686"/>
      <c r="GB19" s="1686"/>
      <c r="GC19" s="1686"/>
      <c r="GD19" s="1686"/>
      <c r="GE19" s="1686"/>
      <c r="GF19" s="1686"/>
      <c r="GG19" s="1686"/>
      <c r="GH19" s="1686"/>
      <c r="GI19" s="1686"/>
      <c r="GJ19" s="1686"/>
      <c r="GK19" s="1686"/>
      <c r="GL19" s="1686"/>
      <c r="GM19" s="1686"/>
      <c r="GN19" s="1686"/>
      <c r="GO19" s="1686"/>
      <c r="GP19" s="1686"/>
      <c r="GQ19" s="1686"/>
      <c r="GR19" s="1686"/>
      <c r="GS19" s="1686"/>
      <c r="GT19" s="1686"/>
      <c r="GU19" s="1686"/>
      <c r="GV19" s="1686"/>
      <c r="GW19" s="1686"/>
      <c r="GX19" s="1686"/>
      <c r="GY19" s="1686"/>
      <c r="GZ19" s="1686"/>
      <c r="HA19" s="1686"/>
      <c r="HB19" s="1290"/>
      <c r="HC19" s="1686"/>
      <c r="HD19" s="1686"/>
      <c r="HE19" s="1686"/>
      <c r="HF19" s="1686"/>
      <c r="HG19" s="1290"/>
      <c r="HH19" s="1686"/>
      <c r="HI19" s="1290"/>
      <c r="HJ19" s="1290"/>
      <c r="HK19" s="1290"/>
      <c r="HL19" s="1290"/>
      <c r="HM19" s="1290"/>
      <c r="HN19" s="1686"/>
      <c r="HO19" s="1686"/>
      <c r="HP19" s="1290"/>
      <c r="HQ19" s="1686"/>
      <c r="HR19" s="1686"/>
      <c r="HS19" s="1686"/>
      <c r="HT19" s="1686"/>
      <c r="HU19" s="1686"/>
      <c r="HV19" s="1686"/>
      <c r="HW19" s="1686"/>
      <c r="HX19" s="1686"/>
      <c r="HY19" s="1686"/>
      <c r="HZ19" s="1686"/>
      <c r="IA19" s="1686"/>
      <c r="IB19" s="1686"/>
      <c r="IC19" s="1686"/>
      <c r="ID19" s="1686"/>
      <c r="IE19" s="1686"/>
      <c r="IF19" s="1686"/>
      <c r="IG19" s="1686"/>
      <c r="IH19" s="1686"/>
      <c r="II19" s="1686"/>
      <c r="IJ19" s="1686"/>
      <c r="IK19" s="1686"/>
      <c r="IL19" s="1686"/>
      <c r="IM19" s="1686"/>
      <c r="IN19" s="1686"/>
      <c r="IO19" s="1686"/>
      <c r="IP19" s="1686"/>
      <c r="IQ19" s="1686"/>
      <c r="IR19" s="1686"/>
      <c r="IS19" s="1686"/>
      <c r="IT19" s="1686"/>
      <c r="IU19" s="1686"/>
      <c r="IV19" s="1686"/>
      <c r="IW19" s="1686"/>
      <c r="IX19" s="1290"/>
      <c r="IY19" s="1686"/>
      <c r="IZ19" s="1290"/>
      <c r="JA19" s="1686"/>
      <c r="JB19" s="1686"/>
      <c r="JC19" s="1686"/>
      <c r="JD19" s="1686"/>
      <c r="JE19" s="1686"/>
      <c r="JF19" s="1686"/>
      <c r="JG19" s="1686"/>
      <c r="JH19" s="1686"/>
      <c r="JI19" s="1686"/>
      <c r="JJ19" s="1686"/>
      <c r="JK19" s="1686"/>
      <c r="JL19" s="1686"/>
      <c r="JM19" s="1686"/>
      <c r="JN19" s="1686"/>
      <c r="JO19" s="1686"/>
      <c r="JP19" s="1686"/>
      <c r="JQ19" s="1695"/>
      <c r="JR19" s="593"/>
      <c r="JS19" s="354"/>
      <c r="JT19" s="355"/>
      <c r="JU19" s="598"/>
      <c r="JV19" s="598"/>
    </row>
    <row r="20" spans="1:282" x14ac:dyDescent="0.25">
      <c r="A20" s="1367">
        <v>19</v>
      </c>
      <c r="B20" s="1684" t="str">
        <f t="shared" si="0"/>
        <v/>
      </c>
      <c r="C20" s="1688" t="s">
        <v>4288</v>
      </c>
      <c r="D20" s="1360" t="s">
        <v>4255</v>
      </c>
      <c r="E20" s="2445"/>
      <c r="F20" s="2445"/>
      <c r="G20" s="2445"/>
      <c r="H20" s="2445"/>
      <c r="I20" s="2445"/>
      <c r="J20" s="2445"/>
      <c r="K20" s="2445"/>
      <c r="L20" s="2445"/>
      <c r="M20" s="2445"/>
      <c r="N20" s="2445"/>
      <c r="O20" s="2445"/>
      <c r="P20" s="2445"/>
      <c r="Q20" s="2445"/>
      <c r="R20" s="2445"/>
      <c r="S20" s="2445"/>
      <c r="T20" s="2445"/>
      <c r="U20" s="2445"/>
      <c r="V20" s="2445"/>
      <c r="W20" s="2445"/>
      <c r="X20" s="2445"/>
      <c r="Y20" s="2445"/>
      <c r="Z20" s="2445"/>
      <c r="AA20" s="2445"/>
      <c r="AB20" s="2445"/>
      <c r="AC20" s="2445"/>
      <c r="AD20" s="2445"/>
      <c r="AE20" s="2445"/>
      <c r="AF20" s="2445"/>
      <c r="AG20" s="2445"/>
      <c r="AH20" s="2445"/>
      <c r="AI20" s="2446"/>
      <c r="AJ20" s="2445"/>
      <c r="AK20" s="1782"/>
      <c r="AL20" s="2445"/>
      <c r="AM20" s="2445"/>
      <c r="AN20" s="2445"/>
      <c r="AO20" s="2445"/>
      <c r="AP20" s="2445"/>
      <c r="AQ20" s="2445"/>
      <c r="AR20" s="2445"/>
      <c r="AS20" s="2445"/>
      <c r="AT20" s="2445"/>
      <c r="AU20" s="1782"/>
      <c r="AV20" s="2445"/>
      <c r="AW20" s="2445"/>
      <c r="AX20" s="2445"/>
      <c r="AY20" s="2445"/>
      <c r="AZ20" s="2445"/>
      <c r="BA20" s="2445"/>
      <c r="BB20" s="1782"/>
      <c r="BC20" s="2445"/>
      <c r="BD20" s="1782"/>
      <c r="BE20" s="2445"/>
      <c r="BF20" s="2445"/>
      <c r="BG20" s="1782"/>
      <c r="BH20" s="2445"/>
      <c r="BI20" s="2445"/>
      <c r="BJ20" s="2445"/>
      <c r="BK20" s="2445"/>
      <c r="BL20" s="2445"/>
      <c r="BM20" s="2445"/>
      <c r="BN20" s="2445"/>
      <c r="BO20" s="2445"/>
      <c r="BP20" s="1782"/>
      <c r="BQ20" s="2445"/>
      <c r="BR20" s="2445"/>
      <c r="BS20" s="2445"/>
      <c r="BT20" s="1782"/>
      <c r="BU20" s="1782"/>
      <c r="BV20" s="2445"/>
      <c r="BW20" s="1782"/>
      <c r="BX20" s="2445"/>
      <c r="BY20" s="2445"/>
      <c r="BZ20" s="1782"/>
      <c r="CA20" s="2445"/>
      <c r="CB20" s="2445"/>
      <c r="CC20" s="2445"/>
      <c r="CD20" s="1782"/>
      <c r="CE20" s="2445"/>
      <c r="CF20" s="2445"/>
      <c r="CG20" s="2445"/>
      <c r="CH20" s="2445"/>
      <c r="CI20" s="2445"/>
      <c r="CJ20" s="2445"/>
      <c r="CK20" s="2445"/>
      <c r="CL20" s="2445"/>
      <c r="CM20" s="2445"/>
      <c r="CN20" s="2445"/>
      <c r="CO20" s="2445"/>
      <c r="CP20" s="2445"/>
      <c r="CQ20" s="2445"/>
      <c r="CR20" s="2445"/>
      <c r="CS20" s="2445"/>
      <c r="CT20" s="1782"/>
      <c r="CU20" s="2445"/>
      <c r="CV20" s="2445"/>
      <c r="CW20" s="2445"/>
      <c r="CX20" s="2445"/>
      <c r="CY20" s="2445"/>
      <c r="CZ20" s="2445"/>
      <c r="DA20" s="1782"/>
      <c r="DB20" s="2445"/>
      <c r="DC20" s="1782"/>
      <c r="DD20" s="2445"/>
      <c r="DE20" s="2445"/>
      <c r="DF20" s="2445"/>
      <c r="DG20" s="1782"/>
      <c r="DH20" s="2445"/>
      <c r="DI20" s="2445"/>
      <c r="DJ20" s="1782"/>
      <c r="DK20" s="2445"/>
      <c r="DL20" s="2445"/>
      <c r="DM20" s="1782"/>
      <c r="DN20" s="2445"/>
      <c r="DO20" s="1782"/>
      <c r="DP20" s="2445"/>
      <c r="DQ20" s="2445"/>
      <c r="DR20" s="2445"/>
      <c r="DS20" s="2445"/>
      <c r="DT20" s="2445"/>
      <c r="DU20" s="2445"/>
      <c r="DV20" s="2445"/>
      <c r="DW20" s="2445"/>
      <c r="DX20" s="2445"/>
      <c r="DY20" s="2445"/>
      <c r="DZ20" s="2445"/>
      <c r="EA20" s="2445"/>
      <c r="EB20" s="2445"/>
      <c r="EC20" s="2445"/>
      <c r="ED20" s="1782"/>
      <c r="EE20" s="1782"/>
      <c r="EF20" s="2445"/>
      <c r="EG20" s="1782"/>
      <c r="EH20" s="1782"/>
      <c r="EI20" s="2445"/>
      <c r="EJ20" s="2445"/>
      <c r="EK20" s="2445"/>
      <c r="EL20" s="2445"/>
      <c r="EM20" s="2445"/>
      <c r="EN20" s="2445"/>
      <c r="EO20" s="2445"/>
      <c r="EP20" s="1697"/>
      <c r="EQ20" s="2445"/>
      <c r="ER20" s="1782"/>
      <c r="ES20" s="2445"/>
      <c r="ET20" s="2445"/>
      <c r="EU20" s="1701"/>
      <c r="EV20" s="1782"/>
      <c r="EW20" s="2445"/>
      <c r="EX20" s="2445"/>
      <c r="EY20" s="1782"/>
      <c r="EZ20" s="2445"/>
      <c r="FA20" s="2445"/>
      <c r="FB20" s="2445"/>
      <c r="FC20" s="2445"/>
      <c r="FD20" s="2445"/>
      <c r="FE20" s="1782"/>
      <c r="FF20" s="1782"/>
      <c r="FG20" s="1782"/>
      <c r="FH20" s="1782"/>
      <c r="FI20" s="1782"/>
      <c r="FJ20" s="1782"/>
      <c r="FK20" s="1782"/>
      <c r="FL20" s="1782"/>
      <c r="FM20" s="1782"/>
      <c r="FN20" s="1782"/>
      <c r="FO20" s="1782"/>
      <c r="FP20" s="1782"/>
      <c r="FQ20" s="2445"/>
      <c r="FR20" s="2445"/>
      <c r="FS20" s="2445"/>
      <c r="FT20" s="2445"/>
      <c r="FU20" s="2445"/>
      <c r="FV20" s="2445"/>
      <c r="FW20" s="2445"/>
      <c r="FX20" s="2445"/>
      <c r="FY20" s="2445"/>
      <c r="FZ20" s="2445"/>
      <c r="GA20" s="2445"/>
      <c r="GB20" s="2445"/>
      <c r="GC20" s="1697">
        <v>1</v>
      </c>
      <c r="GD20" s="2445"/>
      <c r="GE20" s="2445"/>
      <c r="GF20" s="2445"/>
      <c r="GG20" s="2445"/>
      <c r="GH20" s="2445"/>
      <c r="GI20" s="2445"/>
      <c r="GJ20" s="2445"/>
      <c r="GK20" s="2445"/>
      <c r="GL20" s="2445"/>
      <c r="GM20" s="2445"/>
      <c r="GN20" s="2445"/>
      <c r="GO20" s="2445"/>
      <c r="GP20" s="2445"/>
      <c r="GQ20" s="2445"/>
      <c r="GR20" s="2445"/>
      <c r="GS20" s="2445"/>
      <c r="GT20" s="2445"/>
      <c r="GU20" s="2445"/>
      <c r="GV20" s="2445"/>
      <c r="GW20" s="2445"/>
      <c r="GX20" s="2445"/>
      <c r="GY20" s="2445"/>
      <c r="GZ20" s="2445"/>
      <c r="HA20" s="2445"/>
      <c r="HB20" s="1782"/>
      <c r="HC20" s="2445"/>
      <c r="HD20" s="2445"/>
      <c r="HE20" s="2445"/>
      <c r="HF20" s="2445"/>
      <c r="HG20" s="1782"/>
      <c r="HH20" s="2445"/>
      <c r="HI20" s="1782"/>
      <c r="HJ20" s="1782"/>
      <c r="HK20" s="1782"/>
      <c r="HL20" s="1782"/>
      <c r="HM20" s="1782"/>
      <c r="HN20" s="2445"/>
      <c r="HO20" s="2445"/>
      <c r="HP20" s="1782"/>
      <c r="HQ20" s="2445"/>
      <c r="HR20" s="2445"/>
      <c r="HS20" s="2445"/>
      <c r="HT20" s="2445"/>
      <c r="HU20" s="2445"/>
      <c r="HV20" s="2445"/>
      <c r="HW20" s="2445"/>
      <c r="HX20" s="2445"/>
      <c r="HY20" s="2445"/>
      <c r="HZ20" s="2445"/>
      <c r="IA20" s="2445"/>
      <c r="IB20" s="2445"/>
      <c r="IC20" s="2445"/>
      <c r="ID20" s="2445"/>
      <c r="IE20" s="2445"/>
      <c r="IF20" s="2445"/>
      <c r="IG20" s="2445"/>
      <c r="IH20" s="2445"/>
      <c r="II20" s="2445"/>
      <c r="IJ20" s="2445"/>
      <c r="IK20" s="2445"/>
      <c r="IL20" s="2445"/>
      <c r="IM20" s="2445"/>
      <c r="IN20" s="2445"/>
      <c r="IO20" s="2445"/>
      <c r="IP20" s="2445"/>
      <c r="IQ20" s="2445"/>
      <c r="IR20" s="2445"/>
      <c r="IS20" s="2445"/>
      <c r="IT20" s="2445"/>
      <c r="IU20" s="2445"/>
      <c r="IV20" s="2445"/>
      <c r="IW20" s="2445"/>
      <c r="IX20" s="1782"/>
      <c r="IY20" s="2445"/>
      <c r="IZ20" s="1782"/>
      <c r="JA20" s="2445"/>
      <c r="JB20" s="2445"/>
      <c r="JC20" s="2445"/>
      <c r="JD20" s="2445"/>
      <c r="JE20" s="2445"/>
      <c r="JF20" s="2445"/>
      <c r="JG20" s="2445"/>
      <c r="JH20" s="2445"/>
      <c r="JI20" s="2445"/>
      <c r="JJ20" s="2445"/>
      <c r="JK20" s="2445"/>
      <c r="JL20" s="2445"/>
      <c r="JM20" s="2445"/>
      <c r="JN20" s="2445"/>
      <c r="JO20" s="2445"/>
      <c r="JP20" s="2445"/>
      <c r="JQ20" s="2447"/>
      <c r="JR20" s="593"/>
      <c r="JS20" s="354"/>
      <c r="JT20" s="355"/>
      <c r="JU20" s="598"/>
      <c r="JV20" s="598"/>
    </row>
    <row r="21" spans="1:282" x14ac:dyDescent="0.25">
      <c r="A21" s="1367">
        <v>20</v>
      </c>
      <c r="B21" s="1684" t="str">
        <f t="shared" si="0"/>
        <v/>
      </c>
      <c r="C21" s="1688" t="s">
        <v>4289</v>
      </c>
      <c r="D21" s="1360" t="s">
        <v>4257</v>
      </c>
      <c r="E21" s="1686"/>
      <c r="F21" s="1686"/>
      <c r="G21" s="1686"/>
      <c r="H21" s="1686"/>
      <c r="I21" s="1686"/>
      <c r="J21" s="1686"/>
      <c r="K21" s="1686"/>
      <c r="L21" s="1686"/>
      <c r="M21" s="1686"/>
      <c r="N21" s="1686"/>
      <c r="O21" s="1686"/>
      <c r="P21" s="1686"/>
      <c r="Q21" s="1686"/>
      <c r="R21" s="1686"/>
      <c r="S21" s="1686"/>
      <c r="T21" s="1686"/>
      <c r="U21" s="1686"/>
      <c r="V21" s="1686"/>
      <c r="W21" s="1686"/>
      <c r="X21" s="1686"/>
      <c r="Y21" s="1686"/>
      <c r="Z21" s="1686"/>
      <c r="AA21" s="1686"/>
      <c r="AB21" s="1686"/>
      <c r="AC21" s="1686"/>
      <c r="AD21" s="1686"/>
      <c r="AE21" s="1686"/>
      <c r="AF21" s="1686"/>
      <c r="AG21" s="1686"/>
      <c r="AH21" s="1686"/>
      <c r="AI21" s="1358"/>
      <c r="AJ21" s="1686"/>
      <c r="AK21" s="1290"/>
      <c r="AL21" s="1686"/>
      <c r="AM21" s="1686"/>
      <c r="AN21" s="1686"/>
      <c r="AO21" s="1686"/>
      <c r="AP21" s="1686"/>
      <c r="AQ21" s="1686"/>
      <c r="AR21" s="1686"/>
      <c r="AS21" s="1686"/>
      <c r="AT21" s="1686"/>
      <c r="AU21" s="1290"/>
      <c r="AV21" s="1686"/>
      <c r="AW21" s="1686"/>
      <c r="AX21" s="1686"/>
      <c r="AY21" s="1686"/>
      <c r="AZ21" s="1686"/>
      <c r="BA21" s="1686"/>
      <c r="BB21" s="1290"/>
      <c r="BC21" s="1686"/>
      <c r="BD21" s="1290"/>
      <c r="BE21" s="1686"/>
      <c r="BF21" s="1686"/>
      <c r="BG21" s="1290"/>
      <c r="BH21" s="1686"/>
      <c r="BI21" s="1686"/>
      <c r="BJ21" s="1686"/>
      <c r="BK21" s="1686"/>
      <c r="BL21" s="1686"/>
      <c r="BM21" s="1686"/>
      <c r="BN21" s="1686"/>
      <c r="BO21" s="1686"/>
      <c r="BP21" s="1290"/>
      <c r="BQ21" s="1686"/>
      <c r="BR21" s="1686"/>
      <c r="BS21" s="1686"/>
      <c r="BT21" s="1290"/>
      <c r="BU21" s="1290"/>
      <c r="BV21" s="1686"/>
      <c r="BW21" s="1290"/>
      <c r="BX21" s="1686"/>
      <c r="BY21" s="1686"/>
      <c r="BZ21" s="1290"/>
      <c r="CA21" s="1686"/>
      <c r="CB21" s="1686"/>
      <c r="CC21" s="1686"/>
      <c r="CD21" s="1290"/>
      <c r="CE21" s="1686"/>
      <c r="CF21" s="1686"/>
      <c r="CG21" s="1686"/>
      <c r="CH21" s="1686"/>
      <c r="CI21" s="1686"/>
      <c r="CJ21" s="1686"/>
      <c r="CK21" s="1686"/>
      <c r="CL21" s="1686"/>
      <c r="CM21" s="1686"/>
      <c r="CN21" s="1686"/>
      <c r="CO21" s="1686"/>
      <c r="CP21" s="1686"/>
      <c r="CQ21" s="1686"/>
      <c r="CR21" s="1686"/>
      <c r="CS21" s="1686"/>
      <c r="CT21" s="1290"/>
      <c r="CU21" s="1686"/>
      <c r="CV21" s="1686"/>
      <c r="CW21" s="1686"/>
      <c r="CX21" s="1686"/>
      <c r="CY21" s="1686"/>
      <c r="CZ21" s="1686"/>
      <c r="DA21" s="1290"/>
      <c r="DB21" s="1686"/>
      <c r="DC21" s="1290"/>
      <c r="DD21" s="1686"/>
      <c r="DE21" s="1686"/>
      <c r="DF21" s="1686"/>
      <c r="DG21" s="1290"/>
      <c r="DH21" s="1686"/>
      <c r="DI21" s="1686"/>
      <c r="DJ21" s="1290"/>
      <c r="DK21" s="1686"/>
      <c r="DL21" s="1686"/>
      <c r="DM21" s="1290"/>
      <c r="DN21" s="1686"/>
      <c r="DO21" s="1290"/>
      <c r="DP21" s="1686"/>
      <c r="DQ21" s="1686"/>
      <c r="DR21" s="1686"/>
      <c r="DS21" s="1686"/>
      <c r="DT21" s="1686"/>
      <c r="DU21" s="1686"/>
      <c r="DV21" s="1686"/>
      <c r="DW21" s="1686"/>
      <c r="DX21" s="1686"/>
      <c r="DY21" s="1686"/>
      <c r="DZ21" s="1686"/>
      <c r="EA21" s="1686"/>
      <c r="EB21" s="1686"/>
      <c r="EC21" s="1686"/>
      <c r="ED21" s="1290"/>
      <c r="EE21" s="1290"/>
      <c r="EF21" s="1686"/>
      <c r="EG21" s="1290"/>
      <c r="EH21" s="1290"/>
      <c r="EI21" s="1686"/>
      <c r="EJ21" s="1686"/>
      <c r="EK21" s="1686"/>
      <c r="EL21" s="1686"/>
      <c r="EM21" s="1686"/>
      <c r="EN21" s="1686"/>
      <c r="EO21" s="1686"/>
      <c r="EP21" s="1686"/>
      <c r="EQ21" s="1686"/>
      <c r="ER21" s="1290"/>
      <c r="ES21" s="1686"/>
      <c r="ET21" s="1686"/>
      <c r="EU21" s="1693"/>
      <c r="EV21" s="1290"/>
      <c r="EW21" s="1686"/>
      <c r="EX21" s="1686"/>
      <c r="EY21" s="1290"/>
      <c r="EZ21" s="1686"/>
      <c r="FA21" s="1686"/>
      <c r="FB21" s="1686"/>
      <c r="FC21" s="1686"/>
      <c r="FD21" s="1686"/>
      <c r="FE21" s="1290"/>
      <c r="FF21" s="1290"/>
      <c r="FG21" s="1290"/>
      <c r="FH21" s="1290"/>
      <c r="FI21" s="1290"/>
      <c r="FJ21" s="1290"/>
      <c r="FK21" s="1290"/>
      <c r="FL21" s="1290"/>
      <c r="FM21" s="1290"/>
      <c r="FN21" s="1290"/>
      <c r="FO21" s="1290"/>
      <c r="FP21" s="1290"/>
      <c r="FQ21" s="1686"/>
      <c r="FR21" s="1686"/>
      <c r="FS21" s="1686"/>
      <c r="FT21" s="1686"/>
      <c r="FU21" s="1686"/>
      <c r="FV21" s="1686"/>
      <c r="FW21" s="1686"/>
      <c r="FX21" s="1686"/>
      <c r="FY21" s="1686"/>
      <c r="FZ21" s="1686"/>
      <c r="GA21" s="1686"/>
      <c r="GB21" s="1686"/>
      <c r="GC21" s="1686">
        <v>168950</v>
      </c>
      <c r="GD21" s="1686"/>
      <c r="GE21" s="1686"/>
      <c r="GF21" s="1686"/>
      <c r="GG21" s="1686"/>
      <c r="GH21" s="1686"/>
      <c r="GI21" s="1686"/>
      <c r="GJ21" s="1686"/>
      <c r="GK21" s="1686"/>
      <c r="GL21" s="1686"/>
      <c r="GM21" s="1686"/>
      <c r="GN21" s="1686"/>
      <c r="GO21" s="1686"/>
      <c r="GP21" s="1686"/>
      <c r="GQ21" s="1686"/>
      <c r="GR21" s="1686"/>
      <c r="GS21" s="1686"/>
      <c r="GT21" s="1686"/>
      <c r="GU21" s="1686"/>
      <c r="GV21" s="1686"/>
      <c r="GW21" s="1686"/>
      <c r="GX21" s="1686"/>
      <c r="GY21" s="1686"/>
      <c r="GZ21" s="1686"/>
      <c r="HA21" s="1686"/>
      <c r="HB21" s="1290"/>
      <c r="HC21" s="1686"/>
      <c r="HD21" s="1686"/>
      <c r="HE21" s="1686"/>
      <c r="HF21" s="1686"/>
      <c r="HG21" s="1290"/>
      <c r="HH21" s="1686"/>
      <c r="HI21" s="1290"/>
      <c r="HJ21" s="1290"/>
      <c r="HK21" s="1290"/>
      <c r="HL21" s="1290"/>
      <c r="HM21" s="1290"/>
      <c r="HN21" s="1686"/>
      <c r="HO21" s="1686"/>
      <c r="HP21" s="1290"/>
      <c r="HQ21" s="1686"/>
      <c r="HR21" s="1686"/>
      <c r="HS21" s="1686"/>
      <c r="HT21" s="1686"/>
      <c r="HU21" s="1686"/>
      <c r="HV21" s="1686"/>
      <c r="HW21" s="1686"/>
      <c r="HX21" s="1686"/>
      <c r="HY21" s="1686"/>
      <c r="HZ21" s="1686"/>
      <c r="IA21" s="1686"/>
      <c r="IB21" s="1686"/>
      <c r="IC21" s="1686"/>
      <c r="ID21" s="1686"/>
      <c r="IE21" s="1686"/>
      <c r="IF21" s="1686"/>
      <c r="IG21" s="1686"/>
      <c r="IH21" s="1686"/>
      <c r="II21" s="1686"/>
      <c r="IJ21" s="1686"/>
      <c r="IK21" s="1686"/>
      <c r="IL21" s="1686"/>
      <c r="IM21" s="1686"/>
      <c r="IN21" s="1686"/>
      <c r="IO21" s="1686"/>
      <c r="IP21" s="1686"/>
      <c r="IQ21" s="1686"/>
      <c r="IR21" s="1686"/>
      <c r="IS21" s="1686"/>
      <c r="IT21" s="1686"/>
      <c r="IU21" s="1686"/>
      <c r="IV21" s="1686"/>
      <c r="IW21" s="1686"/>
      <c r="IX21" s="1290"/>
      <c r="IY21" s="1686"/>
      <c r="IZ21" s="1290"/>
      <c r="JA21" s="1686"/>
      <c r="JB21" s="1686"/>
      <c r="JC21" s="1686"/>
      <c r="JD21" s="1686"/>
      <c r="JE21" s="1686"/>
      <c r="JF21" s="1686"/>
      <c r="JG21" s="1686"/>
      <c r="JH21" s="1686"/>
      <c r="JI21" s="1686"/>
      <c r="JJ21" s="1686"/>
      <c r="JK21" s="1686"/>
      <c r="JL21" s="1686"/>
      <c r="JM21" s="1686"/>
      <c r="JN21" s="1686"/>
      <c r="JO21" s="1686"/>
      <c r="JP21" s="1686"/>
      <c r="JQ21" s="1695"/>
      <c r="JR21" s="593"/>
      <c r="JS21" s="354"/>
      <c r="JT21" s="355"/>
      <c r="JU21" s="598"/>
      <c r="JV21" s="598"/>
    </row>
    <row r="22" spans="1:282" x14ac:dyDescent="0.25">
      <c r="A22" s="1367">
        <v>21</v>
      </c>
      <c r="B22" s="1684" t="str">
        <f t="shared" si="0"/>
        <v/>
      </c>
      <c r="C22" s="1688" t="s">
        <v>4290</v>
      </c>
      <c r="D22" s="1360" t="s">
        <v>4259</v>
      </c>
      <c r="E22" s="1686"/>
      <c r="F22" s="1686"/>
      <c r="G22" s="1686"/>
      <c r="H22" s="1686"/>
      <c r="I22" s="1686"/>
      <c r="J22" s="1686"/>
      <c r="K22" s="1686"/>
      <c r="L22" s="1686"/>
      <c r="M22" s="1686"/>
      <c r="N22" s="1686"/>
      <c r="O22" s="1686"/>
      <c r="P22" s="1686"/>
      <c r="Q22" s="1686"/>
      <c r="R22" s="1686"/>
      <c r="S22" s="1686"/>
      <c r="T22" s="1686"/>
      <c r="U22" s="1686"/>
      <c r="V22" s="1686"/>
      <c r="W22" s="1686"/>
      <c r="X22" s="1686"/>
      <c r="Y22" s="1686"/>
      <c r="Z22" s="1686"/>
      <c r="AA22" s="1686"/>
      <c r="AB22" s="1686"/>
      <c r="AC22" s="1686"/>
      <c r="AD22" s="1686"/>
      <c r="AE22" s="1686"/>
      <c r="AF22" s="1686"/>
      <c r="AG22" s="1686"/>
      <c r="AH22" s="1686"/>
      <c r="AI22" s="1358"/>
      <c r="AJ22" s="1686"/>
      <c r="AK22" s="1290"/>
      <c r="AL22" s="1686"/>
      <c r="AM22" s="1686"/>
      <c r="AN22" s="1686"/>
      <c r="AO22" s="1686"/>
      <c r="AP22" s="1686"/>
      <c r="AQ22" s="1686"/>
      <c r="AR22" s="1686"/>
      <c r="AS22" s="1686"/>
      <c r="AT22" s="1686"/>
      <c r="AU22" s="1290"/>
      <c r="AV22" s="1686"/>
      <c r="AW22" s="1686"/>
      <c r="AX22" s="1686"/>
      <c r="AY22" s="1686"/>
      <c r="AZ22" s="1686"/>
      <c r="BA22" s="1686"/>
      <c r="BB22" s="1290"/>
      <c r="BC22" s="1686"/>
      <c r="BD22" s="1290"/>
      <c r="BE22" s="1686"/>
      <c r="BF22" s="1686"/>
      <c r="BG22" s="1290"/>
      <c r="BH22" s="1686"/>
      <c r="BI22" s="1686"/>
      <c r="BJ22" s="1686"/>
      <c r="BK22" s="1686"/>
      <c r="BL22" s="1686"/>
      <c r="BM22" s="1686"/>
      <c r="BN22" s="1686"/>
      <c r="BO22" s="1686"/>
      <c r="BP22" s="1290"/>
      <c r="BQ22" s="1686"/>
      <c r="BR22" s="1686"/>
      <c r="BS22" s="1686"/>
      <c r="BT22" s="1290"/>
      <c r="BU22" s="1290"/>
      <c r="BV22" s="1686"/>
      <c r="BW22" s="1290"/>
      <c r="BX22" s="1686"/>
      <c r="BY22" s="1686"/>
      <c r="BZ22" s="1290"/>
      <c r="CA22" s="1686"/>
      <c r="CB22" s="1686"/>
      <c r="CC22" s="1686"/>
      <c r="CD22" s="1290"/>
      <c r="CE22" s="1686"/>
      <c r="CF22" s="1686"/>
      <c r="CG22" s="1686"/>
      <c r="CH22" s="1686"/>
      <c r="CI22" s="1686"/>
      <c r="CJ22" s="1686"/>
      <c r="CK22" s="1686"/>
      <c r="CL22" s="1686"/>
      <c r="CM22" s="1686"/>
      <c r="CN22" s="1686"/>
      <c r="CO22" s="1686"/>
      <c r="CP22" s="1686"/>
      <c r="CQ22" s="1686"/>
      <c r="CR22" s="1686"/>
      <c r="CS22" s="1686"/>
      <c r="CT22" s="1290"/>
      <c r="CU22" s="1686"/>
      <c r="CV22" s="1686"/>
      <c r="CW22" s="1686"/>
      <c r="CX22" s="1686"/>
      <c r="CY22" s="1686"/>
      <c r="CZ22" s="1686"/>
      <c r="DA22" s="1290"/>
      <c r="DB22" s="1686"/>
      <c r="DC22" s="1290"/>
      <c r="DD22" s="1686"/>
      <c r="DE22" s="1686"/>
      <c r="DF22" s="1686"/>
      <c r="DG22" s="1290"/>
      <c r="DH22" s="1686"/>
      <c r="DI22" s="1686"/>
      <c r="DJ22" s="1290"/>
      <c r="DK22" s="1686"/>
      <c r="DL22" s="1686"/>
      <c r="DM22" s="1290"/>
      <c r="DN22" s="1686"/>
      <c r="DO22" s="1290"/>
      <c r="DP22" s="1686"/>
      <c r="DQ22" s="1686"/>
      <c r="DR22" s="1686"/>
      <c r="DS22" s="1686"/>
      <c r="DT22" s="1686"/>
      <c r="DU22" s="1686"/>
      <c r="DV22" s="1686"/>
      <c r="DW22" s="1686"/>
      <c r="DX22" s="1686"/>
      <c r="DY22" s="1686"/>
      <c r="DZ22" s="1686"/>
      <c r="EA22" s="1686"/>
      <c r="EB22" s="1686"/>
      <c r="EC22" s="1686"/>
      <c r="ED22" s="1290"/>
      <c r="EE22" s="1290"/>
      <c r="EF22" s="1686"/>
      <c r="EG22" s="1290"/>
      <c r="EH22" s="1290"/>
      <c r="EI22" s="1686"/>
      <c r="EJ22" s="1686"/>
      <c r="EK22" s="1686"/>
      <c r="EL22" s="1686"/>
      <c r="EM22" s="1686"/>
      <c r="EN22" s="1686"/>
      <c r="EO22" s="1686"/>
      <c r="EP22" s="1686"/>
      <c r="EQ22" s="1686"/>
      <c r="ER22" s="1290"/>
      <c r="ES22" s="1686"/>
      <c r="ET22" s="1686"/>
      <c r="EU22" s="1693"/>
      <c r="EV22" s="1290"/>
      <c r="EW22" s="1686"/>
      <c r="EX22" s="1686"/>
      <c r="EY22" s="1290"/>
      <c r="EZ22" s="1686"/>
      <c r="FA22" s="1686"/>
      <c r="FB22" s="1686"/>
      <c r="FC22" s="1686"/>
      <c r="FD22" s="1686"/>
      <c r="FE22" s="1290"/>
      <c r="FF22" s="1290"/>
      <c r="FG22" s="1290"/>
      <c r="FH22" s="1290"/>
      <c r="FI22" s="1290"/>
      <c r="FJ22" s="1290"/>
      <c r="FK22" s="1290"/>
      <c r="FL22" s="1290"/>
      <c r="FM22" s="1290"/>
      <c r="FN22" s="1290"/>
      <c r="FO22" s="1290"/>
      <c r="FP22" s="1290"/>
      <c r="FQ22" s="1686"/>
      <c r="FR22" s="1686"/>
      <c r="FS22" s="1686"/>
      <c r="FT22" s="1686"/>
      <c r="FU22" s="1686"/>
      <c r="FV22" s="1686"/>
      <c r="FW22" s="1686"/>
      <c r="FX22" s="1686"/>
      <c r="FY22" s="1686"/>
      <c r="FZ22" s="1686"/>
      <c r="GA22" s="1686"/>
      <c r="GB22" s="1686"/>
      <c r="GC22" s="1686">
        <v>73780</v>
      </c>
      <c r="GD22" s="1686"/>
      <c r="GE22" s="1686"/>
      <c r="GF22" s="1686"/>
      <c r="GG22" s="1686"/>
      <c r="GH22" s="1686"/>
      <c r="GI22" s="1686"/>
      <c r="GJ22" s="1686"/>
      <c r="GK22" s="1686"/>
      <c r="GL22" s="1686"/>
      <c r="GM22" s="1686"/>
      <c r="GN22" s="1686"/>
      <c r="GO22" s="1686"/>
      <c r="GP22" s="1686"/>
      <c r="GQ22" s="1686"/>
      <c r="GR22" s="1686"/>
      <c r="GS22" s="1686"/>
      <c r="GT22" s="1686"/>
      <c r="GU22" s="1686"/>
      <c r="GV22" s="1686"/>
      <c r="GW22" s="1686"/>
      <c r="GX22" s="1686"/>
      <c r="GY22" s="1686"/>
      <c r="GZ22" s="1686"/>
      <c r="HA22" s="1686"/>
      <c r="HB22" s="1290"/>
      <c r="HC22" s="1686"/>
      <c r="HD22" s="1686"/>
      <c r="HE22" s="1686"/>
      <c r="HF22" s="1686"/>
      <c r="HG22" s="1290"/>
      <c r="HH22" s="1686"/>
      <c r="HI22" s="1290"/>
      <c r="HJ22" s="1290"/>
      <c r="HK22" s="1290"/>
      <c r="HL22" s="1290"/>
      <c r="HM22" s="1290"/>
      <c r="HN22" s="1686"/>
      <c r="HO22" s="1686"/>
      <c r="HP22" s="1290"/>
      <c r="HQ22" s="1686"/>
      <c r="HR22" s="1686"/>
      <c r="HS22" s="1686"/>
      <c r="HT22" s="1686"/>
      <c r="HU22" s="1686"/>
      <c r="HV22" s="1686"/>
      <c r="HW22" s="1686"/>
      <c r="HX22" s="1686"/>
      <c r="HY22" s="1686"/>
      <c r="HZ22" s="1686"/>
      <c r="IA22" s="1686"/>
      <c r="IB22" s="1686"/>
      <c r="IC22" s="1686"/>
      <c r="ID22" s="1686"/>
      <c r="IE22" s="1686"/>
      <c r="IF22" s="1686"/>
      <c r="IG22" s="1686"/>
      <c r="IH22" s="1686"/>
      <c r="II22" s="1686"/>
      <c r="IJ22" s="1686"/>
      <c r="IK22" s="1686"/>
      <c r="IL22" s="1686"/>
      <c r="IM22" s="1686"/>
      <c r="IN22" s="1686"/>
      <c r="IO22" s="1686"/>
      <c r="IP22" s="1686"/>
      <c r="IQ22" s="1686"/>
      <c r="IR22" s="1686"/>
      <c r="IS22" s="1686"/>
      <c r="IT22" s="1686"/>
      <c r="IU22" s="1686"/>
      <c r="IV22" s="1686"/>
      <c r="IW22" s="1686"/>
      <c r="IX22" s="1290"/>
      <c r="IY22" s="1686"/>
      <c r="IZ22" s="1290"/>
      <c r="JA22" s="1686"/>
      <c r="JB22" s="1686"/>
      <c r="JC22" s="1686"/>
      <c r="JD22" s="1686"/>
      <c r="JE22" s="1686"/>
      <c r="JF22" s="1686"/>
      <c r="JG22" s="1686"/>
      <c r="JH22" s="1686"/>
      <c r="JI22" s="1686"/>
      <c r="JJ22" s="1686"/>
      <c r="JK22" s="1686"/>
      <c r="JL22" s="1686"/>
      <c r="JM22" s="1686"/>
      <c r="JN22" s="1686"/>
      <c r="JO22" s="1686"/>
      <c r="JP22" s="1686"/>
      <c r="JQ22" s="1695"/>
      <c r="JR22" s="593"/>
      <c r="JS22" s="354"/>
      <c r="JT22" s="355"/>
      <c r="JU22" s="598"/>
      <c r="JV22" s="598"/>
    </row>
    <row r="23" spans="1:282" x14ac:dyDescent="0.25">
      <c r="A23" s="1367">
        <v>22</v>
      </c>
      <c r="B23" s="1684" t="str">
        <f t="shared" si="0"/>
        <v/>
      </c>
      <c r="C23" s="1688" t="s">
        <v>4291</v>
      </c>
      <c r="D23" s="1360" t="s">
        <v>4292</v>
      </c>
      <c r="E23" s="1686"/>
      <c r="F23" s="1686"/>
      <c r="G23" s="1686"/>
      <c r="H23" s="1686"/>
      <c r="I23" s="1686"/>
      <c r="J23" s="1686"/>
      <c r="K23" s="1686"/>
      <c r="L23" s="1686"/>
      <c r="M23" s="1686"/>
      <c r="N23" s="1686"/>
      <c r="O23" s="1686"/>
      <c r="P23" s="1686"/>
      <c r="Q23" s="1686"/>
      <c r="R23" s="1686"/>
      <c r="S23" s="1686"/>
      <c r="T23" s="1686"/>
      <c r="U23" s="1686"/>
      <c r="V23" s="1686"/>
      <c r="W23" s="1686"/>
      <c r="X23" s="1686"/>
      <c r="Y23" s="1686"/>
      <c r="Z23" s="1686"/>
      <c r="AA23" s="1686"/>
      <c r="AB23" s="1686"/>
      <c r="AC23" s="1686"/>
      <c r="AD23" s="1686"/>
      <c r="AE23" s="1686"/>
      <c r="AF23" s="1686"/>
      <c r="AG23" s="1686"/>
      <c r="AH23" s="1686"/>
      <c r="AI23" s="1358"/>
      <c r="AJ23" s="1686"/>
      <c r="AK23" s="1290"/>
      <c r="AL23" s="1686"/>
      <c r="AM23" s="1686"/>
      <c r="AN23" s="1686"/>
      <c r="AO23" s="1686"/>
      <c r="AP23" s="1686"/>
      <c r="AQ23" s="1686"/>
      <c r="AR23" s="1686"/>
      <c r="AS23" s="1686"/>
      <c r="AT23" s="1686"/>
      <c r="AU23" s="1290"/>
      <c r="AV23" s="1686"/>
      <c r="AW23" s="1686"/>
      <c r="AX23" s="1686"/>
      <c r="AY23" s="1686"/>
      <c r="AZ23" s="1686"/>
      <c r="BA23" s="1686"/>
      <c r="BB23" s="1290"/>
      <c r="BC23" s="1686"/>
      <c r="BD23" s="1290"/>
      <c r="BE23" s="1686"/>
      <c r="BF23" s="1686"/>
      <c r="BG23" s="1290"/>
      <c r="BH23" s="1686"/>
      <c r="BI23" s="1686"/>
      <c r="BJ23" s="1686"/>
      <c r="BK23" s="1686"/>
      <c r="BL23" s="1686"/>
      <c r="BM23" s="1686"/>
      <c r="BN23" s="1686"/>
      <c r="BO23" s="1686"/>
      <c r="BP23" s="1290"/>
      <c r="BQ23" s="1686"/>
      <c r="BR23" s="1686"/>
      <c r="BS23" s="1686"/>
      <c r="BT23" s="1290"/>
      <c r="BU23" s="1290"/>
      <c r="BV23" s="1686"/>
      <c r="BW23" s="1290"/>
      <c r="BX23" s="1686"/>
      <c r="BY23" s="1686"/>
      <c r="BZ23" s="1290"/>
      <c r="CA23" s="1686"/>
      <c r="CB23" s="1686"/>
      <c r="CC23" s="1686"/>
      <c r="CD23" s="1290"/>
      <c r="CE23" s="1686"/>
      <c r="CF23" s="1686"/>
      <c r="CG23" s="1686"/>
      <c r="CH23" s="1686"/>
      <c r="CI23" s="1686"/>
      <c r="CJ23" s="1686"/>
      <c r="CK23" s="1686"/>
      <c r="CL23" s="1686"/>
      <c r="CM23" s="1686"/>
      <c r="CN23" s="1686"/>
      <c r="CO23" s="1686"/>
      <c r="CP23" s="1686"/>
      <c r="CQ23" s="1686"/>
      <c r="CR23" s="1686"/>
      <c r="CS23" s="1686"/>
      <c r="CT23" s="1290"/>
      <c r="CU23" s="1686"/>
      <c r="CV23" s="1686"/>
      <c r="CW23" s="1686"/>
      <c r="CX23" s="1686"/>
      <c r="CY23" s="1686"/>
      <c r="CZ23" s="1686"/>
      <c r="DA23" s="1290"/>
      <c r="DB23" s="1686"/>
      <c r="DC23" s="1290"/>
      <c r="DD23" s="1686"/>
      <c r="DE23" s="1686"/>
      <c r="DF23" s="1686"/>
      <c r="DG23" s="1290"/>
      <c r="DH23" s="1686"/>
      <c r="DI23" s="1686"/>
      <c r="DJ23" s="1290"/>
      <c r="DK23" s="1686"/>
      <c r="DL23" s="1686"/>
      <c r="DM23" s="1290"/>
      <c r="DN23" s="1686"/>
      <c r="DO23" s="1290"/>
      <c r="DP23" s="1686"/>
      <c r="DQ23" s="1686"/>
      <c r="DR23" s="1686"/>
      <c r="DS23" s="1686"/>
      <c r="DT23" s="1686"/>
      <c r="DU23" s="1686"/>
      <c r="DV23" s="1686"/>
      <c r="DW23" s="1686"/>
      <c r="DX23" s="1686"/>
      <c r="DY23" s="1686"/>
      <c r="DZ23" s="1686"/>
      <c r="EA23" s="1686"/>
      <c r="EB23" s="1686"/>
      <c r="EC23" s="1686"/>
      <c r="ED23" s="1290"/>
      <c r="EE23" s="1290"/>
      <c r="EF23" s="1686"/>
      <c r="EG23" s="1290"/>
      <c r="EH23" s="1290"/>
      <c r="EI23" s="1686"/>
      <c r="EJ23" s="1686"/>
      <c r="EK23" s="1686"/>
      <c r="EL23" s="1686"/>
      <c r="EM23" s="1686"/>
      <c r="EN23" s="1686"/>
      <c r="EO23" s="1686"/>
      <c r="EP23" s="1686"/>
      <c r="EQ23" s="1686"/>
      <c r="ER23" s="1290"/>
      <c r="ES23" s="1686"/>
      <c r="ET23" s="1686"/>
      <c r="EU23" s="1693"/>
      <c r="EV23" s="1290"/>
      <c r="EW23" s="1686"/>
      <c r="EX23" s="1686"/>
      <c r="EY23" s="1290"/>
      <c r="EZ23" s="1686"/>
      <c r="FA23" s="1686"/>
      <c r="FB23" s="1686"/>
      <c r="FC23" s="1686"/>
      <c r="FD23" s="1686"/>
      <c r="FE23" s="1290"/>
      <c r="FF23" s="1290"/>
      <c r="FG23" s="1290"/>
      <c r="FH23" s="1290"/>
      <c r="FI23" s="1290"/>
      <c r="FJ23" s="1290"/>
      <c r="FK23" s="1290"/>
      <c r="FL23" s="1290"/>
      <c r="FM23" s="1290"/>
      <c r="FN23" s="1290"/>
      <c r="FO23" s="1290"/>
      <c r="FP23" s="1290"/>
      <c r="FQ23" s="1686"/>
      <c r="FR23" s="1686"/>
      <c r="FS23" s="1686"/>
      <c r="FT23" s="1686"/>
      <c r="FU23" s="1686"/>
      <c r="FV23" s="1686"/>
      <c r="FW23" s="1686"/>
      <c r="FX23" s="1686"/>
      <c r="FY23" s="1686"/>
      <c r="FZ23" s="1686"/>
      <c r="GA23" s="1686"/>
      <c r="GB23" s="1686"/>
      <c r="GC23" s="1686">
        <f>GC21-GC22</f>
        <v>95170</v>
      </c>
      <c r="GD23" s="1686"/>
      <c r="GE23" s="1686"/>
      <c r="GF23" s="1686"/>
      <c r="GG23" s="1686"/>
      <c r="GH23" s="1686"/>
      <c r="GI23" s="1686"/>
      <c r="GJ23" s="1686"/>
      <c r="GK23" s="1686"/>
      <c r="GL23" s="1686"/>
      <c r="GM23" s="1686"/>
      <c r="GN23" s="1686"/>
      <c r="GO23" s="1686"/>
      <c r="GP23" s="1686"/>
      <c r="GQ23" s="1686"/>
      <c r="GR23" s="1686"/>
      <c r="GS23" s="1686"/>
      <c r="GT23" s="1686"/>
      <c r="GU23" s="1686"/>
      <c r="GV23" s="1686"/>
      <c r="GW23" s="1686"/>
      <c r="GX23" s="1686"/>
      <c r="GY23" s="1686"/>
      <c r="GZ23" s="1686"/>
      <c r="HA23" s="1686"/>
      <c r="HB23" s="1290"/>
      <c r="HC23" s="1686"/>
      <c r="HD23" s="1686"/>
      <c r="HE23" s="1686"/>
      <c r="HF23" s="1686"/>
      <c r="HG23" s="1290"/>
      <c r="HH23" s="1686"/>
      <c r="HI23" s="1290"/>
      <c r="HJ23" s="1290"/>
      <c r="HK23" s="1290"/>
      <c r="HL23" s="1290"/>
      <c r="HM23" s="1290"/>
      <c r="HN23" s="1686"/>
      <c r="HO23" s="1686"/>
      <c r="HP23" s="1290"/>
      <c r="HQ23" s="1686"/>
      <c r="HR23" s="1686"/>
      <c r="HS23" s="1686"/>
      <c r="HT23" s="1686"/>
      <c r="HU23" s="1686"/>
      <c r="HV23" s="1686"/>
      <c r="HW23" s="1686"/>
      <c r="HX23" s="1686"/>
      <c r="HY23" s="1686"/>
      <c r="HZ23" s="1686"/>
      <c r="IA23" s="1686"/>
      <c r="IB23" s="1686"/>
      <c r="IC23" s="1686"/>
      <c r="ID23" s="1686"/>
      <c r="IE23" s="1686"/>
      <c r="IF23" s="1686"/>
      <c r="IG23" s="1686"/>
      <c r="IH23" s="1686"/>
      <c r="II23" s="1686"/>
      <c r="IJ23" s="1686"/>
      <c r="IK23" s="1686"/>
      <c r="IL23" s="1686"/>
      <c r="IM23" s="1686"/>
      <c r="IN23" s="1686"/>
      <c r="IO23" s="1686"/>
      <c r="IP23" s="1686"/>
      <c r="IQ23" s="1686"/>
      <c r="IR23" s="1686"/>
      <c r="IS23" s="1686"/>
      <c r="IT23" s="1686"/>
      <c r="IU23" s="1686"/>
      <c r="IV23" s="1686"/>
      <c r="IW23" s="1686"/>
      <c r="IX23" s="1290"/>
      <c r="IY23" s="1686"/>
      <c r="IZ23" s="1290"/>
      <c r="JA23" s="1686"/>
      <c r="JB23" s="1686"/>
      <c r="JC23" s="1686"/>
      <c r="JD23" s="1686"/>
      <c r="JE23" s="1686"/>
      <c r="JF23" s="1686"/>
      <c r="JG23" s="1686"/>
      <c r="JH23" s="1686"/>
      <c r="JI23" s="1686"/>
      <c r="JJ23" s="1686"/>
      <c r="JK23" s="1686"/>
      <c r="JL23" s="1686"/>
      <c r="JM23" s="1686"/>
      <c r="JN23" s="1686"/>
      <c r="JO23" s="1686"/>
      <c r="JP23" s="1686"/>
      <c r="JQ23" s="1695"/>
      <c r="JR23" s="593"/>
      <c r="JS23" s="354"/>
      <c r="JT23" s="355"/>
      <c r="JU23" s="598"/>
      <c r="JV23" s="598"/>
    </row>
    <row r="24" spans="1:282" x14ac:dyDescent="0.25">
      <c r="A24" s="1367">
        <v>23</v>
      </c>
      <c r="B24" s="1684" t="str">
        <f t="shared" si="0"/>
        <v/>
      </c>
      <c r="C24" s="1688" t="s">
        <v>4293</v>
      </c>
      <c r="D24" s="1360" t="s">
        <v>4294</v>
      </c>
      <c r="E24" s="1686"/>
      <c r="F24" s="1686"/>
      <c r="G24" s="1686"/>
      <c r="H24" s="1686"/>
      <c r="I24" s="1686"/>
      <c r="J24" s="1686"/>
      <c r="K24" s="1686"/>
      <c r="L24" s="1686"/>
      <c r="M24" s="1686"/>
      <c r="N24" s="1686"/>
      <c r="O24" s="1686"/>
      <c r="P24" s="1686"/>
      <c r="Q24" s="1686"/>
      <c r="R24" s="1686"/>
      <c r="S24" s="1686"/>
      <c r="T24" s="1686"/>
      <c r="U24" s="1686"/>
      <c r="V24" s="1686"/>
      <c r="W24" s="1686"/>
      <c r="X24" s="1686"/>
      <c r="Y24" s="1686"/>
      <c r="Z24" s="1686"/>
      <c r="AA24" s="1686"/>
      <c r="AB24" s="1686"/>
      <c r="AC24" s="1686"/>
      <c r="AD24" s="1686"/>
      <c r="AE24" s="1686"/>
      <c r="AF24" s="1686"/>
      <c r="AG24" s="1686"/>
      <c r="AH24" s="1686"/>
      <c r="AI24" s="1358"/>
      <c r="AJ24" s="1686"/>
      <c r="AK24" s="1290"/>
      <c r="AL24" s="1686"/>
      <c r="AM24" s="1686"/>
      <c r="AN24" s="1686"/>
      <c r="AO24" s="1686"/>
      <c r="AP24" s="1686"/>
      <c r="AQ24" s="1686"/>
      <c r="AR24" s="1686"/>
      <c r="AS24" s="1686"/>
      <c r="AT24" s="1686"/>
      <c r="AU24" s="1290"/>
      <c r="AV24" s="1686"/>
      <c r="AW24" s="1686"/>
      <c r="AX24" s="1686"/>
      <c r="AY24" s="1686"/>
      <c r="AZ24" s="1686"/>
      <c r="BA24" s="1686"/>
      <c r="BB24" s="1290"/>
      <c r="BC24" s="1686"/>
      <c r="BD24" s="1290"/>
      <c r="BE24" s="1686"/>
      <c r="BF24" s="1686"/>
      <c r="BG24" s="1290"/>
      <c r="BH24" s="1686"/>
      <c r="BI24" s="1686"/>
      <c r="BJ24" s="1686"/>
      <c r="BK24" s="1686"/>
      <c r="BL24" s="1686"/>
      <c r="BM24" s="1686"/>
      <c r="BN24" s="1686"/>
      <c r="BO24" s="1686"/>
      <c r="BP24" s="1290"/>
      <c r="BQ24" s="1686"/>
      <c r="BR24" s="1686"/>
      <c r="BS24" s="1686"/>
      <c r="BT24" s="1290"/>
      <c r="BU24" s="1290"/>
      <c r="BV24" s="1686"/>
      <c r="BW24" s="1290"/>
      <c r="BX24" s="1686"/>
      <c r="BY24" s="1686"/>
      <c r="BZ24" s="1290"/>
      <c r="CA24" s="1686"/>
      <c r="CB24" s="1686"/>
      <c r="CC24" s="1686"/>
      <c r="CD24" s="1290"/>
      <c r="CE24" s="1686"/>
      <c r="CF24" s="1686"/>
      <c r="CG24" s="1686"/>
      <c r="CH24" s="1686"/>
      <c r="CI24" s="1686"/>
      <c r="CJ24" s="1686"/>
      <c r="CK24" s="1686"/>
      <c r="CL24" s="1686"/>
      <c r="CM24" s="1686"/>
      <c r="CN24" s="1686"/>
      <c r="CO24" s="1686"/>
      <c r="CP24" s="1686"/>
      <c r="CQ24" s="1686"/>
      <c r="CR24" s="1686"/>
      <c r="CS24" s="1686"/>
      <c r="CT24" s="1290"/>
      <c r="CU24" s="1686"/>
      <c r="CV24" s="1686"/>
      <c r="CW24" s="1686"/>
      <c r="CX24" s="1686"/>
      <c r="CY24" s="1686"/>
      <c r="CZ24" s="1686"/>
      <c r="DA24" s="1290"/>
      <c r="DB24" s="1686"/>
      <c r="DC24" s="1290"/>
      <c r="DD24" s="1686"/>
      <c r="DE24" s="1686"/>
      <c r="DF24" s="1686"/>
      <c r="DG24" s="1290"/>
      <c r="DH24" s="1686"/>
      <c r="DI24" s="1686"/>
      <c r="DJ24" s="1290"/>
      <c r="DK24" s="1686"/>
      <c r="DL24" s="1686"/>
      <c r="DM24" s="1290"/>
      <c r="DN24" s="1686"/>
      <c r="DO24" s="1290"/>
      <c r="DP24" s="1686"/>
      <c r="DQ24" s="1686"/>
      <c r="DR24" s="1686"/>
      <c r="DS24" s="1686"/>
      <c r="DT24" s="1686"/>
      <c r="DU24" s="1686"/>
      <c r="DV24" s="1686"/>
      <c r="DW24" s="1686"/>
      <c r="DX24" s="1686"/>
      <c r="DY24" s="1686"/>
      <c r="DZ24" s="1686"/>
      <c r="EA24" s="1686"/>
      <c r="EB24" s="1686"/>
      <c r="EC24" s="1686"/>
      <c r="ED24" s="1290"/>
      <c r="EE24" s="1290"/>
      <c r="EF24" s="1686"/>
      <c r="EG24" s="1290"/>
      <c r="EH24" s="1290"/>
      <c r="EI24" s="1686"/>
      <c r="EJ24" s="1686"/>
      <c r="EK24" s="1686"/>
      <c r="EL24" s="1686"/>
      <c r="EM24" s="1686"/>
      <c r="EN24" s="1686"/>
      <c r="EO24" s="1686"/>
      <c r="EP24" s="1686"/>
      <c r="EQ24" s="1686"/>
      <c r="ER24" s="1290"/>
      <c r="ES24" s="1686"/>
      <c r="ET24" s="1686"/>
      <c r="EU24" s="1693"/>
      <c r="EV24" s="1290"/>
      <c r="EW24" s="1686"/>
      <c r="EX24" s="1686"/>
      <c r="EY24" s="1290"/>
      <c r="EZ24" s="1686"/>
      <c r="FA24" s="1686"/>
      <c r="FB24" s="1686"/>
      <c r="FC24" s="1686"/>
      <c r="FD24" s="1686"/>
      <c r="FE24" s="1290"/>
      <c r="FF24" s="1290"/>
      <c r="FG24" s="1290"/>
      <c r="FH24" s="1290"/>
      <c r="FI24" s="1290"/>
      <c r="FJ24" s="1290"/>
      <c r="FK24" s="1290"/>
      <c r="FL24" s="1290"/>
      <c r="FM24" s="1290"/>
      <c r="FN24" s="1290"/>
      <c r="FO24" s="1290"/>
      <c r="FP24" s="1290"/>
      <c r="FQ24" s="1686"/>
      <c r="FR24" s="1686"/>
      <c r="FS24" s="1686"/>
      <c r="FT24" s="1686"/>
      <c r="FU24" s="1686"/>
      <c r="FV24" s="1686"/>
      <c r="FW24" s="1686"/>
      <c r="FX24" s="1686"/>
      <c r="FY24" s="1686"/>
      <c r="FZ24" s="1686"/>
      <c r="GA24" s="1686"/>
      <c r="GB24" s="1686"/>
      <c r="GC24" s="1696"/>
      <c r="GD24" s="1686"/>
      <c r="GE24" s="1686"/>
      <c r="GF24" s="1686"/>
      <c r="GG24" s="1686"/>
      <c r="GH24" s="1686"/>
      <c r="GI24" s="1686"/>
      <c r="GJ24" s="1686"/>
      <c r="GK24" s="1686"/>
      <c r="GL24" s="1686"/>
      <c r="GM24" s="1686"/>
      <c r="GN24" s="1686"/>
      <c r="GO24" s="1686"/>
      <c r="GP24" s="1686"/>
      <c r="GQ24" s="1686"/>
      <c r="GR24" s="1686"/>
      <c r="GS24" s="1686"/>
      <c r="GT24" s="1686"/>
      <c r="GU24" s="1686"/>
      <c r="GV24" s="1686"/>
      <c r="GW24" s="1686"/>
      <c r="GX24" s="1686"/>
      <c r="GY24" s="1686"/>
      <c r="GZ24" s="1686"/>
      <c r="HA24" s="1686"/>
      <c r="HB24" s="1290"/>
      <c r="HC24" s="1686"/>
      <c r="HD24" s="1686"/>
      <c r="HE24" s="1686"/>
      <c r="HF24" s="1686"/>
      <c r="HG24" s="1290"/>
      <c r="HH24" s="1686"/>
      <c r="HI24" s="1290"/>
      <c r="HJ24" s="1290"/>
      <c r="HK24" s="1290"/>
      <c r="HL24" s="1290"/>
      <c r="HM24" s="1290"/>
      <c r="HN24" s="1686"/>
      <c r="HO24" s="1686"/>
      <c r="HP24" s="1290"/>
      <c r="HQ24" s="1686"/>
      <c r="HR24" s="1686"/>
      <c r="HS24" s="1686"/>
      <c r="HT24" s="1686"/>
      <c r="HU24" s="1686"/>
      <c r="HV24" s="1686"/>
      <c r="HW24" s="1686"/>
      <c r="HX24" s="1686"/>
      <c r="HY24" s="1686"/>
      <c r="HZ24" s="1686"/>
      <c r="IA24" s="1686"/>
      <c r="IB24" s="1686"/>
      <c r="IC24" s="1686"/>
      <c r="ID24" s="1686"/>
      <c r="IE24" s="1686"/>
      <c r="IF24" s="1686"/>
      <c r="IG24" s="1686"/>
      <c r="IH24" s="1686"/>
      <c r="II24" s="1686"/>
      <c r="IJ24" s="1686"/>
      <c r="IK24" s="1686"/>
      <c r="IL24" s="1686"/>
      <c r="IM24" s="1686"/>
      <c r="IN24" s="1686"/>
      <c r="IO24" s="1686"/>
      <c r="IP24" s="1686"/>
      <c r="IQ24" s="1686"/>
      <c r="IR24" s="1686"/>
      <c r="IS24" s="1686"/>
      <c r="IT24" s="1686"/>
      <c r="IU24" s="1686"/>
      <c r="IV24" s="1686"/>
      <c r="IW24" s="1686"/>
      <c r="IX24" s="1290"/>
      <c r="IY24" s="1686"/>
      <c r="IZ24" s="1290"/>
      <c r="JA24" s="1686"/>
      <c r="JB24" s="1686"/>
      <c r="JC24" s="1686"/>
      <c r="JD24" s="1686"/>
      <c r="JE24" s="1686"/>
      <c r="JF24" s="1686"/>
      <c r="JG24" s="1686"/>
      <c r="JH24" s="1686"/>
      <c r="JI24" s="1686"/>
      <c r="JJ24" s="1686"/>
      <c r="JK24" s="1686"/>
      <c r="JL24" s="1686"/>
      <c r="JM24" s="1686"/>
      <c r="JN24" s="1686"/>
      <c r="JO24" s="1686"/>
      <c r="JP24" s="1686"/>
      <c r="JQ24" s="1695"/>
      <c r="JR24" s="593"/>
      <c r="JS24" s="354"/>
      <c r="JT24" s="355"/>
      <c r="JU24" s="598"/>
      <c r="JV24" s="598"/>
    </row>
    <row r="25" spans="1:282" x14ac:dyDescent="0.25">
      <c r="A25" s="1367">
        <v>24</v>
      </c>
      <c r="B25" s="1684" t="str">
        <f t="shared" si="0"/>
        <v/>
      </c>
      <c r="C25" s="1688" t="s">
        <v>4295</v>
      </c>
      <c r="D25" s="1360" t="s">
        <v>4296</v>
      </c>
      <c r="E25" s="1686"/>
      <c r="F25" s="1686"/>
      <c r="G25" s="1686"/>
      <c r="H25" s="1686"/>
      <c r="I25" s="1686"/>
      <c r="J25" s="1686"/>
      <c r="K25" s="1686"/>
      <c r="L25" s="1686"/>
      <c r="M25" s="1686"/>
      <c r="N25" s="1686"/>
      <c r="O25" s="1686"/>
      <c r="P25" s="1686"/>
      <c r="Q25" s="1686"/>
      <c r="R25" s="1686"/>
      <c r="S25" s="1686"/>
      <c r="T25" s="1686"/>
      <c r="U25" s="1686"/>
      <c r="V25" s="1686"/>
      <c r="W25" s="1686"/>
      <c r="X25" s="1686"/>
      <c r="Y25" s="1686"/>
      <c r="Z25" s="1686"/>
      <c r="AA25" s="1686"/>
      <c r="AB25" s="1686"/>
      <c r="AC25" s="1686"/>
      <c r="AD25" s="1686"/>
      <c r="AE25" s="1686"/>
      <c r="AF25" s="1686"/>
      <c r="AG25" s="1686"/>
      <c r="AH25" s="1686"/>
      <c r="AI25" s="1358"/>
      <c r="AJ25" s="1686"/>
      <c r="AK25" s="1290"/>
      <c r="AL25" s="1686"/>
      <c r="AM25" s="1686"/>
      <c r="AN25" s="1686"/>
      <c r="AO25" s="1686"/>
      <c r="AP25" s="1686"/>
      <c r="AQ25" s="1686"/>
      <c r="AR25" s="1686"/>
      <c r="AS25" s="1686"/>
      <c r="AT25" s="1686"/>
      <c r="AU25" s="1290"/>
      <c r="AV25" s="1686"/>
      <c r="AW25" s="1686"/>
      <c r="AX25" s="1686"/>
      <c r="AY25" s="1686"/>
      <c r="AZ25" s="1686"/>
      <c r="BA25" s="1686"/>
      <c r="BB25" s="1290"/>
      <c r="BC25" s="1686"/>
      <c r="BD25" s="1290"/>
      <c r="BE25" s="1686"/>
      <c r="BF25" s="1686"/>
      <c r="BG25" s="1290"/>
      <c r="BH25" s="1686"/>
      <c r="BI25" s="1686"/>
      <c r="BJ25" s="1686"/>
      <c r="BK25" s="1686"/>
      <c r="BL25" s="1686"/>
      <c r="BM25" s="1686"/>
      <c r="BN25" s="1686"/>
      <c r="BO25" s="1686"/>
      <c r="BP25" s="1290"/>
      <c r="BQ25" s="1686"/>
      <c r="BR25" s="1686"/>
      <c r="BS25" s="1686"/>
      <c r="BT25" s="1290"/>
      <c r="BU25" s="1290"/>
      <c r="BV25" s="1686"/>
      <c r="BW25" s="1290"/>
      <c r="BX25" s="1686"/>
      <c r="BY25" s="1686"/>
      <c r="BZ25" s="1290"/>
      <c r="CA25" s="1686"/>
      <c r="CB25" s="1686"/>
      <c r="CC25" s="1686"/>
      <c r="CD25" s="1290"/>
      <c r="CE25" s="1686"/>
      <c r="CF25" s="1686"/>
      <c r="CG25" s="1686"/>
      <c r="CH25" s="1686"/>
      <c r="CI25" s="1686"/>
      <c r="CJ25" s="1686"/>
      <c r="CK25" s="1686"/>
      <c r="CL25" s="1686"/>
      <c r="CM25" s="1686"/>
      <c r="CN25" s="1686"/>
      <c r="CO25" s="1686"/>
      <c r="CP25" s="1686"/>
      <c r="CQ25" s="1686"/>
      <c r="CR25" s="1686"/>
      <c r="CS25" s="1686"/>
      <c r="CT25" s="1290"/>
      <c r="CU25" s="1686"/>
      <c r="CV25" s="1686"/>
      <c r="CW25" s="1686"/>
      <c r="CX25" s="1686"/>
      <c r="CY25" s="1686"/>
      <c r="CZ25" s="1686"/>
      <c r="DA25" s="1290"/>
      <c r="DB25" s="1686"/>
      <c r="DC25" s="1290"/>
      <c r="DD25" s="1686"/>
      <c r="DE25" s="1686"/>
      <c r="DF25" s="1686"/>
      <c r="DG25" s="1290"/>
      <c r="DH25" s="1686"/>
      <c r="DI25" s="1686"/>
      <c r="DJ25" s="1290"/>
      <c r="DK25" s="1686"/>
      <c r="DL25" s="1686"/>
      <c r="DM25" s="1290"/>
      <c r="DN25" s="1686"/>
      <c r="DO25" s="1290"/>
      <c r="DP25" s="1686"/>
      <c r="DQ25" s="1686"/>
      <c r="DR25" s="1686"/>
      <c r="DS25" s="1686"/>
      <c r="DT25" s="1686"/>
      <c r="DU25" s="1686"/>
      <c r="DV25" s="1686"/>
      <c r="DW25" s="1686"/>
      <c r="DX25" s="1686"/>
      <c r="DY25" s="1686"/>
      <c r="DZ25" s="1686"/>
      <c r="EA25" s="1686"/>
      <c r="EB25" s="1686"/>
      <c r="EC25" s="1686"/>
      <c r="ED25" s="1290"/>
      <c r="EE25" s="1290"/>
      <c r="EF25" s="1686"/>
      <c r="EG25" s="1290"/>
      <c r="EH25" s="1290"/>
      <c r="EI25" s="1686"/>
      <c r="EJ25" s="1686"/>
      <c r="EK25" s="1686"/>
      <c r="EL25" s="1686"/>
      <c r="EM25" s="1686"/>
      <c r="EN25" s="1686"/>
      <c r="EO25" s="1686"/>
      <c r="EP25" s="1686"/>
      <c r="EQ25" s="1686"/>
      <c r="ER25" s="1290"/>
      <c r="ES25" s="1686"/>
      <c r="ET25" s="1686"/>
      <c r="EU25" s="1693"/>
      <c r="EV25" s="1290"/>
      <c r="EW25" s="1686"/>
      <c r="EX25" s="1686"/>
      <c r="EY25" s="1290"/>
      <c r="EZ25" s="1686"/>
      <c r="FA25" s="1686"/>
      <c r="FB25" s="1686"/>
      <c r="FC25" s="1686"/>
      <c r="FD25" s="1686"/>
      <c r="FE25" s="1290"/>
      <c r="FF25" s="1290"/>
      <c r="FG25" s="1290"/>
      <c r="FH25" s="1290"/>
      <c r="FI25" s="1290"/>
      <c r="FJ25" s="1290"/>
      <c r="FK25" s="1290"/>
      <c r="FL25" s="1290"/>
      <c r="FM25" s="1290"/>
      <c r="FN25" s="1290"/>
      <c r="FO25" s="1290"/>
      <c r="FP25" s="1290"/>
      <c r="FQ25" s="1686"/>
      <c r="FR25" s="1686"/>
      <c r="FS25" s="1686"/>
      <c r="FT25" s="1686"/>
      <c r="FU25" s="1686"/>
      <c r="FV25" s="1686"/>
      <c r="FW25" s="1686"/>
      <c r="FX25" s="1686"/>
      <c r="FY25" s="1686"/>
      <c r="FZ25" s="1686"/>
      <c r="GA25" s="1686"/>
      <c r="GB25" s="1686"/>
      <c r="GC25" s="1686"/>
      <c r="GD25" s="1686"/>
      <c r="GE25" s="1686"/>
      <c r="GF25" s="1686"/>
      <c r="GG25" s="1686"/>
      <c r="GH25" s="1686"/>
      <c r="GI25" s="1686"/>
      <c r="GJ25" s="1686"/>
      <c r="GK25" s="1686"/>
      <c r="GL25" s="1686"/>
      <c r="GM25" s="1686"/>
      <c r="GN25" s="1686"/>
      <c r="GO25" s="1686"/>
      <c r="GP25" s="1686"/>
      <c r="GQ25" s="1686"/>
      <c r="GR25" s="1686"/>
      <c r="GS25" s="1686"/>
      <c r="GT25" s="1686"/>
      <c r="GU25" s="1686"/>
      <c r="GV25" s="1686"/>
      <c r="GW25" s="1686"/>
      <c r="GX25" s="1686"/>
      <c r="GY25" s="1686"/>
      <c r="GZ25" s="1686"/>
      <c r="HA25" s="1686"/>
      <c r="HB25" s="1290"/>
      <c r="HC25" s="1686"/>
      <c r="HD25" s="1686"/>
      <c r="HE25" s="1686"/>
      <c r="HF25" s="1686"/>
      <c r="HG25" s="1290"/>
      <c r="HH25" s="1686"/>
      <c r="HI25" s="1290"/>
      <c r="HJ25" s="1290"/>
      <c r="HK25" s="1290"/>
      <c r="HL25" s="1290"/>
      <c r="HM25" s="1290"/>
      <c r="HN25" s="1686"/>
      <c r="HO25" s="1686"/>
      <c r="HP25" s="1290"/>
      <c r="HQ25" s="1686"/>
      <c r="HR25" s="1686"/>
      <c r="HS25" s="1686"/>
      <c r="HT25" s="1686"/>
      <c r="HU25" s="1686"/>
      <c r="HV25" s="1686"/>
      <c r="HW25" s="1686"/>
      <c r="HX25" s="1686"/>
      <c r="HY25" s="1686"/>
      <c r="HZ25" s="1686"/>
      <c r="IA25" s="1686"/>
      <c r="IB25" s="1686"/>
      <c r="IC25" s="1686"/>
      <c r="ID25" s="1686"/>
      <c r="IE25" s="1686"/>
      <c r="IF25" s="1686"/>
      <c r="IG25" s="1686"/>
      <c r="IH25" s="1686"/>
      <c r="II25" s="1686"/>
      <c r="IJ25" s="1686"/>
      <c r="IK25" s="1686"/>
      <c r="IL25" s="1686"/>
      <c r="IM25" s="1686"/>
      <c r="IN25" s="1686"/>
      <c r="IO25" s="1686"/>
      <c r="IP25" s="1686"/>
      <c r="IQ25" s="1686"/>
      <c r="IR25" s="1686"/>
      <c r="IS25" s="1686"/>
      <c r="IT25" s="1686"/>
      <c r="IU25" s="1686"/>
      <c r="IV25" s="1686"/>
      <c r="IW25" s="1686"/>
      <c r="IX25" s="1290"/>
      <c r="IY25" s="1686"/>
      <c r="IZ25" s="1290"/>
      <c r="JA25" s="1686"/>
      <c r="JB25" s="1686"/>
      <c r="JC25" s="1686"/>
      <c r="JD25" s="1686"/>
      <c r="JE25" s="1686"/>
      <c r="JF25" s="1686"/>
      <c r="JG25" s="1686"/>
      <c r="JH25" s="1686"/>
      <c r="JI25" s="1686"/>
      <c r="JJ25" s="1686"/>
      <c r="JK25" s="1686"/>
      <c r="JL25" s="1686"/>
      <c r="JM25" s="1686"/>
      <c r="JN25" s="1686"/>
      <c r="JO25" s="1686"/>
      <c r="JP25" s="1686"/>
      <c r="JQ25" s="1695"/>
      <c r="JR25" s="593"/>
      <c r="JS25" s="354"/>
      <c r="JT25" s="355"/>
      <c r="JU25" s="598"/>
      <c r="JV25" s="598"/>
    </row>
    <row r="26" spans="1:282" x14ac:dyDescent="0.25">
      <c r="A26" s="1367">
        <v>25</v>
      </c>
      <c r="B26" s="1684" t="str">
        <f t="shared" si="0"/>
        <v/>
      </c>
      <c r="C26" s="1688" t="s">
        <v>4297</v>
      </c>
      <c r="D26" s="1360" t="s">
        <v>4298</v>
      </c>
      <c r="E26" s="1686"/>
      <c r="F26" s="1686"/>
      <c r="G26" s="1686"/>
      <c r="H26" s="1686"/>
      <c r="I26" s="1686"/>
      <c r="J26" s="1686"/>
      <c r="K26" s="1686"/>
      <c r="L26" s="1686"/>
      <c r="M26" s="1686"/>
      <c r="N26" s="1686"/>
      <c r="O26" s="1686"/>
      <c r="P26" s="1686"/>
      <c r="Q26" s="1686"/>
      <c r="R26" s="1686"/>
      <c r="S26" s="1686"/>
      <c r="T26" s="1686"/>
      <c r="U26" s="1686"/>
      <c r="V26" s="1686"/>
      <c r="W26" s="1686"/>
      <c r="X26" s="1686"/>
      <c r="Y26" s="1686"/>
      <c r="Z26" s="1686"/>
      <c r="AA26" s="1686"/>
      <c r="AB26" s="1686"/>
      <c r="AC26" s="1686"/>
      <c r="AD26" s="1686"/>
      <c r="AE26" s="1686"/>
      <c r="AF26" s="1686"/>
      <c r="AG26" s="1686"/>
      <c r="AH26" s="1686"/>
      <c r="AI26" s="1358"/>
      <c r="AJ26" s="1686"/>
      <c r="AK26" s="1290"/>
      <c r="AL26" s="1686"/>
      <c r="AM26" s="1686"/>
      <c r="AN26" s="1686"/>
      <c r="AO26" s="1686"/>
      <c r="AP26" s="1686"/>
      <c r="AQ26" s="1686"/>
      <c r="AR26" s="1686"/>
      <c r="AS26" s="1686"/>
      <c r="AT26" s="1686"/>
      <c r="AU26" s="1290"/>
      <c r="AV26" s="1686"/>
      <c r="AW26" s="1686"/>
      <c r="AX26" s="1686"/>
      <c r="AY26" s="1686"/>
      <c r="AZ26" s="1686"/>
      <c r="BA26" s="1686"/>
      <c r="BB26" s="1290"/>
      <c r="BC26" s="1686"/>
      <c r="BD26" s="1290"/>
      <c r="BE26" s="1686"/>
      <c r="BF26" s="1686"/>
      <c r="BG26" s="1290"/>
      <c r="BH26" s="1686"/>
      <c r="BI26" s="1686"/>
      <c r="BJ26" s="1686"/>
      <c r="BK26" s="1686"/>
      <c r="BL26" s="1686"/>
      <c r="BM26" s="1686"/>
      <c r="BN26" s="1686"/>
      <c r="BO26" s="1686"/>
      <c r="BP26" s="1290"/>
      <c r="BQ26" s="1686"/>
      <c r="BR26" s="1686"/>
      <c r="BS26" s="1686"/>
      <c r="BT26" s="1290"/>
      <c r="BU26" s="1290"/>
      <c r="BV26" s="1686"/>
      <c r="BW26" s="1290"/>
      <c r="BX26" s="1686"/>
      <c r="BY26" s="1686"/>
      <c r="BZ26" s="1290"/>
      <c r="CA26" s="1686"/>
      <c r="CB26" s="1686"/>
      <c r="CC26" s="1686"/>
      <c r="CD26" s="1290"/>
      <c r="CE26" s="1686"/>
      <c r="CF26" s="1686"/>
      <c r="CG26" s="1686"/>
      <c r="CH26" s="1686"/>
      <c r="CI26" s="1686"/>
      <c r="CJ26" s="1686"/>
      <c r="CK26" s="1686"/>
      <c r="CL26" s="1686"/>
      <c r="CM26" s="1686"/>
      <c r="CN26" s="1686"/>
      <c r="CO26" s="1686"/>
      <c r="CP26" s="1686"/>
      <c r="CQ26" s="1686"/>
      <c r="CR26" s="1686"/>
      <c r="CS26" s="1686"/>
      <c r="CT26" s="1290"/>
      <c r="CU26" s="1686"/>
      <c r="CV26" s="1686"/>
      <c r="CW26" s="1686"/>
      <c r="CX26" s="1686"/>
      <c r="CY26" s="1686"/>
      <c r="CZ26" s="1686"/>
      <c r="DA26" s="1290"/>
      <c r="DB26" s="1686"/>
      <c r="DC26" s="1290"/>
      <c r="DD26" s="1686"/>
      <c r="DE26" s="1686"/>
      <c r="DF26" s="1686"/>
      <c r="DG26" s="1290"/>
      <c r="DH26" s="1686"/>
      <c r="DI26" s="1686"/>
      <c r="DJ26" s="1290"/>
      <c r="DK26" s="1686"/>
      <c r="DL26" s="1686"/>
      <c r="DM26" s="1290"/>
      <c r="DN26" s="1686"/>
      <c r="DO26" s="1290"/>
      <c r="DP26" s="1686"/>
      <c r="DQ26" s="1686"/>
      <c r="DR26" s="1686"/>
      <c r="DS26" s="1686"/>
      <c r="DT26" s="1686"/>
      <c r="DU26" s="1686"/>
      <c r="DV26" s="1686"/>
      <c r="DW26" s="1686"/>
      <c r="DX26" s="1686"/>
      <c r="DY26" s="1686"/>
      <c r="DZ26" s="1686"/>
      <c r="EA26" s="1686"/>
      <c r="EB26" s="1686"/>
      <c r="EC26" s="1686"/>
      <c r="ED26" s="1290"/>
      <c r="EE26" s="1290"/>
      <c r="EF26" s="1686"/>
      <c r="EG26" s="1290"/>
      <c r="EH26" s="1290"/>
      <c r="EI26" s="1686"/>
      <c r="EJ26" s="1686"/>
      <c r="EK26" s="1686"/>
      <c r="EL26" s="1686"/>
      <c r="EM26" s="1686"/>
      <c r="EN26" s="1686"/>
      <c r="EO26" s="1686"/>
      <c r="EP26" s="1686"/>
      <c r="EQ26" s="1686"/>
      <c r="ER26" s="1290"/>
      <c r="ES26" s="1686"/>
      <c r="ET26" s="1686"/>
      <c r="EU26" s="1693"/>
      <c r="EV26" s="1290"/>
      <c r="EW26" s="1686"/>
      <c r="EX26" s="1686"/>
      <c r="EY26" s="1290"/>
      <c r="EZ26" s="1686"/>
      <c r="FA26" s="1686"/>
      <c r="FB26" s="1686"/>
      <c r="FC26" s="1686"/>
      <c r="FD26" s="1686"/>
      <c r="FE26" s="1290"/>
      <c r="FF26" s="1290"/>
      <c r="FG26" s="1290"/>
      <c r="FH26" s="1290"/>
      <c r="FI26" s="1290"/>
      <c r="FJ26" s="1290"/>
      <c r="FK26" s="1290"/>
      <c r="FL26" s="1290"/>
      <c r="FM26" s="1290"/>
      <c r="FN26" s="1290"/>
      <c r="FO26" s="1290"/>
      <c r="FP26" s="1290"/>
      <c r="FQ26" s="1686"/>
      <c r="FR26" s="1686"/>
      <c r="FS26" s="1686"/>
      <c r="FT26" s="1686"/>
      <c r="FU26" s="1686"/>
      <c r="FV26" s="1686"/>
      <c r="FW26" s="1686"/>
      <c r="FX26" s="1686"/>
      <c r="FY26" s="1686"/>
      <c r="FZ26" s="1686"/>
      <c r="GA26" s="1686"/>
      <c r="GB26" s="1686"/>
      <c r="GC26" s="1686">
        <v>95170</v>
      </c>
      <c r="GD26" s="1686"/>
      <c r="GE26" s="1686"/>
      <c r="GF26" s="1686"/>
      <c r="GG26" s="1686"/>
      <c r="GH26" s="1686"/>
      <c r="GI26" s="1686"/>
      <c r="GJ26" s="1686"/>
      <c r="GK26" s="1686"/>
      <c r="GL26" s="1686"/>
      <c r="GM26" s="1686"/>
      <c r="GN26" s="1686"/>
      <c r="GO26" s="1686"/>
      <c r="GP26" s="1686"/>
      <c r="GQ26" s="1686"/>
      <c r="GR26" s="1686"/>
      <c r="GS26" s="1686"/>
      <c r="GT26" s="1686"/>
      <c r="GU26" s="1686"/>
      <c r="GV26" s="1686"/>
      <c r="GW26" s="1686"/>
      <c r="GX26" s="1686"/>
      <c r="GY26" s="1686"/>
      <c r="GZ26" s="1686"/>
      <c r="HA26" s="1686"/>
      <c r="HB26" s="1290"/>
      <c r="HC26" s="1686"/>
      <c r="HD26" s="1686"/>
      <c r="HE26" s="1686"/>
      <c r="HF26" s="1686"/>
      <c r="HG26" s="1290"/>
      <c r="HH26" s="1686"/>
      <c r="HI26" s="1290"/>
      <c r="HJ26" s="1290"/>
      <c r="HK26" s="1290"/>
      <c r="HL26" s="1290"/>
      <c r="HM26" s="1290"/>
      <c r="HN26" s="1686"/>
      <c r="HO26" s="1686"/>
      <c r="HP26" s="1290"/>
      <c r="HQ26" s="1686"/>
      <c r="HR26" s="1686"/>
      <c r="HS26" s="1686"/>
      <c r="HT26" s="1686"/>
      <c r="HU26" s="1686"/>
      <c r="HV26" s="1686"/>
      <c r="HW26" s="1686"/>
      <c r="HX26" s="1686"/>
      <c r="HY26" s="1686"/>
      <c r="HZ26" s="1686"/>
      <c r="IA26" s="1686"/>
      <c r="IB26" s="1686"/>
      <c r="IC26" s="1686"/>
      <c r="ID26" s="1686"/>
      <c r="IE26" s="1686"/>
      <c r="IF26" s="1686"/>
      <c r="IG26" s="1686"/>
      <c r="IH26" s="1686"/>
      <c r="II26" s="1686"/>
      <c r="IJ26" s="1686"/>
      <c r="IK26" s="1686"/>
      <c r="IL26" s="1686"/>
      <c r="IM26" s="1686"/>
      <c r="IN26" s="1686"/>
      <c r="IO26" s="1686"/>
      <c r="IP26" s="1686"/>
      <c r="IQ26" s="1686"/>
      <c r="IR26" s="1686"/>
      <c r="IS26" s="1686"/>
      <c r="IT26" s="1686"/>
      <c r="IU26" s="1686"/>
      <c r="IV26" s="1686"/>
      <c r="IW26" s="1686"/>
      <c r="IX26" s="1290"/>
      <c r="IY26" s="1686"/>
      <c r="IZ26" s="1290"/>
      <c r="JA26" s="1686"/>
      <c r="JB26" s="1686"/>
      <c r="JC26" s="1686"/>
      <c r="JD26" s="1686"/>
      <c r="JE26" s="1686"/>
      <c r="JF26" s="1686"/>
      <c r="JG26" s="1686"/>
      <c r="JH26" s="1686"/>
      <c r="JI26" s="1686"/>
      <c r="JJ26" s="1686"/>
      <c r="JK26" s="1686"/>
      <c r="JL26" s="1686"/>
      <c r="JM26" s="1686"/>
      <c r="JN26" s="1686"/>
      <c r="JO26" s="1686"/>
      <c r="JP26" s="1686"/>
      <c r="JQ26" s="1695"/>
      <c r="JR26" s="593"/>
      <c r="JS26" s="354"/>
      <c r="JT26" s="355"/>
      <c r="JU26" s="598"/>
      <c r="JV26" s="598"/>
    </row>
    <row r="27" spans="1:282" x14ac:dyDescent="0.25">
      <c r="A27" s="1367">
        <v>26</v>
      </c>
      <c r="B27" s="1684" t="str">
        <f t="shared" si="0"/>
        <v/>
      </c>
      <c r="C27" s="1688" t="s">
        <v>4299</v>
      </c>
      <c r="D27" s="1360" t="s">
        <v>4300</v>
      </c>
      <c r="E27" s="1686"/>
      <c r="F27" s="1686"/>
      <c r="G27" s="1686"/>
      <c r="H27" s="1686"/>
      <c r="I27" s="1686"/>
      <c r="J27" s="1686"/>
      <c r="K27" s="1686"/>
      <c r="L27" s="1686"/>
      <c r="M27" s="1686"/>
      <c r="N27" s="1686"/>
      <c r="O27" s="1686"/>
      <c r="P27" s="1686"/>
      <c r="Q27" s="1686"/>
      <c r="R27" s="1686"/>
      <c r="S27" s="1686"/>
      <c r="T27" s="1686"/>
      <c r="U27" s="1686"/>
      <c r="V27" s="1686"/>
      <c r="W27" s="1686"/>
      <c r="X27" s="1686"/>
      <c r="Y27" s="1686"/>
      <c r="Z27" s="1686"/>
      <c r="AA27" s="1686"/>
      <c r="AB27" s="1686"/>
      <c r="AC27" s="1686"/>
      <c r="AD27" s="1686"/>
      <c r="AE27" s="1686"/>
      <c r="AF27" s="1686"/>
      <c r="AG27" s="1686"/>
      <c r="AH27" s="1686"/>
      <c r="AI27" s="1358"/>
      <c r="AJ27" s="1686"/>
      <c r="AK27" s="1290"/>
      <c r="AL27" s="1686"/>
      <c r="AM27" s="1686"/>
      <c r="AN27" s="1686"/>
      <c r="AO27" s="1686"/>
      <c r="AP27" s="1686"/>
      <c r="AQ27" s="1686"/>
      <c r="AR27" s="1686"/>
      <c r="AS27" s="1686"/>
      <c r="AT27" s="1686"/>
      <c r="AU27" s="1290"/>
      <c r="AV27" s="1686"/>
      <c r="AW27" s="1686"/>
      <c r="AX27" s="1686"/>
      <c r="AY27" s="1686"/>
      <c r="AZ27" s="1686"/>
      <c r="BA27" s="1686"/>
      <c r="BB27" s="1290"/>
      <c r="BC27" s="1686"/>
      <c r="BD27" s="1290"/>
      <c r="BE27" s="1686"/>
      <c r="BF27" s="1686"/>
      <c r="BG27" s="1290"/>
      <c r="BH27" s="1686"/>
      <c r="BI27" s="1686"/>
      <c r="BJ27" s="1686"/>
      <c r="BK27" s="1686"/>
      <c r="BL27" s="1686"/>
      <c r="BM27" s="1686"/>
      <c r="BN27" s="1686"/>
      <c r="BO27" s="1686"/>
      <c r="BP27" s="1290"/>
      <c r="BQ27" s="1686"/>
      <c r="BR27" s="1686"/>
      <c r="BS27" s="1686"/>
      <c r="BT27" s="1290"/>
      <c r="BU27" s="1290"/>
      <c r="BV27" s="1686"/>
      <c r="BW27" s="1290"/>
      <c r="BX27" s="1686"/>
      <c r="BY27" s="1686"/>
      <c r="BZ27" s="1290"/>
      <c r="CA27" s="1686"/>
      <c r="CB27" s="1686"/>
      <c r="CC27" s="1686"/>
      <c r="CD27" s="1290"/>
      <c r="CE27" s="1686"/>
      <c r="CF27" s="1686"/>
      <c r="CG27" s="1686"/>
      <c r="CH27" s="1686"/>
      <c r="CI27" s="1686"/>
      <c r="CJ27" s="1686"/>
      <c r="CK27" s="1686"/>
      <c r="CL27" s="1686"/>
      <c r="CM27" s="1686"/>
      <c r="CN27" s="1686"/>
      <c r="CO27" s="1686"/>
      <c r="CP27" s="1686"/>
      <c r="CQ27" s="1686"/>
      <c r="CR27" s="1686"/>
      <c r="CS27" s="1686"/>
      <c r="CT27" s="1290"/>
      <c r="CU27" s="1686"/>
      <c r="CV27" s="1686"/>
      <c r="CW27" s="1686"/>
      <c r="CX27" s="1686"/>
      <c r="CY27" s="1686"/>
      <c r="CZ27" s="1686"/>
      <c r="DA27" s="1290"/>
      <c r="DB27" s="1686"/>
      <c r="DC27" s="1290"/>
      <c r="DD27" s="1686"/>
      <c r="DE27" s="1686"/>
      <c r="DF27" s="1686"/>
      <c r="DG27" s="1290"/>
      <c r="DH27" s="1686"/>
      <c r="DI27" s="1686"/>
      <c r="DJ27" s="1290"/>
      <c r="DK27" s="1686"/>
      <c r="DL27" s="1686"/>
      <c r="DM27" s="1290"/>
      <c r="DN27" s="1686"/>
      <c r="DO27" s="1290"/>
      <c r="DP27" s="1686"/>
      <c r="DQ27" s="1686"/>
      <c r="DR27" s="1686"/>
      <c r="DS27" s="1686"/>
      <c r="DT27" s="1686"/>
      <c r="DU27" s="1686"/>
      <c r="DV27" s="1686"/>
      <c r="DW27" s="1686"/>
      <c r="DX27" s="1686"/>
      <c r="DY27" s="1686"/>
      <c r="DZ27" s="1686"/>
      <c r="EA27" s="1686"/>
      <c r="EB27" s="1686"/>
      <c r="EC27" s="1686"/>
      <c r="ED27" s="1290"/>
      <c r="EE27" s="1290"/>
      <c r="EF27" s="1686"/>
      <c r="EG27" s="1290"/>
      <c r="EH27" s="1290"/>
      <c r="EI27" s="1686"/>
      <c r="EJ27" s="1686"/>
      <c r="EK27" s="1686"/>
      <c r="EL27" s="1686"/>
      <c r="EM27" s="1686"/>
      <c r="EN27" s="1686"/>
      <c r="EO27" s="1686"/>
      <c r="EP27" s="1686"/>
      <c r="EQ27" s="1686"/>
      <c r="ER27" s="1290"/>
      <c r="ES27" s="1686"/>
      <c r="ET27" s="1686"/>
      <c r="EU27" s="1693"/>
      <c r="EV27" s="1290"/>
      <c r="EW27" s="1686"/>
      <c r="EX27" s="1686"/>
      <c r="EY27" s="1290"/>
      <c r="EZ27" s="1686"/>
      <c r="FA27" s="1686"/>
      <c r="FB27" s="1686"/>
      <c r="FC27" s="1686"/>
      <c r="FD27" s="1686"/>
      <c r="FE27" s="1290"/>
      <c r="FF27" s="1290"/>
      <c r="FG27" s="1290"/>
      <c r="FH27" s="1290"/>
      <c r="FI27" s="1290"/>
      <c r="FJ27" s="1290"/>
      <c r="FK27" s="1290"/>
      <c r="FL27" s="1290"/>
      <c r="FM27" s="1290"/>
      <c r="FN27" s="1290"/>
      <c r="FO27" s="1290"/>
      <c r="FP27" s="1290"/>
      <c r="FQ27" s="1686"/>
      <c r="FR27" s="1686"/>
      <c r="FS27" s="1686"/>
      <c r="FT27" s="1686"/>
      <c r="FU27" s="1686"/>
      <c r="FV27" s="1686"/>
      <c r="FW27" s="1686"/>
      <c r="FX27" s="1686"/>
      <c r="FY27" s="1686"/>
      <c r="FZ27" s="1686"/>
      <c r="GA27" s="1686"/>
      <c r="GB27" s="1686"/>
      <c r="GC27" s="1686">
        <v>40548</v>
      </c>
      <c r="GD27" s="1686"/>
      <c r="GE27" s="1686"/>
      <c r="GF27" s="1686"/>
      <c r="GG27" s="1686"/>
      <c r="GH27" s="1686"/>
      <c r="GI27" s="1686"/>
      <c r="GJ27" s="1686"/>
      <c r="GK27" s="1686"/>
      <c r="GL27" s="1686"/>
      <c r="GM27" s="1686"/>
      <c r="GN27" s="1686"/>
      <c r="GO27" s="1686"/>
      <c r="GP27" s="1686"/>
      <c r="GQ27" s="1686"/>
      <c r="GR27" s="1686"/>
      <c r="GS27" s="1686"/>
      <c r="GT27" s="1686"/>
      <c r="GU27" s="1686"/>
      <c r="GV27" s="1686"/>
      <c r="GW27" s="1686"/>
      <c r="GX27" s="1686"/>
      <c r="GY27" s="1686"/>
      <c r="GZ27" s="1686"/>
      <c r="HA27" s="1686"/>
      <c r="HB27" s="1290"/>
      <c r="HC27" s="1686"/>
      <c r="HD27" s="1686"/>
      <c r="HE27" s="1686"/>
      <c r="HF27" s="1686"/>
      <c r="HG27" s="1290"/>
      <c r="HH27" s="1686"/>
      <c r="HI27" s="1290"/>
      <c r="HJ27" s="1290"/>
      <c r="HK27" s="1290"/>
      <c r="HL27" s="1290"/>
      <c r="HM27" s="1290"/>
      <c r="HN27" s="1686"/>
      <c r="HO27" s="1686"/>
      <c r="HP27" s="1290"/>
      <c r="HQ27" s="1686"/>
      <c r="HR27" s="1686"/>
      <c r="HS27" s="1686"/>
      <c r="HT27" s="1686"/>
      <c r="HU27" s="1686"/>
      <c r="HV27" s="1686"/>
      <c r="HW27" s="1686"/>
      <c r="HX27" s="1686"/>
      <c r="HY27" s="1686"/>
      <c r="HZ27" s="1686"/>
      <c r="IA27" s="1686"/>
      <c r="IB27" s="1686"/>
      <c r="IC27" s="1686"/>
      <c r="ID27" s="1686"/>
      <c r="IE27" s="1686"/>
      <c r="IF27" s="1686"/>
      <c r="IG27" s="1686"/>
      <c r="IH27" s="1686"/>
      <c r="II27" s="1686"/>
      <c r="IJ27" s="1686"/>
      <c r="IK27" s="1686"/>
      <c r="IL27" s="1686"/>
      <c r="IM27" s="1686"/>
      <c r="IN27" s="1686"/>
      <c r="IO27" s="1686"/>
      <c r="IP27" s="1686"/>
      <c r="IQ27" s="1686"/>
      <c r="IR27" s="1686"/>
      <c r="IS27" s="1686"/>
      <c r="IT27" s="1686"/>
      <c r="IU27" s="1686"/>
      <c r="IV27" s="1686"/>
      <c r="IW27" s="1686"/>
      <c r="IX27" s="1290"/>
      <c r="IY27" s="1686"/>
      <c r="IZ27" s="1290"/>
      <c r="JA27" s="1686"/>
      <c r="JB27" s="1686"/>
      <c r="JC27" s="1686"/>
      <c r="JD27" s="1686"/>
      <c r="JE27" s="1686"/>
      <c r="JF27" s="1686"/>
      <c r="JG27" s="1686"/>
      <c r="JH27" s="1686"/>
      <c r="JI27" s="1686"/>
      <c r="JJ27" s="1686"/>
      <c r="JK27" s="1686"/>
      <c r="JL27" s="1686"/>
      <c r="JM27" s="1686"/>
      <c r="JN27" s="1686"/>
      <c r="JO27" s="1686"/>
      <c r="JP27" s="1686"/>
      <c r="JQ27" s="1695"/>
      <c r="JR27" s="593"/>
      <c r="JS27" s="354"/>
      <c r="JT27" s="355"/>
      <c r="JU27" s="598"/>
      <c r="JV27" s="598"/>
    </row>
    <row r="28" spans="1:282" x14ac:dyDescent="0.25">
      <c r="A28" s="1367">
        <v>27</v>
      </c>
      <c r="B28" s="1677" t="str">
        <f t="shared" si="0"/>
        <v/>
      </c>
      <c r="C28" s="1688" t="s">
        <v>4301</v>
      </c>
      <c r="D28" s="1360" t="s">
        <v>4255</v>
      </c>
      <c r="E28" s="1697"/>
      <c r="F28" s="1697"/>
      <c r="G28" s="1697"/>
      <c r="H28" s="1697"/>
      <c r="I28" s="1697"/>
      <c r="J28" s="1697"/>
      <c r="K28" s="1697"/>
      <c r="L28" s="1697"/>
      <c r="M28" s="1697"/>
      <c r="N28" s="1697"/>
      <c r="O28" s="1697"/>
      <c r="P28" s="1697"/>
      <c r="Q28" s="1697"/>
      <c r="R28" s="1697"/>
      <c r="S28" s="1697"/>
      <c r="T28" s="1697"/>
      <c r="U28" s="1697"/>
      <c r="V28" s="1697"/>
      <c r="W28" s="1697"/>
      <c r="X28" s="1697"/>
      <c r="Y28" s="1697"/>
      <c r="Z28" s="1697"/>
      <c r="AA28" s="1697"/>
      <c r="AB28" s="1697"/>
      <c r="AC28" s="1697"/>
      <c r="AD28" s="1697"/>
      <c r="AE28" s="1697"/>
      <c r="AF28" s="1697"/>
      <c r="AG28" s="1697"/>
      <c r="AH28" s="1697"/>
      <c r="AI28" s="1697"/>
      <c r="AJ28" s="1697"/>
      <c r="AK28" s="1696"/>
      <c r="AL28" s="1697"/>
      <c r="AM28" s="1697"/>
      <c r="AN28" s="1697"/>
      <c r="AO28" s="1696"/>
      <c r="AP28" s="1697"/>
      <c r="AQ28" s="1697"/>
      <c r="AR28" s="1697"/>
      <c r="AS28" s="1697"/>
      <c r="AT28" s="1697"/>
      <c r="AU28" s="1696">
        <v>2</v>
      </c>
      <c r="AV28" s="1697"/>
      <c r="AW28" s="1697"/>
      <c r="AX28" s="1697"/>
      <c r="AY28" s="1697"/>
      <c r="AZ28" s="1697"/>
      <c r="BA28" s="1697"/>
      <c r="BB28" s="1698"/>
      <c r="BC28" s="1697"/>
      <c r="BD28" s="1696">
        <v>1</v>
      </c>
      <c r="BE28" s="1697"/>
      <c r="BF28" s="1697"/>
      <c r="BG28" s="1699">
        <v>25</v>
      </c>
      <c r="BH28" s="1697"/>
      <c r="BI28" s="1697"/>
      <c r="BJ28" s="1697"/>
      <c r="BK28" s="1697"/>
      <c r="BL28" s="1697"/>
      <c r="BM28" s="1697"/>
      <c r="BN28" s="1697"/>
      <c r="BO28" s="1697"/>
      <c r="BP28" s="1696">
        <v>1</v>
      </c>
      <c r="BQ28" s="1697"/>
      <c r="BR28" s="1697"/>
      <c r="BS28" s="1697"/>
      <c r="BT28" s="1700"/>
      <c r="BU28" s="1696"/>
      <c r="BV28" s="1697"/>
      <c r="BW28" s="1696">
        <v>1</v>
      </c>
      <c r="BX28" s="1697"/>
      <c r="BY28" s="1697"/>
      <c r="BZ28" s="1698"/>
      <c r="CA28" s="1697"/>
      <c r="CB28" s="1697"/>
      <c r="CC28" s="1697"/>
      <c r="CD28" s="1696"/>
      <c r="CE28" s="1697"/>
      <c r="CF28" s="1697"/>
      <c r="CG28" s="1697"/>
      <c r="CH28" s="1697"/>
      <c r="CI28" s="1697"/>
      <c r="CJ28" s="1697"/>
      <c r="CK28" s="1697"/>
      <c r="CL28" s="1697"/>
      <c r="CM28" s="1697"/>
      <c r="CN28" s="1697"/>
      <c r="CO28" s="1697"/>
      <c r="CP28" s="1697"/>
      <c r="CQ28" s="1697"/>
      <c r="CR28" s="1697"/>
      <c r="CS28" s="1697"/>
      <c r="CT28" s="1696"/>
      <c r="CU28" s="1697"/>
      <c r="CV28" s="1697"/>
      <c r="CW28" s="1697"/>
      <c r="CX28" s="1697"/>
      <c r="CY28" s="1697"/>
      <c r="CZ28" s="1697"/>
      <c r="DA28" s="1696">
        <v>1</v>
      </c>
      <c r="DB28" s="1697"/>
      <c r="DC28" s="1696">
        <v>2</v>
      </c>
      <c r="DD28" s="1697"/>
      <c r="DE28" s="1697"/>
      <c r="DF28" s="1697"/>
      <c r="DG28" s="1696">
        <v>2</v>
      </c>
      <c r="DH28" s="1697"/>
      <c r="DI28" s="1697"/>
      <c r="DJ28" s="1696">
        <v>1</v>
      </c>
      <c r="DK28" s="1697"/>
      <c r="DL28" s="1697"/>
      <c r="DM28" s="1696">
        <v>1</v>
      </c>
      <c r="DN28" s="1697"/>
      <c r="DO28" s="1700"/>
      <c r="DP28" s="1697"/>
      <c r="DQ28" s="1697"/>
      <c r="DR28" s="1697"/>
      <c r="DS28" s="1697"/>
      <c r="DT28" s="1697"/>
      <c r="DU28" s="1697"/>
      <c r="DV28" s="1697"/>
      <c r="DW28" s="1701">
        <v>13</v>
      </c>
      <c r="DX28" s="1697"/>
      <c r="DY28" s="1697"/>
      <c r="DZ28" s="1697"/>
      <c r="EA28" s="1697"/>
      <c r="EB28" s="1697"/>
      <c r="EC28" s="1697"/>
      <c r="ED28" s="1700"/>
      <c r="EE28" s="1700"/>
      <c r="EF28" s="1697"/>
      <c r="EG28" s="1700"/>
      <c r="EH28" s="1698"/>
      <c r="EI28" s="1697"/>
      <c r="EJ28" s="1697"/>
      <c r="EK28" s="1697"/>
      <c r="EL28" s="1697"/>
      <c r="EM28" s="1701">
        <v>2</v>
      </c>
      <c r="EN28" s="1697"/>
      <c r="EO28" s="1697"/>
      <c r="EP28" s="1697"/>
      <c r="EQ28" s="1697"/>
      <c r="ER28" s="1699">
        <v>4</v>
      </c>
      <c r="ES28" s="1697"/>
      <c r="ET28" s="1701">
        <v>7</v>
      </c>
      <c r="EU28" s="1701">
        <v>48611</v>
      </c>
      <c r="EV28" s="1696"/>
      <c r="EW28" s="1697"/>
      <c r="EX28" s="1697"/>
      <c r="EY28" s="1696">
        <v>1</v>
      </c>
      <c r="EZ28" s="1701">
        <v>2</v>
      </c>
      <c r="FA28" s="1697"/>
      <c r="FB28" s="1701">
        <v>5</v>
      </c>
      <c r="FC28" s="1697"/>
      <c r="FD28" s="1697"/>
      <c r="FE28" s="1700"/>
      <c r="FF28" s="1699">
        <v>1</v>
      </c>
      <c r="FG28" s="1696">
        <v>1</v>
      </c>
      <c r="FH28" s="1698"/>
      <c r="FI28" s="1698"/>
      <c r="FJ28" s="1696">
        <v>2</v>
      </c>
      <c r="FK28" s="1698"/>
      <c r="FL28" s="1696">
        <v>1</v>
      </c>
      <c r="FM28" s="1698"/>
      <c r="FN28" s="1700"/>
      <c r="FO28" s="1700"/>
      <c r="FP28" s="1700"/>
      <c r="FQ28" s="1697"/>
      <c r="FR28" s="1697"/>
      <c r="FS28" s="1697"/>
      <c r="FT28" s="1697"/>
      <c r="FU28" s="1697"/>
      <c r="FV28" s="1697"/>
      <c r="FW28" s="1697"/>
      <c r="FX28" s="1697"/>
      <c r="FY28" s="1697"/>
      <c r="FZ28" s="1697"/>
      <c r="GA28" s="1697"/>
      <c r="GB28" s="1697"/>
      <c r="GC28" s="1697"/>
      <c r="GD28" s="1697"/>
      <c r="GE28" s="1697"/>
      <c r="GF28" s="1697"/>
      <c r="GG28" s="1697"/>
      <c r="GH28" s="1697"/>
      <c r="GI28" s="1697"/>
      <c r="GJ28" s="1697"/>
      <c r="GK28" s="1702"/>
      <c r="GL28" s="1697"/>
      <c r="GM28" s="1697"/>
      <c r="GN28" s="1697"/>
      <c r="GO28" s="1697"/>
      <c r="GP28" s="1697"/>
      <c r="GQ28" s="1697"/>
      <c r="GR28" s="1697"/>
      <c r="GS28" s="1697"/>
      <c r="GT28" s="1697"/>
      <c r="GU28" s="1697"/>
      <c r="GV28" s="1697"/>
      <c r="GW28" s="1697"/>
      <c r="GX28" s="1697"/>
      <c r="GY28" s="1697"/>
      <c r="GZ28" s="1697"/>
      <c r="HA28" s="1697"/>
      <c r="HB28" s="1696">
        <v>1</v>
      </c>
      <c r="HC28" s="1697"/>
      <c r="HD28" s="1697"/>
      <c r="HE28" s="1697"/>
      <c r="HF28" s="1697"/>
      <c r="HG28" s="1700"/>
      <c r="HH28" s="1697"/>
      <c r="HI28" s="1700"/>
      <c r="HJ28" s="1700"/>
      <c r="HK28" s="1700"/>
      <c r="HL28" s="1699">
        <v>2</v>
      </c>
      <c r="HM28" s="1700"/>
      <c r="HN28" s="1697"/>
      <c r="HO28" s="1697"/>
      <c r="HP28" s="1700"/>
      <c r="HQ28" s="1697"/>
      <c r="HR28" s="1697"/>
      <c r="HS28" s="1696"/>
      <c r="HT28" s="1697"/>
      <c r="HU28" s="1697"/>
      <c r="HV28" s="1697"/>
      <c r="HW28" s="1697"/>
      <c r="HX28" s="1697"/>
      <c r="HY28" s="1697"/>
      <c r="HZ28" s="1697"/>
      <c r="IA28" s="1697"/>
      <c r="IB28" s="1697"/>
      <c r="IC28" s="1697"/>
      <c r="ID28" s="1697"/>
      <c r="IE28" s="1697"/>
      <c r="IF28" s="1696"/>
      <c r="IG28" s="1697"/>
      <c r="IH28" s="1696">
        <v>1</v>
      </c>
      <c r="II28" s="1696"/>
      <c r="IJ28" s="1696"/>
      <c r="IK28" s="1698">
        <v>4</v>
      </c>
      <c r="IL28" s="1697"/>
      <c r="IM28" s="1697"/>
      <c r="IN28" s="1697"/>
      <c r="IO28" s="1697"/>
      <c r="IP28" s="1697"/>
      <c r="IQ28" s="1697"/>
      <c r="IR28" s="1697"/>
      <c r="IS28" s="1701">
        <v>5</v>
      </c>
      <c r="IT28" s="1697"/>
      <c r="IU28" s="1697">
        <v>1</v>
      </c>
      <c r="IV28" s="1697"/>
      <c r="IW28" s="1697"/>
      <c r="IX28" s="1698">
        <v>32</v>
      </c>
      <c r="IY28" s="1701">
        <v>2</v>
      </c>
      <c r="IZ28" s="1696">
        <v>1</v>
      </c>
      <c r="JA28" s="1697"/>
      <c r="JB28" s="1697"/>
      <c r="JC28" s="1697"/>
      <c r="JD28" s="1696">
        <v>1</v>
      </c>
      <c r="JE28" s="1697"/>
      <c r="JF28" s="1697"/>
      <c r="JG28" s="1697"/>
      <c r="JH28" s="1697">
        <v>1</v>
      </c>
      <c r="JI28" s="1697">
        <v>1</v>
      </c>
      <c r="JJ28" s="1697"/>
      <c r="JK28" s="1697"/>
      <c r="JL28" s="1697"/>
      <c r="JM28" s="1697"/>
      <c r="JN28" s="1697"/>
      <c r="JO28" s="1697"/>
      <c r="JP28" s="1697"/>
      <c r="JQ28" s="1364"/>
      <c r="JR28" s="593"/>
      <c r="JS28" s="354"/>
      <c r="JT28" s="355" t="s">
        <v>3734</v>
      </c>
      <c r="JU28" s="598"/>
      <c r="JV28" s="598"/>
    </row>
    <row r="29" spans="1:282" x14ac:dyDescent="0.25">
      <c r="A29" s="1367">
        <v>28</v>
      </c>
      <c r="B29" s="1684" t="str">
        <f t="shared" si="0"/>
        <v/>
      </c>
      <c r="C29" s="1688" t="s">
        <v>4302</v>
      </c>
      <c r="D29" s="1360" t="s">
        <v>4257</v>
      </c>
      <c r="E29" s="1686"/>
      <c r="F29" s="1686"/>
      <c r="G29" s="1686"/>
      <c r="H29" s="1686"/>
      <c r="I29" s="1686"/>
      <c r="J29" s="1686"/>
      <c r="K29" s="1686"/>
      <c r="L29" s="1686"/>
      <c r="M29" s="1686"/>
      <c r="N29" s="1686"/>
      <c r="O29" s="1686"/>
      <c r="P29" s="1686"/>
      <c r="Q29" s="1686"/>
      <c r="R29" s="1686"/>
      <c r="S29" s="1686"/>
      <c r="T29" s="1686"/>
      <c r="U29" s="1686"/>
      <c r="V29" s="1686"/>
      <c r="W29" s="1686"/>
      <c r="X29" s="1686"/>
      <c r="Y29" s="1686"/>
      <c r="Z29" s="1686"/>
      <c r="AA29" s="1686"/>
      <c r="AB29" s="1686"/>
      <c r="AC29" s="1686"/>
      <c r="AD29" s="1686"/>
      <c r="AE29" s="1686"/>
      <c r="AF29" s="1686"/>
      <c r="AG29" s="1686"/>
      <c r="AH29" s="1686"/>
      <c r="AI29" s="1686"/>
      <c r="AJ29" s="1686"/>
      <c r="AK29" s="1691"/>
      <c r="AL29" s="1686"/>
      <c r="AM29" s="1686"/>
      <c r="AN29" s="1686"/>
      <c r="AO29" s="1691"/>
      <c r="AP29" s="1686"/>
      <c r="AQ29" s="1686"/>
      <c r="AR29" s="1686"/>
      <c r="AS29" s="1686"/>
      <c r="AT29" s="1686"/>
      <c r="AU29" s="1691">
        <v>37000</v>
      </c>
      <c r="AV29" s="1686"/>
      <c r="AW29" s="1686"/>
      <c r="AX29" s="1686"/>
      <c r="AY29" s="1686"/>
      <c r="AZ29" s="1686"/>
      <c r="BA29" s="1686"/>
      <c r="BB29" s="1694"/>
      <c r="BC29" s="1686"/>
      <c r="BD29" s="1691">
        <v>12000</v>
      </c>
      <c r="BE29" s="1686"/>
      <c r="BF29" s="1686"/>
      <c r="BG29" s="1694">
        <v>4177691.32</v>
      </c>
      <c r="BH29" s="1686"/>
      <c r="BI29" s="1686"/>
      <c r="BJ29" s="1686"/>
      <c r="BK29" s="1686"/>
      <c r="BL29" s="1686"/>
      <c r="BM29" s="1686"/>
      <c r="BN29" s="1686"/>
      <c r="BO29" s="1686"/>
      <c r="BP29" s="1694">
        <v>175000</v>
      </c>
      <c r="BQ29" s="1686"/>
      <c r="BR29" s="1686"/>
      <c r="BS29" s="1686"/>
      <c r="BT29" s="1691"/>
      <c r="BU29" s="1691"/>
      <c r="BV29" s="1686"/>
      <c r="BW29" s="1691">
        <v>12000</v>
      </c>
      <c r="BX29" s="1686"/>
      <c r="BY29" s="1686"/>
      <c r="BZ29" s="1694"/>
      <c r="CA29" s="1686"/>
      <c r="CB29" s="1686"/>
      <c r="CC29" s="1686"/>
      <c r="CD29" s="1691"/>
      <c r="CE29" s="1686"/>
      <c r="CF29" s="1686"/>
      <c r="CG29" s="1686"/>
      <c r="CH29" s="1686"/>
      <c r="CI29" s="1686"/>
      <c r="CJ29" s="1686"/>
      <c r="CK29" s="1686"/>
      <c r="CL29" s="1686"/>
      <c r="CM29" s="1686"/>
      <c r="CN29" s="1686"/>
      <c r="CO29" s="1686"/>
      <c r="CP29" s="1686"/>
      <c r="CQ29" s="1686"/>
      <c r="CR29" s="1686"/>
      <c r="CS29" s="1686"/>
      <c r="CT29" s="1691"/>
      <c r="CU29" s="1686"/>
      <c r="CV29" s="1686"/>
      <c r="CW29" s="1686"/>
      <c r="CX29" s="1686"/>
      <c r="CY29" s="1686"/>
      <c r="CZ29" s="1686"/>
      <c r="DA29" s="1694">
        <v>300000</v>
      </c>
      <c r="DB29" s="1686"/>
      <c r="DC29" s="1691">
        <v>37000</v>
      </c>
      <c r="DD29" s="1686"/>
      <c r="DE29" s="1686"/>
      <c r="DF29" s="1686"/>
      <c r="DG29" s="1691">
        <v>37000</v>
      </c>
      <c r="DH29" s="1686"/>
      <c r="DI29" s="1686"/>
      <c r="DJ29" s="1694">
        <v>191507</v>
      </c>
      <c r="DK29" s="1686"/>
      <c r="DL29" s="1686"/>
      <c r="DM29" s="1691">
        <v>212000</v>
      </c>
      <c r="DN29" s="1686"/>
      <c r="DO29" s="1691"/>
      <c r="DP29" s="1686"/>
      <c r="DQ29" s="1686"/>
      <c r="DR29" s="1686"/>
      <c r="DS29" s="1686"/>
      <c r="DT29" s="1686"/>
      <c r="DU29" s="1686"/>
      <c r="DV29" s="1686"/>
      <c r="DW29" s="1693">
        <v>2764967</v>
      </c>
      <c r="DX29" s="1686"/>
      <c r="DY29" s="1686"/>
      <c r="DZ29" s="1686"/>
      <c r="EA29" s="1686"/>
      <c r="EB29" s="1686"/>
      <c r="EC29" s="1686"/>
      <c r="ED29" s="1691"/>
      <c r="EE29" s="1691"/>
      <c r="EF29" s="1686"/>
      <c r="EG29" s="1691"/>
      <c r="EH29" s="1694">
        <v>289452</v>
      </c>
      <c r="EI29" s="1686"/>
      <c r="EJ29" s="1686"/>
      <c r="EK29" s="1686"/>
      <c r="EL29" s="1686"/>
      <c r="EM29" s="1693">
        <v>34274962</v>
      </c>
      <c r="EN29" s="1686"/>
      <c r="EO29" s="1686"/>
      <c r="EP29" s="1686"/>
      <c r="EQ29" s="1686"/>
      <c r="ER29" s="1694">
        <v>194</v>
      </c>
      <c r="ES29" s="1686"/>
      <c r="ET29" s="1693">
        <v>106421</v>
      </c>
      <c r="EU29" s="1693">
        <v>24577</v>
      </c>
      <c r="EV29" s="1691"/>
      <c r="EW29" s="1686"/>
      <c r="EX29" s="1686"/>
      <c r="EY29" s="1691">
        <v>212000</v>
      </c>
      <c r="EZ29" s="1693">
        <v>29167</v>
      </c>
      <c r="FA29" s="1686"/>
      <c r="FB29" s="1693">
        <v>15397431</v>
      </c>
      <c r="FC29" s="1693">
        <v>194</v>
      </c>
      <c r="FD29" s="1686"/>
      <c r="FE29" s="1691"/>
      <c r="FF29" s="1694">
        <v>550000</v>
      </c>
      <c r="FG29" s="1691">
        <v>12000</v>
      </c>
      <c r="FH29" s="1694"/>
      <c r="FI29" s="1694"/>
      <c r="FJ29" s="1694">
        <v>714</v>
      </c>
      <c r="FK29" s="1694">
        <v>47</v>
      </c>
      <c r="FL29" s="1691">
        <v>212000</v>
      </c>
      <c r="FM29" s="1694"/>
      <c r="FN29" s="1691"/>
      <c r="FO29" s="1691"/>
      <c r="FP29" s="1691"/>
      <c r="FQ29" s="1686"/>
      <c r="FR29" s="1686"/>
      <c r="FS29" s="1686"/>
      <c r="FT29" s="1686"/>
      <c r="FU29" s="1686"/>
      <c r="FV29" s="1686"/>
      <c r="FW29" s="1686"/>
      <c r="FX29" s="1686"/>
      <c r="FY29" s="1686"/>
      <c r="FZ29" s="1686"/>
      <c r="GA29" s="1686"/>
      <c r="GB29" s="1686"/>
      <c r="GC29" s="1686"/>
      <c r="GD29" s="1686"/>
      <c r="GE29" s="1686"/>
      <c r="GF29" s="1686"/>
      <c r="GG29" s="1686"/>
      <c r="GH29" s="1686"/>
      <c r="GI29" s="1686"/>
      <c r="GJ29" s="1686"/>
      <c r="GK29" s="1686"/>
      <c r="GL29" s="1686"/>
      <c r="GM29" s="1686"/>
      <c r="GN29" s="1686"/>
      <c r="GO29" s="1686"/>
      <c r="GP29" s="1686"/>
      <c r="GQ29" s="1686"/>
      <c r="GR29" s="1686"/>
      <c r="GS29" s="1686"/>
      <c r="GT29" s="1686"/>
      <c r="GU29" s="1686"/>
      <c r="GV29" s="1686"/>
      <c r="GW29" s="1686"/>
      <c r="GX29" s="1686"/>
      <c r="GY29" s="1686"/>
      <c r="GZ29" s="1686"/>
      <c r="HA29" s="1686"/>
      <c r="HB29" s="1691">
        <v>129000</v>
      </c>
      <c r="HC29" s="1686"/>
      <c r="HD29" s="1686"/>
      <c r="HE29" s="1686"/>
      <c r="HF29" s="1686"/>
      <c r="HG29" s="1691"/>
      <c r="HH29" s="1686"/>
      <c r="HI29" s="1691"/>
      <c r="HJ29" s="1691"/>
      <c r="HK29" s="1691"/>
      <c r="HL29" s="1694">
        <v>20176</v>
      </c>
      <c r="HM29" s="1691"/>
      <c r="HN29" s="1686"/>
      <c r="HO29" s="1686"/>
      <c r="HP29" s="1691"/>
      <c r="HQ29" s="1686"/>
      <c r="HR29" s="1686"/>
      <c r="HS29" s="1691"/>
      <c r="HT29" s="1686"/>
      <c r="HU29" s="1686"/>
      <c r="HV29" s="1686"/>
      <c r="HW29" s="1686"/>
      <c r="HX29" s="1686"/>
      <c r="HY29" s="1686"/>
      <c r="HZ29" s="1686"/>
      <c r="IA29" s="1686"/>
      <c r="IB29" s="1686"/>
      <c r="IC29" s="1686"/>
      <c r="ID29" s="1686"/>
      <c r="IE29" s="1686"/>
      <c r="IF29" s="1691"/>
      <c r="IG29" s="1686"/>
      <c r="IH29" s="1691">
        <v>295729</v>
      </c>
      <c r="II29" s="1691"/>
      <c r="IJ29" s="1691"/>
      <c r="IK29" s="1694">
        <v>372884</v>
      </c>
      <c r="IL29" s="1686"/>
      <c r="IM29" s="1686"/>
      <c r="IN29" s="1686"/>
      <c r="IO29" s="1686"/>
      <c r="IP29" s="1686"/>
      <c r="IQ29" s="1686"/>
      <c r="IR29" s="1686"/>
      <c r="IS29" s="1693">
        <v>1455968</v>
      </c>
      <c r="IT29" s="1686"/>
      <c r="IU29" s="1686">
        <v>76671</v>
      </c>
      <c r="IV29" s="1686"/>
      <c r="IW29" s="1686"/>
      <c r="IX29" s="1694">
        <v>22523</v>
      </c>
      <c r="IY29" s="1693">
        <v>5480</v>
      </c>
      <c r="IZ29" s="1691">
        <v>212000</v>
      </c>
      <c r="JA29" s="1686"/>
      <c r="JB29" s="1686"/>
      <c r="JC29" s="1686"/>
      <c r="JD29" s="1691">
        <v>30000</v>
      </c>
      <c r="JE29" s="1686"/>
      <c r="JF29" s="1686"/>
      <c r="JG29" s="1686"/>
      <c r="JH29" s="1686">
        <v>13000</v>
      </c>
      <c r="JI29" s="1686">
        <v>125000</v>
      </c>
      <c r="JJ29" s="1686"/>
      <c r="JK29" s="1686"/>
      <c r="JL29" s="1686"/>
      <c r="JM29" s="1686"/>
      <c r="JN29" s="1686"/>
      <c r="JO29" s="1686"/>
      <c r="JP29" s="1686"/>
      <c r="JQ29" s="1364"/>
      <c r="JR29" s="593"/>
      <c r="JS29" s="354"/>
      <c r="JT29" s="355" t="s">
        <v>2242</v>
      </c>
      <c r="JU29" s="355" t="s">
        <v>4301</v>
      </c>
      <c r="JV29" s="598"/>
    </row>
    <row r="30" spans="1:282" x14ac:dyDescent="0.25">
      <c r="A30" s="1367">
        <v>29</v>
      </c>
      <c r="B30" s="1684" t="str">
        <f t="shared" si="0"/>
        <v/>
      </c>
      <c r="C30" s="1688" t="s">
        <v>4303</v>
      </c>
      <c r="D30" s="1360" t="s">
        <v>4259</v>
      </c>
      <c r="E30" s="1686"/>
      <c r="F30" s="1686"/>
      <c r="G30" s="1686"/>
      <c r="H30" s="1686"/>
      <c r="I30" s="1686"/>
      <c r="J30" s="1686"/>
      <c r="K30" s="1686"/>
      <c r="L30" s="1686"/>
      <c r="M30" s="1686"/>
      <c r="N30" s="1686"/>
      <c r="O30" s="1686"/>
      <c r="P30" s="1686"/>
      <c r="Q30" s="1686"/>
      <c r="R30" s="1686"/>
      <c r="S30" s="1686"/>
      <c r="T30" s="1686"/>
      <c r="U30" s="1686"/>
      <c r="V30" s="1686"/>
      <c r="W30" s="1686"/>
      <c r="X30" s="1686"/>
      <c r="Y30" s="1686"/>
      <c r="Z30" s="1686"/>
      <c r="AA30" s="1686"/>
      <c r="AB30" s="1686"/>
      <c r="AC30" s="1686"/>
      <c r="AD30" s="1686"/>
      <c r="AE30" s="1686"/>
      <c r="AF30" s="1686"/>
      <c r="AG30" s="1686"/>
      <c r="AH30" s="1686"/>
      <c r="AI30" s="1686"/>
      <c r="AJ30" s="1686"/>
      <c r="AK30" s="1691"/>
      <c r="AL30" s="1686"/>
      <c r="AM30" s="1686"/>
      <c r="AN30" s="1686"/>
      <c r="AO30" s="1691"/>
      <c r="AP30" s="1686"/>
      <c r="AQ30" s="1686"/>
      <c r="AR30" s="1686"/>
      <c r="AS30" s="1686"/>
      <c r="AT30" s="1686"/>
      <c r="AU30" s="1691">
        <v>12000</v>
      </c>
      <c r="AV30" s="1686"/>
      <c r="AW30" s="1686"/>
      <c r="AX30" s="1686"/>
      <c r="AY30" s="1686"/>
      <c r="AZ30" s="1686"/>
      <c r="BA30" s="1686"/>
      <c r="BB30" s="1694"/>
      <c r="BC30" s="1686"/>
      <c r="BD30" s="1691"/>
      <c r="BE30" s="1686"/>
      <c r="BF30" s="1686"/>
      <c r="BG30" s="1694">
        <v>4274491</v>
      </c>
      <c r="BH30" s="1686"/>
      <c r="BI30" s="1686"/>
      <c r="BJ30" s="1686"/>
      <c r="BK30" s="1686"/>
      <c r="BL30" s="1686"/>
      <c r="BM30" s="1686"/>
      <c r="BN30" s="1686"/>
      <c r="BO30" s="1686"/>
      <c r="BP30" s="1694">
        <v>48046</v>
      </c>
      <c r="BQ30" s="1686"/>
      <c r="BR30" s="1686"/>
      <c r="BS30" s="1686"/>
      <c r="BT30" s="1691"/>
      <c r="BU30" s="1691"/>
      <c r="BV30" s="1686"/>
      <c r="BW30" s="1691"/>
      <c r="BX30" s="1686"/>
      <c r="BY30" s="1686"/>
      <c r="BZ30" s="1691"/>
      <c r="CA30" s="1686"/>
      <c r="CB30" s="1686"/>
      <c r="CC30" s="1686"/>
      <c r="CD30" s="1691"/>
      <c r="CE30" s="1686"/>
      <c r="CF30" s="1686"/>
      <c r="CG30" s="1686"/>
      <c r="CH30" s="1686"/>
      <c r="CI30" s="1686"/>
      <c r="CJ30" s="1686"/>
      <c r="CK30" s="1686"/>
      <c r="CL30" s="1686"/>
      <c r="CM30" s="1686"/>
      <c r="CN30" s="1686"/>
      <c r="CO30" s="1686"/>
      <c r="CP30" s="1686"/>
      <c r="CQ30" s="1686"/>
      <c r="CR30" s="1686"/>
      <c r="CS30" s="1686"/>
      <c r="CT30" s="1691"/>
      <c r="CU30" s="1686"/>
      <c r="CV30" s="1686"/>
      <c r="CW30" s="1686"/>
      <c r="CX30" s="1686"/>
      <c r="CY30" s="1686"/>
      <c r="CZ30" s="1686"/>
      <c r="DA30" s="1691"/>
      <c r="DB30" s="1686"/>
      <c r="DC30" s="1691">
        <v>12000</v>
      </c>
      <c r="DD30" s="1686"/>
      <c r="DE30" s="1686"/>
      <c r="DF30" s="1686"/>
      <c r="DG30" s="1691">
        <v>12000</v>
      </c>
      <c r="DH30" s="1686"/>
      <c r="DI30" s="1686"/>
      <c r="DJ30" s="1694">
        <v>197000</v>
      </c>
      <c r="DK30" s="1686"/>
      <c r="DL30" s="1686"/>
      <c r="DM30" s="1691">
        <v>197000</v>
      </c>
      <c r="DN30" s="1686"/>
      <c r="DO30" s="1691"/>
      <c r="DP30" s="1686"/>
      <c r="DQ30" s="1686"/>
      <c r="DR30" s="1686"/>
      <c r="DS30" s="1686"/>
      <c r="DT30" s="1686"/>
      <c r="DU30" s="1686"/>
      <c r="DV30" s="1686"/>
      <c r="DW30" s="1693">
        <v>2768928</v>
      </c>
      <c r="DX30" s="1686"/>
      <c r="DY30" s="1686"/>
      <c r="DZ30" s="1686"/>
      <c r="EA30" s="1686"/>
      <c r="EB30" s="1686"/>
      <c r="EC30" s="1686"/>
      <c r="ED30" s="1691"/>
      <c r="EE30" s="1691"/>
      <c r="EF30" s="1686"/>
      <c r="EG30" s="1691"/>
      <c r="EH30" s="1694">
        <v>283675</v>
      </c>
      <c r="EI30" s="1686"/>
      <c r="EJ30" s="1686"/>
      <c r="EK30" s="1686"/>
      <c r="EL30" s="1686"/>
      <c r="EM30" s="1693">
        <v>101</v>
      </c>
      <c r="EN30" s="1686"/>
      <c r="EO30" s="1686"/>
      <c r="EP30" s="1686"/>
      <c r="EQ30" s="1686"/>
      <c r="ER30" s="1691"/>
      <c r="ES30" s="1686"/>
      <c r="ET30" s="1693">
        <v>80884</v>
      </c>
      <c r="EU30" s="1693">
        <v>28</v>
      </c>
      <c r="EV30" s="1691"/>
      <c r="EW30" s="1686"/>
      <c r="EX30" s="1686"/>
      <c r="EY30" s="1691">
        <v>197000</v>
      </c>
      <c r="EZ30" s="1693">
        <v>16754</v>
      </c>
      <c r="FA30" s="1686"/>
      <c r="FB30" s="1693">
        <v>730</v>
      </c>
      <c r="FC30" s="1686"/>
      <c r="FD30" s="1686"/>
      <c r="FE30" s="1691"/>
      <c r="FF30" s="1694">
        <v>520915</v>
      </c>
      <c r="FG30" s="1691"/>
      <c r="FH30" s="1691"/>
      <c r="FI30" s="1694"/>
      <c r="FJ30" s="1694">
        <v>9630</v>
      </c>
      <c r="FK30" s="1691"/>
      <c r="FL30" s="1691">
        <v>197000</v>
      </c>
      <c r="FM30" s="1694"/>
      <c r="FN30" s="1691"/>
      <c r="FP30" s="1691"/>
      <c r="FQ30" s="1686"/>
      <c r="FR30" s="1686"/>
      <c r="FS30" s="1686"/>
      <c r="FT30" s="1686"/>
      <c r="FU30" s="1686"/>
      <c r="FV30" s="1686"/>
      <c r="FW30" s="1686"/>
      <c r="FX30" s="1686"/>
      <c r="FY30" s="1686"/>
      <c r="FZ30" s="1686"/>
      <c r="GA30" s="1686"/>
      <c r="GB30" s="1686"/>
      <c r="GC30" s="1686"/>
      <c r="GD30" s="1686"/>
      <c r="GE30" s="1686"/>
      <c r="GF30" s="1686"/>
      <c r="GG30" s="1686"/>
      <c r="GH30" s="1686"/>
      <c r="GI30" s="1686"/>
      <c r="GJ30" s="1686"/>
      <c r="GK30" s="1686"/>
      <c r="GL30" s="1686"/>
      <c r="GM30" s="1686"/>
      <c r="GN30" s="1686"/>
      <c r="GO30" s="1686"/>
      <c r="GP30" s="1686"/>
      <c r="GQ30" s="1686"/>
      <c r="GR30" s="1686"/>
      <c r="GS30" s="1686"/>
      <c r="GT30" s="1686"/>
      <c r="GU30" s="1686"/>
      <c r="GV30" s="1686"/>
      <c r="GW30" s="1686"/>
      <c r="GX30" s="1686"/>
      <c r="GY30" s="1686"/>
      <c r="GZ30" s="1686"/>
      <c r="HA30" s="1686"/>
      <c r="HB30" s="1691">
        <v>56000</v>
      </c>
      <c r="HC30" s="1686"/>
      <c r="HD30" s="1686"/>
      <c r="HE30" s="1686"/>
      <c r="HF30" s="1686"/>
      <c r="HG30" s="1691"/>
      <c r="HH30" s="1686"/>
      <c r="HI30" s="1691"/>
      <c r="HJ30" s="1691"/>
      <c r="HK30" s="1691"/>
      <c r="HL30" s="1694">
        <v>30444</v>
      </c>
      <c r="HM30" s="1691"/>
      <c r="HN30" s="1686"/>
      <c r="HO30" s="1686"/>
      <c r="HP30" s="1691"/>
      <c r="HQ30" s="1686"/>
      <c r="HR30" s="1686"/>
      <c r="HS30" s="1691"/>
      <c r="HT30" s="1686"/>
      <c r="HU30" s="1686"/>
      <c r="HV30" s="1686"/>
      <c r="HW30" s="1686"/>
      <c r="HX30" s="1686"/>
      <c r="HY30" s="1686"/>
      <c r="HZ30" s="1686"/>
      <c r="IA30" s="1686"/>
      <c r="IB30" s="1686"/>
      <c r="IC30" s="1686"/>
      <c r="ID30" s="1686"/>
      <c r="IE30" s="1686"/>
      <c r="IF30" s="1691"/>
      <c r="IG30" s="1686"/>
      <c r="IH30" s="1691">
        <v>251014</v>
      </c>
      <c r="II30" s="1691"/>
      <c r="IJ30" s="1691"/>
      <c r="IK30" s="1694">
        <v>152441</v>
      </c>
      <c r="IL30" s="1686"/>
      <c r="IM30" s="1686"/>
      <c r="IN30" s="1686"/>
      <c r="IO30" s="1686"/>
      <c r="IP30" s="1686"/>
      <c r="IQ30" s="1686"/>
      <c r="IR30" s="1686"/>
      <c r="IS30" s="1693">
        <v>1492970</v>
      </c>
      <c r="IT30" s="1686"/>
      <c r="IU30" s="1686">
        <v>18646</v>
      </c>
      <c r="IV30" s="1686"/>
      <c r="IW30" s="1686"/>
      <c r="IX30" s="1694">
        <v>26788</v>
      </c>
      <c r="IY30" s="1686"/>
      <c r="IZ30" s="1691">
        <v>197000</v>
      </c>
      <c r="JA30" s="1686"/>
      <c r="JB30" s="1686"/>
      <c r="JC30" s="1686"/>
      <c r="JD30" s="1691">
        <v>17000</v>
      </c>
      <c r="JE30" s="1686"/>
      <c r="JF30" s="1686"/>
      <c r="JG30" s="1686"/>
      <c r="JH30" s="1686"/>
      <c r="JI30" s="1686">
        <v>32500</v>
      </c>
      <c r="JJ30" s="1686"/>
      <c r="JK30" s="1686"/>
      <c r="JL30" s="1686"/>
      <c r="JM30" s="1686"/>
      <c r="JN30" s="1686"/>
      <c r="JO30" s="1686"/>
      <c r="JP30" s="1686"/>
      <c r="JQ30" s="1364"/>
      <c r="JR30" s="593"/>
      <c r="JS30" s="354" t="s">
        <v>4304</v>
      </c>
      <c r="JT30" s="355" t="s">
        <v>2242</v>
      </c>
      <c r="JU30" s="598"/>
      <c r="JV30" s="598"/>
    </row>
    <row r="31" spans="1:282" x14ac:dyDescent="0.25">
      <c r="A31" s="1367">
        <v>30</v>
      </c>
      <c r="B31" s="1684" t="str">
        <f t="shared" si="0"/>
        <v/>
      </c>
      <c r="C31" s="1688" t="s">
        <v>4305</v>
      </c>
      <c r="D31" s="1360" t="s">
        <v>4306</v>
      </c>
      <c r="E31" s="2588"/>
      <c r="F31" s="2588"/>
      <c r="G31" s="2588"/>
      <c r="H31" s="2588"/>
      <c r="I31" s="2588"/>
      <c r="J31" s="2588"/>
      <c r="K31" s="2588"/>
      <c r="L31" s="2588"/>
      <c r="M31" s="2588"/>
      <c r="N31" s="2588"/>
      <c r="O31" s="2588"/>
      <c r="P31" s="2588"/>
      <c r="Q31" s="2588"/>
      <c r="R31" s="2588"/>
      <c r="S31" s="2588"/>
      <c r="T31" s="2588"/>
      <c r="U31" s="2588"/>
      <c r="V31" s="2588"/>
      <c r="W31" s="2588"/>
      <c r="X31" s="2588"/>
      <c r="Y31" s="2588"/>
      <c r="Z31" s="2588"/>
      <c r="AA31" s="2588"/>
      <c r="AB31" s="2588"/>
      <c r="AC31" s="2588"/>
      <c r="AD31" s="2588"/>
      <c r="AE31" s="2588"/>
      <c r="AF31" s="2588"/>
      <c r="AG31" s="2588"/>
      <c r="AH31" s="2588"/>
      <c r="AI31" s="2588"/>
      <c r="AJ31" s="2588"/>
      <c r="AK31" s="1437"/>
      <c r="AL31" s="2588"/>
      <c r="AM31" s="2588"/>
      <c r="AN31" s="2588"/>
      <c r="AO31" s="1437"/>
      <c r="AP31" s="2588"/>
      <c r="AQ31" s="2588"/>
      <c r="AR31" s="2588"/>
      <c r="AS31" s="2588"/>
      <c r="AT31" s="2588"/>
      <c r="AU31" s="1437">
        <f>MAX(0,AU29-AU30)</f>
        <v>25000</v>
      </c>
      <c r="AV31" s="2588"/>
      <c r="AW31" s="2588"/>
      <c r="AX31" s="2588"/>
      <c r="AY31" s="2588"/>
      <c r="AZ31" s="2588"/>
      <c r="BA31" s="2588"/>
      <c r="BB31" s="1441"/>
      <c r="BC31" s="2588"/>
      <c r="BD31" s="1437">
        <f>MAX(0,BD29-BD30)</f>
        <v>12000</v>
      </c>
      <c r="BE31" s="2588"/>
      <c r="BF31" s="2588"/>
      <c r="BG31" s="1441">
        <v>1598</v>
      </c>
      <c r="BH31" s="2588"/>
      <c r="BI31" s="2588"/>
      <c r="BJ31" s="2588"/>
      <c r="BK31" s="2588"/>
      <c r="BL31" s="2588"/>
      <c r="BM31" s="2588"/>
      <c r="BN31" s="2588"/>
      <c r="BO31" s="2588"/>
      <c r="BP31" s="1441">
        <f>MAX(0,BP29-BP30)</f>
        <v>126954</v>
      </c>
      <c r="BQ31" s="2588"/>
      <c r="BR31" s="2588"/>
      <c r="BS31" s="2588"/>
      <c r="BT31" s="2588"/>
      <c r="BU31" s="2588"/>
      <c r="BV31" s="2588"/>
      <c r="BW31" s="1437">
        <f>MAX(0,BW29-BW30)</f>
        <v>12000</v>
      </c>
      <c r="BX31" s="2588"/>
      <c r="BY31" s="2588"/>
      <c r="BZ31" s="1441"/>
      <c r="CA31" s="2588"/>
      <c r="CB31" s="2588"/>
      <c r="CC31" s="2588"/>
      <c r="CD31" s="2588"/>
      <c r="CE31" s="2588"/>
      <c r="CF31" s="2588"/>
      <c r="CG31" s="2588"/>
      <c r="CH31" s="2588"/>
      <c r="CI31" s="2588"/>
      <c r="CJ31" s="2588"/>
      <c r="CK31" s="2588"/>
      <c r="CL31" s="2588"/>
      <c r="CM31" s="2588"/>
      <c r="CN31" s="2588"/>
      <c r="CO31" s="2588"/>
      <c r="CP31" s="2588"/>
      <c r="CQ31" s="2588"/>
      <c r="CR31" s="2588"/>
      <c r="CS31" s="2588"/>
      <c r="CT31" s="2588"/>
      <c r="CU31" s="2588"/>
      <c r="CV31" s="2588"/>
      <c r="CW31" s="2588"/>
      <c r="CX31" s="2588"/>
      <c r="CY31" s="2588"/>
      <c r="CZ31" s="2588"/>
      <c r="DA31" s="1441">
        <f>MAX(0,DA29-DA30)</f>
        <v>300000</v>
      </c>
      <c r="DB31" s="2588"/>
      <c r="DC31" s="1437">
        <f>MAX(0,DC29-DC30)</f>
        <v>25000</v>
      </c>
      <c r="DD31" s="2588"/>
      <c r="DE31" s="2588"/>
      <c r="DF31" s="2588"/>
      <c r="DG31" s="1437">
        <f>MAX(0,DG29-DG30)</f>
        <v>25000</v>
      </c>
      <c r="DH31" s="2588"/>
      <c r="DI31" s="2588"/>
      <c r="DJ31" s="1441">
        <v>163507</v>
      </c>
      <c r="DK31" s="1437"/>
      <c r="DL31" s="1437"/>
      <c r="DM31" s="1437">
        <f>MAX(0,DM29-DM30)</f>
        <v>15000</v>
      </c>
      <c r="DN31" s="2588"/>
      <c r="DO31" s="2588"/>
      <c r="DP31" s="2588"/>
      <c r="DQ31" s="2588"/>
      <c r="DR31" s="2588"/>
      <c r="DS31" s="2588"/>
      <c r="DT31" s="2588"/>
      <c r="DU31" s="2588"/>
      <c r="DV31" s="2588"/>
      <c r="DW31" s="1451">
        <v>33548</v>
      </c>
      <c r="DX31" s="2588"/>
      <c r="DY31" s="2588"/>
      <c r="DZ31" s="2588"/>
      <c r="EA31" s="2588"/>
      <c r="EB31" s="2588"/>
      <c r="EC31" s="2588"/>
      <c r="ED31" s="2588"/>
      <c r="EE31" s="2588"/>
      <c r="EF31" s="2588"/>
      <c r="EG31" s="2588"/>
      <c r="EH31" s="1441">
        <f>MAX(0,EH29-EH30)</f>
        <v>5777</v>
      </c>
      <c r="EI31" s="2588"/>
      <c r="EJ31" s="2588"/>
      <c r="EK31" s="2588"/>
      <c r="EL31" s="2588"/>
      <c r="EM31" s="1441">
        <f>MAX(0,EM29-EM30)</f>
        <v>34274861</v>
      </c>
      <c r="EN31" s="2588"/>
      <c r="EO31" s="2588"/>
      <c r="EP31" s="2588"/>
      <c r="EQ31" s="2588"/>
      <c r="ER31" s="1441">
        <f>MAX(0,ER29-ER30)</f>
        <v>194</v>
      </c>
      <c r="ES31" s="2588"/>
      <c r="ET31" s="1451">
        <v>24458</v>
      </c>
      <c r="EU31" s="1451">
        <v>24599</v>
      </c>
      <c r="EV31" s="2588"/>
      <c r="EW31" s="2588"/>
      <c r="EX31" s="2588"/>
      <c r="EY31" s="1437">
        <f>MAX(0,EY29-EY30)</f>
        <v>15000</v>
      </c>
      <c r="EZ31" s="1451">
        <v>16649</v>
      </c>
      <c r="FA31" s="2588"/>
      <c r="FB31" s="1451">
        <v>15397431</v>
      </c>
      <c r="FC31" s="1441">
        <f t="shared" ref="FC31:FF31" si="3">MAX(0,FC29-FC30)</f>
        <v>194</v>
      </c>
      <c r="FD31" s="1437"/>
      <c r="FE31" s="1437"/>
      <c r="FF31" s="1441">
        <f t="shared" si="3"/>
        <v>29085</v>
      </c>
      <c r="FG31" s="1437">
        <f t="shared" ref="FG31:FL31" si="4">MAX(0,FG29-FG30)</f>
        <v>12000</v>
      </c>
      <c r="FH31" s="1441"/>
      <c r="FI31" s="1441"/>
      <c r="FJ31" s="1437"/>
      <c r="FK31" s="1441">
        <f t="shared" si="4"/>
        <v>47</v>
      </c>
      <c r="FL31" s="1437">
        <f t="shared" si="4"/>
        <v>15000</v>
      </c>
      <c r="FM31" s="1441"/>
      <c r="FN31" s="2588"/>
      <c r="FO31" s="2588"/>
      <c r="FP31" s="2588"/>
      <c r="FQ31" s="2588"/>
      <c r="FR31" s="2588"/>
      <c r="FS31" s="2588"/>
      <c r="FT31" s="2588"/>
      <c r="FU31" s="2588"/>
      <c r="FV31" s="2588"/>
      <c r="FW31" s="2588"/>
      <c r="FX31" s="2588"/>
      <c r="FY31" s="2588"/>
      <c r="FZ31" s="2588"/>
      <c r="GA31" s="2588"/>
      <c r="GB31" s="2588"/>
      <c r="GC31" s="2588"/>
      <c r="GD31" s="2588"/>
      <c r="GE31" s="2588"/>
      <c r="GF31" s="2588"/>
      <c r="GG31" s="2588"/>
      <c r="GH31" s="2588"/>
      <c r="GI31" s="2588"/>
      <c r="GJ31" s="2588"/>
      <c r="GK31" s="2588"/>
      <c r="GL31" s="2588"/>
      <c r="GM31" s="2588"/>
      <c r="GN31" s="2588"/>
      <c r="GO31" s="2588"/>
      <c r="GP31" s="2588"/>
      <c r="GQ31" s="2588"/>
      <c r="GR31" s="2588"/>
      <c r="GS31" s="2588"/>
      <c r="GT31" s="2588"/>
      <c r="GU31" s="2588"/>
      <c r="GV31" s="2588"/>
      <c r="GW31" s="2588"/>
      <c r="GX31" s="2588"/>
      <c r="GY31" s="2588"/>
      <c r="GZ31" s="2588"/>
      <c r="HA31" s="2588"/>
      <c r="HB31" s="1437">
        <f>MAX(0,HB29-HB30)</f>
        <v>73000</v>
      </c>
      <c r="HC31" s="2588"/>
      <c r="HD31" s="2588"/>
      <c r="HE31" s="2588"/>
      <c r="HF31" s="2588"/>
      <c r="HG31" s="2588"/>
      <c r="HH31" s="2588"/>
      <c r="HI31" s="2588"/>
      <c r="HJ31" s="2588"/>
      <c r="HK31" s="2588"/>
      <c r="HL31" s="2588"/>
      <c r="HM31" s="2588"/>
      <c r="HN31" s="2588"/>
      <c r="HO31" s="2588"/>
      <c r="HP31" s="2588"/>
      <c r="HQ31" s="2588"/>
      <c r="HR31" s="2588"/>
      <c r="HS31" s="1437"/>
      <c r="HT31" s="2588"/>
      <c r="HU31" s="2588"/>
      <c r="HV31" s="2588"/>
      <c r="HW31" s="2588"/>
      <c r="HX31" s="2588"/>
      <c r="HY31" s="2588"/>
      <c r="HZ31" s="2588"/>
      <c r="IA31" s="2588"/>
      <c r="IB31" s="2588"/>
      <c r="IC31" s="2588"/>
      <c r="ID31" s="2588"/>
      <c r="IE31" s="2588"/>
      <c r="IF31" s="1437"/>
      <c r="IG31" s="2588"/>
      <c r="IH31" s="1437">
        <f>MAX(0,IH29-IH30)</f>
        <v>44715</v>
      </c>
      <c r="II31" s="1437"/>
      <c r="IJ31" s="1437"/>
      <c r="IK31" s="1441">
        <f t="shared" ref="IK31" si="5">MAX(0,IK29-IK30)</f>
        <v>220443</v>
      </c>
      <c r="IL31" s="2588"/>
      <c r="IM31" s="2588"/>
      <c r="IN31" s="2588"/>
      <c r="IO31" s="2588"/>
      <c r="IP31" s="2588"/>
      <c r="IQ31" s="2588"/>
      <c r="IR31" s="2588"/>
      <c r="IS31" s="1451">
        <v>2086</v>
      </c>
      <c r="IT31" s="2588"/>
      <c r="IU31" s="1441">
        <f>MAX(0,IU29-IU30)</f>
        <v>58025</v>
      </c>
      <c r="IV31" s="1437"/>
      <c r="IW31" s="1437"/>
      <c r="IX31" s="1437">
        <f>MAX(0,IX29-IX30)</f>
        <v>0</v>
      </c>
      <c r="IY31" s="1441">
        <f>MAX(0,IY29-IY30)</f>
        <v>5480</v>
      </c>
      <c r="IZ31" s="1437">
        <f>MAX(0,IZ29-IZ30)</f>
        <v>15000</v>
      </c>
      <c r="JA31" s="2588"/>
      <c r="JB31" s="2588"/>
      <c r="JC31" s="2588"/>
      <c r="JD31" s="1437">
        <f>MAX(0,JD29-JD30)</f>
        <v>13000</v>
      </c>
      <c r="JE31" s="2588"/>
      <c r="JF31" s="2588"/>
      <c r="JG31" s="2588"/>
      <c r="JH31" s="1437">
        <f>MAX(0,JH29-JH30)</f>
        <v>13000</v>
      </c>
      <c r="JI31" s="1437">
        <f>MAX(0,JI29-JI30)</f>
        <v>92500</v>
      </c>
      <c r="JJ31" s="2588"/>
      <c r="JK31" s="2588"/>
      <c r="JL31" s="2588"/>
      <c r="JM31" s="2588"/>
      <c r="JN31" s="2588"/>
      <c r="JO31" s="2588"/>
      <c r="JP31" s="2588"/>
      <c r="JQ31" s="2588"/>
      <c r="JR31" s="593"/>
      <c r="JS31" s="354"/>
      <c r="JT31" s="355" t="s">
        <v>2242</v>
      </c>
      <c r="JU31" s="355" t="s">
        <v>4301</v>
      </c>
      <c r="JV31" s="598"/>
    </row>
    <row r="32" spans="1:282" x14ac:dyDescent="0.25">
      <c r="A32" s="1367">
        <v>31</v>
      </c>
      <c r="B32" s="1684" t="str">
        <f t="shared" si="0"/>
        <v/>
      </c>
      <c r="C32" s="1689" t="s">
        <v>4307</v>
      </c>
      <c r="D32" s="1690" t="s">
        <v>3252</v>
      </c>
      <c r="E32" s="2589"/>
      <c r="F32" s="2589"/>
      <c r="G32" s="2589"/>
      <c r="H32" s="2589"/>
      <c r="I32" s="2589"/>
      <c r="J32" s="2589"/>
      <c r="K32" s="2589"/>
      <c r="L32" s="2589"/>
      <c r="M32" s="2589"/>
      <c r="N32" s="2589"/>
      <c r="O32" s="2589"/>
      <c r="P32" s="2589"/>
      <c r="Q32" s="2589"/>
      <c r="R32" s="2589"/>
      <c r="S32" s="2589"/>
      <c r="T32" s="2589"/>
      <c r="U32" s="2589"/>
      <c r="V32" s="2589"/>
      <c r="W32" s="2589"/>
      <c r="X32" s="2589"/>
      <c r="Y32" s="2589"/>
      <c r="Z32" s="2589"/>
      <c r="AA32" s="2589"/>
      <c r="AB32" s="2589"/>
      <c r="AC32" s="2589"/>
      <c r="AD32" s="2589"/>
      <c r="AE32" s="2589"/>
      <c r="AF32" s="2589"/>
      <c r="AG32" s="2589"/>
      <c r="AH32" s="2589"/>
      <c r="AI32" s="2589"/>
      <c r="AJ32" s="2589"/>
      <c r="AK32" s="2589"/>
      <c r="AL32" s="2589"/>
      <c r="AM32" s="2589"/>
      <c r="AN32" s="2589"/>
      <c r="AO32" s="2589"/>
      <c r="AP32" s="2589"/>
      <c r="AQ32" s="2589"/>
      <c r="AR32" s="2589"/>
      <c r="AS32" s="2589"/>
      <c r="AT32" s="2589"/>
      <c r="AU32" s="2589"/>
      <c r="AV32" s="2589"/>
      <c r="AW32" s="2589"/>
      <c r="AX32" s="2589"/>
      <c r="AY32" s="2589"/>
      <c r="AZ32" s="2589"/>
      <c r="BA32" s="2589"/>
      <c r="BB32" s="2589"/>
      <c r="BC32" s="2589"/>
      <c r="BD32" s="2589"/>
      <c r="BE32" s="2589"/>
      <c r="BF32" s="2589"/>
      <c r="BG32" s="2589"/>
      <c r="BH32" s="2589"/>
      <c r="BI32" s="2589"/>
      <c r="BJ32" s="2589"/>
      <c r="BK32" s="2589"/>
      <c r="BL32" s="2589"/>
      <c r="BM32" s="2589"/>
      <c r="BN32" s="2589"/>
      <c r="BO32" s="2589"/>
      <c r="BP32" s="2589"/>
      <c r="BQ32" s="2589"/>
      <c r="BR32" s="2589"/>
      <c r="BS32" s="2589"/>
      <c r="BT32" s="2589"/>
      <c r="BU32" s="2589"/>
      <c r="BV32" s="2589"/>
      <c r="BW32" s="2589"/>
      <c r="BX32" s="2589"/>
      <c r="BY32" s="2589"/>
      <c r="BZ32" s="2589"/>
      <c r="CA32" s="2589"/>
      <c r="CB32" s="2589"/>
      <c r="CC32" s="2589"/>
      <c r="CD32" s="2589"/>
      <c r="CE32" s="2589"/>
      <c r="CF32" s="2589"/>
      <c r="CG32" s="2589"/>
      <c r="CH32" s="2589"/>
      <c r="CI32" s="2589"/>
      <c r="CJ32" s="2589"/>
      <c r="CK32" s="2589"/>
      <c r="CL32" s="2589"/>
      <c r="CM32" s="2589"/>
      <c r="CN32" s="2589"/>
      <c r="CO32" s="2589"/>
      <c r="CP32" s="2589"/>
      <c r="CQ32" s="2589"/>
      <c r="CR32" s="2589"/>
      <c r="CS32" s="2589"/>
      <c r="CT32" s="2589"/>
      <c r="CU32" s="2589"/>
      <c r="CV32" s="2589"/>
      <c r="CW32" s="2589"/>
      <c r="CX32" s="2589"/>
      <c r="CY32" s="2589"/>
      <c r="CZ32" s="2589"/>
      <c r="DA32" s="2589"/>
      <c r="DB32" s="2589"/>
      <c r="DC32" s="2589"/>
      <c r="DD32" s="2589"/>
      <c r="DE32" s="2589"/>
      <c r="DF32" s="2589"/>
      <c r="DG32" s="2589"/>
      <c r="DH32" s="2589"/>
      <c r="DI32" s="2589"/>
      <c r="DJ32" s="2589"/>
      <c r="DK32" s="2589"/>
      <c r="DL32" s="2589"/>
      <c r="DM32" s="2589"/>
      <c r="DN32" s="2589"/>
      <c r="DO32" s="2589"/>
      <c r="DP32" s="2589"/>
      <c r="DQ32" s="2589"/>
      <c r="DR32" s="2589"/>
      <c r="DS32" s="2589"/>
      <c r="DT32" s="2589"/>
      <c r="DU32" s="2589"/>
      <c r="DV32" s="2589"/>
      <c r="DW32" s="2589"/>
      <c r="DX32" s="2589"/>
      <c r="DY32" s="2589"/>
      <c r="DZ32" s="2589"/>
      <c r="EA32" s="2589"/>
      <c r="EB32" s="2589"/>
      <c r="EC32" s="2589"/>
      <c r="ED32" s="2589"/>
      <c r="EE32" s="2589"/>
      <c r="EF32" s="2589"/>
      <c r="EG32" s="2589"/>
      <c r="EH32" s="2589"/>
      <c r="EI32" s="2589"/>
      <c r="EJ32" s="2589"/>
      <c r="EK32" s="2589"/>
      <c r="EL32" s="2589"/>
      <c r="EM32" s="2589"/>
      <c r="EN32" s="2589"/>
      <c r="EO32" s="2589"/>
      <c r="EP32" s="2589"/>
      <c r="EQ32" s="2589"/>
      <c r="ER32" s="2589"/>
      <c r="ES32" s="2589"/>
      <c r="ET32" s="2589"/>
      <c r="EU32" s="2589"/>
      <c r="EV32" s="2589"/>
      <c r="EW32" s="2589"/>
      <c r="EX32" s="2589"/>
      <c r="EY32" s="2589"/>
      <c r="EZ32" s="2589"/>
      <c r="FA32" s="2589"/>
      <c r="FB32" s="2589"/>
      <c r="FC32" s="2589"/>
      <c r="FD32" s="2589"/>
      <c r="FE32" s="2589"/>
      <c r="FF32" s="2589"/>
      <c r="FG32" s="1446"/>
      <c r="FH32" s="1446"/>
      <c r="FI32" s="1446"/>
      <c r="FJ32" s="1446"/>
      <c r="FK32" s="1446"/>
      <c r="FL32" s="1446"/>
      <c r="FM32" s="1446"/>
      <c r="FN32" s="2589"/>
      <c r="FO32" s="2589"/>
      <c r="FP32" s="2589"/>
      <c r="FQ32" s="2589"/>
      <c r="FR32" s="2589"/>
      <c r="FS32" s="2589"/>
      <c r="FT32" s="2589"/>
      <c r="FU32" s="2589"/>
      <c r="FV32" s="2589"/>
      <c r="FW32" s="2589"/>
      <c r="FX32" s="2589"/>
      <c r="FY32" s="2589"/>
      <c r="FZ32" s="2589"/>
      <c r="GA32" s="2589"/>
      <c r="GB32" s="2589"/>
      <c r="GC32" s="2589"/>
      <c r="GD32" s="2589"/>
      <c r="GE32" s="2589"/>
      <c r="GF32" s="2589"/>
      <c r="GG32" s="2589"/>
      <c r="GH32" s="2589"/>
      <c r="GI32" s="2589"/>
      <c r="GJ32" s="2589"/>
      <c r="GK32" s="2589"/>
      <c r="GL32" s="2589"/>
      <c r="GM32" s="2589"/>
      <c r="GN32" s="2589"/>
      <c r="GO32" s="2589"/>
      <c r="GP32" s="2589"/>
      <c r="GQ32" s="2589"/>
      <c r="GR32" s="2589"/>
      <c r="GS32" s="2589"/>
      <c r="GT32" s="2589"/>
      <c r="GU32" s="2589"/>
      <c r="GV32" s="2589"/>
      <c r="GW32" s="2589"/>
      <c r="GX32" s="2589"/>
      <c r="GY32" s="2589"/>
      <c r="GZ32" s="2589"/>
      <c r="HA32" s="2589"/>
      <c r="HB32" s="1446"/>
      <c r="HC32" s="2589"/>
      <c r="HD32" s="2589"/>
      <c r="HE32" s="2589"/>
      <c r="HF32" s="2589"/>
      <c r="HG32" s="2589"/>
      <c r="HH32" s="2589"/>
      <c r="HI32" s="2589"/>
      <c r="HJ32" s="2589"/>
      <c r="HK32" s="2589"/>
      <c r="HL32" s="2589"/>
      <c r="HM32" s="2589"/>
      <c r="HN32" s="2589"/>
      <c r="HO32" s="2589"/>
      <c r="HP32" s="2589"/>
      <c r="HQ32" s="2589"/>
      <c r="HR32" s="2589"/>
      <c r="HS32" s="1446"/>
      <c r="HT32" s="2589"/>
      <c r="HU32" s="2589"/>
      <c r="HV32" s="2589"/>
      <c r="HW32" s="2589"/>
      <c r="HX32" s="2589"/>
      <c r="HY32" s="2589"/>
      <c r="HZ32" s="2589"/>
      <c r="IA32" s="2589"/>
      <c r="IB32" s="2589"/>
      <c r="IC32" s="2589"/>
      <c r="ID32" s="2589"/>
      <c r="IE32" s="2589"/>
      <c r="IF32" s="1446"/>
      <c r="IG32" s="2589"/>
      <c r="IH32" s="1446"/>
      <c r="II32" s="2589"/>
      <c r="IJ32" s="2589"/>
      <c r="IK32" s="1451">
        <v>220443</v>
      </c>
      <c r="IL32" s="2589"/>
      <c r="IM32" s="2589"/>
      <c r="IN32" s="2589"/>
      <c r="IO32" s="2589"/>
      <c r="IP32" s="2589"/>
      <c r="IQ32" s="2589"/>
      <c r="IR32" s="2589"/>
      <c r="IS32" s="2589"/>
      <c r="IT32" s="2589"/>
      <c r="IU32" s="2589"/>
      <c r="IV32" s="2589"/>
      <c r="IW32" s="2589"/>
      <c r="IX32" s="1446"/>
      <c r="IY32" s="2589"/>
      <c r="IZ32" s="1446"/>
      <c r="JA32" s="2589"/>
      <c r="JB32" s="2589"/>
      <c r="JC32" s="2589"/>
      <c r="JD32" s="1446"/>
      <c r="JE32" s="2589"/>
      <c r="JF32" s="2589"/>
      <c r="JG32" s="2589"/>
      <c r="JH32" s="2589"/>
      <c r="JI32" s="2589"/>
      <c r="JJ32" s="2589"/>
      <c r="JK32" s="2589"/>
      <c r="JL32" s="2589"/>
      <c r="JM32" s="2589"/>
      <c r="JN32" s="2589"/>
      <c r="JO32" s="2589"/>
      <c r="JP32" s="2589"/>
      <c r="JQ32" s="2589"/>
      <c r="JR32" s="593"/>
      <c r="JS32" s="354"/>
      <c r="JT32" s="355"/>
      <c r="JU32" s="355"/>
      <c r="JV32" s="598"/>
    </row>
    <row r="33" spans="1:282" x14ac:dyDescent="0.25">
      <c r="A33" s="1367">
        <v>32</v>
      </c>
      <c r="B33" s="1684" t="str">
        <f t="shared" si="0"/>
        <v/>
      </c>
      <c r="C33" s="1688" t="s">
        <v>4308</v>
      </c>
      <c r="D33" s="1360" t="s">
        <v>4309</v>
      </c>
      <c r="E33" s="1673"/>
      <c r="F33" s="1673"/>
      <c r="G33" s="1673"/>
      <c r="H33" s="1673"/>
      <c r="I33" s="1673"/>
      <c r="J33" s="1673"/>
      <c r="K33" s="1673"/>
      <c r="L33" s="1673"/>
      <c r="M33" s="1673"/>
      <c r="N33" s="1673"/>
      <c r="O33" s="1673"/>
      <c r="P33" s="1673"/>
      <c r="Q33" s="1673"/>
      <c r="R33" s="1673"/>
      <c r="S33" s="1673"/>
      <c r="T33" s="1673"/>
      <c r="U33" s="1673"/>
      <c r="V33" s="1673"/>
      <c r="W33" s="1673"/>
      <c r="X33" s="1673"/>
      <c r="Y33" s="1673"/>
      <c r="Z33" s="1673"/>
      <c r="AA33" s="1673"/>
      <c r="AB33" s="1673"/>
      <c r="AC33" s="1673"/>
      <c r="AD33" s="1673"/>
      <c r="AE33" s="1673"/>
      <c r="AF33" s="1673"/>
      <c r="AG33" s="1673"/>
      <c r="AH33" s="1673"/>
      <c r="AI33" s="1673"/>
      <c r="AJ33" s="1673"/>
      <c r="AK33" s="1673"/>
      <c r="AL33" s="1673"/>
      <c r="AM33" s="1673"/>
      <c r="AN33" s="1673"/>
      <c r="AO33" s="1673"/>
      <c r="AP33" s="1673"/>
      <c r="AQ33" s="1673"/>
      <c r="AR33" s="1673"/>
      <c r="AS33" s="1673"/>
      <c r="AT33" s="1673"/>
      <c r="AU33" s="1673"/>
      <c r="AV33" s="1673"/>
      <c r="AW33" s="1673"/>
      <c r="AX33" s="1673"/>
      <c r="AY33" s="1673"/>
      <c r="AZ33" s="1673"/>
      <c r="BA33" s="1673"/>
      <c r="BB33" s="1673"/>
      <c r="BC33" s="1673"/>
      <c r="BD33" s="1673"/>
      <c r="BE33" s="1673"/>
      <c r="BF33" s="1673"/>
      <c r="BG33" s="1673"/>
      <c r="BH33" s="1673"/>
      <c r="BI33" s="1673"/>
      <c r="BJ33" s="1673"/>
      <c r="BK33" s="1673"/>
      <c r="BL33" s="1673"/>
      <c r="BM33" s="1673"/>
      <c r="BN33" s="1673"/>
      <c r="BO33" s="1673"/>
      <c r="BP33" s="1673"/>
      <c r="BQ33" s="1673"/>
      <c r="BR33" s="1673"/>
      <c r="BS33" s="1673"/>
      <c r="BT33" s="1673"/>
      <c r="BU33" s="1673"/>
      <c r="BV33" s="1673"/>
      <c r="BW33" s="1673"/>
      <c r="BX33" s="1673"/>
      <c r="BY33" s="1673"/>
      <c r="BZ33" s="1673"/>
      <c r="CA33" s="1673"/>
      <c r="CB33" s="1673"/>
      <c r="CC33" s="1673"/>
      <c r="CD33" s="1673"/>
      <c r="CE33" s="1673"/>
      <c r="CF33" s="1673"/>
      <c r="CG33" s="1673"/>
      <c r="CH33" s="1673"/>
      <c r="CI33" s="1673"/>
      <c r="CJ33" s="1673"/>
      <c r="CK33" s="1673"/>
      <c r="CL33" s="1673"/>
      <c r="CM33" s="1673"/>
      <c r="CN33" s="1673"/>
      <c r="CO33" s="1673"/>
      <c r="CP33" s="1673"/>
      <c r="CQ33" s="1673"/>
      <c r="CR33" s="1673"/>
      <c r="CS33" s="1673"/>
      <c r="CT33" s="1673"/>
      <c r="CU33" s="1673"/>
      <c r="CV33" s="1673"/>
      <c r="CW33" s="1673"/>
      <c r="CX33" s="1673"/>
      <c r="CY33" s="1673"/>
      <c r="CZ33" s="1673"/>
      <c r="DA33" s="1673"/>
      <c r="DB33" s="1673"/>
      <c r="DC33" s="1673"/>
      <c r="DD33" s="1673"/>
      <c r="DE33" s="1673"/>
      <c r="DF33" s="1673"/>
      <c r="DG33" s="1673"/>
      <c r="DH33" s="1673"/>
      <c r="DI33" s="1673"/>
      <c r="DJ33" s="1673"/>
      <c r="DK33" s="1673"/>
      <c r="DL33" s="1673"/>
      <c r="DM33" s="1673"/>
      <c r="DN33" s="1673"/>
      <c r="DO33" s="1673"/>
      <c r="DP33" s="1673"/>
      <c r="DQ33" s="1673"/>
      <c r="DR33" s="1673"/>
      <c r="DS33" s="1673"/>
      <c r="DT33" s="1673"/>
      <c r="DU33" s="1673"/>
      <c r="DV33" s="1673"/>
      <c r="DW33" s="1673"/>
      <c r="DX33" s="1673"/>
      <c r="DY33" s="1673"/>
      <c r="DZ33" s="1673"/>
      <c r="EA33" s="1673"/>
      <c r="EB33" s="1673"/>
      <c r="EC33" s="1673"/>
      <c r="ED33" s="1673"/>
      <c r="EE33" s="1673"/>
      <c r="EF33" s="1673"/>
      <c r="EG33" s="1673"/>
      <c r="EH33" s="1673"/>
      <c r="EI33" s="1673"/>
      <c r="EJ33" s="1673"/>
      <c r="EK33" s="1673"/>
      <c r="EL33" s="1673"/>
      <c r="EM33" s="1673"/>
      <c r="EN33" s="1673"/>
      <c r="EO33" s="1673"/>
      <c r="EP33" s="1673"/>
      <c r="EQ33" s="1673"/>
      <c r="ER33" s="1673"/>
      <c r="ES33" s="1673"/>
      <c r="ET33" s="1673"/>
      <c r="EU33" s="1673"/>
      <c r="EV33" s="1673"/>
      <c r="EW33" s="1673"/>
      <c r="EX33" s="1673"/>
      <c r="EY33" s="1673"/>
      <c r="EZ33" s="1673"/>
      <c r="FA33" s="1673"/>
      <c r="FB33" s="1673"/>
      <c r="FC33" s="1673"/>
      <c r="FD33" s="1673"/>
      <c r="FE33" s="1673"/>
      <c r="FF33" s="1673"/>
      <c r="FG33" s="1691">
        <v>12000</v>
      </c>
      <c r="FH33" s="1691"/>
      <c r="FI33" s="1694"/>
      <c r="FJ33" s="1691"/>
      <c r="FK33" s="1691"/>
      <c r="FL33" s="1691"/>
      <c r="FM33" s="1691"/>
      <c r="FN33" s="1691"/>
      <c r="FO33" s="1691"/>
      <c r="FP33" s="1691"/>
      <c r="FQ33" s="1691"/>
      <c r="FR33" s="1686"/>
      <c r="FS33" s="1686"/>
      <c r="FT33" s="1686"/>
      <c r="FU33" s="1686"/>
      <c r="FV33" s="1686"/>
      <c r="FW33" s="1686"/>
      <c r="FX33" s="1686"/>
      <c r="FY33" s="1686"/>
      <c r="FZ33" s="1686"/>
      <c r="GA33" s="1686"/>
      <c r="GB33" s="1686"/>
      <c r="GC33" s="1686"/>
      <c r="GD33" s="1686"/>
      <c r="GE33" s="1686"/>
      <c r="GF33" s="1686"/>
      <c r="GG33" s="1686"/>
      <c r="GH33" s="1686"/>
      <c r="GI33" s="1686"/>
      <c r="GJ33" s="1686"/>
      <c r="GK33" s="1686"/>
      <c r="GL33" s="1686"/>
      <c r="GM33" s="1686"/>
      <c r="GN33" s="1686"/>
      <c r="GO33" s="1686"/>
      <c r="GP33" s="1686"/>
      <c r="GQ33" s="1686"/>
      <c r="GR33" s="1686"/>
      <c r="GS33" s="1686"/>
      <c r="GT33" s="1686"/>
      <c r="GU33" s="1686"/>
      <c r="GV33" s="1686"/>
      <c r="GW33" s="1686"/>
      <c r="GX33" s="1686"/>
      <c r="GY33" s="1686"/>
      <c r="GZ33" s="1686"/>
      <c r="HA33" s="1686"/>
      <c r="HB33" s="1691"/>
      <c r="HC33" s="1686"/>
      <c r="HD33" s="1686"/>
      <c r="HE33" s="1686"/>
      <c r="HF33" s="1686"/>
      <c r="HG33" s="1686"/>
      <c r="HH33" s="1686"/>
      <c r="HI33" s="1686"/>
      <c r="HJ33" s="1686"/>
      <c r="HK33" s="1686"/>
      <c r="HL33" s="1686"/>
      <c r="HM33" s="1686"/>
      <c r="HN33" s="1686"/>
      <c r="HO33" s="1686"/>
      <c r="HP33" s="1686"/>
      <c r="HQ33" s="1686"/>
      <c r="HR33" s="1686"/>
      <c r="HS33" s="1691"/>
      <c r="HT33" s="1686"/>
      <c r="HU33" s="1686"/>
      <c r="HV33" s="1686"/>
      <c r="HW33" s="1686"/>
      <c r="HX33" s="1686"/>
      <c r="HY33" s="1686"/>
      <c r="HZ33" s="1686"/>
      <c r="IA33" s="1686"/>
      <c r="IB33" s="1686"/>
      <c r="IC33" s="1686"/>
      <c r="ID33" s="1686"/>
      <c r="IE33" s="1686"/>
      <c r="IF33" s="1691"/>
      <c r="IG33" s="1686"/>
      <c r="IH33" s="1691"/>
      <c r="II33" s="1686"/>
      <c r="IJ33" s="1686"/>
      <c r="IK33" s="1686"/>
      <c r="IL33" s="1686"/>
      <c r="IM33" s="1686"/>
      <c r="IN33" s="1686"/>
      <c r="IO33" s="1686"/>
      <c r="IP33" s="1686"/>
      <c r="IQ33" s="1686"/>
      <c r="IR33" s="1686"/>
      <c r="IS33" s="1686"/>
      <c r="IT33" s="1686"/>
      <c r="IU33" s="1686"/>
      <c r="IV33" s="1686"/>
      <c r="IW33" s="1686"/>
      <c r="IX33" s="1691"/>
      <c r="IY33" s="1686"/>
      <c r="IZ33" s="1691"/>
      <c r="JA33" s="1686"/>
      <c r="JB33" s="1686"/>
      <c r="JC33" s="1686"/>
      <c r="JD33" s="1691"/>
      <c r="JE33" s="1686"/>
      <c r="JF33" s="1686"/>
      <c r="JG33" s="1686"/>
      <c r="JH33" s="1686"/>
      <c r="JI33" s="1686"/>
      <c r="JJ33" s="1686"/>
      <c r="JK33" s="1686"/>
      <c r="JL33" s="1686"/>
      <c r="JM33" s="1686"/>
      <c r="JN33" s="1686"/>
      <c r="JO33" s="1686"/>
      <c r="JP33" s="1686"/>
      <c r="JQ33" s="1686"/>
      <c r="JR33" s="593"/>
      <c r="JS33" s="354"/>
      <c r="JT33" s="355"/>
      <c r="JU33" s="355"/>
      <c r="JV33" s="598"/>
    </row>
    <row r="34" spans="1:282" x14ac:dyDescent="0.25">
      <c r="A34" s="1367">
        <v>33</v>
      </c>
      <c r="B34" s="1684" t="str">
        <f t="shared" si="0"/>
        <v/>
      </c>
      <c r="C34" s="1688" t="s">
        <v>4310</v>
      </c>
      <c r="D34" s="1360" t="s">
        <v>4311</v>
      </c>
      <c r="E34" s="1673"/>
      <c r="F34" s="1673"/>
      <c r="G34" s="1673"/>
      <c r="H34" s="1673"/>
      <c r="I34" s="1673"/>
      <c r="J34" s="1673"/>
      <c r="K34" s="1673"/>
      <c r="L34" s="1673"/>
      <c r="M34" s="1673"/>
      <c r="N34" s="1673"/>
      <c r="O34" s="1673"/>
      <c r="P34" s="1673"/>
      <c r="Q34" s="1673"/>
      <c r="R34" s="1673"/>
      <c r="S34" s="1673"/>
      <c r="T34" s="1673"/>
      <c r="U34" s="1673"/>
      <c r="V34" s="1673"/>
      <c r="W34" s="1673"/>
      <c r="X34" s="1673"/>
      <c r="Y34" s="1673"/>
      <c r="Z34" s="1673"/>
      <c r="AA34" s="1673"/>
      <c r="AB34" s="1673"/>
      <c r="AC34" s="1673"/>
      <c r="AD34" s="1673"/>
      <c r="AE34" s="1673"/>
      <c r="AF34" s="1673"/>
      <c r="AG34" s="1673"/>
      <c r="AH34" s="1673"/>
      <c r="AI34" s="1673"/>
      <c r="AJ34" s="1673"/>
      <c r="AK34" s="1673"/>
      <c r="AL34" s="1673"/>
      <c r="AM34" s="1673"/>
      <c r="AN34" s="1673"/>
      <c r="AO34" s="1673"/>
      <c r="AP34" s="1673"/>
      <c r="AQ34" s="1673"/>
      <c r="AR34" s="1673"/>
      <c r="AS34" s="1673"/>
      <c r="AT34" s="1673"/>
      <c r="AU34" s="1673"/>
      <c r="AV34" s="1673"/>
      <c r="AW34" s="1673"/>
      <c r="AX34" s="1673"/>
      <c r="AY34" s="1673"/>
      <c r="AZ34" s="1673"/>
      <c r="BA34" s="1673"/>
      <c r="BB34" s="1673"/>
      <c r="BC34" s="1673"/>
      <c r="BD34" s="1673"/>
      <c r="BE34" s="1673"/>
      <c r="BF34" s="1673"/>
      <c r="BG34" s="1673"/>
      <c r="BH34" s="1673"/>
      <c r="BI34" s="1673"/>
      <c r="BJ34" s="1673"/>
      <c r="BK34" s="1673"/>
      <c r="BL34" s="1673"/>
      <c r="BM34" s="1673"/>
      <c r="BN34" s="1673"/>
      <c r="BO34" s="1673"/>
      <c r="BP34" s="1673"/>
      <c r="BQ34" s="1673"/>
      <c r="BR34" s="1673"/>
      <c r="BS34" s="1673"/>
      <c r="BT34" s="1673"/>
      <c r="BU34" s="1673"/>
      <c r="BV34" s="1673"/>
      <c r="BW34" s="1673"/>
      <c r="BX34" s="1673"/>
      <c r="BY34" s="1673"/>
      <c r="BZ34" s="1673"/>
      <c r="CA34" s="1673"/>
      <c r="CB34" s="1673"/>
      <c r="CC34" s="1673"/>
      <c r="CD34" s="1673"/>
      <c r="CE34" s="1673"/>
      <c r="CF34" s="1673"/>
      <c r="CG34" s="1673"/>
      <c r="CH34" s="1673"/>
      <c r="CI34" s="1673"/>
      <c r="CJ34" s="1673"/>
      <c r="CK34" s="1673"/>
      <c r="CL34" s="1673"/>
      <c r="CM34" s="1673"/>
      <c r="CN34" s="1673"/>
      <c r="CO34" s="1673"/>
      <c r="CP34" s="1673"/>
      <c r="CQ34" s="1673"/>
      <c r="CR34" s="1673"/>
      <c r="CS34" s="1673"/>
      <c r="CT34" s="1673"/>
      <c r="CU34" s="1673"/>
      <c r="CV34" s="1673"/>
      <c r="CW34" s="1673"/>
      <c r="CX34" s="1673"/>
      <c r="CY34" s="1673"/>
      <c r="CZ34" s="1673"/>
      <c r="DA34" s="1673"/>
      <c r="DB34" s="1673"/>
      <c r="DC34" s="1673"/>
      <c r="DD34" s="1673"/>
      <c r="DE34" s="1673"/>
      <c r="DF34" s="1673"/>
      <c r="DG34" s="1673"/>
      <c r="DH34" s="1673"/>
      <c r="DI34" s="1673"/>
      <c r="DJ34" s="1673"/>
      <c r="DK34" s="1673"/>
      <c r="DL34" s="1673"/>
      <c r="DM34" s="1673"/>
      <c r="DN34" s="1673"/>
      <c r="DO34" s="1673"/>
      <c r="DP34" s="1673"/>
      <c r="DQ34" s="1673"/>
      <c r="DR34" s="1673"/>
      <c r="DS34" s="1673"/>
      <c r="DT34" s="1673"/>
      <c r="DU34" s="1673"/>
      <c r="DV34" s="1673"/>
      <c r="DW34" s="1673"/>
      <c r="DX34" s="1673"/>
      <c r="DY34" s="1673"/>
      <c r="DZ34" s="1673"/>
      <c r="EA34" s="1673"/>
      <c r="EB34" s="1673"/>
      <c r="EC34" s="1673"/>
      <c r="ED34" s="1673"/>
      <c r="EE34" s="1673"/>
      <c r="EF34" s="1673"/>
      <c r="EG34" s="1673"/>
      <c r="EH34" s="1673"/>
      <c r="EI34" s="1673"/>
      <c r="EJ34" s="1673"/>
      <c r="EK34" s="1673"/>
      <c r="EL34" s="1673"/>
      <c r="EM34" s="1673"/>
      <c r="EN34" s="1673"/>
      <c r="EO34" s="1673"/>
      <c r="EP34" s="1673"/>
      <c r="EQ34" s="1673"/>
      <c r="ER34" s="1673"/>
      <c r="ES34" s="1673"/>
      <c r="ET34" s="1673"/>
      <c r="EU34" s="1673"/>
      <c r="EV34" s="1673"/>
      <c r="EW34" s="1673"/>
      <c r="EX34" s="1673"/>
      <c r="EY34" s="1673"/>
      <c r="EZ34" s="1673"/>
      <c r="FA34" s="1673"/>
      <c r="FB34" s="1673"/>
      <c r="FC34" s="1673"/>
      <c r="FD34" s="1673"/>
      <c r="FE34" s="1673"/>
      <c r="FF34" s="1673"/>
      <c r="FG34" s="1691">
        <v>12000</v>
      </c>
      <c r="FH34" s="1694"/>
      <c r="FI34" s="1691"/>
      <c r="FJ34" s="1691"/>
      <c r="FK34" s="1691"/>
      <c r="FL34" s="1691"/>
      <c r="FM34" s="1691"/>
      <c r="FN34" s="1691"/>
      <c r="FO34" s="1691"/>
      <c r="FP34" s="1691"/>
      <c r="FQ34" s="1691"/>
      <c r="FR34" s="1686"/>
      <c r="FS34" s="1686"/>
      <c r="FT34" s="1686"/>
      <c r="FU34" s="1686"/>
      <c r="FV34" s="1686"/>
      <c r="FW34" s="1686"/>
      <c r="FX34" s="1686"/>
      <c r="FY34" s="1686"/>
      <c r="FZ34" s="1686"/>
      <c r="GA34" s="1686"/>
      <c r="GB34" s="1686"/>
      <c r="GC34" s="1686"/>
      <c r="GD34" s="1686"/>
      <c r="GE34" s="1686"/>
      <c r="GF34" s="1686"/>
      <c r="GG34" s="1686"/>
      <c r="GH34" s="1686"/>
      <c r="GI34" s="1686"/>
      <c r="GJ34" s="1686"/>
      <c r="GK34" s="1686"/>
      <c r="GL34" s="1686"/>
      <c r="GM34" s="1686"/>
      <c r="GN34" s="1686"/>
      <c r="GO34" s="1686"/>
      <c r="GP34" s="1686"/>
      <c r="GQ34" s="1686"/>
      <c r="GR34" s="1686"/>
      <c r="GS34" s="1686"/>
      <c r="GT34" s="1686"/>
      <c r="GU34" s="1686"/>
      <c r="GV34" s="1686"/>
      <c r="GW34" s="1686"/>
      <c r="GX34" s="1686"/>
      <c r="GY34" s="1686"/>
      <c r="GZ34" s="1686"/>
      <c r="HA34" s="1686"/>
      <c r="HB34" s="1691"/>
      <c r="HC34" s="1686"/>
      <c r="HD34" s="1686"/>
      <c r="HE34" s="1686"/>
      <c r="HF34" s="1686"/>
      <c r="HG34" s="1686"/>
      <c r="HH34" s="1686"/>
      <c r="HI34" s="1686"/>
      <c r="HJ34" s="1686"/>
      <c r="HK34" s="1686"/>
      <c r="HL34" s="1686"/>
      <c r="HM34" s="1686"/>
      <c r="HN34" s="1686"/>
      <c r="HO34" s="1686"/>
      <c r="HP34" s="1686"/>
      <c r="HQ34" s="1686"/>
      <c r="HR34" s="1686"/>
      <c r="HS34" s="1691"/>
      <c r="HT34" s="1686"/>
      <c r="HU34" s="1686"/>
      <c r="HV34" s="1686"/>
      <c r="HW34" s="1686"/>
      <c r="HX34" s="1686"/>
      <c r="HY34" s="1686"/>
      <c r="HZ34" s="1686"/>
      <c r="IA34" s="1686"/>
      <c r="IB34" s="1686"/>
      <c r="IC34" s="1686"/>
      <c r="ID34" s="1686"/>
      <c r="IE34" s="1686"/>
      <c r="IF34" s="1691"/>
      <c r="IG34" s="1686"/>
      <c r="IH34" s="1691"/>
      <c r="II34" s="1686"/>
      <c r="IJ34" s="1686"/>
      <c r="IK34" s="1686"/>
      <c r="IL34" s="1686"/>
      <c r="IM34" s="1686"/>
      <c r="IN34" s="1686"/>
      <c r="IO34" s="1686"/>
      <c r="IP34" s="1686"/>
      <c r="IQ34" s="1686"/>
      <c r="IR34" s="1686"/>
      <c r="IS34" s="1686"/>
      <c r="IT34" s="1686"/>
      <c r="IU34" s="1686"/>
      <c r="IV34" s="1686"/>
      <c r="IW34" s="1686"/>
      <c r="IX34" s="1691"/>
      <c r="IY34" s="1686"/>
      <c r="IZ34" s="1691"/>
      <c r="JA34" s="1686"/>
      <c r="JB34" s="1686"/>
      <c r="JC34" s="1686"/>
      <c r="JD34" s="1691"/>
      <c r="JE34" s="1686"/>
      <c r="JF34" s="1686"/>
      <c r="JG34" s="1686"/>
      <c r="JH34" s="1686"/>
      <c r="JI34" s="1686"/>
      <c r="JJ34" s="1686"/>
      <c r="JK34" s="1686"/>
      <c r="JL34" s="1686"/>
      <c r="JM34" s="1686"/>
      <c r="JN34" s="1686"/>
      <c r="JO34" s="1686"/>
      <c r="JP34" s="1686"/>
      <c r="JQ34" s="1686"/>
      <c r="JR34" s="593"/>
      <c r="JS34" s="354"/>
      <c r="JT34" s="355"/>
      <c r="JU34" s="355"/>
      <c r="JV34" s="598"/>
    </row>
    <row r="35" spans="1:282" x14ac:dyDescent="0.25">
      <c r="A35" s="1367">
        <v>34</v>
      </c>
      <c r="B35" s="1684" t="str">
        <f t="shared" ref="B35:B66" si="6">IF(CGT_IND&gt;1,IF(HLOOKUP(CGT_IND-1,CGT_RANGE,A35)="","",HLOOKUP(CGT_IND-1,CGT_RANGE,A35)),"")</f>
        <v/>
      </c>
      <c r="C35" s="1688" t="s">
        <v>4312</v>
      </c>
      <c r="D35" s="1360" t="s">
        <v>4313</v>
      </c>
      <c r="E35" s="1673"/>
      <c r="F35" s="1673"/>
      <c r="G35" s="1673"/>
      <c r="H35" s="1673"/>
      <c r="I35" s="1673"/>
      <c r="J35" s="1673"/>
      <c r="K35" s="1673"/>
      <c r="L35" s="1673"/>
      <c r="M35" s="1673"/>
      <c r="N35" s="1673"/>
      <c r="O35" s="1673"/>
      <c r="P35" s="1673"/>
      <c r="Q35" s="1673"/>
      <c r="R35" s="1673"/>
      <c r="S35" s="1673"/>
      <c r="T35" s="1673"/>
      <c r="U35" s="1673"/>
      <c r="V35" s="1673"/>
      <c r="W35" s="1673"/>
      <c r="X35" s="1673"/>
      <c r="Y35" s="1673"/>
      <c r="Z35" s="1673"/>
      <c r="AA35" s="1673"/>
      <c r="AB35" s="1673"/>
      <c r="AC35" s="1673"/>
      <c r="AD35" s="1673"/>
      <c r="AE35" s="1673"/>
      <c r="AF35" s="1673"/>
      <c r="AG35" s="1673"/>
      <c r="AH35" s="1673"/>
      <c r="AI35" s="1673"/>
      <c r="AJ35" s="1673"/>
      <c r="AK35" s="1673"/>
      <c r="AL35" s="1673"/>
      <c r="AM35" s="1673"/>
      <c r="AN35" s="1673"/>
      <c r="AO35" s="1673"/>
      <c r="AP35" s="1673"/>
      <c r="AQ35" s="1673"/>
      <c r="AR35" s="1673"/>
      <c r="AS35" s="1673"/>
      <c r="AT35" s="1673"/>
      <c r="AU35" s="1673"/>
      <c r="AV35" s="1673"/>
      <c r="AW35" s="1673"/>
      <c r="AX35" s="1673"/>
      <c r="AY35" s="1673"/>
      <c r="AZ35" s="1673"/>
      <c r="BA35" s="1673"/>
      <c r="BB35" s="1673"/>
      <c r="BC35" s="1673"/>
      <c r="BD35" s="1673"/>
      <c r="BE35" s="1673"/>
      <c r="BF35" s="1673"/>
      <c r="BG35" s="1673"/>
      <c r="BH35" s="1673"/>
      <c r="BI35" s="1673"/>
      <c r="BJ35" s="1673"/>
      <c r="BK35" s="1673"/>
      <c r="BL35" s="1673"/>
      <c r="BM35" s="1673"/>
      <c r="BN35" s="1673"/>
      <c r="BO35" s="1673"/>
      <c r="BP35" s="1673"/>
      <c r="BQ35" s="1673"/>
      <c r="BR35" s="1673"/>
      <c r="BS35" s="1673"/>
      <c r="BT35" s="1673"/>
      <c r="BU35" s="1673"/>
      <c r="BV35" s="1673"/>
      <c r="BW35" s="1673"/>
      <c r="BX35" s="1673"/>
      <c r="BY35" s="1673"/>
      <c r="BZ35" s="1673"/>
      <c r="CA35" s="1673"/>
      <c r="CB35" s="1673"/>
      <c r="CC35" s="1673"/>
      <c r="CD35" s="1673"/>
      <c r="CE35" s="1673"/>
      <c r="CF35" s="1673"/>
      <c r="CG35" s="1673"/>
      <c r="CH35" s="1673"/>
      <c r="CI35" s="1673"/>
      <c r="CJ35" s="1673"/>
      <c r="CK35" s="1673"/>
      <c r="CL35" s="1673"/>
      <c r="CM35" s="1673"/>
      <c r="CN35" s="1673"/>
      <c r="CO35" s="1673"/>
      <c r="CP35" s="1673"/>
      <c r="CQ35" s="1673"/>
      <c r="CR35" s="1673"/>
      <c r="CS35" s="1673"/>
      <c r="CT35" s="1673"/>
      <c r="CU35" s="1673"/>
      <c r="CV35" s="1673"/>
      <c r="CW35" s="1673"/>
      <c r="CX35" s="1673"/>
      <c r="CY35" s="1673"/>
      <c r="CZ35" s="1673"/>
      <c r="DA35" s="1673"/>
      <c r="DB35" s="1673"/>
      <c r="DC35" s="1673"/>
      <c r="DD35" s="1673"/>
      <c r="DE35" s="1673"/>
      <c r="DF35" s="1673"/>
      <c r="DG35" s="1673"/>
      <c r="DH35" s="1673"/>
      <c r="DI35" s="1673"/>
      <c r="DJ35" s="1673"/>
      <c r="DK35" s="1673"/>
      <c r="DL35" s="1673"/>
      <c r="DM35" s="1673"/>
      <c r="DN35" s="1673"/>
      <c r="DO35" s="1673"/>
      <c r="DP35" s="1673"/>
      <c r="DQ35" s="1673"/>
      <c r="DR35" s="1673"/>
      <c r="DS35" s="1673"/>
      <c r="DT35" s="1673"/>
      <c r="DU35" s="1673"/>
      <c r="DV35" s="1673"/>
      <c r="DW35" s="1673"/>
      <c r="DX35" s="1673"/>
      <c r="DY35" s="1673"/>
      <c r="DZ35" s="1673"/>
      <c r="EA35" s="1673"/>
      <c r="EB35" s="1673"/>
      <c r="EC35" s="1673"/>
      <c r="ED35" s="1673"/>
      <c r="EE35" s="1673"/>
      <c r="EF35" s="1673"/>
      <c r="EG35" s="1673"/>
      <c r="EH35" s="1673"/>
      <c r="EI35" s="1673"/>
      <c r="EJ35" s="1673"/>
      <c r="EK35" s="1673"/>
      <c r="EL35" s="1673"/>
      <c r="EM35" s="1673"/>
      <c r="EN35" s="1673"/>
      <c r="EO35" s="1673"/>
      <c r="EP35" s="1673"/>
      <c r="EQ35" s="1673"/>
      <c r="ER35" s="1673"/>
      <c r="ES35" s="1673"/>
      <c r="ET35" s="1673"/>
      <c r="EU35" s="1673"/>
      <c r="EV35" s="1673"/>
      <c r="EW35" s="1673"/>
      <c r="EX35" s="1673"/>
      <c r="EY35" s="1673"/>
      <c r="EZ35" s="1673"/>
      <c r="FA35" s="1673"/>
      <c r="FB35" s="1673"/>
      <c r="FC35" s="1673"/>
      <c r="FD35" s="1673"/>
      <c r="FE35" s="1673"/>
      <c r="FF35" s="1673"/>
      <c r="FG35" s="1691"/>
      <c r="FH35" s="1694"/>
      <c r="FI35" s="1691"/>
      <c r="FJ35" s="1691"/>
      <c r="FK35" s="1691"/>
      <c r="FL35" s="1691"/>
      <c r="FM35" s="1691"/>
      <c r="FN35" s="1691"/>
      <c r="FO35" s="1691"/>
      <c r="FP35" s="1691"/>
      <c r="FQ35" s="1691"/>
      <c r="FR35" s="1686"/>
      <c r="FS35" s="1686"/>
      <c r="FT35" s="1686"/>
      <c r="FU35" s="1686"/>
      <c r="FV35" s="1686"/>
      <c r="FW35" s="1686"/>
      <c r="FX35" s="1686"/>
      <c r="FY35" s="1686"/>
      <c r="FZ35" s="1686"/>
      <c r="GA35" s="1686"/>
      <c r="GB35" s="1686"/>
      <c r="GC35" s="1686"/>
      <c r="GD35" s="1686"/>
      <c r="GE35" s="1686"/>
      <c r="GF35" s="1686"/>
      <c r="GG35" s="1686"/>
      <c r="GH35" s="1686"/>
      <c r="GI35" s="1686"/>
      <c r="GJ35" s="1686"/>
      <c r="GK35" s="1686"/>
      <c r="GL35" s="1686"/>
      <c r="GM35" s="1686"/>
      <c r="GN35" s="1686"/>
      <c r="GO35" s="1686"/>
      <c r="GP35" s="1686"/>
      <c r="GQ35" s="1686"/>
      <c r="GR35" s="1686"/>
      <c r="GS35" s="1686"/>
      <c r="GT35" s="1686"/>
      <c r="GU35" s="1686"/>
      <c r="GV35" s="1686"/>
      <c r="GW35" s="1686"/>
      <c r="GX35" s="1686"/>
      <c r="GY35" s="1686"/>
      <c r="GZ35" s="1686"/>
      <c r="HA35" s="1686"/>
      <c r="HB35" s="1691"/>
      <c r="HC35" s="1686"/>
      <c r="HD35" s="1686"/>
      <c r="HE35" s="1686"/>
      <c r="HF35" s="1686"/>
      <c r="HG35" s="1686"/>
      <c r="HH35" s="1686"/>
      <c r="HI35" s="1686"/>
      <c r="HJ35" s="1686"/>
      <c r="HK35" s="1686"/>
      <c r="HL35" s="1686"/>
      <c r="HM35" s="1686"/>
      <c r="HN35" s="1686"/>
      <c r="HO35" s="1686"/>
      <c r="HP35" s="1686"/>
      <c r="HQ35" s="1686"/>
      <c r="HR35" s="1686"/>
      <c r="HS35" s="1691"/>
      <c r="HT35" s="1686"/>
      <c r="HU35" s="1686"/>
      <c r="HV35" s="1686"/>
      <c r="HW35" s="1686"/>
      <c r="HX35" s="1686"/>
      <c r="HY35" s="1686"/>
      <c r="HZ35" s="1686"/>
      <c r="IA35" s="1686"/>
      <c r="IB35" s="1686"/>
      <c r="IC35" s="1686"/>
      <c r="ID35" s="1686"/>
      <c r="IE35" s="1686"/>
      <c r="IF35" s="1691"/>
      <c r="IG35" s="1686"/>
      <c r="IH35" s="1691"/>
      <c r="II35" s="1686"/>
      <c r="IJ35" s="1686"/>
      <c r="IK35" s="1686"/>
      <c r="IL35" s="1686"/>
      <c r="IM35" s="1686"/>
      <c r="IN35" s="1686"/>
      <c r="IO35" s="1686"/>
      <c r="IP35" s="1686"/>
      <c r="IQ35" s="1686"/>
      <c r="IR35" s="1686"/>
      <c r="IS35" s="1686"/>
      <c r="IT35" s="1686"/>
      <c r="IU35" s="1686"/>
      <c r="IV35" s="1686"/>
      <c r="IW35" s="1686"/>
      <c r="IX35" s="1691"/>
      <c r="IY35" s="1686"/>
      <c r="IZ35" s="1691"/>
      <c r="JA35" s="1686"/>
      <c r="JB35" s="1686"/>
      <c r="JC35" s="1686"/>
      <c r="JD35" s="1691"/>
      <c r="JE35" s="1686"/>
      <c r="JF35" s="1686"/>
      <c r="JG35" s="1686"/>
      <c r="JH35" s="1686"/>
      <c r="JI35" s="1686"/>
      <c r="JJ35" s="1686"/>
      <c r="JK35" s="1686"/>
      <c r="JL35" s="1686"/>
      <c r="JM35" s="1686"/>
      <c r="JN35" s="1686"/>
      <c r="JO35" s="1686"/>
      <c r="JP35" s="1686"/>
      <c r="JQ35" s="1686"/>
      <c r="JR35" s="593"/>
      <c r="JS35" s="354"/>
      <c r="JT35" s="355"/>
      <c r="JU35" s="355"/>
      <c r="JV35" s="598"/>
    </row>
    <row r="36" spans="1:282" x14ac:dyDescent="0.25">
      <c r="A36" s="1367">
        <v>35</v>
      </c>
      <c r="B36" s="1684" t="str">
        <f t="shared" si="6"/>
        <v/>
      </c>
      <c r="C36" s="1688" t="s">
        <v>4314</v>
      </c>
      <c r="D36" s="1360" t="s">
        <v>4315</v>
      </c>
      <c r="E36" s="1673"/>
      <c r="F36" s="1673"/>
      <c r="G36" s="1673"/>
      <c r="H36" s="1673"/>
      <c r="I36" s="1673"/>
      <c r="J36" s="1673"/>
      <c r="K36" s="1673"/>
      <c r="L36" s="1673"/>
      <c r="M36" s="1673"/>
      <c r="N36" s="1673"/>
      <c r="O36" s="1673"/>
      <c r="P36" s="1673"/>
      <c r="Q36" s="1673"/>
      <c r="R36" s="1673"/>
      <c r="S36" s="1673"/>
      <c r="T36" s="1673"/>
      <c r="U36" s="1673"/>
      <c r="V36" s="1673"/>
      <c r="W36" s="1673"/>
      <c r="X36" s="1673"/>
      <c r="Y36" s="1673"/>
      <c r="Z36" s="1673"/>
      <c r="AA36" s="1673"/>
      <c r="AB36" s="1673"/>
      <c r="AC36" s="1673"/>
      <c r="AD36" s="1673"/>
      <c r="AE36" s="1673"/>
      <c r="AF36" s="1673"/>
      <c r="AG36" s="1673"/>
      <c r="AH36" s="1673"/>
      <c r="AI36" s="1673"/>
      <c r="AJ36" s="1673"/>
      <c r="AK36" s="1673"/>
      <c r="AL36" s="1673"/>
      <c r="AM36" s="1673"/>
      <c r="AN36" s="1673"/>
      <c r="AO36" s="1673"/>
      <c r="AP36" s="1673"/>
      <c r="AQ36" s="1673"/>
      <c r="AR36" s="1673"/>
      <c r="AS36" s="1673"/>
      <c r="AT36" s="1673"/>
      <c r="AU36" s="1673"/>
      <c r="AV36" s="1673"/>
      <c r="AW36" s="1673"/>
      <c r="AX36" s="1673"/>
      <c r="AY36" s="1673"/>
      <c r="AZ36" s="1673"/>
      <c r="BA36" s="1673"/>
      <c r="BB36" s="1673"/>
      <c r="BC36" s="1673"/>
      <c r="BD36" s="1673"/>
      <c r="BE36" s="1673"/>
      <c r="BF36" s="1673"/>
      <c r="BG36" s="1673"/>
      <c r="BH36" s="1673"/>
      <c r="BI36" s="1673"/>
      <c r="BJ36" s="1673"/>
      <c r="BK36" s="1673"/>
      <c r="BL36" s="1673"/>
      <c r="BM36" s="1673"/>
      <c r="BN36" s="1673"/>
      <c r="BO36" s="1673"/>
      <c r="BP36" s="1673"/>
      <c r="BQ36" s="1673"/>
      <c r="BR36" s="1673"/>
      <c r="BS36" s="1673"/>
      <c r="BT36" s="1673"/>
      <c r="BU36" s="1673"/>
      <c r="BV36" s="1673"/>
      <c r="BW36" s="1673"/>
      <c r="BX36" s="1673"/>
      <c r="BY36" s="1673"/>
      <c r="BZ36" s="1673"/>
      <c r="CA36" s="1673"/>
      <c r="CB36" s="1673"/>
      <c r="CC36" s="1673"/>
      <c r="CD36" s="1673"/>
      <c r="CE36" s="1673"/>
      <c r="CF36" s="1673"/>
      <c r="CG36" s="1673"/>
      <c r="CH36" s="1673"/>
      <c r="CI36" s="1673"/>
      <c r="CJ36" s="1673"/>
      <c r="CK36" s="1673"/>
      <c r="CL36" s="1673"/>
      <c r="CM36" s="1673"/>
      <c r="CN36" s="1673"/>
      <c r="CO36" s="1673"/>
      <c r="CP36" s="1673"/>
      <c r="CQ36" s="1673"/>
      <c r="CR36" s="1673"/>
      <c r="CS36" s="1673"/>
      <c r="CT36" s="1673"/>
      <c r="CU36" s="1673"/>
      <c r="CV36" s="1673"/>
      <c r="CW36" s="1673"/>
      <c r="CX36" s="1673"/>
      <c r="CY36" s="1673"/>
      <c r="CZ36" s="1673"/>
      <c r="DA36" s="1673"/>
      <c r="DB36" s="1673"/>
      <c r="DC36" s="1673"/>
      <c r="DD36" s="1673"/>
      <c r="DE36" s="1673"/>
      <c r="DF36" s="1673"/>
      <c r="DG36" s="1673"/>
      <c r="DH36" s="1673"/>
      <c r="DI36" s="1673"/>
      <c r="DJ36" s="1673"/>
      <c r="DK36" s="1673"/>
      <c r="DL36" s="1673"/>
      <c r="DM36" s="1673"/>
      <c r="DN36" s="1673"/>
      <c r="DO36" s="1673"/>
      <c r="DP36" s="1673"/>
      <c r="DQ36" s="1673"/>
      <c r="DR36" s="1673"/>
      <c r="DS36" s="1673"/>
      <c r="DT36" s="1673"/>
      <c r="DU36" s="1673"/>
      <c r="DV36" s="1673"/>
      <c r="DW36" s="1673"/>
      <c r="DX36" s="1673"/>
      <c r="DY36" s="1673"/>
      <c r="DZ36" s="1673"/>
      <c r="EA36" s="1673"/>
      <c r="EB36" s="1673"/>
      <c r="EC36" s="1673"/>
      <c r="ED36" s="1673"/>
      <c r="EE36" s="1673"/>
      <c r="EF36" s="1673"/>
      <c r="EG36" s="1673"/>
      <c r="EH36" s="1673"/>
      <c r="EI36" s="1673"/>
      <c r="EJ36" s="1673"/>
      <c r="EK36" s="1673"/>
      <c r="EL36" s="1673"/>
      <c r="EM36" s="1673"/>
      <c r="EN36" s="1673"/>
      <c r="EO36" s="1673"/>
      <c r="EP36" s="1673"/>
      <c r="EQ36" s="1673"/>
      <c r="ER36" s="1673"/>
      <c r="ES36" s="1673"/>
      <c r="ET36" s="1673"/>
      <c r="EU36" s="1673"/>
      <c r="EV36" s="1673"/>
      <c r="EW36" s="1673"/>
      <c r="EX36" s="1673"/>
      <c r="EY36" s="1673"/>
      <c r="EZ36" s="1673"/>
      <c r="FA36" s="1673"/>
      <c r="FB36" s="1673"/>
      <c r="FC36" s="1673"/>
      <c r="FD36" s="1673"/>
      <c r="FE36" s="1673"/>
      <c r="FF36" s="1673"/>
      <c r="FG36" s="1691"/>
      <c r="FH36" s="1694"/>
      <c r="FI36" s="1691"/>
      <c r="FJ36" s="1691"/>
      <c r="FK36" s="1691"/>
      <c r="FL36" s="1691"/>
      <c r="FM36" s="1691"/>
      <c r="FN36" s="1691"/>
      <c r="FO36" s="1691"/>
      <c r="FP36" s="1691"/>
      <c r="FQ36" s="1691"/>
      <c r="FR36" s="1686"/>
      <c r="FS36" s="1686"/>
      <c r="FT36" s="1686"/>
      <c r="FU36" s="1686"/>
      <c r="FV36" s="1686"/>
      <c r="FW36" s="1686"/>
      <c r="FX36" s="1686"/>
      <c r="FY36" s="1686"/>
      <c r="FZ36" s="1686"/>
      <c r="GA36" s="1686"/>
      <c r="GB36" s="1686"/>
      <c r="GC36" s="1686"/>
      <c r="GD36" s="1686"/>
      <c r="GE36" s="1686"/>
      <c r="GF36" s="1686"/>
      <c r="GG36" s="1686"/>
      <c r="GH36" s="1686"/>
      <c r="GI36" s="1686"/>
      <c r="GJ36" s="1686"/>
      <c r="GK36" s="1686"/>
      <c r="GL36" s="1686"/>
      <c r="GM36" s="1686"/>
      <c r="GN36" s="1686"/>
      <c r="GO36" s="1686"/>
      <c r="GP36" s="1686"/>
      <c r="GQ36" s="1686"/>
      <c r="GR36" s="1686"/>
      <c r="GS36" s="1686"/>
      <c r="GT36" s="1686"/>
      <c r="GU36" s="1686"/>
      <c r="GV36" s="1686"/>
      <c r="GW36" s="1686"/>
      <c r="GX36" s="1686"/>
      <c r="GY36" s="1686"/>
      <c r="GZ36" s="1686"/>
      <c r="HA36" s="1686"/>
      <c r="HB36" s="1691"/>
      <c r="HC36" s="1686"/>
      <c r="HD36" s="1686"/>
      <c r="HE36" s="1686"/>
      <c r="HF36" s="1686"/>
      <c r="HG36" s="1686"/>
      <c r="HH36" s="1686"/>
      <c r="HI36" s="1686"/>
      <c r="HJ36" s="1686"/>
      <c r="HK36" s="1686"/>
      <c r="HL36" s="1686"/>
      <c r="HM36" s="1686"/>
      <c r="HN36" s="1686"/>
      <c r="HO36" s="1686"/>
      <c r="HP36" s="1686"/>
      <c r="HQ36" s="1686"/>
      <c r="HR36" s="1686"/>
      <c r="HS36" s="1691"/>
      <c r="HT36" s="1686"/>
      <c r="HU36" s="1686"/>
      <c r="HV36" s="1686"/>
      <c r="HW36" s="1686"/>
      <c r="HX36" s="1686"/>
      <c r="HY36" s="1686"/>
      <c r="HZ36" s="1686"/>
      <c r="IA36" s="1686"/>
      <c r="IB36" s="1686"/>
      <c r="IC36" s="1686"/>
      <c r="ID36" s="1686"/>
      <c r="IE36" s="1686"/>
      <c r="IF36" s="1691"/>
      <c r="IG36" s="1686"/>
      <c r="IH36" s="1691"/>
      <c r="II36" s="1686"/>
      <c r="IJ36" s="1686"/>
      <c r="IK36" s="1686"/>
      <c r="IL36" s="1686"/>
      <c r="IM36" s="1686"/>
      <c r="IN36" s="1686"/>
      <c r="IO36" s="1686"/>
      <c r="IP36" s="1686"/>
      <c r="IQ36" s="1686"/>
      <c r="IR36" s="1686"/>
      <c r="IS36" s="1686"/>
      <c r="IT36" s="1686"/>
      <c r="IU36" s="1686"/>
      <c r="IV36" s="1686"/>
      <c r="IW36" s="1686"/>
      <c r="IX36" s="1691"/>
      <c r="IY36" s="1686"/>
      <c r="IZ36" s="1691"/>
      <c r="JA36" s="1686"/>
      <c r="JB36" s="1686"/>
      <c r="JC36" s="1686"/>
      <c r="JD36" s="1691"/>
      <c r="JE36" s="1686"/>
      <c r="JF36" s="1686"/>
      <c r="JG36" s="1686"/>
      <c r="JH36" s="1686"/>
      <c r="JI36" s="1686"/>
      <c r="JJ36" s="1686"/>
      <c r="JK36" s="1686"/>
      <c r="JL36" s="1686"/>
      <c r="JM36" s="1686"/>
      <c r="JN36" s="1686"/>
      <c r="JO36" s="1686"/>
      <c r="JP36" s="1686"/>
      <c r="JQ36" s="1686"/>
      <c r="JR36" s="593"/>
      <c r="JS36" s="354"/>
      <c r="JT36" s="355"/>
      <c r="JU36" s="355"/>
      <c r="JV36" s="598"/>
    </row>
    <row r="37" spans="1:282" x14ac:dyDescent="0.25">
      <c r="A37" s="1367">
        <v>36</v>
      </c>
      <c r="B37" s="1684" t="str">
        <f t="shared" si="6"/>
        <v/>
      </c>
      <c r="C37" s="1703" t="s">
        <v>4316</v>
      </c>
      <c r="D37" s="1704" t="s">
        <v>4317</v>
      </c>
      <c r="E37" s="2590"/>
      <c r="F37" s="1673"/>
      <c r="G37" s="1673"/>
      <c r="H37" s="1673"/>
      <c r="I37" s="1673"/>
      <c r="J37" s="1673"/>
      <c r="K37" s="1673"/>
      <c r="L37" s="1673"/>
      <c r="M37" s="1673"/>
      <c r="N37" s="1673"/>
      <c r="O37" s="1673"/>
      <c r="P37" s="1673"/>
      <c r="Q37" s="1673"/>
      <c r="R37" s="1673"/>
      <c r="S37" s="1673"/>
      <c r="T37" s="1673"/>
      <c r="U37" s="1673"/>
      <c r="V37" s="1673"/>
      <c r="W37" s="1673"/>
      <c r="X37" s="1673"/>
      <c r="Y37" s="1673"/>
      <c r="Z37" s="1673"/>
      <c r="AA37" s="1673"/>
      <c r="AB37" s="1673"/>
      <c r="AC37" s="1673"/>
      <c r="AD37" s="1673"/>
      <c r="AE37" s="1673"/>
      <c r="AF37" s="1673"/>
      <c r="AG37" s="1673"/>
      <c r="AH37" s="1673"/>
      <c r="AI37" s="1673"/>
      <c r="AJ37" s="1673"/>
      <c r="AK37" s="1675"/>
      <c r="AL37" s="1673"/>
      <c r="AM37" s="1673"/>
      <c r="AN37" s="1673"/>
      <c r="AO37" s="1674"/>
      <c r="AP37" s="1673"/>
      <c r="AQ37" s="1673"/>
      <c r="AR37" s="1673"/>
      <c r="AS37" s="1673"/>
      <c r="AT37" s="1673"/>
      <c r="AU37" s="1675"/>
      <c r="AV37" s="1673"/>
      <c r="AW37" s="1673"/>
      <c r="AX37" s="1673"/>
      <c r="AY37" s="1673"/>
      <c r="AZ37" s="1673"/>
      <c r="BA37" s="1673"/>
      <c r="BB37" s="1675"/>
      <c r="BC37" s="1673"/>
      <c r="BD37" s="1675"/>
      <c r="BE37" s="1673"/>
      <c r="BF37" s="1673"/>
      <c r="BG37" s="1674"/>
      <c r="BH37" s="1673"/>
      <c r="BI37" s="1673"/>
      <c r="BJ37" s="1673"/>
      <c r="BK37" s="1673"/>
      <c r="BL37" s="1673"/>
      <c r="BM37" s="1673"/>
      <c r="BN37" s="1673"/>
      <c r="BO37" s="1673"/>
      <c r="BP37" s="1675"/>
      <c r="BQ37" s="1673"/>
      <c r="BR37" s="1673"/>
      <c r="BS37" s="1673"/>
      <c r="BT37" s="1674"/>
      <c r="BU37" s="1675"/>
      <c r="BV37" s="1673"/>
      <c r="BW37" s="1675"/>
      <c r="BX37" s="1673"/>
      <c r="BY37" s="1673"/>
      <c r="BZ37" s="1675"/>
      <c r="CA37" s="1673"/>
      <c r="CB37" s="1673"/>
      <c r="CC37" s="1673"/>
      <c r="CD37" s="1675"/>
      <c r="CE37" s="1673"/>
      <c r="CF37" s="1673"/>
      <c r="CG37" s="1673"/>
      <c r="CH37" s="1673"/>
      <c r="CI37" s="1673"/>
      <c r="CJ37" s="1673"/>
      <c r="CK37" s="1673"/>
      <c r="CL37" s="1673"/>
      <c r="CM37" s="1673"/>
      <c r="CN37" s="1673"/>
      <c r="CO37" s="1673"/>
      <c r="CP37" s="1673"/>
      <c r="CQ37" s="1673"/>
      <c r="CR37" s="1673"/>
      <c r="CS37" s="1673"/>
      <c r="CT37" s="1675"/>
      <c r="CU37" s="1673"/>
      <c r="CV37" s="1673"/>
      <c r="CW37" s="1673"/>
      <c r="CX37" s="1673"/>
      <c r="CY37" s="1673"/>
      <c r="CZ37" s="1673"/>
      <c r="DA37" s="1675"/>
      <c r="DB37" s="1673"/>
      <c r="DC37" s="1675"/>
      <c r="DD37" s="1673"/>
      <c r="DE37" s="1673"/>
      <c r="DF37" s="1673"/>
      <c r="DG37" s="1675"/>
      <c r="DH37" s="1673"/>
      <c r="DI37" s="1673"/>
      <c r="DJ37" s="1675"/>
      <c r="DK37" s="1673"/>
      <c r="DL37" s="1673"/>
      <c r="DM37" s="1675">
        <v>8000</v>
      </c>
      <c r="DN37" s="1673"/>
      <c r="DO37" s="1674"/>
      <c r="DP37" s="1673"/>
      <c r="DQ37" s="1673"/>
      <c r="DR37" s="1673"/>
      <c r="DS37" s="1673"/>
      <c r="DT37" s="1673"/>
      <c r="DU37" s="1673"/>
      <c r="DV37" s="1673"/>
      <c r="DW37" s="1673"/>
      <c r="DX37" s="1673"/>
      <c r="DY37" s="1673"/>
      <c r="DZ37" s="1673"/>
      <c r="EA37" s="1673"/>
      <c r="EB37" s="1673"/>
      <c r="EC37" s="1673"/>
      <c r="ED37" s="1674"/>
      <c r="EE37" s="1674"/>
      <c r="EF37" s="1673"/>
      <c r="EG37" s="1674"/>
      <c r="EH37" s="1674"/>
      <c r="EI37" s="1673"/>
      <c r="EJ37" s="1673"/>
      <c r="EK37" s="1673"/>
      <c r="EL37" s="1673"/>
      <c r="EM37" s="1673"/>
      <c r="EN37" s="1673"/>
      <c r="EO37" s="1673"/>
      <c r="EP37" s="1673"/>
      <c r="EQ37" s="1673"/>
      <c r="ER37" s="1674"/>
      <c r="ES37" s="1673"/>
      <c r="ET37" s="1673"/>
      <c r="EU37" s="1673"/>
      <c r="EV37" s="1675"/>
      <c r="EW37" s="1673"/>
      <c r="EX37" s="2591">
        <v>496629</v>
      </c>
      <c r="EY37" s="1675">
        <v>8000</v>
      </c>
      <c r="EZ37" s="1673"/>
      <c r="FA37" s="1673"/>
      <c r="FB37" s="1673"/>
      <c r="FC37" s="1673"/>
      <c r="FD37" s="1673"/>
      <c r="FE37" s="1674"/>
      <c r="FF37" s="1674"/>
      <c r="FG37" s="1675"/>
      <c r="FH37" s="1675"/>
      <c r="FI37" s="1675"/>
      <c r="FJ37" s="1675"/>
      <c r="FK37" s="1675"/>
      <c r="FL37" s="1723">
        <v>98125.23</v>
      </c>
      <c r="FM37" s="1723"/>
      <c r="FN37" s="1674"/>
      <c r="FO37" s="1674"/>
      <c r="FP37" s="1674"/>
      <c r="FQ37" s="1673"/>
      <c r="FR37" s="1673"/>
      <c r="FS37" s="1673"/>
      <c r="FT37" s="1673"/>
      <c r="FU37" s="1673"/>
      <c r="FV37" s="1673"/>
      <c r="FW37" s="1673"/>
      <c r="FX37" s="1673"/>
      <c r="FY37" s="1673"/>
      <c r="FZ37" s="1673"/>
      <c r="GA37" s="1673"/>
      <c r="GB37" s="1673"/>
      <c r="GC37" s="1673"/>
      <c r="GD37" s="1673"/>
      <c r="GE37" s="1673"/>
      <c r="GF37" s="1673"/>
      <c r="GG37" s="1673"/>
      <c r="GH37" s="1673"/>
      <c r="GI37" s="1673"/>
      <c r="GJ37" s="1673"/>
      <c r="GK37" s="1673"/>
      <c r="GL37" s="1673"/>
      <c r="GM37" s="1673"/>
      <c r="GN37" s="1673"/>
      <c r="GO37" s="1673"/>
      <c r="GP37" s="1673"/>
      <c r="GQ37" s="1673"/>
      <c r="GR37" s="1673"/>
      <c r="GS37" s="1673"/>
      <c r="GT37" s="1673"/>
      <c r="GU37" s="1673"/>
      <c r="GV37" s="1673"/>
      <c r="GW37" s="1673"/>
      <c r="GX37" s="1673"/>
      <c r="GY37" s="1673"/>
      <c r="GZ37" s="1673"/>
      <c r="HA37" s="1673"/>
      <c r="HB37" s="1674"/>
      <c r="HC37" s="1673"/>
      <c r="HD37" s="1673"/>
      <c r="HE37" s="1673"/>
      <c r="HF37" s="1673"/>
      <c r="HG37" s="1674"/>
      <c r="HH37" s="1673"/>
      <c r="HI37" s="1674"/>
      <c r="HJ37" s="1674"/>
      <c r="HK37" s="1674"/>
      <c r="HL37" s="1674"/>
      <c r="HM37" s="1674"/>
      <c r="HN37" s="1673"/>
      <c r="HO37" s="1673"/>
      <c r="HP37" s="1674"/>
      <c r="HQ37" s="1673"/>
      <c r="HR37" s="1673"/>
      <c r="HS37" s="1674">
        <v>17654</v>
      </c>
      <c r="HT37" s="1673"/>
      <c r="HU37" s="1673"/>
      <c r="HV37" s="1673"/>
      <c r="HW37" s="1673"/>
      <c r="HX37" s="1673"/>
      <c r="HY37" s="1673"/>
      <c r="HZ37" s="1673"/>
      <c r="IA37" s="1673"/>
      <c r="IB37" s="1673"/>
      <c r="IC37" s="1673"/>
      <c r="ID37" s="1673"/>
      <c r="IE37" s="1673"/>
      <c r="IF37" s="1674"/>
      <c r="IG37" s="1673"/>
      <c r="IH37" s="1674"/>
      <c r="II37" s="1673"/>
      <c r="IJ37" s="1673"/>
      <c r="IK37" s="1673"/>
      <c r="IL37" s="1673"/>
      <c r="IM37" s="1673"/>
      <c r="IN37" s="1673"/>
      <c r="IO37" s="1673"/>
      <c r="IP37" s="1673"/>
      <c r="IQ37" s="1673"/>
      <c r="IR37" s="1673"/>
      <c r="IS37" s="1673"/>
      <c r="IT37" s="1673"/>
      <c r="IU37" s="1673"/>
      <c r="IV37" s="1673"/>
      <c r="IW37" s="1673"/>
      <c r="IX37" s="1723"/>
      <c r="IY37" s="1673"/>
      <c r="IZ37" s="1675">
        <v>8000</v>
      </c>
      <c r="JA37" s="1673"/>
      <c r="JB37" s="1673"/>
      <c r="JC37" s="1673"/>
      <c r="JD37" s="1674"/>
      <c r="JE37" s="1673"/>
      <c r="JF37" s="1673"/>
      <c r="JG37" s="1673"/>
      <c r="JH37" s="1673"/>
      <c r="JI37" s="1673"/>
      <c r="JJ37" s="1673"/>
      <c r="JK37" s="1673"/>
      <c r="JL37" s="1673"/>
      <c r="JM37" s="1673"/>
      <c r="JN37" s="1673"/>
      <c r="JO37" s="1673"/>
      <c r="JP37" s="1673"/>
      <c r="JQ37" s="1364"/>
      <c r="JR37" s="593"/>
      <c r="JS37" s="354"/>
      <c r="JT37" s="355" t="s">
        <v>2242</v>
      </c>
      <c r="JU37" s="598"/>
      <c r="JV37" s="598"/>
    </row>
    <row r="38" spans="1:282" x14ac:dyDescent="0.25">
      <c r="A38" s="1367">
        <v>37</v>
      </c>
      <c r="B38" s="1684" t="str">
        <f t="shared" si="6"/>
        <v/>
      </c>
      <c r="C38" s="1688" t="s">
        <v>4318</v>
      </c>
      <c r="D38" s="1360" t="s">
        <v>4294</v>
      </c>
      <c r="E38" s="1686"/>
      <c r="F38" s="1686"/>
      <c r="G38" s="1686"/>
      <c r="H38" s="1686"/>
      <c r="I38" s="1686"/>
      <c r="J38" s="1686"/>
      <c r="K38" s="1686"/>
      <c r="L38" s="1686"/>
      <c r="M38" s="1686"/>
      <c r="N38" s="1686"/>
      <c r="O38" s="1686"/>
      <c r="P38" s="1686"/>
      <c r="Q38" s="1686"/>
      <c r="R38" s="1686"/>
      <c r="S38" s="1686"/>
      <c r="T38" s="1686"/>
      <c r="U38" s="1686"/>
      <c r="V38" s="1686"/>
      <c r="W38" s="1686"/>
      <c r="X38" s="1686"/>
      <c r="Y38" s="1686"/>
      <c r="Z38" s="1686"/>
      <c r="AA38" s="1686"/>
      <c r="AB38" s="1686"/>
      <c r="AC38" s="1686"/>
      <c r="AD38" s="1686"/>
      <c r="AE38" s="1686"/>
      <c r="AF38" s="1686"/>
      <c r="AG38" s="1686"/>
      <c r="AH38" s="1686"/>
      <c r="AI38" s="1691"/>
      <c r="AJ38" s="1686"/>
      <c r="AK38" s="1691"/>
      <c r="AL38" s="1686"/>
      <c r="AM38" s="1686"/>
      <c r="AN38" s="1686"/>
      <c r="AO38" s="1691"/>
      <c r="AP38" s="1686"/>
      <c r="AQ38" s="1686"/>
      <c r="AR38" s="1686"/>
      <c r="AS38" s="1686"/>
      <c r="AT38" s="1686"/>
      <c r="AU38" s="1691"/>
      <c r="AV38" s="1686"/>
      <c r="AW38" s="1686"/>
      <c r="AX38" s="1686"/>
      <c r="AY38" s="1686"/>
      <c r="AZ38" s="1686"/>
      <c r="BA38" s="1686"/>
      <c r="BB38" s="1691"/>
      <c r="BC38" s="1686"/>
      <c r="BD38" s="1691"/>
      <c r="BE38" s="1686"/>
      <c r="BF38" s="1686"/>
      <c r="BG38" s="1694">
        <v>98400</v>
      </c>
      <c r="BH38" s="1686"/>
      <c r="BI38" s="1686"/>
      <c r="BJ38" s="1686"/>
      <c r="BK38" s="1686"/>
      <c r="BL38" s="1686"/>
      <c r="BM38" s="1686"/>
      <c r="BN38" s="1686"/>
      <c r="BO38" s="1686"/>
      <c r="BP38" s="1691"/>
      <c r="BQ38" s="1686"/>
      <c r="BR38" s="1686"/>
      <c r="BS38" s="1686"/>
      <c r="BT38" s="1691"/>
      <c r="BU38" s="1691"/>
      <c r="BV38" s="1686"/>
      <c r="BW38" s="1691"/>
      <c r="BX38" s="1686"/>
      <c r="BY38" s="1686"/>
      <c r="BZ38" s="1691"/>
      <c r="CA38" s="1686"/>
      <c r="CB38" s="1686"/>
      <c r="CC38" s="1686"/>
      <c r="CD38" s="1691"/>
      <c r="CE38" s="1686"/>
      <c r="CF38" s="1686"/>
      <c r="CG38" s="1686"/>
      <c r="CH38" s="1686"/>
      <c r="CI38" s="1686"/>
      <c r="CJ38" s="1686"/>
      <c r="CK38" s="1686"/>
      <c r="CL38" s="1686"/>
      <c r="CM38" s="1686"/>
      <c r="CN38" s="1686"/>
      <c r="CO38" s="1686"/>
      <c r="CP38" s="1686"/>
      <c r="CQ38" s="1686"/>
      <c r="CR38" s="1686"/>
      <c r="CS38" s="1686"/>
      <c r="CT38" s="1691"/>
      <c r="CU38" s="1686"/>
      <c r="CV38" s="1686"/>
      <c r="CW38" s="1686"/>
      <c r="CX38" s="1686"/>
      <c r="CY38" s="1686"/>
      <c r="CZ38" s="1686"/>
      <c r="DA38" s="1691"/>
      <c r="DB38" s="1686"/>
      <c r="DC38" s="1691"/>
      <c r="DD38" s="1686"/>
      <c r="DE38" s="1686"/>
      <c r="DF38" s="1686"/>
      <c r="DG38" s="1691"/>
      <c r="DH38" s="1686"/>
      <c r="DI38" s="1686"/>
      <c r="DJ38" s="1691"/>
      <c r="DK38" s="1686"/>
      <c r="DL38" s="1686"/>
      <c r="DM38" s="1691"/>
      <c r="DN38" s="1686"/>
      <c r="DO38" s="1691"/>
      <c r="DP38" s="1686"/>
      <c r="DQ38" s="1686"/>
      <c r="DR38" s="1686"/>
      <c r="DS38" s="1686"/>
      <c r="DT38" s="1686"/>
      <c r="DU38" s="1686"/>
      <c r="DV38" s="1686"/>
      <c r="DW38" s="1693">
        <v>37509</v>
      </c>
      <c r="DX38" s="1686"/>
      <c r="DY38" s="1686"/>
      <c r="DZ38" s="1686"/>
      <c r="EA38" s="1686"/>
      <c r="EB38" s="1686"/>
      <c r="EC38" s="1686"/>
      <c r="ED38" s="1691"/>
      <c r="EE38" s="1691"/>
      <c r="EF38" s="1686"/>
      <c r="EG38" s="1691"/>
      <c r="EH38" s="1691"/>
      <c r="EI38" s="1686"/>
      <c r="EJ38" s="1686"/>
      <c r="EK38" s="1686"/>
      <c r="EL38" s="1686"/>
      <c r="EM38" s="1686"/>
      <c r="EN38" s="1686"/>
      <c r="EO38" s="1686"/>
      <c r="EP38" s="1686"/>
      <c r="EQ38" s="1686"/>
      <c r="ER38" s="1691"/>
      <c r="ES38" s="1686"/>
      <c r="ET38" s="1693">
        <v>285</v>
      </c>
      <c r="EU38" s="1686"/>
      <c r="EV38" s="1691"/>
      <c r="EW38" s="1686"/>
      <c r="EX38" s="1686"/>
      <c r="EY38" s="1691"/>
      <c r="EZ38" s="1693">
        <v>5136</v>
      </c>
      <c r="FA38" s="1686"/>
      <c r="FB38" s="1686"/>
      <c r="FC38" s="1686"/>
      <c r="FD38" s="1686"/>
      <c r="FE38" s="1691"/>
      <c r="FF38" s="1691"/>
      <c r="FG38" s="1691"/>
      <c r="FH38" s="1691"/>
      <c r="FI38" s="1691"/>
      <c r="FJ38" s="1694">
        <v>8916</v>
      </c>
      <c r="FK38" s="1691"/>
      <c r="FL38" s="1691"/>
      <c r="FM38" s="1691"/>
      <c r="FN38" s="1691"/>
      <c r="FO38" s="1691"/>
      <c r="FP38" s="1691"/>
      <c r="FQ38" s="1686"/>
      <c r="FR38" s="1686"/>
      <c r="FS38" s="1686"/>
      <c r="FT38" s="1686"/>
      <c r="FU38" s="1686"/>
      <c r="FV38" s="1686"/>
      <c r="FW38" s="1686"/>
      <c r="FX38" s="1686"/>
      <c r="FY38" s="1686"/>
      <c r="FZ38" s="1686"/>
      <c r="GA38" s="1686"/>
      <c r="GB38" s="1686"/>
      <c r="GC38" s="1686"/>
      <c r="GD38" s="1686"/>
      <c r="GE38" s="1686"/>
      <c r="GF38" s="1686"/>
      <c r="GG38" s="1686"/>
      <c r="GH38" s="1686"/>
      <c r="GI38" s="1686"/>
      <c r="GJ38" s="1686"/>
      <c r="GK38" s="1686"/>
      <c r="GL38" s="1686"/>
      <c r="GM38" s="1686"/>
      <c r="GN38" s="1686"/>
      <c r="GO38" s="1686"/>
      <c r="GP38" s="1686"/>
      <c r="GQ38" s="1686"/>
      <c r="GR38" s="1686"/>
      <c r="GS38" s="1686"/>
      <c r="GT38" s="1686"/>
      <c r="GU38" s="1686"/>
      <c r="GV38" s="1686"/>
      <c r="GW38" s="1686"/>
      <c r="GX38" s="1686"/>
      <c r="GY38" s="1686"/>
      <c r="GZ38" s="1686"/>
      <c r="HA38" s="1686"/>
      <c r="HB38" s="1691"/>
      <c r="HC38" s="1686"/>
      <c r="HD38" s="1686"/>
      <c r="HE38" s="1686"/>
      <c r="HF38" s="1686"/>
      <c r="HG38" s="1691"/>
      <c r="HH38" s="1686"/>
      <c r="HI38" s="1691"/>
      <c r="HJ38" s="1691"/>
      <c r="HK38" s="1691"/>
      <c r="HL38" s="1694">
        <v>10268</v>
      </c>
      <c r="HM38" s="1691"/>
      <c r="HN38" s="1686"/>
      <c r="HO38" s="1686"/>
      <c r="HP38" s="1691"/>
      <c r="HQ38" s="1686"/>
      <c r="HR38" s="1686"/>
      <c r="HS38" s="1691"/>
      <c r="HT38" s="1686"/>
      <c r="HU38" s="1686"/>
      <c r="HV38" s="1686"/>
      <c r="HW38" s="1686"/>
      <c r="HX38" s="1686"/>
      <c r="HY38" s="1686"/>
      <c r="HZ38" s="1686"/>
      <c r="IA38" s="1686"/>
      <c r="IB38" s="1686"/>
      <c r="IC38" s="1686"/>
      <c r="ID38" s="1686"/>
      <c r="IE38" s="1686"/>
      <c r="IF38" s="1691"/>
      <c r="IG38" s="1686"/>
      <c r="IH38" s="1691"/>
      <c r="II38" s="1686"/>
      <c r="IJ38" s="1686"/>
      <c r="IK38" s="1686"/>
      <c r="IL38" s="1686"/>
      <c r="IM38" s="1686"/>
      <c r="IN38" s="1686"/>
      <c r="IO38" s="1686"/>
      <c r="IP38" s="1686"/>
      <c r="IQ38" s="1686"/>
      <c r="IR38" s="1686"/>
      <c r="IS38" s="1693">
        <v>39088</v>
      </c>
      <c r="IT38" s="1686"/>
      <c r="IU38" s="1686"/>
      <c r="IV38" s="1686"/>
      <c r="IW38" s="1686"/>
      <c r="IX38" s="1694">
        <v>26788</v>
      </c>
      <c r="IY38" s="1686"/>
      <c r="IZ38" s="1691"/>
      <c r="JA38" s="1686"/>
      <c r="JB38" s="1686"/>
      <c r="JC38" s="1686"/>
      <c r="JD38" s="1691"/>
      <c r="JE38" s="1686"/>
      <c r="JF38" s="1686"/>
      <c r="JG38" s="1686"/>
      <c r="JH38" s="1686"/>
      <c r="JI38" s="1686"/>
      <c r="JJ38" s="1686"/>
      <c r="JK38" s="1686"/>
      <c r="JL38" s="1686"/>
      <c r="JM38" s="1686"/>
      <c r="JN38" s="1686"/>
      <c r="JO38" s="1686"/>
      <c r="JP38" s="1686"/>
      <c r="JQ38" s="1364"/>
      <c r="JR38" s="593"/>
      <c r="JS38" s="355" t="s">
        <v>4319</v>
      </c>
      <c r="JT38" s="355" t="s">
        <v>2242</v>
      </c>
      <c r="JU38" s="355" t="s">
        <v>4301</v>
      </c>
      <c r="JV38" s="598"/>
    </row>
    <row r="39" spans="1:282" ht="20.5" x14ac:dyDescent="0.25">
      <c r="A39" s="1367">
        <v>38</v>
      </c>
      <c r="B39" s="1411" t="str">
        <f t="shared" si="6"/>
        <v/>
      </c>
      <c r="C39" s="1688" t="s">
        <v>4320</v>
      </c>
      <c r="D39" s="1360" t="s">
        <v>4266</v>
      </c>
      <c r="E39" s="1705"/>
      <c r="F39" s="1705"/>
      <c r="G39" s="1705"/>
      <c r="H39" s="1705"/>
      <c r="I39" s="1705"/>
      <c r="J39" s="1705"/>
      <c r="K39" s="1705"/>
      <c r="L39" s="1705"/>
      <c r="M39" s="1705"/>
      <c r="N39" s="1705"/>
      <c r="O39" s="1705"/>
      <c r="P39" s="1705"/>
      <c r="Q39" s="1705"/>
      <c r="R39" s="1705"/>
      <c r="S39" s="1705"/>
      <c r="T39" s="1705"/>
      <c r="U39" s="1705"/>
      <c r="V39" s="1705"/>
      <c r="W39" s="1705"/>
      <c r="X39" s="1705"/>
      <c r="Y39" s="1705"/>
      <c r="Z39" s="1705"/>
      <c r="AA39" s="1705"/>
      <c r="AB39" s="1705"/>
      <c r="AC39" s="1705"/>
      <c r="AD39" s="1705"/>
      <c r="AE39" s="1705"/>
      <c r="AF39" s="1705"/>
      <c r="AG39" s="1705"/>
      <c r="AH39" s="1705"/>
      <c r="AI39" s="1706"/>
      <c r="AJ39" s="1705"/>
      <c r="AK39" s="1706"/>
      <c r="AL39" s="1705"/>
      <c r="AM39" s="1705"/>
      <c r="AN39" s="1705"/>
      <c r="AO39" s="1707"/>
      <c r="AP39" s="1705"/>
      <c r="AQ39" s="1705"/>
      <c r="AR39" s="1705"/>
      <c r="AS39" s="1705"/>
      <c r="AT39" s="1705"/>
      <c r="AU39" s="1706" t="s">
        <v>4321</v>
      </c>
      <c r="AV39" s="1705"/>
      <c r="AW39" s="1705"/>
      <c r="AX39" s="1705"/>
      <c r="AY39" s="1705"/>
      <c r="AZ39" s="1705"/>
      <c r="BA39" s="1705"/>
      <c r="BB39" s="1708"/>
      <c r="BC39" s="1705"/>
      <c r="BD39" s="1706" t="s">
        <v>4321</v>
      </c>
      <c r="BE39" s="1705"/>
      <c r="BF39" s="1705"/>
      <c r="BG39" s="1361"/>
      <c r="BH39" s="1705"/>
      <c r="BI39" s="1705"/>
      <c r="BJ39" s="1705"/>
      <c r="BK39" s="1705"/>
      <c r="BL39" s="1705"/>
      <c r="BM39" s="1705"/>
      <c r="BN39" s="1705"/>
      <c r="BO39" s="1705"/>
      <c r="BP39" s="1708" t="s">
        <v>4322</v>
      </c>
      <c r="BQ39" s="1705"/>
      <c r="BR39" s="1705"/>
      <c r="BS39" s="1705"/>
      <c r="BT39" s="1707"/>
      <c r="BU39" s="1706" t="s">
        <v>4323</v>
      </c>
      <c r="BV39" s="1705"/>
      <c r="BW39" s="1706" t="s">
        <v>4321</v>
      </c>
      <c r="BX39" s="1705"/>
      <c r="BY39" s="1705"/>
      <c r="BZ39" s="1708"/>
      <c r="CA39" s="1705"/>
      <c r="CB39" s="1705"/>
      <c r="CC39" s="1705"/>
      <c r="CD39" s="1706"/>
      <c r="CE39" s="1705"/>
      <c r="CF39" s="1705"/>
      <c r="CG39" s="1705"/>
      <c r="CH39" s="1705"/>
      <c r="CI39" s="1705"/>
      <c r="CJ39" s="1705"/>
      <c r="CK39" s="1705"/>
      <c r="CL39" s="1705"/>
      <c r="CM39" s="1705"/>
      <c r="CN39" s="1705"/>
      <c r="CO39" s="1705"/>
      <c r="CP39" s="1705"/>
      <c r="CQ39" s="1705"/>
      <c r="CR39" s="1705"/>
      <c r="CS39" s="1705"/>
      <c r="CT39" s="1706" t="s">
        <v>4323</v>
      </c>
      <c r="CU39" s="1705"/>
      <c r="CV39" s="1705"/>
      <c r="CW39" s="1705"/>
      <c r="CX39" s="1705"/>
      <c r="CY39" s="1705"/>
      <c r="CZ39" s="1705"/>
      <c r="DA39" s="1706" t="s">
        <v>4321</v>
      </c>
      <c r="DB39" s="1705"/>
      <c r="DC39" s="1706" t="s">
        <v>4321</v>
      </c>
      <c r="DD39" s="1705"/>
      <c r="DE39" s="1705"/>
      <c r="DF39" s="1705"/>
      <c r="DG39" s="1706" t="s">
        <v>4321</v>
      </c>
      <c r="DH39" s="1705"/>
      <c r="DI39" s="1705"/>
      <c r="DJ39" s="1706"/>
      <c r="DK39" s="1705"/>
      <c r="DL39" s="1705"/>
      <c r="DM39" s="1706"/>
      <c r="DN39" s="1705"/>
      <c r="DO39" s="1707"/>
      <c r="DP39" s="1705"/>
      <c r="DQ39" s="1705"/>
      <c r="DR39" s="1705"/>
      <c r="DS39" s="1705"/>
      <c r="DT39" s="1705"/>
      <c r="DU39" s="1705"/>
      <c r="DV39" s="1705"/>
      <c r="DW39" s="1705"/>
      <c r="DX39" s="1705"/>
      <c r="DY39" s="1705"/>
      <c r="DZ39" s="1705"/>
      <c r="EA39" s="1705"/>
      <c r="EB39" s="1705"/>
      <c r="EC39" s="1705"/>
      <c r="ED39" s="1707"/>
      <c r="EE39" s="1361"/>
      <c r="EF39" s="1705"/>
      <c r="EG39" s="1707"/>
      <c r="EH39" s="1709"/>
      <c r="EI39" s="1705"/>
      <c r="EJ39" s="1705"/>
      <c r="EK39" s="1705"/>
      <c r="EL39" s="1705"/>
      <c r="EM39" s="1705"/>
      <c r="EN39" s="1705"/>
      <c r="EO39" s="1705"/>
      <c r="EP39" s="1705"/>
      <c r="EQ39" s="1705"/>
      <c r="ER39" s="1707"/>
      <c r="ES39" s="1705"/>
      <c r="ET39" s="1705"/>
      <c r="EU39" s="1705"/>
      <c r="EV39" s="1706" t="s">
        <v>4323</v>
      </c>
      <c r="EW39" s="1705"/>
      <c r="EX39" s="1705"/>
      <c r="EY39" s="1706"/>
      <c r="EZ39" s="1705"/>
      <c r="FA39" s="1705"/>
      <c r="FB39" s="1705"/>
      <c r="FC39" s="1705"/>
      <c r="FD39" s="1705"/>
      <c r="FE39" s="1707"/>
      <c r="FF39" s="1707"/>
      <c r="FG39" s="1706" t="s">
        <v>4321</v>
      </c>
      <c r="FH39" s="1708"/>
      <c r="FI39" s="1708"/>
      <c r="FJ39" s="1706" t="s">
        <v>4321</v>
      </c>
      <c r="FK39" s="1706" t="s">
        <v>4321</v>
      </c>
      <c r="FL39" s="1706"/>
      <c r="FM39" s="1706"/>
      <c r="FN39" s="1707"/>
      <c r="FO39" s="1707"/>
      <c r="FP39" s="1707"/>
      <c r="FQ39" s="1705"/>
      <c r="FR39" s="1705"/>
      <c r="FS39" s="1705"/>
      <c r="FT39" s="1705"/>
      <c r="FU39" s="1705"/>
      <c r="FV39" s="1705"/>
      <c r="FW39" s="1705"/>
      <c r="FX39" s="1705"/>
      <c r="FY39" s="1705"/>
      <c r="FZ39" s="1705"/>
      <c r="GA39" s="1705"/>
      <c r="GB39" s="1705"/>
      <c r="GC39" s="1705"/>
      <c r="GD39" s="1705"/>
      <c r="GE39" s="1705"/>
      <c r="GF39" s="1705"/>
      <c r="GG39" s="1705"/>
      <c r="GH39" s="1705"/>
      <c r="GI39" s="1705"/>
      <c r="GJ39" s="1705"/>
      <c r="GK39" s="1494"/>
      <c r="GL39" s="1705"/>
      <c r="GM39" s="1705"/>
      <c r="GN39" s="1705"/>
      <c r="GO39" s="1705"/>
      <c r="GP39" s="1705"/>
      <c r="GQ39" s="1705"/>
      <c r="GR39" s="1705"/>
      <c r="GS39" s="1705"/>
      <c r="GT39" s="1705"/>
      <c r="GU39" s="1705" t="s">
        <v>4324</v>
      </c>
      <c r="GV39" s="1705"/>
      <c r="GW39" s="1705"/>
      <c r="GX39" s="1705"/>
      <c r="GY39" s="1705"/>
      <c r="GZ39" s="1705"/>
      <c r="HA39" s="1705"/>
      <c r="HB39" s="1707"/>
      <c r="HC39" s="1705"/>
      <c r="HD39" s="1705"/>
      <c r="HE39" s="1705"/>
      <c r="HF39" s="1705"/>
      <c r="HG39" s="1707"/>
      <c r="HH39" s="1705"/>
      <c r="HI39" s="1361"/>
      <c r="HJ39" s="1361"/>
      <c r="HK39" s="1361"/>
      <c r="HL39" s="1361"/>
      <c r="HM39" s="1361"/>
      <c r="HN39" s="1705"/>
      <c r="HO39" s="1705"/>
      <c r="HP39" s="1361"/>
      <c r="HQ39" s="1705"/>
      <c r="HR39" s="1705"/>
      <c r="HS39" s="1707" t="s">
        <v>4321</v>
      </c>
      <c r="HT39" s="1705"/>
      <c r="HU39" s="1705"/>
      <c r="HV39" s="1705"/>
      <c r="HW39" s="1705"/>
      <c r="HX39" s="1705"/>
      <c r="HY39" s="1705"/>
      <c r="HZ39" s="1705"/>
      <c r="IA39" s="1705"/>
      <c r="IB39" s="1705"/>
      <c r="IC39" s="1705"/>
      <c r="ID39" s="1705"/>
      <c r="IE39" s="1705"/>
      <c r="IF39" s="1707"/>
      <c r="IG39" s="1705"/>
      <c r="IH39" s="1707"/>
      <c r="II39" s="1705"/>
      <c r="IJ39" s="1705"/>
      <c r="IK39" s="1705"/>
      <c r="IL39" s="1705"/>
      <c r="IM39" s="1705"/>
      <c r="IN39" s="1705"/>
      <c r="IO39" s="1705"/>
      <c r="IP39" s="1705"/>
      <c r="IQ39" s="1705"/>
      <c r="IR39" s="1705"/>
      <c r="IS39" s="1705"/>
      <c r="IT39" s="1705"/>
      <c r="IU39" s="1705"/>
      <c r="IV39" s="1705"/>
      <c r="IW39" s="1705"/>
      <c r="IX39" s="1706"/>
      <c r="IY39" s="1705"/>
      <c r="IZ39" s="1706"/>
      <c r="JA39" s="1705"/>
      <c r="JB39" s="1705"/>
      <c r="JC39" s="1705"/>
      <c r="JD39" s="1707" t="s">
        <v>4321</v>
      </c>
      <c r="JE39" s="1705"/>
      <c r="JF39" s="1705"/>
      <c r="JG39" s="1705"/>
      <c r="JH39" s="1705"/>
      <c r="JI39" s="1705" t="s">
        <v>4321</v>
      </c>
      <c r="JJ39" s="1705"/>
      <c r="JK39" s="1705"/>
      <c r="JL39" s="1705"/>
      <c r="JM39" s="1705"/>
      <c r="JN39" s="1705"/>
      <c r="JO39" s="1705"/>
      <c r="JP39" s="1705"/>
      <c r="JQ39" s="1364"/>
      <c r="JR39" s="593"/>
      <c r="JS39" s="354" t="s">
        <v>4270</v>
      </c>
      <c r="JT39" s="355" t="s">
        <v>4271</v>
      </c>
      <c r="JU39" s="598"/>
      <c r="JV39" s="598"/>
    </row>
    <row r="40" spans="1:282" ht="40.5" x14ac:dyDescent="0.25">
      <c r="A40" s="1367">
        <v>39</v>
      </c>
      <c r="B40" s="1684" t="str">
        <f t="shared" si="6"/>
        <v/>
      </c>
      <c r="C40" s="1688" t="s">
        <v>4325</v>
      </c>
      <c r="D40" s="1360"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2025-26,  you  submitted a Real Time Transaction Tax return for the disposal of an asset of this type, put the overall gain or loss  in the box -  include the  individual amounts of gains or losses in the box 17 total for gains and box 19 total for losses</v>
      </c>
      <c r="E40" s="1494"/>
      <c r="F40" s="1494"/>
      <c r="G40" s="1494"/>
      <c r="H40" s="1494"/>
      <c r="I40" s="1494"/>
      <c r="J40" s="1494"/>
      <c r="K40" s="1494"/>
      <c r="L40" s="1494"/>
      <c r="M40" s="1494"/>
      <c r="N40" s="1494"/>
      <c r="O40" s="1494"/>
      <c r="P40" s="1494"/>
      <c r="Q40" s="1494"/>
      <c r="R40" s="1494"/>
      <c r="S40" s="1494"/>
      <c r="T40" s="1494"/>
      <c r="U40" s="1494"/>
      <c r="V40" s="1494"/>
      <c r="W40" s="1494"/>
      <c r="X40" s="1494"/>
      <c r="Y40" s="1494"/>
      <c r="Z40" s="1494"/>
      <c r="AA40" s="1494"/>
      <c r="AB40" s="1494"/>
      <c r="AC40" s="1494"/>
      <c r="AD40" s="1494"/>
      <c r="AE40" s="1494"/>
      <c r="AF40" s="1494"/>
      <c r="AG40" s="1494"/>
      <c r="AH40" s="1494"/>
      <c r="AI40" s="1290"/>
      <c r="AJ40" s="1494"/>
      <c r="AK40" s="1290"/>
      <c r="AL40" s="1494"/>
      <c r="AM40" s="1494"/>
      <c r="AN40" s="1494"/>
      <c r="AO40" s="1361"/>
      <c r="AP40" s="1494"/>
      <c r="AQ40" s="1494"/>
      <c r="AR40" s="1494"/>
      <c r="AS40" s="1494"/>
      <c r="AT40" s="1494"/>
      <c r="AU40" s="1290"/>
      <c r="AV40" s="1494"/>
      <c r="AW40" s="1494"/>
      <c r="AX40" s="1494"/>
      <c r="AY40" s="1494"/>
      <c r="AZ40" s="1494"/>
      <c r="BA40" s="1494"/>
      <c r="BB40" s="1290"/>
      <c r="BC40" s="1494"/>
      <c r="BD40" s="1290"/>
      <c r="BE40" s="1494"/>
      <c r="BF40" s="1494"/>
      <c r="BG40" s="1361"/>
      <c r="BH40" s="1494"/>
      <c r="BI40" s="1494"/>
      <c r="BJ40" s="1494"/>
      <c r="BK40" s="1494"/>
      <c r="BL40" s="1494"/>
      <c r="BM40" s="1494"/>
      <c r="BN40" s="1494"/>
      <c r="BO40" s="1494"/>
      <c r="BP40" s="1290"/>
      <c r="BQ40" s="1494"/>
      <c r="BR40" s="1494"/>
      <c r="BS40" s="1494"/>
      <c r="BT40" s="1361"/>
      <c r="BU40" s="1290"/>
      <c r="BV40" s="1494"/>
      <c r="BW40" s="1290"/>
      <c r="BX40" s="1494"/>
      <c r="BY40" s="1494"/>
      <c r="BZ40" s="1290"/>
      <c r="CA40" s="1494"/>
      <c r="CB40" s="1494"/>
      <c r="CC40" s="1494"/>
      <c r="CD40" s="1290"/>
      <c r="CE40" s="1494"/>
      <c r="CF40" s="1494"/>
      <c r="CG40" s="1494"/>
      <c r="CH40" s="1494"/>
      <c r="CI40" s="1494"/>
      <c r="CJ40" s="1494"/>
      <c r="CK40" s="1494"/>
      <c r="CL40" s="1494"/>
      <c r="CM40" s="1494"/>
      <c r="CN40" s="1494"/>
      <c r="CO40" s="1494"/>
      <c r="CP40" s="1494"/>
      <c r="CQ40" s="1494"/>
      <c r="CR40" s="1494"/>
      <c r="CS40" s="1494"/>
      <c r="CT40" s="1290"/>
      <c r="CU40" s="1494"/>
      <c r="CV40" s="1494"/>
      <c r="CW40" s="1494"/>
      <c r="CX40" s="1494"/>
      <c r="CY40" s="1494"/>
      <c r="CZ40" s="1494"/>
      <c r="DA40" s="1290"/>
      <c r="DB40" s="1494"/>
      <c r="DC40" s="1290"/>
      <c r="DD40" s="1494"/>
      <c r="DE40" s="1494"/>
      <c r="DF40" s="1494"/>
      <c r="DG40" s="1290"/>
      <c r="DH40" s="1494"/>
      <c r="DI40" s="1494"/>
      <c r="DJ40" s="1290"/>
      <c r="DK40" s="1494"/>
      <c r="DL40" s="1494"/>
      <c r="DM40" s="1290"/>
      <c r="DN40" s="1494"/>
      <c r="DO40" s="1361"/>
      <c r="DP40" s="1494"/>
      <c r="DQ40" s="1494"/>
      <c r="DR40" s="1494"/>
      <c r="DS40" s="1494"/>
      <c r="DT40" s="1494"/>
      <c r="DU40" s="1494"/>
      <c r="DV40" s="1494"/>
      <c r="DW40" s="1494"/>
      <c r="DX40" s="1494"/>
      <c r="DY40" s="1494"/>
      <c r="DZ40" s="1494"/>
      <c r="EA40" s="1494"/>
      <c r="EB40" s="1494"/>
      <c r="EC40" s="1494"/>
      <c r="ED40" s="1361"/>
      <c r="EE40" s="1361"/>
      <c r="EF40" s="1494"/>
      <c r="EG40" s="1361"/>
      <c r="EH40" s="1361"/>
      <c r="EI40" s="1494"/>
      <c r="EJ40" s="1494"/>
      <c r="EK40" s="1494"/>
      <c r="EL40" s="1494"/>
      <c r="EM40" s="1494"/>
      <c r="EN40" s="1494"/>
      <c r="EO40" s="1494"/>
      <c r="EP40" s="1494"/>
      <c r="EQ40" s="1494"/>
      <c r="ER40" s="1361"/>
      <c r="ES40" s="1494"/>
      <c r="ET40" s="1494"/>
      <c r="EU40" s="1494"/>
      <c r="EV40" s="1290"/>
      <c r="EW40" s="1494"/>
      <c r="EX40" s="1494"/>
      <c r="EY40" s="1290"/>
      <c r="EZ40" s="1494"/>
      <c r="FA40" s="1494"/>
      <c r="FB40" s="1494"/>
      <c r="FC40" s="1494"/>
      <c r="FD40" s="1494"/>
      <c r="FE40" s="1361"/>
      <c r="FF40" s="1361"/>
      <c r="FG40" s="1422">
        <v>12000</v>
      </c>
      <c r="FH40" s="1290"/>
      <c r="FI40" s="1290"/>
      <c r="FJ40" s="1290"/>
      <c r="FK40" s="1290"/>
      <c r="FL40" s="1290"/>
      <c r="FM40" s="1290"/>
      <c r="FN40" s="1361"/>
      <c r="FO40" s="1361"/>
      <c r="FP40" s="1361"/>
      <c r="FQ40" s="1494"/>
      <c r="FR40" s="1494"/>
      <c r="FS40" s="1494"/>
      <c r="FT40" s="1494"/>
      <c r="FU40" s="1494"/>
      <c r="FV40" s="1494"/>
      <c r="FW40" s="1494"/>
      <c r="FX40" s="1494"/>
      <c r="FY40" s="1494"/>
      <c r="FZ40" s="1494"/>
      <c r="GA40" s="1494"/>
      <c r="GB40" s="1494"/>
      <c r="GC40" s="1494"/>
      <c r="GD40" s="1494"/>
      <c r="GE40" s="1494"/>
      <c r="GF40" s="1494"/>
      <c r="GG40" s="1494"/>
      <c r="GH40" s="1494"/>
      <c r="GI40" s="1494"/>
      <c r="GJ40" s="1494"/>
      <c r="GK40" s="1494"/>
      <c r="GL40" s="1494"/>
      <c r="GM40" s="1494"/>
      <c r="GN40" s="1494"/>
      <c r="GO40" s="1494"/>
      <c r="GP40" s="1494"/>
      <c r="GQ40" s="1494"/>
      <c r="GR40" s="1494"/>
      <c r="GS40" s="1494"/>
      <c r="GT40" s="1494"/>
      <c r="GU40" s="1494"/>
      <c r="GV40" s="1494"/>
      <c r="GW40" s="1494"/>
      <c r="GX40" s="1494"/>
      <c r="GY40" s="1494"/>
      <c r="GZ40" s="1494"/>
      <c r="HA40" s="1494"/>
      <c r="HB40" s="1361"/>
      <c r="HC40" s="1494"/>
      <c r="HD40" s="1494"/>
      <c r="HE40" s="1494"/>
      <c r="HF40" s="1494"/>
      <c r="HG40" s="1361"/>
      <c r="HH40" s="1494"/>
      <c r="HI40" s="1361"/>
      <c r="HJ40" s="1361"/>
      <c r="HK40" s="1361"/>
      <c r="HL40" s="1361"/>
      <c r="HM40" s="1361"/>
      <c r="HN40" s="1494"/>
      <c r="HO40" s="1494"/>
      <c r="HP40" s="1361"/>
      <c r="HQ40" s="1494"/>
      <c r="HR40" s="1494"/>
      <c r="HS40" s="1361"/>
      <c r="HT40" s="1494"/>
      <c r="HU40" s="1494"/>
      <c r="HV40" s="1494"/>
      <c r="HW40" s="1494"/>
      <c r="HX40" s="1494"/>
      <c r="HY40" s="1494"/>
      <c r="HZ40" s="1494"/>
      <c r="IA40" s="1494"/>
      <c r="IB40" s="1494"/>
      <c r="IC40" s="1494"/>
      <c r="ID40" s="1494"/>
      <c r="IE40" s="1494"/>
      <c r="IF40" s="1361"/>
      <c r="IG40" s="1494"/>
      <c r="IH40" s="1361"/>
      <c r="II40" s="1494"/>
      <c r="IJ40" s="1494"/>
      <c r="IK40" s="1494"/>
      <c r="IL40" s="1494"/>
      <c r="IM40" s="1494"/>
      <c r="IN40" s="1494"/>
      <c r="IO40" s="1494"/>
      <c r="IP40" s="1494"/>
      <c r="IQ40" s="1494"/>
      <c r="IR40" s="1494"/>
      <c r="IS40" s="1494"/>
      <c r="IT40" s="1494"/>
      <c r="IU40" s="1494"/>
      <c r="IV40" s="1494"/>
      <c r="IW40" s="1494"/>
      <c r="IX40" s="1290"/>
      <c r="IY40" s="1494"/>
      <c r="IZ40" s="1290"/>
      <c r="JA40" s="1494"/>
      <c r="JB40" s="1494"/>
      <c r="JC40" s="1494"/>
      <c r="JD40" s="1361">
        <v>13000</v>
      </c>
      <c r="JE40" s="1494"/>
      <c r="JF40" s="1494"/>
      <c r="JG40" s="1494"/>
      <c r="JH40" s="1494"/>
      <c r="JI40" s="1494"/>
      <c r="JJ40" s="1494"/>
      <c r="JK40" s="1494"/>
      <c r="JL40" s="1494"/>
      <c r="JM40" s="1494"/>
      <c r="JN40" s="1494"/>
      <c r="JO40" s="1494"/>
      <c r="JP40" s="1494"/>
      <c r="JQ40" s="1364"/>
      <c r="JR40" s="593"/>
      <c r="JS40" s="355" t="s">
        <v>4326</v>
      </c>
      <c r="JT40" s="355" t="s">
        <v>2253</v>
      </c>
      <c r="JU40" s="598"/>
      <c r="JV40" s="598"/>
    </row>
    <row r="41" spans="1:282" x14ac:dyDescent="0.25">
      <c r="A41" s="1367">
        <v>40</v>
      </c>
      <c r="B41" s="1684" t="str">
        <f t="shared" si="6"/>
        <v/>
      </c>
      <c r="C41" s="1688" t="s">
        <v>4327</v>
      </c>
      <c r="D41" s="1360" t="s">
        <v>4328</v>
      </c>
      <c r="E41" s="1358"/>
      <c r="F41" s="1358"/>
      <c r="G41" s="1358"/>
      <c r="H41" s="1358"/>
      <c r="I41" s="1358"/>
      <c r="J41" s="1358"/>
      <c r="K41" s="1358"/>
      <c r="L41" s="1358"/>
      <c r="M41" s="1358"/>
      <c r="N41" s="1358"/>
      <c r="O41" s="1358"/>
      <c r="P41" s="1358"/>
      <c r="Q41" s="1358"/>
      <c r="R41" s="1358"/>
      <c r="S41" s="1358"/>
      <c r="T41" s="1358"/>
      <c r="U41" s="1358"/>
      <c r="V41" s="1358"/>
      <c r="W41" s="1358"/>
      <c r="X41" s="1358"/>
      <c r="Y41" s="1358"/>
      <c r="Z41" s="1358"/>
      <c r="AA41" s="1358"/>
      <c r="AB41" s="1358"/>
      <c r="AC41" s="1358"/>
      <c r="AD41" s="1358"/>
      <c r="AE41" s="1358"/>
      <c r="AF41" s="1358"/>
      <c r="AG41" s="1358"/>
      <c r="AH41" s="1358"/>
      <c r="AI41" s="1290"/>
      <c r="AJ41" s="1358"/>
      <c r="AK41" s="1290"/>
      <c r="AL41" s="1358"/>
      <c r="AM41" s="1358"/>
      <c r="AN41" s="1358"/>
      <c r="AO41" s="1290"/>
      <c r="AP41" s="1358"/>
      <c r="AQ41" s="1358"/>
      <c r="AR41" s="1358"/>
      <c r="AS41" s="1358"/>
      <c r="AT41" s="1358"/>
      <c r="AU41" s="1290"/>
      <c r="AV41" s="1358"/>
      <c r="AW41" s="1358"/>
      <c r="AX41" s="1358"/>
      <c r="AY41" s="1358"/>
      <c r="AZ41" s="1358"/>
      <c r="BA41" s="1358"/>
      <c r="BB41" s="1290"/>
      <c r="BC41" s="1358"/>
      <c r="BD41" s="1290"/>
      <c r="BE41" s="1358"/>
      <c r="BF41" s="1358"/>
      <c r="BG41" s="1290"/>
      <c r="BH41" s="1358"/>
      <c r="BI41" s="1358"/>
      <c r="BJ41" s="1358"/>
      <c r="BK41" s="1358"/>
      <c r="BL41" s="1358"/>
      <c r="BM41" s="1358"/>
      <c r="BN41" s="1358"/>
      <c r="BO41" s="1358"/>
      <c r="BP41" s="1290"/>
      <c r="BQ41" s="1358"/>
      <c r="BR41" s="1358"/>
      <c r="BS41" s="1358"/>
      <c r="BT41" s="1290"/>
      <c r="BU41" s="1290"/>
      <c r="BV41" s="1358"/>
      <c r="BW41" s="1290"/>
      <c r="BX41" s="1358"/>
      <c r="BY41" s="1358"/>
      <c r="BZ41" s="1290"/>
      <c r="CA41" s="1358"/>
      <c r="CB41" s="1358"/>
      <c r="CC41" s="1358"/>
      <c r="CD41" s="1290"/>
      <c r="CE41" s="1358"/>
      <c r="CF41" s="1358"/>
      <c r="CG41" s="1358"/>
      <c r="CH41" s="1358"/>
      <c r="CI41" s="1358"/>
      <c r="CJ41" s="1358"/>
      <c r="CK41" s="1358"/>
      <c r="CL41" s="1358"/>
      <c r="CM41" s="1358"/>
      <c r="CN41" s="1358"/>
      <c r="CO41" s="1358"/>
      <c r="CP41" s="1358"/>
      <c r="CQ41" s="1358"/>
      <c r="CR41" s="1358"/>
      <c r="CS41" s="1358"/>
      <c r="CT41" s="1290"/>
      <c r="CU41" s="1358"/>
      <c r="CV41" s="1358"/>
      <c r="CW41" s="1358"/>
      <c r="CX41" s="1358"/>
      <c r="CY41" s="1358"/>
      <c r="CZ41" s="1358"/>
      <c r="DA41" s="1290"/>
      <c r="DB41" s="1358"/>
      <c r="DC41" s="1290"/>
      <c r="DD41" s="1358"/>
      <c r="DE41" s="1358"/>
      <c r="DF41" s="1358"/>
      <c r="DG41" s="1290"/>
      <c r="DH41" s="1358"/>
      <c r="DI41" s="1358"/>
      <c r="DJ41" s="1290"/>
      <c r="DK41" s="1358"/>
      <c r="DL41" s="1358"/>
      <c r="DM41" s="1290"/>
      <c r="DN41" s="1358"/>
      <c r="DO41" s="1290"/>
      <c r="DP41" s="1358"/>
      <c r="DQ41" s="1358"/>
      <c r="DR41" s="1358"/>
      <c r="DS41" s="1358"/>
      <c r="DT41" s="1358"/>
      <c r="DU41" s="1358"/>
      <c r="DV41" s="1358"/>
      <c r="DW41" s="1358"/>
      <c r="DX41" s="1358"/>
      <c r="DY41" s="1358"/>
      <c r="DZ41" s="1358"/>
      <c r="EA41" s="1358"/>
      <c r="EB41" s="1358"/>
      <c r="EC41" s="1358"/>
      <c r="ED41" s="1290"/>
      <c r="EE41" s="1290"/>
      <c r="EF41" s="1358"/>
      <c r="EG41" s="1290"/>
      <c r="EH41" s="1290"/>
      <c r="EI41" s="1358"/>
      <c r="EJ41" s="1358"/>
      <c r="EK41" s="1358"/>
      <c r="EL41" s="1358"/>
      <c r="EM41" s="1358"/>
      <c r="EN41" s="1358"/>
      <c r="EO41" s="1358"/>
      <c r="EP41" s="1358"/>
      <c r="EQ41" s="1358"/>
      <c r="ER41" s="1290"/>
      <c r="ES41" s="1358"/>
      <c r="ET41" s="1358"/>
      <c r="EU41" s="1358"/>
      <c r="EV41" s="1290"/>
      <c r="EW41" s="1358"/>
      <c r="EX41" s="1358"/>
      <c r="EY41" s="1290"/>
      <c r="EZ41" s="1358"/>
      <c r="FA41" s="1358"/>
      <c r="FB41" s="1358"/>
      <c r="FC41" s="1358"/>
      <c r="FD41" s="1358"/>
      <c r="FE41" s="1290"/>
      <c r="FF41" s="1290"/>
      <c r="FG41" s="1422">
        <v>5000</v>
      </c>
      <c r="FH41" s="1290"/>
      <c r="FI41" s="1290"/>
      <c r="FJ41" s="1290"/>
      <c r="FK41" s="1290"/>
      <c r="FL41" s="1290"/>
      <c r="FM41" s="1290"/>
      <c r="FN41" s="1290"/>
      <c r="FO41" s="1290"/>
      <c r="FP41" s="1290"/>
      <c r="FQ41" s="1358"/>
      <c r="FR41" s="1358"/>
      <c r="FS41" s="1358"/>
      <c r="FT41" s="1358"/>
      <c r="FU41" s="1358"/>
      <c r="FV41" s="1358"/>
      <c r="FW41" s="1358"/>
      <c r="FX41" s="1358"/>
      <c r="FY41" s="1358"/>
      <c r="FZ41" s="1358"/>
      <c r="GA41" s="1358"/>
      <c r="GB41" s="1358"/>
      <c r="GC41" s="1358"/>
      <c r="GD41" s="1358"/>
      <c r="GE41" s="1358"/>
      <c r="GF41" s="1358"/>
      <c r="GG41" s="1358"/>
      <c r="GH41" s="1358"/>
      <c r="GI41" s="1358"/>
      <c r="GJ41" s="1358"/>
      <c r="GK41" s="1358"/>
      <c r="GL41" s="1358"/>
      <c r="GM41" s="1358"/>
      <c r="GN41" s="1358"/>
      <c r="GO41" s="1358"/>
      <c r="GP41" s="1358"/>
      <c r="GQ41" s="1358"/>
      <c r="GR41" s="1358"/>
      <c r="GS41" s="1358"/>
      <c r="GT41" s="1358"/>
      <c r="GU41" s="1358"/>
      <c r="GV41" s="1358"/>
      <c r="GW41" s="1358"/>
      <c r="GX41" s="1358"/>
      <c r="GY41" s="1358"/>
      <c r="GZ41" s="1358"/>
      <c r="HA41" s="1358"/>
      <c r="HB41" s="1290"/>
      <c r="HC41" s="1358"/>
      <c r="HD41" s="1358"/>
      <c r="HE41" s="1358"/>
      <c r="HF41" s="1358"/>
      <c r="HG41" s="1290"/>
      <c r="HH41" s="1358"/>
      <c r="HI41" s="1290"/>
      <c r="HJ41" s="1290"/>
      <c r="HK41" s="1290"/>
      <c r="HL41" s="1290"/>
      <c r="HM41" s="1290"/>
      <c r="HN41" s="1358"/>
      <c r="HO41" s="1358"/>
      <c r="HP41" s="1290"/>
      <c r="HQ41" s="1358"/>
      <c r="HR41" s="1358"/>
      <c r="HS41" s="1290"/>
      <c r="HT41" s="1358"/>
      <c r="HU41" s="1358"/>
      <c r="HV41" s="1358"/>
      <c r="HW41" s="1358"/>
      <c r="HX41" s="1358"/>
      <c r="HY41" s="1358"/>
      <c r="HZ41" s="1358"/>
      <c r="IA41" s="1358"/>
      <c r="IB41" s="1358"/>
      <c r="IC41" s="1358"/>
      <c r="ID41" s="1358"/>
      <c r="IE41" s="1358"/>
      <c r="IF41" s="1290"/>
      <c r="IG41" s="1358"/>
      <c r="IH41" s="1290"/>
      <c r="II41" s="1358"/>
      <c r="IJ41" s="1358"/>
      <c r="IK41" s="1358"/>
      <c r="IL41" s="1358"/>
      <c r="IM41" s="1358"/>
      <c r="IN41" s="1358"/>
      <c r="IO41" s="1358"/>
      <c r="IP41" s="1358"/>
      <c r="IQ41" s="1358"/>
      <c r="IR41" s="1358"/>
      <c r="IS41" s="1358"/>
      <c r="IT41" s="1358"/>
      <c r="IU41" s="1358"/>
      <c r="IV41" s="1358"/>
      <c r="IW41" s="1358"/>
      <c r="IX41" s="1290"/>
      <c r="IY41" s="1358"/>
      <c r="IZ41" s="1290"/>
      <c r="JA41" s="1358"/>
      <c r="JB41" s="1358"/>
      <c r="JC41" s="1358"/>
      <c r="JD41" s="1290">
        <v>170</v>
      </c>
      <c r="JE41" s="1358"/>
      <c r="JF41" s="1358"/>
      <c r="JG41" s="1358"/>
      <c r="JH41" s="1358"/>
      <c r="JI41" s="1358"/>
      <c r="JJ41" s="1358"/>
      <c r="JK41" s="1358"/>
      <c r="JL41" s="1358"/>
      <c r="JM41" s="1358"/>
      <c r="JN41" s="1358"/>
      <c r="JO41" s="1358"/>
      <c r="JP41" s="1358"/>
      <c r="JQ41" s="1364"/>
      <c r="JR41" s="593"/>
      <c r="JS41" s="354"/>
      <c r="JT41" s="355" t="s">
        <v>2242</v>
      </c>
      <c r="JU41" s="355" t="s">
        <v>4325</v>
      </c>
      <c r="JV41" s="598"/>
    </row>
    <row r="42" spans="1:282" x14ac:dyDescent="0.25">
      <c r="A42" s="1367">
        <v>41</v>
      </c>
      <c r="B42" s="1677" t="str">
        <f t="shared" si="6"/>
        <v/>
      </c>
      <c r="C42" s="1688" t="s">
        <v>4329</v>
      </c>
      <c r="D42" s="1360" t="s">
        <v>4255</v>
      </c>
      <c r="E42" s="1697"/>
      <c r="F42" s="1697"/>
      <c r="G42" s="1697"/>
      <c r="H42" s="1697"/>
      <c r="I42" s="1697"/>
      <c r="J42" s="1697"/>
      <c r="K42" s="1697"/>
      <c r="L42" s="1697"/>
      <c r="M42" s="1697"/>
      <c r="N42" s="1697"/>
      <c r="O42" s="1697"/>
      <c r="P42" s="1697"/>
      <c r="Q42" s="1697"/>
      <c r="R42" s="1697"/>
      <c r="S42" s="1697"/>
      <c r="T42" s="1697"/>
      <c r="U42" s="1697"/>
      <c r="V42" s="1697"/>
      <c r="W42" s="1697"/>
      <c r="X42" s="1697"/>
      <c r="Y42" s="1697"/>
      <c r="Z42" s="1697"/>
      <c r="AA42" s="1697"/>
      <c r="AB42" s="1697"/>
      <c r="AC42" s="1697"/>
      <c r="AD42" s="1697"/>
      <c r="AE42" s="1697"/>
      <c r="AF42" s="1697"/>
      <c r="AG42" s="1697"/>
      <c r="AH42" s="1697"/>
      <c r="AI42" s="1696"/>
      <c r="AJ42" s="1697"/>
      <c r="AK42" s="1696"/>
      <c r="AL42" s="1697"/>
      <c r="AM42" s="1697"/>
      <c r="AN42" s="1697"/>
      <c r="AO42" s="1696"/>
      <c r="AP42" s="1697"/>
      <c r="AQ42" s="1697"/>
      <c r="AR42" s="1697"/>
      <c r="AS42" s="1697"/>
      <c r="AT42" s="1697"/>
      <c r="AU42" s="1696"/>
      <c r="AV42" s="1697"/>
      <c r="AW42" s="1697"/>
      <c r="AX42" s="1697"/>
      <c r="AY42" s="1697"/>
      <c r="AZ42" s="1697"/>
      <c r="BA42" s="1697"/>
      <c r="BB42" s="1698">
        <v>1</v>
      </c>
      <c r="BC42" s="1697"/>
      <c r="BD42" s="1696"/>
      <c r="BE42" s="1697"/>
      <c r="BF42" s="1697"/>
      <c r="BG42" s="1710"/>
      <c r="BH42" s="1697"/>
      <c r="BI42" s="1697"/>
      <c r="BJ42" s="1697"/>
      <c r="BK42" s="1697"/>
      <c r="BL42" s="1697"/>
      <c r="BM42" s="1697"/>
      <c r="BN42" s="1697"/>
      <c r="BO42" s="1697"/>
      <c r="BP42" s="1696"/>
      <c r="BQ42" s="1697"/>
      <c r="BR42" s="1697"/>
      <c r="BS42" s="1697"/>
      <c r="BT42" s="1698">
        <v>79</v>
      </c>
      <c r="BU42" s="1696">
        <v>2</v>
      </c>
      <c r="BV42" s="1697"/>
      <c r="BW42" s="1696"/>
      <c r="BX42" s="1697"/>
      <c r="BY42" s="1697"/>
      <c r="BZ42" s="1696"/>
      <c r="CA42" s="1697"/>
      <c r="CB42" s="1697"/>
      <c r="CC42" s="1697"/>
      <c r="CD42" s="1696"/>
      <c r="CE42" s="1697"/>
      <c r="CF42" s="1697"/>
      <c r="CG42" s="1697"/>
      <c r="CH42" s="1697"/>
      <c r="CI42" s="1697"/>
      <c r="CJ42" s="1701">
        <v>19</v>
      </c>
      <c r="CK42" s="1697"/>
      <c r="CL42" s="1697"/>
      <c r="CM42" s="1697"/>
      <c r="CN42" s="1697"/>
      <c r="CO42" s="1697"/>
      <c r="CP42" s="1697"/>
      <c r="CQ42" s="1697"/>
      <c r="CR42" s="1697"/>
      <c r="CS42" s="1697"/>
      <c r="CT42" s="1696">
        <v>2</v>
      </c>
      <c r="CU42" s="1697"/>
      <c r="CV42" s="1697"/>
      <c r="CW42" s="1697"/>
      <c r="CX42" s="1697"/>
      <c r="CY42" s="1697"/>
      <c r="CZ42" s="1697"/>
      <c r="DA42" s="1696"/>
      <c r="DB42" s="1697"/>
      <c r="DC42" s="1696"/>
      <c r="DD42" s="1697"/>
      <c r="DE42" s="1697"/>
      <c r="DF42" s="1697"/>
      <c r="DG42" s="1696"/>
      <c r="DH42" s="1697"/>
      <c r="DI42" s="1697"/>
      <c r="DJ42" s="1696"/>
      <c r="DK42" s="1697"/>
      <c r="DL42" s="1697"/>
      <c r="DM42" s="1696"/>
      <c r="DN42" s="1697"/>
      <c r="DO42" s="1696">
        <v>3</v>
      </c>
      <c r="DP42" s="1697"/>
      <c r="DQ42" s="1697"/>
      <c r="DR42" s="1697"/>
      <c r="DS42" s="1697"/>
      <c r="DT42" s="1697"/>
      <c r="DU42" s="1697"/>
      <c r="DV42" s="1697"/>
      <c r="DW42" s="1701">
        <v>19</v>
      </c>
      <c r="DX42" s="1697"/>
      <c r="DY42" s="1701">
        <v>72</v>
      </c>
      <c r="DZ42" s="1697"/>
      <c r="EA42" s="1697"/>
      <c r="EB42" s="1697"/>
      <c r="EC42" s="1697"/>
      <c r="ED42" s="1696">
        <v>3</v>
      </c>
      <c r="EE42" s="1698">
        <v>5</v>
      </c>
      <c r="EF42" s="1697"/>
      <c r="EG42" s="1698"/>
      <c r="EH42" s="1696"/>
      <c r="EI42" s="1697"/>
      <c r="EJ42" s="1697"/>
      <c r="EK42" s="1697"/>
      <c r="EL42" s="1701">
        <v>58</v>
      </c>
      <c r="EM42" s="1701">
        <v>4</v>
      </c>
      <c r="EN42" s="1701">
        <v>4</v>
      </c>
      <c r="EO42" s="1701">
        <v>2</v>
      </c>
      <c r="EP42" s="1697"/>
      <c r="EQ42" s="1701">
        <v>7</v>
      </c>
      <c r="ER42" s="1698">
        <v>20</v>
      </c>
      <c r="ES42" s="1697"/>
      <c r="ET42" s="1701">
        <v>10</v>
      </c>
      <c r="EU42" s="1701">
        <v>1</v>
      </c>
      <c r="EV42" s="1696">
        <v>2</v>
      </c>
      <c r="EW42" s="1701">
        <v>11</v>
      </c>
      <c r="EX42" s="1697"/>
      <c r="EY42" s="1696"/>
      <c r="EZ42" s="1701">
        <v>2</v>
      </c>
      <c r="FA42" s="1701">
        <v>5</v>
      </c>
      <c r="FB42" s="1701">
        <v>3</v>
      </c>
      <c r="FC42" s="1701">
        <v>20</v>
      </c>
      <c r="FD42" s="1701">
        <v>1</v>
      </c>
      <c r="FE42" s="1698"/>
      <c r="FF42" s="1698">
        <v>1</v>
      </c>
      <c r="FG42" s="1696"/>
      <c r="FH42" s="1698">
        <v>1</v>
      </c>
      <c r="FI42" s="1696"/>
      <c r="FJ42" s="1698">
        <v>89</v>
      </c>
      <c r="FK42" s="1698">
        <v>9</v>
      </c>
      <c r="FL42" s="1696"/>
      <c r="FM42" s="1696"/>
      <c r="FN42" s="1696">
        <v>3</v>
      </c>
      <c r="FO42" s="1698"/>
      <c r="FP42" s="1698"/>
      <c r="FQ42" s="1697"/>
      <c r="FR42" s="1697"/>
      <c r="FS42" s="1697"/>
      <c r="FT42" s="1697"/>
      <c r="FU42" s="1697"/>
      <c r="FV42" s="1697"/>
      <c r="FW42" s="1697"/>
      <c r="FX42" s="1697"/>
      <c r="FY42" s="1697"/>
      <c r="FZ42" s="1697"/>
      <c r="GA42" s="1697"/>
      <c r="GB42" s="1697"/>
      <c r="GC42" s="1697"/>
      <c r="GD42" s="1697"/>
      <c r="GE42" s="1697"/>
      <c r="GF42" s="1697"/>
      <c r="GG42" s="1697"/>
      <c r="GH42" s="1697"/>
      <c r="GI42" s="1697"/>
      <c r="GJ42" s="1697"/>
      <c r="GK42" s="1697"/>
      <c r="GL42" s="1697"/>
      <c r="GM42" s="1697"/>
      <c r="GN42" s="1697"/>
      <c r="GO42" s="1697"/>
      <c r="GP42" s="1697"/>
      <c r="GQ42" s="1697"/>
      <c r="GR42" s="1697"/>
      <c r="GS42" s="1697"/>
      <c r="GT42" s="1697"/>
      <c r="GU42" s="1697">
        <v>3</v>
      </c>
      <c r="GV42" s="1697"/>
      <c r="GW42" s="1697"/>
      <c r="GX42" s="1697"/>
      <c r="GY42" s="1697"/>
      <c r="GZ42" s="1697"/>
      <c r="HA42" s="1697"/>
      <c r="HB42" s="1696">
        <v>18</v>
      </c>
      <c r="HC42" s="1697"/>
      <c r="HD42" s="1697"/>
      <c r="HE42" s="1697"/>
      <c r="HF42" s="1697"/>
      <c r="HG42" s="1696">
        <v>3</v>
      </c>
      <c r="HH42" s="1697"/>
      <c r="HI42" s="1710"/>
      <c r="HJ42" s="1710"/>
      <c r="HK42" s="1710"/>
      <c r="HL42" s="1710"/>
      <c r="HM42" s="1698">
        <v>265</v>
      </c>
      <c r="HN42" s="1697"/>
      <c r="HO42" s="1697"/>
      <c r="HP42" s="1710"/>
      <c r="HQ42" s="1697"/>
      <c r="HR42" s="1697"/>
      <c r="HS42" s="1696"/>
      <c r="HT42" s="1697"/>
      <c r="HU42" s="1697"/>
      <c r="HV42" s="1697"/>
      <c r="HW42" s="1697"/>
      <c r="HX42" s="1697"/>
      <c r="HY42" s="1697"/>
      <c r="HZ42" s="1697"/>
      <c r="IA42" s="1701">
        <v>1</v>
      </c>
      <c r="IB42" s="1697"/>
      <c r="IC42" s="1697"/>
      <c r="ID42" s="1697"/>
      <c r="IE42" s="1697"/>
      <c r="IF42" s="1698">
        <v>15</v>
      </c>
      <c r="IG42" s="1697"/>
      <c r="IH42" s="1696"/>
      <c r="II42" s="1701">
        <v>6</v>
      </c>
      <c r="IJ42" s="1697"/>
      <c r="IK42" s="1701">
        <v>5</v>
      </c>
      <c r="IL42" s="1697"/>
      <c r="IM42" s="1697"/>
      <c r="IN42" s="1697"/>
      <c r="IO42" s="1697"/>
      <c r="IP42" s="1697"/>
      <c r="IQ42" s="1697"/>
      <c r="IR42" s="1697"/>
      <c r="IS42" s="1701">
        <v>2</v>
      </c>
      <c r="IT42" s="1697"/>
      <c r="IU42" s="1697">
        <v>2</v>
      </c>
      <c r="IV42" s="1697"/>
      <c r="IW42" s="1697"/>
      <c r="IX42" s="1698">
        <v>182</v>
      </c>
      <c r="IY42" s="1697"/>
      <c r="IZ42" s="1696"/>
      <c r="JA42" s="1697"/>
      <c r="JB42" s="1697"/>
      <c r="JC42" s="1697"/>
      <c r="JD42" s="1698">
        <v>7</v>
      </c>
      <c r="JE42" s="1697"/>
      <c r="JF42" s="1697"/>
      <c r="JG42" s="1697"/>
      <c r="JH42" s="1697"/>
      <c r="JI42" s="1697"/>
      <c r="JJ42" s="1701">
        <v>44</v>
      </c>
      <c r="JK42" s="1697">
        <v>1</v>
      </c>
      <c r="JL42" s="1697"/>
      <c r="JM42" s="1697"/>
      <c r="JN42" s="1697"/>
      <c r="JO42" s="1697"/>
      <c r="JP42" s="1697"/>
      <c r="JQ42" s="1711">
        <v>1</v>
      </c>
      <c r="JR42" s="593"/>
      <c r="JS42" s="354"/>
      <c r="JT42" s="355" t="s">
        <v>3734</v>
      </c>
      <c r="JU42" s="598"/>
      <c r="JV42" s="598"/>
    </row>
    <row r="43" spans="1:282" x14ac:dyDescent="0.25">
      <c r="A43" s="1367">
        <v>42</v>
      </c>
      <c r="B43" s="1684">
        <f t="shared" si="6"/>
        <v>34228</v>
      </c>
      <c r="C43" s="1688" t="s">
        <v>4330</v>
      </c>
      <c r="D43" s="1360" t="s">
        <v>4257</v>
      </c>
      <c r="E43" s="1686"/>
      <c r="F43" s="1686"/>
      <c r="G43" s="1686"/>
      <c r="H43" s="1686"/>
      <c r="I43" s="1686"/>
      <c r="J43" s="1686"/>
      <c r="K43" s="1686"/>
      <c r="L43" s="1686"/>
      <c r="M43" s="1686"/>
      <c r="N43" s="1686"/>
      <c r="O43" s="1686"/>
      <c r="P43" s="1686"/>
      <c r="Q43" s="1686"/>
      <c r="R43" s="1686"/>
      <c r="S43" s="1686"/>
      <c r="T43" s="1686"/>
      <c r="U43" s="1686"/>
      <c r="V43" s="1686"/>
      <c r="W43" s="1686"/>
      <c r="X43" s="1686"/>
      <c r="Y43" s="1686"/>
      <c r="Z43" s="1686"/>
      <c r="AA43" s="1686"/>
      <c r="AB43" s="1686"/>
      <c r="AC43" s="1686"/>
      <c r="AD43" s="1686"/>
      <c r="AE43" s="1686"/>
      <c r="AF43" s="1686"/>
      <c r="AG43" s="1686"/>
      <c r="AH43" s="1686"/>
      <c r="AI43" s="1691"/>
      <c r="AJ43" s="1686"/>
      <c r="AK43" s="1691"/>
      <c r="AL43" s="1686"/>
      <c r="AM43" s="1686"/>
      <c r="AN43" s="1686"/>
      <c r="AO43" s="1691"/>
      <c r="AP43" s="1686"/>
      <c r="AQ43" s="1686"/>
      <c r="AR43" s="1686"/>
      <c r="AS43" s="1686"/>
      <c r="AT43" s="1686"/>
      <c r="AU43" s="1691"/>
      <c r="AV43" s="1686"/>
      <c r="AW43" s="1686"/>
      <c r="AX43" s="1686"/>
      <c r="AY43" s="1686"/>
      <c r="AZ43" s="1686"/>
      <c r="BA43" s="1686"/>
      <c r="BB43" s="1694">
        <v>36593</v>
      </c>
      <c r="BC43" s="1686"/>
      <c r="BD43" s="1691"/>
      <c r="BE43" s="1686"/>
      <c r="BF43" s="1686"/>
      <c r="BG43" s="1712"/>
      <c r="BH43" s="1686"/>
      <c r="BI43" s="1686"/>
      <c r="BJ43" s="1686"/>
      <c r="BK43" s="1686"/>
      <c r="BL43" s="1686"/>
      <c r="BM43" s="1686"/>
      <c r="BN43" s="1686"/>
      <c r="BO43" s="1686"/>
      <c r="BP43" s="1691"/>
      <c r="BQ43" s="1686"/>
      <c r="BR43" s="1686"/>
      <c r="BS43" s="1686"/>
      <c r="BT43" s="1694">
        <v>495505</v>
      </c>
      <c r="BU43" s="1691">
        <v>65000</v>
      </c>
      <c r="BV43" s="1686"/>
      <c r="BW43" s="1691"/>
      <c r="BX43" s="1686"/>
      <c r="BY43" s="1686"/>
      <c r="BZ43" s="1691"/>
      <c r="CA43" s="1686"/>
      <c r="CB43" s="1686"/>
      <c r="CC43" s="1686"/>
      <c r="CD43" s="1694">
        <v>114067</v>
      </c>
      <c r="CE43" s="1686"/>
      <c r="CF43" s="1686"/>
      <c r="CG43" s="1686"/>
      <c r="CH43" s="1686"/>
      <c r="CI43" s="1686"/>
      <c r="CJ43" s="1693">
        <v>125188.08</v>
      </c>
      <c r="CK43" s="1686"/>
      <c r="CL43" s="1686"/>
      <c r="CM43" s="1686"/>
      <c r="CN43" s="1686"/>
      <c r="CO43" s="1686"/>
      <c r="CP43" s="1686"/>
      <c r="CQ43" s="1686"/>
      <c r="CR43" s="1686"/>
      <c r="CS43" s="1686"/>
      <c r="CT43" s="1691">
        <v>65000</v>
      </c>
      <c r="CU43" s="1686"/>
      <c r="CV43" s="1686"/>
      <c r="CW43" s="1686"/>
      <c r="CX43" s="1686"/>
      <c r="CY43" s="1686"/>
      <c r="CZ43" s="1686"/>
      <c r="DA43" s="1691"/>
      <c r="DB43" s="1686"/>
      <c r="DC43" s="1691"/>
      <c r="DD43" s="1686"/>
      <c r="DE43" s="1686"/>
      <c r="DF43" s="1686"/>
      <c r="DG43" s="1691"/>
      <c r="DH43" s="1686"/>
      <c r="DI43" s="1686"/>
      <c r="DJ43" s="1691"/>
      <c r="DK43" s="1686"/>
      <c r="DL43" s="1686"/>
      <c r="DM43" s="1691"/>
      <c r="DN43" s="1686"/>
      <c r="DO43" s="1691">
        <v>99000</v>
      </c>
      <c r="DP43" s="1686"/>
      <c r="DQ43" s="1686"/>
      <c r="DR43" s="1693">
        <v>95696</v>
      </c>
      <c r="DS43" s="1686"/>
      <c r="DT43" s="1686"/>
      <c r="DU43" s="1686"/>
      <c r="DV43" s="1686"/>
      <c r="DW43" s="1693">
        <v>1208862</v>
      </c>
      <c r="DX43" s="1686"/>
      <c r="DY43" s="1693">
        <v>15428</v>
      </c>
      <c r="DZ43" s="1686"/>
      <c r="EA43" s="1686"/>
      <c r="EB43" s="1686"/>
      <c r="EC43" s="1686"/>
      <c r="ED43" s="1694">
        <v>351686</v>
      </c>
      <c r="EE43" s="1422">
        <v>1858493</v>
      </c>
      <c r="EF43" s="1686"/>
      <c r="EG43" s="1694"/>
      <c r="EH43" s="1691"/>
      <c r="EI43" s="1686"/>
      <c r="EJ43" s="1686"/>
      <c r="EK43" s="1686"/>
      <c r="EL43" s="1693">
        <v>204621</v>
      </c>
      <c r="EM43" s="1693">
        <v>213643</v>
      </c>
      <c r="EN43" s="1693">
        <v>15373.75</v>
      </c>
      <c r="EO43" s="1686"/>
      <c r="EP43" s="1686"/>
      <c r="EQ43" s="1693">
        <v>55391</v>
      </c>
      <c r="ER43" s="1694">
        <v>111839</v>
      </c>
      <c r="ES43" s="1686"/>
      <c r="ET43" s="1693">
        <v>639603</v>
      </c>
      <c r="EU43" s="1693">
        <v>3573</v>
      </c>
      <c r="EV43" s="1691">
        <v>65000</v>
      </c>
      <c r="EW43" s="1693">
        <v>11</v>
      </c>
      <c r="EX43" s="1686"/>
      <c r="EY43" s="1691"/>
      <c r="EZ43" s="1693">
        <v>107003</v>
      </c>
      <c r="FA43" s="1693">
        <v>22796</v>
      </c>
      <c r="FB43" s="1693">
        <v>7923</v>
      </c>
      <c r="FC43" s="1693">
        <v>111839</v>
      </c>
      <c r="FD43" s="1693">
        <v>2189</v>
      </c>
      <c r="FE43" s="1694"/>
      <c r="FF43" s="1694">
        <v>130764</v>
      </c>
      <c r="FG43" s="1691"/>
      <c r="FH43" s="1694">
        <v>2189</v>
      </c>
      <c r="FI43" s="1691"/>
      <c r="FJ43" s="1694">
        <v>5016682</v>
      </c>
      <c r="FK43" s="1694">
        <v>27657.98</v>
      </c>
      <c r="FL43" s="1691"/>
      <c r="FM43" s="1691"/>
      <c r="FN43" s="1691">
        <v>99000</v>
      </c>
      <c r="FO43" s="1694"/>
      <c r="FP43" s="1694">
        <v>34228</v>
      </c>
      <c r="FQ43" s="1686"/>
      <c r="FR43" s="1686"/>
      <c r="FS43" s="1686"/>
      <c r="FT43" s="1686"/>
      <c r="FU43" s="1686"/>
      <c r="FV43" s="1686"/>
      <c r="FW43" s="1686"/>
      <c r="FX43" s="1686"/>
      <c r="FY43" s="1686"/>
      <c r="FZ43" s="1686"/>
      <c r="GA43" s="1686"/>
      <c r="GB43" s="1686"/>
      <c r="GC43" s="1686"/>
      <c r="GD43" s="1686"/>
      <c r="GE43" s="1686"/>
      <c r="GF43" s="1686"/>
      <c r="GG43" s="1686"/>
      <c r="GH43" s="1686"/>
      <c r="GI43" s="1686"/>
      <c r="GJ43" s="1686"/>
      <c r="GK43" s="1358"/>
      <c r="GL43" s="1686"/>
      <c r="GM43" s="1686"/>
      <c r="GN43" s="1686"/>
      <c r="GO43" s="1686"/>
      <c r="GP43" s="1686"/>
      <c r="GQ43" s="1686"/>
      <c r="GR43" s="1686"/>
      <c r="GS43" s="1686"/>
      <c r="GT43" s="1686"/>
      <c r="GU43" s="1686">
        <v>42000</v>
      </c>
      <c r="GV43" s="1686"/>
      <c r="GW43" s="1686"/>
      <c r="GX43" s="1686"/>
      <c r="GY43" s="1686"/>
      <c r="GZ43" s="1686"/>
      <c r="HA43" s="1686"/>
      <c r="HB43" s="1691">
        <v>30000</v>
      </c>
      <c r="HC43" s="1686"/>
      <c r="HD43" s="1686"/>
      <c r="HE43" s="1686"/>
      <c r="HF43" s="1686"/>
      <c r="HG43" s="1691">
        <v>99000</v>
      </c>
      <c r="HH43" s="1686"/>
      <c r="HI43" s="1712"/>
      <c r="HJ43" s="1712"/>
      <c r="HK43" s="1712"/>
      <c r="HL43" s="1712"/>
      <c r="HM43" s="1694">
        <v>595126</v>
      </c>
      <c r="HN43" s="1686"/>
      <c r="HO43" s="1686"/>
      <c r="HP43" s="1712"/>
      <c r="HQ43" s="1686"/>
      <c r="HR43" s="1686"/>
      <c r="HS43" s="1691"/>
      <c r="HT43" s="1686"/>
      <c r="HU43" s="1686"/>
      <c r="HV43" s="1686"/>
      <c r="HW43" s="1686"/>
      <c r="HX43" s="1686"/>
      <c r="HY43" s="1686"/>
      <c r="HZ43" s="1686"/>
      <c r="IA43" s="1693">
        <v>563282</v>
      </c>
      <c r="IB43" s="1686"/>
      <c r="IC43" s="1686"/>
      <c r="ID43" s="1686"/>
      <c r="IE43" s="1686"/>
      <c r="IF43" s="1694">
        <v>7755</v>
      </c>
      <c r="IG43" s="1686"/>
      <c r="IH43" s="1691"/>
      <c r="II43" s="1693">
        <v>1199883</v>
      </c>
      <c r="IJ43" s="1686"/>
      <c r="IK43" s="1693">
        <v>223355</v>
      </c>
      <c r="IL43" s="1686"/>
      <c r="IM43" s="1686"/>
      <c r="IN43" s="1686"/>
      <c r="IO43" s="1686"/>
      <c r="IP43" s="1686"/>
      <c r="IQ43" s="1686"/>
      <c r="IR43" s="1686"/>
      <c r="IS43" s="1693">
        <v>94213</v>
      </c>
      <c r="IT43" s="1686"/>
      <c r="IU43" s="1686"/>
      <c r="IV43" s="1686"/>
      <c r="IW43" s="1686"/>
      <c r="IX43" s="1694">
        <v>1676135</v>
      </c>
      <c r="IY43" s="1686"/>
      <c r="IZ43" s="1691"/>
      <c r="JA43" s="1686"/>
      <c r="JB43" s="1686"/>
      <c r="JC43" s="1686"/>
      <c r="JD43" s="1694">
        <v>430813</v>
      </c>
      <c r="JE43" s="1686"/>
      <c r="JF43" s="1686"/>
      <c r="JG43" s="1686"/>
      <c r="JH43" s="1686"/>
      <c r="JI43" s="1686"/>
      <c r="JJ43" s="1693">
        <v>157998</v>
      </c>
      <c r="JK43" s="1686">
        <v>1700</v>
      </c>
      <c r="JL43" s="1686"/>
      <c r="JM43" s="1686"/>
      <c r="JN43" s="1686"/>
      <c r="JO43" s="1686"/>
      <c r="JP43" s="1686"/>
      <c r="JQ43" s="1713">
        <v>1019285</v>
      </c>
      <c r="JR43" s="593"/>
      <c r="JS43" s="354"/>
      <c r="JT43" s="355" t="s">
        <v>2242</v>
      </c>
      <c r="JU43" s="355" t="s">
        <v>4329</v>
      </c>
      <c r="JV43" s="598"/>
    </row>
    <row r="44" spans="1:282" x14ac:dyDescent="0.25">
      <c r="A44" s="1367">
        <v>43</v>
      </c>
      <c r="B44" s="1684">
        <f t="shared" si="6"/>
        <v>26819</v>
      </c>
      <c r="C44" s="1688" t="s">
        <v>4331</v>
      </c>
      <c r="D44" s="1360" t="s">
        <v>4259</v>
      </c>
      <c r="E44" s="1686"/>
      <c r="F44" s="1686"/>
      <c r="G44" s="1686"/>
      <c r="H44" s="1686"/>
      <c r="I44" s="1686"/>
      <c r="J44" s="1686"/>
      <c r="K44" s="1686"/>
      <c r="L44" s="1686"/>
      <c r="M44" s="1686"/>
      <c r="N44" s="1686"/>
      <c r="O44" s="1686"/>
      <c r="P44" s="1686"/>
      <c r="Q44" s="1686"/>
      <c r="R44" s="1686"/>
      <c r="S44" s="1686"/>
      <c r="T44" s="1686"/>
      <c r="U44" s="1686"/>
      <c r="V44" s="1686"/>
      <c r="W44" s="1686"/>
      <c r="X44" s="1686"/>
      <c r="Y44" s="1686"/>
      <c r="Z44" s="1686"/>
      <c r="AA44" s="1686"/>
      <c r="AB44" s="1686"/>
      <c r="AC44" s="1686"/>
      <c r="AD44" s="1686"/>
      <c r="AE44" s="1686"/>
      <c r="AF44" s="1686"/>
      <c r="AG44" s="1686"/>
      <c r="AH44" s="1686"/>
      <c r="AI44" s="1691"/>
      <c r="AJ44" s="1686"/>
      <c r="AK44" s="1691"/>
      <c r="AL44" s="1686"/>
      <c r="AM44" s="1686"/>
      <c r="AN44" s="1686"/>
      <c r="AO44" s="1691"/>
      <c r="AP44" s="1686"/>
      <c r="AQ44" s="1686"/>
      <c r="AR44" s="1686"/>
      <c r="AS44" s="1686"/>
      <c r="AT44" s="1686"/>
      <c r="AU44" s="1691"/>
      <c r="AV44" s="1686"/>
      <c r="AW44" s="1686"/>
      <c r="AX44" s="1686"/>
      <c r="AY44" s="1686"/>
      <c r="AZ44" s="1686"/>
      <c r="BA44" s="1686"/>
      <c r="BB44" s="1691"/>
      <c r="BC44" s="1686"/>
      <c r="BD44" s="1691"/>
      <c r="BE44" s="1686"/>
      <c r="BF44" s="1686"/>
      <c r="BG44" s="1712"/>
      <c r="BH44" s="1686"/>
      <c r="BI44" s="1686"/>
      <c r="BJ44" s="1686"/>
      <c r="BK44" s="1686"/>
      <c r="BL44" s="1686"/>
      <c r="BM44" s="1686"/>
      <c r="BN44" s="1686"/>
      <c r="BO44" s="1686"/>
      <c r="BP44" s="1691"/>
      <c r="BQ44" s="1686"/>
      <c r="BR44" s="1686"/>
      <c r="BS44" s="1686"/>
      <c r="BT44" s="1694">
        <v>473514</v>
      </c>
      <c r="BU44" s="1691">
        <v>25000</v>
      </c>
      <c r="BV44" s="1686"/>
      <c r="BW44" s="1691"/>
      <c r="BX44" s="1686"/>
      <c r="BY44" s="1686"/>
      <c r="BZ44" s="1691"/>
      <c r="CA44" s="1686"/>
      <c r="CB44" s="1686"/>
      <c r="CC44" s="1686"/>
      <c r="CD44" s="1694">
        <v>28081</v>
      </c>
      <c r="CE44" s="1686"/>
      <c r="CF44" s="1686"/>
      <c r="CG44" s="1686"/>
      <c r="CH44" s="1686"/>
      <c r="CI44" s="1686"/>
      <c r="CJ44" s="1693">
        <v>119689</v>
      </c>
      <c r="CK44" s="1686"/>
      <c r="CL44" s="1686"/>
      <c r="CM44" s="1686"/>
      <c r="CN44" s="1686"/>
      <c r="CO44" s="1686"/>
      <c r="CP44" s="1686"/>
      <c r="CQ44" s="1686"/>
      <c r="CR44" s="1686"/>
      <c r="CS44" s="1686"/>
      <c r="CT44" s="1691">
        <v>25000</v>
      </c>
      <c r="CU44" s="1686"/>
      <c r="CV44" s="1686"/>
      <c r="CW44" s="1686"/>
      <c r="CX44" s="1686"/>
      <c r="CY44" s="1686"/>
      <c r="CZ44" s="1686"/>
      <c r="DA44" s="1691"/>
      <c r="DB44" s="1686"/>
      <c r="DC44" s="1691"/>
      <c r="DD44" s="1686"/>
      <c r="DE44" s="1686"/>
      <c r="DF44" s="1686"/>
      <c r="DG44" s="1691"/>
      <c r="DH44" s="1686"/>
      <c r="DI44" s="1686"/>
      <c r="DJ44" s="1691"/>
      <c r="DK44" s="1686"/>
      <c r="DL44" s="1686"/>
      <c r="DM44" s="1691"/>
      <c r="DN44" s="1686"/>
      <c r="DO44" s="1691">
        <v>9000</v>
      </c>
      <c r="DP44" s="1686"/>
      <c r="DQ44" s="1686"/>
      <c r="DR44" s="1693">
        <v>90000</v>
      </c>
      <c r="DS44" s="1686"/>
      <c r="DT44" s="1686"/>
      <c r="DU44" s="1686"/>
      <c r="DV44" s="1686"/>
      <c r="DW44" s="1693">
        <v>200238</v>
      </c>
      <c r="DX44" s="1686"/>
      <c r="DY44" s="1693">
        <v>17174</v>
      </c>
      <c r="DZ44" s="1686"/>
      <c r="EA44" s="1686"/>
      <c r="EB44" s="1686"/>
      <c r="EC44" s="1686"/>
      <c r="ED44" s="1694">
        <v>322272</v>
      </c>
      <c r="EE44" s="1422">
        <v>1517186</v>
      </c>
      <c r="EF44" s="1686"/>
      <c r="EG44" s="1694"/>
      <c r="EH44" s="1691"/>
      <c r="EI44" s="1686"/>
      <c r="EJ44" s="1686"/>
      <c r="EK44" s="1686"/>
      <c r="EL44" s="1693">
        <v>196941</v>
      </c>
      <c r="EM44" s="1693">
        <v>217404</v>
      </c>
      <c r="EN44" s="1693">
        <v>40418</v>
      </c>
      <c r="EO44" s="1686"/>
      <c r="EP44" s="1686"/>
      <c r="EQ44" s="1693">
        <v>43251</v>
      </c>
      <c r="ER44" s="1694">
        <v>96816</v>
      </c>
      <c r="ES44" s="1686"/>
      <c r="ET44" s="1693">
        <v>648287</v>
      </c>
      <c r="EU44" s="1693">
        <v>4212</v>
      </c>
      <c r="EV44" s="1691">
        <v>25000</v>
      </c>
      <c r="EW44" s="1686"/>
      <c r="EX44" s="1686"/>
      <c r="EY44" s="1691"/>
      <c r="EZ44" s="1693">
        <v>66947</v>
      </c>
      <c r="FA44" s="1693">
        <v>34346</v>
      </c>
      <c r="FB44" s="1693">
        <v>8183</v>
      </c>
      <c r="FC44" s="1693">
        <v>96816</v>
      </c>
      <c r="FD44" s="1693">
        <v>14000</v>
      </c>
      <c r="FE44" s="1694"/>
      <c r="FF44" s="1694">
        <v>91395</v>
      </c>
      <c r="FG44" s="1691"/>
      <c r="FH44" s="1694">
        <v>14000</v>
      </c>
      <c r="FI44" s="1691"/>
      <c r="FJ44" s="1694">
        <v>4795696</v>
      </c>
      <c r="FK44" s="1694">
        <v>11310</v>
      </c>
      <c r="FL44" s="1691"/>
      <c r="FM44" s="1691"/>
      <c r="FN44" s="1691">
        <v>9000</v>
      </c>
      <c r="FO44" s="1694"/>
      <c r="FP44" s="1694">
        <v>26819</v>
      </c>
      <c r="FQ44" s="1686"/>
      <c r="FR44" s="1686"/>
      <c r="FS44" s="1686"/>
      <c r="FT44" s="1686"/>
      <c r="FU44" s="1686"/>
      <c r="FV44" s="1686"/>
      <c r="FW44" s="1686"/>
      <c r="FX44" s="1686"/>
      <c r="FY44" s="1686"/>
      <c r="FZ44" s="1686"/>
      <c r="GA44" s="1686"/>
      <c r="GB44" s="1686"/>
      <c r="GC44" s="1686"/>
      <c r="GD44" s="1686"/>
      <c r="GE44" s="1686"/>
      <c r="GF44" s="1686"/>
      <c r="GG44" s="1686"/>
      <c r="GH44" s="1686"/>
      <c r="GI44" s="1686"/>
      <c r="GJ44" s="1686"/>
      <c r="GK44" s="1358"/>
      <c r="GL44" s="1686"/>
      <c r="GM44" s="1686"/>
      <c r="GN44" s="1686"/>
      <c r="GO44" s="1686"/>
      <c r="GP44" s="1686"/>
      <c r="GQ44" s="1686"/>
      <c r="GR44" s="1686"/>
      <c r="GS44" s="1686"/>
      <c r="GT44" s="1686"/>
      <c r="GU44" s="1686">
        <v>7000</v>
      </c>
      <c r="GV44" s="1686"/>
      <c r="GW44" s="1686"/>
      <c r="GX44" s="1686"/>
      <c r="GY44" s="1686"/>
      <c r="GZ44" s="1686"/>
      <c r="HA44" s="1686"/>
      <c r="HB44" s="1691">
        <v>40000</v>
      </c>
      <c r="HC44" s="1686"/>
      <c r="HD44" s="1686"/>
      <c r="HE44" s="1686"/>
      <c r="HF44" s="1686"/>
      <c r="HG44" s="1691">
        <v>9000</v>
      </c>
      <c r="HH44" s="1686"/>
      <c r="HI44" s="1712"/>
      <c r="HJ44" s="1712"/>
      <c r="HK44" s="1712"/>
      <c r="HL44" s="1712"/>
      <c r="HM44" s="1694">
        <v>584869</v>
      </c>
      <c r="HN44" s="1686"/>
      <c r="HO44" s="1686"/>
      <c r="HP44" s="1712"/>
      <c r="HQ44" s="1686"/>
      <c r="HR44" s="1686"/>
      <c r="HS44" s="1691"/>
      <c r="HT44" s="1686"/>
      <c r="HU44" s="1686"/>
      <c r="HV44" s="1686"/>
      <c r="HW44" s="1686"/>
      <c r="HX44" s="1686"/>
      <c r="HY44" s="1686"/>
      <c r="HZ44" s="1686"/>
      <c r="IA44" s="1693">
        <v>538211</v>
      </c>
      <c r="IB44" s="1686"/>
      <c r="IC44" s="1686"/>
      <c r="ID44" s="1686"/>
      <c r="IE44" s="1686"/>
      <c r="IF44" s="1694">
        <v>7899</v>
      </c>
      <c r="IG44" s="1686"/>
      <c r="IH44" s="1691"/>
      <c r="II44" s="1693">
        <v>824670</v>
      </c>
      <c r="IJ44" s="1686"/>
      <c r="IK44" s="1693">
        <v>200000</v>
      </c>
      <c r="IL44" s="1686"/>
      <c r="IM44" s="1686"/>
      <c r="IN44" s="1686"/>
      <c r="IO44" s="1686"/>
      <c r="IP44" s="1686"/>
      <c r="IQ44" s="1686"/>
      <c r="IR44" s="1686"/>
      <c r="IS44" s="1693">
        <v>107108</v>
      </c>
      <c r="IT44" s="1686"/>
      <c r="IU44" s="1686">
        <v>22000</v>
      </c>
      <c r="IV44" s="1686"/>
      <c r="IW44" s="1686"/>
      <c r="IX44" s="1694">
        <v>1149663</v>
      </c>
      <c r="IY44" s="1686"/>
      <c r="IZ44" s="1691"/>
      <c r="JA44" s="1686"/>
      <c r="JB44" s="1686"/>
      <c r="JC44" s="1686"/>
      <c r="JD44" s="1694">
        <v>450818</v>
      </c>
      <c r="JE44" s="1686"/>
      <c r="JF44" s="1686"/>
      <c r="JG44" s="1686"/>
      <c r="JH44" s="1686"/>
      <c r="JI44" s="1686"/>
      <c r="JJ44" s="1693">
        <v>146820</v>
      </c>
      <c r="JK44" s="1686">
        <v>821</v>
      </c>
      <c r="JL44" s="1686"/>
      <c r="JM44" s="1686"/>
      <c r="JN44" s="1686"/>
      <c r="JO44" s="1686"/>
      <c r="JP44" s="1686"/>
      <c r="JQ44" s="1713">
        <v>24340</v>
      </c>
      <c r="JR44" s="593"/>
      <c r="JS44" s="354"/>
      <c r="JT44" s="355" t="s">
        <v>2242</v>
      </c>
      <c r="JU44" s="598"/>
      <c r="JV44" s="598"/>
    </row>
    <row r="45" spans="1:282" x14ac:dyDescent="0.25">
      <c r="A45" s="1367">
        <v>44</v>
      </c>
      <c r="B45" s="1684">
        <f t="shared" si="6"/>
        <v>7409</v>
      </c>
      <c r="C45" s="1688" t="s">
        <v>4332</v>
      </c>
      <c r="D45" s="1360" t="s">
        <v>4292</v>
      </c>
      <c r="E45" s="2592"/>
      <c r="F45" s="2592"/>
      <c r="G45" s="2592"/>
      <c r="H45" s="2592"/>
      <c r="I45" s="2592"/>
      <c r="J45" s="2592"/>
      <c r="K45" s="2592"/>
      <c r="L45" s="2592"/>
      <c r="M45" s="2592"/>
      <c r="N45" s="2592"/>
      <c r="O45" s="2592"/>
      <c r="P45" s="2592"/>
      <c r="Q45" s="2592"/>
      <c r="R45" s="2592"/>
      <c r="S45" s="2592"/>
      <c r="T45" s="2592"/>
      <c r="U45" s="2592"/>
      <c r="V45" s="2592"/>
      <c r="W45" s="2592"/>
      <c r="X45" s="2592"/>
      <c r="Y45" s="2592"/>
      <c r="Z45" s="2592"/>
      <c r="AA45" s="2592"/>
      <c r="AB45" s="2592"/>
      <c r="AC45" s="2592"/>
      <c r="AD45" s="2592"/>
      <c r="AE45" s="2592"/>
      <c r="AF45" s="2592"/>
      <c r="AG45" s="2592"/>
      <c r="AH45" s="2592"/>
      <c r="AI45" s="2592"/>
      <c r="AJ45" s="2592"/>
      <c r="AK45" s="2592"/>
      <c r="AL45" s="2592"/>
      <c r="AM45" s="2592"/>
      <c r="AN45" s="2592"/>
      <c r="AO45" s="2592"/>
      <c r="AP45" s="2592"/>
      <c r="AQ45" s="2592"/>
      <c r="AR45" s="2592"/>
      <c r="AS45" s="2592"/>
      <c r="AT45" s="2592"/>
      <c r="AU45" s="2592"/>
      <c r="AV45" s="2592"/>
      <c r="AW45" s="2592"/>
      <c r="AX45" s="2592"/>
      <c r="AY45" s="2592"/>
      <c r="AZ45" s="2592"/>
      <c r="BA45" s="2592"/>
      <c r="BB45" s="2592"/>
      <c r="BC45" s="2592"/>
      <c r="BD45" s="2592"/>
      <c r="BE45" s="2592"/>
      <c r="BF45" s="2592"/>
      <c r="BG45" s="2592"/>
      <c r="BH45" s="2592"/>
      <c r="BI45" s="2592"/>
      <c r="BJ45" s="2592"/>
      <c r="BK45" s="2592"/>
      <c r="BL45" s="2592"/>
      <c r="BM45" s="2592"/>
      <c r="BN45" s="2592"/>
      <c r="BO45" s="2592"/>
      <c r="BP45" s="2592"/>
      <c r="BQ45" s="2592"/>
      <c r="BR45" s="2592"/>
      <c r="BS45" s="2592"/>
      <c r="BT45" s="1694">
        <v>32056</v>
      </c>
      <c r="BU45" s="2592">
        <f>MAX(0,BU43-BU44)</f>
        <v>40000</v>
      </c>
      <c r="BV45" s="2592"/>
      <c r="BW45" s="2592"/>
      <c r="BX45" s="2592"/>
      <c r="BY45" s="2592"/>
      <c r="BZ45" s="2592"/>
      <c r="CA45" s="2592"/>
      <c r="CB45" s="2592"/>
      <c r="CC45" s="2592"/>
      <c r="CD45" s="1694">
        <f>MAX(0,CD43-CD44)</f>
        <v>85986</v>
      </c>
      <c r="CE45" s="2592"/>
      <c r="CF45" s="2592"/>
      <c r="CG45" s="2592"/>
      <c r="CH45" s="2592"/>
      <c r="CI45" s="2592"/>
      <c r="CJ45" s="1693">
        <v>5499</v>
      </c>
      <c r="CK45" s="2592"/>
      <c r="CL45" s="2592"/>
      <c r="CM45" s="2592"/>
      <c r="CN45" s="2592"/>
      <c r="CO45" s="2592"/>
      <c r="CP45" s="2592"/>
      <c r="CQ45" s="2592"/>
      <c r="CR45" s="2592"/>
      <c r="CS45" s="2592"/>
      <c r="CT45" s="2592">
        <f>MAX(0,CT43-CT44)</f>
        <v>40000</v>
      </c>
      <c r="CU45" s="2592"/>
      <c r="CV45" s="2592"/>
      <c r="CW45" s="2592"/>
      <c r="CX45" s="2592"/>
      <c r="CY45" s="2592"/>
      <c r="CZ45" s="2592"/>
      <c r="DA45" s="2592"/>
      <c r="DB45" s="2592"/>
      <c r="DC45" s="2592"/>
      <c r="DD45" s="2592"/>
      <c r="DE45" s="2592"/>
      <c r="DF45" s="2592"/>
      <c r="DG45" s="2592"/>
      <c r="DH45" s="2592"/>
      <c r="DI45" s="2592"/>
      <c r="DJ45" s="2592"/>
      <c r="DK45" s="2592"/>
      <c r="DL45" s="2592"/>
      <c r="DM45" s="2592"/>
      <c r="DN45" s="2592"/>
      <c r="DO45" s="2592">
        <f>MAX(0,DO43-DO44)</f>
        <v>90000</v>
      </c>
      <c r="DP45" s="2592"/>
      <c r="DQ45" s="2592"/>
      <c r="DR45" s="1694">
        <f>MAX(0,DR43-DR44)</f>
        <v>5696</v>
      </c>
      <c r="DS45" s="2592"/>
      <c r="DT45" s="2592"/>
      <c r="DU45" s="2592"/>
      <c r="DV45" s="2592"/>
      <c r="DW45" s="1693">
        <v>54019</v>
      </c>
      <c r="DX45" s="2592"/>
      <c r="DY45" s="2592"/>
      <c r="DZ45" s="2592"/>
      <c r="EA45" s="2592"/>
      <c r="EB45" s="2592"/>
      <c r="EC45" s="2592"/>
      <c r="ED45" s="1694">
        <f>MAX(0,ED43-ED44)</f>
        <v>29414</v>
      </c>
      <c r="EE45" s="1694">
        <f>MAX(0,EE43-EE44)</f>
        <v>341307</v>
      </c>
      <c r="EF45" s="2592"/>
      <c r="EG45" s="1694"/>
      <c r="EH45" s="2592"/>
      <c r="EI45" s="2592"/>
      <c r="EJ45" s="2592"/>
      <c r="EK45" s="2592"/>
      <c r="EL45" s="1693">
        <v>8588</v>
      </c>
      <c r="EM45" s="1693">
        <v>1087</v>
      </c>
      <c r="EN45" s="2592"/>
      <c r="EO45" s="1693">
        <v>52483</v>
      </c>
      <c r="EP45" s="2592"/>
      <c r="EQ45" s="1694">
        <f>MAX(0,EQ43-EQ44)</f>
        <v>12140</v>
      </c>
      <c r="ER45" s="1694">
        <f>MAX(0,ER43-ER44)</f>
        <v>15023</v>
      </c>
      <c r="ES45" s="2592"/>
      <c r="ET45" s="1693">
        <v>35981</v>
      </c>
      <c r="EU45" s="2592"/>
      <c r="EV45" s="2592">
        <f>MAX(0,EV43-EV44)</f>
        <v>40000</v>
      </c>
      <c r="EW45" s="1693">
        <v>38289</v>
      </c>
      <c r="EX45" s="2592"/>
      <c r="EY45" s="2592"/>
      <c r="EZ45" s="1694">
        <f>MAX(0,EZ43-EZ44)</f>
        <v>40056</v>
      </c>
      <c r="FA45" s="1693">
        <v>9997</v>
      </c>
      <c r="FB45" s="2592"/>
      <c r="FC45" s="1693">
        <v>17046</v>
      </c>
      <c r="FD45" s="2592">
        <f>MAX(0,FD43-FD44)</f>
        <v>0</v>
      </c>
      <c r="FE45" s="1694"/>
      <c r="FF45" s="1694">
        <f t="shared" ref="FF45:FM45" si="7">MAX(0,FF43-FF44)</f>
        <v>39369</v>
      </c>
      <c r="FG45" s="2592"/>
      <c r="FH45" s="2592">
        <f t="shared" si="7"/>
        <v>0</v>
      </c>
      <c r="FI45" s="2592"/>
      <c r="FJ45" s="2592">
        <f t="shared" si="7"/>
        <v>220986</v>
      </c>
      <c r="FK45" s="1694">
        <f t="shared" si="7"/>
        <v>16347.98</v>
      </c>
      <c r="FL45" s="2592">
        <f t="shared" si="7"/>
        <v>0</v>
      </c>
      <c r="FM45" s="2592">
        <f t="shared" si="7"/>
        <v>0</v>
      </c>
      <c r="FN45" s="2592">
        <f>MAX(0,FN43-FN44)</f>
        <v>90000</v>
      </c>
      <c r="FO45" s="1694">
        <f>MAX(0,FO43-FO44)</f>
        <v>0</v>
      </c>
      <c r="FP45" s="1694">
        <f>MAX(0,FP43-FP44)</f>
        <v>7409</v>
      </c>
      <c r="FQ45" s="2592"/>
      <c r="FR45" s="2592"/>
      <c r="FS45" s="2592"/>
      <c r="FT45" s="2592"/>
      <c r="FU45" s="2592"/>
      <c r="FV45" s="2592"/>
      <c r="FW45" s="2592"/>
      <c r="FX45" s="2592"/>
      <c r="FY45" s="2592"/>
      <c r="FZ45" s="2592"/>
      <c r="GA45" s="2592"/>
      <c r="GB45" s="2592"/>
      <c r="GC45" s="2592"/>
      <c r="GD45" s="2592"/>
      <c r="GE45" s="2592"/>
      <c r="GF45" s="2592"/>
      <c r="GG45" s="2592"/>
      <c r="GH45" s="2592"/>
      <c r="GI45" s="2592"/>
      <c r="GJ45" s="2592"/>
      <c r="GK45" s="2592"/>
      <c r="GL45" s="2592"/>
      <c r="GM45" s="2592"/>
      <c r="GN45" s="2592"/>
      <c r="GO45" s="2592"/>
      <c r="GP45" s="2592"/>
      <c r="GQ45" s="2592"/>
      <c r="GR45" s="2592"/>
      <c r="GS45" s="2592"/>
      <c r="GT45" s="2592"/>
      <c r="GU45" s="2592">
        <f>MAX(0,GU43-GU44)</f>
        <v>35000</v>
      </c>
      <c r="GV45" s="2592"/>
      <c r="GW45" s="2592"/>
      <c r="GX45" s="2592"/>
      <c r="GY45" s="2592"/>
      <c r="GZ45" s="2592"/>
      <c r="HA45" s="2592"/>
      <c r="HB45" s="2592"/>
      <c r="HC45" s="2592"/>
      <c r="HD45" s="2592"/>
      <c r="HE45" s="2592"/>
      <c r="HF45" s="2592"/>
      <c r="HG45" s="2592">
        <f>MAX(0,HG43-HG44)</f>
        <v>90000</v>
      </c>
      <c r="HH45" s="2592"/>
      <c r="HI45" s="2592"/>
      <c r="HJ45" s="2592"/>
      <c r="HK45" s="2592"/>
      <c r="HL45" s="2592"/>
      <c r="HM45" s="1694">
        <v>76221</v>
      </c>
      <c r="HN45" s="2592"/>
      <c r="HO45" s="2592"/>
      <c r="HP45" s="2592"/>
      <c r="HQ45" s="2592"/>
      <c r="HR45" s="2592"/>
      <c r="HS45" s="2592"/>
      <c r="HT45" s="2592"/>
      <c r="HU45" s="2592"/>
      <c r="HV45" s="2592"/>
      <c r="HW45" s="2592"/>
      <c r="HX45" s="2592"/>
      <c r="HY45" s="2592"/>
      <c r="HZ45" s="2592"/>
      <c r="IA45" s="1693">
        <v>25072</v>
      </c>
      <c r="IB45" s="2593"/>
      <c r="IC45" s="2593"/>
      <c r="ID45" s="2593"/>
      <c r="IE45" s="2593"/>
      <c r="IF45" s="1694">
        <v>387</v>
      </c>
      <c r="IG45" s="2593"/>
      <c r="IH45" s="2593"/>
      <c r="II45" s="1693">
        <v>375213</v>
      </c>
      <c r="IJ45" s="2593"/>
      <c r="IK45" s="1693">
        <v>23355</v>
      </c>
      <c r="IL45" s="2593"/>
      <c r="IM45" s="2593"/>
      <c r="IN45" s="2593"/>
      <c r="IO45" s="2593"/>
      <c r="IP45" s="2593"/>
      <c r="IQ45" s="2593"/>
      <c r="IR45" s="2593"/>
      <c r="IS45" s="2593"/>
      <c r="IT45" s="2593"/>
      <c r="IU45" s="2593">
        <v>0</v>
      </c>
      <c r="IV45" s="2593"/>
      <c r="IW45" s="2593"/>
      <c r="IX45" s="1694">
        <v>579723</v>
      </c>
      <c r="IY45" s="2593"/>
      <c r="IZ45" s="2593"/>
      <c r="JA45" s="2593"/>
      <c r="JB45" s="2593"/>
      <c r="JC45" s="2593"/>
      <c r="JD45" s="2593"/>
      <c r="JE45" s="2593"/>
      <c r="JF45" s="2593"/>
      <c r="JG45" s="2593"/>
      <c r="JH45" s="2593">
        <v>0</v>
      </c>
      <c r="JI45" s="2593">
        <v>0</v>
      </c>
      <c r="JJ45" s="1693">
        <v>19575</v>
      </c>
      <c r="JK45" s="2592">
        <f>MAX(0,JK43-JK44)</f>
        <v>879</v>
      </c>
      <c r="JL45" s="2593"/>
      <c r="JM45" s="2593"/>
      <c r="JN45" s="2593"/>
      <c r="JO45" s="2593"/>
      <c r="JP45" s="2593"/>
      <c r="JQ45" s="1694">
        <f>MAX(0,JQ43-JQ44)</f>
        <v>994945</v>
      </c>
      <c r="JR45" s="593"/>
      <c r="JS45" s="354"/>
      <c r="JT45" s="355" t="s">
        <v>2242</v>
      </c>
      <c r="JU45" s="355" t="s">
        <v>4333</v>
      </c>
      <c r="JV45" s="598"/>
    </row>
    <row r="46" spans="1:282" x14ac:dyDescent="0.25">
      <c r="A46" s="1367">
        <v>45</v>
      </c>
      <c r="B46" s="1684" t="str">
        <f t="shared" si="6"/>
        <v/>
      </c>
      <c r="C46" s="1689" t="s">
        <v>4334</v>
      </c>
      <c r="D46" s="1690" t="s">
        <v>3252</v>
      </c>
      <c r="E46" s="1673"/>
      <c r="F46" s="1673"/>
      <c r="G46" s="1673"/>
      <c r="H46" s="1673"/>
      <c r="I46" s="1673"/>
      <c r="J46" s="1673"/>
      <c r="K46" s="1673"/>
      <c r="L46" s="1673"/>
      <c r="M46" s="1673"/>
      <c r="N46" s="1673"/>
      <c r="O46" s="1673"/>
      <c r="P46" s="1673"/>
      <c r="Q46" s="1673"/>
      <c r="R46" s="1673"/>
      <c r="S46" s="1673"/>
      <c r="T46" s="1673"/>
      <c r="U46" s="1673"/>
      <c r="V46" s="1673"/>
      <c r="W46" s="1673"/>
      <c r="X46" s="1673"/>
      <c r="Y46" s="1673"/>
      <c r="Z46" s="1673"/>
      <c r="AA46" s="1673"/>
      <c r="AB46" s="1673"/>
      <c r="AC46" s="1673"/>
      <c r="AD46" s="1673"/>
      <c r="AE46" s="1673"/>
      <c r="AF46" s="1673"/>
      <c r="AG46" s="1673"/>
      <c r="AH46" s="1673"/>
      <c r="AI46" s="1674"/>
      <c r="AJ46" s="1673"/>
      <c r="AK46" s="1674"/>
      <c r="AL46" s="1673"/>
      <c r="AM46" s="1673"/>
      <c r="AN46" s="1673"/>
      <c r="AO46" s="1674"/>
      <c r="AP46" s="1673"/>
      <c r="AQ46" s="1673"/>
      <c r="AR46" s="1673"/>
      <c r="AS46" s="1673"/>
      <c r="AT46" s="1673"/>
      <c r="AU46" s="1674"/>
      <c r="AV46" s="1673"/>
      <c r="AW46" s="1673"/>
      <c r="AX46" s="1673"/>
      <c r="AY46" s="1673"/>
      <c r="AZ46" s="1673"/>
      <c r="BA46" s="1673"/>
      <c r="BB46" s="1722"/>
      <c r="BC46" s="1673"/>
      <c r="BD46" s="1674"/>
      <c r="BE46" s="1673"/>
      <c r="BF46" s="1673"/>
      <c r="BG46" s="1674"/>
      <c r="BH46" s="1673"/>
      <c r="BI46" s="1673"/>
      <c r="BJ46" s="1673"/>
      <c r="BK46" s="1673"/>
      <c r="BL46" s="1673"/>
      <c r="BM46" s="1673"/>
      <c r="BN46" s="1673"/>
      <c r="BO46" s="1673"/>
      <c r="BP46" s="1674"/>
      <c r="BQ46" s="1673"/>
      <c r="BR46" s="1673"/>
      <c r="BS46" s="1673"/>
      <c r="BT46" s="1722"/>
      <c r="BU46" s="1674"/>
      <c r="BV46" s="1673"/>
      <c r="BW46" s="1674"/>
      <c r="BX46" s="1673"/>
      <c r="BY46" s="1673"/>
      <c r="BZ46" s="1674"/>
      <c r="CA46" s="1673"/>
      <c r="CB46" s="1673"/>
      <c r="CC46" s="1673"/>
      <c r="CD46" s="1722"/>
      <c r="CE46" s="1673"/>
      <c r="CF46" s="1673"/>
      <c r="CG46" s="1673"/>
      <c r="CH46" s="1673"/>
      <c r="CI46" s="1673"/>
      <c r="CJ46" s="1673"/>
      <c r="CK46" s="1673"/>
      <c r="CL46" s="1673"/>
      <c r="CM46" s="1673"/>
      <c r="CN46" s="1673"/>
      <c r="CO46" s="1673"/>
      <c r="CP46" s="1673"/>
      <c r="CQ46" s="1673"/>
      <c r="CR46" s="1673"/>
      <c r="CS46" s="1673"/>
      <c r="CT46" s="1674"/>
      <c r="CU46" s="1673"/>
      <c r="CV46" s="1673"/>
      <c r="CW46" s="1673"/>
      <c r="CX46" s="1673"/>
      <c r="CY46" s="1673"/>
      <c r="CZ46" s="1673"/>
      <c r="DA46" s="1674"/>
      <c r="DB46" s="1673"/>
      <c r="DC46" s="1674"/>
      <c r="DD46" s="1673"/>
      <c r="DE46" s="1673"/>
      <c r="DF46" s="1673"/>
      <c r="DG46" s="1674"/>
      <c r="DH46" s="1673"/>
      <c r="DI46" s="1673"/>
      <c r="DJ46" s="1674"/>
      <c r="DK46" s="1673"/>
      <c r="DL46" s="1673"/>
      <c r="DM46" s="1674"/>
      <c r="DN46" s="1673"/>
      <c r="DO46" s="1674"/>
      <c r="DP46" s="1673"/>
      <c r="DQ46" s="1673"/>
      <c r="DR46" s="1673"/>
      <c r="DS46" s="1673"/>
      <c r="DT46" s="1673"/>
      <c r="DU46" s="1673"/>
      <c r="DV46" s="1673"/>
      <c r="DW46" s="2591"/>
      <c r="DX46" s="1673"/>
      <c r="DY46" s="2591"/>
      <c r="DZ46" s="1673"/>
      <c r="EA46" s="1673"/>
      <c r="EB46" s="1673"/>
      <c r="EC46" s="1673"/>
      <c r="ED46" s="1722"/>
      <c r="EE46" s="1722"/>
      <c r="EF46" s="1673"/>
      <c r="EG46" s="1674"/>
      <c r="EH46" s="1674"/>
      <c r="EI46" s="1673"/>
      <c r="EJ46" s="1673"/>
      <c r="EK46" s="1673"/>
      <c r="EL46" s="2591"/>
      <c r="EM46" s="2591"/>
      <c r="EN46" s="2591"/>
      <c r="EO46" s="1673"/>
      <c r="EP46" s="1673"/>
      <c r="EQ46" s="1673"/>
      <c r="ER46" s="1722"/>
      <c r="ES46" s="1673"/>
      <c r="ET46" s="2591"/>
      <c r="EU46" s="2591"/>
      <c r="EV46" s="1674"/>
      <c r="EW46" s="2591"/>
      <c r="EX46" s="1673"/>
      <c r="EY46" s="1674"/>
      <c r="EZ46" s="1673"/>
      <c r="FA46" s="2591"/>
      <c r="FB46" s="2591"/>
      <c r="FC46" s="2591"/>
      <c r="FD46" s="2591"/>
      <c r="FE46" s="1674"/>
      <c r="FF46" s="1674"/>
      <c r="FG46" s="1674"/>
      <c r="FH46" s="1722"/>
      <c r="FI46" s="1674"/>
      <c r="FJ46" s="1722"/>
      <c r="FK46" s="1674"/>
      <c r="FL46" s="1674"/>
      <c r="FM46" s="1674"/>
      <c r="FN46" s="1674"/>
      <c r="FO46" s="1674"/>
      <c r="FP46" s="1674"/>
      <c r="FQ46" s="1673"/>
      <c r="FR46" s="1673"/>
      <c r="FS46" s="1673"/>
      <c r="FT46" s="1673"/>
      <c r="FU46" s="1673"/>
      <c r="FV46" s="1673"/>
      <c r="FW46" s="1673"/>
      <c r="FX46" s="1673"/>
      <c r="FY46" s="1673"/>
      <c r="FZ46" s="1673"/>
      <c r="GA46" s="1673"/>
      <c r="GB46" s="1673"/>
      <c r="GC46" s="1673"/>
      <c r="GD46" s="1673"/>
      <c r="GE46" s="1673"/>
      <c r="GF46" s="1673"/>
      <c r="GG46" s="1673"/>
      <c r="GH46" s="1673"/>
      <c r="GI46" s="1673"/>
      <c r="GJ46" s="1673"/>
      <c r="GK46" s="1673"/>
      <c r="GL46" s="1673"/>
      <c r="GM46" s="1673"/>
      <c r="GN46" s="1673"/>
      <c r="GO46" s="1673"/>
      <c r="GP46" s="1673"/>
      <c r="GQ46" s="1673"/>
      <c r="GR46" s="1673"/>
      <c r="GS46" s="1673"/>
      <c r="GT46" s="1673"/>
      <c r="GU46" s="1673"/>
      <c r="GV46" s="1673"/>
      <c r="GW46" s="1673"/>
      <c r="GX46" s="1673"/>
      <c r="GY46" s="1673"/>
      <c r="GZ46" s="1673"/>
      <c r="HA46" s="1673"/>
      <c r="HB46" s="1674"/>
      <c r="HC46" s="1673"/>
      <c r="HD46" s="1673"/>
      <c r="HE46" s="1673"/>
      <c r="HF46" s="1673"/>
      <c r="HG46" s="1674"/>
      <c r="HH46" s="1673"/>
      <c r="HI46" s="1674"/>
      <c r="HJ46" s="1674"/>
      <c r="HK46" s="1674"/>
      <c r="HL46" s="1674"/>
      <c r="HM46" s="1722"/>
      <c r="HN46" s="1673"/>
      <c r="HO46" s="1673"/>
      <c r="HP46" s="1674"/>
      <c r="HQ46" s="1673"/>
      <c r="HR46" s="1673"/>
      <c r="HS46" s="1674"/>
      <c r="HT46" s="1673"/>
      <c r="HU46" s="1673"/>
      <c r="HV46" s="1673"/>
      <c r="HW46" s="1673"/>
      <c r="HX46" s="1673"/>
      <c r="HY46" s="1673"/>
      <c r="HZ46" s="1673"/>
      <c r="IA46" s="1673"/>
      <c r="IB46" s="1673"/>
      <c r="IC46" s="1673"/>
      <c r="ID46" s="1673"/>
      <c r="IE46" s="1673"/>
      <c r="IF46" s="1722"/>
      <c r="IG46" s="1673"/>
      <c r="IH46" s="1674"/>
      <c r="II46" s="1673"/>
      <c r="IJ46" s="1673"/>
      <c r="IK46" s="2591">
        <v>23355</v>
      </c>
      <c r="IL46" s="1673"/>
      <c r="IM46" s="1673"/>
      <c r="IN46" s="1673"/>
      <c r="IO46" s="1673"/>
      <c r="IP46" s="1673"/>
      <c r="IQ46" s="1673"/>
      <c r="IR46" s="1673"/>
      <c r="IS46" s="2591"/>
      <c r="IT46" s="1673"/>
      <c r="IU46" s="1673"/>
      <c r="IV46" s="1673"/>
      <c r="IW46" s="1673"/>
      <c r="IX46" s="1722"/>
      <c r="IY46" s="1673"/>
      <c r="IZ46" s="1674"/>
      <c r="JA46" s="1673"/>
      <c r="JB46" s="1673"/>
      <c r="JC46" s="1673"/>
      <c r="JD46" s="1722"/>
      <c r="JE46" s="1673"/>
      <c r="JF46" s="1673"/>
      <c r="JG46" s="1673"/>
      <c r="JH46" s="1673"/>
      <c r="JI46" s="1673"/>
      <c r="JJ46" s="1673"/>
      <c r="JK46" s="1673"/>
      <c r="JL46" s="1673"/>
      <c r="JM46" s="1673"/>
      <c r="JN46" s="1673"/>
      <c r="JO46" s="1673"/>
      <c r="JP46" s="1673"/>
      <c r="JQ46" s="1676"/>
      <c r="JR46" s="593"/>
      <c r="JS46" s="355"/>
      <c r="JT46" s="355"/>
      <c r="JU46" s="355"/>
      <c r="JV46" s="598"/>
    </row>
    <row r="47" spans="1:282" x14ac:dyDescent="0.25">
      <c r="A47" s="1367">
        <v>46</v>
      </c>
      <c r="B47" s="1684" t="str">
        <f t="shared" si="6"/>
        <v/>
      </c>
      <c r="C47" s="1688" t="s">
        <v>4335</v>
      </c>
      <c r="D47" s="1360" t="s">
        <v>4294</v>
      </c>
      <c r="E47" s="1673"/>
      <c r="F47" s="1673"/>
      <c r="G47" s="1673"/>
      <c r="H47" s="1673"/>
      <c r="I47" s="1673"/>
      <c r="J47" s="1673"/>
      <c r="K47" s="1673"/>
      <c r="L47" s="1673"/>
      <c r="M47" s="1673"/>
      <c r="N47" s="1673"/>
      <c r="O47" s="1673"/>
      <c r="P47" s="1673"/>
      <c r="Q47" s="1673"/>
      <c r="R47" s="1673"/>
      <c r="S47" s="1673"/>
      <c r="T47" s="1673"/>
      <c r="U47" s="1673"/>
      <c r="V47" s="1673"/>
      <c r="W47" s="1673"/>
      <c r="X47" s="1673"/>
      <c r="Y47" s="1673"/>
      <c r="Z47" s="1673"/>
      <c r="AA47" s="1673"/>
      <c r="AB47" s="1673"/>
      <c r="AC47" s="1673"/>
      <c r="AD47" s="1673"/>
      <c r="AE47" s="1673"/>
      <c r="AF47" s="1673"/>
      <c r="AG47" s="1673"/>
      <c r="AH47" s="1673"/>
      <c r="AI47" s="1674"/>
      <c r="AJ47" s="1673"/>
      <c r="AK47" s="1674"/>
      <c r="AL47" s="1673"/>
      <c r="AM47" s="1673"/>
      <c r="AN47" s="1673"/>
      <c r="AO47" s="1674"/>
      <c r="AP47" s="1673"/>
      <c r="AQ47" s="1673"/>
      <c r="AR47" s="1673"/>
      <c r="AS47" s="1673"/>
      <c r="AT47" s="1673"/>
      <c r="AU47" s="1674"/>
      <c r="AV47" s="1673"/>
      <c r="AW47" s="1673"/>
      <c r="AX47" s="1673"/>
      <c r="AY47" s="1673"/>
      <c r="AZ47" s="1673"/>
      <c r="BA47" s="1673"/>
      <c r="BB47" s="1722">
        <v>14161</v>
      </c>
      <c r="BC47" s="1673"/>
      <c r="BD47" s="1674"/>
      <c r="BE47" s="1673"/>
      <c r="BF47" s="1673"/>
      <c r="BG47" s="1674"/>
      <c r="BH47" s="1673"/>
      <c r="BI47" s="1673"/>
      <c r="BJ47" s="1673"/>
      <c r="BK47" s="1673"/>
      <c r="BL47" s="1673"/>
      <c r="BM47" s="1673"/>
      <c r="BN47" s="1673"/>
      <c r="BO47" s="1673"/>
      <c r="BP47" s="1674"/>
      <c r="BQ47" s="1673"/>
      <c r="BR47" s="1673"/>
      <c r="BS47" s="1673"/>
      <c r="BT47" s="1722">
        <v>17618</v>
      </c>
      <c r="BU47" s="1674"/>
      <c r="BV47" s="1673"/>
      <c r="BW47" s="1674"/>
      <c r="BX47" s="1673"/>
      <c r="BY47" s="1673"/>
      <c r="BZ47" s="1674"/>
      <c r="CA47" s="1673"/>
      <c r="CB47" s="1673"/>
      <c r="CC47" s="1673"/>
      <c r="CD47" s="1722">
        <v>1003</v>
      </c>
      <c r="CE47" s="1673"/>
      <c r="CF47" s="1673"/>
      <c r="CG47" s="1673"/>
      <c r="CH47" s="1673"/>
      <c r="CI47" s="1673"/>
      <c r="CJ47" s="1673"/>
      <c r="CK47" s="1673"/>
      <c r="CL47" s="1673"/>
      <c r="CM47" s="1673"/>
      <c r="CN47" s="1673"/>
      <c r="CO47" s="1673"/>
      <c r="CP47" s="1673"/>
      <c r="CQ47" s="1673"/>
      <c r="CR47" s="1673"/>
      <c r="CS47" s="1673"/>
      <c r="CT47" s="1674"/>
      <c r="CU47" s="1673"/>
      <c r="CV47" s="1673"/>
      <c r="CW47" s="1673"/>
      <c r="CX47" s="1673"/>
      <c r="CY47" s="1673"/>
      <c r="CZ47" s="1673"/>
      <c r="DA47" s="1674"/>
      <c r="DB47" s="1673"/>
      <c r="DC47" s="1674"/>
      <c r="DD47" s="1673"/>
      <c r="DE47" s="1673"/>
      <c r="DF47" s="1673"/>
      <c r="DG47" s="1674"/>
      <c r="DH47" s="1673"/>
      <c r="DI47" s="1673"/>
      <c r="DJ47" s="1674"/>
      <c r="DK47" s="1673"/>
      <c r="DL47" s="1673"/>
      <c r="DM47" s="1674"/>
      <c r="DN47" s="1673"/>
      <c r="DO47" s="1674"/>
      <c r="DP47" s="1673"/>
      <c r="DQ47" s="1673"/>
      <c r="DR47" s="1673"/>
      <c r="DS47" s="1673"/>
      <c r="DT47" s="1673"/>
      <c r="DU47" s="1673"/>
      <c r="DV47" s="1673"/>
      <c r="DW47" s="2591">
        <v>10379</v>
      </c>
      <c r="DX47" s="1673"/>
      <c r="DY47" s="2591">
        <v>1746</v>
      </c>
      <c r="DZ47" s="1673"/>
      <c r="EA47" s="1673"/>
      <c r="EB47" s="1673"/>
      <c r="EC47" s="1673"/>
      <c r="ED47" s="1722">
        <v>10643</v>
      </c>
      <c r="EE47" s="1722">
        <v>27991</v>
      </c>
      <c r="EF47" s="1673"/>
      <c r="EG47" s="1674"/>
      <c r="EH47" s="1674"/>
      <c r="EI47" s="1673"/>
      <c r="EJ47" s="1673"/>
      <c r="EK47" s="1673"/>
      <c r="EL47" s="2591">
        <v>5691</v>
      </c>
      <c r="EM47" s="2591">
        <v>4848</v>
      </c>
      <c r="EN47" s="2591">
        <v>25046</v>
      </c>
      <c r="EO47" s="1673"/>
      <c r="EP47" s="1673"/>
      <c r="EQ47" s="1673"/>
      <c r="ER47" s="1722">
        <v>2023</v>
      </c>
      <c r="ES47" s="1673"/>
      <c r="ET47" s="2591">
        <v>44598</v>
      </c>
      <c r="EU47" s="2591">
        <v>642</v>
      </c>
      <c r="EV47" s="1674"/>
      <c r="EW47" s="2591">
        <v>9866</v>
      </c>
      <c r="EX47" s="1673"/>
      <c r="EY47" s="1674"/>
      <c r="EZ47" s="1673"/>
      <c r="FA47" s="2591">
        <v>21547</v>
      </c>
      <c r="FB47" s="2591">
        <v>260</v>
      </c>
      <c r="FC47" s="2591">
        <v>2023</v>
      </c>
      <c r="FD47" s="2591">
        <v>11811</v>
      </c>
      <c r="FE47" s="1674"/>
      <c r="FF47" s="1674"/>
      <c r="FG47" s="1674"/>
      <c r="FH47" s="1722">
        <v>11811</v>
      </c>
      <c r="FI47" s="1674"/>
      <c r="FJ47" s="1722">
        <v>309374</v>
      </c>
      <c r="FK47" s="1674"/>
      <c r="FL47" s="1674"/>
      <c r="FM47" s="1674"/>
      <c r="FN47" s="1674"/>
      <c r="FO47" s="1674"/>
      <c r="FP47" s="1674"/>
      <c r="FQ47" s="1673"/>
      <c r="FR47" s="1673"/>
      <c r="FS47" s="1673"/>
      <c r="FT47" s="1673"/>
      <c r="FU47" s="1673"/>
      <c r="FV47" s="1673"/>
      <c r="FW47" s="1673"/>
      <c r="FX47" s="1673"/>
      <c r="FY47" s="1673"/>
      <c r="FZ47" s="1673"/>
      <c r="GA47" s="1673"/>
      <c r="GB47" s="1673"/>
      <c r="GC47" s="1673"/>
      <c r="GD47" s="1673"/>
      <c r="GE47" s="1673"/>
      <c r="GF47" s="1673"/>
      <c r="GG47" s="1673"/>
      <c r="GH47" s="1673"/>
      <c r="GI47" s="1673"/>
      <c r="GJ47" s="1673"/>
      <c r="GK47" s="1673"/>
      <c r="GL47" s="1673"/>
      <c r="GM47" s="1673"/>
      <c r="GN47" s="1673"/>
      <c r="GO47" s="1673"/>
      <c r="GP47" s="1673"/>
      <c r="GQ47" s="1673"/>
      <c r="GR47" s="1673"/>
      <c r="GS47" s="1673"/>
      <c r="GT47" s="1673"/>
      <c r="GU47" s="1673"/>
      <c r="GV47" s="1673"/>
      <c r="GW47" s="1673"/>
      <c r="GX47" s="1673"/>
      <c r="GY47" s="1673"/>
      <c r="GZ47" s="1673"/>
      <c r="HA47" s="1673"/>
      <c r="HB47" s="1674">
        <f>MAX(0,HB44-HB43)</f>
        <v>10000</v>
      </c>
      <c r="HC47" s="1673"/>
      <c r="HD47" s="1673"/>
      <c r="HE47" s="1673"/>
      <c r="HF47" s="1673"/>
      <c r="HG47" s="1674"/>
      <c r="HH47" s="1673"/>
      <c r="HI47" s="1674"/>
      <c r="HJ47" s="1674"/>
      <c r="HK47" s="1674"/>
      <c r="HL47" s="1674"/>
      <c r="HM47" s="1722">
        <v>65964</v>
      </c>
      <c r="HN47" s="1673"/>
      <c r="HO47" s="1673"/>
      <c r="HP47" s="1674"/>
      <c r="HQ47" s="1673"/>
      <c r="HR47" s="1673"/>
      <c r="HS47" s="1674"/>
      <c r="HT47" s="1673"/>
      <c r="HU47" s="1673"/>
      <c r="HV47" s="1673"/>
      <c r="HW47" s="1673"/>
      <c r="HX47" s="1673"/>
      <c r="HY47" s="1673"/>
      <c r="HZ47" s="1673"/>
      <c r="IA47" s="1673"/>
      <c r="IB47" s="1673"/>
      <c r="IC47" s="1673"/>
      <c r="ID47" s="1673"/>
      <c r="IE47" s="1673"/>
      <c r="IF47" s="1722">
        <v>531</v>
      </c>
      <c r="IG47" s="1673"/>
      <c r="IH47" s="1674"/>
      <c r="II47" s="1673"/>
      <c r="IJ47" s="1673"/>
      <c r="IK47" s="1673"/>
      <c r="IL47" s="1673"/>
      <c r="IM47" s="1673"/>
      <c r="IN47" s="1673"/>
      <c r="IO47" s="1673"/>
      <c r="IP47" s="1673"/>
      <c r="IQ47" s="1673"/>
      <c r="IR47" s="1673"/>
      <c r="IS47" s="2591">
        <v>12895</v>
      </c>
      <c r="IT47" s="1673"/>
      <c r="IU47" s="1673">
        <v>22000</v>
      </c>
      <c r="IV47" s="1673"/>
      <c r="IW47" s="1673"/>
      <c r="IX47" s="1722">
        <v>53251</v>
      </c>
      <c r="IY47" s="1673"/>
      <c r="IZ47" s="1674"/>
      <c r="JA47" s="1673"/>
      <c r="JB47" s="1673"/>
      <c r="JC47" s="1673"/>
      <c r="JD47" s="1722">
        <v>20005</v>
      </c>
      <c r="JE47" s="1673"/>
      <c r="JF47" s="1673"/>
      <c r="JG47" s="1673"/>
      <c r="JH47" s="1673"/>
      <c r="JI47" s="1673"/>
      <c r="JJ47" s="2591">
        <v>8397</v>
      </c>
      <c r="JK47" s="1673"/>
      <c r="JL47" s="1673"/>
      <c r="JM47" s="1673"/>
      <c r="JN47" s="1673"/>
      <c r="JO47" s="1673"/>
      <c r="JP47" s="1673"/>
      <c r="JQ47" s="1676"/>
      <c r="JR47" s="593"/>
      <c r="JS47" s="355" t="s">
        <v>4336</v>
      </c>
      <c r="JT47" s="355" t="s">
        <v>2242</v>
      </c>
      <c r="JU47" s="355" t="s">
        <v>4329</v>
      </c>
      <c r="JV47" s="598"/>
    </row>
    <row r="48" spans="1:282" ht="20.5" x14ac:dyDescent="0.25">
      <c r="A48" s="1367">
        <v>47</v>
      </c>
      <c r="B48" s="1411" t="str">
        <f t="shared" si="6"/>
        <v/>
      </c>
      <c r="C48" s="1688" t="s">
        <v>4337</v>
      </c>
      <c r="D48" s="1360" t="s">
        <v>4266</v>
      </c>
      <c r="E48" s="1714"/>
      <c r="F48" s="1714"/>
      <c r="G48" s="1714"/>
      <c r="H48" s="1714"/>
      <c r="I48" s="1714"/>
      <c r="J48" s="1714"/>
      <c r="K48" s="1714"/>
      <c r="L48" s="1714"/>
      <c r="M48" s="1714"/>
      <c r="N48" s="1714"/>
      <c r="O48" s="1714"/>
      <c r="P48" s="1714"/>
      <c r="Q48" s="1714"/>
      <c r="R48" s="1714"/>
      <c r="S48" s="1714"/>
      <c r="T48" s="1714"/>
      <c r="U48" s="1714"/>
      <c r="V48" s="1714"/>
      <c r="W48" s="1714"/>
      <c r="X48" s="1714"/>
      <c r="Y48" s="1714"/>
      <c r="Z48" s="1714"/>
      <c r="AA48" s="1714"/>
      <c r="AB48" s="1714"/>
      <c r="AC48" s="1714"/>
      <c r="AD48" s="1714"/>
      <c r="AE48" s="1714"/>
      <c r="AF48" s="1714"/>
      <c r="AG48" s="1714"/>
      <c r="AH48" s="1714"/>
      <c r="AI48" s="1706"/>
      <c r="AJ48" s="1714"/>
      <c r="AK48" s="1706"/>
      <c r="AL48" s="1714"/>
      <c r="AM48" s="1714"/>
      <c r="AN48" s="1714"/>
      <c r="AO48" s="1714"/>
      <c r="AP48" s="1714"/>
      <c r="AQ48" s="1714"/>
      <c r="AR48" s="1714"/>
      <c r="AS48" s="1714"/>
      <c r="AT48" s="1714"/>
      <c r="AU48" s="1706"/>
      <c r="AV48" s="1714"/>
      <c r="AW48" s="1714"/>
      <c r="AX48" s="1714"/>
      <c r="AY48" s="1714"/>
      <c r="AZ48" s="1714"/>
      <c r="BA48" s="1714"/>
      <c r="BB48" s="1706"/>
      <c r="BC48" s="1714"/>
      <c r="BD48" s="1706"/>
      <c r="BE48" s="1714"/>
      <c r="BF48" s="1714"/>
      <c r="BG48" s="1715"/>
      <c r="BH48" s="1714"/>
      <c r="BI48" s="1714"/>
      <c r="BJ48" s="1714"/>
      <c r="BK48" s="1714"/>
      <c r="BL48" s="1714"/>
      <c r="BM48" s="1714"/>
      <c r="BN48" s="1714"/>
      <c r="BO48" s="1714"/>
      <c r="BP48" s="1706"/>
      <c r="BQ48" s="1714"/>
      <c r="BR48" s="1714"/>
      <c r="BS48" s="1714"/>
      <c r="BT48" s="1707"/>
      <c r="BU48" s="1706" t="s">
        <v>4323</v>
      </c>
      <c r="BV48" s="1714"/>
      <c r="BW48" s="1706"/>
      <c r="BX48" s="1714"/>
      <c r="BY48" s="1714"/>
      <c r="BZ48" s="1706"/>
      <c r="CA48" s="1714"/>
      <c r="CB48" s="1714"/>
      <c r="CC48" s="1714"/>
      <c r="CD48" s="1706"/>
      <c r="CE48" s="1714"/>
      <c r="CF48" s="1714"/>
      <c r="CG48" s="1714"/>
      <c r="CH48" s="1714"/>
      <c r="CI48" s="1714"/>
      <c r="CJ48" s="1714"/>
      <c r="CK48" s="1714"/>
      <c r="CL48" s="1714"/>
      <c r="CM48" s="1714"/>
      <c r="CN48" s="1714"/>
      <c r="CO48" s="1714"/>
      <c r="CP48" s="1714"/>
      <c r="CQ48" s="1714"/>
      <c r="CR48" s="1714"/>
      <c r="CS48" s="1714"/>
      <c r="CT48" s="1706" t="s">
        <v>4323</v>
      </c>
      <c r="CU48" s="1714"/>
      <c r="CV48" s="1714"/>
      <c r="CW48" s="1714"/>
      <c r="CX48" s="1714"/>
      <c r="CY48" s="1714"/>
      <c r="CZ48" s="1714"/>
      <c r="DA48" s="1706"/>
      <c r="DB48" s="1714"/>
      <c r="DC48" s="1706"/>
      <c r="DD48" s="1714"/>
      <c r="DE48" s="1714"/>
      <c r="DF48" s="1714"/>
      <c r="DG48" s="1706"/>
      <c r="DH48" s="1714"/>
      <c r="DI48" s="1714"/>
      <c r="DJ48" s="1706"/>
      <c r="DK48" s="1714"/>
      <c r="DL48" s="1714"/>
      <c r="DM48" s="1706"/>
      <c r="DN48" s="1714"/>
      <c r="DO48" s="1707"/>
      <c r="DP48" s="1714"/>
      <c r="DQ48" s="1714"/>
      <c r="DR48" s="1714"/>
      <c r="DS48" s="1714"/>
      <c r="DT48" s="1714"/>
      <c r="DU48" s="1714"/>
      <c r="DV48" s="1714"/>
      <c r="DW48" s="1716" t="s">
        <v>4267</v>
      </c>
      <c r="DX48" s="1714"/>
      <c r="DY48" s="1714"/>
      <c r="DZ48" s="1714"/>
      <c r="EA48" s="1714"/>
      <c r="EB48" s="1714"/>
      <c r="EC48" s="1714"/>
      <c r="ED48" s="1707"/>
      <c r="EE48" s="1715"/>
      <c r="EF48" s="1714"/>
      <c r="EG48" s="1707"/>
      <c r="EH48" s="1707"/>
      <c r="EI48" s="1714"/>
      <c r="EJ48" s="1714"/>
      <c r="EK48" s="1714"/>
      <c r="EL48" s="1714"/>
      <c r="EM48" s="1714"/>
      <c r="EN48" s="1714"/>
      <c r="EO48" s="1714"/>
      <c r="EP48" s="1714"/>
      <c r="EQ48" s="1714"/>
      <c r="ER48" s="1707"/>
      <c r="ES48" s="1714"/>
      <c r="ET48" s="1714"/>
      <c r="EU48" s="1714"/>
      <c r="EV48" s="1706" t="s">
        <v>4323</v>
      </c>
      <c r="EW48" s="1714"/>
      <c r="EX48" s="1714"/>
      <c r="EY48" s="1706"/>
      <c r="EZ48" s="1714"/>
      <c r="FA48" s="1714"/>
      <c r="FB48" s="1714"/>
      <c r="FC48" s="1714"/>
      <c r="FD48" s="1714"/>
      <c r="FE48" s="1707"/>
      <c r="FF48" s="1707"/>
      <c r="FG48" s="1706"/>
      <c r="FH48" s="1706"/>
      <c r="FI48" s="1706"/>
      <c r="FJ48" s="1706"/>
      <c r="FK48" s="1706"/>
      <c r="FL48" s="1706"/>
      <c r="FM48" s="1706"/>
      <c r="FN48" s="1707"/>
      <c r="FO48" s="1707"/>
      <c r="FP48" s="1707"/>
      <c r="FQ48" s="1714"/>
      <c r="FR48" s="1714"/>
      <c r="FS48" s="1714"/>
      <c r="FT48" s="1714"/>
      <c r="FU48" s="1714"/>
      <c r="FV48" s="1714"/>
      <c r="FW48" s="1714"/>
      <c r="FX48" s="1714"/>
      <c r="FY48" s="1714"/>
      <c r="FZ48" s="1714"/>
      <c r="GA48" s="1714"/>
      <c r="GB48" s="1714"/>
      <c r="GC48" s="1714"/>
      <c r="GD48" s="1714"/>
      <c r="GE48" s="1714"/>
      <c r="GF48" s="1714"/>
      <c r="GG48" s="1714"/>
      <c r="GH48" s="1714"/>
      <c r="GI48" s="1714"/>
      <c r="GJ48" s="1714"/>
      <c r="GK48" s="1714"/>
      <c r="GL48" s="1714"/>
      <c r="GM48" s="1714"/>
      <c r="GN48" s="1714"/>
      <c r="GO48" s="1714"/>
      <c r="GP48" s="1714"/>
      <c r="GQ48" s="1714"/>
      <c r="GR48" s="1714"/>
      <c r="GS48" s="1714"/>
      <c r="GT48" s="1714"/>
      <c r="GU48" s="1714"/>
      <c r="GV48" s="1714"/>
      <c r="GW48" s="1714"/>
      <c r="GX48" s="1714"/>
      <c r="GY48" s="1714"/>
      <c r="GZ48" s="1714"/>
      <c r="HA48" s="1714"/>
      <c r="HB48" s="1707"/>
      <c r="HC48" s="1714"/>
      <c r="HD48" s="1714"/>
      <c r="HE48" s="1714"/>
      <c r="HF48" s="1714"/>
      <c r="HG48" s="1707"/>
      <c r="HH48" s="1714"/>
      <c r="HI48" s="1715"/>
      <c r="HJ48" s="1715"/>
      <c r="HK48" s="1715"/>
      <c r="HL48" s="1715"/>
      <c r="HM48" s="1715"/>
      <c r="HN48" s="1714"/>
      <c r="HO48" s="1714"/>
      <c r="HP48" s="1715"/>
      <c r="HQ48" s="1714"/>
      <c r="HR48" s="1714"/>
      <c r="HS48" s="1714"/>
      <c r="HT48" s="1714"/>
      <c r="HU48" s="1714"/>
      <c r="HV48" s="1714"/>
      <c r="HW48" s="1714"/>
      <c r="HX48" s="1714"/>
      <c r="HY48" s="1714"/>
      <c r="HZ48" s="1714"/>
      <c r="IA48" s="1714"/>
      <c r="IB48" s="1714"/>
      <c r="IC48" s="1714"/>
      <c r="ID48" s="1714"/>
      <c r="IE48" s="1714"/>
      <c r="IF48" s="1714"/>
      <c r="IG48" s="1714"/>
      <c r="IH48" s="1714"/>
      <c r="II48" s="1714"/>
      <c r="IJ48" s="1714"/>
      <c r="IK48" s="1714"/>
      <c r="IL48" s="1714"/>
      <c r="IM48" s="1714"/>
      <c r="IN48" s="1714"/>
      <c r="IO48" s="1714"/>
      <c r="IP48" s="1714"/>
      <c r="IQ48" s="1714"/>
      <c r="IR48" s="1714"/>
      <c r="IS48" s="1714"/>
      <c r="IT48" s="1714"/>
      <c r="IU48" s="1705" t="s">
        <v>4338</v>
      </c>
      <c r="IV48" s="1705"/>
      <c r="IW48" s="1705"/>
      <c r="IX48" s="1706"/>
      <c r="IY48" s="1714"/>
      <c r="IZ48" s="1706"/>
      <c r="JA48" s="1714"/>
      <c r="JB48" s="1714"/>
      <c r="JC48" s="1714"/>
      <c r="JD48" s="1714"/>
      <c r="JE48" s="1714"/>
      <c r="JF48" s="1714"/>
      <c r="JG48" s="1714"/>
      <c r="JH48" s="1705"/>
      <c r="JI48" s="1705"/>
      <c r="JJ48" s="1705"/>
      <c r="JK48" s="1714"/>
      <c r="JL48" s="1714"/>
      <c r="JM48" s="1714"/>
      <c r="JN48" s="1714"/>
      <c r="JO48" s="1714"/>
      <c r="JP48" s="1714"/>
      <c r="JQ48" s="1717"/>
      <c r="JR48" s="593"/>
      <c r="JS48" s="354" t="s">
        <v>4270</v>
      </c>
      <c r="JT48" s="355" t="s">
        <v>4271</v>
      </c>
      <c r="JU48" s="598"/>
      <c r="JV48" s="598"/>
    </row>
    <row r="49" spans="1:282" ht="60.5" x14ac:dyDescent="0.25">
      <c r="A49" s="1367">
        <v>48</v>
      </c>
      <c r="B49" s="1684" t="str">
        <f t="shared" si="6"/>
        <v/>
      </c>
      <c r="C49" s="1688" t="s">
        <v>4339</v>
      </c>
      <c r="D49" s="1360" t="str">
        <f>"If, during "&amp;tax_year&amp;", you  submitted a Real Time Transaction Tax return for the disposal of listed shares or securities, put the overall gain or loss in the box -  include the  individual amounts of gains or losses in  box 26 and losses in box 27"</f>
        <v>If, during 2025-26, you  submitted a Real Time Transaction Tax return for the disposal of listed shares or securities, put the overall gain or loss in the box -  include the  individual amounts of gains or losses in  box 26 and losses in box 27</v>
      </c>
      <c r="E49" s="1358"/>
      <c r="F49" s="1358"/>
      <c r="G49" s="1358"/>
      <c r="H49" s="1358"/>
      <c r="I49" s="1358"/>
      <c r="J49" s="1358"/>
      <c r="K49" s="1358"/>
      <c r="L49" s="1358"/>
      <c r="M49" s="1358"/>
      <c r="N49" s="1358"/>
      <c r="O49" s="1358"/>
      <c r="P49" s="1358"/>
      <c r="Q49" s="1358"/>
      <c r="R49" s="1358"/>
      <c r="S49" s="1358"/>
      <c r="T49" s="1358"/>
      <c r="U49" s="1358"/>
      <c r="V49" s="1358"/>
      <c r="W49" s="1358"/>
      <c r="X49" s="1358"/>
      <c r="Y49" s="1358"/>
      <c r="Z49" s="1358"/>
      <c r="AA49" s="1358"/>
      <c r="AB49" s="1358"/>
      <c r="AC49" s="1358"/>
      <c r="AD49" s="1358"/>
      <c r="AE49" s="1358"/>
      <c r="AF49" s="1358"/>
      <c r="AG49" s="1358"/>
      <c r="AH49" s="1358"/>
      <c r="AI49" s="1290"/>
      <c r="AJ49" s="1358"/>
      <c r="AK49" s="1290"/>
      <c r="AL49" s="1358"/>
      <c r="AM49" s="1358"/>
      <c r="AN49" s="1358"/>
      <c r="AO49" s="1358"/>
      <c r="AP49" s="1358"/>
      <c r="AQ49" s="1358"/>
      <c r="AR49" s="1358"/>
      <c r="AS49" s="1358"/>
      <c r="AT49" s="1358"/>
      <c r="AU49" s="1290"/>
      <c r="AV49" s="1358"/>
      <c r="AW49" s="1358"/>
      <c r="AX49" s="1358"/>
      <c r="AY49" s="1358"/>
      <c r="AZ49" s="1358"/>
      <c r="BA49" s="1358"/>
      <c r="BB49" s="1290"/>
      <c r="BC49" s="1358"/>
      <c r="BD49" s="1290"/>
      <c r="BE49" s="1358"/>
      <c r="BF49" s="1358"/>
      <c r="BG49" s="1290"/>
      <c r="BH49" s="1358"/>
      <c r="BI49" s="1358"/>
      <c r="BJ49" s="1358"/>
      <c r="BK49" s="1358"/>
      <c r="BL49" s="1358"/>
      <c r="BM49" s="1358"/>
      <c r="BN49" s="1358"/>
      <c r="BO49" s="1358"/>
      <c r="BP49" s="1290"/>
      <c r="BQ49" s="1358"/>
      <c r="BR49" s="1358"/>
      <c r="BS49" s="1358"/>
      <c r="BT49" s="1290"/>
      <c r="BU49" s="1290"/>
      <c r="BV49" s="1358"/>
      <c r="BW49" s="1290"/>
      <c r="BX49" s="1358"/>
      <c r="BY49" s="1358"/>
      <c r="BZ49" s="1290"/>
      <c r="CA49" s="1358"/>
      <c r="CB49" s="1358"/>
      <c r="CC49" s="1358"/>
      <c r="CD49" s="1290"/>
      <c r="CE49" s="1358"/>
      <c r="CF49" s="1358"/>
      <c r="CG49" s="1358"/>
      <c r="CH49" s="1358"/>
      <c r="CI49" s="1358"/>
      <c r="CJ49" s="1358"/>
      <c r="CK49" s="1358"/>
      <c r="CL49" s="1358"/>
      <c r="CM49" s="1358"/>
      <c r="CN49" s="1358"/>
      <c r="CO49" s="1358"/>
      <c r="CP49" s="1358"/>
      <c r="CQ49" s="1358"/>
      <c r="CR49" s="1358"/>
      <c r="CS49" s="1358"/>
      <c r="CT49" s="1290"/>
      <c r="CU49" s="1358"/>
      <c r="CV49" s="1358"/>
      <c r="CW49" s="1358"/>
      <c r="CX49" s="1358"/>
      <c r="CY49" s="1358"/>
      <c r="CZ49" s="1358"/>
      <c r="DA49" s="1290"/>
      <c r="DB49" s="1358"/>
      <c r="DC49" s="1290"/>
      <c r="DD49" s="1358"/>
      <c r="DE49" s="1358"/>
      <c r="DF49" s="1358"/>
      <c r="DG49" s="1290"/>
      <c r="DH49" s="1358"/>
      <c r="DI49" s="1358"/>
      <c r="DJ49" s="1290"/>
      <c r="DK49" s="1358"/>
      <c r="DL49" s="1358"/>
      <c r="DM49" s="1290"/>
      <c r="DN49" s="1358"/>
      <c r="DO49" s="1290"/>
      <c r="DP49" s="1358"/>
      <c r="DQ49" s="1358"/>
      <c r="DR49" s="1358"/>
      <c r="DS49" s="1358"/>
      <c r="DT49" s="1358"/>
      <c r="DU49" s="1358"/>
      <c r="DV49" s="1358"/>
      <c r="DW49" s="1358"/>
      <c r="DX49" s="1358"/>
      <c r="DY49" s="1358"/>
      <c r="DZ49" s="1358"/>
      <c r="EA49" s="1358"/>
      <c r="EB49" s="1358"/>
      <c r="EC49" s="1358"/>
      <c r="ED49" s="1722">
        <v>29414</v>
      </c>
      <c r="EE49" s="1722">
        <v>341307</v>
      </c>
      <c r="EF49" s="1358"/>
      <c r="EG49" s="1290"/>
      <c r="EH49" s="1290"/>
      <c r="EI49" s="1358"/>
      <c r="EJ49" s="1358"/>
      <c r="EK49" s="1358"/>
      <c r="EL49" s="1722">
        <v>2896</v>
      </c>
      <c r="EM49" s="1722"/>
      <c r="EN49" s="1358"/>
      <c r="EO49" s="1358"/>
      <c r="EP49" s="1358"/>
      <c r="EQ49" s="1358"/>
      <c r="ER49" s="1290"/>
      <c r="ES49" s="1358"/>
      <c r="ET49" s="1358"/>
      <c r="EU49" s="1358"/>
      <c r="EV49" s="1290"/>
      <c r="EW49" s="1722">
        <v>28423</v>
      </c>
      <c r="EX49" s="1358"/>
      <c r="EY49" s="1290"/>
      <c r="EZ49" s="1358"/>
      <c r="FA49" s="1358"/>
      <c r="FB49" s="1358"/>
      <c r="FC49" s="1358"/>
      <c r="FD49" s="1358"/>
      <c r="FE49" s="1290"/>
      <c r="FF49" s="1290"/>
      <c r="FG49" s="1290"/>
      <c r="FH49" s="1290"/>
      <c r="FI49" s="1290"/>
      <c r="FJ49" s="1290"/>
      <c r="FK49" s="1290"/>
      <c r="FL49" s="1290"/>
      <c r="FM49" s="1290"/>
      <c r="FN49" s="1290"/>
      <c r="FO49" s="1290"/>
      <c r="FP49" s="1290"/>
      <c r="FQ49" s="1358"/>
      <c r="FR49" s="1358"/>
      <c r="FS49" s="1358"/>
      <c r="FT49" s="1358"/>
      <c r="FU49" s="1358"/>
      <c r="FV49" s="1358"/>
      <c r="FW49" s="1358"/>
      <c r="FX49" s="1358"/>
      <c r="FY49" s="1358"/>
      <c r="FZ49" s="1358"/>
      <c r="GA49" s="1358"/>
      <c r="GB49" s="1358"/>
      <c r="GC49" s="1358"/>
      <c r="GD49" s="1358"/>
      <c r="GE49" s="1358"/>
      <c r="GF49" s="1358"/>
      <c r="GG49" s="1358"/>
      <c r="GH49" s="1358"/>
      <c r="GI49" s="1358"/>
      <c r="GJ49" s="1358"/>
      <c r="GK49" s="1358"/>
      <c r="GL49" s="1358"/>
      <c r="GM49" s="1358"/>
      <c r="GN49" s="1358"/>
      <c r="GO49" s="1358"/>
      <c r="GP49" s="1358"/>
      <c r="GQ49" s="1358"/>
      <c r="GR49" s="1358"/>
      <c r="GS49" s="1358"/>
      <c r="GT49" s="1358"/>
      <c r="GU49" s="1358"/>
      <c r="GV49" s="1358"/>
      <c r="GW49" s="1358"/>
      <c r="GX49" s="1358"/>
      <c r="GY49" s="1358"/>
      <c r="GZ49" s="1358"/>
      <c r="HA49" s="1358"/>
      <c r="HB49" s="1290"/>
      <c r="HC49" s="1358"/>
      <c r="HD49" s="1358"/>
      <c r="HE49" s="1358"/>
      <c r="HF49" s="1358"/>
      <c r="HG49" s="1290"/>
      <c r="HH49" s="1358"/>
      <c r="HI49" s="1290"/>
      <c r="HJ49" s="1290"/>
      <c r="HK49" s="1290"/>
      <c r="HL49" s="1290"/>
      <c r="HM49" s="1290"/>
      <c r="HN49" s="1358"/>
      <c r="HO49" s="1358"/>
      <c r="HP49" s="1290"/>
      <c r="HQ49" s="1358"/>
      <c r="HR49" s="1358"/>
      <c r="HS49" s="1358"/>
      <c r="HT49" s="1358"/>
      <c r="HU49" s="1358"/>
      <c r="HV49" s="1358"/>
      <c r="HW49" s="1358"/>
      <c r="HX49" s="1358"/>
      <c r="HY49" s="1358"/>
      <c r="HZ49" s="1358"/>
      <c r="IA49" s="1358"/>
      <c r="IB49" s="1358"/>
      <c r="IC49" s="1358"/>
      <c r="ID49" s="1358"/>
      <c r="IE49" s="1358"/>
      <c r="IF49" s="1358"/>
      <c r="IG49" s="1358"/>
      <c r="IH49" s="1358"/>
      <c r="II49" s="1358"/>
      <c r="IJ49" s="1358"/>
      <c r="IK49" s="1358"/>
      <c r="IL49" s="1358"/>
      <c r="IM49" s="1358"/>
      <c r="IN49" s="1358"/>
      <c r="IO49" s="1358"/>
      <c r="IP49" s="1358"/>
      <c r="IQ49" s="1358"/>
      <c r="IR49" s="1358"/>
      <c r="IS49" s="1358"/>
      <c r="IT49" s="1358"/>
      <c r="IU49" s="1358"/>
      <c r="IV49" s="1358"/>
      <c r="IW49" s="1358"/>
      <c r="IX49" s="1290"/>
      <c r="IY49" s="1358"/>
      <c r="IZ49" s="1290"/>
      <c r="JA49" s="1358"/>
      <c r="JB49" s="1358"/>
      <c r="JC49" s="1358"/>
      <c r="JD49" s="1358"/>
      <c r="JE49" s="1358"/>
      <c r="JF49" s="1358"/>
      <c r="JG49" s="1358"/>
      <c r="JH49" s="1358"/>
      <c r="JI49" s="1358"/>
      <c r="JJ49" s="1358"/>
      <c r="JK49" s="1358"/>
      <c r="JL49" s="1358"/>
      <c r="JM49" s="1358"/>
      <c r="JN49" s="1358"/>
      <c r="JO49" s="1358"/>
      <c r="JP49" s="1358"/>
      <c r="JQ49" s="1364"/>
      <c r="JR49" s="599"/>
      <c r="JS49" s="355" t="s">
        <v>4340</v>
      </c>
      <c r="JT49" s="355" t="s">
        <v>2253</v>
      </c>
      <c r="JU49" s="598"/>
      <c r="JV49" s="598"/>
    </row>
    <row r="50" spans="1:282" x14ac:dyDescent="0.25">
      <c r="A50" s="1367">
        <v>49</v>
      </c>
      <c r="B50" s="1684" t="str">
        <f t="shared" si="6"/>
        <v/>
      </c>
      <c r="C50" s="1688" t="s">
        <v>4341</v>
      </c>
      <c r="D50" s="1360" t="s">
        <v>4342</v>
      </c>
      <c r="E50" s="1358"/>
      <c r="F50" s="1358"/>
      <c r="G50" s="1358"/>
      <c r="H50" s="1358"/>
      <c r="I50" s="1358"/>
      <c r="J50" s="1358"/>
      <c r="K50" s="1358"/>
      <c r="L50" s="1358"/>
      <c r="M50" s="1358"/>
      <c r="N50" s="1358"/>
      <c r="O50" s="1358"/>
      <c r="P50" s="1358"/>
      <c r="Q50" s="1358"/>
      <c r="R50" s="1358"/>
      <c r="S50" s="1358"/>
      <c r="T50" s="1358"/>
      <c r="U50" s="1358"/>
      <c r="V50" s="1358"/>
      <c r="W50" s="1358"/>
      <c r="X50" s="1358"/>
      <c r="Y50" s="1358"/>
      <c r="Z50" s="1358"/>
      <c r="AA50" s="1358"/>
      <c r="AB50" s="1358"/>
      <c r="AC50" s="1358"/>
      <c r="AD50" s="1358"/>
      <c r="AE50" s="1358"/>
      <c r="AF50" s="1358"/>
      <c r="AG50" s="1358"/>
      <c r="AH50" s="1358"/>
      <c r="AI50" s="1290"/>
      <c r="AJ50" s="1358"/>
      <c r="AK50" s="1290"/>
      <c r="AL50" s="1358"/>
      <c r="AM50" s="1358"/>
      <c r="AN50" s="1358"/>
      <c r="AO50" s="1358"/>
      <c r="AP50" s="1358"/>
      <c r="AQ50" s="1358"/>
      <c r="AR50" s="1358"/>
      <c r="AS50" s="1358"/>
      <c r="AT50" s="1358"/>
      <c r="AU50" s="1290"/>
      <c r="AV50" s="1358"/>
      <c r="AW50" s="1358"/>
      <c r="AX50" s="1358"/>
      <c r="AY50" s="1358"/>
      <c r="AZ50" s="1358"/>
      <c r="BA50" s="1358"/>
      <c r="BB50" s="1290"/>
      <c r="BC50" s="1358"/>
      <c r="BD50" s="1290"/>
      <c r="BE50" s="1358"/>
      <c r="BF50" s="1358"/>
      <c r="BG50" s="1290"/>
      <c r="BH50" s="1358"/>
      <c r="BI50" s="1358"/>
      <c r="BJ50" s="1358"/>
      <c r="BK50" s="1358"/>
      <c r="BL50" s="1358"/>
      <c r="BM50" s="1358"/>
      <c r="BN50" s="1358"/>
      <c r="BO50" s="1358"/>
      <c r="BP50" s="1290"/>
      <c r="BQ50" s="1358"/>
      <c r="BR50" s="1358"/>
      <c r="BS50" s="1358"/>
      <c r="BT50" s="1290"/>
      <c r="BU50" s="1290"/>
      <c r="BV50" s="1358"/>
      <c r="BW50" s="1290"/>
      <c r="BX50" s="1358"/>
      <c r="BY50" s="1358"/>
      <c r="BZ50" s="1290"/>
      <c r="CA50" s="1358"/>
      <c r="CB50" s="1358"/>
      <c r="CC50" s="1358"/>
      <c r="CD50" s="1290"/>
      <c r="CE50" s="1358"/>
      <c r="CF50" s="1358"/>
      <c r="CG50" s="1358"/>
      <c r="CH50" s="1358"/>
      <c r="CI50" s="1358"/>
      <c r="CJ50" s="1358"/>
      <c r="CK50" s="1358"/>
      <c r="CL50" s="1358"/>
      <c r="CM50" s="1358"/>
      <c r="CN50" s="1358"/>
      <c r="CO50" s="1358"/>
      <c r="CP50" s="1358"/>
      <c r="CQ50" s="1358"/>
      <c r="CR50" s="1358"/>
      <c r="CS50" s="1358"/>
      <c r="CT50" s="1290"/>
      <c r="CU50" s="1358"/>
      <c r="CV50" s="1358"/>
      <c r="CW50" s="1358"/>
      <c r="CX50" s="1358"/>
      <c r="CY50" s="1358"/>
      <c r="CZ50" s="1358"/>
      <c r="DA50" s="1290"/>
      <c r="DB50" s="1358"/>
      <c r="DC50" s="1290"/>
      <c r="DD50" s="1358"/>
      <c r="DE50" s="1358"/>
      <c r="DF50" s="1358"/>
      <c r="DG50" s="1290"/>
      <c r="DH50" s="1358"/>
      <c r="DI50" s="1358"/>
      <c r="DJ50" s="1290"/>
      <c r="DK50" s="1358"/>
      <c r="DL50" s="1358"/>
      <c r="DM50" s="1290"/>
      <c r="DN50" s="1358"/>
      <c r="DO50" s="1290"/>
      <c r="DP50" s="1358"/>
      <c r="DQ50" s="1358"/>
      <c r="DR50" s="1358"/>
      <c r="DS50" s="1358"/>
      <c r="DT50" s="1358"/>
      <c r="DU50" s="1358"/>
      <c r="DV50" s="1358"/>
      <c r="DW50" s="1358"/>
      <c r="DX50" s="1358"/>
      <c r="DY50" s="1358"/>
      <c r="DZ50" s="1358"/>
      <c r="EA50" s="1358"/>
      <c r="EB50" s="1358"/>
      <c r="EC50" s="1358"/>
      <c r="ED50" s="1722">
        <v>6491</v>
      </c>
      <c r="EE50" s="1722">
        <v>37854</v>
      </c>
      <c r="EF50" s="1358"/>
      <c r="EG50" s="1290"/>
      <c r="EH50" s="1290"/>
      <c r="EI50" s="1358"/>
      <c r="EJ50" s="1358"/>
      <c r="EK50" s="1358"/>
      <c r="EL50" s="1722"/>
      <c r="EM50" s="1722"/>
      <c r="EN50" s="1358"/>
      <c r="EO50" s="1358"/>
      <c r="EP50" s="1358"/>
      <c r="EQ50" s="1358"/>
      <c r="ER50" s="1290"/>
      <c r="ES50" s="1358"/>
      <c r="ET50" s="1358"/>
      <c r="EU50" s="1358"/>
      <c r="EV50" s="1290"/>
      <c r="EW50" s="1358"/>
      <c r="EX50" s="1358"/>
      <c r="EY50" s="1290"/>
      <c r="EZ50" s="1722">
        <v>13450</v>
      </c>
      <c r="FA50" s="1358"/>
      <c r="FB50" s="1358"/>
      <c r="FC50" s="1358"/>
      <c r="FD50" s="1358"/>
      <c r="FE50" s="1290"/>
      <c r="FF50" s="1290"/>
      <c r="FG50" s="1290"/>
      <c r="FH50" s="1290"/>
      <c r="FI50" s="1290"/>
      <c r="FJ50" s="1290"/>
      <c r="FK50" s="1290"/>
      <c r="FL50" s="1290"/>
      <c r="FM50" s="1290"/>
      <c r="FN50" s="1290"/>
      <c r="FO50" s="1290"/>
      <c r="FP50" s="1290"/>
      <c r="FQ50" s="1358"/>
      <c r="FR50" s="1358"/>
      <c r="FS50" s="1358"/>
      <c r="FT50" s="1358"/>
      <c r="FU50" s="1358"/>
      <c r="FV50" s="1358"/>
      <c r="FW50" s="1358"/>
      <c r="FX50" s="1358"/>
      <c r="FY50" s="1358"/>
      <c r="FZ50" s="1358"/>
      <c r="GA50" s="1358"/>
      <c r="GB50" s="1358"/>
      <c r="GC50" s="1358"/>
      <c r="GD50" s="1358"/>
      <c r="GE50" s="1358"/>
      <c r="GF50" s="1358"/>
      <c r="GG50" s="1358"/>
      <c r="GH50" s="1358"/>
      <c r="GI50" s="1358"/>
      <c r="GJ50" s="1358"/>
      <c r="GK50" s="1358"/>
      <c r="GL50" s="1358"/>
      <c r="GM50" s="1358"/>
      <c r="GN50" s="1358"/>
      <c r="GO50" s="1358"/>
      <c r="GP50" s="1358"/>
      <c r="GQ50" s="1358"/>
      <c r="GR50" s="1358"/>
      <c r="GS50" s="1358"/>
      <c r="GT50" s="1358"/>
      <c r="GU50" s="1358"/>
      <c r="GV50" s="1358"/>
      <c r="GW50" s="1358"/>
      <c r="GX50" s="1358"/>
      <c r="GY50" s="1358"/>
      <c r="GZ50" s="1358"/>
      <c r="HA50" s="1358"/>
      <c r="HB50" s="1290"/>
      <c r="HC50" s="1358"/>
      <c r="HD50" s="1358"/>
      <c r="HE50" s="1358"/>
      <c r="HF50" s="1358"/>
      <c r="HG50" s="1290"/>
      <c r="HH50" s="1358"/>
      <c r="HI50" s="1290"/>
      <c r="HJ50" s="1290"/>
      <c r="HK50" s="1290"/>
      <c r="HL50" s="1290"/>
      <c r="HM50" s="1290"/>
      <c r="HN50" s="1358"/>
      <c r="HO50" s="1358"/>
      <c r="HP50" s="1290"/>
      <c r="HQ50" s="1358"/>
      <c r="HR50" s="1358"/>
      <c r="HS50" s="1358"/>
      <c r="HT50" s="1358"/>
      <c r="HU50" s="1358"/>
      <c r="HV50" s="1358"/>
      <c r="HW50" s="1358"/>
      <c r="HX50" s="1358"/>
      <c r="HY50" s="1358"/>
      <c r="HZ50" s="1358"/>
      <c r="IA50" s="1358"/>
      <c r="IB50" s="1358"/>
      <c r="IC50" s="1358"/>
      <c r="ID50" s="1358"/>
      <c r="IE50" s="1358"/>
      <c r="IF50" s="1358"/>
      <c r="IG50" s="1358"/>
      <c r="IH50" s="1358"/>
      <c r="II50" s="1358"/>
      <c r="IJ50" s="1358"/>
      <c r="IK50" s="1358"/>
      <c r="IL50" s="1358"/>
      <c r="IM50" s="1358"/>
      <c r="IN50" s="1358"/>
      <c r="IO50" s="1358"/>
      <c r="IP50" s="1358"/>
      <c r="IQ50" s="1358"/>
      <c r="IR50" s="1358"/>
      <c r="IS50" s="1358"/>
      <c r="IT50" s="1358"/>
      <c r="IU50" s="1358"/>
      <c r="IV50" s="1358"/>
      <c r="IW50" s="1358"/>
      <c r="IX50" s="1290"/>
      <c r="IY50" s="1358"/>
      <c r="IZ50" s="1290"/>
      <c r="JA50" s="1358"/>
      <c r="JB50" s="1358"/>
      <c r="JC50" s="1358"/>
      <c r="JD50" s="1358"/>
      <c r="JE50" s="1358"/>
      <c r="JF50" s="1358"/>
      <c r="JG50" s="1358"/>
      <c r="JH50" s="1358"/>
      <c r="JI50" s="1358"/>
      <c r="JJ50" s="1358"/>
      <c r="JK50" s="1358"/>
      <c r="JL50" s="1358"/>
      <c r="JM50" s="1358"/>
      <c r="JN50" s="1358"/>
      <c r="JO50" s="1358"/>
      <c r="JP50" s="1358"/>
      <c r="JQ50" s="1364"/>
      <c r="JR50" s="593"/>
      <c r="JS50" s="354"/>
      <c r="JT50" s="355" t="s">
        <v>2242</v>
      </c>
      <c r="JU50" s="598"/>
      <c r="JV50" s="598"/>
    </row>
    <row r="51" spans="1:282" x14ac:dyDescent="0.25">
      <c r="A51" s="1367">
        <v>50</v>
      </c>
      <c r="B51" s="1677" t="str">
        <f t="shared" si="6"/>
        <v/>
      </c>
      <c r="C51" s="1688" t="s">
        <v>4343</v>
      </c>
      <c r="D51" s="1360" t="s">
        <v>4255</v>
      </c>
      <c r="E51" s="1718"/>
      <c r="F51" s="1718"/>
      <c r="G51" s="1718"/>
      <c r="H51" s="1718"/>
      <c r="I51" s="1718"/>
      <c r="J51" s="1718"/>
      <c r="K51" s="1718"/>
      <c r="L51" s="1718"/>
      <c r="M51" s="1718"/>
      <c r="N51" s="1718"/>
      <c r="O51" s="1718"/>
      <c r="P51" s="1718"/>
      <c r="Q51" s="1718"/>
      <c r="R51" s="1718"/>
      <c r="S51" s="1718"/>
      <c r="T51" s="1718"/>
      <c r="U51" s="1718"/>
      <c r="V51" s="1718"/>
      <c r="W51" s="1718"/>
      <c r="X51" s="1718"/>
      <c r="Y51" s="1718"/>
      <c r="Z51" s="1718"/>
      <c r="AA51" s="1718"/>
      <c r="AB51" s="1718"/>
      <c r="AC51" s="1718"/>
      <c r="AD51" s="1718"/>
      <c r="AE51" s="1718"/>
      <c r="AF51" s="1718"/>
      <c r="AG51" s="1718"/>
      <c r="AH51" s="1718"/>
      <c r="AI51" s="1710"/>
      <c r="AJ51" s="1718"/>
      <c r="AK51" s="1710"/>
      <c r="AL51" s="1718"/>
      <c r="AM51" s="1718"/>
      <c r="AN51" s="1718"/>
      <c r="AO51" s="1718"/>
      <c r="AP51" s="1718"/>
      <c r="AQ51" s="1718"/>
      <c r="AR51" s="1718"/>
      <c r="AS51" s="1718"/>
      <c r="AT51" s="1718"/>
      <c r="AU51" s="1710">
        <v>1</v>
      </c>
      <c r="AV51" s="1718"/>
      <c r="AW51" s="1718"/>
      <c r="AX51" s="1718"/>
      <c r="AY51" s="1718"/>
      <c r="AZ51" s="1718"/>
      <c r="BA51" s="1718"/>
      <c r="BB51" s="1698">
        <v>1</v>
      </c>
      <c r="BC51" s="1718"/>
      <c r="BD51" s="1710">
        <v>1</v>
      </c>
      <c r="BE51" s="1718"/>
      <c r="BF51" s="1718"/>
      <c r="BG51" s="1698">
        <v>1</v>
      </c>
      <c r="BH51" s="1718"/>
      <c r="BI51" s="1718"/>
      <c r="BJ51" s="1718"/>
      <c r="BK51" s="1718"/>
      <c r="BL51" s="1718"/>
      <c r="BM51" s="1718"/>
      <c r="BN51" s="1718"/>
      <c r="BO51" s="1718"/>
      <c r="BP51" s="1698">
        <v>1</v>
      </c>
      <c r="BQ51" s="1718"/>
      <c r="BR51" s="1718"/>
      <c r="BS51" s="1718"/>
      <c r="BT51" s="1710"/>
      <c r="BU51" s="1696"/>
      <c r="BV51" s="1718"/>
      <c r="BW51" s="1710">
        <v>1</v>
      </c>
      <c r="BX51" s="1718"/>
      <c r="BY51" s="1718"/>
      <c r="BZ51" s="1698"/>
      <c r="CA51" s="1718"/>
      <c r="CB51" s="1718"/>
      <c r="CC51" s="1718"/>
      <c r="CD51" s="1696"/>
      <c r="CE51" s="1718"/>
      <c r="CF51" s="1718"/>
      <c r="CG51" s="1718"/>
      <c r="CH51" s="1718"/>
      <c r="CI51" s="1718"/>
      <c r="CJ51" s="1718"/>
      <c r="CK51" s="1718"/>
      <c r="CL51" s="1718"/>
      <c r="CM51" s="1718"/>
      <c r="CN51" s="1718"/>
      <c r="CO51" s="1718"/>
      <c r="CP51" s="1718"/>
      <c r="CQ51" s="1718"/>
      <c r="CR51" s="1718"/>
      <c r="CS51" s="1718"/>
      <c r="CT51" s="1696"/>
      <c r="CU51" s="1718"/>
      <c r="CV51" s="1718"/>
      <c r="CW51" s="1718"/>
      <c r="CX51" s="1718"/>
      <c r="CY51" s="1718"/>
      <c r="CZ51" s="1718"/>
      <c r="DA51" s="1710">
        <v>1</v>
      </c>
      <c r="DB51" s="1718"/>
      <c r="DC51" s="1710">
        <v>1</v>
      </c>
      <c r="DD51" s="1718"/>
      <c r="DE51" s="1718"/>
      <c r="DF51" s="1718"/>
      <c r="DG51" s="1710">
        <v>1</v>
      </c>
      <c r="DH51" s="1718"/>
      <c r="DI51" s="1718"/>
      <c r="DJ51" s="1710"/>
      <c r="DK51" s="1718"/>
      <c r="DL51" s="1718"/>
      <c r="DM51" s="1710"/>
      <c r="DN51" s="1718"/>
      <c r="DO51" s="1710"/>
      <c r="DP51" s="1718"/>
      <c r="DQ51" s="1718"/>
      <c r="DR51" s="1718"/>
      <c r="DS51" s="1718"/>
      <c r="DT51" s="1718"/>
      <c r="DU51" s="1718"/>
      <c r="DV51" s="1718"/>
      <c r="DW51" s="1701">
        <v>3</v>
      </c>
      <c r="DX51" s="1718"/>
      <c r="DY51" s="1718"/>
      <c r="DZ51" s="1718"/>
      <c r="EA51" s="1718"/>
      <c r="EB51" s="1718"/>
      <c r="EC51" s="1718"/>
      <c r="EE51" s="1710"/>
      <c r="EF51" s="1718"/>
      <c r="EG51" s="1710"/>
      <c r="EH51" s="1698"/>
      <c r="EI51" s="1718"/>
      <c r="EJ51" s="1718"/>
      <c r="EK51" s="1718"/>
      <c r="EL51" s="1718"/>
      <c r="EM51" s="1718"/>
      <c r="EN51" s="1701">
        <v>2</v>
      </c>
      <c r="EO51" s="1701">
        <v>3</v>
      </c>
      <c r="EP51" s="1718"/>
      <c r="EQ51" s="1718"/>
      <c r="ER51" s="1698">
        <v>1</v>
      </c>
      <c r="ES51" s="1718"/>
      <c r="ET51" s="1718"/>
      <c r="EU51" s="1718"/>
      <c r="EV51" s="1696"/>
      <c r="EW51" s="1718"/>
      <c r="EX51" s="1718"/>
      <c r="EY51" s="1710"/>
      <c r="EZ51" s="1718"/>
      <c r="FA51" s="1701">
        <v>4</v>
      </c>
      <c r="FB51" s="1701">
        <v>6</v>
      </c>
      <c r="FC51" s="1701">
        <v>1</v>
      </c>
      <c r="FD51" s="1718"/>
      <c r="FE51" s="1698">
        <v>2</v>
      </c>
      <c r="FF51" s="1698">
        <v>10</v>
      </c>
      <c r="FG51" s="1710">
        <v>1</v>
      </c>
      <c r="FH51" s="1698"/>
      <c r="FI51" s="1698"/>
      <c r="FJ51" s="1698">
        <v>15</v>
      </c>
      <c r="FK51" s="1698">
        <v>6</v>
      </c>
      <c r="FL51" s="1710"/>
      <c r="FM51" s="1710"/>
      <c r="FN51" s="1710"/>
      <c r="FO51" s="1698">
        <v>6</v>
      </c>
      <c r="FP51" s="1710"/>
      <c r="FQ51" s="1718"/>
      <c r="FR51" s="1718"/>
      <c r="FS51" s="1718"/>
      <c r="FT51" s="1718"/>
      <c r="FU51" s="1718"/>
      <c r="FV51" s="1718"/>
      <c r="FW51" s="1718"/>
      <c r="FX51" s="1718"/>
      <c r="FY51" s="1718"/>
      <c r="FZ51" s="1718"/>
      <c r="GA51" s="1718"/>
      <c r="GB51" s="1718"/>
      <c r="GC51" s="1718"/>
      <c r="GD51" s="1718"/>
      <c r="GE51" s="1718"/>
      <c r="GF51" s="1718"/>
      <c r="GG51" s="1718"/>
      <c r="GH51" s="1718"/>
      <c r="GI51" s="1718"/>
      <c r="GJ51" s="1718"/>
      <c r="GK51" s="1718"/>
      <c r="GL51" s="1718"/>
      <c r="GM51" s="1718"/>
      <c r="GN51" s="1718"/>
      <c r="GO51" s="1718"/>
      <c r="GP51" s="1718"/>
      <c r="GQ51" s="1718"/>
      <c r="GR51" s="1718"/>
      <c r="GS51" s="1718"/>
      <c r="GT51" s="1718"/>
      <c r="GU51" s="1696">
        <v>1</v>
      </c>
      <c r="GV51" s="1718"/>
      <c r="GW51" s="1718"/>
      <c r="GX51" s="1718"/>
      <c r="GY51" s="1718"/>
      <c r="GZ51" s="1718"/>
      <c r="HA51" s="1718"/>
      <c r="HB51" s="1696">
        <v>1</v>
      </c>
      <c r="HC51" s="1718"/>
      <c r="HD51" s="1718"/>
      <c r="HE51" s="1718"/>
      <c r="HF51" s="1718"/>
      <c r="HG51" s="1710"/>
      <c r="HH51" s="1718"/>
      <c r="HI51" s="1710">
        <v>1</v>
      </c>
      <c r="HJ51" s="1710"/>
      <c r="HK51" s="1710"/>
      <c r="HL51" s="1710"/>
      <c r="HM51" s="1698">
        <v>8</v>
      </c>
      <c r="HN51" s="1718"/>
      <c r="HO51" s="1718"/>
      <c r="HP51" s="1710">
        <v>1</v>
      </c>
      <c r="HQ51" s="1718"/>
      <c r="HR51" s="1718"/>
      <c r="HS51" s="1718"/>
      <c r="HT51" s="1718"/>
      <c r="HU51" s="1718"/>
      <c r="HV51" s="1718"/>
      <c r="HW51" s="1718"/>
      <c r="HX51" s="1718"/>
      <c r="HY51" s="1718"/>
      <c r="HZ51" s="1718"/>
      <c r="IA51" s="1718"/>
      <c r="IB51" s="1718"/>
      <c r="IC51" s="1718"/>
      <c r="ID51" s="1718"/>
      <c r="IE51" s="1718"/>
      <c r="IF51" s="1701">
        <v>6</v>
      </c>
      <c r="IG51" s="1718"/>
      <c r="IH51" s="1718"/>
      <c r="II51" s="1718"/>
      <c r="IJ51" s="1718"/>
      <c r="IK51" s="1718"/>
      <c r="IL51" s="1718"/>
      <c r="IM51" s="1718"/>
      <c r="IN51" s="1718"/>
      <c r="IO51" s="1718"/>
      <c r="IP51" s="1718"/>
      <c r="IQ51" s="1718"/>
      <c r="IR51" s="1718"/>
      <c r="IS51" s="1701">
        <v>66</v>
      </c>
      <c r="IT51" s="1718"/>
      <c r="IU51" s="1718"/>
      <c r="IV51" s="1718"/>
      <c r="IW51" s="1718"/>
      <c r="IX51" s="1698">
        <v>39</v>
      </c>
      <c r="IY51" s="1718"/>
      <c r="IZ51" s="1710"/>
      <c r="JA51" s="1718"/>
      <c r="JB51" s="1718"/>
      <c r="JC51" s="1718"/>
      <c r="JD51" s="1701">
        <v>216</v>
      </c>
      <c r="JE51" s="1718"/>
      <c r="JF51" s="1718"/>
      <c r="JG51" s="1718"/>
      <c r="JH51" s="1718"/>
      <c r="JI51" s="1718"/>
      <c r="JJ51" s="1718"/>
      <c r="JK51" s="1718"/>
      <c r="JL51" s="1718"/>
      <c r="JM51" s="1718"/>
      <c r="JN51" s="1718"/>
      <c r="JO51" s="1718"/>
      <c r="JP51" s="1718"/>
      <c r="JQ51" s="1719"/>
      <c r="JR51" s="593"/>
      <c r="JS51" s="354"/>
      <c r="JT51" s="355" t="s">
        <v>3734</v>
      </c>
      <c r="JU51" s="598"/>
      <c r="JV51" s="598"/>
    </row>
    <row r="52" spans="1:282" x14ac:dyDescent="0.25">
      <c r="A52" s="1367">
        <v>51</v>
      </c>
      <c r="B52" s="1684" t="str">
        <f t="shared" si="6"/>
        <v/>
      </c>
      <c r="C52" s="1688" t="s">
        <v>4344</v>
      </c>
      <c r="D52" s="1360" t="s">
        <v>4257</v>
      </c>
      <c r="E52" s="1720"/>
      <c r="F52" s="1720"/>
      <c r="G52" s="1720"/>
      <c r="H52" s="1720"/>
      <c r="I52" s="1720"/>
      <c r="J52" s="1720"/>
      <c r="K52" s="1720"/>
      <c r="L52" s="1720"/>
      <c r="M52" s="1720"/>
      <c r="N52" s="1720"/>
      <c r="O52" s="1720"/>
      <c r="P52" s="1720"/>
      <c r="Q52" s="1720"/>
      <c r="R52" s="1720"/>
      <c r="S52" s="1720"/>
      <c r="T52" s="1720"/>
      <c r="U52" s="1720"/>
      <c r="V52" s="1720"/>
      <c r="W52" s="1720"/>
      <c r="X52" s="1720"/>
      <c r="Y52" s="1720"/>
      <c r="Z52" s="1720"/>
      <c r="AA52" s="1720"/>
      <c r="AB52" s="1720"/>
      <c r="AC52" s="1720"/>
      <c r="AD52" s="1720"/>
      <c r="AE52" s="1720"/>
      <c r="AF52" s="1720"/>
      <c r="AG52" s="1720"/>
      <c r="AH52" s="1720"/>
      <c r="AI52" s="1712"/>
      <c r="AJ52" s="1720"/>
      <c r="AK52" s="1712"/>
      <c r="AL52" s="1720"/>
      <c r="AM52" s="1720"/>
      <c r="AN52" s="1720"/>
      <c r="AO52" s="1720"/>
      <c r="AP52" s="1720"/>
      <c r="AQ52" s="1720"/>
      <c r="AR52" s="1720"/>
      <c r="AS52" s="1720"/>
      <c r="AT52" s="1720"/>
      <c r="AU52" s="1712">
        <v>25000</v>
      </c>
      <c r="AV52" s="1720"/>
      <c r="AW52" s="1720"/>
      <c r="AX52" s="1720"/>
      <c r="AY52" s="1720"/>
      <c r="AZ52" s="1720"/>
      <c r="BA52" s="1720"/>
      <c r="BB52" s="1694"/>
      <c r="BC52" s="1720"/>
      <c r="BD52" s="1712">
        <v>27000</v>
      </c>
      <c r="BE52" s="1720"/>
      <c r="BF52" s="1720"/>
      <c r="BG52" s="1694">
        <v>108000</v>
      </c>
      <c r="BH52" s="1720"/>
      <c r="BI52" s="1720"/>
      <c r="BJ52" s="1720"/>
      <c r="BK52" s="1720"/>
      <c r="BL52" s="1720"/>
      <c r="BM52" s="1720"/>
      <c r="BN52" s="1720"/>
      <c r="BO52" s="1720"/>
      <c r="BP52" s="1694">
        <v>102000</v>
      </c>
      <c r="BQ52" s="1720"/>
      <c r="BR52" s="1720"/>
      <c r="BS52" s="1720"/>
      <c r="BT52" s="1712"/>
      <c r="BU52" s="1691"/>
      <c r="BV52" s="1720"/>
      <c r="BW52" s="1712">
        <v>27000</v>
      </c>
      <c r="BX52" s="1720"/>
      <c r="BY52" s="1720"/>
      <c r="BZ52" s="1694"/>
      <c r="CA52" s="1720"/>
      <c r="CB52" s="1720"/>
      <c r="CC52" s="1720"/>
      <c r="CD52" s="1691"/>
      <c r="CE52" s="1720"/>
      <c r="CF52" s="1720"/>
      <c r="CG52" s="1720"/>
      <c r="CH52" s="1720"/>
      <c r="CI52" s="1720"/>
      <c r="CJ52" s="1720"/>
      <c r="CK52" s="1720"/>
      <c r="CL52" s="1720"/>
      <c r="CM52" s="1720"/>
      <c r="CN52" s="1720"/>
      <c r="CO52" s="1720"/>
      <c r="CP52" s="1720"/>
      <c r="CQ52" s="1720"/>
      <c r="CR52" s="1720"/>
      <c r="CS52" s="1720"/>
      <c r="CT52" s="1691"/>
      <c r="CU52" s="1720"/>
      <c r="CV52" s="1720"/>
      <c r="CW52" s="1720"/>
      <c r="CX52" s="1720"/>
      <c r="CY52" s="1720"/>
      <c r="CZ52" s="1720"/>
      <c r="DA52" s="1694">
        <v>19442</v>
      </c>
      <c r="DB52" s="1720"/>
      <c r="DC52" s="1712">
        <v>25000</v>
      </c>
      <c r="DD52" s="1720"/>
      <c r="DE52" s="1720"/>
      <c r="DF52" s="1720"/>
      <c r="DG52" s="1712">
        <v>25000</v>
      </c>
      <c r="DH52" s="1720"/>
      <c r="DI52" s="1720"/>
      <c r="DJ52" s="1694">
        <v>286</v>
      </c>
      <c r="DK52" s="1720"/>
      <c r="DL52" s="1720"/>
      <c r="DM52" s="1712"/>
      <c r="DN52" s="1720"/>
      <c r="DO52" s="1712"/>
      <c r="DP52" s="1720"/>
      <c r="DQ52" s="1720"/>
      <c r="DR52" s="1720"/>
      <c r="DS52" s="1720"/>
      <c r="DT52" s="1720"/>
      <c r="DU52" s="1720"/>
      <c r="DV52" s="1720"/>
      <c r="DW52" s="1693">
        <v>38529</v>
      </c>
      <c r="DX52" s="1720"/>
      <c r="DY52" s="1720"/>
      <c r="DZ52" s="1720"/>
      <c r="EA52" s="1720"/>
      <c r="EB52" s="1720"/>
      <c r="EC52" s="1720"/>
      <c r="ED52" s="1712"/>
      <c r="EE52" s="1712"/>
      <c r="EF52" s="1720"/>
      <c r="EG52" s="1712"/>
      <c r="EH52" s="1694">
        <v>1856000</v>
      </c>
      <c r="EI52" s="1720"/>
      <c r="EJ52" s="1720"/>
      <c r="EK52" s="1720"/>
      <c r="EL52" s="1720"/>
      <c r="EM52" s="1720"/>
      <c r="EN52" s="1693">
        <v>606667</v>
      </c>
      <c r="EO52" s="1720"/>
      <c r="EP52" s="1720"/>
      <c r="EQ52" s="1720"/>
      <c r="ER52" s="1694">
        <v>37288</v>
      </c>
      <c r="ES52" s="1720"/>
      <c r="ET52" s="1720"/>
      <c r="EU52" s="1720"/>
      <c r="EV52" s="1691"/>
      <c r="EW52" s="1720"/>
      <c r="EX52" s="1720"/>
      <c r="EY52" s="1712"/>
      <c r="EZ52" s="1720"/>
      <c r="FA52" s="1693">
        <v>14741</v>
      </c>
      <c r="FB52" s="1693">
        <v>3573</v>
      </c>
      <c r="FC52" s="1693">
        <v>37288</v>
      </c>
      <c r="FD52" s="1720"/>
      <c r="FE52" s="1694">
        <v>69219.14</v>
      </c>
      <c r="FF52" s="1694">
        <v>4379521</v>
      </c>
      <c r="FG52" s="1712">
        <v>27000</v>
      </c>
      <c r="FH52" s="1694"/>
      <c r="FI52" s="1694"/>
      <c r="FJ52" s="1712">
        <v>568324</v>
      </c>
      <c r="FK52" s="1694">
        <v>95841</v>
      </c>
      <c r="FL52" s="1712"/>
      <c r="FM52" s="1712"/>
      <c r="FN52" s="1712"/>
      <c r="FO52" s="1694">
        <v>203123</v>
      </c>
      <c r="FP52" s="1712"/>
      <c r="FQ52" s="1720"/>
      <c r="FR52" s="1720"/>
      <c r="FS52" s="1720"/>
      <c r="FT52" s="1720"/>
      <c r="FU52" s="1720"/>
      <c r="FV52" s="1720"/>
      <c r="FW52" s="1720"/>
      <c r="FX52" s="1720"/>
      <c r="FY52" s="1720"/>
      <c r="FZ52" s="1720"/>
      <c r="GA52" s="1720"/>
      <c r="GB52" s="1720"/>
      <c r="GC52" s="1720"/>
      <c r="GD52" s="1720"/>
      <c r="GE52" s="1720"/>
      <c r="GF52" s="1720"/>
      <c r="GG52" s="1720"/>
      <c r="GH52" s="1720"/>
      <c r="GI52" s="1720"/>
      <c r="GJ52" s="1720"/>
      <c r="GK52" s="1720"/>
      <c r="GL52" s="1720"/>
      <c r="GM52" s="1720"/>
      <c r="GN52" s="1720"/>
      <c r="GO52" s="1720"/>
      <c r="GP52" s="1720"/>
      <c r="GQ52" s="1720"/>
      <c r="GR52" s="1720"/>
      <c r="GS52" s="1720"/>
      <c r="GT52" s="1720"/>
      <c r="GU52" s="1691">
        <v>20000</v>
      </c>
      <c r="GV52" s="1720"/>
      <c r="GW52" s="1720"/>
      <c r="GX52" s="1720"/>
      <c r="GY52" s="1720"/>
      <c r="GZ52" s="1720"/>
      <c r="HA52" s="1720"/>
      <c r="HB52" s="1691">
        <v>10000</v>
      </c>
      <c r="HC52" s="1720"/>
      <c r="HD52" s="1720"/>
      <c r="HE52" s="1720"/>
      <c r="HF52" s="1720"/>
      <c r="HG52" s="1712"/>
      <c r="HH52" s="1720"/>
      <c r="HI52" s="1712">
        <v>20000</v>
      </c>
      <c r="HJ52" s="1712"/>
      <c r="HK52" s="1712"/>
      <c r="HL52" s="1712"/>
      <c r="HM52" s="1694">
        <v>683814</v>
      </c>
      <c r="HN52" s="1720"/>
      <c r="HO52" s="1720"/>
      <c r="HP52" s="1694">
        <v>13788</v>
      </c>
      <c r="HQ52" s="1720"/>
      <c r="HR52" s="1720"/>
      <c r="HS52" s="1720"/>
      <c r="HT52" s="1720"/>
      <c r="HU52" s="1720"/>
      <c r="HV52" s="1720"/>
      <c r="HW52" s="1720"/>
      <c r="HX52" s="1720"/>
      <c r="HY52" s="1720"/>
      <c r="HZ52" s="1720"/>
      <c r="IA52" s="1720"/>
      <c r="IB52" s="1720"/>
      <c r="IC52" s="1720"/>
      <c r="ID52" s="1720"/>
      <c r="IE52" s="1720"/>
      <c r="IF52" s="1693">
        <v>9792</v>
      </c>
      <c r="IG52" s="1720"/>
      <c r="IH52" s="1720"/>
      <c r="II52" s="1720"/>
      <c r="IJ52" s="1720"/>
      <c r="IK52" s="1720"/>
      <c r="IL52" s="1720"/>
      <c r="IM52" s="1720"/>
      <c r="IN52" s="1720"/>
      <c r="IO52" s="1720"/>
      <c r="IP52" s="1720"/>
      <c r="IQ52" s="1720"/>
      <c r="IR52" s="1720"/>
      <c r="IS52" s="1693">
        <v>1825164</v>
      </c>
      <c r="IT52" s="1720"/>
      <c r="IU52" s="1720"/>
      <c r="IV52" s="1720"/>
      <c r="IW52" s="1720"/>
      <c r="IX52" s="1694">
        <v>2404797</v>
      </c>
      <c r="IY52" s="1720"/>
      <c r="IZ52" s="1712"/>
      <c r="JA52" s="1720"/>
      <c r="JB52" s="1720"/>
      <c r="JC52" s="1720"/>
      <c r="JD52" s="1693">
        <v>43153</v>
      </c>
      <c r="JE52" s="1720"/>
      <c r="JF52" s="1720"/>
      <c r="JG52" s="1720"/>
      <c r="JH52" s="1720"/>
      <c r="JI52" s="1720"/>
      <c r="JJ52" s="1720"/>
      <c r="JK52" s="1720"/>
      <c r="JL52" s="1693">
        <v>106014</v>
      </c>
      <c r="JM52" s="1720"/>
      <c r="JN52" s="1720"/>
      <c r="JO52" s="1720"/>
      <c r="JP52" s="1720"/>
      <c r="JQ52" s="1721"/>
      <c r="JR52" s="593"/>
      <c r="JS52" s="354"/>
      <c r="JT52" s="355" t="s">
        <v>2242</v>
      </c>
      <c r="JU52" s="598"/>
      <c r="JV52" s="598"/>
    </row>
    <row r="53" spans="1:282" x14ac:dyDescent="0.25">
      <c r="A53" s="1367">
        <v>52</v>
      </c>
      <c r="B53" s="1684" t="str">
        <f t="shared" si="6"/>
        <v/>
      </c>
      <c r="C53" s="1688" t="s">
        <v>4345</v>
      </c>
      <c r="D53" s="1360" t="s">
        <v>4259</v>
      </c>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0"/>
      <c r="AB53" s="1720"/>
      <c r="AC53" s="1720"/>
      <c r="AD53" s="1720"/>
      <c r="AE53" s="1720"/>
      <c r="AF53" s="1720"/>
      <c r="AG53" s="1720"/>
      <c r="AH53" s="1720"/>
      <c r="AI53" s="1712"/>
      <c r="AJ53" s="1720"/>
      <c r="AK53" s="1712"/>
      <c r="AL53" s="1720"/>
      <c r="AM53" s="1720"/>
      <c r="AN53" s="1720"/>
      <c r="AO53" s="1720"/>
      <c r="AP53" s="1720"/>
      <c r="AQ53" s="1720"/>
      <c r="AR53" s="1720"/>
      <c r="AS53" s="1720"/>
      <c r="AT53" s="1720"/>
      <c r="AU53" s="1691"/>
      <c r="AV53" s="1720"/>
      <c r="AW53" s="1720"/>
      <c r="AX53" s="1720"/>
      <c r="AY53" s="1720"/>
      <c r="AZ53" s="1720"/>
      <c r="BA53" s="1720"/>
      <c r="BB53" s="1691"/>
      <c r="BC53" s="1720"/>
      <c r="BD53" s="1691"/>
      <c r="BE53" s="1720"/>
      <c r="BF53" s="1720"/>
      <c r="BG53" s="1694">
        <v>3000</v>
      </c>
      <c r="BH53" s="1720"/>
      <c r="BI53" s="1720"/>
      <c r="BJ53" s="1720"/>
      <c r="BK53" s="1720"/>
      <c r="BL53" s="1720"/>
      <c r="BM53" s="1720"/>
      <c r="BN53" s="1720"/>
      <c r="BO53" s="1720"/>
      <c r="BP53" s="1694">
        <v>200</v>
      </c>
      <c r="BQ53" s="1720"/>
      <c r="BR53" s="1720"/>
      <c r="BS53" s="1720"/>
      <c r="BT53" s="1712"/>
      <c r="BU53" s="1691"/>
      <c r="BV53" s="1720"/>
      <c r="BW53" s="1691"/>
      <c r="BX53" s="1720"/>
      <c r="BY53" s="1720"/>
      <c r="BZ53" s="1691"/>
      <c r="CA53" s="1720"/>
      <c r="CB53" s="1720"/>
      <c r="CC53" s="1720"/>
      <c r="CD53" s="1691"/>
      <c r="CE53" s="1720"/>
      <c r="CF53" s="1720"/>
      <c r="CG53" s="1720"/>
      <c r="CH53" s="1720"/>
      <c r="CI53" s="1720"/>
      <c r="CJ53" s="1720"/>
      <c r="CK53" s="1720"/>
      <c r="CL53" s="1720"/>
      <c r="CM53" s="1720"/>
      <c r="CN53" s="1720"/>
      <c r="CO53" s="1720"/>
      <c r="CP53" s="1720"/>
      <c r="CQ53" s="1720"/>
      <c r="CR53" s="1720"/>
      <c r="CS53" s="1720"/>
      <c r="CT53" s="1691"/>
      <c r="CU53" s="1720"/>
      <c r="CV53" s="1720"/>
      <c r="CW53" s="1720"/>
      <c r="CX53" s="1720"/>
      <c r="CY53" s="1720"/>
      <c r="CZ53" s="1720"/>
      <c r="DA53" s="1694">
        <v>833</v>
      </c>
      <c r="DB53" s="1720"/>
      <c r="DC53" s="1691"/>
      <c r="DD53" s="1720"/>
      <c r="DE53" s="1720"/>
      <c r="DF53" s="1720"/>
      <c r="DG53" s="1691"/>
      <c r="DH53" s="1720"/>
      <c r="DI53" s="1720"/>
      <c r="DJ53" s="1712"/>
      <c r="DK53" s="1720"/>
      <c r="DL53" s="1720"/>
      <c r="DM53" s="1712"/>
      <c r="DN53" s="1720"/>
      <c r="DO53" s="1712"/>
      <c r="DP53" s="1720"/>
      <c r="DQ53" s="1720"/>
      <c r="DR53" s="1720"/>
      <c r="DS53" s="1720"/>
      <c r="DT53" s="1720"/>
      <c r="DU53" s="1720"/>
      <c r="DV53" s="1720"/>
      <c r="DW53" s="1693">
        <v>48125</v>
      </c>
      <c r="DX53" s="1720"/>
      <c r="DY53" s="1720"/>
      <c r="DZ53" s="1720"/>
      <c r="EA53" s="1720"/>
      <c r="EB53" s="1720"/>
      <c r="EC53" s="1720"/>
      <c r="ED53" s="1712"/>
      <c r="EE53" s="1712"/>
      <c r="EF53" s="1720"/>
      <c r="EG53" s="1712"/>
      <c r="EH53" s="1694">
        <v>16</v>
      </c>
      <c r="EI53" s="1720"/>
      <c r="EJ53" s="1720"/>
      <c r="EK53" s="1720"/>
      <c r="EL53" s="1720"/>
      <c r="EM53" s="1720"/>
      <c r="EN53" s="1693">
        <v>432895</v>
      </c>
      <c r="EO53" s="1720"/>
      <c r="EP53" s="1720"/>
      <c r="EQ53" s="1720"/>
      <c r="ER53" s="1694">
        <v>17826</v>
      </c>
      <c r="ES53" s="1720"/>
      <c r="ET53" s="1720"/>
      <c r="EU53" s="1720"/>
      <c r="EV53" s="1691"/>
      <c r="EW53" s="1720"/>
      <c r="EX53" s="1720"/>
      <c r="EY53" s="1712"/>
      <c r="EZ53" s="1720"/>
      <c r="FA53" s="1693">
        <v>16666</v>
      </c>
      <c r="FB53" s="1693">
        <v>109</v>
      </c>
      <c r="FC53" s="1693">
        <v>17826</v>
      </c>
      <c r="FD53" s="1720"/>
      <c r="FE53" s="1694">
        <v>71787</v>
      </c>
      <c r="FF53" s="1712"/>
      <c r="FG53" s="1691"/>
      <c r="FH53" s="1691"/>
      <c r="FI53" s="1691"/>
      <c r="FJ53" s="1691">
        <v>544028</v>
      </c>
      <c r="FK53" s="1694">
        <v>82227</v>
      </c>
      <c r="FL53" s="1712"/>
      <c r="FM53" s="1712"/>
      <c r="FN53" s="1712"/>
      <c r="FO53" s="1694">
        <v>38133</v>
      </c>
      <c r="FP53" s="1712"/>
      <c r="FQ53" s="1720"/>
      <c r="FR53" s="1720"/>
      <c r="FS53" s="1720"/>
      <c r="FT53" s="1720"/>
      <c r="FU53" s="1720"/>
      <c r="FV53" s="1720"/>
      <c r="FW53" s="1720"/>
      <c r="FX53" s="1720"/>
      <c r="FY53" s="1720"/>
      <c r="FZ53" s="1720"/>
      <c r="GA53" s="1720"/>
      <c r="GB53" s="1720"/>
      <c r="GC53" s="1720"/>
      <c r="GD53" s="1720"/>
      <c r="GE53" s="1720"/>
      <c r="GF53" s="1720"/>
      <c r="GG53" s="1720"/>
      <c r="GH53" s="1720"/>
      <c r="GI53" s="1720"/>
      <c r="GJ53" s="1720"/>
      <c r="GK53" s="1720"/>
      <c r="GL53" s="1720"/>
      <c r="GM53" s="1720"/>
      <c r="GN53" s="1720"/>
      <c r="GO53" s="1720"/>
      <c r="GP53" s="1720"/>
      <c r="GQ53" s="1720"/>
      <c r="GR53" s="1720"/>
      <c r="GS53" s="1720"/>
      <c r="GT53" s="1720"/>
      <c r="GU53" s="1691">
        <v>1000</v>
      </c>
      <c r="GV53" s="1720"/>
      <c r="GW53" s="1720"/>
      <c r="GX53" s="1720"/>
      <c r="GY53" s="1720"/>
      <c r="GZ53" s="1720"/>
      <c r="HA53" s="1720"/>
      <c r="HB53" s="1691">
        <v>15000</v>
      </c>
      <c r="HC53" s="1720"/>
      <c r="HD53" s="1720"/>
      <c r="HE53" s="1720"/>
      <c r="HF53" s="1720"/>
      <c r="HG53" s="1712"/>
      <c r="HH53" s="1720"/>
      <c r="HI53" s="1712">
        <v>1000</v>
      </c>
      <c r="HJ53" s="1712"/>
      <c r="HK53" s="1712"/>
      <c r="HL53" s="1712"/>
      <c r="HM53" s="1694">
        <v>342782</v>
      </c>
      <c r="HN53" s="1720"/>
      <c r="HO53" s="1720"/>
      <c r="HP53" s="1694">
        <v>14432</v>
      </c>
      <c r="HQ53" s="1720"/>
      <c r="HR53" s="1720"/>
      <c r="HS53" s="1720"/>
      <c r="HT53" s="1720"/>
      <c r="HU53" s="1720"/>
      <c r="HV53" s="1720"/>
      <c r="HW53" s="1720"/>
      <c r="HX53" s="1720"/>
      <c r="HY53" s="1720"/>
      <c r="HZ53" s="1720"/>
      <c r="IA53" s="1720"/>
      <c r="IB53" s="1720"/>
      <c r="IC53" s="1720"/>
      <c r="ID53" s="1720"/>
      <c r="IE53" s="1720"/>
      <c r="IF53" s="1693">
        <v>15084</v>
      </c>
      <c r="IG53" s="1720"/>
      <c r="IH53" s="1720"/>
      <c r="II53" s="1720"/>
      <c r="IJ53" s="1720"/>
      <c r="IK53" s="1720"/>
      <c r="IL53" s="1720"/>
      <c r="IM53" s="1720"/>
      <c r="IN53" s="1720"/>
      <c r="IO53" s="1720"/>
      <c r="IP53" s="1720"/>
      <c r="IQ53" s="1720"/>
      <c r="IR53" s="1720"/>
      <c r="IS53" s="1693">
        <v>1297116</v>
      </c>
      <c r="IT53" s="1720"/>
      <c r="IU53" s="1720"/>
      <c r="IV53" s="1720"/>
      <c r="IW53" s="1720"/>
      <c r="IX53" s="1694">
        <v>1623881</v>
      </c>
      <c r="IY53" s="1693">
        <v>3836</v>
      </c>
      <c r="IZ53" s="1712"/>
      <c r="JA53" s="1720"/>
      <c r="JB53" s="1720"/>
      <c r="JC53" s="1720"/>
      <c r="JD53" s="1693">
        <v>23699</v>
      </c>
      <c r="JE53" s="1720"/>
      <c r="JF53" s="1720"/>
      <c r="JG53" s="1720"/>
      <c r="JH53" s="1720"/>
      <c r="JI53" s="1720"/>
      <c r="JJ53" s="1720"/>
      <c r="JK53" s="1720"/>
      <c r="JL53" s="1693">
        <v>151670</v>
      </c>
      <c r="JM53" s="1720"/>
      <c r="JN53" s="1720"/>
      <c r="JO53" s="1720"/>
      <c r="JP53" s="1720"/>
      <c r="JQ53" s="1721"/>
      <c r="JR53" s="593"/>
      <c r="JS53" s="354" t="s">
        <v>4304</v>
      </c>
      <c r="JT53" s="355" t="s">
        <v>2242</v>
      </c>
      <c r="JU53" s="598"/>
      <c r="JV53" s="598"/>
    </row>
    <row r="54" spans="1:282" x14ac:dyDescent="0.25">
      <c r="A54" s="1367">
        <v>53</v>
      </c>
      <c r="B54" s="1684" t="str">
        <f t="shared" si="6"/>
        <v/>
      </c>
      <c r="C54" s="1688" t="s">
        <v>4346</v>
      </c>
      <c r="D54" s="1360" t="s">
        <v>4292</v>
      </c>
      <c r="E54" s="2592"/>
      <c r="F54" s="2592"/>
      <c r="G54" s="2592"/>
      <c r="H54" s="2592"/>
      <c r="I54" s="2592"/>
      <c r="J54" s="2592"/>
      <c r="K54" s="2592"/>
      <c r="L54" s="2592"/>
      <c r="M54" s="2592"/>
      <c r="N54" s="2592"/>
      <c r="O54" s="2592"/>
      <c r="P54" s="2592"/>
      <c r="Q54" s="2592"/>
      <c r="R54" s="2592"/>
      <c r="S54" s="2592"/>
      <c r="T54" s="2592"/>
      <c r="U54" s="2592"/>
      <c r="V54" s="2592"/>
      <c r="W54" s="2592"/>
      <c r="X54" s="2592"/>
      <c r="Y54" s="2592"/>
      <c r="Z54" s="2592"/>
      <c r="AA54" s="2592"/>
      <c r="AB54" s="2592"/>
      <c r="AC54" s="2592"/>
      <c r="AD54" s="2592"/>
      <c r="AE54" s="2592"/>
      <c r="AF54" s="2592"/>
      <c r="AG54" s="2592"/>
      <c r="AH54" s="2592"/>
      <c r="AI54" s="2592"/>
      <c r="AJ54" s="2592"/>
      <c r="AK54" s="2592"/>
      <c r="AL54" s="2592"/>
      <c r="AM54" s="2592"/>
      <c r="AN54" s="2592"/>
      <c r="AO54" s="2592"/>
      <c r="AP54" s="2592"/>
      <c r="AQ54" s="2592"/>
      <c r="AR54" s="2592"/>
      <c r="AS54" s="2592"/>
      <c r="AT54" s="2592"/>
      <c r="AU54" s="2592">
        <f>MAX(0,AU52-AU53)</f>
        <v>25000</v>
      </c>
      <c r="AV54" s="2592"/>
      <c r="AW54" s="2592"/>
      <c r="AX54" s="2592"/>
      <c r="AY54" s="2592"/>
      <c r="AZ54" s="2592"/>
      <c r="BA54" s="2592"/>
      <c r="BB54" s="1694"/>
      <c r="BC54" s="2592"/>
      <c r="BD54" s="2592">
        <f>MAX(0,BD52-BD53)</f>
        <v>27000</v>
      </c>
      <c r="BE54" s="2592"/>
      <c r="BF54" s="2592"/>
      <c r="BG54" s="1694">
        <f>MAX(0,BG52-BG53)</f>
        <v>105000</v>
      </c>
      <c r="BH54" s="2592"/>
      <c r="BI54" s="2592"/>
      <c r="BJ54" s="2592"/>
      <c r="BK54" s="2592"/>
      <c r="BL54" s="2592"/>
      <c r="BM54" s="2592"/>
      <c r="BN54" s="2592"/>
      <c r="BO54" s="2592"/>
      <c r="BP54" s="1694">
        <f>MAX(0,BP52-BP53)</f>
        <v>101800</v>
      </c>
      <c r="BQ54" s="2592"/>
      <c r="BR54" s="2592"/>
      <c r="BS54" s="2592"/>
      <c r="BT54" s="2592"/>
      <c r="BU54" s="2592"/>
      <c r="BV54" s="2592"/>
      <c r="BW54" s="2592">
        <f>MAX(0,BW52-BW53)</f>
        <v>27000</v>
      </c>
      <c r="BX54" s="2592"/>
      <c r="BY54" s="2592"/>
      <c r="BZ54" s="2594"/>
      <c r="CA54" s="2592"/>
      <c r="CB54" s="2592"/>
      <c r="CC54" s="2592"/>
      <c r="CD54" s="2592"/>
      <c r="CE54" s="2592"/>
      <c r="CF54" s="2592"/>
      <c r="CG54" s="2592"/>
      <c r="CH54" s="2592"/>
      <c r="CI54" s="2592"/>
      <c r="CJ54" s="2592"/>
      <c r="CK54" s="2592"/>
      <c r="CL54" s="2592"/>
      <c r="CM54" s="2592"/>
      <c r="CN54" s="2592"/>
      <c r="CO54" s="2592"/>
      <c r="CP54" s="2592"/>
      <c r="CQ54" s="2592"/>
      <c r="CR54" s="2592"/>
      <c r="CS54" s="2592"/>
      <c r="CT54" s="2592"/>
      <c r="CU54" s="2592"/>
      <c r="CV54" s="2592"/>
      <c r="CW54" s="2592"/>
      <c r="CX54" s="2592"/>
      <c r="CY54" s="2592"/>
      <c r="CZ54" s="2592"/>
      <c r="DA54" s="1694">
        <f>MAX(0,DA52-DA53)</f>
        <v>18609</v>
      </c>
      <c r="DB54" s="2592"/>
      <c r="DC54" s="2592">
        <f>MAX(0,DC52-DC53)</f>
        <v>25000</v>
      </c>
      <c r="DD54" s="2592"/>
      <c r="DE54" s="2592"/>
      <c r="DF54" s="2592"/>
      <c r="DG54" s="2592">
        <f>MAX(0,DG52-DG53)</f>
        <v>25000</v>
      </c>
      <c r="DH54" s="2592"/>
      <c r="DI54" s="2592"/>
      <c r="DJ54" s="1694">
        <f>MAX(0,DJ52-DJ53)</f>
        <v>286</v>
      </c>
      <c r="DK54" s="2592"/>
      <c r="DL54" s="2592"/>
      <c r="DM54" s="2592"/>
      <c r="DN54" s="2592"/>
      <c r="DO54" s="2592"/>
      <c r="DP54" s="2592"/>
      <c r="DQ54" s="2592"/>
      <c r="DR54" s="2592"/>
      <c r="DS54" s="2592"/>
      <c r="DT54" s="2592"/>
      <c r="DU54" s="2592"/>
      <c r="DV54" s="2592"/>
      <c r="DW54" s="1693">
        <v>9</v>
      </c>
      <c r="DX54" s="2592"/>
      <c r="DY54" s="2592"/>
      <c r="DZ54" s="2592"/>
      <c r="EA54" s="2592"/>
      <c r="EB54" s="2592"/>
      <c r="EC54" s="2592"/>
      <c r="ED54" s="2592"/>
      <c r="EE54" s="2592"/>
      <c r="EF54" s="2592"/>
      <c r="EG54" s="2592"/>
      <c r="EH54" s="1694">
        <f>MAX(0,EH52-EH53)</f>
        <v>1855984</v>
      </c>
      <c r="EI54" s="2592"/>
      <c r="EJ54" s="2592"/>
      <c r="EK54" s="2592"/>
      <c r="EL54" s="2592"/>
      <c r="EM54" s="2592"/>
      <c r="EN54" s="1693">
        <v>184167</v>
      </c>
      <c r="EO54" s="2592"/>
      <c r="EP54" s="2592"/>
      <c r="EQ54" s="2592"/>
      <c r="ER54" s="1694">
        <f t="shared" ref="ER54" si="8">MAX(0,ER52-ER53)</f>
        <v>19462</v>
      </c>
      <c r="ES54" s="2592"/>
      <c r="ET54" s="2592"/>
      <c r="EU54" s="2592"/>
      <c r="EV54" s="2592"/>
      <c r="EW54" s="2592"/>
      <c r="EX54" s="2592"/>
      <c r="EY54" s="2592"/>
      <c r="EZ54" s="2592"/>
      <c r="FA54" s="1693">
        <v>394</v>
      </c>
      <c r="FB54" s="1694">
        <f t="shared" ref="FB54" si="9">MAX(0,FB52-FB53)</f>
        <v>3464</v>
      </c>
      <c r="FC54" s="1694">
        <f t="shared" ref="FC54:FF54" si="10">MAX(0,FC52-FC53)</f>
        <v>19462</v>
      </c>
      <c r="FD54" s="2592"/>
      <c r="FE54" s="2592">
        <f t="shared" si="10"/>
        <v>0</v>
      </c>
      <c r="FF54" s="1694">
        <f t="shared" si="10"/>
        <v>4379521</v>
      </c>
      <c r="FG54" s="2592">
        <f>MAX(0,FG52-FG53)</f>
        <v>27000</v>
      </c>
      <c r="FH54" s="1694"/>
      <c r="FI54" s="1694"/>
      <c r="FJ54" s="2592">
        <f>MAX(0,FJ52-FJ53)</f>
        <v>24296</v>
      </c>
      <c r="FK54" s="1694">
        <f>MAX(0,FK52-FK53)</f>
        <v>13614</v>
      </c>
      <c r="FL54" s="2592"/>
      <c r="FM54" s="2592"/>
      <c r="FN54" s="2592"/>
      <c r="FO54" s="1694">
        <f>MAX(0,FO52-FO53)</f>
        <v>164990</v>
      </c>
      <c r="FP54" s="2592"/>
      <c r="FQ54" s="2592"/>
      <c r="FR54" s="2592"/>
      <c r="FS54" s="2592"/>
      <c r="FT54" s="2592"/>
      <c r="FU54" s="2592"/>
      <c r="FV54" s="2592"/>
      <c r="FW54" s="2592"/>
      <c r="FX54" s="2592"/>
      <c r="FY54" s="2592"/>
      <c r="FZ54" s="2592"/>
      <c r="GA54" s="2592"/>
      <c r="GB54" s="2592"/>
      <c r="GC54" s="2592"/>
      <c r="GD54" s="2592"/>
      <c r="GE54" s="2592"/>
      <c r="GF54" s="2592"/>
      <c r="GG54" s="2592"/>
      <c r="GH54" s="2592"/>
      <c r="GI54" s="2592"/>
      <c r="GJ54" s="2592"/>
      <c r="GK54" s="2592"/>
      <c r="GL54" s="2592"/>
      <c r="GM54" s="2592"/>
      <c r="GN54" s="2592"/>
      <c r="GO54" s="2592"/>
      <c r="GP54" s="2592"/>
      <c r="GQ54" s="2592"/>
      <c r="GR54" s="2592"/>
      <c r="GS54" s="2592"/>
      <c r="GT54" s="2592"/>
      <c r="GU54" s="2592">
        <f>MAX(0,GU52-GU53)</f>
        <v>19000</v>
      </c>
      <c r="GV54" s="2592"/>
      <c r="GW54" s="2592"/>
      <c r="GX54" s="2592"/>
      <c r="GY54" s="2592"/>
      <c r="GZ54" s="2592"/>
      <c r="HA54" s="2592"/>
      <c r="HB54" s="2592"/>
      <c r="HC54" s="2592"/>
      <c r="HD54" s="2592"/>
      <c r="HE54" s="2592"/>
      <c r="HF54" s="2592"/>
      <c r="HG54" s="2592"/>
      <c r="HH54" s="2592"/>
      <c r="HI54" s="2592">
        <f>MAX(0,HI52-HI53)</f>
        <v>19000</v>
      </c>
      <c r="HJ54" s="2592"/>
      <c r="HK54" s="2592"/>
      <c r="HL54" s="2592"/>
      <c r="HM54" s="1694">
        <v>675290</v>
      </c>
      <c r="HN54" s="2592"/>
      <c r="HO54" s="2592"/>
      <c r="HP54" s="2592">
        <f>MAX(0,HP52-HP53)</f>
        <v>0</v>
      </c>
      <c r="HQ54" s="2592"/>
      <c r="HR54" s="2592"/>
      <c r="HS54" s="2592"/>
      <c r="HT54" s="2592"/>
      <c r="HU54" s="2592"/>
      <c r="HV54" s="2592"/>
      <c r="HW54" s="2592"/>
      <c r="HX54" s="2592"/>
      <c r="HY54" s="2592"/>
      <c r="HZ54" s="2592"/>
      <c r="IA54" s="2592"/>
      <c r="IB54" s="2592"/>
      <c r="IC54" s="2592"/>
      <c r="ID54" s="2592"/>
      <c r="IE54" s="2592"/>
      <c r="IF54" s="1693">
        <v>1984</v>
      </c>
      <c r="IG54" s="2592"/>
      <c r="IH54" s="2592"/>
      <c r="II54" s="2592"/>
      <c r="IJ54" s="2592"/>
      <c r="IK54" s="2592"/>
      <c r="IL54" s="2592"/>
      <c r="IM54" s="2592"/>
      <c r="IN54" s="2592"/>
      <c r="IO54" s="2592"/>
      <c r="IP54" s="2592"/>
      <c r="IQ54" s="2593"/>
      <c r="IR54" s="2593"/>
      <c r="IS54" s="1694">
        <v>530490</v>
      </c>
      <c r="IT54" s="2593"/>
      <c r="IU54" s="2593"/>
      <c r="IV54" s="2593"/>
      <c r="IW54" s="2593"/>
      <c r="IX54" s="1694">
        <v>1952821</v>
      </c>
      <c r="IY54" s="2593"/>
      <c r="IZ54" s="2593"/>
      <c r="JA54" s="2593"/>
      <c r="JB54" s="2593"/>
      <c r="JC54" s="2593"/>
      <c r="JD54" s="1693">
        <v>21338</v>
      </c>
      <c r="JE54" s="2593"/>
      <c r="JF54" s="2593"/>
      <c r="JG54" s="2593"/>
      <c r="JH54" s="2593">
        <v>0</v>
      </c>
      <c r="JI54" s="2593">
        <v>0</v>
      </c>
      <c r="JJ54" s="2593">
        <v>0</v>
      </c>
      <c r="JK54" s="2593">
        <v>0</v>
      </c>
      <c r="JL54" s="1693">
        <v>7739</v>
      </c>
      <c r="JM54" s="2593"/>
      <c r="JN54" s="2593"/>
      <c r="JO54" s="2593"/>
      <c r="JP54" s="2593"/>
      <c r="JQ54" s="2593"/>
      <c r="JR54" s="593"/>
      <c r="JS54" s="354" t="s">
        <v>4347</v>
      </c>
      <c r="JT54" s="355" t="s">
        <v>2242</v>
      </c>
      <c r="JU54" s="598"/>
      <c r="JV54" s="598"/>
    </row>
    <row r="55" spans="1:282" x14ac:dyDescent="0.25">
      <c r="A55" s="1367">
        <v>54</v>
      </c>
      <c r="B55" s="1684" t="str">
        <f t="shared" si="6"/>
        <v/>
      </c>
      <c r="C55" s="1689" t="s">
        <v>4348</v>
      </c>
      <c r="D55" s="1690" t="s">
        <v>3252</v>
      </c>
      <c r="E55" s="1673"/>
      <c r="F55" s="1673"/>
      <c r="G55" s="1673"/>
      <c r="H55" s="1673"/>
      <c r="I55" s="1673"/>
      <c r="J55" s="1673"/>
      <c r="K55" s="1673"/>
      <c r="L55" s="1673"/>
      <c r="M55" s="1673"/>
      <c r="N55" s="1673"/>
      <c r="O55" s="1673"/>
      <c r="P55" s="1673"/>
      <c r="Q55" s="1673"/>
      <c r="R55" s="1673"/>
      <c r="S55" s="1673"/>
      <c r="T55" s="1673"/>
      <c r="U55" s="1673"/>
      <c r="V55" s="1673"/>
      <c r="W55" s="1673"/>
      <c r="X55" s="1673"/>
      <c r="Y55" s="1673"/>
      <c r="Z55" s="1673"/>
      <c r="AA55" s="1673"/>
      <c r="AB55" s="1673"/>
      <c r="AC55" s="1673"/>
      <c r="AD55" s="1673"/>
      <c r="AE55" s="1673"/>
      <c r="AF55" s="1673"/>
      <c r="AG55" s="1673"/>
      <c r="AH55" s="1673"/>
      <c r="AI55" s="1673"/>
      <c r="AJ55" s="1673"/>
      <c r="AK55" s="1673"/>
      <c r="AL55" s="1673"/>
      <c r="AM55" s="1673"/>
      <c r="AN55" s="1673"/>
      <c r="AO55" s="1673"/>
      <c r="AP55" s="1673"/>
      <c r="AQ55" s="1673"/>
      <c r="AR55" s="1673"/>
      <c r="AS55" s="1673"/>
      <c r="AT55" s="1673"/>
      <c r="AU55" s="1673"/>
      <c r="AV55" s="1673"/>
      <c r="AW55" s="1673"/>
      <c r="AX55" s="1673"/>
      <c r="AY55" s="1673"/>
      <c r="AZ55" s="1673"/>
      <c r="BA55" s="1673"/>
      <c r="BB55" s="1674"/>
      <c r="BC55" s="1673"/>
      <c r="BD55" s="1673"/>
      <c r="BE55" s="1673"/>
      <c r="BF55" s="1673"/>
      <c r="BG55" s="1674"/>
      <c r="BH55" s="1673"/>
      <c r="BI55" s="1673"/>
      <c r="BJ55" s="1673"/>
      <c r="BK55" s="1673"/>
      <c r="BL55" s="1673"/>
      <c r="BM55" s="1673"/>
      <c r="BN55" s="1673"/>
      <c r="BO55" s="1673"/>
      <c r="BP55" s="1673"/>
      <c r="BQ55" s="1673"/>
      <c r="BR55" s="1673"/>
      <c r="BS55" s="1673"/>
      <c r="BT55" s="1673"/>
      <c r="BU55" s="1673"/>
      <c r="BV55" s="1673"/>
      <c r="BW55" s="1673"/>
      <c r="BX55" s="1673"/>
      <c r="BY55" s="1673"/>
      <c r="BZ55" s="1673"/>
      <c r="CA55" s="1673"/>
      <c r="CB55" s="1673"/>
      <c r="CC55" s="1673"/>
      <c r="CD55" s="1673"/>
      <c r="CE55" s="1673"/>
      <c r="CF55" s="1673"/>
      <c r="CG55" s="1673"/>
      <c r="CH55" s="1673"/>
      <c r="CI55" s="1673"/>
      <c r="CJ55" s="1673"/>
      <c r="CK55" s="1673"/>
      <c r="CL55" s="1673"/>
      <c r="CM55" s="1673"/>
      <c r="CN55" s="1673"/>
      <c r="CO55" s="1673"/>
      <c r="CP55" s="1673"/>
      <c r="CQ55" s="1673"/>
      <c r="CR55" s="1673"/>
      <c r="CS55" s="1673"/>
      <c r="CT55" s="1673"/>
      <c r="CU55" s="1673"/>
      <c r="CV55" s="1673"/>
      <c r="CW55" s="1673"/>
      <c r="CX55" s="1673"/>
      <c r="CY55" s="1673"/>
      <c r="CZ55" s="1673"/>
      <c r="DA55" s="1673"/>
      <c r="DB55" s="1673"/>
      <c r="DC55" s="1673"/>
      <c r="DD55" s="1673"/>
      <c r="DE55" s="1673"/>
      <c r="DF55" s="1673"/>
      <c r="DG55" s="1673"/>
      <c r="DH55" s="1673"/>
      <c r="DI55" s="1673"/>
      <c r="DJ55" s="1673"/>
      <c r="DK55" s="1673"/>
      <c r="DL55" s="1673"/>
      <c r="DM55" s="1673"/>
      <c r="DN55" s="1673"/>
      <c r="DO55" s="1673"/>
      <c r="DP55" s="1673"/>
      <c r="DQ55" s="1673"/>
      <c r="DR55" s="1673"/>
      <c r="DS55" s="1673"/>
      <c r="DT55" s="1673"/>
      <c r="DU55" s="1673"/>
      <c r="DV55" s="1673"/>
      <c r="DW55" s="1673"/>
      <c r="DX55" s="1676"/>
      <c r="DY55" s="1676"/>
      <c r="DZ55" s="1676"/>
      <c r="EA55" s="1676"/>
      <c r="EB55" s="1676"/>
      <c r="EC55" s="1676"/>
      <c r="ED55" s="1676"/>
      <c r="EE55" s="1676"/>
      <c r="EF55" s="1676"/>
      <c r="EG55" s="1676"/>
      <c r="EH55" s="1676"/>
      <c r="EI55" s="1676"/>
      <c r="EJ55" s="1676"/>
      <c r="EK55" s="1676"/>
      <c r="EL55" s="1676"/>
      <c r="EM55" s="1676"/>
      <c r="EN55" s="1673"/>
      <c r="EO55" s="1673"/>
      <c r="EP55" s="1676"/>
      <c r="EQ55" s="1676"/>
      <c r="ER55" s="1676"/>
      <c r="ES55" s="1676"/>
      <c r="ET55" s="1676"/>
      <c r="EU55" s="1676"/>
      <c r="EV55" s="1676"/>
      <c r="EW55" s="1676"/>
      <c r="EX55" s="1676"/>
      <c r="EY55" s="1676"/>
      <c r="EZ55" s="1676"/>
      <c r="FA55" s="1673"/>
      <c r="FB55" s="1676"/>
      <c r="FC55" s="1676"/>
      <c r="FD55" s="1676"/>
      <c r="FE55" s="1674"/>
      <c r="FF55" s="1676"/>
      <c r="FG55" s="1676"/>
      <c r="FH55" s="1676"/>
      <c r="FI55" s="1676"/>
      <c r="FJ55" s="1674"/>
      <c r="FK55" s="1674"/>
      <c r="FL55" s="1676"/>
      <c r="FM55" s="1676"/>
      <c r="FN55" s="1676"/>
      <c r="FO55" s="1676"/>
      <c r="FP55" s="1676"/>
      <c r="FQ55" s="1676"/>
      <c r="FR55" s="1676"/>
      <c r="FS55" s="1676"/>
      <c r="FT55" s="1676"/>
      <c r="FU55" s="1676"/>
      <c r="FV55" s="1676"/>
      <c r="FW55" s="1676"/>
      <c r="FX55" s="1676"/>
      <c r="FY55" s="1676"/>
      <c r="FZ55" s="1676"/>
      <c r="GA55" s="1676"/>
      <c r="GB55" s="1676"/>
      <c r="GC55" s="1676"/>
      <c r="GD55" s="1676"/>
      <c r="GE55" s="1676"/>
      <c r="GF55" s="1676"/>
      <c r="GG55" s="1676"/>
      <c r="GH55" s="1676"/>
      <c r="GI55" s="1676"/>
      <c r="GJ55" s="1676"/>
      <c r="GK55" s="1676"/>
      <c r="GL55" s="1676"/>
      <c r="GM55" s="1676"/>
      <c r="GN55" s="1676"/>
      <c r="GO55" s="1676"/>
      <c r="GP55" s="1676"/>
      <c r="GQ55" s="1676"/>
      <c r="GR55" s="1676"/>
      <c r="GS55" s="1676"/>
      <c r="GT55" s="1676"/>
      <c r="GU55" s="1676"/>
      <c r="GV55" s="1676"/>
      <c r="GW55" s="1676"/>
      <c r="GX55" s="1676"/>
      <c r="GY55" s="1676"/>
      <c r="GZ55" s="1676"/>
      <c r="HA55" s="1676"/>
      <c r="HB55" s="1676"/>
      <c r="HC55" s="1676"/>
      <c r="HD55" s="1676"/>
      <c r="HE55" s="1676"/>
      <c r="HF55" s="1676"/>
      <c r="HG55" s="1676"/>
      <c r="HH55" s="1676"/>
      <c r="HI55" s="1676"/>
      <c r="HJ55" s="1676"/>
      <c r="HK55" s="1676"/>
      <c r="HL55" s="1676"/>
      <c r="HM55" s="1674"/>
      <c r="HN55" s="1676"/>
      <c r="HO55" s="1676"/>
      <c r="HP55" s="1674"/>
      <c r="HQ55" s="1676"/>
      <c r="HR55" s="1676"/>
      <c r="HS55" s="1676"/>
      <c r="HT55" s="1676"/>
      <c r="HU55" s="1676"/>
      <c r="HV55" s="1676"/>
      <c r="HW55" s="1676"/>
      <c r="HX55" s="1676"/>
      <c r="HY55" s="1676"/>
      <c r="HZ55" s="1676"/>
      <c r="IA55" s="1676"/>
      <c r="IB55" s="1676"/>
      <c r="IC55" s="1676"/>
      <c r="ID55" s="1676"/>
      <c r="IE55" s="1676"/>
      <c r="IF55" s="1673"/>
      <c r="IG55" s="1676"/>
      <c r="IH55" s="1676"/>
      <c r="II55" s="1676"/>
      <c r="IJ55" s="1676"/>
      <c r="IK55" s="1676"/>
      <c r="IL55" s="1676"/>
      <c r="IM55" s="1676"/>
      <c r="IN55" s="1676"/>
      <c r="IO55" s="1676"/>
      <c r="IP55" s="1676"/>
      <c r="IQ55" s="1676"/>
      <c r="IR55" s="1676"/>
      <c r="IS55" s="1674"/>
      <c r="IT55" s="1676"/>
      <c r="IU55" s="1676"/>
      <c r="IV55" s="1676"/>
      <c r="IW55" s="1676"/>
      <c r="IX55" s="1674"/>
      <c r="IY55" s="1673"/>
      <c r="IZ55" s="1676"/>
      <c r="JA55" s="1676"/>
      <c r="JB55" s="1676"/>
      <c r="JC55" s="1676"/>
      <c r="JD55" s="1673"/>
      <c r="JE55" s="1676"/>
      <c r="JF55" s="1676"/>
      <c r="JG55" s="1676"/>
      <c r="JH55" s="1676"/>
      <c r="JI55" s="1676"/>
      <c r="JJ55" s="1676"/>
      <c r="JK55" s="1676"/>
      <c r="JL55" s="1676"/>
      <c r="JM55" s="1676"/>
      <c r="JN55" s="1676"/>
      <c r="JO55" s="1676"/>
      <c r="JP55" s="1676"/>
      <c r="JQ55" s="1676"/>
      <c r="JR55" s="593"/>
      <c r="JS55" s="355"/>
      <c r="JT55" s="355"/>
      <c r="JU55" s="598"/>
      <c r="JV55" s="598"/>
    </row>
    <row r="56" spans="1:282" x14ac:dyDescent="0.25">
      <c r="A56" s="1367">
        <v>55</v>
      </c>
      <c r="B56" s="1684" t="str">
        <f t="shared" si="6"/>
        <v/>
      </c>
      <c r="C56" s="1688" t="s">
        <v>4349</v>
      </c>
      <c r="D56" s="1360" t="s">
        <v>4294</v>
      </c>
      <c r="E56" s="1673"/>
      <c r="F56" s="1673"/>
      <c r="G56" s="1673"/>
      <c r="H56" s="1673"/>
      <c r="I56" s="1673"/>
      <c r="J56" s="1673"/>
      <c r="K56" s="1673"/>
      <c r="L56" s="1673"/>
      <c r="M56" s="1673"/>
      <c r="N56" s="1673"/>
      <c r="O56" s="1673"/>
      <c r="P56" s="1673"/>
      <c r="Q56" s="1673"/>
      <c r="R56" s="1673"/>
      <c r="S56" s="1673"/>
      <c r="T56" s="1673"/>
      <c r="U56" s="1673"/>
      <c r="V56" s="1673"/>
      <c r="W56" s="1673"/>
      <c r="X56" s="1673"/>
      <c r="Y56" s="1673"/>
      <c r="Z56" s="1673"/>
      <c r="AA56" s="1673"/>
      <c r="AB56" s="1673"/>
      <c r="AC56" s="1673"/>
      <c r="AD56" s="1673"/>
      <c r="AE56" s="1673"/>
      <c r="AF56" s="1673"/>
      <c r="AG56" s="1673"/>
      <c r="AH56" s="1673"/>
      <c r="AI56" s="1673"/>
      <c r="AJ56" s="1673"/>
      <c r="AK56" s="1673"/>
      <c r="AL56" s="1673"/>
      <c r="AM56" s="1673"/>
      <c r="AN56" s="1673"/>
      <c r="AO56" s="1673"/>
      <c r="AP56" s="1673"/>
      <c r="AQ56" s="1673"/>
      <c r="AR56" s="1673"/>
      <c r="AS56" s="1673"/>
      <c r="AT56" s="1673"/>
      <c r="AU56" s="1673"/>
      <c r="AV56" s="1673"/>
      <c r="AW56" s="1673"/>
      <c r="AX56" s="1673"/>
      <c r="AY56" s="1673"/>
      <c r="AZ56" s="1673"/>
      <c r="BA56" s="1673"/>
      <c r="BB56" s="1722">
        <v>13094</v>
      </c>
      <c r="BC56" s="1673"/>
      <c r="BD56" s="1673"/>
      <c r="BE56" s="1673"/>
      <c r="BF56" s="1673"/>
      <c r="BG56" s="1722">
        <v>105207</v>
      </c>
      <c r="BH56" s="1673"/>
      <c r="BI56" s="1673"/>
      <c r="BJ56" s="1673"/>
      <c r="BK56" s="1673"/>
      <c r="BL56" s="1673"/>
      <c r="BM56" s="1673"/>
      <c r="BN56" s="1673"/>
      <c r="BO56" s="1673"/>
      <c r="BP56" s="1673"/>
      <c r="BQ56" s="1673"/>
      <c r="BR56" s="1673"/>
      <c r="BS56" s="1673"/>
      <c r="BT56" s="1673"/>
      <c r="BU56" s="1673"/>
      <c r="BV56" s="1673"/>
      <c r="BW56" s="1673"/>
      <c r="BX56" s="1673"/>
      <c r="BY56" s="1673"/>
      <c r="BZ56" s="1673"/>
      <c r="CA56" s="1673"/>
      <c r="CB56" s="1673"/>
      <c r="CC56" s="1673"/>
      <c r="CD56" s="1673"/>
      <c r="CE56" s="1673"/>
      <c r="CF56" s="1673"/>
      <c r="CG56" s="1673"/>
      <c r="CH56" s="1673"/>
      <c r="CI56" s="1673"/>
      <c r="CJ56" s="1673"/>
      <c r="CK56" s="1673"/>
      <c r="CL56" s="1673"/>
      <c r="CM56" s="1673"/>
      <c r="CN56" s="1673"/>
      <c r="CO56" s="1673"/>
      <c r="CP56" s="1673"/>
      <c r="CQ56" s="1673"/>
      <c r="CR56" s="1673"/>
      <c r="CS56" s="1673"/>
      <c r="CT56" s="1673"/>
      <c r="CU56" s="1673"/>
      <c r="CV56" s="1673"/>
      <c r="CW56" s="1673"/>
      <c r="CX56" s="1673"/>
      <c r="CY56" s="1673"/>
      <c r="CZ56" s="1673"/>
      <c r="DA56" s="1673"/>
      <c r="DB56" s="1673"/>
      <c r="DC56" s="1673"/>
      <c r="DD56" s="1673"/>
      <c r="DE56" s="1673"/>
      <c r="DF56" s="1673"/>
      <c r="DG56" s="1673"/>
      <c r="DH56" s="1673"/>
      <c r="DI56" s="1673"/>
      <c r="DJ56" s="1673"/>
      <c r="DK56" s="1673"/>
      <c r="DL56" s="1673"/>
      <c r="DM56" s="1673"/>
      <c r="DN56" s="1673"/>
      <c r="DO56" s="1673"/>
      <c r="DP56" s="1673"/>
      <c r="DQ56" s="1673"/>
      <c r="DR56" s="1673"/>
      <c r="DS56" s="1673"/>
      <c r="DT56" s="1673"/>
      <c r="DU56" s="1673"/>
      <c r="DV56" s="1673"/>
      <c r="DW56" s="2591">
        <v>9605</v>
      </c>
      <c r="DX56" s="1676"/>
      <c r="DY56" s="1676"/>
      <c r="DZ56" s="1676"/>
      <c r="EA56" s="1676"/>
      <c r="EB56" s="1676"/>
      <c r="EC56" s="1676"/>
      <c r="ED56" s="1676"/>
      <c r="EE56" s="1676"/>
      <c r="EF56" s="1676"/>
      <c r="EG56" s="1676"/>
      <c r="EH56" s="1676">
        <f>MAX(0,EH53-EH52)</f>
        <v>0</v>
      </c>
      <c r="EI56" s="1676"/>
      <c r="EJ56" s="1676"/>
      <c r="EK56" s="1676"/>
      <c r="EL56" s="1676"/>
      <c r="EM56" s="1676"/>
      <c r="EN56" s="2591">
        <v>10395</v>
      </c>
      <c r="EO56" s="2591">
        <v>1225</v>
      </c>
      <c r="EP56" s="1676"/>
      <c r="EQ56" s="1676"/>
      <c r="ER56" s="1676"/>
      <c r="ES56" s="1676"/>
      <c r="ET56" s="1676"/>
      <c r="EU56" s="1676"/>
      <c r="EV56" s="1676"/>
      <c r="EW56" s="1676"/>
      <c r="EX56" s="1676"/>
      <c r="EY56" s="1676"/>
      <c r="EZ56" s="1676"/>
      <c r="FA56" s="2591">
        <v>2319</v>
      </c>
      <c r="FB56" s="1676"/>
      <c r="FC56" s="1676"/>
      <c r="FD56" s="1676"/>
      <c r="FE56" s="1722">
        <v>3415</v>
      </c>
      <c r="FF56" s="1676"/>
      <c r="FG56" s="1676"/>
      <c r="FH56" s="1676"/>
      <c r="FI56" s="1676"/>
      <c r="FJ56" s="1722">
        <v>12165</v>
      </c>
      <c r="FK56" s="1722">
        <v>37040</v>
      </c>
      <c r="FL56" s="1676"/>
      <c r="FM56" s="1676"/>
      <c r="FN56" s="1676"/>
      <c r="FO56" s="1676"/>
      <c r="FP56" s="1676"/>
      <c r="FQ56" s="1676"/>
      <c r="FR56" s="1676"/>
      <c r="FS56" s="1676"/>
      <c r="FT56" s="1676"/>
      <c r="FU56" s="1676"/>
      <c r="FV56" s="1676"/>
      <c r="FW56" s="1676"/>
      <c r="FX56" s="1676"/>
      <c r="FY56" s="1676"/>
      <c r="FZ56" s="1676"/>
      <c r="GA56" s="1676"/>
      <c r="GB56" s="1676"/>
      <c r="GC56" s="1676"/>
      <c r="GD56" s="1676"/>
      <c r="GE56" s="1676"/>
      <c r="GF56" s="1676"/>
      <c r="GG56" s="1676"/>
      <c r="GH56" s="1676"/>
      <c r="GI56" s="1676"/>
      <c r="GJ56" s="1676"/>
      <c r="GK56" s="1676"/>
      <c r="GL56" s="1676"/>
      <c r="GM56" s="1676"/>
      <c r="GN56" s="1676"/>
      <c r="GO56" s="1676"/>
      <c r="GP56" s="1676"/>
      <c r="GQ56" s="1676"/>
      <c r="GR56" s="1676"/>
      <c r="GS56" s="1676"/>
      <c r="GT56" s="1676"/>
      <c r="GU56" s="1676"/>
      <c r="GV56" s="1676"/>
      <c r="GW56" s="1676"/>
      <c r="GX56" s="1676"/>
      <c r="GY56" s="1676"/>
      <c r="GZ56" s="1676"/>
      <c r="HA56" s="1676"/>
      <c r="HB56" s="1676">
        <f>MAX(0,HB53-HB52)</f>
        <v>5000</v>
      </c>
      <c r="HC56" s="1676"/>
      <c r="HD56" s="1676"/>
      <c r="HE56" s="1676"/>
      <c r="HF56" s="1676"/>
      <c r="HG56" s="1676"/>
      <c r="HH56" s="1676"/>
      <c r="HI56" s="1676"/>
      <c r="HJ56" s="1676"/>
      <c r="HK56" s="1676"/>
      <c r="HL56" s="1676"/>
      <c r="HM56" s="1722">
        <v>334258</v>
      </c>
      <c r="HN56" s="1676"/>
      <c r="HO56" s="1676"/>
      <c r="HP56" s="1722">
        <v>644</v>
      </c>
      <c r="HQ56" s="1676"/>
      <c r="HR56" s="1676"/>
      <c r="HS56" s="1676"/>
      <c r="HT56" s="1676"/>
      <c r="HU56" s="1676"/>
      <c r="HV56" s="1676"/>
      <c r="HW56" s="1676"/>
      <c r="HX56" s="1676"/>
      <c r="HY56" s="1676"/>
      <c r="HZ56" s="1676"/>
      <c r="IA56" s="1676"/>
      <c r="IB56" s="1676"/>
      <c r="IC56" s="1676"/>
      <c r="ID56" s="1676"/>
      <c r="IE56" s="1676"/>
      <c r="IF56" s="2591">
        <v>7276</v>
      </c>
      <c r="IG56" s="1676"/>
      <c r="IH56" s="1676"/>
      <c r="II56" s="1676"/>
      <c r="IJ56" s="1676"/>
      <c r="IK56" s="1676"/>
      <c r="IL56" s="1676"/>
      <c r="IM56" s="1676"/>
      <c r="IN56" s="1676"/>
      <c r="IO56" s="1676"/>
      <c r="IP56" s="1676"/>
      <c r="IQ56" s="1676"/>
      <c r="IR56" s="1676"/>
      <c r="IS56" s="1722">
        <v>2442</v>
      </c>
      <c r="IT56" s="1676"/>
      <c r="IU56" s="1676"/>
      <c r="IV56" s="1676"/>
      <c r="IW56" s="1676"/>
      <c r="IX56" s="1722">
        <v>1171905</v>
      </c>
      <c r="IY56" s="2591">
        <v>3836</v>
      </c>
      <c r="IZ56" s="1676"/>
      <c r="JA56" s="1676"/>
      <c r="JB56" s="1676"/>
      <c r="JC56" s="1676"/>
      <c r="JD56" s="2591">
        <v>1885</v>
      </c>
      <c r="JE56" s="1676"/>
      <c r="JF56" s="1676"/>
      <c r="JG56" s="1676"/>
      <c r="JH56" s="1676"/>
      <c r="JI56" s="1676"/>
      <c r="JJ56" s="1676"/>
      <c r="JK56" s="1676"/>
      <c r="JL56" s="2391">
        <v>53395</v>
      </c>
      <c r="JM56" s="1676"/>
      <c r="JN56" s="1676"/>
      <c r="JO56" s="1676"/>
      <c r="JP56" s="1676"/>
      <c r="JQ56" s="1676"/>
      <c r="JR56" s="593"/>
      <c r="JS56" s="355" t="s">
        <v>4350</v>
      </c>
      <c r="JT56" s="355" t="s">
        <v>2242</v>
      </c>
      <c r="JU56" s="598"/>
      <c r="JV56" s="598"/>
    </row>
    <row r="57" spans="1:282" ht="20.5" x14ac:dyDescent="0.25">
      <c r="A57" s="1367">
        <v>56</v>
      </c>
      <c r="B57" s="1411" t="str">
        <f t="shared" si="6"/>
        <v/>
      </c>
      <c r="C57" s="1688" t="s">
        <v>4351</v>
      </c>
      <c r="D57" s="1360" t="s">
        <v>4266</v>
      </c>
      <c r="E57" s="1673"/>
      <c r="F57" s="1673"/>
      <c r="G57" s="1673"/>
      <c r="H57" s="1673"/>
      <c r="I57" s="1673"/>
      <c r="J57" s="1673"/>
      <c r="K57" s="1673"/>
      <c r="L57" s="1673"/>
      <c r="M57" s="1673"/>
      <c r="N57" s="1673"/>
      <c r="O57" s="1673"/>
      <c r="P57" s="1673"/>
      <c r="Q57" s="1673"/>
      <c r="R57" s="1673"/>
      <c r="S57" s="1673"/>
      <c r="T57" s="1673"/>
      <c r="U57" s="1673"/>
      <c r="V57" s="1673"/>
      <c r="W57" s="1673"/>
      <c r="X57" s="1673"/>
      <c r="Y57" s="1673"/>
      <c r="Z57" s="1673"/>
      <c r="AA57" s="1673"/>
      <c r="AB57" s="1673"/>
      <c r="AC57" s="1673"/>
      <c r="AD57" s="1673"/>
      <c r="AE57" s="1673"/>
      <c r="AF57" s="1673"/>
      <c r="AG57" s="1673"/>
      <c r="AH57" s="1673"/>
      <c r="AI57" s="1675"/>
      <c r="AJ57" s="1673"/>
      <c r="AK57" s="1675"/>
      <c r="AL57" s="1673"/>
      <c r="AM57" s="1673"/>
      <c r="AN57" s="1673"/>
      <c r="AO57" s="1673"/>
      <c r="AP57" s="1673"/>
      <c r="AQ57" s="1673"/>
      <c r="AR57" s="1673"/>
      <c r="AS57" s="1673"/>
      <c r="AT57" s="1673"/>
      <c r="AU57" s="1675"/>
      <c r="AV57" s="1673"/>
      <c r="AW57" s="1673"/>
      <c r="AX57" s="1673"/>
      <c r="AY57" s="1673"/>
      <c r="AZ57" s="1673"/>
      <c r="BA57" s="1673"/>
      <c r="BB57" s="1675"/>
      <c r="BC57" s="1673"/>
      <c r="BD57" s="1675"/>
      <c r="BE57" s="1673"/>
      <c r="BF57" s="1673"/>
      <c r="BG57" s="1722" t="s">
        <v>4322</v>
      </c>
      <c r="BH57" s="1673"/>
      <c r="BI57" s="1673"/>
      <c r="BJ57" s="1673"/>
      <c r="BK57" s="1673"/>
      <c r="BL57" s="1673"/>
      <c r="BM57" s="1673"/>
      <c r="BN57" s="1673"/>
      <c r="BO57" s="1673"/>
      <c r="BP57" s="1723" t="s">
        <v>4322</v>
      </c>
      <c r="BQ57" s="1673"/>
      <c r="BR57" s="1673"/>
      <c r="BS57" s="1673"/>
      <c r="BT57" s="1674"/>
      <c r="BU57" s="1675"/>
      <c r="BV57" s="1673"/>
      <c r="BW57" s="1675"/>
      <c r="BX57" s="1673"/>
      <c r="BY57" s="1673"/>
      <c r="BZ57" s="1675"/>
      <c r="CA57" s="1673"/>
      <c r="CB57" s="1673"/>
      <c r="CC57" s="1673"/>
      <c r="CD57" s="1675"/>
      <c r="CE57" s="1673"/>
      <c r="CF57" s="1673"/>
      <c r="CG57" s="1673"/>
      <c r="CH57" s="1673"/>
      <c r="CI57" s="1673"/>
      <c r="CJ57" s="1673"/>
      <c r="CK57" s="1673"/>
      <c r="CL57" s="1673"/>
      <c r="CM57" s="1673"/>
      <c r="CN57" s="1673"/>
      <c r="CO57" s="1673"/>
      <c r="CP57" s="1673"/>
      <c r="CQ57" s="1673"/>
      <c r="CR57" s="1673"/>
      <c r="CS57" s="1673"/>
      <c r="CT57" s="1675"/>
      <c r="CU57" s="1673"/>
      <c r="CV57" s="1673"/>
      <c r="CW57" s="1673"/>
      <c r="CX57" s="1673"/>
      <c r="CY57" s="1673"/>
      <c r="CZ57" s="1673"/>
      <c r="DA57" s="1675"/>
      <c r="DB57" s="1673"/>
      <c r="DC57" s="1675"/>
      <c r="DD57" s="1673"/>
      <c r="DE57" s="1673"/>
      <c r="DF57" s="1673"/>
      <c r="DG57" s="1675"/>
      <c r="DH57" s="1673"/>
      <c r="DI57" s="1673"/>
      <c r="DJ57" s="1675"/>
      <c r="DK57" s="1673"/>
      <c r="DL57" s="1673"/>
      <c r="DM57" s="1675"/>
      <c r="DN57" s="1673"/>
      <c r="DO57" s="1674"/>
      <c r="DP57" s="1673"/>
      <c r="DQ57" s="1673"/>
      <c r="DR57" s="1673"/>
      <c r="DS57" s="1673"/>
      <c r="DT57" s="1673"/>
      <c r="DU57" s="1673"/>
      <c r="DV57" s="1673"/>
      <c r="DW57" s="1673"/>
      <c r="DX57" s="1673"/>
      <c r="DY57" s="1673"/>
      <c r="DZ57" s="1673"/>
      <c r="EA57" s="1673"/>
      <c r="EB57" s="1673"/>
      <c r="EC57" s="1673"/>
      <c r="ED57" s="1674"/>
      <c r="EE57" s="1674"/>
      <c r="EF57" s="1673"/>
      <c r="EG57" s="1674"/>
      <c r="EH57" s="1674"/>
      <c r="EI57" s="1673"/>
      <c r="EJ57" s="1673"/>
      <c r="EK57" s="1673"/>
      <c r="EL57" s="1673"/>
      <c r="EM57" s="1673"/>
      <c r="EN57" s="1673"/>
      <c r="EO57" s="1673"/>
      <c r="EP57" s="1673"/>
      <c r="EQ57" s="1673"/>
      <c r="ER57" s="1674"/>
      <c r="ES57" s="1673"/>
      <c r="ET57" s="1673"/>
      <c r="EU57" s="1673"/>
      <c r="EV57" s="1675"/>
      <c r="EW57" s="1673"/>
      <c r="EX57" s="1673"/>
      <c r="EY57" s="1675"/>
      <c r="EZ57" s="1673"/>
      <c r="FA57" s="1673"/>
      <c r="FB57" s="1673"/>
      <c r="FC57" s="1673"/>
      <c r="FD57" s="1673"/>
      <c r="FE57" s="1674"/>
      <c r="FF57" s="1674"/>
      <c r="FG57" s="1675"/>
      <c r="FH57" s="1675"/>
      <c r="FI57" s="1675"/>
      <c r="FJ57" s="1675"/>
      <c r="FK57" s="1675"/>
      <c r="FL57" s="1675"/>
      <c r="FM57" s="1675"/>
      <c r="FN57" s="1674"/>
      <c r="FO57" s="1674"/>
      <c r="FP57" s="1674"/>
      <c r="FQ57" s="1673"/>
      <c r="FR57" s="1673"/>
      <c r="FS57" s="1673"/>
      <c r="FT57" s="1673"/>
      <c r="FU57" s="1673"/>
      <c r="FV57" s="1673"/>
      <c r="FW57" s="1673"/>
      <c r="FX57" s="1673"/>
      <c r="FY57" s="1673"/>
      <c r="FZ57" s="1673"/>
      <c r="GA57" s="1673"/>
      <c r="GB57" s="1673"/>
      <c r="GC57" s="1673"/>
      <c r="GD57" s="1673"/>
      <c r="GE57" s="1673"/>
      <c r="GF57" s="1673"/>
      <c r="GG57" s="1673"/>
      <c r="GH57" s="1673"/>
      <c r="GI57" s="1673"/>
      <c r="GJ57" s="1673"/>
      <c r="GK57" s="1673"/>
      <c r="GL57" s="1673"/>
      <c r="GM57" s="1673"/>
      <c r="GN57" s="1673"/>
      <c r="GO57" s="1673"/>
      <c r="GP57" s="1673"/>
      <c r="GQ57" s="1673"/>
      <c r="GR57" s="1673"/>
      <c r="GS57" s="1673"/>
      <c r="GT57" s="1673"/>
      <c r="GU57" s="1674"/>
      <c r="GV57" s="1673"/>
      <c r="GW57" s="1673"/>
      <c r="GX57" s="1673"/>
      <c r="GY57" s="1673"/>
      <c r="GZ57" s="1673"/>
      <c r="HA57" s="1673"/>
      <c r="HB57" s="1674"/>
      <c r="HC57" s="1673"/>
      <c r="HD57" s="1673"/>
      <c r="HE57" s="1673"/>
      <c r="HF57" s="1673"/>
      <c r="HG57" s="1674"/>
      <c r="HH57" s="1673"/>
      <c r="HI57" s="1674"/>
      <c r="HJ57" s="1674"/>
      <c r="HK57" s="1674"/>
      <c r="HL57" s="1674"/>
      <c r="HM57" s="1722" t="s">
        <v>4352</v>
      </c>
      <c r="HN57" s="1673"/>
      <c r="HO57" s="1673"/>
      <c r="HP57" s="1674"/>
      <c r="HQ57" s="1673"/>
      <c r="HR57" s="1673"/>
      <c r="HS57" s="1673"/>
      <c r="HT57" s="1673"/>
      <c r="HU57" s="1673"/>
      <c r="HV57" s="1673"/>
      <c r="HW57" s="1673"/>
      <c r="HX57" s="1673"/>
      <c r="HY57" s="1673"/>
      <c r="HZ57" s="1673"/>
      <c r="IA57" s="1673"/>
      <c r="IB57" s="1673"/>
      <c r="IC57" s="1673"/>
      <c r="ID57" s="1673"/>
      <c r="IE57" s="1673"/>
      <c r="IF57" s="1673"/>
      <c r="IG57" s="1673"/>
      <c r="IH57" s="1673"/>
      <c r="II57" s="1673"/>
      <c r="IJ57" s="1673"/>
      <c r="IK57" s="1673"/>
      <c r="IL57" s="1673"/>
      <c r="IM57" s="1673"/>
      <c r="IN57" s="1673"/>
      <c r="IO57" s="1673"/>
      <c r="IP57" s="1673"/>
      <c r="IQ57" s="1673"/>
      <c r="IR57" s="1673"/>
      <c r="IS57" s="1673"/>
      <c r="IT57" s="1673"/>
      <c r="IU57" s="1673"/>
      <c r="IV57" s="1673"/>
      <c r="IW57" s="1673"/>
      <c r="IX57" s="1675"/>
      <c r="IY57" s="1673"/>
      <c r="IZ57" s="1675"/>
      <c r="JA57" s="1673"/>
      <c r="JB57" s="1673"/>
      <c r="JC57" s="1673"/>
      <c r="JD57" s="1673"/>
      <c r="JE57" s="1673"/>
      <c r="JF57" s="1673"/>
      <c r="JG57" s="1673"/>
      <c r="JH57" s="1673"/>
      <c r="JI57" s="1673"/>
      <c r="JJ57" s="1673"/>
      <c r="JK57" s="1673"/>
      <c r="JL57" s="1673"/>
      <c r="JM57" s="1673"/>
      <c r="JN57" s="1673"/>
      <c r="JO57" s="1673"/>
      <c r="JP57" s="1673"/>
      <c r="JQ57" s="1676"/>
      <c r="JR57" s="593"/>
      <c r="JS57" s="354" t="s">
        <v>4270</v>
      </c>
      <c r="JT57" s="355" t="s">
        <v>4271</v>
      </c>
      <c r="JU57" s="598"/>
      <c r="JV57" s="598"/>
    </row>
    <row r="58" spans="1:282" ht="60.5" x14ac:dyDescent="0.25">
      <c r="A58" s="1367">
        <v>57</v>
      </c>
      <c r="B58" s="1684" t="str">
        <f t="shared" si="6"/>
        <v/>
      </c>
      <c r="C58" s="1688" t="s">
        <v>4353</v>
      </c>
      <c r="D58" s="1360" t="str">
        <f>"If, during "&amp;tax_year&amp;", you  submitted a Real Time Transaction Tax return for the disposal of listed shares or securities, put the overall gain or loss in the box -  include the  individual amounts of gains or losses in  box 34 and losses in box 35"</f>
        <v>If, during 2025-26, you  submitted a Real Time Transaction Tax return for the disposal of listed shares or securities, put the overall gain or loss in the box -  include the  individual amounts of gains or losses in  box 34 and losses in box 35</v>
      </c>
      <c r="E58" s="1686"/>
      <c r="F58" s="1686"/>
      <c r="G58" s="1686"/>
      <c r="H58" s="1686"/>
      <c r="I58" s="1686"/>
      <c r="J58" s="1686"/>
      <c r="K58" s="1686"/>
      <c r="L58" s="1686"/>
      <c r="M58" s="1686"/>
      <c r="N58" s="1686"/>
      <c r="O58" s="1686"/>
      <c r="P58" s="1686"/>
      <c r="Q58" s="1686"/>
      <c r="R58" s="1686"/>
      <c r="S58" s="1686"/>
      <c r="T58" s="1686"/>
      <c r="U58" s="1686"/>
      <c r="V58" s="1686"/>
      <c r="W58" s="1686"/>
      <c r="X58" s="1686"/>
      <c r="Y58" s="1686"/>
      <c r="Z58" s="1686"/>
      <c r="AA58" s="1686"/>
      <c r="AB58" s="1686"/>
      <c r="AC58" s="1686"/>
      <c r="AD58" s="1686"/>
      <c r="AE58" s="1686"/>
      <c r="AF58" s="1686"/>
      <c r="AG58" s="1686"/>
      <c r="AH58" s="1686"/>
      <c r="AI58" s="1691"/>
      <c r="AJ58" s="1686"/>
      <c r="AK58" s="1691"/>
      <c r="AL58" s="1686"/>
      <c r="AM58" s="1686"/>
      <c r="AN58" s="1686"/>
      <c r="AO58" s="1686"/>
      <c r="AP58" s="1686"/>
      <c r="AQ58" s="1686"/>
      <c r="AR58" s="1686"/>
      <c r="AS58" s="1686"/>
      <c r="AT58" s="1686"/>
      <c r="AU58" s="1691"/>
      <c r="AV58" s="1686"/>
      <c r="AW58" s="1686"/>
      <c r="AX58" s="1686"/>
      <c r="AY58" s="1686"/>
      <c r="AZ58" s="1686"/>
      <c r="BA58" s="1686"/>
      <c r="BB58" s="1691"/>
      <c r="BC58" s="1686"/>
      <c r="BD58" s="1691"/>
      <c r="BE58" s="1686"/>
      <c r="BF58" s="1686"/>
      <c r="BG58" s="1691"/>
      <c r="BH58" s="1686"/>
      <c r="BI58" s="1686"/>
      <c r="BJ58" s="1686"/>
      <c r="BK58" s="1686"/>
      <c r="BL58" s="1686"/>
      <c r="BM58" s="1686"/>
      <c r="BN58" s="1686"/>
      <c r="BO58" s="1686"/>
      <c r="BP58" s="1691"/>
      <c r="BQ58" s="1686"/>
      <c r="BR58" s="1686"/>
      <c r="BS58" s="1686"/>
      <c r="BT58" s="1691"/>
      <c r="BU58" s="1691"/>
      <c r="BV58" s="1686"/>
      <c r="BW58" s="1691"/>
      <c r="BX58" s="1686"/>
      <c r="BY58" s="1686"/>
      <c r="BZ58" s="1691"/>
      <c r="CA58" s="1686"/>
      <c r="CB58" s="1686"/>
      <c r="CC58" s="1686"/>
      <c r="CD58" s="1691"/>
      <c r="CE58" s="1686"/>
      <c r="CF58" s="1686"/>
      <c r="CG58" s="1686"/>
      <c r="CH58" s="1686"/>
      <c r="CI58" s="1686"/>
      <c r="CJ58" s="1686"/>
      <c r="CK58" s="1686"/>
      <c r="CL58" s="1686"/>
      <c r="CM58" s="1686"/>
      <c r="CN58" s="1686"/>
      <c r="CO58" s="1686"/>
      <c r="CP58" s="1686"/>
      <c r="CQ58" s="1686"/>
      <c r="CR58" s="1686"/>
      <c r="CS58" s="1686"/>
      <c r="CT58" s="1691"/>
      <c r="CU58" s="1686"/>
      <c r="CV58" s="1686"/>
      <c r="CW58" s="1686"/>
      <c r="CX58" s="1686"/>
      <c r="CY58" s="1686"/>
      <c r="CZ58" s="1686"/>
      <c r="DA58" s="1691"/>
      <c r="DB58" s="1686"/>
      <c r="DC58" s="1691"/>
      <c r="DD58" s="1686"/>
      <c r="DE58" s="1686"/>
      <c r="DF58" s="1686"/>
      <c r="DG58" s="1691"/>
      <c r="DH58" s="1686"/>
      <c r="DI58" s="1686"/>
      <c r="DJ58" s="1691"/>
      <c r="DK58" s="1686"/>
      <c r="DL58" s="1686"/>
      <c r="DM58" s="1691"/>
      <c r="DN58" s="1686"/>
      <c r="DO58" s="1691"/>
      <c r="DP58" s="1686"/>
      <c r="DQ58" s="1686"/>
      <c r="DR58" s="1686"/>
      <c r="DS58" s="1686"/>
      <c r="DT58" s="1686"/>
      <c r="DU58" s="1686"/>
      <c r="DV58" s="1686"/>
      <c r="DW58" s="1686"/>
      <c r="DX58" s="1686"/>
      <c r="DY58" s="1686"/>
      <c r="DZ58" s="1686"/>
      <c r="EA58" s="1686"/>
      <c r="EB58" s="1686"/>
      <c r="EC58" s="1686"/>
      <c r="ED58" s="1691"/>
      <c r="EE58" s="1691"/>
      <c r="EF58" s="1686"/>
      <c r="EG58" s="1691"/>
      <c r="EH58" s="1691"/>
      <c r="EI58" s="1686"/>
      <c r="EJ58" s="1686"/>
      <c r="EK58" s="1686"/>
      <c r="EL58" s="1686"/>
      <c r="EM58" s="1686"/>
      <c r="EN58" s="1686"/>
      <c r="EO58" s="1686"/>
      <c r="EP58" s="1686"/>
      <c r="EQ58" s="1686"/>
      <c r="ER58" s="1691"/>
      <c r="ES58" s="1686"/>
      <c r="ET58" s="1686"/>
      <c r="EU58" s="1686"/>
      <c r="EV58" s="1691"/>
      <c r="EW58" s="1686"/>
      <c r="EX58" s="1686"/>
      <c r="EY58" s="1691"/>
      <c r="EZ58" s="1686"/>
      <c r="FA58" s="1686"/>
      <c r="FB58" s="1686"/>
      <c r="FC58" s="1686"/>
      <c r="FD58" s="1686"/>
      <c r="FE58" s="1691"/>
      <c r="FF58" s="1691"/>
      <c r="FG58" s="1691"/>
      <c r="FH58" s="1691"/>
      <c r="FI58" s="1691"/>
      <c r="FJ58" s="1691"/>
      <c r="FK58" s="1691"/>
      <c r="FL58" s="1691"/>
      <c r="FM58" s="1691"/>
      <c r="FN58" s="1691"/>
      <c r="FO58" s="1691"/>
      <c r="FP58" s="1691"/>
      <c r="FQ58" s="1686"/>
      <c r="FR58" s="1686"/>
      <c r="FS58" s="1686"/>
      <c r="FT58" s="1686"/>
      <c r="FU58" s="1686"/>
      <c r="FV58" s="1686"/>
      <c r="FW58" s="1686"/>
      <c r="FX58" s="1686"/>
      <c r="FY58" s="1686"/>
      <c r="FZ58" s="1686"/>
      <c r="GA58" s="1686"/>
      <c r="GB58" s="1686"/>
      <c r="GC58" s="1686"/>
      <c r="GD58" s="1686"/>
      <c r="GE58" s="1686"/>
      <c r="GF58" s="1686"/>
      <c r="GG58" s="1686"/>
      <c r="GH58" s="1686"/>
      <c r="GI58" s="1686"/>
      <c r="GJ58" s="1686"/>
      <c r="GK58" s="1686"/>
      <c r="GL58" s="1686"/>
      <c r="GM58" s="1686"/>
      <c r="GN58" s="1686"/>
      <c r="GO58" s="1686"/>
      <c r="GP58" s="1686"/>
      <c r="GQ58" s="1686"/>
      <c r="GR58" s="1686"/>
      <c r="GS58" s="1686"/>
      <c r="GT58" s="1686"/>
      <c r="GU58" s="1691"/>
      <c r="GV58" s="1686"/>
      <c r="GW58" s="1686"/>
      <c r="GX58" s="1686"/>
      <c r="GY58" s="1686"/>
      <c r="GZ58" s="1686"/>
      <c r="HA58" s="1686"/>
      <c r="HB58" s="1691"/>
      <c r="HC58" s="1686"/>
      <c r="HD58" s="1686"/>
      <c r="HE58" s="1686"/>
      <c r="HF58" s="1686"/>
      <c r="HG58" s="1691"/>
      <c r="HH58" s="1686"/>
      <c r="HI58" s="1691">
        <v>12000</v>
      </c>
      <c r="HJ58" s="1691"/>
      <c r="HK58" s="1691"/>
      <c r="HL58" s="1691"/>
      <c r="HM58" s="1691"/>
      <c r="HN58" s="1686"/>
      <c r="HO58" s="1686"/>
      <c r="HP58" s="1691"/>
      <c r="HQ58" s="1686"/>
      <c r="HR58" s="1686"/>
      <c r="HS58" s="1686"/>
      <c r="HT58" s="1686"/>
      <c r="HU58" s="1686"/>
      <c r="HV58" s="1686"/>
      <c r="HW58" s="1686"/>
      <c r="HX58" s="1686"/>
      <c r="HY58" s="1686"/>
      <c r="HZ58" s="1686"/>
      <c r="IA58" s="1686"/>
      <c r="IB58" s="1686"/>
      <c r="IC58" s="1686"/>
      <c r="ID58" s="1686"/>
      <c r="IE58" s="1686"/>
      <c r="IF58" s="1686"/>
      <c r="IG58" s="1686"/>
      <c r="IH58" s="1686"/>
      <c r="II58" s="1686"/>
      <c r="IJ58" s="1686"/>
      <c r="IK58" s="1686"/>
      <c r="IL58" s="1686"/>
      <c r="IM58" s="1686"/>
      <c r="IN58" s="1686"/>
      <c r="IO58" s="1686"/>
      <c r="IP58" s="1686"/>
      <c r="IQ58" s="1686"/>
      <c r="IR58" s="1686"/>
      <c r="IS58" s="1686"/>
      <c r="IT58" s="1686"/>
      <c r="IU58" s="1686"/>
      <c r="IV58" s="1686"/>
      <c r="IW58" s="1686"/>
      <c r="IX58" s="1691"/>
      <c r="IY58" s="1686"/>
      <c r="IZ58" s="1691"/>
      <c r="JA58" s="1686"/>
      <c r="JB58" s="1686"/>
      <c r="JC58" s="1686"/>
      <c r="JD58" s="1686"/>
      <c r="JE58" s="1686"/>
      <c r="JF58" s="1686"/>
      <c r="JG58" s="1686"/>
      <c r="JH58" s="1686"/>
      <c r="JI58" s="1686"/>
      <c r="JJ58" s="1686"/>
      <c r="JK58" s="1686"/>
      <c r="JL58" s="1686"/>
      <c r="JM58" s="1686"/>
      <c r="JN58" s="1686"/>
      <c r="JO58" s="1686"/>
      <c r="JP58" s="1686"/>
      <c r="JQ58" s="1724"/>
      <c r="JR58" s="593"/>
      <c r="JS58" s="506" t="s">
        <v>4354</v>
      </c>
      <c r="JT58" s="355" t="s">
        <v>2253</v>
      </c>
      <c r="JU58" s="598"/>
      <c r="JV58" s="598"/>
    </row>
    <row r="59" spans="1:282" x14ac:dyDescent="0.25">
      <c r="A59" s="1367">
        <v>58</v>
      </c>
      <c r="B59" s="1684" t="str">
        <f t="shared" si="6"/>
        <v/>
      </c>
      <c r="C59" s="1688" t="s">
        <v>4355</v>
      </c>
      <c r="D59" s="1360" t="s">
        <v>4356</v>
      </c>
      <c r="E59" s="1673"/>
      <c r="F59" s="1673"/>
      <c r="G59" s="1673"/>
      <c r="H59" s="1673"/>
      <c r="I59" s="1673"/>
      <c r="J59" s="1673"/>
      <c r="K59" s="1673"/>
      <c r="L59" s="1673"/>
      <c r="M59" s="1673"/>
      <c r="N59" s="1673"/>
      <c r="O59" s="1673"/>
      <c r="P59" s="1673"/>
      <c r="Q59" s="1673"/>
      <c r="R59" s="1673"/>
      <c r="S59" s="1673"/>
      <c r="T59" s="1673"/>
      <c r="U59" s="1673"/>
      <c r="V59" s="1673"/>
      <c r="W59" s="1673"/>
      <c r="X59" s="1673"/>
      <c r="Y59" s="1673"/>
      <c r="Z59" s="1673"/>
      <c r="AA59" s="1673"/>
      <c r="AB59" s="1673"/>
      <c r="AC59" s="1673"/>
      <c r="AD59" s="1673"/>
      <c r="AE59" s="1673"/>
      <c r="AF59" s="1673"/>
      <c r="AG59" s="1673"/>
      <c r="AH59" s="1673"/>
      <c r="AI59" s="1675"/>
      <c r="AJ59" s="1673"/>
      <c r="AK59" s="1675"/>
      <c r="AL59" s="1673"/>
      <c r="AM59" s="1673"/>
      <c r="AN59" s="1673"/>
      <c r="AO59" s="1673"/>
      <c r="AP59" s="1673"/>
      <c r="AQ59" s="1673"/>
      <c r="AR59" s="1673"/>
      <c r="AS59" s="1673"/>
      <c r="AT59" s="1673"/>
      <c r="AU59" s="1675"/>
      <c r="AV59" s="1673"/>
      <c r="AW59" s="1673"/>
      <c r="AX59" s="1673"/>
      <c r="AY59" s="1673"/>
      <c r="AZ59" s="1673"/>
      <c r="BA59" s="1673"/>
      <c r="BB59" s="1675"/>
      <c r="BC59" s="1673"/>
      <c r="BD59" s="1675"/>
      <c r="BE59" s="1673"/>
      <c r="BF59" s="1673"/>
      <c r="BG59" s="1674"/>
      <c r="BH59" s="1673"/>
      <c r="BI59" s="1673"/>
      <c r="BJ59" s="1673"/>
      <c r="BK59" s="1673"/>
      <c r="BL59" s="1673"/>
      <c r="BM59" s="1673"/>
      <c r="BN59" s="1673"/>
      <c r="BO59" s="1673"/>
      <c r="BP59" s="1675"/>
      <c r="BQ59" s="1673"/>
      <c r="BR59" s="1673"/>
      <c r="BS59" s="1673"/>
      <c r="BT59" s="1674"/>
      <c r="BU59" s="1675"/>
      <c r="BV59" s="1673"/>
      <c r="BW59" s="1675"/>
      <c r="BX59" s="1673"/>
      <c r="BY59" s="1673"/>
      <c r="BZ59" s="1675"/>
      <c r="CA59" s="1673"/>
      <c r="CB59" s="1673"/>
      <c r="CC59" s="1673"/>
      <c r="CD59" s="1675"/>
      <c r="CE59" s="1673"/>
      <c r="CF59" s="1673"/>
      <c r="CG59" s="1673"/>
      <c r="CH59" s="1673"/>
      <c r="CI59" s="1673"/>
      <c r="CJ59" s="1673"/>
      <c r="CK59" s="1673"/>
      <c r="CL59" s="1673"/>
      <c r="CM59" s="1673"/>
      <c r="CN59" s="1673"/>
      <c r="CO59" s="1673"/>
      <c r="CP59" s="1673"/>
      <c r="CQ59" s="1673"/>
      <c r="CR59" s="1673"/>
      <c r="CS59" s="1673"/>
      <c r="CT59" s="1675"/>
      <c r="CU59" s="1673"/>
      <c r="CV59" s="1673"/>
      <c r="CW59" s="1673"/>
      <c r="CX59" s="1673"/>
      <c r="CY59" s="1673"/>
      <c r="CZ59" s="1673"/>
      <c r="DA59" s="1675"/>
      <c r="DB59" s="1673"/>
      <c r="DC59" s="1675"/>
      <c r="DD59" s="1673"/>
      <c r="DE59" s="1673"/>
      <c r="DF59" s="1673"/>
      <c r="DG59" s="1675"/>
      <c r="DH59" s="1673"/>
      <c r="DI59" s="1673"/>
      <c r="DJ59" s="1675"/>
      <c r="DK59" s="1673"/>
      <c r="DL59" s="1673"/>
      <c r="DM59" s="1675"/>
      <c r="DN59" s="1673"/>
      <c r="DO59" s="1674"/>
      <c r="DP59" s="1673"/>
      <c r="DQ59" s="1673"/>
      <c r="DR59" s="1673"/>
      <c r="DS59" s="1673"/>
      <c r="DT59" s="1673"/>
      <c r="DU59" s="1673"/>
      <c r="DV59" s="1673"/>
      <c r="DW59" s="1673"/>
      <c r="DX59" s="1673"/>
      <c r="DY59" s="1673"/>
      <c r="DZ59" s="1673"/>
      <c r="EA59" s="1673"/>
      <c r="EB59" s="1673"/>
      <c r="EC59" s="1673"/>
      <c r="ED59" s="1674"/>
      <c r="EE59" s="1674"/>
      <c r="EF59" s="1673"/>
      <c r="EG59" s="1674"/>
      <c r="EH59" s="1674"/>
      <c r="EI59" s="1673"/>
      <c r="EJ59" s="1673"/>
      <c r="EK59" s="1673"/>
      <c r="EL59" s="1673"/>
      <c r="EM59" s="1673"/>
      <c r="EN59" s="1673"/>
      <c r="EO59" s="1673"/>
      <c r="EP59" s="1673"/>
      <c r="EQ59" s="1673"/>
      <c r="ER59" s="1674"/>
      <c r="ES59" s="1673"/>
      <c r="ET59" s="1673"/>
      <c r="EU59" s="1673"/>
      <c r="EV59" s="1675"/>
      <c r="EW59" s="1673"/>
      <c r="EX59" s="1673"/>
      <c r="EY59" s="1675"/>
      <c r="EZ59" s="1673"/>
      <c r="FA59" s="1673"/>
      <c r="FB59" s="1673"/>
      <c r="FC59" s="1673"/>
      <c r="FD59" s="1673"/>
      <c r="FE59" s="1674"/>
      <c r="FF59" s="1674"/>
      <c r="FG59" s="1675"/>
      <c r="FH59" s="1675"/>
      <c r="FI59" s="1675"/>
      <c r="FJ59" s="1675"/>
      <c r="FK59" s="1675"/>
      <c r="FL59" s="1675"/>
      <c r="FM59" s="1675"/>
      <c r="FN59" s="1674"/>
      <c r="FO59" s="1674"/>
      <c r="FP59" s="1674"/>
      <c r="FQ59" s="1673"/>
      <c r="FR59" s="1673"/>
      <c r="FS59" s="1673"/>
      <c r="FT59" s="1673"/>
      <c r="FU59" s="1673"/>
      <c r="FV59" s="1673"/>
      <c r="FW59" s="1673"/>
      <c r="FX59" s="1673"/>
      <c r="FY59" s="1673"/>
      <c r="FZ59" s="1673"/>
      <c r="GA59" s="1673"/>
      <c r="GB59" s="1673"/>
      <c r="GC59" s="1673"/>
      <c r="GD59" s="1673"/>
      <c r="GE59" s="1673"/>
      <c r="GF59" s="1673"/>
      <c r="GG59" s="1673"/>
      <c r="GH59" s="1673"/>
      <c r="GI59" s="1673"/>
      <c r="GJ59" s="1673"/>
      <c r="GK59" s="1673"/>
      <c r="GL59" s="1673"/>
      <c r="GM59" s="1673"/>
      <c r="GN59" s="1673"/>
      <c r="GO59" s="1673"/>
      <c r="GP59" s="1673"/>
      <c r="GQ59" s="1673"/>
      <c r="GR59" s="1673"/>
      <c r="GS59" s="1673"/>
      <c r="GT59" s="1673"/>
      <c r="GU59" s="1674"/>
      <c r="GV59" s="1673"/>
      <c r="GW59" s="1673"/>
      <c r="GX59" s="1673"/>
      <c r="GY59" s="1673"/>
      <c r="GZ59" s="1673"/>
      <c r="HA59" s="1673"/>
      <c r="HB59" s="1674"/>
      <c r="HC59" s="1673"/>
      <c r="HD59" s="1673"/>
      <c r="HE59" s="1673"/>
      <c r="HF59" s="1673"/>
      <c r="HG59" s="1674"/>
      <c r="HH59" s="1673"/>
      <c r="HI59" s="1674">
        <v>1795</v>
      </c>
      <c r="HJ59" s="1674"/>
      <c r="HK59" s="1674"/>
      <c r="HL59" s="1674"/>
      <c r="HM59" s="1674"/>
      <c r="HN59" s="1673"/>
      <c r="HO59" s="1673"/>
      <c r="HP59" s="1674"/>
      <c r="HQ59" s="1673"/>
      <c r="HR59" s="1673"/>
      <c r="HS59" s="1673"/>
      <c r="HT59" s="1673"/>
      <c r="HU59" s="1673"/>
      <c r="HV59" s="1673"/>
      <c r="HW59" s="1673"/>
      <c r="HX59" s="1673"/>
      <c r="HY59" s="1673"/>
      <c r="HZ59" s="1673"/>
      <c r="IA59" s="1673"/>
      <c r="IB59" s="1673"/>
      <c r="IC59" s="1673"/>
      <c r="ID59" s="1673"/>
      <c r="IE59" s="1673"/>
      <c r="IF59" s="1673"/>
      <c r="IG59" s="1673"/>
      <c r="IH59" s="1673"/>
      <c r="II59" s="1673"/>
      <c r="IJ59" s="1673"/>
      <c r="IK59" s="1673"/>
      <c r="IL59" s="1673"/>
      <c r="IM59" s="1673"/>
      <c r="IN59" s="1673"/>
      <c r="IO59" s="1673"/>
      <c r="IP59" s="1673"/>
      <c r="IQ59" s="1673"/>
      <c r="IR59" s="1673"/>
      <c r="IS59" s="1673"/>
      <c r="IT59" s="1673"/>
      <c r="IU59" s="1673"/>
      <c r="IV59" s="1673"/>
      <c r="IW59" s="1673"/>
      <c r="IX59" s="1675"/>
      <c r="IY59" s="1673"/>
      <c r="IZ59" s="1675"/>
      <c r="JA59" s="1673"/>
      <c r="JB59" s="1673"/>
      <c r="JC59" s="1673"/>
      <c r="JD59" s="1673"/>
      <c r="JE59" s="1673"/>
      <c r="JF59" s="1673"/>
      <c r="JG59" s="1673"/>
      <c r="JH59" s="1673"/>
      <c r="JI59" s="1673"/>
      <c r="JJ59" s="1673"/>
      <c r="JK59" s="1673"/>
      <c r="JL59" s="1673"/>
      <c r="JM59" s="1673"/>
      <c r="JN59" s="1673"/>
      <c r="JO59" s="1673"/>
      <c r="JP59" s="1673"/>
      <c r="JQ59" s="1676"/>
      <c r="JR59" s="593"/>
      <c r="JS59" s="354" t="s">
        <v>4357</v>
      </c>
      <c r="JT59" s="355" t="s">
        <v>2242</v>
      </c>
      <c r="JU59" s="355" t="s">
        <v>4353</v>
      </c>
      <c r="JV59" s="598"/>
    </row>
    <row r="60" spans="1:282" x14ac:dyDescent="0.25">
      <c r="A60" s="1367">
        <v>59</v>
      </c>
      <c r="B60" s="1684" t="str">
        <f t="shared" si="6"/>
        <v/>
      </c>
      <c r="C60" s="1688" t="s">
        <v>4358</v>
      </c>
      <c r="D60" s="1360" t="s">
        <v>4359</v>
      </c>
      <c r="E60" s="1358"/>
      <c r="F60" s="1358"/>
      <c r="G60" s="1358"/>
      <c r="H60" s="1358"/>
      <c r="I60" s="1358"/>
      <c r="J60" s="1358"/>
      <c r="K60" s="1358"/>
      <c r="L60" s="1358"/>
      <c r="M60" s="1358"/>
      <c r="N60" s="1358"/>
      <c r="O60" s="1358"/>
      <c r="P60" s="1358"/>
      <c r="Q60" s="1358"/>
      <c r="R60" s="1358"/>
      <c r="S60" s="1358"/>
      <c r="T60" s="1358"/>
      <c r="U60" s="1358"/>
      <c r="V60" s="1358"/>
      <c r="W60" s="1358"/>
      <c r="X60" s="1358"/>
      <c r="Y60" s="1358"/>
      <c r="Z60" s="1358"/>
      <c r="AA60" s="1358"/>
      <c r="AB60" s="1358"/>
      <c r="AC60" s="1358"/>
      <c r="AD60" s="1358"/>
      <c r="AE60" s="1358"/>
      <c r="AF60" s="1358"/>
      <c r="AG60" s="1358"/>
      <c r="AH60" s="1358"/>
      <c r="AI60" s="1290"/>
      <c r="AJ60" s="1358"/>
      <c r="AK60" s="1290"/>
      <c r="AL60" s="1358"/>
      <c r="AM60" s="1358"/>
      <c r="AN60" s="1358"/>
      <c r="AO60" s="1358"/>
      <c r="AP60" s="1358"/>
      <c r="AQ60" s="1358"/>
      <c r="AR60" s="1358"/>
      <c r="AS60" s="1358"/>
      <c r="AT60" s="1358"/>
      <c r="AU60" s="1290"/>
      <c r="AV60" s="1358"/>
      <c r="AW60" s="1358"/>
      <c r="AX60" s="1358"/>
      <c r="AY60" s="1358"/>
      <c r="AZ60" s="1358"/>
      <c r="BA60" s="1358"/>
      <c r="BB60" s="1290"/>
      <c r="BC60" s="1358"/>
      <c r="BD60" s="1290"/>
      <c r="BE60" s="1358"/>
      <c r="BF60" s="1358"/>
      <c r="BG60" s="1290"/>
      <c r="BH60" s="1358"/>
      <c r="BI60" s="1358"/>
      <c r="BJ60" s="1358"/>
      <c r="BK60" s="1358"/>
      <c r="BL60" s="1358"/>
      <c r="BM60" s="1358"/>
      <c r="BN60" s="1358"/>
      <c r="BO60" s="1358"/>
      <c r="BP60" s="1290"/>
      <c r="BQ60" s="1358"/>
      <c r="BR60" s="1358"/>
      <c r="BS60" s="1358"/>
      <c r="BT60" s="1290"/>
      <c r="BU60" s="1290"/>
      <c r="BV60" s="1358"/>
      <c r="BW60" s="1290"/>
      <c r="BX60" s="1358"/>
      <c r="BY60" s="1358"/>
      <c r="BZ60" s="1290"/>
      <c r="CA60" s="1358"/>
      <c r="CB60" s="1358"/>
      <c r="CC60" s="1358"/>
      <c r="CD60" s="1290"/>
      <c r="CE60" s="1358"/>
      <c r="CF60" s="1358"/>
      <c r="CG60" s="1358"/>
      <c r="CH60" s="1358"/>
      <c r="CI60" s="1358"/>
      <c r="CJ60" s="1358"/>
      <c r="CK60" s="1358"/>
      <c r="CL60" s="1358"/>
      <c r="CM60" s="1358"/>
      <c r="CN60" s="1358"/>
      <c r="CO60" s="1358"/>
      <c r="CP60" s="1358"/>
      <c r="CQ60" s="1358"/>
      <c r="CR60" s="1358"/>
      <c r="CS60" s="1358"/>
      <c r="CT60" s="1290"/>
      <c r="CU60" s="1358"/>
      <c r="CV60" s="1358"/>
      <c r="CW60" s="1358"/>
      <c r="CX60" s="1358"/>
      <c r="CY60" s="1358"/>
      <c r="CZ60" s="1358"/>
      <c r="DA60" s="1290"/>
      <c r="DB60" s="1358"/>
      <c r="DC60" s="1290"/>
      <c r="DD60" s="1358"/>
      <c r="DE60" s="1358"/>
      <c r="DF60" s="1358"/>
      <c r="DG60" s="1290"/>
      <c r="DH60" s="1358"/>
      <c r="DI60" s="1358"/>
      <c r="DJ60" s="1290"/>
      <c r="DK60" s="1358"/>
      <c r="DL60" s="1358"/>
      <c r="DM60" s="1290"/>
      <c r="DN60" s="1358"/>
      <c r="DO60" s="1290"/>
      <c r="DP60" s="1358"/>
      <c r="DQ60" s="1358"/>
      <c r="DR60" s="1358"/>
      <c r="DS60" s="1358"/>
      <c r="DT60" s="1358"/>
      <c r="DU60" s="1358"/>
      <c r="DV60" s="1358"/>
      <c r="DW60" s="1358"/>
      <c r="DX60" s="1358"/>
      <c r="DY60" s="1358"/>
      <c r="DZ60" s="1358"/>
      <c r="EA60" s="1358"/>
      <c r="EB60" s="1358"/>
      <c r="EC60" s="1358"/>
      <c r="ED60" s="1290"/>
      <c r="EE60" s="1290"/>
      <c r="EF60" s="1358"/>
      <c r="EG60" s="1290"/>
      <c r="EH60" s="1290"/>
      <c r="EI60" s="1358"/>
      <c r="EJ60" s="1358"/>
      <c r="EK60" s="1358"/>
      <c r="EL60" s="1358"/>
      <c r="EM60" s="1358"/>
      <c r="EN60" s="1358"/>
      <c r="EO60" s="1358"/>
      <c r="EP60" s="1358"/>
      <c r="EQ60" s="1358"/>
      <c r="ER60" s="1290"/>
      <c r="ES60" s="1358"/>
      <c r="ET60" s="1358"/>
      <c r="EU60" s="1358"/>
      <c r="EV60" s="1290"/>
      <c r="EW60" s="1358"/>
      <c r="EX60" s="1358"/>
      <c r="EY60" s="1290"/>
      <c r="EZ60" s="1358"/>
      <c r="FA60" s="1358"/>
      <c r="FB60" s="1358"/>
      <c r="FC60" s="1358"/>
      <c r="FD60" s="1358"/>
      <c r="FE60" s="1290"/>
      <c r="FF60" s="1290"/>
      <c r="FG60" s="1290"/>
      <c r="FH60" s="1290"/>
      <c r="FI60" s="1290"/>
      <c r="FJ60" s="1290"/>
      <c r="FK60" s="1290"/>
      <c r="FL60" s="1290"/>
      <c r="FM60" s="1290"/>
      <c r="FN60" s="1290"/>
      <c r="FO60" s="1290"/>
      <c r="FP60" s="1290"/>
      <c r="FQ60" s="1358"/>
      <c r="FR60" s="1358"/>
      <c r="FS60" s="1358"/>
      <c r="FT60" s="1358"/>
      <c r="FU60" s="1358"/>
      <c r="FV60" s="1358"/>
      <c r="FW60" s="1358"/>
      <c r="FX60" s="1358"/>
      <c r="FY60" s="1358"/>
      <c r="FZ60" s="1358"/>
      <c r="GA60" s="1358"/>
      <c r="GB60" s="1358"/>
      <c r="GC60" s="1358"/>
      <c r="GD60" s="1358"/>
      <c r="GE60" s="1358"/>
      <c r="GF60" s="1358"/>
      <c r="GG60" s="1358"/>
      <c r="GH60" s="1358"/>
      <c r="GI60" s="1358"/>
      <c r="GJ60" s="1358"/>
      <c r="GK60" s="1358"/>
      <c r="GL60" s="1358"/>
      <c r="GM60" s="1358"/>
      <c r="GN60" s="1358"/>
      <c r="GO60" s="1358"/>
      <c r="GP60" s="1358"/>
      <c r="GQ60" s="1358"/>
      <c r="GR60" s="1358"/>
      <c r="GS60" s="1358"/>
      <c r="GT60" s="1358"/>
      <c r="GU60" s="1290"/>
      <c r="GV60" s="1358"/>
      <c r="GW60" s="1358"/>
      <c r="GX60" s="1358"/>
      <c r="GY60" s="1358"/>
      <c r="GZ60" s="1358"/>
      <c r="HA60" s="1358"/>
      <c r="HB60" s="1290"/>
      <c r="HC60" s="1358"/>
      <c r="HD60" s="1358"/>
      <c r="HE60" s="1358"/>
      <c r="HF60" s="1358"/>
      <c r="HG60" s="1290"/>
      <c r="HH60" s="1358"/>
      <c r="HI60" s="1290"/>
      <c r="HJ60" s="1290"/>
      <c r="HK60" s="1290"/>
      <c r="HL60" s="1290"/>
      <c r="HM60" s="1290"/>
      <c r="HN60" s="1358"/>
      <c r="HO60" s="1358"/>
      <c r="HP60" s="1290"/>
      <c r="HQ60" s="1358"/>
      <c r="HR60" s="1358"/>
      <c r="HS60" s="1358"/>
      <c r="HT60" s="1358"/>
      <c r="HU60" s="1358"/>
      <c r="HV60" s="1358"/>
      <c r="HW60" s="1358"/>
      <c r="HX60" s="1358"/>
      <c r="HY60" s="1358"/>
      <c r="HZ60" s="1358"/>
      <c r="IA60" s="1358"/>
      <c r="IB60" s="1358"/>
      <c r="IC60" s="1358"/>
      <c r="ID60" s="1358"/>
      <c r="IE60" s="1358"/>
      <c r="IF60" s="1358"/>
      <c r="IG60" s="1358"/>
      <c r="IH60" s="1358"/>
      <c r="II60" s="1358"/>
      <c r="IJ60" s="1358"/>
      <c r="IK60" s="1358"/>
      <c r="IL60" s="1358"/>
      <c r="IM60" s="1358"/>
      <c r="IN60" s="1358"/>
      <c r="IO60" s="1358"/>
      <c r="IP60" s="1358"/>
      <c r="IQ60" s="1358"/>
      <c r="IR60" s="1358"/>
      <c r="IS60" s="1358"/>
      <c r="IT60" s="1358"/>
      <c r="IU60" s="1358"/>
      <c r="IV60" s="1358"/>
      <c r="IW60" s="1358"/>
      <c r="IX60" s="1290"/>
      <c r="IY60" s="1358"/>
      <c r="IZ60" s="1290"/>
      <c r="JA60" s="1358"/>
      <c r="JB60" s="1358"/>
      <c r="JC60" s="1358"/>
      <c r="JD60" s="1358"/>
      <c r="JE60" s="1358"/>
      <c r="JF60" s="1358"/>
      <c r="JG60" s="1358"/>
      <c r="JH60" s="1358"/>
      <c r="JI60" s="1358"/>
      <c r="JJ60" s="1358"/>
      <c r="JK60" s="1358"/>
      <c r="JL60" s="1358"/>
      <c r="JM60" s="1358"/>
      <c r="JN60" s="1358"/>
      <c r="JO60" s="1358"/>
      <c r="JP60" s="1358"/>
      <c r="JQ60" s="1364"/>
      <c r="JR60" s="593"/>
      <c r="JS60" s="354"/>
      <c r="JT60" s="355" t="s">
        <v>2242</v>
      </c>
      <c r="JU60" s="598"/>
      <c r="JV60" s="598"/>
    </row>
    <row r="61" spans="1:282" x14ac:dyDescent="0.25">
      <c r="A61" s="1367">
        <v>60</v>
      </c>
      <c r="B61" s="1684" t="str">
        <f t="shared" si="6"/>
        <v/>
      </c>
      <c r="C61" s="1688" t="s">
        <v>4360</v>
      </c>
      <c r="D61" s="1360" t="s">
        <v>4361</v>
      </c>
      <c r="E61" s="1686"/>
      <c r="F61" s="1686"/>
      <c r="G61" s="1686"/>
      <c r="H61" s="1686"/>
      <c r="I61" s="1686"/>
      <c r="J61" s="1686"/>
      <c r="K61" s="1686"/>
      <c r="L61" s="1686"/>
      <c r="M61" s="1686"/>
      <c r="N61" s="1686"/>
      <c r="O61" s="1686"/>
      <c r="P61" s="1686"/>
      <c r="Q61" s="1686"/>
      <c r="R61" s="1686"/>
      <c r="S61" s="1686"/>
      <c r="T61" s="1686"/>
      <c r="U61" s="1686"/>
      <c r="V61" s="1686"/>
      <c r="W61" s="1686"/>
      <c r="X61" s="1686"/>
      <c r="Y61" s="1686"/>
      <c r="Z61" s="1686"/>
      <c r="AA61" s="1686"/>
      <c r="AB61" s="1686"/>
      <c r="AC61" s="1686"/>
      <c r="AD61" s="1686"/>
      <c r="AE61" s="1686"/>
      <c r="AF61" s="1686"/>
      <c r="AG61" s="1686"/>
      <c r="AH61" s="1686"/>
      <c r="AI61" s="1691"/>
      <c r="AJ61" s="1686"/>
      <c r="AK61" s="1691"/>
      <c r="AL61" s="1686"/>
      <c r="AM61" s="1686"/>
      <c r="AN61" s="1686"/>
      <c r="AO61" s="1686"/>
      <c r="AP61" s="1686"/>
      <c r="AQ61" s="1686"/>
      <c r="AR61" s="1686"/>
      <c r="AS61" s="1686"/>
      <c r="AT61" s="1686"/>
      <c r="AU61" s="1691"/>
      <c r="AV61" s="1686"/>
      <c r="AW61" s="1686"/>
      <c r="AX61" s="1686"/>
      <c r="AY61" s="1686"/>
      <c r="AZ61" s="1686"/>
      <c r="BA61" s="1686"/>
      <c r="BB61" s="1691"/>
      <c r="BC61" s="1686"/>
      <c r="BD61" s="1691"/>
      <c r="BE61" s="1686"/>
      <c r="BF61" s="1686"/>
      <c r="BG61" s="1691"/>
      <c r="BH61" s="1686"/>
      <c r="BI61" s="1686"/>
      <c r="BJ61" s="1686"/>
      <c r="BK61" s="1686"/>
      <c r="BL61" s="1686"/>
      <c r="BM61" s="1686"/>
      <c r="BN61" s="1686"/>
      <c r="BO61" s="1686"/>
      <c r="BP61" s="1691"/>
      <c r="BQ61" s="1686"/>
      <c r="BR61" s="1686"/>
      <c r="BS61" s="1686"/>
      <c r="BT61" s="1691"/>
      <c r="BU61" s="1691"/>
      <c r="BV61" s="1686"/>
      <c r="BW61" s="1691"/>
      <c r="BX61" s="1686"/>
      <c r="BY61" s="1686"/>
      <c r="BZ61" s="1691"/>
      <c r="CA61" s="1686"/>
      <c r="CB61" s="1686"/>
      <c r="CC61" s="1686"/>
      <c r="CD61" s="1691"/>
      <c r="CE61" s="1686"/>
      <c r="CF61" s="1686"/>
      <c r="CG61" s="1686"/>
      <c r="CH61" s="1686"/>
      <c r="CI61" s="1686"/>
      <c r="CJ61" s="1686"/>
      <c r="CK61" s="1686"/>
      <c r="CL61" s="1686"/>
      <c r="CM61" s="1686"/>
      <c r="CN61" s="1686"/>
      <c r="CO61" s="1686"/>
      <c r="CP61" s="1686"/>
      <c r="CQ61" s="1686"/>
      <c r="CR61" s="1686"/>
      <c r="CS61" s="1686"/>
      <c r="CT61" s="1691"/>
      <c r="CU61" s="1686"/>
      <c r="CV61" s="1686"/>
      <c r="CW61" s="1686"/>
      <c r="CX61" s="1686"/>
      <c r="CY61" s="1686"/>
      <c r="CZ61" s="1686"/>
      <c r="DA61" s="1691"/>
      <c r="DB61" s="1686"/>
      <c r="DC61" s="1691"/>
      <c r="DD61" s="1686"/>
      <c r="DE61" s="1686"/>
      <c r="DF61" s="1686"/>
      <c r="DG61" s="1691"/>
      <c r="DH61" s="1686"/>
      <c r="DI61" s="1686"/>
      <c r="DJ61" s="1691"/>
      <c r="DK61" s="1686"/>
      <c r="DL61" s="1686"/>
      <c r="DM61" s="1691"/>
      <c r="DN61" s="1686"/>
      <c r="DO61" s="1691"/>
      <c r="DP61" s="1686"/>
      <c r="DQ61" s="1686"/>
      <c r="DR61" s="1686"/>
      <c r="DS61" s="1686"/>
      <c r="DT61" s="1686"/>
      <c r="DU61" s="1686"/>
      <c r="DV61" s="1686"/>
      <c r="DW61" s="1686"/>
      <c r="DX61" s="1686"/>
      <c r="DY61" s="1686"/>
      <c r="DZ61" s="1686"/>
      <c r="EA61" s="1686"/>
      <c r="EB61" s="1686"/>
      <c r="EC61" s="1686"/>
      <c r="ED61" s="1691"/>
      <c r="EE61" s="1691"/>
      <c r="EF61" s="1686"/>
      <c r="EG61" s="1691"/>
      <c r="EH61" s="1691"/>
      <c r="EI61" s="1686"/>
      <c r="EJ61" s="1686"/>
      <c r="EK61" s="1686"/>
      <c r="EL61" s="1686"/>
      <c r="EM61" s="1686"/>
      <c r="EN61" s="1686"/>
      <c r="EO61" s="1686"/>
      <c r="EP61" s="1686"/>
      <c r="EQ61" s="1686"/>
      <c r="ER61" s="1686"/>
      <c r="ES61" s="1686"/>
      <c r="ET61" s="1686"/>
      <c r="EU61" s="1686"/>
      <c r="EV61" s="1686"/>
      <c r="EW61" s="1686"/>
      <c r="EX61" s="1686"/>
      <c r="EY61" s="1691"/>
      <c r="EZ61" s="1686"/>
      <c r="FA61" s="1686"/>
      <c r="FB61" s="1686"/>
      <c r="FC61" s="1686"/>
      <c r="FD61" s="1686"/>
      <c r="FE61" s="1691"/>
      <c r="FF61" s="1691"/>
      <c r="FG61" s="1691"/>
      <c r="FH61" s="1691"/>
      <c r="FI61" s="1691"/>
      <c r="FJ61" s="1691"/>
      <c r="FK61" s="1691"/>
      <c r="FL61" s="1691"/>
      <c r="FM61" s="1691"/>
      <c r="FN61" s="1691">
        <v>50000</v>
      </c>
      <c r="FO61" s="1691"/>
      <c r="FP61" s="1691"/>
      <c r="FQ61" s="1686"/>
      <c r="FR61" s="1686"/>
      <c r="FS61" s="1686"/>
      <c r="FT61" s="1686"/>
      <c r="FU61" s="1686"/>
      <c r="FV61" s="1686"/>
      <c r="FW61" s="1686"/>
      <c r="FX61" s="1686"/>
      <c r="FY61" s="1686"/>
      <c r="FZ61" s="1686"/>
      <c r="GA61" s="1686"/>
      <c r="GB61" s="1686"/>
      <c r="GC61" s="1686"/>
      <c r="GD61" s="1686"/>
      <c r="GE61" s="1686"/>
      <c r="GF61" s="1686"/>
      <c r="GG61" s="1686"/>
      <c r="GH61" s="1686"/>
      <c r="GI61" s="1686"/>
      <c r="GJ61" s="1686"/>
      <c r="GK61" s="1686"/>
      <c r="GL61" s="1686"/>
      <c r="GM61" s="1686"/>
      <c r="GN61" s="1686"/>
      <c r="GO61" s="1686"/>
      <c r="GP61" s="1686"/>
      <c r="GQ61" s="1686"/>
      <c r="GR61" s="1686"/>
      <c r="GS61" s="1686"/>
      <c r="GT61" s="1686"/>
      <c r="GU61" s="1691"/>
      <c r="GV61" s="1686"/>
      <c r="GW61" s="1686"/>
      <c r="GX61" s="1686"/>
      <c r="GY61" s="1686"/>
      <c r="GZ61" s="1686"/>
      <c r="HA61" s="1686"/>
      <c r="HB61" s="1691"/>
      <c r="HC61" s="1686"/>
      <c r="HD61" s="1686"/>
      <c r="HE61" s="1686"/>
      <c r="HF61" s="1686"/>
      <c r="HG61" s="1691"/>
      <c r="HH61" s="1686"/>
      <c r="HI61" s="1691"/>
      <c r="HJ61" s="1691"/>
      <c r="HK61" s="1691"/>
      <c r="HL61" s="1691"/>
      <c r="HM61" s="1691"/>
      <c r="HN61" s="1686"/>
      <c r="HO61" s="1686"/>
      <c r="HP61" s="1691"/>
      <c r="HQ61" s="1686"/>
      <c r="HR61" s="1686"/>
      <c r="HS61" s="1686"/>
      <c r="HT61" s="1686"/>
      <c r="HU61" s="1686"/>
      <c r="HV61" s="1686"/>
      <c r="HW61" s="1686"/>
      <c r="HX61" s="1686"/>
      <c r="HY61" s="1686"/>
      <c r="HZ61" s="1686"/>
      <c r="IA61" s="1686"/>
      <c r="IB61" s="1686"/>
      <c r="IC61" s="1686"/>
      <c r="ID61" s="1686"/>
      <c r="IE61" s="1686"/>
      <c r="IF61" s="1686"/>
      <c r="IG61" s="1686"/>
      <c r="IH61" s="1686"/>
      <c r="II61" s="1686"/>
      <c r="IJ61" s="1686"/>
      <c r="IK61" s="1686"/>
      <c r="IL61" s="1686"/>
      <c r="IM61" s="1686"/>
      <c r="IN61" s="1686"/>
      <c r="IO61" s="1686"/>
      <c r="IP61" s="1686"/>
      <c r="IQ61" s="1686"/>
      <c r="IR61" s="1686"/>
      <c r="IS61" s="1686"/>
      <c r="IT61" s="1686"/>
      <c r="IU61" s="1686"/>
      <c r="IV61" s="1686"/>
      <c r="IW61" s="1686"/>
      <c r="IX61" s="1691"/>
      <c r="IY61" s="1686"/>
      <c r="IZ61" s="1691"/>
      <c r="JA61" s="1686"/>
      <c r="JB61" s="1686"/>
      <c r="JC61" s="1686"/>
      <c r="JD61" s="1686"/>
      <c r="JE61" s="1686"/>
      <c r="JF61" s="1686"/>
      <c r="JG61" s="1686"/>
      <c r="JH61" s="1686"/>
      <c r="JI61" s="1686"/>
      <c r="JJ61" s="1686"/>
      <c r="JK61" s="1686"/>
      <c r="JL61" s="1686"/>
      <c r="JM61" s="1686"/>
      <c r="JN61" s="1686"/>
      <c r="JO61" s="1686"/>
      <c r="JP61" s="1686"/>
      <c r="JQ61" s="1724"/>
      <c r="JR61" s="593"/>
      <c r="JS61" s="354" t="s">
        <v>4362</v>
      </c>
      <c r="JT61" s="355" t="s">
        <v>2242</v>
      </c>
      <c r="JU61" s="598"/>
      <c r="JV61" s="356" t="s">
        <v>4363</v>
      </c>
    </row>
    <row r="62" spans="1:282" x14ac:dyDescent="0.25">
      <c r="A62" s="1367">
        <v>61</v>
      </c>
      <c r="B62" s="1684" t="str">
        <f t="shared" si="6"/>
        <v/>
      </c>
      <c r="C62" s="1688" t="s">
        <v>4364</v>
      </c>
      <c r="D62" s="1360" t="str">
        <f>"Losses used against income – amount claimed against "&amp;tax_year&amp;" income"</f>
        <v>Losses used against income – amount claimed against 2025-26 income</v>
      </c>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A62" s="1720"/>
      <c r="AB62" s="1720"/>
      <c r="AC62" s="1720"/>
      <c r="AD62" s="1720"/>
      <c r="AE62" s="1720"/>
      <c r="AF62" s="1720"/>
      <c r="AG62" s="1720"/>
      <c r="AH62" s="1720"/>
      <c r="AI62" s="1712"/>
      <c r="AJ62" s="1720"/>
      <c r="AK62" s="1712"/>
      <c r="AL62" s="1720"/>
      <c r="AM62" s="1720"/>
      <c r="AN62" s="1720"/>
      <c r="AO62" s="1720"/>
      <c r="AP62" s="1720"/>
      <c r="AQ62" s="1720"/>
      <c r="AR62" s="1720"/>
      <c r="AS62" s="1720"/>
      <c r="AT62" s="1720"/>
      <c r="AU62" s="1712"/>
      <c r="AV62" s="1720"/>
      <c r="AW62" s="1720"/>
      <c r="AX62" s="1720"/>
      <c r="AY62" s="1720"/>
      <c r="AZ62" s="1720"/>
      <c r="BA62" s="1720"/>
      <c r="BB62" s="1694">
        <v>13094</v>
      </c>
      <c r="BC62" s="1720"/>
      <c r="BD62" s="1712"/>
      <c r="BE62" s="1720"/>
      <c r="BF62" s="1720"/>
      <c r="BG62" s="1712"/>
      <c r="BH62" s="1720"/>
      <c r="BI62" s="1720"/>
      <c r="BJ62" s="1720"/>
      <c r="BK62" s="1720"/>
      <c r="BL62" s="1720"/>
      <c r="BM62" s="1720"/>
      <c r="BN62" s="1720"/>
      <c r="BO62" s="1720"/>
      <c r="BP62" s="1712"/>
      <c r="BQ62" s="1720"/>
      <c r="BR62" s="1720"/>
      <c r="BS62" s="1720"/>
      <c r="BT62" s="1712"/>
      <c r="BU62" s="1691"/>
      <c r="BV62" s="1720"/>
      <c r="BW62" s="1712"/>
      <c r="BX62" s="1720"/>
      <c r="BY62" s="1720"/>
      <c r="BZ62" s="1712"/>
      <c r="CA62" s="1720"/>
      <c r="CB62" s="1720"/>
      <c r="CC62" s="1720"/>
      <c r="CD62" s="1691"/>
      <c r="CE62" s="1720"/>
      <c r="CF62" s="1720"/>
      <c r="CG62" s="1720"/>
      <c r="CH62" s="1720"/>
      <c r="CI62" s="1720"/>
      <c r="CJ62" s="1720"/>
      <c r="CK62" s="1720"/>
      <c r="CL62" s="1720"/>
      <c r="CM62" s="1720"/>
      <c r="CN62" s="1720"/>
      <c r="CO62" s="1720"/>
      <c r="CP62" s="1720"/>
      <c r="CQ62" s="1720"/>
      <c r="CR62" s="1720"/>
      <c r="CS62" s="1720"/>
      <c r="CT62" s="1691"/>
      <c r="CU62" s="1720"/>
      <c r="CV62" s="1720"/>
      <c r="CW62" s="1720"/>
      <c r="CX62" s="1720"/>
      <c r="CY62" s="1720"/>
      <c r="CZ62" s="1720"/>
      <c r="DA62" s="1712"/>
      <c r="DB62" s="1720"/>
      <c r="DC62" s="1712"/>
      <c r="DD62" s="1720"/>
      <c r="DE62" s="1720"/>
      <c r="DF62" s="1720"/>
      <c r="DG62" s="1712"/>
      <c r="DH62" s="1720"/>
      <c r="DI62" s="1720"/>
      <c r="DJ62" s="1712"/>
      <c r="DK62" s="1720"/>
      <c r="DL62" s="1720"/>
      <c r="DM62" s="1712"/>
      <c r="DN62" s="1720"/>
      <c r="DO62" s="1712"/>
      <c r="DP62" s="1720"/>
      <c r="DQ62" s="1720"/>
      <c r="DR62" s="1720"/>
      <c r="DS62" s="1720"/>
      <c r="DT62" s="1720"/>
      <c r="DU62" s="1720"/>
      <c r="DV62" s="1720"/>
      <c r="DW62" s="1720"/>
      <c r="DX62" s="1720"/>
      <c r="DY62" s="1720"/>
      <c r="DZ62" s="1720"/>
      <c r="EA62" s="1720"/>
      <c r="EB62" s="1720"/>
      <c r="EC62" s="1720"/>
      <c r="ED62" s="1712"/>
      <c r="EE62" s="1712"/>
      <c r="EF62" s="1720"/>
      <c r="EG62" s="1712"/>
      <c r="EH62" s="1694"/>
      <c r="EI62" s="1720"/>
      <c r="EJ62" s="1720"/>
      <c r="EK62" s="1720"/>
      <c r="EL62" s="1720"/>
      <c r="EM62" s="1720"/>
      <c r="EN62" s="1693">
        <v>10395</v>
      </c>
      <c r="EO62" s="1720"/>
      <c r="EP62" s="1720"/>
      <c r="EQ62" s="1720"/>
      <c r="ER62" s="1712"/>
      <c r="ES62" s="1720"/>
      <c r="ET62" s="1720"/>
      <c r="EU62" s="1720"/>
      <c r="EV62" s="1691"/>
      <c r="EW62" s="1720"/>
      <c r="EX62" s="1720"/>
      <c r="EY62" s="1712"/>
      <c r="EZ62" s="1720"/>
      <c r="FA62" s="1720"/>
      <c r="FB62" s="1720"/>
      <c r="FC62" s="1720"/>
      <c r="FD62" s="1720"/>
      <c r="FE62" s="1712"/>
      <c r="FF62" s="1712"/>
      <c r="FG62" s="1712"/>
      <c r="FH62" s="1712"/>
      <c r="FI62" s="1712"/>
      <c r="FJ62" s="1712"/>
      <c r="FK62" s="1694">
        <v>37040</v>
      </c>
      <c r="FL62" s="1712"/>
      <c r="FM62" s="1712"/>
      <c r="FN62" s="1712"/>
      <c r="FO62" s="1712"/>
      <c r="FP62" s="1712"/>
      <c r="FQ62" s="1720"/>
      <c r="FR62" s="1720"/>
      <c r="FS62" s="1720"/>
      <c r="FT62" s="1720"/>
      <c r="FU62" s="1720"/>
      <c r="FV62" s="1720"/>
      <c r="FW62" s="1720"/>
      <c r="FX62" s="1720"/>
      <c r="FY62" s="1720"/>
      <c r="FZ62" s="1720"/>
      <c r="GA62" s="1720"/>
      <c r="GB62" s="1720"/>
      <c r="GC62" s="1720"/>
      <c r="GD62" s="1720"/>
      <c r="GE62" s="1720"/>
      <c r="GF62" s="1720"/>
      <c r="GG62" s="1720"/>
      <c r="GH62" s="1720"/>
      <c r="GI62" s="1720"/>
      <c r="GJ62" s="1720"/>
      <c r="GK62" s="1720"/>
      <c r="GL62" s="1720"/>
      <c r="GM62" s="1720"/>
      <c r="GN62" s="1720"/>
      <c r="GO62" s="1720"/>
      <c r="GP62" s="1720"/>
      <c r="GQ62" s="1720"/>
      <c r="GR62" s="1720"/>
      <c r="GS62" s="1720"/>
      <c r="GT62" s="1720"/>
      <c r="GU62" s="1712"/>
      <c r="GV62" s="1720"/>
      <c r="GW62" s="1720"/>
      <c r="GX62" s="1720"/>
      <c r="GY62" s="1720"/>
      <c r="GZ62" s="1720"/>
      <c r="HA62" s="1720"/>
      <c r="HB62" s="1691">
        <v>5000</v>
      </c>
      <c r="HC62" s="1720"/>
      <c r="HD62" s="1720"/>
      <c r="HE62" s="1720"/>
      <c r="HF62" s="1720"/>
      <c r="HG62" s="1712"/>
      <c r="HH62" s="1720"/>
      <c r="HI62" s="1712"/>
      <c r="HJ62" s="1712"/>
      <c r="HK62" s="1712"/>
      <c r="HL62" s="1712"/>
      <c r="HM62" s="1694">
        <v>18089</v>
      </c>
      <c r="HN62" s="1720"/>
      <c r="HO62" s="1720"/>
      <c r="HP62" s="1712"/>
      <c r="HQ62" s="1720"/>
      <c r="HR62" s="1720"/>
      <c r="HS62" s="1720"/>
      <c r="HT62" s="1720"/>
      <c r="HU62" s="1720"/>
      <c r="HV62" s="1720"/>
      <c r="HW62" s="1720"/>
      <c r="HX62" s="1720"/>
      <c r="HY62" s="1720"/>
      <c r="HZ62" s="1720"/>
      <c r="IA62" s="1720"/>
      <c r="IB62" s="1720"/>
      <c r="IC62" s="1720"/>
      <c r="ID62" s="1720"/>
      <c r="IE62" s="1720"/>
      <c r="IF62" s="1720"/>
      <c r="IG62" s="1720"/>
      <c r="IH62" s="1720"/>
      <c r="II62" s="1720"/>
      <c r="IJ62" s="1720"/>
      <c r="IK62" s="1720"/>
      <c r="IL62" s="1720"/>
      <c r="IM62" s="1720"/>
      <c r="IN62" s="1720"/>
      <c r="IO62" s="1720"/>
      <c r="IP62" s="1720"/>
      <c r="IQ62" s="1720"/>
      <c r="IR62" s="1720"/>
      <c r="IS62" s="1720"/>
      <c r="IT62" s="1720"/>
      <c r="IU62" s="1720"/>
      <c r="IV62" s="1720"/>
      <c r="IW62" s="1720"/>
      <c r="IX62" s="1694">
        <v>80784</v>
      </c>
      <c r="IY62" s="1720"/>
      <c r="IZ62" s="1712"/>
      <c r="JA62" s="1720"/>
      <c r="JB62" s="1720"/>
      <c r="JC62" s="1720"/>
      <c r="JD62" s="1720"/>
      <c r="JE62" s="1720"/>
      <c r="JF62" s="1720"/>
      <c r="JG62" s="1720"/>
      <c r="JH62" s="1720"/>
      <c r="JI62" s="1720"/>
      <c r="JJ62" s="1720"/>
      <c r="JK62" s="1720"/>
      <c r="JL62" s="1720"/>
      <c r="JM62" s="1720"/>
      <c r="JN62" s="1720"/>
      <c r="JO62" s="1720"/>
      <c r="JP62" s="1720"/>
      <c r="JQ62" s="1721"/>
      <c r="JR62" s="593"/>
      <c r="JS62" s="354" t="s">
        <v>4365</v>
      </c>
      <c r="JT62" s="355" t="s">
        <v>2242</v>
      </c>
      <c r="JU62" s="355" t="s">
        <v>4349</v>
      </c>
      <c r="JV62" s="598"/>
    </row>
    <row r="63" spans="1:282" x14ac:dyDescent="0.25">
      <c r="A63" s="1367">
        <v>62</v>
      </c>
      <c r="B63" s="1684" t="str">
        <f t="shared" si="6"/>
        <v/>
      </c>
      <c r="C63" s="1688" t="s">
        <v>4366</v>
      </c>
      <c r="D63" s="1360" t="s">
        <v>4367</v>
      </c>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A63" s="1720"/>
      <c r="AB63" s="1720"/>
      <c r="AC63" s="1720"/>
      <c r="AD63" s="1720"/>
      <c r="AE63" s="1720"/>
      <c r="AF63" s="1720"/>
      <c r="AG63" s="1720"/>
      <c r="AH63" s="1720"/>
      <c r="AI63" s="1712"/>
      <c r="AJ63" s="1720"/>
      <c r="AK63" s="1712"/>
      <c r="AL63" s="1720"/>
      <c r="AM63" s="1720"/>
      <c r="AN63" s="1720"/>
      <c r="AO63" s="1720"/>
      <c r="AP63" s="1720"/>
      <c r="AQ63" s="1720"/>
      <c r="AR63" s="1720"/>
      <c r="AS63" s="1720"/>
      <c r="AT63" s="1720"/>
      <c r="AU63" s="1712"/>
      <c r="AV63" s="1720"/>
      <c r="AW63" s="1720"/>
      <c r="AX63" s="1720"/>
      <c r="AY63" s="1720"/>
      <c r="AZ63" s="1720"/>
      <c r="BA63" s="1720"/>
      <c r="BB63" s="1712"/>
      <c r="BC63" s="1720"/>
      <c r="BD63" s="1712"/>
      <c r="BE63" s="1720"/>
      <c r="BF63" s="1720"/>
      <c r="BG63" s="1712"/>
      <c r="BH63" s="1720"/>
      <c r="BI63" s="1720"/>
      <c r="BJ63" s="1720"/>
      <c r="BK63" s="1720"/>
      <c r="BL63" s="1720"/>
      <c r="BM63" s="1720"/>
      <c r="BN63" s="1720"/>
      <c r="BO63" s="1720"/>
      <c r="BP63" s="1712"/>
      <c r="BQ63" s="1720"/>
      <c r="BR63" s="1720"/>
      <c r="BS63" s="1720"/>
      <c r="BT63" s="1712"/>
      <c r="BU63" s="1691"/>
      <c r="BV63" s="1720"/>
      <c r="BW63" s="1712"/>
      <c r="BX63" s="1720"/>
      <c r="BY63" s="1720"/>
      <c r="BZ63" s="1712"/>
      <c r="CA63" s="1720"/>
      <c r="CB63" s="1720"/>
      <c r="CC63" s="1720"/>
      <c r="CD63" s="1691"/>
      <c r="CE63" s="1720"/>
      <c r="CF63" s="1720"/>
      <c r="CG63" s="1720"/>
      <c r="CH63" s="1720"/>
      <c r="CI63" s="1720"/>
      <c r="CJ63" s="1720"/>
      <c r="CK63" s="1720"/>
      <c r="CL63" s="1720"/>
      <c r="CM63" s="1720"/>
      <c r="CN63" s="1720"/>
      <c r="CO63" s="1720"/>
      <c r="CP63" s="1720"/>
      <c r="CQ63" s="1720"/>
      <c r="CR63" s="1720"/>
      <c r="CS63" s="1720"/>
      <c r="CT63" s="1691"/>
      <c r="CU63" s="1720"/>
      <c r="CV63" s="1720"/>
      <c r="CW63" s="1720"/>
      <c r="CX63" s="1720"/>
      <c r="CY63" s="1720"/>
      <c r="CZ63" s="1720"/>
      <c r="DA63" s="1712"/>
      <c r="DB63" s="1720"/>
      <c r="DC63" s="1712"/>
      <c r="DD63" s="1720"/>
      <c r="DE63" s="1720"/>
      <c r="DF63" s="1720"/>
      <c r="DG63" s="1712"/>
      <c r="DH63" s="1720"/>
      <c r="DI63" s="1720"/>
      <c r="DJ63" s="1712"/>
      <c r="DK63" s="1720"/>
      <c r="DL63" s="1720"/>
      <c r="DM63" s="1712"/>
      <c r="DN63" s="1720"/>
      <c r="DO63" s="1712"/>
      <c r="DP63" s="1720"/>
      <c r="DQ63" s="1720"/>
      <c r="DR63" s="1720"/>
      <c r="DS63" s="1720"/>
      <c r="DT63" s="1720"/>
      <c r="DU63" s="1720"/>
      <c r="DV63" s="1720"/>
      <c r="DW63" s="1720"/>
      <c r="DX63" s="1720"/>
      <c r="DY63" s="1720"/>
      <c r="DZ63" s="1720"/>
      <c r="EA63" s="1720"/>
      <c r="EB63" s="1720"/>
      <c r="EC63" s="1720"/>
      <c r="ED63" s="1712"/>
      <c r="EE63" s="1712"/>
      <c r="EF63" s="1720"/>
      <c r="EG63" s="1712"/>
      <c r="EH63" s="1712"/>
      <c r="EI63" s="1720"/>
      <c r="EJ63" s="1720"/>
      <c r="EK63" s="1720"/>
      <c r="EL63" s="1720"/>
      <c r="EM63" s="1720"/>
      <c r="EN63" s="1693">
        <v>10395</v>
      </c>
      <c r="EO63" s="1720"/>
      <c r="EP63" s="1720"/>
      <c r="EQ63" s="1720"/>
      <c r="ER63" s="1712"/>
      <c r="ES63" s="1720"/>
      <c r="ET63" s="1720"/>
      <c r="EU63" s="1720"/>
      <c r="EV63" s="1691"/>
      <c r="EW63" s="1720"/>
      <c r="EX63" s="1720"/>
      <c r="EY63" s="1712"/>
      <c r="EZ63" s="1720"/>
      <c r="FA63" s="1720"/>
      <c r="FB63" s="1720"/>
      <c r="FC63" s="1720"/>
      <c r="FD63" s="1720"/>
      <c r="FE63" s="1712"/>
      <c r="FF63" s="1712"/>
      <c r="FG63" s="1712"/>
      <c r="FH63" s="1712"/>
      <c r="FI63" s="1712"/>
      <c r="FJ63" s="1712"/>
      <c r="FK63" s="1694">
        <v>37040</v>
      </c>
      <c r="FL63" s="1712"/>
      <c r="FM63" s="1712"/>
      <c r="FN63" s="1712"/>
      <c r="FO63" s="1712"/>
      <c r="FP63" s="1712"/>
      <c r="FQ63" s="1720"/>
      <c r="FR63" s="1720"/>
      <c r="FS63" s="1720"/>
      <c r="FT63" s="1720"/>
      <c r="FU63" s="1720"/>
      <c r="FV63" s="1720"/>
      <c r="FW63" s="1720"/>
      <c r="FX63" s="1720"/>
      <c r="FY63" s="1720"/>
      <c r="FZ63" s="1720"/>
      <c r="GA63" s="1720"/>
      <c r="GB63" s="1720"/>
      <c r="GC63" s="1720"/>
      <c r="GD63" s="1720"/>
      <c r="GE63" s="1720"/>
      <c r="GF63" s="1720"/>
      <c r="GG63" s="1720"/>
      <c r="GH63" s="1720"/>
      <c r="GI63" s="1720"/>
      <c r="GJ63" s="1720"/>
      <c r="GK63" s="1720"/>
      <c r="GL63" s="1720"/>
      <c r="GM63" s="1720"/>
      <c r="GN63" s="1720"/>
      <c r="GO63" s="1720"/>
      <c r="GP63" s="1720"/>
      <c r="GQ63" s="1720"/>
      <c r="GR63" s="1720"/>
      <c r="GS63" s="1720"/>
      <c r="GT63" s="1720"/>
      <c r="GU63" s="1712"/>
      <c r="GV63" s="1720"/>
      <c r="GW63" s="1720"/>
      <c r="GX63" s="1720"/>
      <c r="GY63" s="1720"/>
      <c r="GZ63" s="1720"/>
      <c r="HA63" s="1720"/>
      <c r="HB63" s="1712"/>
      <c r="HC63" s="1720"/>
      <c r="HD63" s="1720"/>
      <c r="HE63" s="1720"/>
      <c r="HF63" s="1720"/>
      <c r="HG63" s="1712"/>
      <c r="HH63" s="1720"/>
      <c r="HI63" s="1712"/>
      <c r="HJ63" s="1712"/>
      <c r="HK63" s="1712"/>
      <c r="HL63" s="1712"/>
      <c r="HM63" s="1694">
        <v>18089</v>
      </c>
      <c r="HN63" s="1720"/>
      <c r="HO63" s="1720"/>
      <c r="HP63" s="1712"/>
      <c r="HQ63" s="1720"/>
      <c r="HR63" s="1720"/>
      <c r="HS63" s="1720"/>
      <c r="HT63" s="1720"/>
      <c r="HU63" s="1720"/>
      <c r="HV63" s="1720"/>
      <c r="HW63" s="1720"/>
      <c r="HX63" s="1720"/>
      <c r="HY63" s="1720"/>
      <c r="HZ63" s="1720"/>
      <c r="IA63" s="1720"/>
      <c r="IB63" s="1720"/>
      <c r="IC63" s="1720"/>
      <c r="ID63" s="1720"/>
      <c r="IE63" s="1720"/>
      <c r="IF63" s="1720"/>
      <c r="IG63" s="1720"/>
      <c r="IH63" s="1720"/>
      <c r="II63" s="1720"/>
      <c r="IJ63" s="1720"/>
      <c r="IK63" s="1720"/>
      <c r="IL63" s="1720"/>
      <c r="IM63" s="1720"/>
      <c r="IN63" s="1720"/>
      <c r="IO63" s="1720"/>
      <c r="IP63" s="1720"/>
      <c r="IQ63" s="1720"/>
      <c r="IR63" s="1720"/>
      <c r="IS63" s="1720"/>
      <c r="IT63" s="1720"/>
      <c r="IU63" s="1720"/>
      <c r="IV63" s="1720"/>
      <c r="IW63" s="1720"/>
      <c r="IX63" s="1694">
        <v>80784</v>
      </c>
      <c r="IY63" s="1720"/>
      <c r="IZ63" s="1712"/>
      <c r="JA63" s="1720"/>
      <c r="JB63" s="1720"/>
      <c r="JC63" s="1720"/>
      <c r="JD63" s="1720"/>
      <c r="JE63" s="1720"/>
      <c r="JF63" s="1720"/>
      <c r="JG63" s="1720"/>
      <c r="JH63" s="1720"/>
      <c r="JI63" s="1720"/>
      <c r="JJ63" s="1720"/>
      <c r="JK63" s="1720"/>
      <c r="JL63" s="1720"/>
      <c r="JM63" s="1720"/>
      <c r="JN63" s="1720"/>
      <c r="JO63" s="1720"/>
      <c r="JP63" s="1720"/>
      <c r="JQ63" s="1721"/>
      <c r="JR63" s="593"/>
      <c r="JS63" s="354" t="s">
        <v>4368</v>
      </c>
      <c r="JT63" s="355" t="s">
        <v>2242</v>
      </c>
      <c r="JU63" s="598"/>
      <c r="JV63" s="355" t="s">
        <v>4369</v>
      </c>
    </row>
    <row r="64" spans="1:282" ht="20" x14ac:dyDescent="0.25">
      <c r="A64" s="1367">
        <v>63</v>
      </c>
      <c r="B64" s="1684" t="str">
        <f t="shared" si="6"/>
        <v/>
      </c>
      <c r="C64" s="1688" t="s">
        <v>4370</v>
      </c>
      <c r="D64" s="1360" t="str">
        <f>"Losses used against income – amount claimed against "&amp;last_year&amp;" income"</f>
        <v>Losses used against income – amount claimed against 2024-25 income</v>
      </c>
      <c r="E64" s="1686"/>
      <c r="F64" s="1686"/>
      <c r="G64" s="1686"/>
      <c r="H64" s="1686"/>
      <c r="I64" s="1686"/>
      <c r="J64" s="1686"/>
      <c r="K64" s="1686"/>
      <c r="L64" s="1686"/>
      <c r="M64" s="1686"/>
      <c r="N64" s="1686"/>
      <c r="O64" s="1686"/>
      <c r="P64" s="1686"/>
      <c r="Q64" s="1686"/>
      <c r="R64" s="1686"/>
      <c r="S64" s="1686"/>
      <c r="T64" s="1686"/>
      <c r="U64" s="1686"/>
      <c r="V64" s="1686"/>
      <c r="W64" s="1686"/>
      <c r="X64" s="1686"/>
      <c r="Y64" s="1686"/>
      <c r="Z64" s="1686"/>
      <c r="AA64" s="1686"/>
      <c r="AB64" s="1686"/>
      <c r="AC64" s="1686"/>
      <c r="AD64" s="1686"/>
      <c r="AE64" s="1686"/>
      <c r="AF64" s="1686"/>
      <c r="AG64" s="1686"/>
      <c r="AH64" s="1686"/>
      <c r="AI64" s="1712"/>
      <c r="AJ64" s="1686"/>
      <c r="AK64" s="1712"/>
      <c r="AL64" s="1686"/>
      <c r="AM64" s="1686"/>
      <c r="AN64" s="1686"/>
      <c r="AO64" s="1686"/>
      <c r="AP64" s="1686"/>
      <c r="AQ64" s="1686"/>
      <c r="AR64" s="1686"/>
      <c r="AS64" s="1686"/>
      <c r="AT64" s="1686"/>
      <c r="AU64" s="1691"/>
      <c r="AV64" s="1686"/>
      <c r="AW64" s="1686"/>
      <c r="AX64" s="1686"/>
      <c r="AY64" s="1686"/>
      <c r="AZ64" s="1686"/>
      <c r="BA64" s="1686"/>
      <c r="BB64" s="1691"/>
      <c r="BC64" s="1686"/>
      <c r="BD64" s="1691"/>
      <c r="BE64" s="1686"/>
      <c r="BF64" s="1686"/>
      <c r="BG64" s="1691"/>
      <c r="BH64" s="1686"/>
      <c r="BI64" s="1686"/>
      <c r="BJ64" s="1686"/>
      <c r="BK64" s="1686"/>
      <c r="BL64" s="1686"/>
      <c r="BM64" s="1686"/>
      <c r="BN64" s="1686"/>
      <c r="BO64" s="1686"/>
      <c r="BP64" s="1691"/>
      <c r="BQ64" s="1686"/>
      <c r="BR64" s="1686"/>
      <c r="BS64" s="1686"/>
      <c r="BT64" s="1691"/>
      <c r="BU64" s="1691"/>
      <c r="BV64" s="1686"/>
      <c r="BW64" s="1691"/>
      <c r="BX64" s="1686"/>
      <c r="BY64" s="1686"/>
      <c r="BZ64" s="1691"/>
      <c r="CA64" s="1686"/>
      <c r="CB64" s="1686"/>
      <c r="CC64" s="1686"/>
      <c r="CD64" s="1691"/>
      <c r="CE64" s="1686"/>
      <c r="CF64" s="1686"/>
      <c r="CG64" s="1686"/>
      <c r="CH64" s="1686"/>
      <c r="CI64" s="1686"/>
      <c r="CJ64" s="1686"/>
      <c r="CK64" s="1686"/>
      <c r="CL64" s="1686"/>
      <c r="CM64" s="1686"/>
      <c r="CN64" s="1686"/>
      <c r="CO64" s="1686"/>
      <c r="CP64" s="1686"/>
      <c r="CQ64" s="1686"/>
      <c r="CR64" s="1686"/>
      <c r="CS64" s="1686"/>
      <c r="CT64" s="1691"/>
      <c r="CU64" s="1686"/>
      <c r="CV64" s="1686"/>
      <c r="CW64" s="1686"/>
      <c r="CX64" s="1686"/>
      <c r="CY64" s="1686"/>
      <c r="CZ64" s="1686"/>
      <c r="DA64" s="1691"/>
      <c r="DB64" s="1686"/>
      <c r="DC64" s="1691"/>
      <c r="DD64" s="1686"/>
      <c r="DE64" s="1686"/>
      <c r="DF64" s="1686"/>
      <c r="DG64" s="1691"/>
      <c r="DH64" s="1686"/>
      <c r="DI64" s="1686"/>
      <c r="DJ64" s="1712"/>
      <c r="DK64" s="1686"/>
      <c r="DL64" s="1686"/>
      <c r="DM64" s="1712"/>
      <c r="DN64" s="1686"/>
      <c r="DO64" s="1691"/>
      <c r="DP64" s="1686"/>
      <c r="DQ64" s="1686"/>
      <c r="DR64" s="1686"/>
      <c r="DS64" s="1686"/>
      <c r="DT64" s="1686"/>
      <c r="DU64" s="1686"/>
      <c r="DV64" s="1686"/>
      <c r="DW64" s="1686"/>
      <c r="DX64" s="1686"/>
      <c r="DY64" s="1686"/>
      <c r="DZ64" s="1686"/>
      <c r="EA64" s="1686"/>
      <c r="EB64" s="1686"/>
      <c r="EC64" s="1686"/>
      <c r="ED64" s="1691"/>
      <c r="EE64" s="1691"/>
      <c r="EF64" s="1686"/>
      <c r="EG64" s="1691"/>
      <c r="EH64" s="1691"/>
      <c r="EI64" s="1686"/>
      <c r="EJ64" s="1686"/>
      <c r="EK64" s="1686"/>
      <c r="EL64" s="1686"/>
      <c r="EM64" s="1686"/>
      <c r="EN64" s="1686"/>
      <c r="EO64" s="1686"/>
      <c r="EP64" s="1686"/>
      <c r="EQ64" s="1686"/>
      <c r="ER64" s="1691"/>
      <c r="ES64" s="1686"/>
      <c r="ET64" s="1686"/>
      <c r="EU64" s="1686"/>
      <c r="EV64" s="1691"/>
      <c r="EW64" s="1686"/>
      <c r="EX64" s="1686"/>
      <c r="EY64" s="1712"/>
      <c r="EZ64" s="1686"/>
      <c r="FA64" s="1686"/>
      <c r="FB64" s="1686"/>
      <c r="FC64" s="1686"/>
      <c r="FD64" s="1686"/>
      <c r="FE64" s="1691"/>
      <c r="FF64" s="1691"/>
      <c r="FG64" s="1691"/>
      <c r="FH64" s="1691"/>
      <c r="FI64" s="1691"/>
      <c r="FJ64" s="1691"/>
      <c r="FK64" s="1691"/>
      <c r="FL64" s="1712"/>
      <c r="FM64" s="1712"/>
      <c r="FN64" s="1691"/>
      <c r="FO64" s="1691"/>
      <c r="FP64" s="1691"/>
      <c r="FQ64" s="1686"/>
      <c r="FR64" s="1686"/>
      <c r="FS64" s="1686"/>
      <c r="FT64" s="1686"/>
      <c r="FU64" s="1686"/>
      <c r="FV64" s="1686"/>
      <c r="FW64" s="1686"/>
      <c r="FX64" s="1686"/>
      <c r="FY64" s="1686"/>
      <c r="FZ64" s="1686"/>
      <c r="GA64" s="1686"/>
      <c r="GB64" s="1686"/>
      <c r="GC64" s="1686"/>
      <c r="GD64" s="1686"/>
      <c r="GE64" s="1686"/>
      <c r="GF64" s="1686"/>
      <c r="GG64" s="1686"/>
      <c r="GH64" s="1686"/>
      <c r="GI64" s="1686"/>
      <c r="GJ64" s="1686"/>
      <c r="GK64" s="1686"/>
      <c r="GL64" s="1686"/>
      <c r="GM64" s="1686"/>
      <c r="GN64" s="1686"/>
      <c r="GO64" s="1686"/>
      <c r="GP64" s="1686"/>
      <c r="GQ64" s="1686"/>
      <c r="GR64" s="1686"/>
      <c r="GS64" s="1686"/>
      <c r="GT64" s="1686"/>
      <c r="GU64" s="1691"/>
      <c r="GV64" s="1686"/>
      <c r="GW64" s="1686"/>
      <c r="GX64" s="1686"/>
      <c r="GY64" s="1686"/>
      <c r="GZ64" s="1686"/>
      <c r="HA64" s="1686"/>
      <c r="HB64" s="1691"/>
      <c r="HC64" s="1686"/>
      <c r="HD64" s="1686"/>
      <c r="HE64" s="1686"/>
      <c r="HF64" s="1686"/>
      <c r="HG64" s="1691"/>
      <c r="HH64" s="1686"/>
      <c r="HI64" s="1691"/>
      <c r="HJ64" s="1691"/>
      <c r="HK64" s="1691"/>
      <c r="HL64" s="1691"/>
      <c r="HM64" s="1691"/>
      <c r="HN64" s="1686"/>
      <c r="HO64" s="1686"/>
      <c r="HP64" s="1691"/>
      <c r="HQ64" s="1686"/>
      <c r="HR64" s="1686"/>
      <c r="HS64" s="1686"/>
      <c r="HT64" s="1686"/>
      <c r="HU64" s="1686"/>
      <c r="HV64" s="1686"/>
      <c r="HW64" s="1686"/>
      <c r="HX64" s="1686"/>
      <c r="HY64" s="1686"/>
      <c r="HZ64" s="1686"/>
      <c r="IA64" s="1686"/>
      <c r="IB64" s="1686"/>
      <c r="IC64" s="1686"/>
      <c r="ID64" s="1686"/>
      <c r="IE64" s="1686"/>
      <c r="IF64" s="1686"/>
      <c r="IG64" s="1686"/>
      <c r="IH64" s="1686"/>
      <c r="II64" s="1686"/>
      <c r="IJ64" s="1686"/>
      <c r="IK64" s="1686"/>
      <c r="IL64" s="1686"/>
      <c r="IM64" s="1686"/>
      <c r="IN64" s="1686"/>
      <c r="IO64" s="1686"/>
      <c r="IP64" s="1686"/>
      <c r="IQ64" s="1686"/>
      <c r="IR64" s="1686"/>
      <c r="IS64" s="1686"/>
      <c r="IT64" s="1686"/>
      <c r="IU64" s="1686"/>
      <c r="IV64" s="1686"/>
      <c r="IW64" s="1686"/>
      <c r="IX64" s="1712"/>
      <c r="IY64" s="1686"/>
      <c r="IZ64" s="1712"/>
      <c r="JA64" s="1686"/>
      <c r="JB64" s="1686"/>
      <c r="JC64" s="1686"/>
      <c r="JD64" s="1686"/>
      <c r="JE64" s="1686"/>
      <c r="JF64" s="1686"/>
      <c r="JG64" s="1686"/>
      <c r="JH64" s="1686"/>
      <c r="JI64" s="1686"/>
      <c r="JJ64" s="1686"/>
      <c r="JK64" s="1686"/>
      <c r="JL64" s="1686"/>
      <c r="JM64" s="1686"/>
      <c r="JN64" s="1686"/>
      <c r="JO64" s="1686"/>
      <c r="JP64" s="1686"/>
      <c r="JQ64" s="1724"/>
      <c r="JR64" s="593"/>
      <c r="JS64" s="354" t="s">
        <v>4371</v>
      </c>
      <c r="JT64" s="355" t="s">
        <v>2242</v>
      </c>
      <c r="JU64" s="355" t="s">
        <v>4349</v>
      </c>
      <c r="JV64" s="355"/>
    </row>
    <row r="65" spans="1:282" x14ac:dyDescent="0.25">
      <c r="A65" s="1367">
        <v>64</v>
      </c>
      <c r="B65" s="1684" t="str">
        <f t="shared" si="6"/>
        <v/>
      </c>
      <c r="C65" s="1688" t="s">
        <v>4372</v>
      </c>
      <c r="D65" s="1360" t="s">
        <v>4373</v>
      </c>
      <c r="E65" s="1686"/>
      <c r="F65" s="1686"/>
      <c r="G65" s="1686"/>
      <c r="H65" s="1686"/>
      <c r="I65" s="1686"/>
      <c r="J65" s="1686"/>
      <c r="K65" s="1686"/>
      <c r="L65" s="1686"/>
      <c r="M65" s="1686"/>
      <c r="N65" s="1686"/>
      <c r="O65" s="1686"/>
      <c r="P65" s="1686"/>
      <c r="Q65" s="1686"/>
      <c r="R65" s="1686"/>
      <c r="S65" s="1686"/>
      <c r="T65" s="1686"/>
      <c r="U65" s="1686"/>
      <c r="V65" s="1686"/>
      <c r="W65" s="1686"/>
      <c r="X65" s="1686"/>
      <c r="Y65" s="1686"/>
      <c r="Z65" s="1686"/>
      <c r="AA65" s="1686"/>
      <c r="AB65" s="1686"/>
      <c r="AC65" s="1686"/>
      <c r="AD65" s="1686"/>
      <c r="AE65" s="1686"/>
      <c r="AF65" s="1686"/>
      <c r="AG65" s="1686"/>
      <c r="AH65" s="1686"/>
      <c r="AI65" s="1712"/>
      <c r="AJ65" s="1686"/>
      <c r="AK65" s="1712"/>
      <c r="AL65" s="1686"/>
      <c r="AM65" s="1686"/>
      <c r="AN65" s="1686"/>
      <c r="AO65" s="1686"/>
      <c r="AP65" s="1686"/>
      <c r="AQ65" s="1686"/>
      <c r="AR65" s="1686"/>
      <c r="AS65" s="1686"/>
      <c r="AT65" s="1686"/>
      <c r="AU65" s="1691"/>
      <c r="AV65" s="1686"/>
      <c r="AW65" s="1686"/>
      <c r="AX65" s="1686"/>
      <c r="AY65" s="1686"/>
      <c r="AZ65" s="1686"/>
      <c r="BA65" s="1686"/>
      <c r="BB65" s="1691"/>
      <c r="BC65" s="1686"/>
      <c r="BD65" s="1691"/>
      <c r="BE65" s="1686"/>
      <c r="BF65" s="1686"/>
      <c r="BG65" s="1691"/>
      <c r="BH65" s="1686"/>
      <c r="BI65" s="1686"/>
      <c r="BJ65" s="1686"/>
      <c r="BK65" s="1686"/>
      <c r="BL65" s="1686"/>
      <c r="BM65" s="1686"/>
      <c r="BN65" s="1686"/>
      <c r="BO65" s="1686"/>
      <c r="BP65" s="1691"/>
      <c r="BQ65" s="1686"/>
      <c r="BR65" s="1686"/>
      <c r="BS65" s="1686"/>
      <c r="BT65" s="1691"/>
      <c r="BU65" s="1691"/>
      <c r="BV65" s="1686"/>
      <c r="BW65" s="1691"/>
      <c r="BX65" s="1686"/>
      <c r="BY65" s="1686"/>
      <c r="BZ65" s="1691"/>
      <c r="CA65" s="1686"/>
      <c r="CB65" s="1686"/>
      <c r="CC65" s="1686"/>
      <c r="CD65" s="1691"/>
      <c r="CE65" s="1686"/>
      <c r="CF65" s="1686"/>
      <c r="CG65" s="1686"/>
      <c r="CH65" s="1686"/>
      <c r="CI65" s="1686"/>
      <c r="CJ65" s="1686"/>
      <c r="CK65" s="1686"/>
      <c r="CL65" s="1686"/>
      <c r="CM65" s="1686"/>
      <c r="CN65" s="1686"/>
      <c r="CO65" s="1686"/>
      <c r="CP65" s="1686"/>
      <c r="CQ65" s="1686"/>
      <c r="CR65" s="1686"/>
      <c r="CS65" s="1686"/>
      <c r="CT65" s="1691"/>
      <c r="CU65" s="1686"/>
      <c r="CV65" s="1686"/>
      <c r="CW65" s="1686"/>
      <c r="CX65" s="1686"/>
      <c r="CY65" s="1686"/>
      <c r="CZ65" s="1686"/>
      <c r="DA65" s="1691"/>
      <c r="DB65" s="1686"/>
      <c r="DC65" s="1691"/>
      <c r="DD65" s="1686"/>
      <c r="DE65" s="1686"/>
      <c r="DF65" s="1686"/>
      <c r="DG65" s="1691"/>
      <c r="DH65" s="1686"/>
      <c r="DI65" s="1686"/>
      <c r="DJ65" s="1712"/>
      <c r="DK65" s="1686"/>
      <c r="DL65" s="1686"/>
      <c r="DM65" s="1712"/>
      <c r="DN65" s="1686"/>
      <c r="DO65" s="1691"/>
      <c r="DP65" s="1686"/>
      <c r="DQ65" s="1686"/>
      <c r="DR65" s="1686"/>
      <c r="DS65" s="1686"/>
      <c r="DT65" s="1686"/>
      <c r="DU65" s="1686"/>
      <c r="DV65" s="1686"/>
      <c r="DW65" s="1686"/>
      <c r="DX65" s="1686"/>
      <c r="DY65" s="1686"/>
      <c r="DZ65" s="1686"/>
      <c r="EA65" s="1686"/>
      <c r="EB65" s="1686"/>
      <c r="EC65" s="1686"/>
      <c r="ED65" s="1691"/>
      <c r="EE65" s="1691"/>
      <c r="EF65" s="1686"/>
      <c r="EG65" s="1691"/>
      <c r="EH65" s="1691"/>
      <c r="EI65" s="1686"/>
      <c r="EJ65" s="1686"/>
      <c r="EK65" s="1686"/>
      <c r="EL65" s="1686"/>
      <c r="EM65" s="1686"/>
      <c r="EN65" s="1686"/>
      <c r="EO65" s="1686"/>
      <c r="EP65" s="1686"/>
      <c r="EQ65" s="1686"/>
      <c r="ER65" s="1691"/>
      <c r="ES65" s="1686"/>
      <c r="ET65" s="1686"/>
      <c r="EU65" s="1686"/>
      <c r="EV65" s="1691"/>
      <c r="EW65" s="1686"/>
      <c r="EX65" s="1686"/>
      <c r="EY65" s="1712"/>
      <c r="EZ65" s="1686"/>
      <c r="FA65" s="1686"/>
      <c r="FB65" s="1686"/>
      <c r="FC65" s="1686"/>
      <c r="FD65" s="1686"/>
      <c r="FE65" s="1691"/>
      <c r="FF65" s="1691"/>
      <c r="FG65" s="1691"/>
      <c r="FH65" s="1691"/>
      <c r="FI65" s="1691"/>
      <c r="FJ65" s="1691"/>
      <c r="FK65" s="1691"/>
      <c r="FL65" s="1712"/>
      <c r="FM65" s="1712"/>
      <c r="FN65" s="1691"/>
      <c r="FO65" s="1691"/>
      <c r="FP65" s="1691"/>
      <c r="FQ65" s="1686"/>
      <c r="FR65" s="1686"/>
      <c r="FS65" s="1686"/>
      <c r="FT65" s="1686"/>
      <c r="FU65" s="1686"/>
      <c r="FV65" s="1686"/>
      <c r="FW65" s="1686"/>
      <c r="FX65" s="1686"/>
      <c r="FY65" s="1686"/>
      <c r="FZ65" s="1686"/>
      <c r="GA65" s="1686"/>
      <c r="GB65" s="1686"/>
      <c r="GC65" s="1686"/>
      <c r="GD65" s="1686"/>
      <c r="GE65" s="1686"/>
      <c r="GF65" s="1686"/>
      <c r="GG65" s="1686"/>
      <c r="GH65" s="1686"/>
      <c r="GI65" s="1686"/>
      <c r="GJ65" s="1686"/>
      <c r="GK65" s="1686"/>
      <c r="GL65" s="1686"/>
      <c r="GM65" s="1686"/>
      <c r="GN65" s="1686"/>
      <c r="GO65" s="1686"/>
      <c r="GP65" s="1686"/>
      <c r="GQ65" s="1686"/>
      <c r="GR65" s="1686"/>
      <c r="GS65" s="1686"/>
      <c r="GT65" s="1686"/>
      <c r="GU65" s="1691"/>
      <c r="GV65" s="1686"/>
      <c r="GW65" s="1686"/>
      <c r="GX65" s="1686"/>
      <c r="GY65" s="1686"/>
      <c r="GZ65" s="1686"/>
      <c r="HA65" s="1686"/>
      <c r="HB65" s="1691"/>
      <c r="HC65" s="1686"/>
      <c r="HD65" s="1686"/>
      <c r="HE65" s="1686"/>
      <c r="HF65" s="1686"/>
      <c r="HG65" s="1691"/>
      <c r="HH65" s="1686"/>
      <c r="HI65" s="1691"/>
      <c r="HJ65" s="1691"/>
      <c r="HK65" s="1691"/>
      <c r="HL65" s="1691"/>
      <c r="HM65" s="1691"/>
      <c r="HN65" s="1686"/>
      <c r="HO65" s="1686"/>
      <c r="HP65" s="1691"/>
      <c r="HQ65" s="1686"/>
      <c r="HR65" s="1686"/>
      <c r="HS65" s="1686"/>
      <c r="HT65" s="1686"/>
      <c r="HU65" s="1686"/>
      <c r="HV65" s="1686"/>
      <c r="HW65" s="1686"/>
      <c r="HX65" s="1686"/>
      <c r="HY65" s="1686"/>
      <c r="HZ65" s="1686"/>
      <c r="IA65" s="1686"/>
      <c r="IB65" s="1686"/>
      <c r="IC65" s="1686"/>
      <c r="ID65" s="1686"/>
      <c r="IE65" s="1686"/>
      <c r="IF65" s="1686"/>
      <c r="IG65" s="1686"/>
      <c r="IH65" s="1686"/>
      <c r="II65" s="1686"/>
      <c r="IJ65" s="1686"/>
      <c r="IK65" s="1686"/>
      <c r="IL65" s="1686"/>
      <c r="IM65" s="1686"/>
      <c r="IN65" s="1686"/>
      <c r="IO65" s="1686"/>
      <c r="IP65" s="1686"/>
      <c r="IQ65" s="1686"/>
      <c r="IR65" s="1686"/>
      <c r="IS65" s="1686"/>
      <c r="IT65" s="1686"/>
      <c r="IU65" s="1686"/>
      <c r="IV65" s="1686"/>
      <c r="IW65" s="1686"/>
      <c r="IX65" s="1712"/>
      <c r="IY65" s="1686"/>
      <c r="IZ65" s="1712"/>
      <c r="JA65" s="1686"/>
      <c r="JB65" s="1686"/>
      <c r="JC65" s="1686"/>
      <c r="JD65" s="1686"/>
      <c r="JE65" s="1686"/>
      <c r="JF65" s="1686"/>
      <c r="JG65" s="1686"/>
      <c r="JH65" s="1686"/>
      <c r="JI65" s="1686"/>
      <c r="JJ65" s="1686"/>
      <c r="JK65" s="1686"/>
      <c r="JL65" s="1686"/>
      <c r="JM65" s="1686"/>
      <c r="JN65" s="1686"/>
      <c r="JO65" s="1686"/>
      <c r="JP65" s="1686"/>
      <c r="JQ65" s="1724"/>
      <c r="JR65" s="593"/>
      <c r="JS65" s="354" t="s">
        <v>4374</v>
      </c>
      <c r="JT65" s="355" t="s">
        <v>2242</v>
      </c>
      <c r="JU65" s="598"/>
      <c r="JV65" s="355" t="s">
        <v>4375</v>
      </c>
    </row>
    <row r="66" spans="1:282" x14ac:dyDescent="0.25">
      <c r="A66" s="1367">
        <v>65</v>
      </c>
      <c r="B66" s="1684" t="str">
        <f t="shared" si="6"/>
        <v/>
      </c>
      <c r="C66" s="1688" t="s">
        <v>4376</v>
      </c>
      <c r="D66" s="1360" t="s">
        <v>4377</v>
      </c>
      <c r="E66" s="1686"/>
      <c r="F66" s="1686"/>
      <c r="G66" s="1686"/>
      <c r="H66" s="1686"/>
      <c r="I66" s="1686"/>
      <c r="J66" s="1686"/>
      <c r="K66" s="1686"/>
      <c r="L66" s="1686"/>
      <c r="M66" s="1686"/>
      <c r="N66" s="1686"/>
      <c r="O66" s="1686"/>
      <c r="P66" s="1686"/>
      <c r="Q66" s="1686"/>
      <c r="R66" s="1686"/>
      <c r="S66" s="1686"/>
      <c r="T66" s="1686"/>
      <c r="U66" s="1686"/>
      <c r="V66" s="1686"/>
      <c r="W66" s="1686"/>
      <c r="X66" s="1686"/>
      <c r="Y66" s="1686"/>
      <c r="Z66" s="1686"/>
      <c r="AA66" s="1686"/>
      <c r="AB66" s="1686"/>
      <c r="AC66" s="1686"/>
      <c r="AD66" s="1686"/>
      <c r="AE66" s="1686"/>
      <c r="AF66" s="1686"/>
      <c r="AG66" s="1686"/>
      <c r="AH66" s="1686"/>
      <c r="AI66" s="1691"/>
      <c r="AJ66" s="1686"/>
      <c r="AK66" s="1691"/>
      <c r="AL66" s="1686"/>
      <c r="AM66" s="1686"/>
      <c r="AN66" s="1686"/>
      <c r="AO66" s="1686"/>
      <c r="AP66" s="1686"/>
      <c r="AQ66" s="1686"/>
      <c r="AR66" s="1686"/>
      <c r="AS66" s="1686"/>
      <c r="AT66" s="1686"/>
      <c r="AU66" s="1691"/>
      <c r="AV66" s="1686"/>
      <c r="AW66" s="1686"/>
      <c r="AX66" s="1686"/>
      <c r="AY66" s="1686"/>
      <c r="AZ66" s="1686"/>
      <c r="BA66" s="1686"/>
      <c r="BB66" s="1691"/>
      <c r="BC66" s="1686"/>
      <c r="BD66" s="1691">
        <v>9000</v>
      </c>
      <c r="BE66" s="1686"/>
      <c r="BF66" s="1686"/>
      <c r="BG66" s="1694">
        <v>15587</v>
      </c>
      <c r="BH66" s="1686"/>
      <c r="BI66" s="1686"/>
      <c r="BJ66" s="1686"/>
      <c r="BK66" s="1686"/>
      <c r="BL66" s="1686"/>
      <c r="BM66" s="1686"/>
      <c r="BN66" s="1686"/>
      <c r="BO66" s="1686"/>
      <c r="BP66" s="1694">
        <v>1649</v>
      </c>
      <c r="BQ66" s="1686"/>
      <c r="BR66" s="1686"/>
      <c r="BS66" s="1686"/>
      <c r="BT66" s="1694">
        <v>15991</v>
      </c>
      <c r="BU66" s="1691"/>
      <c r="BV66" s="1686"/>
      <c r="BW66" s="1691">
        <v>9000</v>
      </c>
      <c r="BX66" s="1686"/>
      <c r="BY66" s="1686"/>
      <c r="BZ66" s="1694"/>
      <c r="CA66" s="1686"/>
      <c r="CB66" s="1686"/>
      <c r="CC66" s="1686"/>
      <c r="CD66" s="1691"/>
      <c r="CE66" s="1686"/>
      <c r="CF66" s="1686"/>
      <c r="CG66" s="1686"/>
      <c r="CH66" s="1686"/>
      <c r="CI66" s="1686"/>
      <c r="CJ66" s="1686"/>
      <c r="CK66" s="1686"/>
      <c r="CL66" s="1686"/>
      <c r="CM66" s="1686"/>
      <c r="CN66" s="1686"/>
      <c r="CO66" s="1686"/>
      <c r="CP66" s="1686"/>
      <c r="CQ66" s="1686"/>
      <c r="CR66" s="1686"/>
      <c r="CS66" s="1686"/>
      <c r="CT66" s="1691"/>
      <c r="CU66" s="1686"/>
      <c r="CV66" s="1686"/>
      <c r="CW66" s="1686"/>
      <c r="CX66" s="1686"/>
      <c r="CY66" s="1686"/>
      <c r="CZ66" s="1686"/>
      <c r="DA66" s="1694">
        <v>318609</v>
      </c>
      <c r="DB66" s="1686"/>
      <c r="DC66" s="1691"/>
      <c r="DD66" s="1686"/>
      <c r="DE66" s="1686"/>
      <c r="DF66" s="1686"/>
      <c r="DG66" s="1691"/>
      <c r="DH66" s="1686"/>
      <c r="DI66" s="1686"/>
      <c r="DJ66" s="1694">
        <v>157793</v>
      </c>
      <c r="DK66" s="1686"/>
      <c r="DL66" s="1686"/>
      <c r="DM66" s="1691"/>
      <c r="DN66" s="1686"/>
      <c r="DO66" s="1691"/>
      <c r="DP66" s="1686"/>
      <c r="DQ66" s="1686"/>
      <c r="DR66" s="1686"/>
      <c r="DS66" s="1686"/>
      <c r="DT66" s="1686"/>
      <c r="DU66" s="1686"/>
      <c r="DV66" s="1686"/>
      <c r="DW66" s="1693">
        <v>12727</v>
      </c>
      <c r="DX66" s="1686"/>
      <c r="DY66" s="1686"/>
      <c r="DZ66" s="1686"/>
      <c r="EA66" s="1686"/>
      <c r="EB66" s="1686"/>
      <c r="EC66" s="1686"/>
      <c r="ED66" s="1691"/>
      <c r="EE66" s="1691"/>
      <c r="EF66" s="1686"/>
      <c r="EG66" s="1691"/>
      <c r="EH66" s="1694">
        <v>12400</v>
      </c>
      <c r="EI66" s="1686"/>
      <c r="EJ66" s="1686"/>
      <c r="EK66" s="1686"/>
      <c r="EL66" s="1686"/>
      <c r="EM66" s="1693">
        <v>313481</v>
      </c>
      <c r="EN66" s="1693">
        <v>146821</v>
      </c>
      <c r="EO66" s="1686"/>
      <c r="EP66" s="1686"/>
      <c r="EQ66" s="1686"/>
      <c r="ER66" s="1694">
        <v>35828</v>
      </c>
      <c r="ES66" s="1686"/>
      <c r="ET66" s="1686"/>
      <c r="EU66" s="1686"/>
      <c r="EV66" s="1691"/>
      <c r="EW66" s="1693">
        <v>35406</v>
      </c>
      <c r="EX66" s="1686"/>
      <c r="EY66" s="1691"/>
      <c r="EZ66" s="1686"/>
      <c r="FA66" s="1686"/>
      <c r="FB66" s="1686"/>
      <c r="FC66" s="1693">
        <v>35828</v>
      </c>
      <c r="FD66" s="1686"/>
      <c r="FE66" s="1691"/>
      <c r="FF66" s="1691"/>
      <c r="FG66" s="1691">
        <v>9000</v>
      </c>
      <c r="FH66" s="1694"/>
      <c r="FI66" s="1691"/>
      <c r="FJ66" s="1691"/>
      <c r="FK66" s="1691"/>
      <c r="FL66" s="1691"/>
      <c r="FM66" s="1691"/>
      <c r="FN66" s="1691"/>
      <c r="FO66" s="1691"/>
      <c r="FP66" s="1691"/>
      <c r="FQ66" s="1686"/>
      <c r="FR66" s="1686"/>
      <c r="FS66" s="1686"/>
      <c r="FT66" s="1686"/>
      <c r="FU66" s="1686"/>
      <c r="FV66" s="1686"/>
      <c r="FW66" s="1686"/>
      <c r="FX66" s="1686"/>
      <c r="FY66" s="1686"/>
      <c r="FZ66" s="1686"/>
      <c r="GA66" s="1686"/>
      <c r="GB66" s="1686"/>
      <c r="GC66" s="1686"/>
      <c r="GD66" s="1686"/>
      <c r="GE66" s="1686"/>
      <c r="GF66" s="1686"/>
      <c r="GG66" s="1686"/>
      <c r="GH66" s="1686"/>
      <c r="GI66" s="1686"/>
      <c r="GJ66" s="1686"/>
      <c r="GK66" s="1686"/>
      <c r="GL66" s="1686"/>
      <c r="GM66" s="1686"/>
      <c r="GN66" s="1686"/>
      <c r="GO66" s="1686"/>
      <c r="GP66" s="1686"/>
      <c r="GQ66" s="1686"/>
      <c r="GR66" s="1686"/>
      <c r="GS66" s="1686"/>
      <c r="GT66" s="1686"/>
      <c r="GU66" s="1691"/>
      <c r="GV66" s="1686"/>
      <c r="GW66" s="1686"/>
      <c r="GX66" s="1686"/>
      <c r="GY66" s="1686"/>
      <c r="GZ66" s="1686"/>
      <c r="HA66" s="1686"/>
      <c r="HB66" s="1691"/>
      <c r="HC66" s="1686"/>
      <c r="HD66" s="1686"/>
      <c r="HE66" s="1686"/>
      <c r="HF66" s="1686"/>
      <c r="HG66" s="1691"/>
      <c r="HH66" s="1686"/>
      <c r="HI66" s="1691"/>
      <c r="HJ66" s="1691"/>
      <c r="HK66" s="1691"/>
      <c r="HL66" s="1691"/>
      <c r="HM66" s="1691"/>
      <c r="HN66" s="1686"/>
      <c r="HO66" s="1686"/>
      <c r="HP66" s="1691"/>
      <c r="HQ66" s="1686"/>
      <c r="HR66" s="1686"/>
      <c r="HS66" s="1686"/>
      <c r="HT66" s="1686"/>
      <c r="HU66" s="1686"/>
      <c r="HV66" s="1686"/>
      <c r="HW66" s="1686"/>
      <c r="HX66" s="1686"/>
      <c r="HY66" s="1686"/>
      <c r="HZ66" s="1686"/>
      <c r="IA66" s="1686"/>
      <c r="IB66" s="1686"/>
      <c r="IC66" s="1686"/>
      <c r="ID66" s="1686"/>
      <c r="IE66" s="1686"/>
      <c r="IF66" s="1686"/>
      <c r="IG66" s="1686"/>
      <c r="IH66" s="1686"/>
      <c r="II66" s="1693">
        <v>348451</v>
      </c>
      <c r="IJ66" s="1686"/>
      <c r="IK66" s="1686"/>
      <c r="IL66" s="1686"/>
      <c r="IM66" s="1686"/>
      <c r="IN66" s="1686"/>
      <c r="IO66" s="1686"/>
      <c r="IP66" s="1686"/>
      <c r="IQ66" s="1686"/>
      <c r="IR66" s="1686"/>
      <c r="IS66" s="1686"/>
      <c r="IT66" s="1686">
        <v>57135</v>
      </c>
      <c r="IU66" s="1686"/>
      <c r="IV66" s="1686"/>
      <c r="IW66" s="1686"/>
      <c r="IX66" s="1691"/>
      <c r="IY66" s="1686"/>
      <c r="IZ66" s="1691"/>
      <c r="JA66" s="1686"/>
      <c r="JB66" s="1686"/>
      <c r="JC66" s="1686"/>
      <c r="JD66" s="1686"/>
      <c r="JE66" s="1686"/>
      <c r="JF66" s="1686"/>
      <c r="JG66" s="1686"/>
      <c r="JH66" s="1686"/>
      <c r="JI66" s="1686"/>
      <c r="JJ66" s="1686"/>
      <c r="JK66" s="1686"/>
      <c r="JL66" s="1686"/>
      <c r="JM66" s="1686"/>
      <c r="JN66" s="1686"/>
      <c r="JO66" s="1686"/>
      <c r="JP66" s="1686"/>
      <c r="JQ66" s="1724"/>
      <c r="JR66" s="593"/>
      <c r="JS66" s="354"/>
      <c r="JT66" s="355" t="s">
        <v>2242</v>
      </c>
      <c r="JU66" s="598"/>
      <c r="JV66" s="598"/>
    </row>
    <row r="67" spans="1:282" x14ac:dyDescent="0.25">
      <c r="A67" s="1367">
        <v>66</v>
      </c>
      <c r="B67" s="1684" t="str">
        <f t="shared" ref="B67:B86" si="11">IF(CGT_IND&gt;1,IF(HLOOKUP(CGT_IND-1,CGT_RANGE,A67)="","",HLOOKUP(CGT_IND-1,CGT_RANGE,A67)),"")</f>
        <v/>
      </c>
      <c r="C67" s="1688" t="s">
        <v>4378</v>
      </c>
      <c r="D67" s="1360" t="str">
        <f>"Income losses of "&amp;tax_year&amp;" set against gains"</f>
        <v>Income losses of 2025-26 set against gains</v>
      </c>
      <c r="E67" s="1686"/>
      <c r="F67" s="1686"/>
      <c r="G67" s="1686"/>
      <c r="H67" s="1686"/>
      <c r="I67" s="1686"/>
      <c r="J67" s="1686"/>
      <c r="K67" s="1686"/>
      <c r="L67" s="1686"/>
      <c r="M67" s="1686"/>
      <c r="N67" s="1686"/>
      <c r="O67" s="1686"/>
      <c r="P67" s="1686"/>
      <c r="Q67" s="1686"/>
      <c r="R67" s="1686"/>
      <c r="S67" s="1686"/>
      <c r="T67" s="1686"/>
      <c r="U67" s="1686"/>
      <c r="V67" s="1686"/>
      <c r="W67" s="1686"/>
      <c r="X67" s="1686"/>
      <c r="Y67" s="1686"/>
      <c r="Z67" s="1686"/>
      <c r="AA67" s="1686"/>
      <c r="AB67" s="1686"/>
      <c r="AC67" s="1686"/>
      <c r="AD67" s="1686"/>
      <c r="AE67" s="1686"/>
      <c r="AF67" s="1686"/>
      <c r="AG67" s="1686"/>
      <c r="AH67" s="1686"/>
      <c r="AI67" s="1712"/>
      <c r="AJ67" s="1686"/>
      <c r="AK67" s="1712"/>
      <c r="AL67" s="1686"/>
      <c r="AM67" s="1686"/>
      <c r="AN67" s="1686"/>
      <c r="AO67" s="1686"/>
      <c r="AP67" s="1686"/>
      <c r="AQ67" s="1686"/>
      <c r="AR67" s="1686"/>
      <c r="AS67" s="1686"/>
      <c r="AT67" s="1686"/>
      <c r="AU67" s="1712"/>
      <c r="AV67" s="1686"/>
      <c r="AW67" s="1686"/>
      <c r="AX67" s="1686"/>
      <c r="AY67" s="1686"/>
      <c r="AZ67" s="1686"/>
      <c r="BA67" s="1686"/>
      <c r="BB67" s="1712"/>
      <c r="BC67" s="1686"/>
      <c r="BD67" s="1712"/>
      <c r="BE67" s="1686"/>
      <c r="BF67" s="1686"/>
      <c r="BG67" s="1712"/>
      <c r="BH67" s="1686"/>
      <c r="BI67" s="1686"/>
      <c r="BJ67" s="1686"/>
      <c r="BK67" s="1686"/>
      <c r="BL67" s="1686"/>
      <c r="BM67" s="1686"/>
      <c r="BN67" s="1686"/>
      <c r="BO67" s="1686"/>
      <c r="BP67" s="1712"/>
      <c r="BQ67" s="1686"/>
      <c r="BR67" s="1686"/>
      <c r="BS67" s="1686"/>
      <c r="BT67" s="1691"/>
      <c r="BU67" s="1691"/>
      <c r="BV67" s="1686"/>
      <c r="BW67" s="1712"/>
      <c r="BX67" s="1686"/>
      <c r="BY67" s="1686"/>
      <c r="BZ67" s="1712"/>
      <c r="CA67" s="1686"/>
      <c r="CB67" s="1686"/>
      <c r="CC67" s="1686"/>
      <c r="CD67" s="1691"/>
      <c r="CE67" s="1686"/>
      <c r="CF67" s="1686"/>
      <c r="CG67" s="1686"/>
      <c r="CH67" s="1686"/>
      <c r="CI67" s="1686"/>
      <c r="CJ67" s="1686"/>
      <c r="CK67" s="1686"/>
      <c r="CL67" s="1686"/>
      <c r="CM67" s="1686"/>
      <c r="CN67" s="1686"/>
      <c r="CO67" s="1686"/>
      <c r="CP67" s="1686"/>
      <c r="CQ67" s="1686"/>
      <c r="CR67" s="1686"/>
      <c r="CS67" s="1686"/>
      <c r="CT67" s="1691"/>
      <c r="CU67" s="1686"/>
      <c r="CV67" s="1686"/>
      <c r="CW67" s="1686"/>
      <c r="CX67" s="1686"/>
      <c r="CY67" s="1686"/>
      <c r="CZ67" s="1686"/>
      <c r="DA67" s="1712"/>
      <c r="DB67" s="1686"/>
      <c r="DC67" s="1712"/>
      <c r="DD67" s="1686"/>
      <c r="DE67" s="1686"/>
      <c r="DF67" s="1686"/>
      <c r="DG67" s="1712"/>
      <c r="DH67" s="1686"/>
      <c r="DI67" s="1686"/>
      <c r="DJ67" s="1712"/>
      <c r="DK67" s="1686"/>
      <c r="DL67" s="1686"/>
      <c r="DM67" s="1712"/>
      <c r="DN67" s="1686"/>
      <c r="DO67" s="1691"/>
      <c r="DP67" s="1686"/>
      <c r="DQ67" s="1686"/>
      <c r="DR67" s="1686"/>
      <c r="DS67" s="1686"/>
      <c r="DT67" s="1686"/>
      <c r="DU67" s="1686"/>
      <c r="DV67" s="1686"/>
      <c r="DW67" s="1686"/>
      <c r="DX67" s="1686"/>
      <c r="DY67" s="1686"/>
      <c r="DZ67" s="1686"/>
      <c r="EA67" s="1686"/>
      <c r="EB67" s="1686"/>
      <c r="EC67" s="1686"/>
      <c r="ED67" s="1691"/>
      <c r="EE67" s="1691">
        <v>4000</v>
      </c>
      <c r="EF67" s="1686"/>
      <c r="EG67" s="1691"/>
      <c r="EH67" s="1712"/>
      <c r="EI67" s="1686"/>
      <c r="EJ67" s="1686"/>
      <c r="EK67" s="1686"/>
      <c r="EL67" s="1686"/>
      <c r="EM67" s="1686"/>
      <c r="EN67" s="1686"/>
      <c r="EO67" s="1686"/>
      <c r="EP67" s="1686"/>
      <c r="EQ67" s="1686"/>
      <c r="ER67" s="1691"/>
      <c r="ES67" s="1686"/>
      <c r="ET67" s="1686"/>
      <c r="EU67" s="1686"/>
      <c r="EV67" s="1691"/>
      <c r="EW67" s="1693">
        <v>9866</v>
      </c>
      <c r="EX67" s="1686"/>
      <c r="EY67" s="1712"/>
      <c r="EZ67" s="1686"/>
      <c r="FA67" s="1686"/>
      <c r="FB67" s="1686"/>
      <c r="FC67" s="1686"/>
      <c r="FD67" s="1686"/>
      <c r="FE67" s="1691"/>
      <c r="FF67" s="1691"/>
      <c r="FG67" s="1712"/>
      <c r="FH67" s="1712"/>
      <c r="FI67" s="1712"/>
      <c r="FJ67" s="1712"/>
      <c r="FK67" s="1712"/>
      <c r="FL67" s="1712"/>
      <c r="FM67" s="1712"/>
      <c r="FN67" s="1691"/>
      <c r="FO67" s="1691"/>
      <c r="FP67" s="1691"/>
      <c r="FQ67" s="1686"/>
      <c r="FR67" s="1686"/>
      <c r="FS67" s="1686"/>
      <c r="FT67" s="1686"/>
      <c r="FU67" s="1686"/>
      <c r="FV67" s="1686"/>
      <c r="FW67" s="1686"/>
      <c r="FX67" s="1686"/>
      <c r="FY67" s="1686"/>
      <c r="FZ67" s="1686"/>
      <c r="GA67" s="1686"/>
      <c r="GB67" s="1686"/>
      <c r="GC67" s="1686"/>
      <c r="GD67" s="1686"/>
      <c r="GE67" s="1686"/>
      <c r="GF67" s="1686"/>
      <c r="GG67" s="1686"/>
      <c r="GH67" s="1686"/>
      <c r="GI67" s="1686"/>
      <c r="GJ67" s="1686"/>
      <c r="GK67" s="1686"/>
      <c r="GL67" s="1686"/>
      <c r="GM67" s="1686"/>
      <c r="GN67" s="1686"/>
      <c r="GO67" s="1686"/>
      <c r="GP67" s="1686"/>
      <c r="GQ67" s="1686"/>
      <c r="GR67" s="1686"/>
      <c r="GS67" s="1686"/>
      <c r="GT67" s="1686"/>
      <c r="GU67" s="1712"/>
      <c r="GV67" s="1686"/>
      <c r="GW67" s="1686"/>
      <c r="GX67" s="1686"/>
      <c r="GY67" s="1686"/>
      <c r="GZ67" s="1686"/>
      <c r="HA67" s="1686"/>
      <c r="HB67" s="1712"/>
      <c r="HC67" s="1686"/>
      <c r="HD67" s="1686"/>
      <c r="HE67" s="1686"/>
      <c r="HF67" s="1686"/>
      <c r="HG67" s="1691"/>
      <c r="HH67" s="1686"/>
      <c r="HI67" s="1712"/>
      <c r="HJ67" s="1712"/>
      <c r="HK67" s="1712"/>
      <c r="HL67" s="1712"/>
      <c r="HM67" s="1712"/>
      <c r="HN67" s="1686"/>
      <c r="HO67" s="1686"/>
      <c r="HP67" s="1712"/>
      <c r="HQ67" s="1686"/>
      <c r="HR67" s="1686"/>
      <c r="HS67" s="1686"/>
      <c r="HT67" s="1686"/>
      <c r="HU67" s="1686"/>
      <c r="HV67" s="1686"/>
      <c r="HW67" s="1686"/>
      <c r="HX67" s="1686"/>
      <c r="HY67" s="1686"/>
      <c r="HZ67" s="1686"/>
      <c r="IA67" s="1686"/>
      <c r="IB67" s="1686"/>
      <c r="IC67" s="1686"/>
      <c r="ID67" s="1686"/>
      <c r="IE67" s="1686"/>
      <c r="IF67" s="1686"/>
      <c r="IG67" s="1686"/>
      <c r="IH67" s="1686"/>
      <c r="II67" s="1686"/>
      <c r="IJ67" s="1686"/>
      <c r="IK67" s="1686"/>
      <c r="IL67" s="1686"/>
      <c r="IM67" s="1686"/>
      <c r="IN67" s="1686"/>
      <c r="IO67" s="1686"/>
      <c r="IP67" s="1686"/>
      <c r="IQ67" s="1686"/>
      <c r="IR67" s="1686"/>
      <c r="IS67" s="1686"/>
      <c r="IT67" s="1686"/>
      <c r="IU67" s="1686"/>
      <c r="IV67" s="1686"/>
      <c r="IW67" s="1686"/>
      <c r="IX67" s="1712"/>
      <c r="IY67" s="1686"/>
      <c r="IZ67" s="1712"/>
      <c r="JA67" s="1686"/>
      <c r="JB67" s="1686"/>
      <c r="JC67" s="1686"/>
      <c r="JD67" s="1686"/>
      <c r="JE67" s="1686"/>
      <c r="JF67" s="1686"/>
      <c r="JG67" s="1686"/>
      <c r="JH67" s="1686"/>
      <c r="JI67" s="1686"/>
      <c r="JJ67" s="1686"/>
      <c r="JK67" s="1686"/>
      <c r="JL67" s="1686"/>
      <c r="JM67" s="1686"/>
      <c r="JN67" s="1686"/>
      <c r="JO67" s="1686"/>
      <c r="JP67" s="1686"/>
      <c r="JQ67" s="1724"/>
      <c r="JR67" s="593"/>
      <c r="JS67" s="354"/>
      <c r="JT67" s="355" t="s">
        <v>2242</v>
      </c>
      <c r="JU67" s="598"/>
      <c r="JV67" s="598"/>
    </row>
    <row r="68" spans="1:282" ht="30" x14ac:dyDescent="0.25">
      <c r="A68" s="1367">
        <v>67</v>
      </c>
      <c r="B68" s="1684" t="str">
        <f t="shared" si="11"/>
        <v/>
      </c>
      <c r="C68" s="1688" t="s">
        <v>4379</v>
      </c>
      <c r="D68" s="1360" t="s">
        <v>4380</v>
      </c>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A68" s="1720"/>
      <c r="AB68" s="1720"/>
      <c r="AC68" s="1720"/>
      <c r="AD68" s="1720"/>
      <c r="AE68" s="1720"/>
      <c r="AF68" s="1720"/>
      <c r="AG68" s="1720"/>
      <c r="AH68" s="1720"/>
      <c r="AI68" s="1712"/>
      <c r="AJ68" s="1720"/>
      <c r="AK68" s="1712"/>
      <c r="AL68" s="1720"/>
      <c r="AM68" s="1720"/>
      <c r="AN68" s="1720"/>
      <c r="AO68" s="1720"/>
      <c r="AP68" s="1720"/>
      <c r="AQ68" s="1720"/>
      <c r="AR68" s="1720"/>
      <c r="AS68" s="1720"/>
      <c r="AT68" s="1720"/>
      <c r="AU68" s="1712"/>
      <c r="AV68" s="1720"/>
      <c r="AW68" s="1720"/>
      <c r="AX68" s="1720"/>
      <c r="AY68" s="1720"/>
      <c r="AZ68" s="1720"/>
      <c r="BA68" s="1720"/>
      <c r="BB68" s="1694">
        <v>14161</v>
      </c>
      <c r="BC68" s="1720"/>
      <c r="BD68" s="1712"/>
      <c r="BE68" s="1720"/>
      <c r="BF68" s="1720"/>
      <c r="BG68" s="1694">
        <v>63626</v>
      </c>
      <c r="BH68" s="1720"/>
      <c r="BI68" s="1720"/>
      <c r="BJ68" s="1720"/>
      <c r="BK68" s="1720"/>
      <c r="BL68" s="1720"/>
      <c r="BM68" s="1720"/>
      <c r="BN68" s="1720"/>
      <c r="BO68" s="1720"/>
      <c r="BP68" s="1712"/>
      <c r="BQ68" s="1720"/>
      <c r="BR68" s="1720"/>
      <c r="BS68" s="1720"/>
      <c r="BT68" s="1694">
        <v>12820</v>
      </c>
      <c r="BU68" s="1691"/>
      <c r="BV68" s="1720"/>
      <c r="BW68" s="1712"/>
      <c r="BX68" s="1720"/>
      <c r="BY68" s="1720"/>
      <c r="BZ68" s="1712"/>
      <c r="CA68" s="1720"/>
      <c r="CB68" s="1720"/>
      <c r="CC68" s="1720"/>
      <c r="CD68" s="1691"/>
      <c r="CE68" s="1720"/>
      <c r="CF68" s="1720"/>
      <c r="CG68" s="1720"/>
      <c r="CH68" s="1720"/>
      <c r="CI68" s="1720"/>
      <c r="CJ68" s="1693">
        <v>479654</v>
      </c>
      <c r="CK68" s="1720"/>
      <c r="CL68" s="1720"/>
      <c r="CM68" s="1720"/>
      <c r="CN68" s="1720"/>
      <c r="CO68" s="1720"/>
      <c r="CP68" s="1720"/>
      <c r="CQ68" s="1720"/>
      <c r="CR68" s="1720"/>
      <c r="CS68" s="1720"/>
      <c r="CT68" s="1691"/>
      <c r="CU68" s="1720"/>
      <c r="CV68" s="1720"/>
      <c r="CW68" s="1720"/>
      <c r="CX68" s="1720"/>
      <c r="CY68" s="1720"/>
      <c r="CZ68" s="1720"/>
      <c r="DA68" s="1694">
        <v>172678</v>
      </c>
      <c r="DB68" s="1720"/>
      <c r="DC68" s="1712"/>
      <c r="DD68" s="1720"/>
      <c r="DE68" s="1720"/>
      <c r="DF68" s="1720"/>
      <c r="DG68" s="1712"/>
      <c r="DH68" s="1720"/>
      <c r="DI68" s="1720"/>
      <c r="DJ68" s="1694">
        <v>48466</v>
      </c>
      <c r="DK68" s="1720"/>
      <c r="DL68" s="1720"/>
      <c r="DM68" s="1712"/>
      <c r="DN68" s="1720"/>
      <c r="DO68" s="1712"/>
      <c r="DP68" s="1720"/>
      <c r="DQ68" s="1720"/>
      <c r="DR68" s="1720"/>
      <c r="DS68" s="1720"/>
      <c r="DT68" s="1720"/>
      <c r="DU68" s="1720"/>
      <c r="DV68" s="1720"/>
      <c r="DW68" s="1720"/>
      <c r="DX68" s="1720"/>
      <c r="DY68" s="1693">
        <v>1746</v>
      </c>
      <c r="DZ68" s="1720"/>
      <c r="EA68" s="1720"/>
      <c r="EB68" s="1720"/>
      <c r="EC68" s="1720"/>
      <c r="ED68" s="1712"/>
      <c r="EE68" s="1712"/>
      <c r="EF68" s="1720"/>
      <c r="EG68" s="1712"/>
      <c r="EH68" s="1712"/>
      <c r="EI68" s="1720"/>
      <c r="EJ68" s="1720"/>
      <c r="EK68" s="1720"/>
      <c r="EL68" s="1720"/>
      <c r="EM68" s="1720"/>
      <c r="EN68" s="1693">
        <v>426891</v>
      </c>
      <c r="EO68" s="1693">
        <v>40930</v>
      </c>
      <c r="EP68" s="1686"/>
      <c r="EQ68" s="1720"/>
      <c r="ER68" s="1694">
        <v>194777</v>
      </c>
      <c r="ES68" s="1720"/>
      <c r="ET68" s="1720"/>
      <c r="EU68" s="1720"/>
      <c r="EV68" s="1691"/>
      <c r="EW68" s="1693">
        <v>6983</v>
      </c>
      <c r="EX68" s="1720"/>
      <c r="EY68" s="1712"/>
      <c r="EZ68" s="1720"/>
      <c r="FA68" s="1720"/>
      <c r="FB68" s="1693">
        <v>11560</v>
      </c>
      <c r="FC68" s="1693">
        <v>194777</v>
      </c>
      <c r="FD68" s="1720"/>
      <c r="FE68" s="1712"/>
      <c r="FF68" s="1712"/>
      <c r="FG68" s="1712"/>
      <c r="FH68" s="1712"/>
      <c r="FI68" s="1712"/>
      <c r="FJ68" s="1694">
        <v>368692</v>
      </c>
      <c r="FK68" s="1712"/>
      <c r="FL68" s="1694">
        <v>291.69</v>
      </c>
      <c r="FM68" s="1712"/>
      <c r="FN68" s="1712"/>
      <c r="FO68" s="1712"/>
      <c r="FP68" s="1712"/>
      <c r="FQ68" s="1720"/>
      <c r="FR68" s="1720"/>
      <c r="FS68" s="1720"/>
      <c r="FT68" s="1720"/>
      <c r="FU68" s="1720"/>
      <c r="FV68" s="1720"/>
      <c r="FW68" s="1720"/>
      <c r="FX68" s="1720"/>
      <c r="FY68" s="1720"/>
      <c r="FZ68" s="1720"/>
      <c r="GA68" s="1720"/>
      <c r="GB68" s="1720"/>
      <c r="GC68" s="1720"/>
      <c r="GD68" s="1720"/>
      <c r="GE68" s="1720"/>
      <c r="GF68" s="1720"/>
      <c r="GG68" s="1720"/>
      <c r="GH68" s="1720"/>
      <c r="GI68" s="1720"/>
      <c r="GJ68" s="1720"/>
      <c r="GK68" s="1720"/>
      <c r="GL68" s="1720"/>
      <c r="GM68" s="1720"/>
      <c r="GN68" s="1720"/>
      <c r="GO68" s="1720"/>
      <c r="GP68" s="1720"/>
      <c r="GQ68" s="1720"/>
      <c r="GR68" s="1720"/>
      <c r="GS68" s="1720"/>
      <c r="GT68" s="1720"/>
      <c r="GU68" s="1712"/>
      <c r="GV68" s="1720"/>
      <c r="GW68" s="1720"/>
      <c r="GX68" s="1720"/>
      <c r="GY68" s="1720"/>
      <c r="GZ68" s="1720"/>
      <c r="HA68" s="1720"/>
      <c r="HB68" s="1712"/>
      <c r="HC68" s="1720"/>
      <c r="HD68" s="1720"/>
      <c r="HE68" s="1720"/>
      <c r="HF68" s="1720"/>
      <c r="HG68" s="1712"/>
      <c r="HH68" s="1720"/>
      <c r="HI68" s="1712"/>
      <c r="HJ68" s="1712"/>
      <c r="HK68" s="1712"/>
      <c r="HL68" s="1712"/>
      <c r="HM68" s="1712"/>
      <c r="HN68" s="1720"/>
      <c r="HO68" s="1720"/>
      <c r="HP68" s="1712"/>
      <c r="HQ68" s="1720"/>
      <c r="HR68" s="1720"/>
      <c r="HS68" s="1720"/>
      <c r="HT68" s="1720"/>
      <c r="HU68" s="1720"/>
      <c r="HV68" s="1720"/>
      <c r="HW68" s="1720"/>
      <c r="HX68" s="1720"/>
      <c r="HY68" s="1720"/>
      <c r="HZ68" s="1720"/>
      <c r="IA68" s="1720"/>
      <c r="IB68" s="1720"/>
      <c r="IC68" s="1720"/>
      <c r="ID68" s="1720"/>
      <c r="IE68" s="1720"/>
      <c r="IF68" s="1720"/>
      <c r="IG68" s="1720"/>
      <c r="IH68" s="1720"/>
      <c r="II68" s="1720"/>
      <c r="IJ68" s="1720"/>
      <c r="IK68" s="1720"/>
      <c r="IL68" s="1720"/>
      <c r="IM68" s="1720"/>
      <c r="IN68" s="1720"/>
      <c r="IO68" s="1720"/>
      <c r="IP68" s="1720"/>
      <c r="IQ68" s="1720"/>
      <c r="IR68" s="1720"/>
      <c r="IS68" s="1720"/>
      <c r="IT68" s="1720">
        <v>14437</v>
      </c>
      <c r="IU68" s="1720"/>
      <c r="IV68" s="1720"/>
      <c r="IW68" s="1720"/>
      <c r="IX68" s="1712"/>
      <c r="IY68" s="1720"/>
      <c r="IZ68" s="1712"/>
      <c r="JA68" s="1720"/>
      <c r="JB68" s="1720"/>
      <c r="JC68" s="1720"/>
      <c r="JD68" s="1720"/>
      <c r="JE68" s="1720"/>
      <c r="JF68" s="1720"/>
      <c r="JG68" s="1720"/>
      <c r="JH68" s="1720"/>
      <c r="JI68" s="1720"/>
      <c r="JJ68" s="1720"/>
      <c r="JK68" s="1720"/>
      <c r="JL68" s="1720">
        <v>27109</v>
      </c>
      <c r="JM68" s="1720"/>
      <c r="JN68" s="1720"/>
      <c r="JO68" s="1720"/>
      <c r="JP68" s="1720"/>
      <c r="JQ68" s="1721"/>
      <c r="JR68" s="593"/>
      <c r="JS68" s="354" t="s">
        <v>4381</v>
      </c>
      <c r="JT68" s="355" t="s">
        <v>2242</v>
      </c>
      <c r="JU68" s="598"/>
      <c r="JV68" s="598"/>
    </row>
    <row r="69" spans="1:282" ht="20" x14ac:dyDescent="0.25">
      <c r="A69" s="1367">
        <v>68</v>
      </c>
      <c r="B69" s="1684" t="str">
        <f t="shared" si="11"/>
        <v/>
      </c>
      <c r="C69" s="1688" t="s">
        <v>4382</v>
      </c>
      <c r="D69" s="1360" t="s">
        <v>4383</v>
      </c>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A69" s="1720"/>
      <c r="AB69" s="1720"/>
      <c r="AC69" s="1720"/>
      <c r="AD69" s="1720"/>
      <c r="AE69" s="1720"/>
      <c r="AF69" s="1720"/>
      <c r="AG69" s="1720"/>
      <c r="AH69" s="1720"/>
      <c r="AI69" s="1712"/>
      <c r="AJ69" s="1720"/>
      <c r="AK69" s="1712"/>
      <c r="AL69" s="1720"/>
      <c r="AM69" s="1720"/>
      <c r="AN69" s="1720"/>
      <c r="AO69" s="1720"/>
      <c r="AP69" s="1720"/>
      <c r="AQ69" s="1720"/>
      <c r="AR69" s="1720"/>
      <c r="AS69" s="1720"/>
      <c r="AT69" s="1720"/>
      <c r="AU69" s="1712"/>
      <c r="AV69" s="1720"/>
      <c r="AW69" s="1720"/>
      <c r="AX69" s="1720"/>
      <c r="AY69" s="1720"/>
      <c r="AZ69" s="1720"/>
      <c r="BA69" s="1720"/>
      <c r="BB69" s="1712"/>
      <c r="BC69" s="1720"/>
      <c r="BD69" s="1712"/>
      <c r="BE69" s="1720"/>
      <c r="BF69" s="1720"/>
      <c r="BG69" s="1691"/>
      <c r="BH69" s="1720"/>
      <c r="BI69" s="1720"/>
      <c r="BJ69" s="1720"/>
      <c r="BK69" s="1720"/>
      <c r="BL69" s="1720"/>
      <c r="BM69" s="1720"/>
      <c r="BN69" s="1720"/>
      <c r="BO69" s="1720"/>
      <c r="BP69" s="1712"/>
      <c r="BQ69" s="1720"/>
      <c r="BR69" s="1720"/>
      <c r="BS69" s="1720"/>
      <c r="BT69" s="1712"/>
      <c r="BU69" s="1691"/>
      <c r="BV69" s="1720"/>
      <c r="BW69" s="1712"/>
      <c r="BX69" s="1720"/>
      <c r="BY69" s="1720"/>
      <c r="BZ69" s="1691"/>
      <c r="CA69" s="1686"/>
      <c r="CB69" s="1686"/>
      <c r="CC69" s="1686"/>
      <c r="CD69" s="1691"/>
      <c r="CE69" s="1720"/>
      <c r="CF69" s="1720"/>
      <c r="CG69" s="1720"/>
      <c r="CH69" s="1720"/>
      <c r="CI69" s="1720"/>
      <c r="CJ69" s="1720"/>
      <c r="CK69" s="1720"/>
      <c r="CL69" s="1720"/>
      <c r="CM69" s="1720"/>
      <c r="CN69" s="1720"/>
      <c r="CO69" s="1720"/>
      <c r="CP69" s="1720"/>
      <c r="CQ69" s="1720"/>
      <c r="CR69" s="1720"/>
      <c r="CS69" s="1720"/>
      <c r="CT69" s="1691"/>
      <c r="CU69" s="1686"/>
      <c r="CV69" s="1686"/>
      <c r="CW69" s="1686"/>
      <c r="CX69" s="1686"/>
      <c r="CY69" s="1686"/>
      <c r="CZ69" s="1686"/>
      <c r="DA69" s="1691"/>
      <c r="DB69" s="1686"/>
      <c r="DC69" s="1691"/>
      <c r="DD69" s="1686"/>
      <c r="DE69" s="1686"/>
      <c r="DF69" s="1686"/>
      <c r="DG69" s="1691"/>
      <c r="DH69" s="1720"/>
      <c r="DI69" s="1720"/>
      <c r="DJ69" s="1712"/>
      <c r="DK69" s="1720"/>
      <c r="DL69" s="1720"/>
      <c r="DM69" s="1712"/>
      <c r="DN69" s="1720"/>
      <c r="DO69" s="1712"/>
      <c r="DP69" s="1720"/>
      <c r="DQ69" s="1720"/>
      <c r="DR69" s="1720"/>
      <c r="DS69" s="1720"/>
      <c r="DT69" s="1720"/>
      <c r="DU69" s="1720"/>
      <c r="DV69" s="1720"/>
      <c r="DW69" s="1720"/>
      <c r="DX69" s="1720"/>
      <c r="DY69" s="1720"/>
      <c r="DZ69" s="1720"/>
      <c r="EA69" s="1720"/>
      <c r="EB69" s="1720"/>
      <c r="EC69" s="1720"/>
      <c r="ED69" s="1712"/>
      <c r="EE69" s="1712"/>
      <c r="EF69" s="1720"/>
      <c r="EG69" s="1712"/>
      <c r="EH69" s="1691"/>
      <c r="EI69" s="1686"/>
      <c r="EJ69" s="1686"/>
      <c r="EK69" s="1686"/>
      <c r="EL69" s="1686"/>
      <c r="EM69" s="1686"/>
      <c r="EN69" s="1686"/>
      <c r="EO69" s="1686"/>
      <c r="EP69" s="1686"/>
      <c r="EQ69" s="1686"/>
      <c r="ER69" s="1691"/>
      <c r="ES69" s="1686"/>
      <c r="ET69" s="1686"/>
      <c r="EU69" s="1686"/>
      <c r="EV69" s="1691"/>
      <c r="EW69" s="1686"/>
      <c r="EX69" s="1686"/>
      <c r="EY69" s="1691"/>
      <c r="EZ69" s="1686"/>
      <c r="FA69" s="1686"/>
      <c r="FB69" s="1686"/>
      <c r="FC69" s="1686"/>
      <c r="FD69" s="1686"/>
      <c r="FE69" s="1691"/>
      <c r="FF69" s="1691"/>
      <c r="FG69" s="1691"/>
      <c r="FH69" s="1691"/>
      <c r="FI69" s="1691"/>
      <c r="FJ69" s="1691"/>
      <c r="FK69" s="1691"/>
      <c r="FL69" s="1712"/>
      <c r="FM69" s="1712"/>
      <c r="FN69" s="1712"/>
      <c r="FO69" s="1712"/>
      <c r="FP69" s="1712"/>
      <c r="FQ69" s="1720"/>
      <c r="FR69" s="1720"/>
      <c r="FS69" s="1720"/>
      <c r="FT69" s="1720"/>
      <c r="FU69" s="1720"/>
      <c r="FV69" s="1720"/>
      <c r="FW69" s="1720"/>
      <c r="FX69" s="1720"/>
      <c r="FY69" s="1720"/>
      <c r="FZ69" s="1720"/>
      <c r="GA69" s="1720"/>
      <c r="GB69" s="1720"/>
      <c r="GC69" s="1720"/>
      <c r="GD69" s="1720"/>
      <c r="GE69" s="1720"/>
      <c r="GF69" s="1720"/>
      <c r="GG69" s="1720"/>
      <c r="GH69" s="1720"/>
      <c r="GI69" s="1720"/>
      <c r="GJ69" s="1720"/>
      <c r="GK69" s="1720"/>
      <c r="GL69" s="1720"/>
      <c r="GM69" s="1720"/>
      <c r="GN69" s="1720"/>
      <c r="GO69" s="1720"/>
      <c r="GP69" s="1720"/>
      <c r="GQ69" s="1720"/>
      <c r="GR69" s="1720"/>
      <c r="GS69" s="1720"/>
      <c r="GT69" s="1720"/>
      <c r="GU69" s="1712"/>
      <c r="GV69" s="1720"/>
      <c r="GW69" s="1720"/>
      <c r="GX69" s="1720"/>
      <c r="GY69" s="1720"/>
      <c r="GZ69" s="1720"/>
      <c r="HA69" s="1720"/>
      <c r="HB69" s="1712">
        <v>5000</v>
      </c>
      <c r="HC69" s="1720"/>
      <c r="HD69" s="1720"/>
      <c r="HE69" s="1720"/>
      <c r="HF69" s="1720"/>
      <c r="HG69" s="1712"/>
      <c r="HH69" s="1720"/>
      <c r="HI69" s="1712"/>
      <c r="HJ69" s="1712"/>
      <c r="HK69" s="1712"/>
      <c r="HL69" s="1712"/>
      <c r="HM69" s="1712"/>
      <c r="HN69" s="1720"/>
      <c r="HO69" s="1720"/>
      <c r="HP69" s="1712"/>
      <c r="HQ69" s="1720"/>
      <c r="HR69" s="1720"/>
      <c r="HS69" s="1720"/>
      <c r="HT69" s="1720"/>
      <c r="HU69" s="1720"/>
      <c r="HV69" s="1720"/>
      <c r="HW69" s="1720"/>
      <c r="HX69" s="1720"/>
      <c r="HY69" s="1720"/>
      <c r="HZ69" s="1720"/>
      <c r="IA69" s="1720"/>
      <c r="IB69" s="1720"/>
      <c r="IC69" s="1720"/>
      <c r="ID69" s="1720"/>
      <c r="IE69" s="1720"/>
      <c r="IF69" s="1720"/>
      <c r="IG69" s="1720"/>
      <c r="IH69" s="1720"/>
      <c r="II69" s="1720"/>
      <c r="IJ69" s="1720"/>
      <c r="IK69" s="1720"/>
      <c r="IL69" s="1720"/>
      <c r="IM69" s="1720"/>
      <c r="IN69" s="1720"/>
      <c r="IO69" s="1720"/>
      <c r="IP69" s="1720"/>
      <c r="IQ69" s="1720"/>
      <c r="IR69" s="1720"/>
      <c r="IS69" s="1720"/>
      <c r="IT69" s="1720"/>
      <c r="IU69" s="1720"/>
      <c r="IV69" s="1720"/>
      <c r="IW69" s="1720"/>
      <c r="IX69" s="1712"/>
      <c r="IY69" s="1720"/>
      <c r="IZ69" s="1712"/>
      <c r="JA69" s="1720"/>
      <c r="JB69" s="1720"/>
      <c r="JC69" s="1720"/>
      <c r="JD69" s="1720"/>
      <c r="JE69" s="1720"/>
      <c r="JF69" s="1720"/>
      <c r="JG69" s="1720"/>
      <c r="JH69" s="1720"/>
      <c r="JI69" s="1720"/>
      <c r="JJ69" s="1720"/>
      <c r="JK69" s="1720"/>
      <c r="JL69" s="1720"/>
      <c r="JM69" s="1720"/>
      <c r="JN69" s="1720"/>
      <c r="JO69" s="1720"/>
      <c r="JP69" s="1720"/>
      <c r="JQ69" s="1721"/>
      <c r="JR69" s="593"/>
      <c r="JS69" s="354" t="s">
        <v>4384</v>
      </c>
      <c r="JT69" s="355" t="s">
        <v>2242</v>
      </c>
      <c r="JU69" s="598"/>
      <c r="JV69" s="598"/>
    </row>
    <row r="70" spans="1:282" x14ac:dyDescent="0.25">
      <c r="A70" s="1367">
        <v>69</v>
      </c>
      <c r="B70" s="1684" t="str">
        <f t="shared" si="11"/>
        <v/>
      </c>
      <c r="C70" s="1371" t="s">
        <v>4385</v>
      </c>
      <c r="D70" s="1360" t="s">
        <v>4386</v>
      </c>
      <c r="E70" s="1725"/>
      <c r="F70" s="1725"/>
      <c r="G70" s="1725"/>
      <c r="H70" s="1725"/>
      <c r="I70" s="1725"/>
      <c r="J70" s="1725"/>
      <c r="K70" s="1725"/>
      <c r="L70" s="1725"/>
      <c r="M70" s="1725"/>
      <c r="N70" s="1725"/>
      <c r="O70" s="1725"/>
      <c r="P70" s="1725"/>
      <c r="Q70" s="1725"/>
      <c r="R70" s="1725"/>
      <c r="S70" s="1725"/>
      <c r="T70" s="1725"/>
      <c r="U70" s="1725"/>
      <c r="V70" s="1725"/>
      <c r="W70" s="1725"/>
      <c r="X70" s="1725"/>
      <c r="Y70" s="1725"/>
      <c r="Z70" s="1725"/>
      <c r="AA70" s="1725"/>
      <c r="AB70" s="1725"/>
      <c r="AC70" s="1725"/>
      <c r="AD70" s="1725"/>
      <c r="AE70" s="1725"/>
      <c r="AF70" s="1725"/>
      <c r="AG70" s="1725"/>
      <c r="AH70" s="1725"/>
      <c r="AI70" s="1670"/>
      <c r="AJ70" s="1725"/>
      <c r="AK70" s="1670"/>
      <c r="AL70" s="1725"/>
      <c r="AM70" s="1725"/>
      <c r="AN70" s="1725"/>
      <c r="AO70" s="1725"/>
      <c r="AP70" s="1725"/>
      <c r="AQ70" s="1725"/>
      <c r="AR70" s="1725"/>
      <c r="AS70" s="1725"/>
      <c r="AT70" s="1725"/>
      <c r="AU70" s="1670"/>
      <c r="AV70" s="1725"/>
      <c r="AW70" s="1725"/>
      <c r="AX70" s="1725"/>
      <c r="AY70" s="1725"/>
      <c r="AZ70" s="1725"/>
      <c r="BA70" s="1725"/>
      <c r="BB70" s="1670"/>
      <c r="BC70" s="1725"/>
      <c r="BD70" s="1670"/>
      <c r="BE70" s="1725"/>
      <c r="BF70" s="1725"/>
      <c r="BG70" s="1694"/>
      <c r="BH70" s="1725"/>
      <c r="BI70" s="1725"/>
      <c r="BJ70" s="1725"/>
      <c r="BK70" s="1725"/>
      <c r="BL70" s="1725"/>
      <c r="BM70" s="1725"/>
      <c r="BN70" s="1725"/>
      <c r="BO70" s="1725"/>
      <c r="BP70" s="1670"/>
      <c r="BQ70" s="1725"/>
      <c r="BR70" s="1725"/>
      <c r="BS70" s="1725"/>
      <c r="BT70" s="1726"/>
      <c r="BU70" s="1675"/>
      <c r="BV70" s="1725"/>
      <c r="BW70" s="1670"/>
      <c r="BX70" s="1725"/>
      <c r="BY70" s="1725"/>
      <c r="BZ70" s="1675"/>
      <c r="CA70" s="1673"/>
      <c r="CB70" s="1673"/>
      <c r="CC70" s="1673"/>
      <c r="CD70" s="1675"/>
      <c r="CE70" s="1725"/>
      <c r="CF70" s="1725"/>
      <c r="CG70" s="1725"/>
      <c r="CH70" s="1725"/>
      <c r="CI70" s="1725"/>
      <c r="CJ70" s="1725"/>
      <c r="CK70" s="1725"/>
      <c r="CL70" s="1725"/>
      <c r="CM70" s="1725"/>
      <c r="CN70" s="1725"/>
      <c r="CO70" s="1725"/>
      <c r="CP70" s="1725"/>
      <c r="CQ70" s="1725"/>
      <c r="CR70" s="1725"/>
      <c r="CS70" s="1725"/>
      <c r="CT70" s="1675"/>
      <c r="CU70" s="1673"/>
      <c r="CV70" s="1673"/>
      <c r="CW70" s="1673"/>
      <c r="CX70" s="1673"/>
      <c r="CY70" s="1673"/>
      <c r="CZ70" s="1673"/>
      <c r="DA70" s="1675"/>
      <c r="DB70" s="1673"/>
      <c r="DC70" s="1675"/>
      <c r="DD70" s="1673"/>
      <c r="DE70" s="1673"/>
      <c r="DF70" s="1673"/>
      <c r="DG70" s="1675"/>
      <c r="DH70" s="1725"/>
      <c r="DI70" s="1725"/>
      <c r="DJ70" s="1670"/>
      <c r="DK70" s="1725"/>
      <c r="DL70" s="1725"/>
      <c r="DM70" s="1670"/>
      <c r="DN70" s="1725"/>
      <c r="DO70" s="1726"/>
      <c r="DP70" s="1725"/>
      <c r="DQ70" s="1725"/>
      <c r="DR70" s="1725"/>
      <c r="DS70" s="1725"/>
      <c r="DT70" s="1725"/>
      <c r="DU70" s="1725"/>
      <c r="DV70" s="1725"/>
      <c r="DW70" s="1725"/>
      <c r="DX70" s="1725"/>
      <c r="DY70" s="1725"/>
      <c r="DZ70" s="1725"/>
      <c r="EA70" s="1725"/>
      <c r="EB70" s="1725"/>
      <c r="EC70" s="1725"/>
      <c r="ED70" s="1726"/>
      <c r="EE70" s="1726"/>
      <c r="EF70" s="1725"/>
      <c r="EG70" s="1726"/>
      <c r="EH70" s="1674"/>
      <c r="EI70" s="1673"/>
      <c r="EJ70" s="1673"/>
      <c r="EK70" s="1673"/>
      <c r="EL70" s="1673"/>
      <c r="EM70" s="1673"/>
      <c r="EN70" s="1673"/>
      <c r="EO70" s="1673"/>
      <c r="EP70" s="1673"/>
      <c r="EQ70" s="1673"/>
      <c r="ER70" s="1674"/>
      <c r="ES70" s="1673"/>
      <c r="ET70" s="1673"/>
      <c r="EU70" s="1673"/>
      <c r="EV70" s="1675"/>
      <c r="EW70" s="1673"/>
      <c r="EX70" s="1673"/>
      <c r="EY70" s="1675"/>
      <c r="EZ70" s="1673"/>
      <c r="FA70" s="1673"/>
      <c r="FB70" s="1673"/>
      <c r="FC70" s="1673"/>
      <c r="FD70" s="1673"/>
      <c r="FE70" s="1674"/>
      <c r="FF70" s="1674"/>
      <c r="FG70" s="1675"/>
      <c r="FH70" s="1675"/>
      <c r="FI70" s="1675"/>
      <c r="FJ70" s="1675"/>
      <c r="FK70" s="1675"/>
      <c r="FL70" s="1670"/>
      <c r="FM70" s="1670"/>
      <c r="FN70" s="1726"/>
      <c r="FO70" s="1726"/>
      <c r="FP70" s="1726"/>
      <c r="FQ70" s="1725"/>
      <c r="FR70" s="1725"/>
      <c r="FS70" s="1725"/>
      <c r="FT70" s="1725"/>
      <c r="FU70" s="1725"/>
      <c r="FV70" s="1725"/>
      <c r="FW70" s="1725"/>
      <c r="FX70" s="1725"/>
      <c r="FY70" s="1725"/>
      <c r="FZ70" s="1725"/>
      <c r="GA70" s="1725"/>
      <c r="GB70" s="1725"/>
      <c r="GC70" s="1725"/>
      <c r="GD70" s="1725"/>
      <c r="GE70" s="1725"/>
      <c r="GF70" s="1725"/>
      <c r="GG70" s="1725"/>
      <c r="GH70" s="1725"/>
      <c r="GI70" s="1725"/>
      <c r="GJ70" s="1725"/>
      <c r="GK70" s="1725"/>
      <c r="GL70" s="1725"/>
      <c r="GM70" s="1725"/>
      <c r="GN70" s="1725"/>
      <c r="GO70" s="1725"/>
      <c r="GP70" s="1725"/>
      <c r="GQ70" s="1725"/>
      <c r="GR70" s="1725"/>
      <c r="GS70" s="1725"/>
      <c r="GT70" s="1725"/>
      <c r="GU70" s="1691">
        <v>19000</v>
      </c>
      <c r="GV70" s="1725"/>
      <c r="GW70" s="1725"/>
      <c r="GX70" s="1725"/>
      <c r="GY70" s="1725"/>
      <c r="GZ70" s="1725"/>
      <c r="HA70" s="1725"/>
      <c r="HB70" s="1726"/>
      <c r="HC70" s="1725"/>
      <c r="HD70" s="1725"/>
      <c r="HE70" s="1725"/>
      <c r="HF70" s="1725"/>
      <c r="HG70" s="1726"/>
      <c r="HH70" s="1725"/>
      <c r="HI70" s="1726"/>
      <c r="HJ70" s="1726"/>
      <c r="HK70" s="1726"/>
      <c r="HL70" s="1726"/>
      <c r="HM70" s="1726"/>
      <c r="HN70" s="1725"/>
      <c r="HO70" s="1725"/>
      <c r="HP70" s="1726"/>
      <c r="HQ70" s="1725"/>
      <c r="HR70" s="1725"/>
      <c r="HS70" s="1725"/>
      <c r="HT70" s="1725"/>
      <c r="HU70" s="1725"/>
      <c r="HV70" s="1725"/>
      <c r="HW70" s="1725"/>
      <c r="HX70" s="1725"/>
      <c r="HY70" s="1725"/>
      <c r="HZ70" s="1725"/>
      <c r="IA70" s="1725"/>
      <c r="IB70" s="1725"/>
      <c r="IC70" s="1725"/>
      <c r="ID70" s="1725"/>
      <c r="IE70" s="1725"/>
      <c r="IF70" s="1725"/>
      <c r="IG70" s="1725"/>
      <c r="IH70" s="1725"/>
      <c r="II70" s="1725"/>
      <c r="IJ70" s="1725"/>
      <c r="IK70" s="1725"/>
      <c r="IL70" s="1725"/>
      <c r="IM70" s="1725"/>
      <c r="IN70" s="1725"/>
      <c r="IO70" s="1725"/>
      <c r="IP70" s="1725"/>
      <c r="IQ70" s="1725"/>
      <c r="IR70" s="1725"/>
      <c r="IS70" s="1725"/>
      <c r="IT70" s="1725"/>
      <c r="IU70" s="1725"/>
      <c r="IV70" s="1725"/>
      <c r="IW70" s="1725"/>
      <c r="IX70" s="1670"/>
      <c r="IY70" s="1725"/>
      <c r="IZ70" s="1670"/>
      <c r="JA70" s="1725"/>
      <c r="JB70" s="1725"/>
      <c r="JC70" s="1725"/>
      <c r="JD70" s="1725"/>
      <c r="JE70" s="1725"/>
      <c r="JF70" s="1725"/>
      <c r="JG70" s="1725"/>
      <c r="JH70" s="1725"/>
      <c r="JI70" s="1720"/>
      <c r="JJ70" s="1725"/>
      <c r="JK70" s="1725"/>
      <c r="JL70" s="1725"/>
      <c r="JM70" s="1725"/>
      <c r="JN70" s="1725"/>
      <c r="JO70" s="1725"/>
      <c r="JP70" s="1725"/>
      <c r="JQ70" s="1727"/>
      <c r="JR70" s="593"/>
      <c r="JS70" s="354" t="s">
        <v>4387</v>
      </c>
      <c r="JT70" s="355" t="s">
        <v>2242</v>
      </c>
      <c r="JU70" s="598"/>
      <c r="JV70" s="356" t="s">
        <v>4388</v>
      </c>
    </row>
    <row r="71" spans="1:282" x14ac:dyDescent="0.25">
      <c r="A71" s="1367">
        <v>70</v>
      </c>
      <c r="B71" s="1684" t="str">
        <f t="shared" si="11"/>
        <v/>
      </c>
      <c r="C71" s="1688" t="s">
        <v>4389</v>
      </c>
      <c r="D71" s="1360" t="s">
        <v>4390</v>
      </c>
      <c r="E71" s="1686"/>
      <c r="F71" s="1686"/>
      <c r="G71" s="1686"/>
      <c r="H71" s="1686"/>
      <c r="I71" s="1686"/>
      <c r="J71" s="1686"/>
      <c r="K71" s="1686"/>
      <c r="L71" s="1686"/>
      <c r="M71" s="1686"/>
      <c r="N71" s="1686"/>
      <c r="O71" s="1686"/>
      <c r="P71" s="1686"/>
      <c r="Q71" s="1686"/>
      <c r="R71" s="1686"/>
      <c r="S71" s="1686"/>
      <c r="T71" s="1686"/>
      <c r="U71" s="1686"/>
      <c r="V71" s="1686"/>
      <c r="W71" s="1686"/>
      <c r="X71" s="1686"/>
      <c r="Y71" s="1686"/>
      <c r="Z71" s="1686"/>
      <c r="AA71" s="1686"/>
      <c r="AB71" s="1686"/>
      <c r="AC71" s="1686"/>
      <c r="AD71" s="1686"/>
      <c r="AE71" s="1686"/>
      <c r="AF71" s="1686"/>
      <c r="AG71" s="1686"/>
      <c r="AH71" s="1686"/>
      <c r="AI71" s="1691"/>
      <c r="AJ71" s="1686"/>
      <c r="AK71" s="1691"/>
      <c r="AL71" s="1686"/>
      <c r="AM71" s="1686"/>
      <c r="AN71" s="1686"/>
      <c r="AO71" s="1686"/>
      <c r="AP71" s="1686"/>
      <c r="AQ71" s="1686"/>
      <c r="AR71" s="1686"/>
      <c r="AS71" s="1686"/>
      <c r="AT71" s="1686"/>
      <c r="AU71" s="1691">
        <v>20000</v>
      </c>
      <c r="AV71" s="1686"/>
      <c r="AW71" s="1686"/>
      <c r="AX71" s="1686"/>
      <c r="AY71" s="1686"/>
      <c r="AZ71" s="1686"/>
      <c r="BA71" s="1686"/>
      <c r="BB71" s="1691">
        <v>20000</v>
      </c>
      <c r="BC71" s="1686"/>
      <c r="BD71" s="1691">
        <v>12000</v>
      </c>
      <c r="BE71" s="1686"/>
      <c r="BF71" s="1686"/>
      <c r="BG71" s="1694">
        <v>105207</v>
      </c>
      <c r="BH71" s="1686"/>
      <c r="BI71" s="1686"/>
      <c r="BJ71" s="1686"/>
      <c r="BK71" s="1686"/>
      <c r="BL71" s="1686"/>
      <c r="BM71" s="1686"/>
      <c r="BN71" s="1686"/>
      <c r="BO71" s="1686"/>
      <c r="BP71" s="1694">
        <v>224187</v>
      </c>
      <c r="BQ71" s="1686"/>
      <c r="BR71" s="1686"/>
      <c r="BS71" s="1686"/>
      <c r="BT71" s="1691"/>
      <c r="BU71" s="1691"/>
      <c r="BV71" s="1686"/>
      <c r="BW71" s="1691">
        <v>12000</v>
      </c>
      <c r="BX71" s="1686"/>
      <c r="BY71" s="1686"/>
      <c r="BZ71" s="1694"/>
      <c r="CA71" s="1686"/>
      <c r="CB71" s="1686"/>
      <c r="CC71" s="1686"/>
      <c r="CD71" s="1691"/>
      <c r="CE71" s="1686"/>
      <c r="CF71" s="1686"/>
      <c r="CG71" s="1686"/>
      <c r="CH71" s="1686"/>
      <c r="CI71" s="1686"/>
      <c r="CJ71" s="1686"/>
      <c r="CK71" s="1686"/>
      <c r="CL71" s="1686"/>
      <c r="CM71" s="1686"/>
      <c r="CN71" s="1686"/>
      <c r="CO71" s="1686"/>
      <c r="CP71" s="1686"/>
      <c r="CQ71" s="1686"/>
      <c r="CR71" s="1686"/>
      <c r="CS71" s="1686"/>
      <c r="CT71" s="1691"/>
      <c r="CU71" s="1686"/>
      <c r="CV71" s="1686"/>
      <c r="CW71" s="1686"/>
      <c r="CX71" s="1686"/>
      <c r="CY71" s="1686"/>
      <c r="CZ71" s="1686"/>
      <c r="DA71" s="1691">
        <v>12000</v>
      </c>
      <c r="DB71" s="1686"/>
      <c r="DC71" s="1691">
        <v>20000</v>
      </c>
      <c r="DD71" s="1686"/>
      <c r="DE71" s="1686"/>
      <c r="DF71" s="1686"/>
      <c r="DG71" s="1691">
        <v>20000</v>
      </c>
      <c r="DH71" s="1686"/>
      <c r="DI71" s="1686"/>
      <c r="DJ71" s="1691"/>
      <c r="DK71" s="1686"/>
      <c r="DL71" s="1686"/>
      <c r="DM71" s="1691"/>
      <c r="DN71" s="1686"/>
      <c r="DO71" s="1691"/>
      <c r="DP71" s="1686"/>
      <c r="DQ71" s="1686"/>
      <c r="DR71" s="1686"/>
      <c r="DS71" s="1686"/>
      <c r="DT71" s="1686"/>
      <c r="DU71" s="1686"/>
      <c r="DV71" s="1686"/>
      <c r="DW71" s="1686"/>
      <c r="DX71" s="1686"/>
      <c r="DY71" s="1686"/>
      <c r="DZ71" s="1686"/>
      <c r="EA71" s="1686"/>
      <c r="EB71" s="1686"/>
      <c r="EC71" s="1686"/>
      <c r="ED71" s="1691"/>
      <c r="EE71" s="1691"/>
      <c r="EF71" s="1686"/>
      <c r="EG71" s="1691"/>
      <c r="EH71" s="1694">
        <v>1000000</v>
      </c>
      <c r="EI71" s="1686"/>
      <c r="EJ71" s="1686"/>
      <c r="EK71" s="1686"/>
      <c r="EL71" s="1686"/>
      <c r="EM71" s="1693">
        <v>1000000</v>
      </c>
      <c r="EN71" s="1686"/>
      <c r="EO71" s="1686"/>
      <c r="EP71" s="1686"/>
      <c r="EQ71" s="1686"/>
      <c r="ER71" s="1691"/>
      <c r="ES71" s="1686"/>
      <c r="ET71" s="1686"/>
      <c r="EU71" s="1686"/>
      <c r="EV71" s="1691"/>
      <c r="EW71" s="1686"/>
      <c r="EX71" s="1686"/>
      <c r="EY71" s="1691"/>
      <c r="EZ71" s="1686"/>
      <c r="FA71" s="1686"/>
      <c r="FB71" s="1686"/>
      <c r="FC71" s="1686"/>
      <c r="FD71" s="1686"/>
      <c r="FE71" s="1691"/>
      <c r="FF71" s="1691"/>
      <c r="FG71" s="1691">
        <v>12000</v>
      </c>
      <c r="FH71" s="1694"/>
      <c r="FI71" s="1694"/>
      <c r="FJ71" s="1694"/>
      <c r="FK71" s="1691"/>
      <c r="FL71" s="1691"/>
      <c r="FM71" s="1691"/>
      <c r="FN71" s="1691"/>
      <c r="FO71" s="1691"/>
      <c r="FP71" s="1691"/>
      <c r="FQ71" s="1686"/>
      <c r="FR71" s="1686"/>
      <c r="FS71" s="1686"/>
      <c r="FT71" s="1686"/>
      <c r="FU71" s="1686"/>
      <c r="FV71" s="1686"/>
      <c r="FW71" s="1686"/>
      <c r="FX71" s="1686"/>
      <c r="FY71" s="1686"/>
      <c r="FZ71" s="1686"/>
      <c r="GA71" s="1686"/>
      <c r="GB71" s="1686"/>
      <c r="GC71" s="1686"/>
      <c r="GD71" s="1686"/>
      <c r="GE71" s="1686"/>
      <c r="GF71" s="1686"/>
      <c r="GG71" s="1686"/>
      <c r="GH71" s="1686"/>
      <c r="GI71" s="1686"/>
      <c r="GJ71" s="1686"/>
      <c r="GK71" s="1686"/>
      <c r="GL71" s="1686"/>
      <c r="GM71" s="1686"/>
      <c r="GN71" s="1686"/>
      <c r="GO71" s="1686"/>
      <c r="GP71" s="1686"/>
      <c r="GQ71" s="1686"/>
      <c r="GR71" s="1686"/>
      <c r="GS71" s="1686"/>
      <c r="GT71" s="1686"/>
      <c r="GU71" s="1686"/>
      <c r="GV71" s="1686"/>
      <c r="GW71" s="1686"/>
      <c r="GX71" s="1686"/>
      <c r="GY71" s="1686"/>
      <c r="GZ71" s="1686"/>
      <c r="HA71" s="1686"/>
      <c r="HB71" s="1691"/>
      <c r="HC71" s="1686"/>
      <c r="HD71" s="1686"/>
      <c r="HE71" s="1686"/>
      <c r="HF71" s="1686"/>
      <c r="HG71" s="1691"/>
      <c r="HH71" s="1686"/>
      <c r="HI71" s="1691"/>
      <c r="HJ71" s="1691"/>
      <c r="HK71" s="1691"/>
      <c r="HL71" s="1691"/>
      <c r="HM71" s="1691"/>
      <c r="HN71" s="1686"/>
      <c r="HO71" s="1686"/>
      <c r="HP71" s="1691"/>
      <c r="HQ71" s="1686"/>
      <c r="HR71" s="1686"/>
      <c r="HS71" s="1686"/>
      <c r="HT71" s="1686"/>
      <c r="HU71" s="1686"/>
      <c r="HV71" s="1686"/>
      <c r="HW71" s="1686"/>
      <c r="HX71" s="1686"/>
      <c r="HY71" s="1686"/>
      <c r="HZ71" s="1686"/>
      <c r="IA71" s="1686"/>
      <c r="IB71" s="1686"/>
      <c r="IC71" s="1686"/>
      <c r="ID71" s="1686"/>
      <c r="IE71" s="1686"/>
      <c r="IF71" s="1686"/>
      <c r="IG71" s="1686"/>
      <c r="IH71" s="1686"/>
      <c r="II71" s="1686"/>
      <c r="IJ71" s="1686"/>
      <c r="IK71" s="1686"/>
      <c r="IL71" s="1686"/>
      <c r="IM71" s="1686"/>
      <c r="IN71" s="1686"/>
      <c r="IO71" s="1686"/>
      <c r="IP71" s="1686"/>
      <c r="IQ71" s="1686"/>
      <c r="IR71" s="1686"/>
      <c r="IS71" s="1686"/>
      <c r="IT71" s="1686"/>
      <c r="IU71" s="1686"/>
      <c r="IV71" s="1686"/>
      <c r="IW71" s="1686"/>
      <c r="IX71" s="1691"/>
      <c r="IY71" s="1686"/>
      <c r="IZ71" s="1691"/>
      <c r="JA71" s="1686"/>
      <c r="JB71" s="1686"/>
      <c r="JC71" s="1686"/>
      <c r="JD71" s="1686"/>
      <c r="JE71" s="1686"/>
      <c r="JF71" s="1686"/>
      <c r="JG71" s="1686"/>
      <c r="JH71" s="1686"/>
      <c r="JI71" s="1686">
        <v>92500</v>
      </c>
      <c r="JJ71" s="1686"/>
      <c r="JK71" s="1686"/>
      <c r="JL71" s="1686"/>
      <c r="JM71" s="1686"/>
      <c r="JN71" s="1686"/>
      <c r="JO71" s="1686"/>
      <c r="JP71" s="1686"/>
      <c r="JQ71" s="1724"/>
      <c r="JR71" s="593"/>
      <c r="JS71" s="354" t="s">
        <v>4391</v>
      </c>
      <c r="JT71" s="355" t="s">
        <v>2242</v>
      </c>
      <c r="JU71" s="598"/>
      <c r="JV71" s="356" t="s">
        <v>4392</v>
      </c>
    </row>
    <row r="72" spans="1:282" x14ac:dyDescent="0.25">
      <c r="A72" s="1367">
        <v>71</v>
      </c>
      <c r="B72" s="1684" t="str">
        <f t="shared" si="11"/>
        <v/>
      </c>
      <c r="C72" s="1688" t="s">
        <v>4393</v>
      </c>
      <c r="D72" s="1360" t="s">
        <v>4394</v>
      </c>
      <c r="E72" s="1686"/>
      <c r="F72" s="1686"/>
      <c r="G72" s="1686"/>
      <c r="H72" s="1686"/>
      <c r="I72" s="1686"/>
      <c r="J72" s="1686"/>
      <c r="K72" s="1686"/>
      <c r="L72" s="1686"/>
      <c r="M72" s="1686"/>
      <c r="N72" s="1686"/>
      <c r="O72" s="1686"/>
      <c r="P72" s="1686"/>
      <c r="Q72" s="1686"/>
      <c r="R72" s="1686"/>
      <c r="S72" s="1686"/>
      <c r="T72" s="1686"/>
      <c r="U72" s="1686"/>
      <c r="V72" s="1686"/>
      <c r="W72" s="1686"/>
      <c r="X72" s="1686"/>
      <c r="Y72" s="1686"/>
      <c r="Z72" s="1686"/>
      <c r="AA72" s="1686"/>
      <c r="AB72" s="1686"/>
      <c r="AC72" s="1686"/>
      <c r="AD72" s="1686"/>
      <c r="AE72" s="1686"/>
      <c r="AF72" s="1686"/>
      <c r="AG72" s="1686"/>
      <c r="AH72" s="1686"/>
      <c r="AI72" s="1691"/>
      <c r="AJ72" s="1686"/>
      <c r="AK72" s="1691"/>
      <c r="AL72" s="1686"/>
      <c r="AM72" s="1686"/>
      <c r="AN72" s="1686"/>
      <c r="AO72" s="1686"/>
      <c r="AP72" s="1686"/>
      <c r="AQ72" s="1686"/>
      <c r="AR72" s="1686"/>
      <c r="AS72" s="1686"/>
      <c r="AT72" s="1686"/>
      <c r="AU72" s="1691">
        <v>20000</v>
      </c>
      <c r="AV72" s="1686"/>
      <c r="AW72" s="1686"/>
      <c r="AX72" s="1686"/>
      <c r="AY72" s="1686"/>
      <c r="AZ72" s="1686"/>
      <c r="BA72" s="1686"/>
      <c r="BB72" s="1691">
        <v>20000</v>
      </c>
      <c r="BC72" s="1686"/>
      <c r="BD72" s="1691">
        <v>24000</v>
      </c>
      <c r="BE72" s="1686"/>
      <c r="BF72" s="1686"/>
      <c r="BG72" s="1694">
        <v>105207</v>
      </c>
      <c r="BH72" s="1686"/>
      <c r="BI72" s="1686"/>
      <c r="BJ72" s="1686"/>
      <c r="BK72" s="1686"/>
      <c r="BL72" s="1686"/>
      <c r="BM72" s="1686"/>
      <c r="BN72" s="1686"/>
      <c r="BO72" s="1686"/>
      <c r="BP72" s="1694">
        <v>224187</v>
      </c>
      <c r="BQ72" s="1686"/>
      <c r="BR72" s="1686"/>
      <c r="BS72" s="1686"/>
      <c r="BT72" s="1691"/>
      <c r="BU72" s="1691"/>
      <c r="BV72" s="1686"/>
      <c r="BW72" s="1691">
        <v>12000</v>
      </c>
      <c r="BX72" s="1686"/>
      <c r="BY72" s="1686"/>
      <c r="BZ72" s="1694"/>
      <c r="CA72" s="1686"/>
      <c r="CB72" s="1686"/>
      <c r="CC72" s="1686"/>
      <c r="CD72" s="1691"/>
      <c r="CE72" s="1686"/>
      <c r="CF72" s="1686"/>
      <c r="CG72" s="1686"/>
      <c r="CH72" s="1686"/>
      <c r="CI72" s="1686"/>
      <c r="CJ72" s="1686"/>
      <c r="CK72" s="1686"/>
      <c r="CL72" s="1686"/>
      <c r="CM72" s="1686"/>
      <c r="CN72" s="1686"/>
      <c r="CO72" s="1686"/>
      <c r="CP72" s="1686"/>
      <c r="CQ72" s="1686"/>
      <c r="CR72" s="1686"/>
      <c r="CS72" s="1686"/>
      <c r="CT72" s="1691"/>
      <c r="CU72" s="1686"/>
      <c r="CV72" s="1686"/>
      <c r="CW72" s="1686"/>
      <c r="CX72" s="1686"/>
      <c r="CY72" s="1686"/>
      <c r="CZ72" s="1686"/>
      <c r="DA72" s="1691">
        <v>50000</v>
      </c>
      <c r="DB72" s="1686"/>
      <c r="DC72" s="1691">
        <v>20000</v>
      </c>
      <c r="DD72" s="1686"/>
      <c r="DE72" s="1686"/>
      <c r="DF72" s="1686"/>
      <c r="DG72" s="1691">
        <v>40000</v>
      </c>
      <c r="DH72" s="1686"/>
      <c r="DI72" s="1686"/>
      <c r="DJ72" s="1691"/>
      <c r="DK72" s="1686"/>
      <c r="DL72" s="1686"/>
      <c r="DM72" s="1691"/>
      <c r="DN72" s="1686"/>
      <c r="DO72" s="1691"/>
      <c r="DP72" s="1686"/>
      <c r="DQ72" s="1686"/>
      <c r="DR72" s="1686"/>
      <c r="DS72" s="1686"/>
      <c r="DT72" s="1686"/>
      <c r="DU72" s="1686"/>
      <c r="DV72" s="1686"/>
      <c r="DW72" s="1686"/>
      <c r="DX72" s="1686"/>
      <c r="DY72" s="1686"/>
      <c r="DZ72" s="1686"/>
      <c r="EA72" s="1686"/>
      <c r="EB72" s="1686"/>
      <c r="EC72" s="1686"/>
      <c r="ED72" s="1691"/>
      <c r="EE72" s="1691"/>
      <c r="EF72" s="1686"/>
      <c r="EG72" s="1691"/>
      <c r="EH72" s="1694">
        <v>1000000</v>
      </c>
      <c r="EI72" s="1686"/>
      <c r="EJ72" s="1686"/>
      <c r="EK72" s="1686"/>
      <c r="EL72" s="1686"/>
      <c r="EM72" s="1693">
        <v>1000000</v>
      </c>
      <c r="EN72" s="1686"/>
      <c r="EO72" s="1686"/>
      <c r="EP72" s="1686"/>
      <c r="EQ72" s="1686"/>
      <c r="ER72" s="1691"/>
      <c r="ES72" s="1686"/>
      <c r="ET72" s="1686"/>
      <c r="EU72" s="1686"/>
      <c r="EV72" s="1691"/>
      <c r="EW72" s="1686"/>
      <c r="EX72" s="1686"/>
      <c r="EY72" s="1691"/>
      <c r="EZ72" s="1686"/>
      <c r="FA72" s="1686"/>
      <c r="FB72" s="1686"/>
      <c r="FC72" s="1686"/>
      <c r="FD72" s="1686"/>
      <c r="FE72" s="1691"/>
      <c r="FF72" s="1691"/>
      <c r="FG72" s="1691">
        <v>12000</v>
      </c>
      <c r="FH72" s="1694"/>
      <c r="FI72" s="1694"/>
      <c r="FJ72" s="1694"/>
      <c r="FK72" s="1691"/>
      <c r="FL72" s="1691"/>
      <c r="FM72" s="1691"/>
      <c r="FN72" s="1691"/>
      <c r="FO72" s="1691"/>
      <c r="FP72" s="1691"/>
      <c r="FQ72" s="1686"/>
      <c r="FR72" s="1686"/>
      <c r="FS72" s="1686"/>
      <c r="FT72" s="1686"/>
      <c r="FU72" s="1686"/>
      <c r="FV72" s="1686"/>
      <c r="FW72" s="1686"/>
      <c r="FX72" s="1686"/>
      <c r="FY72" s="1686"/>
      <c r="FZ72" s="1686"/>
      <c r="GA72" s="1686"/>
      <c r="GB72" s="1686"/>
      <c r="GC72" s="1686"/>
      <c r="GD72" s="1686"/>
      <c r="GE72" s="1686"/>
      <c r="GF72" s="1686"/>
      <c r="GG72" s="1686"/>
      <c r="GH72" s="1686"/>
      <c r="GI72" s="1686"/>
      <c r="GJ72" s="1686"/>
      <c r="GK72" s="1686"/>
      <c r="GL72" s="1686"/>
      <c r="GM72" s="1686"/>
      <c r="GN72" s="1686"/>
      <c r="GO72" s="1686"/>
      <c r="GP72" s="1686"/>
      <c r="GQ72" s="1686"/>
      <c r="GR72" s="1686"/>
      <c r="GS72" s="1686"/>
      <c r="GT72" s="1686"/>
      <c r="GU72" s="1686"/>
      <c r="GV72" s="1686"/>
      <c r="GW72" s="1686"/>
      <c r="GX72" s="1686"/>
      <c r="GY72" s="1686"/>
      <c r="GZ72" s="1686"/>
      <c r="HA72" s="1686"/>
      <c r="HB72" s="1691"/>
      <c r="HC72" s="1686"/>
      <c r="HD72" s="1686"/>
      <c r="HE72" s="1686"/>
      <c r="HF72" s="1686"/>
      <c r="HG72" s="1691"/>
      <c r="HH72" s="1686"/>
      <c r="HI72" s="1691"/>
      <c r="HJ72" s="1691"/>
      <c r="HK72" s="1691"/>
      <c r="HL72" s="1691"/>
      <c r="HM72" s="1691"/>
      <c r="HN72" s="1686"/>
      <c r="HO72" s="1686"/>
      <c r="HP72" s="1691"/>
      <c r="HQ72" s="1686"/>
      <c r="HR72" s="1686"/>
      <c r="HS72" s="1686"/>
      <c r="HT72" s="1686"/>
      <c r="HU72" s="1686"/>
      <c r="HV72" s="1686"/>
      <c r="HW72" s="1686"/>
      <c r="HX72" s="1686"/>
      <c r="HY72" s="1686"/>
      <c r="HZ72" s="1686"/>
      <c r="IA72" s="1686"/>
      <c r="IB72" s="1686"/>
      <c r="IC72" s="1686"/>
      <c r="ID72" s="1686"/>
      <c r="IE72" s="1686"/>
      <c r="IF72" s="1686"/>
      <c r="IG72" s="1686"/>
      <c r="IH72" s="1686"/>
      <c r="II72" s="1686"/>
      <c r="IJ72" s="1686"/>
      <c r="IK72" s="1686"/>
      <c r="IL72" s="1686"/>
      <c r="IM72" s="1686"/>
      <c r="IN72" s="1686"/>
      <c r="IO72" s="1686"/>
      <c r="IP72" s="1686"/>
      <c r="IQ72" s="1686"/>
      <c r="IR72" s="1686"/>
      <c r="IS72" s="1686"/>
      <c r="IT72" s="1686"/>
      <c r="IU72" s="1686"/>
      <c r="IV72" s="1686"/>
      <c r="IW72" s="1686"/>
      <c r="IX72" s="1691"/>
      <c r="IY72" s="1686"/>
      <c r="IZ72" s="1691"/>
      <c r="JA72" s="1686"/>
      <c r="JB72" s="1686"/>
      <c r="JC72" s="1686"/>
      <c r="JD72" s="1686"/>
      <c r="JE72" s="1686"/>
      <c r="JF72" s="1686"/>
      <c r="JG72" s="1686"/>
      <c r="JH72" s="1686"/>
      <c r="JI72" s="1686">
        <v>92500</v>
      </c>
      <c r="JJ72" s="1686"/>
      <c r="JK72" s="1686"/>
      <c r="JL72" s="1686"/>
      <c r="JM72" s="1686"/>
      <c r="JN72" s="1686"/>
      <c r="JO72" s="1686"/>
      <c r="JP72" s="1686"/>
      <c r="JQ72" s="1724"/>
      <c r="JR72" s="593"/>
      <c r="JS72" s="354"/>
      <c r="JT72" s="355"/>
      <c r="JU72" s="598"/>
      <c r="JV72" s="356"/>
    </row>
    <row r="73" spans="1:282" x14ac:dyDescent="0.25">
      <c r="A73" s="1367">
        <v>72</v>
      </c>
      <c r="B73" s="1684" t="str">
        <f t="shared" si="11"/>
        <v/>
      </c>
      <c r="C73" s="1688" t="s">
        <v>4395</v>
      </c>
      <c r="D73" s="1360" t="s">
        <v>4396</v>
      </c>
      <c r="E73" s="1686"/>
      <c r="F73" s="1686"/>
      <c r="G73" s="1686"/>
      <c r="H73" s="1686"/>
      <c r="I73" s="1686"/>
      <c r="J73" s="1686"/>
      <c r="K73" s="1686"/>
      <c r="L73" s="1686"/>
      <c r="M73" s="1686"/>
      <c r="N73" s="1686"/>
      <c r="O73" s="1686"/>
      <c r="P73" s="1686"/>
      <c r="Q73" s="1686"/>
      <c r="R73" s="1686"/>
      <c r="S73" s="1686"/>
      <c r="T73" s="1686"/>
      <c r="U73" s="1686"/>
      <c r="V73" s="1686"/>
      <c r="W73" s="1686"/>
      <c r="X73" s="1686"/>
      <c r="Y73" s="1686"/>
      <c r="Z73" s="1686"/>
      <c r="AA73" s="1686"/>
      <c r="AB73" s="1686"/>
      <c r="AC73" s="1686"/>
      <c r="AD73" s="1686"/>
      <c r="AE73" s="1686"/>
      <c r="AF73" s="1686"/>
      <c r="AG73" s="1686"/>
      <c r="AH73" s="1686"/>
      <c r="AI73" s="1691"/>
      <c r="AJ73" s="1686"/>
      <c r="AK73" s="1691"/>
      <c r="AL73" s="1686"/>
      <c r="AM73" s="1686"/>
      <c r="AN73" s="1686"/>
      <c r="AO73" s="1686"/>
      <c r="AP73" s="1686"/>
      <c r="AQ73" s="1686"/>
      <c r="AR73" s="1686"/>
      <c r="AS73" s="1686"/>
      <c r="AT73" s="1686"/>
      <c r="AU73" s="1691"/>
      <c r="AV73" s="1686"/>
      <c r="AW73" s="1686"/>
      <c r="AX73" s="1686"/>
      <c r="AY73" s="1686"/>
      <c r="AZ73" s="1686"/>
      <c r="BA73" s="1686"/>
      <c r="BB73" s="1691"/>
      <c r="BC73" s="1686"/>
      <c r="BD73" s="1691"/>
      <c r="BE73" s="1686"/>
      <c r="BF73" s="1686"/>
      <c r="BG73" s="1712"/>
      <c r="BH73" s="1686"/>
      <c r="BI73" s="1686"/>
      <c r="BJ73" s="1686"/>
      <c r="BK73" s="1686"/>
      <c r="BL73" s="1686"/>
      <c r="BM73" s="1686"/>
      <c r="BN73" s="1686"/>
      <c r="BO73" s="1686"/>
      <c r="BP73" s="1691"/>
      <c r="BQ73" s="1686"/>
      <c r="BR73" s="1686"/>
      <c r="BS73" s="1686"/>
      <c r="BT73" s="1691"/>
      <c r="BU73" s="1691"/>
      <c r="BV73" s="1686"/>
      <c r="BW73" s="1691"/>
      <c r="BX73" s="1686"/>
      <c r="BY73" s="1686"/>
      <c r="BZ73" s="1691"/>
      <c r="CA73" s="1686"/>
      <c r="CB73" s="1686"/>
      <c r="CC73" s="1686"/>
      <c r="CD73" s="1691"/>
      <c r="CE73" s="1686"/>
      <c r="CF73" s="1686"/>
      <c r="CG73" s="1686"/>
      <c r="CH73" s="1686"/>
      <c r="CI73" s="1686"/>
      <c r="CJ73" s="1686"/>
      <c r="CK73" s="1686"/>
      <c r="CL73" s="1686"/>
      <c r="CM73" s="1686"/>
      <c r="CN73" s="1686"/>
      <c r="CO73" s="1686"/>
      <c r="CP73" s="1686"/>
      <c r="CQ73" s="1686"/>
      <c r="CR73" s="1686"/>
      <c r="CS73" s="1686"/>
      <c r="CT73" s="1691"/>
      <c r="CU73" s="1686"/>
      <c r="CV73" s="1686"/>
      <c r="CW73" s="1686"/>
      <c r="CX73" s="1686"/>
      <c r="CY73" s="1686"/>
      <c r="CZ73" s="1686"/>
      <c r="DA73" s="1691"/>
      <c r="DB73" s="1686"/>
      <c r="DC73" s="1691"/>
      <c r="DD73" s="1686"/>
      <c r="DE73" s="1686"/>
      <c r="DF73" s="1686"/>
      <c r="DG73" s="1691"/>
      <c r="DH73" s="1686"/>
      <c r="DI73" s="1686"/>
      <c r="DJ73" s="1691"/>
      <c r="DK73" s="1686"/>
      <c r="DL73" s="1686"/>
      <c r="DM73" s="1691"/>
      <c r="DN73" s="1686"/>
      <c r="DO73" s="1691"/>
      <c r="DP73" s="1686"/>
      <c r="DQ73" s="1686"/>
      <c r="DR73" s="1686"/>
      <c r="DS73" s="1686"/>
      <c r="DT73" s="1686"/>
      <c r="DU73" s="1686"/>
      <c r="DV73" s="1686"/>
      <c r="DW73" s="1686"/>
      <c r="DX73" s="1686"/>
      <c r="DY73" s="1686"/>
      <c r="DZ73" s="1686"/>
      <c r="EA73" s="1686"/>
      <c r="EB73" s="1686"/>
      <c r="EC73" s="1686"/>
      <c r="ED73" s="1691"/>
      <c r="EE73" s="1691"/>
      <c r="EF73" s="1686"/>
      <c r="EG73" s="1691"/>
      <c r="EH73" s="1691"/>
      <c r="EI73" s="1686"/>
      <c r="EJ73" s="1686"/>
      <c r="EK73" s="1686"/>
      <c r="EL73" s="1686"/>
      <c r="EM73" s="1686"/>
      <c r="EN73" s="1686"/>
      <c r="EO73" s="1686"/>
      <c r="EP73" s="1686"/>
      <c r="EQ73" s="1686"/>
      <c r="ER73" s="1691"/>
      <c r="ES73" s="1686"/>
      <c r="ET73" s="1686"/>
      <c r="EU73" s="1686"/>
      <c r="EV73" s="1691"/>
      <c r="EW73" s="1686"/>
      <c r="EX73" s="1686"/>
      <c r="EY73" s="1691"/>
      <c r="EZ73" s="1686"/>
      <c r="FA73" s="1686"/>
      <c r="FB73" s="1693">
        <v>-1029335</v>
      </c>
      <c r="FC73" s="1686"/>
      <c r="FD73" s="1693">
        <v>-4447</v>
      </c>
      <c r="FE73" s="1691"/>
      <c r="FF73" s="1694">
        <v>-1825</v>
      </c>
      <c r="FG73" s="1691"/>
      <c r="FH73" s="1694">
        <v>-4447</v>
      </c>
      <c r="FI73" s="1691"/>
      <c r="FJ73" s="1694">
        <v>-33539</v>
      </c>
      <c r="FK73" s="1694">
        <v>-1874</v>
      </c>
      <c r="FL73" s="1691"/>
      <c r="FM73" s="1691"/>
      <c r="FN73" s="1691"/>
      <c r="FO73" s="1694">
        <v>-170</v>
      </c>
      <c r="FP73" s="1691"/>
      <c r="FQ73" s="1686"/>
      <c r="FR73" s="1686"/>
      <c r="FS73" s="1686"/>
      <c r="FT73" s="1686"/>
      <c r="FU73" s="1686"/>
      <c r="FV73" s="1686"/>
      <c r="FW73" s="1686"/>
      <c r="FX73" s="1686"/>
      <c r="FY73" s="1686"/>
      <c r="FZ73" s="1686"/>
      <c r="GA73" s="1686"/>
      <c r="GB73" s="1686"/>
      <c r="GC73" s="1686"/>
      <c r="GD73" s="1686"/>
      <c r="GE73" s="1686"/>
      <c r="GF73" s="1686"/>
      <c r="GG73" s="1686"/>
      <c r="GH73" s="1686"/>
      <c r="GI73" s="1686"/>
      <c r="GJ73" s="1686"/>
      <c r="GK73" s="1686"/>
      <c r="GL73" s="1686"/>
      <c r="GM73" s="1686"/>
      <c r="GN73" s="1686"/>
      <c r="GO73" s="1686"/>
      <c r="GP73" s="1686"/>
      <c r="GQ73" s="1686"/>
      <c r="GR73" s="1686"/>
      <c r="GS73" s="1686"/>
      <c r="GT73" s="1686"/>
      <c r="GU73" s="1686"/>
      <c r="GV73" s="1686"/>
      <c r="GW73" s="1686"/>
      <c r="GX73" s="1686"/>
      <c r="GY73" s="1686"/>
      <c r="GZ73" s="1686"/>
      <c r="HA73" s="1686"/>
      <c r="HB73" s="1691"/>
      <c r="HC73" s="1686"/>
      <c r="HD73" s="1686"/>
      <c r="HE73" s="1686"/>
      <c r="HF73" s="1686"/>
      <c r="HG73" s="1691"/>
      <c r="HH73" s="1686"/>
      <c r="HI73" s="1691">
        <v>900</v>
      </c>
      <c r="HJ73" s="1691"/>
      <c r="HK73" s="1691"/>
      <c r="HL73" s="1691"/>
      <c r="HM73" s="1694">
        <v>-992829</v>
      </c>
      <c r="HN73" s="1686"/>
      <c r="HO73" s="1686"/>
      <c r="HP73" s="1691">
        <v>900</v>
      </c>
      <c r="HQ73" s="1686"/>
      <c r="HR73" s="1686"/>
      <c r="HS73" s="1686"/>
      <c r="HT73" s="1686"/>
      <c r="HU73" s="1686"/>
      <c r="HV73" s="1686"/>
      <c r="HW73" s="1686"/>
      <c r="HX73" s="1686"/>
      <c r="HY73" s="1686"/>
      <c r="HZ73" s="1686"/>
      <c r="IA73" s="1686"/>
      <c r="IB73" s="1686"/>
      <c r="IC73" s="1686"/>
      <c r="ID73" s="1686"/>
      <c r="IE73" s="1686"/>
      <c r="IF73" s="1451">
        <v>-10607</v>
      </c>
      <c r="IG73" s="1686"/>
      <c r="IH73" s="1686"/>
      <c r="II73" s="1686"/>
      <c r="IJ73" s="1686"/>
      <c r="IK73" s="1686"/>
      <c r="IL73" s="1686"/>
      <c r="IM73" s="1686"/>
      <c r="IN73" s="1686"/>
      <c r="IO73" s="1686"/>
      <c r="IP73" s="1686"/>
      <c r="IQ73" s="1686"/>
      <c r="IR73" s="1686"/>
      <c r="IS73" s="1686"/>
      <c r="IT73" s="1686"/>
      <c r="IU73" s="1686"/>
      <c r="IV73" s="1686"/>
      <c r="IW73" s="1686"/>
      <c r="IX73" s="1691"/>
      <c r="IY73" s="1686"/>
      <c r="IZ73" s="1691"/>
      <c r="JA73" s="1686"/>
      <c r="JB73" s="1686"/>
      <c r="JC73" s="1686"/>
      <c r="JD73" s="1686"/>
      <c r="JE73" s="1686"/>
      <c r="JF73" s="1686"/>
      <c r="JG73" s="1686"/>
      <c r="JH73" s="1686"/>
      <c r="JI73" s="1686"/>
      <c r="JJ73" s="1686"/>
      <c r="JK73" s="1686"/>
      <c r="JL73" s="1686"/>
      <c r="JM73" s="1686"/>
      <c r="JN73" s="1686"/>
      <c r="JO73" s="1686"/>
      <c r="JP73" s="1686"/>
      <c r="JQ73" s="1724"/>
      <c r="JR73" s="593"/>
      <c r="JS73" s="354" t="s">
        <v>3649</v>
      </c>
      <c r="JT73" s="355" t="s">
        <v>2253</v>
      </c>
      <c r="JU73" s="598"/>
      <c r="JV73" s="598"/>
    </row>
    <row r="74" spans="1:282" x14ac:dyDescent="0.25">
      <c r="A74" s="1367">
        <v>73</v>
      </c>
      <c r="B74" s="1684" t="str">
        <f t="shared" si="11"/>
        <v/>
      </c>
      <c r="C74" s="1688" t="s">
        <v>4397</v>
      </c>
      <c r="D74" s="1360" t="s">
        <v>4398</v>
      </c>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A74" s="1720"/>
      <c r="AB74" s="1720"/>
      <c r="AC74" s="1720"/>
      <c r="AD74" s="1720"/>
      <c r="AE74" s="1720"/>
      <c r="AF74" s="1720"/>
      <c r="AG74" s="1720"/>
      <c r="AH74" s="1720"/>
      <c r="AI74" s="1712"/>
      <c r="AJ74" s="1720"/>
      <c r="AK74" s="1712"/>
      <c r="AL74" s="1720"/>
      <c r="AM74" s="1720"/>
      <c r="AN74" s="1720"/>
      <c r="AO74" s="1720"/>
      <c r="AP74" s="1720"/>
      <c r="AQ74" s="1720"/>
      <c r="AR74" s="1720"/>
      <c r="AS74" s="1720"/>
      <c r="AT74" s="1720"/>
      <c r="AU74" s="1712"/>
      <c r="AV74" s="1720"/>
      <c r="AW74" s="1720"/>
      <c r="AX74" s="1720"/>
      <c r="AY74" s="1720"/>
      <c r="AZ74" s="1720"/>
      <c r="BA74" s="1720"/>
      <c r="BB74" s="1712"/>
      <c r="BC74" s="1720"/>
      <c r="BD74" s="1712"/>
      <c r="BE74" s="1720"/>
      <c r="BF74" s="1720"/>
      <c r="BG74" s="1712"/>
      <c r="BH74" s="1720"/>
      <c r="BI74" s="1720"/>
      <c r="BJ74" s="1720"/>
      <c r="BK74" s="1720"/>
      <c r="BL74" s="1720"/>
      <c r="BM74" s="1720"/>
      <c r="BN74" s="1720"/>
      <c r="BO74" s="1720"/>
      <c r="BP74" s="1712"/>
      <c r="BQ74" s="1720"/>
      <c r="BR74" s="1720"/>
      <c r="BS74" s="1720"/>
      <c r="BT74" s="1712"/>
      <c r="BU74" s="1691"/>
      <c r="BV74" s="1720"/>
      <c r="BW74" s="1712"/>
      <c r="BX74" s="1720"/>
      <c r="BY74" s="1720"/>
      <c r="BZ74" s="1712"/>
      <c r="CA74" s="1720"/>
      <c r="CB74" s="1720"/>
      <c r="CC74" s="1720"/>
      <c r="CD74" s="1691"/>
      <c r="CE74" s="1720"/>
      <c r="CF74" s="1720"/>
      <c r="CG74" s="1720"/>
      <c r="CH74" s="1720"/>
      <c r="CI74" s="1720"/>
      <c r="CJ74" s="1720"/>
      <c r="CK74" s="1720"/>
      <c r="CL74" s="1720"/>
      <c r="CM74" s="1720"/>
      <c r="CN74" s="1720"/>
      <c r="CO74" s="1720"/>
      <c r="CP74" s="1720"/>
      <c r="CQ74" s="1720"/>
      <c r="CR74" s="1720"/>
      <c r="CS74" s="1720"/>
      <c r="CT74" s="1691"/>
      <c r="CU74" s="1720"/>
      <c r="CV74" s="1720"/>
      <c r="CW74" s="1720"/>
      <c r="CX74" s="1720"/>
      <c r="CY74" s="1720"/>
      <c r="CZ74" s="1720"/>
      <c r="DA74" s="1712"/>
      <c r="DB74" s="1720"/>
      <c r="DC74" s="1712"/>
      <c r="DD74" s="1720"/>
      <c r="DE74" s="1720"/>
      <c r="DF74" s="1720"/>
      <c r="DG74" s="1712"/>
      <c r="DH74" s="1720"/>
      <c r="DI74" s="1720"/>
      <c r="DJ74" s="1712"/>
      <c r="DK74" s="1720"/>
      <c r="DL74" s="1720"/>
      <c r="DM74" s="1712"/>
      <c r="DN74" s="1720"/>
      <c r="DO74" s="1712"/>
      <c r="DP74" s="1720"/>
      <c r="DQ74" s="1720"/>
      <c r="DR74" s="1720"/>
      <c r="DS74" s="1720"/>
      <c r="DT74" s="1720"/>
      <c r="DU74" s="1720"/>
      <c r="DV74" s="1720"/>
      <c r="DW74" s="1720"/>
      <c r="DX74" s="1720"/>
      <c r="DY74" s="1720"/>
      <c r="DZ74" s="1720"/>
      <c r="EA74" s="1720"/>
      <c r="EB74" s="1720"/>
      <c r="EC74" s="1720"/>
      <c r="ED74" s="1712"/>
      <c r="EE74" s="1712"/>
      <c r="EF74" s="1720"/>
      <c r="EG74" s="1712"/>
      <c r="EH74" s="1712"/>
      <c r="EI74" s="1720"/>
      <c r="EJ74" s="1720"/>
      <c r="EK74" s="1720"/>
      <c r="EL74" s="1720"/>
      <c r="EM74" s="1720"/>
      <c r="EN74" s="1720"/>
      <c r="EO74" s="1720"/>
      <c r="EP74" s="1720"/>
      <c r="EQ74" s="1720"/>
      <c r="ER74" s="1712"/>
      <c r="ES74" s="1720"/>
      <c r="ET74" s="1720"/>
      <c r="EU74" s="1720"/>
      <c r="EV74" s="1691"/>
      <c r="EW74" s="1720"/>
      <c r="EX74" s="1693">
        <v>20377</v>
      </c>
      <c r="EY74" s="1712"/>
      <c r="EZ74" s="1720"/>
      <c r="FA74" s="1720"/>
      <c r="FB74" s="1720"/>
      <c r="FC74" s="1720"/>
      <c r="FD74" s="1720"/>
      <c r="FE74" s="1712"/>
      <c r="FF74" s="1712"/>
      <c r="FG74" s="1712"/>
      <c r="FH74" s="1712"/>
      <c r="FI74" s="1712"/>
      <c r="FJ74" s="1712"/>
      <c r="FK74" s="1712"/>
      <c r="FL74" s="1694">
        <v>10807.96</v>
      </c>
      <c r="FM74" s="1712"/>
      <c r="FN74" s="1712"/>
      <c r="FO74" s="1712"/>
      <c r="FP74" s="1712"/>
      <c r="FQ74" s="1720"/>
      <c r="FR74" s="1720"/>
      <c r="FS74" s="1720"/>
      <c r="FT74" s="1720"/>
      <c r="FU74" s="1720"/>
      <c r="FV74" s="1720"/>
      <c r="FW74" s="1720"/>
      <c r="FX74" s="1720"/>
      <c r="FY74" s="1720"/>
      <c r="FZ74" s="1720"/>
      <c r="GA74" s="1720"/>
      <c r="GB74" s="1720"/>
      <c r="GC74" s="1720"/>
      <c r="GD74" s="1720"/>
      <c r="GE74" s="1720"/>
      <c r="GF74" s="1720"/>
      <c r="GG74" s="1720"/>
      <c r="GH74" s="1720"/>
      <c r="GI74" s="1720"/>
      <c r="GJ74" s="1720"/>
      <c r="GK74" s="1720"/>
      <c r="GL74" s="1720"/>
      <c r="GM74" s="1720"/>
      <c r="GN74" s="1720"/>
      <c r="GO74" s="1720"/>
      <c r="GP74" s="1720"/>
      <c r="GQ74" s="1720"/>
      <c r="GR74" s="1720"/>
      <c r="GS74" s="1720"/>
      <c r="GT74" s="1720"/>
      <c r="GU74" s="1720"/>
      <c r="GV74" s="1720"/>
      <c r="GW74" s="1720"/>
      <c r="GX74" s="1720"/>
      <c r="GY74" s="1720"/>
      <c r="GZ74" s="1720"/>
      <c r="HA74" s="1720"/>
      <c r="HB74" s="1712"/>
      <c r="HC74" s="1720"/>
      <c r="HD74" s="1720"/>
      <c r="HE74" s="1720"/>
      <c r="HF74" s="1720"/>
      <c r="HG74" s="1712"/>
      <c r="HH74" s="1720"/>
      <c r="HI74" s="1712">
        <v>2000</v>
      </c>
      <c r="HJ74" s="1712"/>
      <c r="HK74" s="1712"/>
      <c r="HL74" s="1712"/>
      <c r="HM74" s="1712"/>
      <c r="HN74" s="1720"/>
      <c r="HO74" s="1720"/>
      <c r="HP74" s="1712">
        <v>2000</v>
      </c>
      <c r="HQ74" s="1720"/>
      <c r="HR74" s="1720"/>
      <c r="HS74" s="1720"/>
      <c r="HT74" s="1720"/>
      <c r="HU74" s="1720"/>
      <c r="HV74" s="1720"/>
      <c r="HW74" s="1720"/>
      <c r="HX74" s="1720"/>
      <c r="HY74" s="1720"/>
      <c r="HZ74" s="1720"/>
      <c r="IA74" s="1720"/>
      <c r="IB74" s="1720"/>
      <c r="IC74" s="1720"/>
      <c r="ID74" s="1720"/>
      <c r="IE74" s="1720"/>
      <c r="IF74" s="1720"/>
      <c r="IG74" s="1720"/>
      <c r="IH74" s="1720"/>
      <c r="II74" s="1720"/>
      <c r="IJ74" s="1720"/>
      <c r="IK74" s="1720"/>
      <c r="IL74" s="1720"/>
      <c r="IM74" s="1720"/>
      <c r="IN74" s="1720"/>
      <c r="IO74" s="1720"/>
      <c r="IP74" s="1720"/>
      <c r="IQ74" s="1720"/>
      <c r="IR74" s="1720"/>
      <c r="IS74" s="1720"/>
      <c r="IT74" s="1720"/>
      <c r="IU74" s="1720"/>
      <c r="IV74" s="1720"/>
      <c r="IW74" s="1720"/>
      <c r="IX74" s="1712"/>
      <c r="IY74" s="1720"/>
      <c r="IZ74" s="1712"/>
      <c r="JA74" s="1720"/>
      <c r="JB74" s="1720"/>
      <c r="JC74" s="1720"/>
      <c r="JD74" s="1720"/>
      <c r="JE74" s="1720"/>
      <c r="JF74" s="1720"/>
      <c r="JG74" s="1720"/>
      <c r="JH74" s="1720"/>
      <c r="JI74" s="1720"/>
      <c r="JJ74" s="1720"/>
      <c r="JK74" s="1720"/>
      <c r="JL74" s="1720"/>
      <c r="JM74" s="1720"/>
      <c r="JN74" s="1720"/>
      <c r="JO74" s="1720"/>
      <c r="JP74" s="1720"/>
      <c r="JQ74" s="1721"/>
      <c r="JR74" s="593"/>
      <c r="JS74" s="497"/>
      <c r="JT74" s="355" t="s">
        <v>2242</v>
      </c>
      <c r="JU74" s="598"/>
      <c r="JV74" s="598"/>
    </row>
    <row r="75" spans="1:282" x14ac:dyDescent="0.25">
      <c r="A75" s="1367">
        <v>74</v>
      </c>
      <c r="B75" s="1684" t="str">
        <f t="shared" si="11"/>
        <v/>
      </c>
      <c r="C75" s="1688" t="s">
        <v>4399</v>
      </c>
      <c r="D75" s="1360" t="s">
        <v>4400</v>
      </c>
      <c r="E75" s="1686"/>
      <c r="F75" s="1686"/>
      <c r="G75" s="1686"/>
      <c r="H75" s="1686"/>
      <c r="I75" s="1686"/>
      <c r="J75" s="1686"/>
      <c r="K75" s="1686"/>
      <c r="L75" s="1686"/>
      <c r="M75" s="1686"/>
      <c r="N75" s="1686"/>
      <c r="O75" s="1686"/>
      <c r="P75" s="1686"/>
      <c r="Q75" s="1686"/>
      <c r="R75" s="1686"/>
      <c r="S75" s="1686"/>
      <c r="T75" s="1686"/>
      <c r="U75" s="1686"/>
      <c r="V75" s="1686"/>
      <c r="W75" s="1686"/>
      <c r="X75" s="1686"/>
      <c r="Y75" s="1686"/>
      <c r="Z75" s="1686"/>
      <c r="AA75" s="1686"/>
      <c r="AB75" s="1686"/>
      <c r="AC75" s="1686"/>
      <c r="AD75" s="1686"/>
      <c r="AE75" s="1686"/>
      <c r="AF75" s="1686"/>
      <c r="AG75" s="1686"/>
      <c r="AH75" s="1686"/>
      <c r="AI75" s="1691"/>
      <c r="AJ75" s="1686"/>
      <c r="AK75" s="1691"/>
      <c r="AL75" s="1686"/>
      <c r="AM75" s="1686"/>
      <c r="AN75" s="1686"/>
      <c r="AO75" s="1686"/>
      <c r="AP75" s="1686"/>
      <c r="AQ75" s="1686"/>
      <c r="AR75" s="1686"/>
      <c r="AS75" s="1686"/>
      <c r="AT75" s="1686"/>
      <c r="AU75" s="1691"/>
      <c r="AV75" s="1686"/>
      <c r="AW75" s="1686"/>
      <c r="AX75" s="1686"/>
      <c r="AY75" s="1686">
        <v>39000</v>
      </c>
      <c r="AZ75" s="1686"/>
      <c r="BA75" s="1686"/>
      <c r="BB75" s="1691"/>
      <c r="BC75" s="1686"/>
      <c r="BD75" s="1691"/>
      <c r="BE75" s="1686"/>
      <c r="BF75" s="1686"/>
      <c r="BG75" s="1691"/>
      <c r="BH75" s="1686"/>
      <c r="BI75" s="1686"/>
      <c r="BJ75" s="1686"/>
      <c r="BK75" s="1686"/>
      <c r="BL75" s="1686"/>
      <c r="BM75" s="1686"/>
      <c r="BN75" s="1686"/>
      <c r="BO75" s="1686"/>
      <c r="BP75" s="1691"/>
      <c r="BQ75" s="1686"/>
      <c r="BR75" s="1686"/>
      <c r="BS75" s="1686"/>
      <c r="BT75" s="1691"/>
      <c r="BU75" s="1691"/>
      <c r="BV75" s="1686"/>
      <c r="BW75" s="1691"/>
      <c r="BX75" s="1686"/>
      <c r="BY75" s="1686"/>
      <c r="BZ75" s="1691"/>
      <c r="CA75" s="1686"/>
      <c r="CB75" s="1686"/>
      <c r="CC75" s="1686"/>
      <c r="CD75" s="1691"/>
      <c r="CE75" s="1686"/>
      <c r="CF75" s="1686"/>
      <c r="CG75" s="1686"/>
      <c r="CH75" s="1686"/>
      <c r="CI75" s="1686"/>
      <c r="CJ75" s="1686"/>
      <c r="CK75" s="1686"/>
      <c r="CL75" s="1686"/>
      <c r="CM75" s="1686"/>
      <c r="CN75" s="1686"/>
      <c r="CO75" s="1686"/>
      <c r="CP75" s="1686"/>
      <c r="CQ75" s="1686"/>
      <c r="CR75" s="1686"/>
      <c r="CS75" s="1686"/>
      <c r="CT75" s="1691"/>
      <c r="CU75" s="1686"/>
      <c r="CV75" s="1686"/>
      <c r="CW75" s="1686"/>
      <c r="CX75" s="1686"/>
      <c r="CY75" s="1686"/>
      <c r="CZ75" s="1686"/>
      <c r="DA75" s="1691"/>
      <c r="DB75" s="1686"/>
      <c r="DC75" s="1691"/>
      <c r="DD75" s="1686"/>
      <c r="DE75" s="1686"/>
      <c r="DF75" s="1686"/>
      <c r="DG75" s="1691"/>
      <c r="DH75" s="1686"/>
      <c r="DI75" s="1686"/>
      <c r="DJ75" s="1691"/>
      <c r="DK75" s="1686"/>
      <c r="DL75" s="1686"/>
      <c r="DM75" s="1691"/>
      <c r="DN75" s="1686"/>
      <c r="DO75" s="1691"/>
      <c r="DP75" s="1686"/>
      <c r="DQ75" s="1686"/>
      <c r="DR75" s="1686"/>
      <c r="DS75" s="1686"/>
      <c r="DT75" s="1686"/>
      <c r="DU75" s="1686"/>
      <c r="DV75" s="1686"/>
      <c r="DW75" s="1686"/>
      <c r="DX75" s="1686"/>
      <c r="DY75" s="1686"/>
      <c r="DZ75" s="1686"/>
      <c r="EA75" s="1686"/>
      <c r="EB75" s="1686"/>
      <c r="EC75" s="1686"/>
      <c r="ED75" s="1691"/>
      <c r="EE75" s="1691"/>
      <c r="EF75" s="1686"/>
      <c r="EG75" s="1691"/>
      <c r="EH75" s="1691"/>
      <c r="EI75" s="1686"/>
      <c r="EJ75" s="1686"/>
      <c r="EK75" s="1686"/>
      <c r="EL75" s="1686"/>
      <c r="EM75" s="1686"/>
      <c r="EN75" s="1686"/>
      <c r="EO75" s="1686"/>
      <c r="EP75" s="1686"/>
      <c r="EQ75" s="1686"/>
      <c r="ER75" s="1691"/>
      <c r="ES75" s="1686"/>
      <c r="ET75" s="1686"/>
      <c r="EU75" s="1686"/>
      <c r="EV75" s="1691"/>
      <c r="EW75" s="1686"/>
      <c r="EX75" s="1686"/>
      <c r="EY75" s="1691"/>
      <c r="EZ75" s="1686"/>
      <c r="FA75" s="1686"/>
      <c r="FB75" s="1686"/>
      <c r="FC75" s="1686"/>
      <c r="FD75" s="1686"/>
      <c r="FE75" s="1691"/>
      <c r="FF75" s="1691"/>
      <c r="FG75" s="1691"/>
      <c r="FH75" s="1691"/>
      <c r="FI75" s="1691"/>
      <c r="FJ75" s="1691"/>
      <c r="FK75" s="1691"/>
      <c r="FL75" s="1691"/>
      <c r="FM75" s="1691"/>
      <c r="FN75" s="1691"/>
      <c r="FO75" s="1691"/>
      <c r="FP75" s="1691"/>
      <c r="FQ75" s="1686"/>
      <c r="FR75" s="1686"/>
      <c r="FS75" s="1686"/>
      <c r="FT75" s="1686"/>
      <c r="FU75" s="1686"/>
      <c r="FV75" s="1686"/>
      <c r="FW75" s="1686"/>
      <c r="FX75" s="1686"/>
      <c r="FY75" s="1686"/>
      <c r="FZ75" s="1686"/>
      <c r="GA75" s="1686"/>
      <c r="GB75" s="1686"/>
      <c r="GC75" s="1686"/>
      <c r="GD75" s="1686"/>
      <c r="GE75" s="1686"/>
      <c r="GF75" s="1686"/>
      <c r="GG75" s="1686"/>
      <c r="GH75" s="1686"/>
      <c r="GI75" s="1686"/>
      <c r="GJ75" s="1686"/>
      <c r="GK75" s="1686"/>
      <c r="GL75" s="1686"/>
      <c r="GM75" s="1686"/>
      <c r="GN75" s="1686"/>
      <c r="GO75" s="1686"/>
      <c r="GP75" s="1686"/>
      <c r="GQ75" s="1686"/>
      <c r="GR75" s="1686"/>
      <c r="GS75" s="1686"/>
      <c r="GT75" s="1686"/>
      <c r="GU75" s="1686"/>
      <c r="GV75" s="1686"/>
      <c r="GW75" s="1686"/>
      <c r="GX75" s="1686"/>
      <c r="GY75" s="1686"/>
      <c r="GZ75" s="1686"/>
      <c r="HA75" s="1686"/>
      <c r="HB75" s="1691"/>
      <c r="HC75" s="1686"/>
      <c r="HD75" s="1686"/>
      <c r="HE75" s="1686"/>
      <c r="HF75" s="1686"/>
      <c r="HG75" s="1691"/>
      <c r="HH75" s="1686"/>
      <c r="HI75" s="1691"/>
      <c r="HJ75" s="1691"/>
      <c r="HK75" s="1691"/>
      <c r="HL75" s="1691"/>
      <c r="HM75" s="1691"/>
      <c r="HN75" s="1686"/>
      <c r="HO75" s="1686"/>
      <c r="HP75" s="1691"/>
      <c r="HQ75" s="1686"/>
      <c r="HR75" s="1686"/>
      <c r="HS75" s="1686"/>
      <c r="HT75" s="1686"/>
      <c r="HU75" s="1686"/>
      <c r="HV75" s="1686"/>
      <c r="HW75" s="1686"/>
      <c r="HX75" s="1686"/>
      <c r="HY75" s="1686"/>
      <c r="HZ75" s="1686"/>
      <c r="IA75" s="1686"/>
      <c r="IB75" s="1686"/>
      <c r="IC75" s="1686"/>
      <c r="ID75" s="1686"/>
      <c r="IE75" s="1686"/>
      <c r="IF75" s="1686"/>
      <c r="IG75" s="1686"/>
      <c r="IH75" s="1686"/>
      <c r="II75" s="1686"/>
      <c r="IJ75" s="1686"/>
      <c r="IK75" s="1686"/>
      <c r="IL75" s="1686"/>
      <c r="IM75" s="1686"/>
      <c r="IN75" s="1686"/>
      <c r="IO75" s="1686"/>
      <c r="IP75" s="1686"/>
      <c r="IQ75" s="1686"/>
      <c r="IR75" s="1686"/>
      <c r="IS75" s="1686">
        <v>7860</v>
      </c>
      <c r="IT75" s="1686">
        <v>47029</v>
      </c>
      <c r="IU75" s="1686">
        <v>34413</v>
      </c>
      <c r="IV75" s="1686">
        <v>123000</v>
      </c>
      <c r="IW75" s="1686">
        <v>4249</v>
      </c>
      <c r="IX75" s="1691"/>
      <c r="IY75" s="1686"/>
      <c r="IZ75" s="1691"/>
      <c r="JA75" s="1686"/>
      <c r="JB75" s="1686"/>
      <c r="JC75" s="1686"/>
      <c r="JD75" s="1686"/>
      <c r="JE75" s="1686"/>
      <c r="JF75" s="1686"/>
      <c r="JG75" s="1686"/>
      <c r="JH75" s="1686">
        <v>360579</v>
      </c>
      <c r="JI75" s="1686">
        <v>5963</v>
      </c>
      <c r="JJ75" s="1686">
        <v>16032</v>
      </c>
      <c r="JK75" s="1686">
        <v>23579</v>
      </c>
      <c r="JL75" s="1686"/>
      <c r="JM75" s="1686"/>
      <c r="JN75" s="1686"/>
      <c r="JO75" s="1686"/>
      <c r="JP75" s="1686"/>
      <c r="JQ75" s="1724"/>
      <c r="JR75" s="593"/>
      <c r="JS75" s="497"/>
      <c r="JT75" s="355"/>
      <c r="JU75" s="598"/>
      <c r="JV75" s="598"/>
    </row>
    <row r="76" spans="1:282" x14ac:dyDescent="0.25">
      <c r="A76" s="1367">
        <v>75</v>
      </c>
      <c r="B76" s="1684" t="str">
        <f t="shared" si="11"/>
        <v/>
      </c>
      <c r="C76" s="1688" t="s">
        <v>4401</v>
      </c>
      <c r="D76" s="1360" t="s">
        <v>4402</v>
      </c>
      <c r="E76" s="1686"/>
      <c r="F76" s="1686"/>
      <c r="G76" s="1686"/>
      <c r="H76" s="1686"/>
      <c r="I76" s="1686"/>
      <c r="J76" s="1686"/>
      <c r="K76" s="1686"/>
      <c r="L76" s="1686"/>
      <c r="M76" s="1686"/>
      <c r="N76" s="1686"/>
      <c r="O76" s="1686"/>
      <c r="P76" s="1686"/>
      <c r="Q76" s="1686"/>
      <c r="R76" s="1686"/>
      <c r="S76" s="1686"/>
      <c r="T76" s="1686"/>
      <c r="U76" s="1686"/>
      <c r="V76" s="1686"/>
      <c r="W76" s="1686"/>
      <c r="X76" s="1686"/>
      <c r="Y76" s="1686"/>
      <c r="Z76" s="1686"/>
      <c r="AA76" s="1686"/>
      <c r="AB76" s="1686"/>
      <c r="AC76" s="1686"/>
      <c r="AD76" s="1686"/>
      <c r="AE76" s="1686"/>
      <c r="AF76" s="1686"/>
      <c r="AG76" s="1686"/>
      <c r="AH76" s="1686"/>
      <c r="AI76" s="1691"/>
      <c r="AJ76" s="1686"/>
      <c r="AK76" s="1691"/>
      <c r="AL76" s="1686"/>
      <c r="AM76" s="1686"/>
      <c r="AN76" s="1686"/>
      <c r="AO76" s="1686"/>
      <c r="AP76" s="1686"/>
      <c r="AQ76" s="1686"/>
      <c r="AR76" s="1686"/>
      <c r="AS76" s="1686"/>
      <c r="AT76" s="1686"/>
      <c r="AU76" s="1691"/>
      <c r="AV76" s="1686"/>
      <c r="AW76" s="1686"/>
      <c r="AX76" s="1686"/>
      <c r="AY76" s="1686"/>
      <c r="AZ76" s="1686"/>
      <c r="BA76" s="1686"/>
      <c r="BB76" s="1691"/>
      <c r="BC76" s="1686"/>
      <c r="BD76" s="1691"/>
      <c r="BE76" s="1686"/>
      <c r="BF76" s="1686"/>
      <c r="BG76" s="1691"/>
      <c r="BH76" s="1686"/>
      <c r="BI76" s="1686"/>
      <c r="BJ76" s="1686"/>
      <c r="BK76" s="1686"/>
      <c r="BL76" s="1686"/>
      <c r="BM76" s="1686"/>
      <c r="BN76" s="1686"/>
      <c r="BO76" s="1686"/>
      <c r="BP76" s="1691"/>
      <c r="BQ76" s="1686"/>
      <c r="BR76" s="1686"/>
      <c r="BS76" s="1686"/>
      <c r="BT76" s="1691"/>
      <c r="BU76" s="1691"/>
      <c r="BV76" s="1686"/>
      <c r="BW76" s="1691"/>
      <c r="BX76" s="1686"/>
      <c r="BY76" s="1686"/>
      <c r="BZ76" s="1691"/>
      <c r="CA76" s="1686"/>
      <c r="CB76" s="1686"/>
      <c r="CC76" s="1686"/>
      <c r="CD76" s="1691"/>
      <c r="CE76" s="1686"/>
      <c r="CF76" s="1686"/>
      <c r="CG76" s="1686"/>
      <c r="CH76" s="1686"/>
      <c r="CI76" s="1686"/>
      <c r="CJ76" s="1686"/>
      <c r="CK76" s="1686"/>
      <c r="CL76" s="1686"/>
      <c r="CM76" s="1686"/>
      <c r="CN76" s="1686"/>
      <c r="CO76" s="1686"/>
      <c r="CP76" s="1686"/>
      <c r="CQ76" s="1686"/>
      <c r="CR76" s="1686"/>
      <c r="CS76" s="1686"/>
      <c r="CT76" s="1691"/>
      <c r="CU76" s="1686"/>
      <c r="CV76" s="1686"/>
      <c r="CW76" s="1686"/>
      <c r="CX76" s="1686"/>
      <c r="CY76" s="1686"/>
      <c r="CZ76" s="1686"/>
      <c r="DA76" s="1691"/>
      <c r="DB76" s="1686"/>
      <c r="DC76" s="1691"/>
      <c r="DD76" s="1686"/>
      <c r="DE76" s="1686"/>
      <c r="DF76" s="1686"/>
      <c r="DG76" s="1691"/>
      <c r="DH76" s="1686"/>
      <c r="DI76" s="1686"/>
      <c r="DJ76" s="1691"/>
      <c r="DK76" s="1686"/>
      <c r="DL76" s="1686"/>
      <c r="DM76" s="1691"/>
      <c r="DN76" s="1686"/>
      <c r="DO76" s="1691"/>
      <c r="DP76" s="1686"/>
      <c r="DQ76" s="1686"/>
      <c r="DR76" s="1686"/>
      <c r="DS76" s="1686"/>
      <c r="DT76" s="1686"/>
      <c r="DU76" s="1686"/>
      <c r="DV76" s="1686"/>
      <c r="DW76" s="1686"/>
      <c r="DX76" s="1686"/>
      <c r="DY76" s="1686"/>
      <c r="DZ76" s="1686"/>
      <c r="EA76" s="1686"/>
      <c r="EB76" s="1686"/>
      <c r="EC76" s="1686"/>
      <c r="ED76" s="1691"/>
      <c r="EE76" s="1691"/>
      <c r="EF76" s="1686"/>
      <c r="EG76" s="1691"/>
      <c r="EH76" s="1691"/>
      <c r="EI76" s="1686"/>
      <c r="EJ76" s="1686"/>
      <c r="EK76" s="1686"/>
      <c r="EL76" s="1686"/>
      <c r="EM76" s="1686"/>
      <c r="EN76" s="1686"/>
      <c r="EO76" s="1686"/>
      <c r="EP76" s="1686"/>
      <c r="EQ76" s="1686"/>
      <c r="ER76" s="1691"/>
      <c r="ES76" s="1686"/>
      <c r="ET76" s="1686"/>
      <c r="EU76" s="1686"/>
      <c r="EV76" s="1691"/>
      <c r="EW76" s="1686"/>
      <c r="EX76" s="1686"/>
      <c r="EY76" s="1691"/>
      <c r="EZ76" s="1686"/>
      <c r="FA76" s="1686"/>
      <c r="FB76" s="1686"/>
      <c r="FC76" s="1686"/>
      <c r="FD76" s="1686"/>
      <c r="FE76" s="1691"/>
      <c r="FF76" s="1691"/>
      <c r="FG76" s="1691"/>
      <c r="FH76" s="1691"/>
      <c r="FI76" s="1691"/>
      <c r="FJ76" s="1691"/>
      <c r="FK76" s="1691"/>
      <c r="FL76" s="1691"/>
      <c r="FM76" s="1691"/>
      <c r="FN76" s="1691"/>
      <c r="FO76" s="1691"/>
      <c r="FP76" s="1691"/>
      <c r="FQ76" s="1686"/>
      <c r="FR76" s="1686"/>
      <c r="FS76" s="1686"/>
      <c r="FT76" s="1686"/>
      <c r="FU76" s="1686"/>
      <c r="FV76" s="1686"/>
      <c r="FW76" s="1686"/>
      <c r="FX76" s="1686"/>
      <c r="FY76" s="1686"/>
      <c r="FZ76" s="1686"/>
      <c r="GA76" s="1686"/>
      <c r="GB76" s="1686"/>
      <c r="GC76" s="1686"/>
      <c r="GD76" s="1686"/>
      <c r="GE76" s="1686"/>
      <c r="GF76" s="1686"/>
      <c r="GG76" s="1686"/>
      <c r="GH76" s="1686"/>
      <c r="GI76" s="1686"/>
      <c r="GJ76" s="1686"/>
      <c r="GK76" s="1686"/>
      <c r="GL76" s="1686"/>
      <c r="GM76" s="1686"/>
      <c r="GN76" s="1686"/>
      <c r="GO76" s="1686"/>
      <c r="GP76" s="1686"/>
      <c r="GQ76" s="1686"/>
      <c r="GR76" s="1686"/>
      <c r="GS76" s="1686"/>
      <c r="GT76" s="1686"/>
      <c r="GU76" s="1686"/>
      <c r="GV76" s="1686"/>
      <c r="GW76" s="1686"/>
      <c r="GX76" s="1686"/>
      <c r="GY76" s="1686"/>
      <c r="GZ76" s="1686"/>
      <c r="HA76" s="1686"/>
      <c r="HB76" s="1691"/>
      <c r="HC76" s="1686"/>
      <c r="HD76" s="1686"/>
      <c r="HE76" s="1686"/>
      <c r="HF76" s="1686"/>
      <c r="HG76" s="1691"/>
      <c r="HH76" s="1686"/>
      <c r="HI76" s="1691"/>
      <c r="HJ76" s="1691"/>
      <c r="HK76" s="1691"/>
      <c r="HL76" s="1691"/>
      <c r="HM76" s="1691"/>
      <c r="HN76" s="1686"/>
      <c r="HO76" s="1686"/>
      <c r="HP76" s="1691"/>
      <c r="HQ76" s="1686"/>
      <c r="HR76" s="1686"/>
      <c r="HS76" s="1686"/>
      <c r="HT76" s="1686"/>
      <c r="HU76" s="1686"/>
      <c r="HV76" s="1686"/>
      <c r="HW76" s="1686"/>
      <c r="HX76" s="1686"/>
      <c r="HY76" s="1686"/>
      <c r="HZ76" s="1686"/>
      <c r="IA76" s="1686"/>
      <c r="IB76" s="1686"/>
      <c r="IC76" s="1686"/>
      <c r="ID76" s="1686"/>
      <c r="IE76" s="1686"/>
      <c r="IF76" s="1686"/>
      <c r="IG76" s="1686"/>
      <c r="IH76" s="1686"/>
      <c r="II76" s="1686"/>
      <c r="IJ76" s="1686"/>
      <c r="IK76" s="1686"/>
      <c r="IL76" s="1686"/>
      <c r="IM76" s="1686"/>
      <c r="IN76" s="1686"/>
      <c r="IO76" s="1686"/>
      <c r="IP76" s="1686"/>
      <c r="IQ76" s="1686"/>
      <c r="IR76" s="1686"/>
      <c r="IS76" s="1686">
        <v>10316</v>
      </c>
      <c r="IT76" s="1686">
        <v>22106</v>
      </c>
      <c r="IU76" s="1686">
        <v>35767</v>
      </c>
      <c r="IV76" s="1686">
        <v>236000</v>
      </c>
      <c r="IW76" s="1686">
        <v>6833</v>
      </c>
      <c r="IX76" s="1691"/>
      <c r="IY76" s="1686"/>
      <c r="IZ76" s="1691"/>
      <c r="JA76" s="1686"/>
      <c r="JB76" s="1686"/>
      <c r="JC76" s="1686"/>
      <c r="JD76" s="1686"/>
      <c r="JE76" s="1686"/>
      <c r="JF76" s="1686"/>
      <c r="JG76" s="1686"/>
      <c r="JH76" s="1686">
        <v>5000</v>
      </c>
      <c r="JI76" s="1686"/>
      <c r="JJ76" s="1686">
        <v>20975</v>
      </c>
      <c r="JK76" s="1686"/>
      <c r="JL76" s="1686">
        <v>27500</v>
      </c>
      <c r="JM76" s="1686"/>
      <c r="JN76" s="1686"/>
      <c r="JO76" s="1686"/>
      <c r="JP76" s="1686"/>
      <c r="JQ76" s="1724"/>
      <c r="JR76" s="593"/>
      <c r="JS76" s="497"/>
      <c r="JT76" s="355"/>
      <c r="JU76" s="598"/>
      <c r="JV76" s="598"/>
    </row>
    <row r="77" spans="1:282" x14ac:dyDescent="0.25">
      <c r="A77" s="1367">
        <v>76</v>
      </c>
      <c r="B77" s="1684" t="str">
        <f t="shared" si="11"/>
        <v/>
      </c>
      <c r="C77" s="1688" t="s">
        <v>4403</v>
      </c>
      <c r="D77" s="1360" t="s">
        <v>4404</v>
      </c>
      <c r="E77" s="1686"/>
      <c r="F77" s="1686"/>
      <c r="G77" s="1686"/>
      <c r="H77" s="1686"/>
      <c r="I77" s="1686"/>
      <c r="J77" s="1686"/>
      <c r="K77" s="1686"/>
      <c r="L77" s="1686"/>
      <c r="M77" s="1686"/>
      <c r="N77" s="1686"/>
      <c r="O77" s="1686"/>
      <c r="P77" s="1686"/>
      <c r="Q77" s="1686"/>
      <c r="R77" s="1686"/>
      <c r="S77" s="1686"/>
      <c r="T77" s="1686"/>
      <c r="U77" s="1686"/>
      <c r="V77" s="1686"/>
      <c r="W77" s="1686"/>
      <c r="X77" s="1686"/>
      <c r="Y77" s="1686"/>
      <c r="Z77" s="1686"/>
      <c r="AA77" s="1686"/>
      <c r="AB77" s="1686"/>
      <c r="AC77" s="1686"/>
      <c r="AD77" s="1686"/>
      <c r="AE77" s="1686"/>
      <c r="AF77" s="1686"/>
      <c r="AG77" s="1686"/>
      <c r="AH77" s="1686"/>
      <c r="AI77" s="1691"/>
      <c r="AJ77" s="1686"/>
      <c r="AK77" s="1691"/>
      <c r="AL77" s="1686"/>
      <c r="AM77" s="1686"/>
      <c r="AN77" s="1686"/>
      <c r="AO77" s="1686"/>
      <c r="AP77" s="1686"/>
      <c r="AQ77" s="1686"/>
      <c r="AR77" s="1686"/>
      <c r="AS77" s="1686"/>
      <c r="AT77" s="1686"/>
      <c r="AU77" s="1691"/>
      <c r="AV77" s="1686"/>
      <c r="AW77" s="1686"/>
      <c r="AX77" s="1686"/>
      <c r="AY77" s="1686"/>
      <c r="AZ77" s="1686"/>
      <c r="BA77" s="1686"/>
      <c r="BB77" s="1691"/>
      <c r="BC77" s="1686"/>
      <c r="BD77" s="1691"/>
      <c r="BE77" s="1686"/>
      <c r="BF77" s="1686"/>
      <c r="BG77" s="1691"/>
      <c r="BH77" s="1686"/>
      <c r="BI77" s="1686"/>
      <c r="BJ77" s="1686"/>
      <c r="BK77" s="1686"/>
      <c r="BL77" s="1686"/>
      <c r="BM77" s="1686"/>
      <c r="BN77" s="1686"/>
      <c r="BO77" s="1686"/>
      <c r="BP77" s="1691"/>
      <c r="BQ77" s="1686"/>
      <c r="BR77" s="1686"/>
      <c r="BS77" s="1686"/>
      <c r="BT77" s="1691"/>
      <c r="BU77" s="1691"/>
      <c r="BV77" s="1686"/>
      <c r="BW77" s="1691"/>
      <c r="BX77" s="1686"/>
      <c r="BY77" s="1686"/>
      <c r="BZ77" s="1691"/>
      <c r="CA77" s="1686"/>
      <c r="CB77" s="1686"/>
      <c r="CC77" s="1686"/>
      <c r="CD77" s="1691"/>
      <c r="CE77" s="1686"/>
      <c r="CF77" s="1686"/>
      <c r="CG77" s="1686"/>
      <c r="CH77" s="1686"/>
      <c r="CI77" s="1686"/>
      <c r="CJ77" s="1686"/>
      <c r="CK77" s="1686"/>
      <c r="CL77" s="1686"/>
      <c r="CM77" s="1686"/>
      <c r="CN77" s="1686"/>
      <c r="CO77" s="1686"/>
      <c r="CP77" s="1686"/>
      <c r="CQ77" s="1686"/>
      <c r="CR77" s="1686"/>
      <c r="CS77" s="1686"/>
      <c r="CT77" s="1691"/>
      <c r="CU77" s="1686"/>
      <c r="CV77" s="1686"/>
      <c r="CW77" s="1686"/>
      <c r="CX77" s="1686"/>
      <c r="CY77" s="1686"/>
      <c r="CZ77" s="1686"/>
      <c r="DA77" s="1691"/>
      <c r="DB77" s="1686"/>
      <c r="DC77" s="1691"/>
      <c r="DD77" s="1686"/>
      <c r="DE77" s="1686"/>
      <c r="DF77" s="1686"/>
      <c r="DG77" s="1691"/>
      <c r="DH77" s="1686"/>
      <c r="DI77" s="1686"/>
      <c r="DJ77" s="1691"/>
      <c r="DK77" s="1686"/>
      <c r="DL77" s="1686"/>
      <c r="DM77" s="1691"/>
      <c r="DN77" s="1686"/>
      <c r="DO77" s="1691"/>
      <c r="DP77" s="1686"/>
      <c r="DQ77" s="1686"/>
      <c r="DR77" s="1686"/>
      <c r="DS77" s="1686"/>
      <c r="DT77" s="1686"/>
      <c r="DU77" s="1686"/>
      <c r="DV77" s="1686"/>
      <c r="DW77" s="1686"/>
      <c r="DX77" s="1686"/>
      <c r="DY77" s="1686"/>
      <c r="DZ77" s="1686"/>
      <c r="EA77" s="1686"/>
      <c r="EB77" s="1686"/>
      <c r="EC77" s="1686"/>
      <c r="ED77" s="1691"/>
      <c r="EE77" s="1691"/>
      <c r="EF77" s="1686"/>
      <c r="EG77" s="1691"/>
      <c r="EH77" s="1691"/>
      <c r="EI77" s="1686"/>
      <c r="EJ77" s="1686"/>
      <c r="EK77" s="1686"/>
      <c r="EL77" s="1686"/>
      <c r="EM77" s="1686"/>
      <c r="EN77" s="1686"/>
      <c r="EO77" s="1686"/>
      <c r="EP77" s="1686"/>
      <c r="EQ77" s="1686"/>
      <c r="ER77" s="1691"/>
      <c r="ES77" s="1686"/>
      <c r="ET77" s="1686"/>
      <c r="EU77" s="1686"/>
      <c r="EV77" s="1691"/>
      <c r="EW77" s="1686"/>
      <c r="EX77" s="1686"/>
      <c r="EY77" s="1691"/>
      <c r="EZ77" s="1686"/>
      <c r="FA77" s="1686"/>
      <c r="FB77" s="1686"/>
      <c r="FC77" s="1686"/>
      <c r="FD77" s="1686"/>
      <c r="FE77" s="1691"/>
      <c r="FF77" s="1691"/>
      <c r="FG77" s="1691"/>
      <c r="FH77" s="1691"/>
      <c r="FI77" s="1691"/>
      <c r="FJ77" s="1691"/>
      <c r="FK77" s="1691"/>
      <c r="FL77" s="1691"/>
      <c r="FM77" s="1691"/>
      <c r="FN77" s="1691"/>
      <c r="FO77" s="1691"/>
      <c r="FP77" s="1691"/>
      <c r="FQ77" s="1686"/>
      <c r="FR77" s="1686"/>
      <c r="FS77" s="1686"/>
      <c r="FT77" s="1686"/>
      <c r="FU77" s="1686"/>
      <c r="FV77" s="1686"/>
      <c r="FW77" s="1686"/>
      <c r="FX77" s="1686"/>
      <c r="FY77" s="1686"/>
      <c r="FZ77" s="1686"/>
      <c r="GA77" s="1686"/>
      <c r="GB77" s="1686"/>
      <c r="GC77" s="1686"/>
      <c r="GD77" s="1686"/>
      <c r="GE77" s="1686"/>
      <c r="GF77" s="1686"/>
      <c r="GG77" s="1686"/>
      <c r="GH77" s="1686"/>
      <c r="GI77" s="1686"/>
      <c r="GJ77" s="1686"/>
      <c r="GK77" s="1686"/>
      <c r="GL77" s="1686"/>
      <c r="GM77" s="1686"/>
      <c r="GN77" s="1686"/>
      <c r="GO77" s="1686"/>
      <c r="GP77" s="1686"/>
      <c r="GQ77" s="1686"/>
      <c r="GR77" s="1686"/>
      <c r="GS77" s="1686"/>
      <c r="GT77" s="1686"/>
      <c r="GU77" s="1686"/>
      <c r="GV77" s="1686"/>
      <c r="GW77" s="1686"/>
      <c r="GX77" s="1686"/>
      <c r="GY77" s="1686"/>
      <c r="GZ77" s="1686"/>
      <c r="HA77" s="1686"/>
      <c r="HB77" s="1691"/>
      <c r="HC77" s="1686"/>
      <c r="HD77" s="1686"/>
      <c r="HE77" s="1686"/>
      <c r="HF77" s="1686"/>
      <c r="HG77" s="1691"/>
      <c r="HH77" s="1686"/>
      <c r="HI77" s="1691"/>
      <c r="HJ77" s="1691"/>
      <c r="HK77" s="1691"/>
      <c r="HL77" s="1691"/>
      <c r="HM77" s="1691"/>
      <c r="HN77" s="1686"/>
      <c r="HO77" s="1686"/>
      <c r="HP77" s="1691"/>
      <c r="HQ77" s="1686"/>
      <c r="HR77" s="1686"/>
      <c r="HS77" s="1686"/>
      <c r="HT77" s="1686"/>
      <c r="HU77" s="1686"/>
      <c r="HV77" s="1686"/>
      <c r="HW77" s="1686"/>
      <c r="HX77" s="1686"/>
      <c r="HY77" s="1686"/>
      <c r="HZ77" s="1686"/>
      <c r="IA77" s="1686"/>
      <c r="IB77" s="1686"/>
      <c r="IC77" s="1686"/>
      <c r="ID77" s="1686"/>
      <c r="IE77" s="1686"/>
      <c r="IF77" s="1686"/>
      <c r="IG77" s="1686"/>
      <c r="IH77" s="1686"/>
      <c r="II77" s="1686"/>
      <c r="IJ77" s="1686"/>
      <c r="IK77" s="1686"/>
      <c r="IL77" s="1686"/>
      <c r="IM77" s="1686"/>
      <c r="IN77" s="1686"/>
      <c r="IO77" s="1686"/>
      <c r="IP77" s="1686"/>
      <c r="IQ77" s="1686"/>
      <c r="IR77" s="1686"/>
      <c r="IS77" s="1686"/>
      <c r="IT77" s="1686"/>
      <c r="IU77" s="1686"/>
      <c r="IV77" s="1686" t="s">
        <v>1707</v>
      </c>
      <c r="IW77" s="1686"/>
      <c r="IX77" s="1691"/>
      <c r="IY77" s="1686"/>
      <c r="IZ77" s="1691"/>
      <c r="JA77" s="1686"/>
      <c r="JB77" s="1686"/>
      <c r="JC77" s="1686"/>
      <c r="JD77" s="1686"/>
      <c r="JE77" s="1686"/>
      <c r="JF77" s="1686"/>
      <c r="JG77" s="1686"/>
      <c r="JH77" s="1686"/>
      <c r="JI77" s="1686"/>
      <c r="JJ77" s="1686"/>
      <c r="JK77" s="1686"/>
      <c r="JL77" s="1686"/>
      <c r="JM77" s="1686"/>
      <c r="JN77" s="1686"/>
      <c r="JO77" s="1686"/>
      <c r="JP77" s="1686"/>
      <c r="JQ77" s="1724"/>
      <c r="JR77" s="593"/>
      <c r="JS77" s="497"/>
      <c r="JT77" s="355"/>
      <c r="JU77" s="598"/>
      <c r="JV77" s="598"/>
    </row>
    <row r="78" spans="1:282" x14ac:dyDescent="0.25">
      <c r="A78" s="1367">
        <v>77</v>
      </c>
      <c r="B78" s="1684" t="str">
        <f t="shared" si="11"/>
        <v/>
      </c>
      <c r="C78" s="1688" t="s">
        <v>4405</v>
      </c>
      <c r="D78" s="1360" t="s">
        <v>4300</v>
      </c>
      <c r="E78" s="1686"/>
      <c r="F78" s="1686"/>
      <c r="G78" s="1686"/>
      <c r="H78" s="1686"/>
      <c r="I78" s="1686"/>
      <c r="J78" s="1686"/>
      <c r="K78" s="1686"/>
      <c r="L78" s="1686"/>
      <c r="M78" s="1686"/>
      <c r="N78" s="1686"/>
      <c r="O78" s="1686"/>
      <c r="P78" s="1686"/>
      <c r="Q78" s="1686"/>
      <c r="R78" s="1686"/>
      <c r="S78" s="1686"/>
      <c r="T78" s="1686"/>
      <c r="U78" s="1686"/>
      <c r="V78" s="1686"/>
      <c r="W78" s="1686"/>
      <c r="X78" s="1686"/>
      <c r="Y78" s="1686"/>
      <c r="Z78" s="1686"/>
      <c r="AA78" s="1686"/>
      <c r="AB78" s="1686"/>
      <c r="AC78" s="1686"/>
      <c r="AD78" s="1686"/>
      <c r="AE78" s="1686"/>
      <c r="AF78" s="1686"/>
      <c r="AG78" s="1686"/>
      <c r="AH78" s="1686"/>
      <c r="AI78" s="1691"/>
      <c r="AJ78" s="1686"/>
      <c r="AK78" s="1691"/>
      <c r="AL78" s="1686"/>
      <c r="AM78" s="1686"/>
      <c r="AN78" s="1686"/>
      <c r="AO78" s="1686"/>
      <c r="AP78" s="1686"/>
      <c r="AQ78" s="1686"/>
      <c r="AR78" s="1686"/>
      <c r="AS78" s="1686"/>
      <c r="AT78" s="1686"/>
      <c r="AU78" s="1691"/>
      <c r="AV78" s="1686"/>
      <c r="AW78" s="1686"/>
      <c r="AX78" s="1686"/>
      <c r="AY78" s="1686">
        <v>8000</v>
      </c>
      <c r="AZ78" s="1686"/>
      <c r="BA78" s="1686"/>
      <c r="BB78" s="1691"/>
      <c r="BC78" s="1686"/>
      <c r="BD78" s="1691"/>
      <c r="BE78" s="1686"/>
      <c r="BF78" s="1686"/>
      <c r="BG78" s="1691"/>
      <c r="BH78" s="1686"/>
      <c r="BI78" s="1686"/>
      <c r="BJ78" s="1686"/>
      <c r="BK78" s="1686"/>
      <c r="BL78" s="1686"/>
      <c r="BM78" s="1686"/>
      <c r="BN78" s="1686"/>
      <c r="BO78" s="1686"/>
      <c r="BP78" s="1691"/>
      <c r="BQ78" s="1686"/>
      <c r="BR78" s="1686"/>
      <c r="BS78" s="1686"/>
      <c r="BT78" s="1691"/>
      <c r="BU78" s="1691"/>
      <c r="BV78" s="1686"/>
      <c r="BW78" s="1691"/>
      <c r="BX78" s="1686"/>
      <c r="BY78" s="1686"/>
      <c r="BZ78" s="1691"/>
      <c r="CA78" s="1686"/>
      <c r="CB78" s="1686"/>
      <c r="CC78" s="1686"/>
      <c r="CD78" s="1691"/>
      <c r="CE78" s="1686"/>
      <c r="CF78" s="1686"/>
      <c r="CG78" s="1686"/>
      <c r="CH78" s="1686"/>
      <c r="CI78" s="1686"/>
      <c r="CJ78" s="1686"/>
      <c r="CK78" s="1686"/>
      <c r="CL78" s="1686"/>
      <c r="CM78" s="1686"/>
      <c r="CN78" s="1686"/>
      <c r="CO78" s="1686"/>
      <c r="CP78" s="1686"/>
      <c r="CQ78" s="1686"/>
      <c r="CR78" s="1686"/>
      <c r="CS78" s="1686"/>
      <c r="CT78" s="1691"/>
      <c r="CU78" s="1686"/>
      <c r="CV78" s="1686"/>
      <c r="CW78" s="1686"/>
      <c r="CX78" s="1686"/>
      <c r="CY78" s="1686"/>
      <c r="CZ78" s="1686"/>
      <c r="DA78" s="1691"/>
      <c r="DB78" s="1686"/>
      <c r="DC78" s="1691"/>
      <c r="DD78" s="1686"/>
      <c r="DE78" s="1686"/>
      <c r="DF78" s="1686"/>
      <c r="DG78" s="1691"/>
      <c r="DH78" s="1686"/>
      <c r="DI78" s="1686"/>
      <c r="DJ78" s="1691"/>
      <c r="DK78" s="1686"/>
      <c r="DL78" s="1686"/>
      <c r="DM78" s="1691"/>
      <c r="DN78" s="1686"/>
      <c r="DO78" s="1691"/>
      <c r="DP78" s="1686"/>
      <c r="DQ78" s="1686"/>
      <c r="DR78" s="1686"/>
      <c r="DS78" s="1686"/>
      <c r="DT78" s="1686"/>
      <c r="DU78" s="1686"/>
      <c r="DV78" s="1686"/>
      <c r="DW78" s="1686"/>
      <c r="DX78" s="1686"/>
      <c r="DY78" s="1686"/>
      <c r="DZ78" s="1686"/>
      <c r="EA78" s="1686"/>
      <c r="EB78" s="1686"/>
      <c r="EC78" s="1686"/>
      <c r="ED78" s="1691"/>
      <c r="EE78" s="1691"/>
      <c r="EF78" s="1686"/>
      <c r="EG78" s="1691"/>
      <c r="EH78" s="1691"/>
      <c r="EI78" s="1686"/>
      <c r="EJ78" s="1686"/>
      <c r="EK78" s="1686"/>
      <c r="EL78" s="1686"/>
      <c r="EM78" s="1686"/>
      <c r="EN78" s="1686"/>
      <c r="EO78" s="1686"/>
      <c r="EP78" s="1686"/>
      <c r="EQ78" s="1686"/>
      <c r="ER78" s="1691"/>
      <c r="ES78" s="1686"/>
      <c r="ET78" s="1686"/>
      <c r="EU78" s="1686"/>
      <c r="EV78" s="1691"/>
      <c r="EW78" s="1686"/>
      <c r="EX78" s="1686"/>
      <c r="EY78" s="1691"/>
      <c r="EZ78" s="1686"/>
      <c r="FA78" s="1686"/>
      <c r="FB78" s="1686"/>
      <c r="FC78" s="1686"/>
      <c r="FD78" s="1686"/>
      <c r="FE78" s="1691"/>
      <c r="FF78" s="1691"/>
      <c r="FG78" s="1691"/>
      <c r="FH78" s="1691"/>
      <c r="FI78" s="1691"/>
      <c r="FJ78" s="1691"/>
      <c r="FK78" s="1691"/>
      <c r="FL78" s="1691"/>
      <c r="FM78" s="1691"/>
      <c r="FN78" s="1691"/>
      <c r="FO78" s="1691"/>
      <c r="FP78" s="1691"/>
      <c r="FQ78" s="1686"/>
      <c r="FR78" s="1686"/>
      <c r="FS78" s="1686"/>
      <c r="FT78" s="1686"/>
      <c r="FU78" s="1686"/>
      <c r="FV78" s="1686"/>
      <c r="FW78" s="1686"/>
      <c r="FX78" s="1686"/>
      <c r="FY78" s="1686"/>
      <c r="FZ78" s="1686"/>
      <c r="GA78" s="1686"/>
      <c r="GB78" s="1686"/>
      <c r="GC78" s="1686"/>
      <c r="GD78" s="1686"/>
      <c r="GE78" s="1686"/>
      <c r="GF78" s="1686"/>
      <c r="GG78" s="1686"/>
      <c r="GH78" s="1686"/>
      <c r="GI78" s="1686"/>
      <c r="GJ78" s="1686"/>
      <c r="GK78" s="1686"/>
      <c r="GL78" s="1686"/>
      <c r="GM78" s="1686"/>
      <c r="GN78" s="1686"/>
      <c r="GO78" s="1686"/>
      <c r="GP78" s="1686"/>
      <c r="GQ78" s="1686"/>
      <c r="GR78" s="1686"/>
      <c r="GS78" s="1686"/>
      <c r="GT78" s="1686"/>
      <c r="GU78" s="1686"/>
      <c r="GV78" s="1686"/>
      <c r="GW78" s="1686"/>
      <c r="GX78" s="1686"/>
      <c r="GY78" s="1686"/>
      <c r="GZ78" s="1686"/>
      <c r="HA78" s="1686"/>
      <c r="HB78" s="1691"/>
      <c r="HC78" s="1686"/>
      <c r="HD78" s="1686"/>
      <c r="HE78" s="1686"/>
      <c r="HF78" s="1686"/>
      <c r="HG78" s="1691"/>
      <c r="HH78" s="1686"/>
      <c r="HI78" s="1691"/>
      <c r="HJ78" s="1691"/>
      <c r="HK78" s="1691"/>
      <c r="HL78" s="1691"/>
      <c r="HM78" s="1691"/>
      <c r="HN78" s="1686"/>
      <c r="HO78" s="1686"/>
      <c r="HP78" s="1691"/>
      <c r="HQ78" s="1686"/>
      <c r="HR78" s="1686"/>
      <c r="HS78" s="1686"/>
      <c r="HT78" s="1686"/>
      <c r="HU78" s="1686"/>
      <c r="HV78" s="1686"/>
      <c r="HW78" s="1686"/>
      <c r="HX78" s="1686"/>
      <c r="HY78" s="1686"/>
      <c r="HZ78" s="1686"/>
      <c r="IA78" s="1686"/>
      <c r="IB78" s="1686"/>
      <c r="IC78" s="1686"/>
      <c r="ID78" s="1686"/>
      <c r="IE78" s="1686"/>
      <c r="IF78" s="1686"/>
      <c r="IG78" s="1686"/>
      <c r="IH78" s="1686"/>
      <c r="II78" s="1686"/>
      <c r="IJ78" s="1686"/>
      <c r="IK78" s="1686"/>
      <c r="IL78" s="1686"/>
      <c r="IM78" s="1686"/>
      <c r="IN78" s="1686"/>
      <c r="IO78" s="1686"/>
      <c r="IP78" s="1686"/>
      <c r="IQ78" s="1686"/>
      <c r="IR78" s="1686"/>
      <c r="IS78" s="1686">
        <v>438</v>
      </c>
      <c r="IT78" s="1686"/>
      <c r="IU78" s="1686">
        <v>3057</v>
      </c>
      <c r="IV78" s="1686"/>
      <c r="IW78" s="1686">
        <v>120</v>
      </c>
      <c r="IX78" s="1691"/>
      <c r="IY78" s="1686"/>
      <c r="IZ78" s="1691"/>
      <c r="JA78" s="1686"/>
      <c r="JB78" s="1686"/>
      <c r="JC78" s="1686"/>
      <c r="JD78" s="1686"/>
      <c r="JE78" s="1686"/>
      <c r="JF78" s="1686"/>
      <c r="JG78" s="1686"/>
      <c r="JH78" s="1686"/>
      <c r="JI78" s="1686"/>
      <c r="JJ78" s="1686">
        <v>4973</v>
      </c>
      <c r="JK78" s="1686">
        <v>1328</v>
      </c>
      <c r="JL78" s="1686"/>
      <c r="JM78" s="1686"/>
      <c r="JN78" s="1686"/>
      <c r="JO78" s="1686"/>
      <c r="JP78" s="1686"/>
      <c r="JQ78" s="1724"/>
      <c r="JR78" s="593"/>
      <c r="JS78" s="497"/>
      <c r="JT78" s="355"/>
      <c r="JU78" s="598"/>
      <c r="JV78" s="598"/>
    </row>
    <row r="79" spans="1:282" x14ac:dyDescent="0.25">
      <c r="A79" s="1367">
        <v>78</v>
      </c>
      <c r="B79" s="1684" t="str">
        <f t="shared" si="11"/>
        <v/>
      </c>
      <c r="C79" s="1688" t="s">
        <v>4406</v>
      </c>
      <c r="D79" s="1360" t="s">
        <v>4407</v>
      </c>
      <c r="E79" s="1686"/>
      <c r="F79" s="1686"/>
      <c r="G79" s="1686"/>
      <c r="H79" s="1686"/>
      <c r="I79" s="1686"/>
      <c r="J79" s="1686"/>
      <c r="K79" s="1686"/>
      <c r="L79" s="1686"/>
      <c r="M79" s="1686"/>
      <c r="N79" s="1686"/>
      <c r="O79" s="1686"/>
      <c r="P79" s="1686"/>
      <c r="Q79" s="1686"/>
      <c r="R79" s="1686"/>
      <c r="S79" s="1686"/>
      <c r="T79" s="1686"/>
      <c r="U79" s="1686"/>
      <c r="V79" s="1686"/>
      <c r="W79" s="1686"/>
      <c r="X79" s="1686"/>
      <c r="Y79" s="1686"/>
      <c r="Z79" s="1686"/>
      <c r="AA79" s="1686"/>
      <c r="AB79" s="1686"/>
      <c r="AC79" s="1686"/>
      <c r="AD79" s="1686"/>
      <c r="AE79" s="1686"/>
      <c r="AF79" s="1686"/>
      <c r="AG79" s="1686"/>
      <c r="AH79" s="1686"/>
      <c r="AI79" s="1691"/>
      <c r="AJ79" s="1686"/>
      <c r="AK79" s="1691"/>
      <c r="AL79" s="1686"/>
      <c r="AM79" s="1686"/>
      <c r="AN79" s="1686"/>
      <c r="AO79" s="1686"/>
      <c r="AP79" s="1686"/>
      <c r="AQ79" s="1686"/>
      <c r="AR79" s="1686"/>
      <c r="AS79" s="1686"/>
      <c r="AT79" s="1686"/>
      <c r="AU79" s="1691"/>
      <c r="AV79" s="1686"/>
      <c r="AW79" s="1686"/>
      <c r="AX79" s="1686"/>
      <c r="AY79" s="1686"/>
      <c r="AZ79" s="1686"/>
      <c r="BA79" s="1686"/>
      <c r="BB79" s="1691"/>
      <c r="BC79" s="1686"/>
      <c r="BD79" s="1691"/>
      <c r="BE79" s="1686"/>
      <c r="BF79" s="1686"/>
      <c r="BG79" s="1691"/>
      <c r="BH79" s="1686"/>
      <c r="BI79" s="1686"/>
      <c r="BJ79" s="1686"/>
      <c r="BK79" s="1686"/>
      <c r="BL79" s="1686"/>
      <c r="BM79" s="1686"/>
      <c r="BN79" s="1686"/>
      <c r="BO79" s="1686"/>
      <c r="BP79" s="1691"/>
      <c r="BQ79" s="1686"/>
      <c r="BR79" s="1686"/>
      <c r="BS79" s="1686"/>
      <c r="BT79" s="1691"/>
      <c r="BU79" s="1691"/>
      <c r="BV79" s="1686"/>
      <c r="BW79" s="1691"/>
      <c r="BX79" s="1686"/>
      <c r="BY79" s="1686"/>
      <c r="BZ79" s="1691"/>
      <c r="CA79" s="1686"/>
      <c r="CB79" s="1686"/>
      <c r="CC79" s="1686"/>
      <c r="CD79" s="1691"/>
      <c r="CE79" s="1686"/>
      <c r="CF79" s="1686"/>
      <c r="CG79" s="1686"/>
      <c r="CH79" s="1686"/>
      <c r="CI79" s="1686"/>
      <c r="CJ79" s="1686"/>
      <c r="CK79" s="1686"/>
      <c r="CL79" s="1686"/>
      <c r="CM79" s="1686"/>
      <c r="CN79" s="1686"/>
      <c r="CO79" s="1686"/>
      <c r="CP79" s="1686"/>
      <c r="CQ79" s="1686"/>
      <c r="CR79" s="1686"/>
      <c r="CS79" s="1686"/>
      <c r="CT79" s="1691"/>
      <c r="CU79" s="1686"/>
      <c r="CV79" s="1686"/>
      <c r="CW79" s="1686"/>
      <c r="CX79" s="1686"/>
      <c r="CY79" s="1686"/>
      <c r="CZ79" s="1686"/>
      <c r="DA79" s="1691"/>
      <c r="DB79" s="1686"/>
      <c r="DC79" s="1691"/>
      <c r="DD79" s="1686"/>
      <c r="DE79" s="1686"/>
      <c r="DF79" s="1686"/>
      <c r="DG79" s="1691"/>
      <c r="DH79" s="1686"/>
      <c r="DI79" s="1686"/>
      <c r="DJ79" s="1691"/>
      <c r="DK79" s="1686"/>
      <c r="DL79" s="1686"/>
      <c r="DM79" s="1691"/>
      <c r="DN79" s="1686"/>
      <c r="DO79" s="1691"/>
      <c r="DP79" s="1686"/>
      <c r="DQ79" s="1686"/>
      <c r="DR79" s="1686"/>
      <c r="DS79" s="1686"/>
      <c r="DT79" s="1686"/>
      <c r="DU79" s="1686"/>
      <c r="DV79" s="1686"/>
      <c r="DW79" s="1686"/>
      <c r="DX79" s="1686"/>
      <c r="DY79" s="1686"/>
      <c r="DZ79" s="1686"/>
      <c r="EA79" s="1686"/>
      <c r="EB79" s="1686"/>
      <c r="EC79" s="1686"/>
      <c r="ED79" s="1691"/>
      <c r="EE79" s="1691"/>
      <c r="EF79" s="1686"/>
      <c r="EG79" s="1691"/>
      <c r="EH79" s="1691"/>
      <c r="EI79" s="1686"/>
      <c r="EJ79" s="1686"/>
      <c r="EK79" s="1686"/>
      <c r="EL79" s="1686"/>
      <c r="EM79" s="1686"/>
      <c r="EN79" s="1686"/>
      <c r="EO79" s="1686"/>
      <c r="EP79" s="1686"/>
      <c r="EQ79" s="1686"/>
      <c r="ER79" s="1691"/>
      <c r="ES79" s="1686"/>
      <c r="ET79" s="1686"/>
      <c r="EU79" s="1686"/>
      <c r="EV79" s="1691"/>
      <c r="EW79" s="1686"/>
      <c r="EX79" s="1686"/>
      <c r="EY79" s="1691"/>
      <c r="EZ79" s="1686"/>
      <c r="FA79" s="1686"/>
      <c r="FB79" s="1686"/>
      <c r="FC79" s="1686"/>
      <c r="FD79" s="1686"/>
      <c r="FE79" s="1691"/>
      <c r="FF79" s="1691"/>
      <c r="FG79" s="1691"/>
      <c r="FH79" s="1691"/>
      <c r="FI79" s="1691"/>
      <c r="FJ79" s="1691"/>
      <c r="FK79" s="1691"/>
      <c r="FL79" s="1691"/>
      <c r="FM79" s="1691"/>
      <c r="FN79" s="1691"/>
      <c r="FO79" s="1691"/>
      <c r="FP79" s="1691"/>
      <c r="FQ79" s="1686"/>
      <c r="FR79" s="1686"/>
      <c r="FS79" s="1686"/>
      <c r="FT79" s="1686"/>
      <c r="FU79" s="1686"/>
      <c r="FV79" s="1686"/>
      <c r="FW79" s="1686"/>
      <c r="FX79" s="1686"/>
      <c r="FY79" s="1686"/>
      <c r="FZ79" s="1686"/>
      <c r="GA79" s="1686"/>
      <c r="GB79" s="1686"/>
      <c r="GC79" s="1686"/>
      <c r="GD79" s="1686"/>
      <c r="GE79" s="1686"/>
      <c r="GF79" s="1686"/>
      <c r="GG79" s="1686"/>
      <c r="GH79" s="1686"/>
      <c r="GI79" s="1686"/>
      <c r="GJ79" s="1686"/>
      <c r="GK79" s="1686"/>
      <c r="GL79" s="1686"/>
      <c r="GM79" s="1686"/>
      <c r="GN79" s="1686"/>
      <c r="GO79" s="1686"/>
      <c r="GP79" s="1686"/>
      <c r="GQ79" s="1686"/>
      <c r="GR79" s="1686"/>
      <c r="GS79" s="1686"/>
      <c r="GT79" s="1686"/>
      <c r="GU79" s="1686"/>
      <c r="GV79" s="1686"/>
      <c r="GW79" s="1686"/>
      <c r="GX79" s="1686"/>
      <c r="GY79" s="1686"/>
      <c r="GZ79" s="1686"/>
      <c r="HA79" s="1686"/>
      <c r="HB79" s="1691"/>
      <c r="HC79" s="1686"/>
      <c r="HD79" s="1686"/>
      <c r="HE79" s="1686"/>
      <c r="HF79" s="1686"/>
      <c r="HG79" s="1691"/>
      <c r="HH79" s="1686"/>
      <c r="HI79" s="1691"/>
      <c r="HJ79" s="1691"/>
      <c r="HK79" s="1691"/>
      <c r="HL79" s="1691"/>
      <c r="HM79" s="1691"/>
      <c r="HN79" s="1686"/>
      <c r="HO79" s="1686"/>
      <c r="HP79" s="1691"/>
      <c r="HQ79" s="1686"/>
      <c r="HR79" s="1686"/>
      <c r="HS79" s="1686"/>
      <c r="HT79" s="1686"/>
      <c r="HU79" s="1686"/>
      <c r="HV79" s="1686"/>
      <c r="HW79" s="1686"/>
      <c r="HX79" s="1686"/>
      <c r="HY79" s="1686"/>
      <c r="HZ79" s="1686"/>
      <c r="IA79" s="1686"/>
      <c r="IB79" s="1686"/>
      <c r="IC79" s="1686"/>
      <c r="ID79" s="1686"/>
      <c r="IE79" s="1686"/>
      <c r="IF79" s="1686"/>
      <c r="IG79" s="1686"/>
      <c r="IH79" s="1686"/>
      <c r="II79" s="1686"/>
      <c r="IJ79" s="1686"/>
      <c r="IK79" s="1686"/>
      <c r="IL79" s="1686"/>
      <c r="IM79" s="1686"/>
      <c r="IN79" s="1686"/>
      <c r="IO79" s="1686"/>
      <c r="IP79" s="1686"/>
      <c r="IQ79" s="1686"/>
      <c r="IR79" s="1686"/>
      <c r="IS79" s="1686"/>
      <c r="IT79" s="1686"/>
      <c r="IU79" s="1686">
        <v>5432</v>
      </c>
      <c r="IV79" s="1686"/>
      <c r="IW79" s="1686"/>
      <c r="IX79" s="1691"/>
      <c r="IY79" s="1686"/>
      <c r="IZ79" s="1691"/>
      <c r="JA79" s="1686"/>
      <c r="JB79" s="1686"/>
      <c r="JC79" s="1686"/>
      <c r="JD79" s="1686"/>
      <c r="JE79" s="1686"/>
      <c r="JF79" s="1686"/>
      <c r="JG79" s="1686"/>
      <c r="JH79" s="1686">
        <v>60000</v>
      </c>
      <c r="JI79" s="1686"/>
      <c r="JJ79" s="1686">
        <v>8321</v>
      </c>
      <c r="JK79" s="1686"/>
      <c r="JL79" s="1686"/>
      <c r="JM79" s="1686"/>
      <c r="JN79" s="1686"/>
      <c r="JO79" s="1686"/>
      <c r="JP79" s="1686"/>
      <c r="JQ79" s="1724"/>
      <c r="JR79" s="593"/>
      <c r="JS79" s="497"/>
      <c r="JT79" s="355"/>
      <c r="JU79" s="598"/>
      <c r="JV79" s="598"/>
    </row>
    <row r="80" spans="1:282" x14ac:dyDescent="0.25">
      <c r="A80" s="1367">
        <v>79</v>
      </c>
      <c r="B80" s="1684" t="str">
        <f t="shared" si="11"/>
        <v/>
      </c>
      <c r="C80" s="1688" t="s">
        <v>4408</v>
      </c>
      <c r="D80" s="1360" t="s">
        <v>4409</v>
      </c>
      <c r="E80" s="1686"/>
      <c r="F80" s="1686"/>
      <c r="G80" s="1686"/>
      <c r="H80" s="1686"/>
      <c r="I80" s="1686"/>
      <c r="J80" s="1686"/>
      <c r="K80" s="1686"/>
      <c r="L80" s="1686"/>
      <c r="M80" s="1686"/>
      <c r="N80" s="1686"/>
      <c r="O80" s="1686"/>
      <c r="P80" s="1686"/>
      <c r="Q80" s="1686"/>
      <c r="R80" s="1686"/>
      <c r="S80" s="1686"/>
      <c r="T80" s="1686"/>
      <c r="U80" s="1686"/>
      <c r="V80" s="1686"/>
      <c r="W80" s="1686"/>
      <c r="X80" s="1686"/>
      <c r="Y80" s="1686"/>
      <c r="Z80" s="1686"/>
      <c r="AA80" s="1686"/>
      <c r="AB80" s="1686"/>
      <c r="AC80" s="1686"/>
      <c r="AD80" s="1686"/>
      <c r="AE80" s="1686"/>
      <c r="AF80" s="1686"/>
      <c r="AG80" s="1686"/>
      <c r="AH80" s="1686"/>
      <c r="AI80" s="1691"/>
      <c r="AJ80" s="1686"/>
      <c r="AK80" s="1691"/>
      <c r="AL80" s="1686"/>
      <c r="AM80" s="1686"/>
      <c r="AN80" s="1686"/>
      <c r="AO80" s="1686"/>
      <c r="AP80" s="1686"/>
      <c r="AQ80" s="1686"/>
      <c r="AR80" s="1686"/>
      <c r="AS80" s="1686"/>
      <c r="AT80" s="1686"/>
      <c r="AU80" s="1691"/>
      <c r="AV80" s="1686"/>
      <c r="AW80" s="1686"/>
      <c r="AX80" s="1686"/>
      <c r="AY80" s="1686"/>
      <c r="AZ80" s="1686"/>
      <c r="BA80" s="1686"/>
      <c r="BB80" s="1691"/>
      <c r="BC80" s="1686"/>
      <c r="BD80" s="1691"/>
      <c r="BE80" s="1686"/>
      <c r="BF80" s="1686"/>
      <c r="BG80" s="1691"/>
      <c r="BH80" s="1686"/>
      <c r="BI80" s="1686"/>
      <c r="BJ80" s="1686"/>
      <c r="BK80" s="1686"/>
      <c r="BL80" s="1686"/>
      <c r="BM80" s="1686"/>
      <c r="BN80" s="1686"/>
      <c r="BO80" s="1686"/>
      <c r="BP80" s="1691"/>
      <c r="BQ80" s="1686"/>
      <c r="BR80" s="1686"/>
      <c r="BS80" s="1686"/>
      <c r="BT80" s="1691"/>
      <c r="BU80" s="1691"/>
      <c r="BV80" s="1686"/>
      <c r="BW80" s="1691"/>
      <c r="BX80" s="1686"/>
      <c r="BY80" s="1686"/>
      <c r="BZ80" s="1691"/>
      <c r="CA80" s="1686"/>
      <c r="CB80" s="1686"/>
      <c r="CC80" s="1686"/>
      <c r="CD80" s="1691"/>
      <c r="CE80" s="1686"/>
      <c r="CF80" s="1686"/>
      <c r="CG80" s="1686"/>
      <c r="CH80" s="1686"/>
      <c r="CI80" s="1686"/>
      <c r="CJ80" s="1686"/>
      <c r="CK80" s="1686"/>
      <c r="CL80" s="1686"/>
      <c r="CM80" s="1686"/>
      <c r="CN80" s="1686"/>
      <c r="CO80" s="1686"/>
      <c r="CP80" s="1686"/>
      <c r="CQ80" s="1686"/>
      <c r="CR80" s="1686"/>
      <c r="CS80" s="1686"/>
      <c r="CT80" s="1691"/>
      <c r="CU80" s="1686"/>
      <c r="CV80" s="1686"/>
      <c r="CW80" s="1686"/>
      <c r="CX80" s="1686"/>
      <c r="CY80" s="1686"/>
      <c r="CZ80" s="1686"/>
      <c r="DA80" s="1691"/>
      <c r="DB80" s="1686"/>
      <c r="DC80" s="1691"/>
      <c r="DD80" s="1686"/>
      <c r="DE80" s="1686"/>
      <c r="DF80" s="1686"/>
      <c r="DG80" s="1691"/>
      <c r="DH80" s="1686"/>
      <c r="DI80" s="1686"/>
      <c r="DJ80" s="1691"/>
      <c r="DK80" s="1686"/>
      <c r="DL80" s="1686"/>
      <c r="DM80" s="1691"/>
      <c r="DN80" s="1686"/>
      <c r="DO80" s="1691"/>
      <c r="DP80" s="1686"/>
      <c r="DQ80" s="1686"/>
      <c r="DR80" s="1686"/>
      <c r="DS80" s="1686"/>
      <c r="DT80" s="1686"/>
      <c r="DU80" s="1686"/>
      <c r="DV80" s="1686"/>
      <c r="DW80" s="1693">
        <v>964984</v>
      </c>
      <c r="DX80" s="1686"/>
      <c r="DY80" s="1686"/>
      <c r="DZ80" s="1686"/>
      <c r="EA80" s="1686"/>
      <c r="EB80" s="1686"/>
      <c r="EC80" s="1686"/>
      <c r="ED80" s="1691"/>
      <c r="EE80" s="1691"/>
      <c r="EF80" s="1686"/>
      <c r="EG80" s="1691"/>
      <c r="EH80" s="1691"/>
      <c r="EI80" s="1686"/>
      <c r="EJ80" s="1686"/>
      <c r="EK80" s="1686"/>
      <c r="EL80" s="1686"/>
      <c r="EM80" s="1686"/>
      <c r="EN80" s="1686"/>
      <c r="EO80" s="1686"/>
      <c r="EP80" s="1686"/>
      <c r="EQ80" s="1686"/>
      <c r="ER80" s="1691"/>
      <c r="ES80" s="1686"/>
      <c r="ET80" s="1686"/>
      <c r="EU80" s="1686"/>
      <c r="EV80" s="1691"/>
      <c r="EW80" s="1686"/>
      <c r="EX80" s="1686"/>
      <c r="EY80" s="1691"/>
      <c r="EZ80" s="1686"/>
      <c r="FA80" s="1686"/>
      <c r="FB80" s="1686"/>
      <c r="FC80" s="1686"/>
      <c r="FD80" s="1686"/>
      <c r="FE80" s="1691"/>
      <c r="FF80" s="1691"/>
      <c r="FG80" s="1691"/>
      <c r="FH80" s="1691"/>
      <c r="FI80" s="1694"/>
      <c r="FJ80" s="1691"/>
      <c r="FK80" s="1691"/>
      <c r="FL80" s="1691"/>
      <c r="FM80" s="1691"/>
      <c r="FN80" s="1691"/>
      <c r="FO80" s="1691"/>
      <c r="FP80" s="1691"/>
      <c r="FQ80" s="1686"/>
      <c r="FR80" s="1686"/>
      <c r="FS80" s="1686"/>
      <c r="FT80" s="1686"/>
      <c r="FU80" s="1686"/>
      <c r="FV80" s="1686"/>
      <c r="FW80" s="1686"/>
      <c r="FX80" s="1686"/>
      <c r="FY80" s="1686"/>
      <c r="FZ80" s="1686"/>
      <c r="GA80" s="1686"/>
      <c r="GB80" s="1686"/>
      <c r="GC80" s="1686"/>
      <c r="GD80" s="1686"/>
      <c r="GE80" s="1686"/>
      <c r="GF80" s="1686"/>
      <c r="GG80" s="1686"/>
      <c r="GH80" s="1686"/>
      <c r="GI80" s="1686"/>
      <c r="GJ80" s="1686"/>
      <c r="GK80" s="1686"/>
      <c r="GL80" s="1686"/>
      <c r="GM80" s="1686"/>
      <c r="GN80" s="1686"/>
      <c r="GO80" s="1686"/>
      <c r="GP80" s="1686"/>
      <c r="GQ80" s="1686"/>
      <c r="GR80" s="1686"/>
      <c r="GS80" s="1686"/>
      <c r="GT80" s="1686"/>
      <c r="GU80" s="1686"/>
      <c r="GV80" s="1686"/>
      <c r="GW80" s="1686"/>
      <c r="GX80" s="1686"/>
      <c r="GY80" s="1686"/>
      <c r="GZ80" s="1686"/>
      <c r="HA80" s="1686"/>
      <c r="HB80" s="1691"/>
      <c r="HC80" s="1686"/>
      <c r="HD80" s="1686"/>
      <c r="HE80" s="1686"/>
      <c r="HF80" s="1686"/>
      <c r="HG80" s="1691"/>
      <c r="HH80" s="1686"/>
      <c r="HI80" s="1691"/>
      <c r="HJ80" s="1691"/>
      <c r="HK80" s="1691"/>
      <c r="HL80" s="1691"/>
      <c r="HM80" s="1691"/>
      <c r="HN80" s="1686"/>
      <c r="HO80" s="1686"/>
      <c r="HP80" s="1691"/>
      <c r="HQ80" s="1686"/>
      <c r="HR80" s="1686"/>
      <c r="HS80" s="1686"/>
      <c r="HT80" s="1686"/>
      <c r="HU80" s="1686"/>
      <c r="HV80" s="1686"/>
      <c r="HW80" s="1686"/>
      <c r="HX80" s="1686"/>
      <c r="HY80" s="1686"/>
      <c r="HZ80" s="1686"/>
      <c r="IA80" s="1686"/>
      <c r="IB80" s="1686"/>
      <c r="IC80" s="1686"/>
      <c r="ID80" s="1686"/>
      <c r="IE80" s="1686"/>
      <c r="IF80" s="1686"/>
      <c r="IG80" s="1686"/>
      <c r="IH80" s="1686"/>
      <c r="II80" s="1686"/>
      <c r="IJ80" s="1686"/>
      <c r="IK80" s="1686"/>
      <c r="IL80" s="1686"/>
      <c r="IM80" s="1686"/>
      <c r="IN80" s="1686"/>
      <c r="IO80" s="1686"/>
      <c r="IP80" s="1686"/>
      <c r="IQ80" s="1686"/>
      <c r="IR80" s="1686"/>
      <c r="IS80" s="1686"/>
      <c r="IT80" s="1686"/>
      <c r="IU80" s="1686"/>
      <c r="IV80" s="1686"/>
      <c r="IW80" s="1686"/>
      <c r="IX80" s="1691"/>
      <c r="IY80" s="1686"/>
      <c r="IZ80" s="1691"/>
      <c r="JA80" s="1686"/>
      <c r="JB80" s="1686"/>
      <c r="JC80" s="1686"/>
      <c r="JD80" s="1686"/>
      <c r="JE80" s="1686"/>
      <c r="JF80" s="1686"/>
      <c r="JG80" s="1686"/>
      <c r="JH80" s="1686"/>
      <c r="JI80" s="1686"/>
      <c r="JJ80" s="1686"/>
      <c r="JK80" s="1686"/>
      <c r="JL80" s="1686"/>
      <c r="JM80" s="1686"/>
      <c r="JN80" s="1686"/>
      <c r="JO80" s="1686"/>
      <c r="JP80" s="1686"/>
      <c r="JQ80" s="1724"/>
      <c r="JR80" s="593"/>
      <c r="JS80" s="497"/>
      <c r="JT80" s="355"/>
      <c r="JU80" s="598"/>
      <c r="JV80" s="598"/>
    </row>
    <row r="81" spans="1:282" x14ac:dyDescent="0.25">
      <c r="A81" s="1367">
        <v>80</v>
      </c>
      <c r="B81" s="1684" t="str">
        <f t="shared" si="11"/>
        <v/>
      </c>
      <c r="C81" s="1689" t="s">
        <v>4410</v>
      </c>
      <c r="D81" s="1690" t="s">
        <v>3252</v>
      </c>
      <c r="E81" s="1686"/>
      <c r="F81" s="1686"/>
      <c r="G81" s="1686"/>
      <c r="H81" s="1686"/>
      <c r="I81" s="1686"/>
      <c r="J81" s="1686"/>
      <c r="K81" s="1686"/>
      <c r="L81" s="1686"/>
      <c r="M81" s="1686"/>
      <c r="N81" s="1686"/>
      <c r="O81" s="1686"/>
      <c r="P81" s="1686"/>
      <c r="Q81" s="1686"/>
      <c r="R81" s="1686"/>
      <c r="S81" s="1686"/>
      <c r="T81" s="1686"/>
      <c r="U81" s="1686"/>
      <c r="V81" s="1686"/>
      <c r="W81" s="1686"/>
      <c r="X81" s="1686"/>
      <c r="Y81" s="1686"/>
      <c r="Z81" s="1686"/>
      <c r="AA81" s="1686"/>
      <c r="AB81" s="1686"/>
      <c r="AC81" s="1686"/>
      <c r="AD81" s="1686"/>
      <c r="AE81" s="1686"/>
      <c r="AF81" s="1686"/>
      <c r="AG81" s="1686"/>
      <c r="AH81" s="1686"/>
      <c r="AI81" s="1691"/>
      <c r="AJ81" s="1686"/>
      <c r="AK81" s="1691"/>
      <c r="AL81" s="1686"/>
      <c r="AM81" s="1686"/>
      <c r="AN81" s="1686"/>
      <c r="AO81" s="1686"/>
      <c r="AP81" s="1686"/>
      <c r="AQ81" s="1686"/>
      <c r="AR81" s="1686"/>
      <c r="AS81" s="1686"/>
      <c r="AT81" s="1686"/>
      <c r="AU81" s="1691"/>
      <c r="AV81" s="1686"/>
      <c r="AW81" s="1686"/>
      <c r="AX81" s="1686"/>
      <c r="AY81" s="1686"/>
      <c r="AZ81" s="1686"/>
      <c r="BA81" s="1686"/>
      <c r="BB81" s="1691"/>
      <c r="BC81" s="1686"/>
      <c r="BD81" s="1691"/>
      <c r="BE81" s="1686"/>
      <c r="BF81" s="1686"/>
      <c r="BG81" s="1691"/>
      <c r="BH81" s="1686"/>
      <c r="BI81" s="1686"/>
      <c r="BJ81" s="1686"/>
      <c r="BK81" s="1686"/>
      <c r="BL81" s="1686"/>
      <c r="BM81" s="1686"/>
      <c r="BN81" s="1686"/>
      <c r="BO81" s="1686"/>
      <c r="BP81" s="1691"/>
      <c r="BQ81" s="1686"/>
      <c r="BR81" s="1686"/>
      <c r="BS81" s="1686"/>
      <c r="BT81" s="1691"/>
      <c r="BU81" s="1691"/>
      <c r="BV81" s="1686"/>
      <c r="BW81" s="1691"/>
      <c r="BX81" s="1686"/>
      <c r="BY81" s="1686"/>
      <c r="BZ81" s="1691"/>
      <c r="CA81" s="1686"/>
      <c r="CB81" s="1686"/>
      <c r="CC81" s="1686"/>
      <c r="CD81" s="1691"/>
      <c r="CE81" s="1686"/>
      <c r="CF81" s="1686"/>
      <c r="CG81" s="1686"/>
      <c r="CH81" s="1686"/>
      <c r="CI81" s="1686"/>
      <c r="CJ81" s="1686"/>
      <c r="CK81" s="1686"/>
      <c r="CL81" s="1686"/>
      <c r="CM81" s="1686"/>
      <c r="CN81" s="1686"/>
      <c r="CO81" s="1686"/>
      <c r="CP81" s="1686"/>
      <c r="CQ81" s="1686"/>
      <c r="CR81" s="1686"/>
      <c r="CS81" s="1686"/>
      <c r="CT81" s="1691"/>
      <c r="CU81" s="1686"/>
      <c r="CV81" s="1686"/>
      <c r="CW81" s="1686"/>
      <c r="CX81" s="1686"/>
      <c r="CY81" s="1686"/>
      <c r="CZ81" s="1686"/>
      <c r="DA81" s="1691"/>
      <c r="DB81" s="1686"/>
      <c r="DC81" s="1691"/>
      <c r="DD81" s="1686"/>
      <c r="DE81" s="1686"/>
      <c r="DF81" s="1686"/>
      <c r="DG81" s="1691"/>
      <c r="DH81" s="1686"/>
      <c r="DI81" s="1686"/>
      <c r="DJ81" s="1691"/>
      <c r="DK81" s="1686"/>
      <c r="DL81" s="1686"/>
      <c r="DM81" s="1691"/>
      <c r="DN81" s="1686"/>
      <c r="DO81" s="1691"/>
      <c r="DP81" s="1686"/>
      <c r="DQ81" s="1686"/>
      <c r="DR81" s="1686"/>
      <c r="DS81" s="1686"/>
      <c r="DT81" s="1686"/>
      <c r="DU81" s="1686"/>
      <c r="DV81" s="1686"/>
      <c r="DW81" s="1693"/>
      <c r="DX81" s="1686"/>
      <c r="DY81" s="1686"/>
      <c r="DZ81" s="1686"/>
      <c r="EA81" s="1686"/>
      <c r="EB81" s="1686"/>
      <c r="EC81" s="1686"/>
      <c r="ED81" s="1691"/>
      <c r="EE81" s="1691"/>
      <c r="EF81" s="1686"/>
      <c r="EG81" s="1691"/>
      <c r="EH81" s="1691"/>
      <c r="EI81" s="1686"/>
      <c r="EJ81" s="1686"/>
      <c r="EK81" s="1686"/>
      <c r="EL81" s="1686"/>
      <c r="EM81" s="1686"/>
      <c r="EN81" s="1686"/>
      <c r="EO81" s="1686"/>
      <c r="EP81" s="1686"/>
      <c r="EQ81" s="1686"/>
      <c r="ER81" s="1691"/>
      <c r="ES81" s="1686"/>
      <c r="ET81" s="1686"/>
      <c r="EU81" s="1686"/>
      <c r="EV81" s="1691"/>
      <c r="EW81" s="1686"/>
      <c r="EX81" s="1686"/>
      <c r="EY81" s="1691"/>
      <c r="EZ81" s="1686"/>
      <c r="FA81" s="1686"/>
      <c r="FB81" s="1686"/>
      <c r="FC81" s="1686"/>
      <c r="FD81" s="1686"/>
      <c r="FE81" s="1691"/>
      <c r="FF81" s="1691"/>
      <c r="FG81" s="1691"/>
      <c r="FH81" s="1691"/>
      <c r="FI81" s="1694"/>
      <c r="FJ81" s="1691"/>
      <c r="FK81" s="1691"/>
      <c r="FL81" s="1691"/>
      <c r="FM81" s="1691"/>
      <c r="FN81" s="1691"/>
      <c r="FO81" s="1691"/>
      <c r="FP81" s="1691"/>
      <c r="FQ81" s="1686"/>
      <c r="FR81" s="1686"/>
      <c r="FS81" s="1686"/>
      <c r="FT81" s="1686"/>
      <c r="FU81" s="1686"/>
      <c r="FV81" s="1686"/>
      <c r="FW81" s="1686"/>
      <c r="FX81" s="1686"/>
      <c r="FY81" s="1686"/>
      <c r="FZ81" s="1686"/>
      <c r="GA81" s="1686"/>
      <c r="GB81" s="1686"/>
      <c r="GC81" s="1686"/>
      <c r="GD81" s="1686"/>
      <c r="GE81" s="1686"/>
      <c r="GF81" s="1686"/>
      <c r="GG81" s="1686"/>
      <c r="GH81" s="1686"/>
      <c r="GI81" s="1686"/>
      <c r="GJ81" s="1686"/>
      <c r="GK81" s="1686"/>
      <c r="GL81" s="1686"/>
      <c r="GM81" s="1686"/>
      <c r="GN81" s="1686"/>
      <c r="GO81" s="1686"/>
      <c r="GP81" s="1686"/>
      <c r="GQ81" s="1686"/>
      <c r="GR81" s="1686"/>
      <c r="GS81" s="1686"/>
      <c r="GT81" s="1686"/>
      <c r="GU81" s="1686"/>
      <c r="GV81" s="1686"/>
      <c r="GW81" s="1686"/>
      <c r="GX81" s="1686"/>
      <c r="GY81" s="1686"/>
      <c r="GZ81" s="1686"/>
      <c r="HA81" s="1686"/>
      <c r="HB81" s="1691"/>
      <c r="HC81" s="1686"/>
      <c r="HD81" s="1686"/>
      <c r="HE81" s="1686"/>
      <c r="HF81" s="1686"/>
      <c r="HG81" s="1691"/>
      <c r="HH81" s="1686"/>
      <c r="HI81" s="1691"/>
      <c r="HJ81" s="1691"/>
      <c r="HK81" s="1691"/>
      <c r="HL81" s="1691"/>
      <c r="HM81" s="1691"/>
      <c r="HN81" s="1686"/>
      <c r="HO81" s="1686"/>
      <c r="HP81" s="1691"/>
      <c r="HQ81" s="1686"/>
      <c r="HR81" s="1686"/>
      <c r="HS81" s="1686"/>
      <c r="HT81" s="1686"/>
      <c r="HU81" s="1686"/>
      <c r="HV81" s="1686"/>
      <c r="HW81" s="1686"/>
      <c r="HX81" s="1686"/>
      <c r="HY81" s="1686"/>
      <c r="HZ81" s="1686"/>
      <c r="IA81" s="1686"/>
      <c r="IB81" s="1686"/>
      <c r="IC81" s="1686"/>
      <c r="ID81" s="1686"/>
      <c r="IE81" s="1686"/>
      <c r="IF81" s="1686"/>
      <c r="IG81" s="1686"/>
      <c r="IH81" s="1686"/>
      <c r="II81" s="1686"/>
      <c r="IJ81" s="1686"/>
      <c r="IK81" s="1686"/>
      <c r="IL81" s="1686"/>
      <c r="IM81" s="1686"/>
      <c r="IN81" s="1686"/>
      <c r="IO81" s="1686"/>
      <c r="IP81" s="1686"/>
      <c r="IQ81" s="1686"/>
      <c r="IR81" s="1686"/>
      <c r="IS81" s="1686"/>
      <c r="IT81" s="1686"/>
      <c r="IU81" s="1686"/>
      <c r="IV81" s="1686"/>
      <c r="IW81" s="1686"/>
      <c r="IX81" s="1691"/>
      <c r="IY81" s="1686"/>
      <c r="IZ81" s="1691"/>
      <c r="JA81" s="1686"/>
      <c r="JB81" s="1686"/>
      <c r="JC81" s="1686"/>
      <c r="JD81" s="1686"/>
      <c r="JE81" s="1686"/>
      <c r="JF81" s="1686"/>
      <c r="JG81" s="1686"/>
      <c r="JH81" s="1686"/>
      <c r="JI81" s="1686"/>
      <c r="JJ81" s="1686"/>
      <c r="JK81" s="1686"/>
      <c r="JL81" s="1686"/>
      <c r="JM81" s="1686"/>
      <c r="JN81" s="1686"/>
      <c r="JO81" s="1686"/>
      <c r="JP81" s="1686"/>
      <c r="JQ81" s="1724"/>
      <c r="JR81" s="593"/>
      <c r="JS81" s="497"/>
      <c r="JT81" s="355"/>
      <c r="JU81" s="598"/>
      <c r="JV81" s="598"/>
    </row>
    <row r="82" spans="1:282" x14ac:dyDescent="0.25">
      <c r="A82" s="1367">
        <v>81</v>
      </c>
      <c r="B82" s="1684" t="str">
        <f t="shared" si="11"/>
        <v/>
      </c>
      <c r="C82" s="1688" t="s">
        <v>4411</v>
      </c>
      <c r="D82" s="1360" t="s">
        <v>4412</v>
      </c>
      <c r="E82" s="1686"/>
      <c r="F82" s="1686"/>
      <c r="G82" s="1686"/>
      <c r="H82" s="1686"/>
      <c r="I82" s="1686"/>
      <c r="J82" s="1686"/>
      <c r="K82" s="1686"/>
      <c r="L82" s="1686"/>
      <c r="M82" s="1686"/>
      <c r="N82" s="1686"/>
      <c r="O82" s="1686"/>
      <c r="P82" s="1686"/>
      <c r="Q82" s="1686"/>
      <c r="R82" s="1686"/>
      <c r="S82" s="1686"/>
      <c r="T82" s="1686"/>
      <c r="U82" s="1686"/>
      <c r="V82" s="1686"/>
      <c r="W82" s="1686"/>
      <c r="X82" s="1686"/>
      <c r="Y82" s="1686"/>
      <c r="Z82" s="1686"/>
      <c r="AA82" s="1686"/>
      <c r="AB82" s="1686"/>
      <c r="AC82" s="1686"/>
      <c r="AD82" s="1686"/>
      <c r="AE82" s="1686"/>
      <c r="AF82" s="1686"/>
      <c r="AG82" s="1686"/>
      <c r="AH82" s="1686"/>
      <c r="AI82" s="1691"/>
      <c r="AJ82" s="1686"/>
      <c r="AK82" s="1691"/>
      <c r="AL82" s="1686"/>
      <c r="AM82" s="1686"/>
      <c r="AN82" s="1686"/>
      <c r="AO82" s="1686"/>
      <c r="AP82" s="1686"/>
      <c r="AQ82" s="1686"/>
      <c r="AR82" s="1686"/>
      <c r="AS82" s="1686"/>
      <c r="AT82" s="1686"/>
      <c r="AU82" s="1691"/>
      <c r="AV82" s="1686"/>
      <c r="AW82" s="1686"/>
      <c r="AX82" s="1686"/>
      <c r="AY82" s="1686"/>
      <c r="AZ82" s="1686"/>
      <c r="BA82" s="1686"/>
      <c r="BB82" s="1691"/>
      <c r="BC82" s="1686"/>
      <c r="BD82" s="1691"/>
      <c r="BE82" s="1686"/>
      <c r="BF82" s="1686"/>
      <c r="BG82" s="1691"/>
      <c r="BH82" s="1686"/>
      <c r="BI82" s="1686"/>
      <c r="BJ82" s="1686"/>
      <c r="BK82" s="1686"/>
      <c r="BL82" s="1686"/>
      <c r="BM82" s="1686"/>
      <c r="BN82" s="1686"/>
      <c r="BO82" s="1686"/>
      <c r="BP82" s="1691"/>
      <c r="BQ82" s="1686"/>
      <c r="BR82" s="1686"/>
      <c r="BS82" s="1686"/>
      <c r="BT82" s="1691"/>
      <c r="BU82" s="1691"/>
      <c r="BV82" s="1686"/>
      <c r="BW82" s="1691"/>
      <c r="BX82" s="1686"/>
      <c r="BY82" s="1686"/>
      <c r="BZ82" s="1691"/>
      <c r="CA82" s="1686"/>
      <c r="CB82" s="1686"/>
      <c r="CC82" s="1686"/>
      <c r="CD82" s="1691"/>
      <c r="CE82" s="1686"/>
      <c r="CF82" s="1686"/>
      <c r="CG82" s="1686"/>
      <c r="CH82" s="1686"/>
      <c r="CI82" s="1686"/>
      <c r="CJ82" s="1686"/>
      <c r="CK82" s="1686"/>
      <c r="CL82" s="1686"/>
      <c r="CM82" s="1686"/>
      <c r="CN82" s="1686"/>
      <c r="CO82" s="1686"/>
      <c r="CP82" s="1686"/>
      <c r="CQ82" s="1686"/>
      <c r="CR82" s="1686"/>
      <c r="CS82" s="1686"/>
      <c r="CT82" s="1691"/>
      <c r="CU82" s="1686"/>
      <c r="CV82" s="1686"/>
      <c r="CW82" s="1686"/>
      <c r="CX82" s="1686"/>
      <c r="CY82" s="1686"/>
      <c r="CZ82" s="1686"/>
      <c r="DA82" s="1691"/>
      <c r="DB82" s="1686"/>
      <c r="DC82" s="1691"/>
      <c r="DD82" s="1686"/>
      <c r="DE82" s="1686"/>
      <c r="DF82" s="1686"/>
      <c r="DG82" s="1691"/>
      <c r="DH82" s="1686"/>
      <c r="DI82" s="1686"/>
      <c r="DJ82" s="1691"/>
      <c r="DK82" s="1686"/>
      <c r="DL82" s="1686"/>
      <c r="DM82" s="1691"/>
      <c r="DN82" s="1686"/>
      <c r="DO82" s="1691"/>
      <c r="DP82" s="1686"/>
      <c r="DQ82" s="1686"/>
      <c r="DR82" s="1686"/>
      <c r="DS82" s="1686"/>
      <c r="DT82" s="1686"/>
      <c r="DU82" s="1686"/>
      <c r="DV82" s="1686"/>
      <c r="DW82" s="1686"/>
      <c r="DX82" s="1686"/>
      <c r="DY82" s="1686"/>
      <c r="DZ82" s="1686"/>
      <c r="EA82" s="1686"/>
      <c r="EB82" s="1686"/>
      <c r="EC82" s="1686"/>
      <c r="ED82" s="1691"/>
      <c r="EE82" s="1691"/>
      <c r="EF82" s="1686"/>
      <c r="EG82" s="1691"/>
      <c r="EH82" s="1691"/>
      <c r="EI82" s="1686"/>
      <c r="EJ82" s="1686"/>
      <c r="EK82" s="1686"/>
      <c r="EL82" s="1686"/>
      <c r="EM82" s="1686"/>
      <c r="EN82" s="1686"/>
      <c r="EO82" s="1686"/>
      <c r="EP82" s="1686"/>
      <c r="EQ82" s="1686"/>
      <c r="ER82" s="1691"/>
      <c r="ES82" s="1686"/>
      <c r="ET82" s="1686"/>
      <c r="EU82" s="1686"/>
      <c r="EV82" s="1691"/>
      <c r="EW82" s="1686"/>
      <c r="EX82" s="1686"/>
      <c r="EY82" s="1691"/>
      <c r="EZ82" s="1686"/>
      <c r="FA82" s="1686"/>
      <c r="FB82" s="1686"/>
      <c r="FC82" s="1686"/>
      <c r="FD82" s="1686"/>
      <c r="FE82" s="1691"/>
      <c r="FF82" s="1691"/>
      <c r="FG82" s="1691"/>
      <c r="FH82" s="1691"/>
      <c r="FI82" s="1691"/>
      <c r="FJ82" s="1691">
        <v>12000</v>
      </c>
      <c r="FK82" s="1691"/>
      <c r="FL82" s="1691"/>
      <c r="FM82" s="1691"/>
      <c r="FN82" s="1691"/>
      <c r="FO82" s="1691"/>
      <c r="FP82" s="1691"/>
      <c r="FQ82" s="1686"/>
      <c r="FR82" s="1686"/>
      <c r="FS82" s="1686"/>
      <c r="FT82" s="1686"/>
      <c r="FU82" s="1686"/>
      <c r="FV82" s="1686"/>
      <c r="FW82" s="1686"/>
      <c r="FX82" s="1686"/>
      <c r="FY82" s="1686"/>
      <c r="FZ82" s="1686"/>
      <c r="GA82" s="1686"/>
      <c r="GB82" s="1686"/>
      <c r="GC82" s="1686"/>
      <c r="GD82" s="1686"/>
      <c r="GE82" s="1686"/>
      <c r="GF82" s="1686"/>
      <c r="GG82" s="1686"/>
      <c r="GH82" s="1686"/>
      <c r="GI82" s="1686"/>
      <c r="GJ82" s="1686"/>
      <c r="GK82" s="1686"/>
      <c r="GL82" s="1686"/>
      <c r="GM82" s="1686"/>
      <c r="GN82" s="1686"/>
      <c r="GO82" s="1686"/>
      <c r="GP82" s="1686"/>
      <c r="GQ82" s="1686"/>
      <c r="GR82" s="1686"/>
      <c r="GS82" s="1686"/>
      <c r="GT82" s="1686"/>
      <c r="GU82" s="1686"/>
      <c r="GV82" s="1686"/>
      <c r="GW82" s="1686"/>
      <c r="GX82" s="1686"/>
      <c r="GY82" s="1686"/>
      <c r="GZ82" s="1686"/>
      <c r="HA82" s="1686"/>
      <c r="HB82" s="1691"/>
      <c r="HC82" s="1686"/>
      <c r="HD82" s="1686"/>
      <c r="HE82" s="1686"/>
      <c r="HF82" s="1686"/>
      <c r="HG82" s="1691"/>
      <c r="HH82" s="1686"/>
      <c r="HI82" s="1691"/>
      <c r="HJ82" s="1691"/>
      <c r="HK82" s="1691"/>
      <c r="HL82" s="1691"/>
      <c r="HM82" s="1691"/>
      <c r="HN82" s="1686"/>
      <c r="HO82" s="1686"/>
      <c r="HP82" s="1691"/>
      <c r="HQ82" s="1686"/>
      <c r="HR82" s="1686"/>
      <c r="HS82" s="1686"/>
      <c r="HT82" s="1686"/>
      <c r="HU82" s="1686"/>
      <c r="HV82" s="1686"/>
      <c r="HW82" s="1686"/>
      <c r="HX82" s="1686"/>
      <c r="HY82" s="1686"/>
      <c r="HZ82" s="1686"/>
      <c r="IA82" s="1686"/>
      <c r="IB82" s="1686"/>
      <c r="IC82" s="1686"/>
      <c r="ID82" s="1686"/>
      <c r="IE82" s="1686"/>
      <c r="IF82" s="1686"/>
      <c r="IG82" s="1686"/>
      <c r="IH82" s="1686"/>
      <c r="II82" s="1686"/>
      <c r="IJ82" s="1686"/>
      <c r="IK82" s="1686"/>
      <c r="IL82" s="1686"/>
      <c r="IM82" s="1686"/>
      <c r="IN82" s="1686"/>
      <c r="IO82" s="1686"/>
      <c r="IP82" s="1686"/>
      <c r="IQ82" s="1686"/>
      <c r="IR82" s="1686"/>
      <c r="IS82" s="1686"/>
      <c r="IT82" s="1686"/>
      <c r="IU82" s="1686"/>
      <c r="IV82" s="1686"/>
      <c r="IW82" s="1686"/>
      <c r="IX82" s="1691"/>
      <c r="IY82" s="1686"/>
      <c r="IZ82" s="1691"/>
      <c r="JA82" s="1686"/>
      <c r="JB82" s="1686"/>
      <c r="JC82" s="1686"/>
      <c r="JD82" s="1686"/>
      <c r="JE82" s="1686"/>
      <c r="JF82" s="1686"/>
      <c r="JG82" s="1686"/>
      <c r="JH82" s="1686"/>
      <c r="JI82" s="1686"/>
      <c r="JJ82" s="1686"/>
      <c r="JK82" s="1686"/>
      <c r="JL82" s="1686"/>
      <c r="JM82" s="1686"/>
      <c r="JN82" s="1686"/>
      <c r="JO82" s="1686"/>
      <c r="JP82" s="1686"/>
      <c r="JQ82" s="1724"/>
      <c r="JR82" s="593"/>
      <c r="JS82" s="497"/>
      <c r="JT82" s="355"/>
      <c r="JU82" s="598"/>
      <c r="JV82" s="598"/>
    </row>
    <row r="83" spans="1:282" x14ac:dyDescent="0.25">
      <c r="A83" s="1367">
        <v>82</v>
      </c>
      <c r="B83" s="1684" t="str">
        <f t="shared" si="11"/>
        <v/>
      </c>
      <c r="C83" s="1689" t="s">
        <v>4413</v>
      </c>
      <c r="D83" s="1690"/>
      <c r="E83" s="1686"/>
      <c r="F83" s="1686"/>
      <c r="G83" s="1686"/>
      <c r="H83" s="1686"/>
      <c r="I83" s="1686"/>
      <c r="J83" s="1686"/>
      <c r="K83" s="1686"/>
      <c r="L83" s="1686"/>
      <c r="M83" s="1686"/>
      <c r="N83" s="1686"/>
      <c r="O83" s="1686"/>
      <c r="P83" s="1686"/>
      <c r="Q83" s="1686"/>
      <c r="R83" s="1686"/>
      <c r="S83" s="1686"/>
      <c r="T83" s="1686"/>
      <c r="U83" s="1686"/>
      <c r="V83" s="1686"/>
      <c r="W83" s="1686"/>
      <c r="X83" s="1686"/>
      <c r="Y83" s="1686"/>
      <c r="Z83" s="1686"/>
      <c r="AA83" s="1686"/>
      <c r="AB83" s="1686"/>
      <c r="AC83" s="1686"/>
      <c r="AD83" s="1686"/>
      <c r="AE83" s="1686"/>
      <c r="AF83" s="1686"/>
      <c r="AG83" s="1686"/>
      <c r="AH83" s="1686"/>
      <c r="AI83" s="1691"/>
      <c r="AJ83" s="1686"/>
      <c r="AK83" s="1691"/>
      <c r="AL83" s="1686"/>
      <c r="AM83" s="1686"/>
      <c r="AN83" s="1686"/>
      <c r="AO83" s="1686"/>
      <c r="AP83" s="1686"/>
      <c r="AQ83" s="1686"/>
      <c r="AR83" s="1686"/>
      <c r="AS83" s="1686"/>
      <c r="AT83" s="1686"/>
      <c r="AU83" s="1691"/>
      <c r="AV83" s="1686"/>
      <c r="AW83" s="1686"/>
      <c r="AX83" s="1686"/>
      <c r="AY83" s="1686"/>
      <c r="AZ83" s="1686"/>
      <c r="BA83" s="1686"/>
      <c r="BB83" s="1691"/>
      <c r="BC83" s="1686"/>
      <c r="BD83" s="1691"/>
      <c r="BE83" s="1686"/>
      <c r="BF83" s="1686"/>
      <c r="BG83" s="1691"/>
      <c r="BH83" s="1686"/>
      <c r="BI83" s="1686"/>
      <c r="BJ83" s="1686"/>
      <c r="BK83" s="1686"/>
      <c r="BL83" s="1686"/>
      <c r="BM83" s="1686"/>
      <c r="BN83" s="1686"/>
      <c r="BO83" s="1686"/>
      <c r="BP83" s="1691"/>
      <c r="BQ83" s="1686"/>
      <c r="BR83" s="1686"/>
      <c r="BS83" s="1686"/>
      <c r="BT83" s="1691"/>
      <c r="BU83" s="1691"/>
      <c r="BV83" s="1686"/>
      <c r="BW83" s="1691"/>
      <c r="BX83" s="1686"/>
      <c r="BY83" s="1686"/>
      <c r="BZ83" s="1691"/>
      <c r="CA83" s="1686"/>
      <c r="CB83" s="1686"/>
      <c r="CC83" s="1686"/>
      <c r="CD83" s="1691"/>
      <c r="CE83" s="1686"/>
      <c r="CF83" s="1686"/>
      <c r="CG83" s="1686"/>
      <c r="CH83" s="1686"/>
      <c r="CI83" s="1686"/>
      <c r="CJ83" s="1686"/>
      <c r="CK83" s="1686"/>
      <c r="CL83" s="1686"/>
      <c r="CM83" s="1686"/>
      <c r="CN83" s="1686"/>
      <c r="CO83" s="1686"/>
      <c r="CP83" s="1686"/>
      <c r="CQ83" s="1686"/>
      <c r="CR83" s="1686"/>
      <c r="CS83" s="1686"/>
      <c r="CT83" s="1691"/>
      <c r="CU83" s="1686"/>
      <c r="CV83" s="1686"/>
      <c r="CW83" s="1686"/>
      <c r="CX83" s="1686"/>
      <c r="CY83" s="1686"/>
      <c r="CZ83" s="1686"/>
      <c r="DA83" s="1691"/>
      <c r="DB83" s="1686"/>
      <c r="DC83" s="1691"/>
      <c r="DD83" s="1686"/>
      <c r="DE83" s="1686"/>
      <c r="DF83" s="1686"/>
      <c r="DG83" s="1691"/>
      <c r="DH83" s="1686"/>
      <c r="DI83" s="1686"/>
      <c r="DJ83" s="1691"/>
      <c r="DK83" s="1686"/>
      <c r="DL83" s="1686"/>
      <c r="DM83" s="1691"/>
      <c r="DN83" s="1686"/>
      <c r="DO83" s="1691"/>
      <c r="DP83" s="1686"/>
      <c r="DQ83" s="1686"/>
      <c r="DR83" s="1686"/>
      <c r="DS83" s="1686"/>
      <c r="DT83" s="1686"/>
      <c r="DU83" s="1686"/>
      <c r="DV83" s="1686"/>
      <c r="DW83" s="1693"/>
      <c r="DX83" s="1686"/>
      <c r="DY83" s="1686"/>
      <c r="DZ83" s="1686"/>
      <c r="EA83" s="1686"/>
      <c r="EB83" s="1686"/>
      <c r="EC83" s="1686"/>
      <c r="ED83" s="1691"/>
      <c r="EE83" s="1691"/>
      <c r="EF83" s="1686"/>
      <c r="EG83" s="1691"/>
      <c r="EH83" s="1691"/>
      <c r="EI83" s="1686"/>
      <c r="EJ83" s="1686"/>
      <c r="EK83" s="1686"/>
      <c r="EL83" s="1686"/>
      <c r="EM83" s="1686"/>
      <c r="EN83" s="1686"/>
      <c r="EO83" s="1686"/>
      <c r="EP83" s="1686"/>
      <c r="EQ83" s="1686"/>
      <c r="ER83" s="1691"/>
      <c r="ES83" s="1686"/>
      <c r="ET83" s="1686"/>
      <c r="EU83" s="1686"/>
      <c r="EV83" s="1691"/>
      <c r="EW83" s="1686"/>
      <c r="EX83" s="1686"/>
      <c r="EY83" s="1691"/>
      <c r="EZ83" s="1686"/>
      <c r="FA83" s="1686"/>
      <c r="FB83" s="1686"/>
      <c r="FC83" s="1686"/>
      <c r="FD83" s="1686"/>
      <c r="FE83" s="1691"/>
      <c r="FF83" s="1691"/>
      <c r="FG83" s="1691"/>
      <c r="FH83" s="1691"/>
      <c r="FI83" s="1694"/>
      <c r="FJ83" s="1691"/>
      <c r="FK83" s="1691"/>
      <c r="FL83" s="1691"/>
      <c r="FM83" s="1691"/>
      <c r="FN83" s="1691"/>
      <c r="FO83" s="1691"/>
      <c r="FP83" s="1691"/>
      <c r="FQ83" s="1686"/>
      <c r="FR83" s="1686"/>
      <c r="FS83" s="1686"/>
      <c r="FT83" s="1686"/>
      <c r="FU83" s="1686"/>
      <c r="FV83" s="1686"/>
      <c r="FW83" s="1686"/>
      <c r="FX83" s="1686"/>
      <c r="FY83" s="1686"/>
      <c r="FZ83" s="1686"/>
      <c r="GA83" s="1686"/>
      <c r="GB83" s="1686"/>
      <c r="GC83" s="1686"/>
      <c r="GD83" s="1686"/>
      <c r="GE83" s="1686"/>
      <c r="GF83" s="1686"/>
      <c r="GG83" s="1686"/>
      <c r="GH83" s="1686"/>
      <c r="GI83" s="1686"/>
      <c r="GJ83" s="1686"/>
      <c r="GK83" s="1686"/>
      <c r="GL83" s="1686"/>
      <c r="GM83" s="1686"/>
      <c r="GN83" s="1686"/>
      <c r="GO83" s="1686"/>
      <c r="GP83" s="1686"/>
      <c r="GQ83" s="1686"/>
      <c r="GR83" s="1686"/>
      <c r="GS83" s="1686"/>
      <c r="GT83" s="1686"/>
      <c r="GU83" s="1686"/>
      <c r="GV83" s="1686"/>
      <c r="GW83" s="1686"/>
      <c r="GX83" s="1686"/>
      <c r="GY83" s="1686"/>
      <c r="GZ83" s="1686"/>
      <c r="HA83" s="1686"/>
      <c r="HB83" s="1691"/>
      <c r="HC83" s="1686"/>
      <c r="HD83" s="1686"/>
      <c r="HE83" s="1686"/>
      <c r="HF83" s="1686"/>
      <c r="HG83" s="1691"/>
      <c r="HH83" s="1686"/>
      <c r="HI83" s="1691"/>
      <c r="HJ83" s="1691"/>
      <c r="HK83" s="1691"/>
      <c r="HL83" s="1691"/>
      <c r="HM83" s="1691"/>
      <c r="HN83" s="1686"/>
      <c r="HO83" s="1686"/>
      <c r="HP83" s="1691"/>
      <c r="HQ83" s="1686"/>
      <c r="HR83" s="1686"/>
      <c r="HS83" s="1686"/>
      <c r="HT83" s="1686"/>
      <c r="HU83" s="1686"/>
      <c r="HV83" s="1686"/>
      <c r="HW83" s="1686"/>
      <c r="HX83" s="1686"/>
      <c r="HY83" s="1686"/>
      <c r="HZ83" s="1686"/>
      <c r="IA83" s="1686"/>
      <c r="IB83" s="1686"/>
      <c r="IC83" s="1686"/>
      <c r="ID83" s="1686"/>
      <c r="IE83" s="1686"/>
      <c r="IF83" s="1686"/>
      <c r="IG83" s="1686"/>
      <c r="IH83" s="1686"/>
      <c r="II83" s="1686"/>
      <c r="IJ83" s="1686"/>
      <c r="IK83" s="1686"/>
      <c r="IL83" s="1686"/>
      <c r="IM83" s="1686"/>
      <c r="IN83" s="1686"/>
      <c r="IO83" s="1686"/>
      <c r="IP83" s="1686"/>
      <c r="IQ83" s="1686"/>
      <c r="IR83" s="1686"/>
      <c r="IS83" s="1686"/>
      <c r="IT83" s="1686"/>
      <c r="IU83" s="1686"/>
      <c r="IV83" s="1686"/>
      <c r="IW83" s="1686"/>
      <c r="IX83" s="1691"/>
      <c r="IY83" s="1686"/>
      <c r="IZ83" s="1691"/>
      <c r="JA83" s="1686"/>
      <c r="JB83" s="1686"/>
      <c r="JC83" s="1686"/>
      <c r="JD83" s="1686"/>
      <c r="JE83" s="1686"/>
      <c r="JF83" s="1686"/>
      <c r="JG83" s="1686"/>
      <c r="JH83" s="1686"/>
      <c r="JI83" s="1686"/>
      <c r="JJ83" s="1686"/>
      <c r="JK83" s="1686"/>
      <c r="JL83" s="1686"/>
      <c r="JM83" s="1686"/>
      <c r="JN83" s="1686"/>
      <c r="JO83" s="1686"/>
      <c r="JP83" s="1686"/>
      <c r="JQ83" s="1724"/>
      <c r="JR83" s="593"/>
      <c r="JS83" s="497"/>
      <c r="JT83" s="355"/>
      <c r="JU83" s="598"/>
      <c r="JV83" s="598"/>
    </row>
    <row r="84" spans="1:282" x14ac:dyDescent="0.25">
      <c r="A84" s="1367">
        <v>83</v>
      </c>
      <c r="B84" s="1684" t="str">
        <f t="shared" si="11"/>
        <v/>
      </c>
      <c r="C84" s="1688" t="s">
        <v>4414</v>
      </c>
      <c r="D84" s="1360" t="s">
        <v>4412</v>
      </c>
      <c r="E84" s="1686"/>
      <c r="F84" s="1686"/>
      <c r="G84" s="1686"/>
      <c r="H84" s="1686"/>
      <c r="I84" s="1686"/>
      <c r="J84" s="1686"/>
      <c r="K84" s="1686"/>
      <c r="L84" s="1686"/>
      <c r="M84" s="1686"/>
      <c r="N84" s="1686"/>
      <c r="O84" s="1686"/>
      <c r="P84" s="1686"/>
      <c r="Q84" s="1686"/>
      <c r="R84" s="1686"/>
      <c r="S84" s="1686"/>
      <c r="T84" s="1686"/>
      <c r="U84" s="1686"/>
      <c r="V84" s="1686"/>
      <c r="W84" s="1686"/>
      <c r="X84" s="1686"/>
      <c r="Y84" s="1686"/>
      <c r="Z84" s="1686"/>
      <c r="AA84" s="1686"/>
      <c r="AB84" s="1686"/>
      <c r="AC84" s="1686"/>
      <c r="AD84" s="1686"/>
      <c r="AE84" s="1686"/>
      <c r="AF84" s="1686"/>
      <c r="AG84" s="1686"/>
      <c r="AH84" s="1686"/>
      <c r="AI84" s="1691"/>
      <c r="AJ84" s="1686"/>
      <c r="AK84" s="1691"/>
      <c r="AL84" s="1686"/>
      <c r="AM84" s="1686"/>
      <c r="AN84" s="1686"/>
      <c r="AO84" s="1686"/>
      <c r="AP84" s="1686"/>
      <c r="AQ84" s="1686"/>
      <c r="AR84" s="1686"/>
      <c r="AS84" s="1686"/>
      <c r="AT84" s="1686"/>
      <c r="AU84" s="1691"/>
      <c r="AV84" s="1686"/>
      <c r="AW84" s="1686"/>
      <c r="AX84" s="1686"/>
      <c r="AY84" s="1686"/>
      <c r="AZ84" s="1686"/>
      <c r="BA84" s="1686"/>
      <c r="BB84" s="1691"/>
      <c r="BC84" s="1686"/>
      <c r="BD84" s="1691"/>
      <c r="BE84" s="1686"/>
      <c r="BF84" s="1686"/>
      <c r="BG84" s="1691"/>
      <c r="BH84" s="1686"/>
      <c r="BI84" s="1686"/>
      <c r="BJ84" s="1686"/>
      <c r="BK84" s="1686"/>
      <c r="BL84" s="1686"/>
      <c r="BM84" s="1686"/>
      <c r="BN84" s="1686"/>
      <c r="BO84" s="1686"/>
      <c r="BP84" s="1691"/>
      <c r="BQ84" s="1686"/>
      <c r="BR84" s="1686"/>
      <c r="BS84" s="1686"/>
      <c r="BT84" s="1691"/>
      <c r="BU84" s="1691"/>
      <c r="BV84" s="1686"/>
      <c r="BW84" s="1691"/>
      <c r="BX84" s="1686"/>
      <c r="BY84" s="1686"/>
      <c r="BZ84" s="1691"/>
      <c r="CA84" s="1686"/>
      <c r="CB84" s="1686"/>
      <c r="CC84" s="1686"/>
      <c r="CD84" s="1691"/>
      <c r="CE84" s="1686"/>
      <c r="CF84" s="1686"/>
      <c r="CG84" s="1686"/>
      <c r="CH84" s="1686"/>
      <c r="CI84" s="1686"/>
      <c r="CJ84" s="1686"/>
      <c r="CK84" s="1686"/>
      <c r="CL84" s="1686"/>
      <c r="CM84" s="1686"/>
      <c r="CN84" s="1686"/>
      <c r="CO84" s="1686"/>
      <c r="CP84" s="1686"/>
      <c r="CQ84" s="1686"/>
      <c r="CR84" s="1686"/>
      <c r="CS84" s="1686"/>
      <c r="CT84" s="1691"/>
      <c r="CU84" s="1686"/>
      <c r="CV84" s="1686"/>
      <c r="CW84" s="1686"/>
      <c r="CX84" s="1686"/>
      <c r="CY84" s="1686"/>
      <c r="CZ84" s="1686"/>
      <c r="DA84" s="1691"/>
      <c r="DB84" s="1686"/>
      <c r="DC84" s="1691"/>
      <c r="DD84" s="1686"/>
      <c r="DE84" s="1686"/>
      <c r="DF84" s="1686"/>
      <c r="DG84" s="1691"/>
      <c r="DH84" s="1686"/>
      <c r="DI84" s="1686"/>
      <c r="DJ84" s="1691"/>
      <c r="DK84" s="1686"/>
      <c r="DL84" s="1686"/>
      <c r="DM84" s="1691"/>
      <c r="DN84" s="1686"/>
      <c r="DO84" s="1691"/>
      <c r="DP84" s="1686"/>
      <c r="DQ84" s="1686"/>
      <c r="DR84" s="1686"/>
      <c r="DS84" s="1686"/>
      <c r="DT84" s="1686"/>
      <c r="DU84" s="1686"/>
      <c r="DV84" s="1686"/>
      <c r="DW84" s="1686"/>
      <c r="DX84" s="1686"/>
      <c r="DY84" s="1686"/>
      <c r="DZ84" s="1686"/>
      <c r="EA84" s="1686"/>
      <c r="EB84" s="1686"/>
      <c r="EC84" s="1686"/>
      <c r="ED84" s="1691"/>
      <c r="EE84" s="1691"/>
      <c r="EF84" s="1686"/>
      <c r="EG84" s="1691"/>
      <c r="EH84" s="1691"/>
      <c r="EI84" s="1686"/>
      <c r="EJ84" s="1686"/>
      <c r="EK84" s="1686"/>
      <c r="EL84" s="1686"/>
      <c r="EM84" s="1686"/>
      <c r="EN84" s="1686"/>
      <c r="EO84" s="1686"/>
      <c r="EP84" s="1686"/>
      <c r="EQ84" s="1686"/>
      <c r="ER84" s="1691"/>
      <c r="ES84" s="1686"/>
      <c r="ET84" s="1686"/>
      <c r="EU84" s="1686"/>
      <c r="EV84" s="1691"/>
      <c r="EW84" s="1686"/>
      <c r="EX84" s="1686"/>
      <c r="EY84" s="1691"/>
      <c r="EZ84" s="1686"/>
      <c r="FA84" s="1686"/>
      <c r="FB84" s="1686"/>
      <c r="FC84" s="1686"/>
      <c r="FD84" s="1686"/>
      <c r="FE84" s="1691"/>
      <c r="FF84" s="1691"/>
      <c r="FG84" s="1691"/>
      <c r="FH84" s="1691"/>
      <c r="FI84" s="1691"/>
      <c r="FJ84" s="1691"/>
      <c r="FK84" s="1694"/>
      <c r="FL84" s="1691"/>
      <c r="FM84" s="1691"/>
      <c r="FN84" s="1691"/>
      <c r="FO84" s="1691"/>
      <c r="FP84" s="1691"/>
      <c r="FQ84" s="1686"/>
      <c r="FR84" s="1686"/>
      <c r="FS84" s="1686"/>
      <c r="FT84" s="1686"/>
      <c r="FU84" s="1686"/>
      <c r="FV84" s="1686"/>
      <c r="FW84" s="1686"/>
      <c r="FX84" s="1686"/>
      <c r="FY84" s="1686"/>
      <c r="FZ84" s="1686"/>
      <c r="GA84" s="1686"/>
      <c r="GB84" s="1686"/>
      <c r="GC84" s="1686"/>
      <c r="GD84" s="1686"/>
      <c r="GE84" s="1686"/>
      <c r="GF84" s="1686"/>
      <c r="GG84" s="1686"/>
      <c r="GH84" s="1686"/>
      <c r="GI84" s="1686"/>
      <c r="GJ84" s="1686"/>
      <c r="GK84" s="1686"/>
      <c r="GL84" s="1686"/>
      <c r="GM84" s="1686"/>
      <c r="GN84" s="1686"/>
      <c r="GO84" s="1686"/>
      <c r="GP84" s="1686"/>
      <c r="GQ84" s="1686"/>
      <c r="GR84" s="1686"/>
      <c r="GS84" s="1686"/>
      <c r="GT84" s="1686"/>
      <c r="GU84" s="1686"/>
      <c r="GV84" s="1686"/>
      <c r="GW84" s="1686"/>
      <c r="GX84" s="1686"/>
      <c r="GY84" s="1686"/>
      <c r="GZ84" s="1686"/>
      <c r="HA84" s="1686"/>
      <c r="HB84" s="1691"/>
      <c r="HC84" s="1686"/>
      <c r="HD84" s="1686"/>
      <c r="HE84" s="1686"/>
      <c r="HF84" s="1686"/>
      <c r="HG84" s="1691"/>
      <c r="HH84" s="1686"/>
      <c r="HI84" s="1691"/>
      <c r="HJ84" s="1691"/>
      <c r="HK84" s="1691"/>
      <c r="HL84" s="1691"/>
      <c r="HM84" s="1691"/>
      <c r="HN84" s="1686"/>
      <c r="HO84" s="1686"/>
      <c r="HP84" s="1691"/>
      <c r="HQ84" s="1686"/>
      <c r="HR84" s="1686"/>
      <c r="HS84" s="1686"/>
      <c r="HT84" s="1686"/>
      <c r="HU84" s="1686"/>
      <c r="HV84" s="1686"/>
      <c r="HW84" s="1686"/>
      <c r="HX84" s="1686"/>
      <c r="HY84" s="1686"/>
      <c r="HZ84" s="1686"/>
      <c r="IA84" s="1686"/>
      <c r="IB84" s="1686"/>
      <c r="IC84" s="1686"/>
      <c r="ID84" s="1686"/>
      <c r="IE84" s="1686"/>
      <c r="IF84" s="1686"/>
      <c r="IG84" s="1686"/>
      <c r="IH84" s="1686"/>
      <c r="II84" s="1686"/>
      <c r="IJ84" s="1686"/>
      <c r="IK84" s="1686"/>
      <c r="IL84" s="1686"/>
      <c r="IM84" s="1686"/>
      <c r="IN84" s="1686"/>
      <c r="IO84" s="1686"/>
      <c r="IP84" s="1686"/>
      <c r="IQ84" s="1686"/>
      <c r="IR84" s="1686"/>
      <c r="IS84" s="1686"/>
      <c r="IT84" s="1686"/>
      <c r="IU84" s="1686"/>
      <c r="IV84" s="1686"/>
      <c r="IW84" s="1686"/>
      <c r="IX84" s="1691"/>
      <c r="IY84" s="1686"/>
      <c r="IZ84" s="1691"/>
      <c r="JA84" s="1686"/>
      <c r="JB84" s="1686"/>
      <c r="JC84" s="1686"/>
      <c r="JD84" s="1686"/>
      <c r="JE84" s="1686"/>
      <c r="JF84" s="1686"/>
      <c r="JG84" s="1686"/>
      <c r="JH84" s="1686"/>
      <c r="JI84" s="1686"/>
      <c r="JJ84" s="1686"/>
      <c r="JK84" s="1686"/>
      <c r="JL84" s="1686"/>
      <c r="JM84" s="1686"/>
      <c r="JN84" s="1686"/>
      <c r="JO84" s="1686"/>
      <c r="JP84" s="1686"/>
      <c r="JQ84" s="1724"/>
      <c r="JR84" s="593"/>
      <c r="JS84" s="497"/>
      <c r="JT84" s="355"/>
      <c r="JU84" s="598"/>
      <c r="JV84" s="598"/>
    </row>
    <row r="85" spans="1:282" x14ac:dyDescent="0.25">
      <c r="A85" s="1367">
        <v>84</v>
      </c>
      <c r="B85" s="1684" t="str">
        <f t="shared" si="11"/>
        <v/>
      </c>
      <c r="C85" s="1688" t="s">
        <v>4415</v>
      </c>
      <c r="D85" s="1360" t="s">
        <v>4416</v>
      </c>
      <c r="E85" s="1725"/>
      <c r="F85" s="1725"/>
      <c r="G85" s="1725"/>
      <c r="H85" s="1725"/>
      <c r="I85" s="1725"/>
      <c r="J85" s="1725"/>
      <c r="K85" s="1725"/>
      <c r="L85" s="1725"/>
      <c r="M85" s="1725"/>
      <c r="N85" s="1725"/>
      <c r="O85" s="1725"/>
      <c r="P85" s="1725"/>
      <c r="Q85" s="1725"/>
      <c r="R85" s="1725"/>
      <c r="S85" s="1725"/>
      <c r="T85" s="1725"/>
      <c r="U85" s="1725"/>
      <c r="V85" s="1725"/>
      <c r="W85" s="1725"/>
      <c r="X85" s="1725"/>
      <c r="Y85" s="1725"/>
      <c r="Z85" s="1725"/>
      <c r="AA85" s="1725"/>
      <c r="AB85" s="1725"/>
      <c r="AC85" s="1725"/>
      <c r="AD85" s="1725"/>
      <c r="AE85" s="1725"/>
      <c r="AF85" s="1725"/>
      <c r="AG85" s="1725"/>
      <c r="AH85" s="1725"/>
      <c r="AI85" s="1670"/>
      <c r="AJ85" s="1725"/>
      <c r="AK85" s="1670"/>
      <c r="AL85" s="1725"/>
      <c r="AM85" s="1725"/>
      <c r="AN85" s="1725"/>
      <c r="AO85" s="1725"/>
      <c r="AP85" s="1725"/>
      <c r="AQ85" s="1725"/>
      <c r="AR85" s="1725"/>
      <c r="AS85" s="1725"/>
      <c r="AT85" s="1725"/>
      <c r="AU85" s="1670"/>
      <c r="AV85" s="1725"/>
      <c r="AW85" s="1725"/>
      <c r="AX85" s="1725"/>
      <c r="AY85" s="1725"/>
      <c r="AZ85" s="1725"/>
      <c r="BA85" s="1725"/>
      <c r="BB85" s="1670"/>
      <c r="BC85" s="1725"/>
      <c r="BD85" s="1670"/>
      <c r="BE85" s="1725"/>
      <c r="BF85" s="1725"/>
      <c r="BG85" s="1726"/>
      <c r="BH85" s="1725"/>
      <c r="BI85" s="1725"/>
      <c r="BJ85" s="1725"/>
      <c r="BK85" s="1725"/>
      <c r="BL85" s="1725"/>
      <c r="BM85" s="1725"/>
      <c r="BN85" s="1725"/>
      <c r="BO85" s="1725"/>
      <c r="BP85" s="1670"/>
      <c r="BQ85" s="1725"/>
      <c r="BR85" s="1725"/>
      <c r="BS85" s="1725"/>
      <c r="BT85" s="1726"/>
      <c r="BU85" s="1675"/>
      <c r="BV85" s="1725"/>
      <c r="BW85" s="1670"/>
      <c r="BX85" s="1725"/>
      <c r="BY85" s="1725"/>
      <c r="BZ85" s="1670"/>
      <c r="CA85" s="1725"/>
      <c r="CB85" s="1725"/>
      <c r="CC85" s="1725"/>
      <c r="CD85" s="1675"/>
      <c r="CE85" s="1725"/>
      <c r="CF85" s="1725"/>
      <c r="CG85" s="1725"/>
      <c r="CH85" s="1725"/>
      <c r="CI85" s="1725"/>
      <c r="CJ85" s="1725"/>
      <c r="CK85" s="1725"/>
      <c r="CL85" s="1725"/>
      <c r="CM85" s="1725"/>
      <c r="CN85" s="1725"/>
      <c r="CO85" s="1725"/>
      <c r="CP85" s="1725"/>
      <c r="CQ85" s="1725"/>
      <c r="CR85" s="1725"/>
      <c r="CS85" s="1725"/>
      <c r="CT85" s="1675"/>
      <c r="CU85" s="1725"/>
      <c r="CV85" s="1725"/>
      <c r="CW85" s="1725"/>
      <c r="CX85" s="1725"/>
      <c r="CY85" s="1725"/>
      <c r="CZ85" s="1725"/>
      <c r="DA85" s="1670"/>
      <c r="DB85" s="1725"/>
      <c r="DC85" s="1670"/>
      <c r="DD85" s="1725"/>
      <c r="DE85" s="1725"/>
      <c r="DF85" s="1725"/>
      <c r="DG85" s="1670"/>
      <c r="DH85" s="1725"/>
      <c r="DI85" s="1725"/>
      <c r="DJ85" s="1670"/>
      <c r="DK85" s="1725"/>
      <c r="DL85" s="1725"/>
      <c r="DM85" s="1670"/>
      <c r="DN85" s="1725"/>
      <c r="DO85" s="1726"/>
      <c r="DP85" s="1725"/>
      <c r="DQ85" s="1725"/>
      <c r="DR85" s="1725"/>
      <c r="DS85" s="1725"/>
      <c r="DT85" s="1725"/>
      <c r="DU85" s="1725"/>
      <c r="DV85" s="1725"/>
      <c r="DW85" s="1725"/>
      <c r="DX85" s="1725"/>
      <c r="DY85" s="1725"/>
      <c r="DZ85" s="1725"/>
      <c r="EA85" s="1725"/>
      <c r="EB85" s="1725"/>
      <c r="EC85" s="1725"/>
      <c r="ED85" s="1726"/>
      <c r="EE85" s="1726"/>
      <c r="EF85" s="1725"/>
      <c r="EG85" s="1726"/>
      <c r="EH85" s="1726"/>
      <c r="EI85" s="1725"/>
      <c r="EJ85" s="1725"/>
      <c r="EK85" s="1725"/>
      <c r="EL85" s="1725"/>
      <c r="EM85" s="1725"/>
      <c r="EN85" s="1725"/>
      <c r="EO85" s="1725"/>
      <c r="EP85" s="1725"/>
      <c r="EQ85" s="1725"/>
      <c r="ER85" s="1726"/>
      <c r="ES85" s="1725"/>
      <c r="ET85" s="1725"/>
      <c r="EU85" s="1725"/>
      <c r="EV85" s="1675"/>
      <c r="EW85" s="1725"/>
      <c r="EX85" s="1725"/>
      <c r="EY85" s="1670"/>
      <c r="EZ85" s="1725"/>
      <c r="FA85" s="1725"/>
      <c r="FB85" s="1725"/>
      <c r="FC85" s="1725"/>
      <c r="FD85" s="1725"/>
      <c r="FE85" s="1726"/>
      <c r="FF85" s="1726"/>
      <c r="FG85" s="1670"/>
      <c r="FH85" s="1670"/>
      <c r="FI85" s="1670"/>
      <c r="FJ85" s="1670"/>
      <c r="FK85" s="1670"/>
      <c r="FL85" s="1670"/>
      <c r="FM85" s="1670"/>
      <c r="FN85" s="1726"/>
      <c r="FO85" s="1726"/>
      <c r="FP85" s="1726"/>
      <c r="FQ85" s="1725"/>
      <c r="FR85" s="1725"/>
      <c r="FS85" s="1725"/>
      <c r="FT85" s="1725"/>
      <c r="FU85" s="1725"/>
      <c r="FV85" s="1725"/>
      <c r="FW85" s="1725"/>
      <c r="FX85" s="1725"/>
      <c r="FY85" s="1725"/>
      <c r="FZ85" s="1725"/>
      <c r="GA85" s="1725"/>
      <c r="GB85" s="1725"/>
      <c r="GC85" s="1725"/>
      <c r="GD85" s="1725"/>
      <c r="GE85" s="1725"/>
      <c r="GF85" s="1725"/>
      <c r="GG85" s="1725"/>
      <c r="GH85" s="1725"/>
      <c r="GI85" s="1725"/>
      <c r="GJ85" s="1725"/>
      <c r="GK85" s="1725"/>
      <c r="GL85" s="1725"/>
      <c r="GM85" s="1725"/>
      <c r="GN85" s="1725"/>
      <c r="GO85" s="1725"/>
      <c r="GP85" s="1725"/>
      <c r="GQ85" s="1725"/>
      <c r="GR85" s="1725"/>
      <c r="GS85" s="1725"/>
      <c r="GT85" s="1725"/>
      <c r="GU85" s="1725"/>
      <c r="GV85" s="1725"/>
      <c r="GW85" s="1725"/>
      <c r="GX85" s="1725"/>
      <c r="GY85" s="1725"/>
      <c r="GZ85" s="1725"/>
      <c r="HA85" s="1725"/>
      <c r="HB85" s="1726"/>
      <c r="HC85" s="1725"/>
      <c r="HD85" s="1725"/>
      <c r="HE85" s="1725"/>
      <c r="HF85" s="1725"/>
      <c r="HG85" s="1726"/>
      <c r="HH85" s="1725"/>
      <c r="HI85" s="1726"/>
      <c r="HJ85" s="1726"/>
      <c r="HK85" s="1726"/>
      <c r="HL85" s="1726"/>
      <c r="HM85" s="1726"/>
      <c r="HN85" s="1725"/>
      <c r="HO85" s="1725"/>
      <c r="HP85" s="1726"/>
      <c r="HQ85" s="1725"/>
      <c r="HR85" s="1725"/>
      <c r="HS85" s="1725"/>
      <c r="HT85" s="1725"/>
      <c r="HU85" s="1725"/>
      <c r="HV85" s="1725"/>
      <c r="HW85" s="1725"/>
      <c r="HX85" s="1725"/>
      <c r="HY85" s="1725"/>
      <c r="HZ85" s="1725"/>
      <c r="IA85" s="1725"/>
      <c r="IB85" s="1725"/>
      <c r="IC85" s="1725"/>
      <c r="ID85" s="1725"/>
      <c r="IE85" s="1725"/>
      <c r="IF85" s="1725"/>
      <c r="IG85" s="1725"/>
      <c r="IH85" s="1725"/>
      <c r="II85" s="1725"/>
      <c r="IJ85" s="1725"/>
      <c r="IK85" s="1725"/>
      <c r="IL85" s="1725"/>
      <c r="IM85" s="1725"/>
      <c r="IN85" s="1725"/>
      <c r="IO85" s="1725"/>
      <c r="IP85" s="1725"/>
      <c r="IQ85" s="1725"/>
      <c r="IR85" s="1725"/>
      <c r="IS85" s="1725"/>
      <c r="IT85" s="1725"/>
      <c r="IU85" s="1725"/>
      <c r="IV85" s="1725"/>
      <c r="IW85" s="1725"/>
      <c r="IX85" s="1670"/>
      <c r="IY85" s="1725"/>
      <c r="IZ85" s="1670"/>
      <c r="JA85" s="1725"/>
      <c r="JB85" s="1725"/>
      <c r="JC85" s="1725"/>
      <c r="JD85" s="1725"/>
      <c r="JE85" s="1725"/>
      <c r="JF85" s="1725"/>
      <c r="JG85" s="1725"/>
      <c r="JH85" s="1725"/>
      <c r="JI85" s="1725"/>
      <c r="JJ85" s="1725"/>
      <c r="JK85" s="1725"/>
      <c r="JL85" s="1725"/>
      <c r="JM85" s="1725"/>
      <c r="JN85" s="1725"/>
      <c r="JO85" s="1725"/>
      <c r="JP85" s="1725"/>
      <c r="JQ85" s="1727"/>
      <c r="JR85" s="593"/>
      <c r="JS85" s="498"/>
      <c r="JT85" s="355" t="s">
        <v>2319</v>
      </c>
      <c r="JU85" s="598"/>
      <c r="JV85" s="598"/>
    </row>
    <row r="86" spans="1:282" ht="12" thickBot="1" x14ac:dyDescent="0.3">
      <c r="A86" s="1367">
        <v>85</v>
      </c>
      <c r="B86" s="1684" t="str">
        <f t="shared" si="11"/>
        <v>computation</v>
      </c>
      <c r="C86" s="2535" t="s">
        <v>4417</v>
      </c>
      <c r="D86" s="698" t="s">
        <v>3311</v>
      </c>
      <c r="E86" s="747"/>
      <c r="F86" s="747"/>
      <c r="G86" s="747"/>
      <c r="H86" s="747"/>
      <c r="I86" s="747"/>
      <c r="J86" s="747"/>
      <c r="K86" s="747"/>
      <c r="L86" s="747"/>
      <c r="M86" s="747"/>
      <c r="N86" s="747"/>
      <c r="O86" s="747"/>
      <c r="P86" s="747"/>
      <c r="Q86" s="747"/>
      <c r="R86" s="747"/>
      <c r="S86" s="747"/>
      <c r="T86" s="747"/>
      <c r="U86" s="747"/>
      <c r="V86" s="747"/>
      <c r="W86" s="747"/>
      <c r="X86" s="747"/>
      <c r="Y86" s="747"/>
      <c r="Z86" s="747"/>
      <c r="AA86" s="747"/>
      <c r="AB86" s="747"/>
      <c r="AC86" s="747"/>
      <c r="AD86" s="747"/>
      <c r="AE86" s="747"/>
      <c r="AF86" s="747"/>
      <c r="AG86" s="747"/>
      <c r="AH86" s="747"/>
      <c r="AI86" s="699"/>
      <c r="AJ86" s="747"/>
      <c r="AK86" s="699"/>
      <c r="AL86" s="747"/>
      <c r="AM86" s="747"/>
      <c r="AN86" s="747"/>
      <c r="AO86" s="747"/>
      <c r="AP86" s="747"/>
      <c r="AQ86" s="747"/>
      <c r="AR86" s="747"/>
      <c r="AS86" s="747"/>
      <c r="AT86" s="747"/>
      <c r="AU86" s="699" t="s">
        <v>4418</v>
      </c>
      <c r="AV86" s="747"/>
      <c r="AW86" s="747"/>
      <c r="AX86" s="747"/>
      <c r="AY86" s="747"/>
      <c r="AZ86" s="747"/>
      <c r="BA86" s="747"/>
      <c r="BB86" s="699" t="s">
        <v>4418</v>
      </c>
      <c r="BC86" s="747"/>
      <c r="BD86" s="699" t="s">
        <v>4418</v>
      </c>
      <c r="BE86" s="747"/>
      <c r="BF86" s="747"/>
      <c r="BG86" s="699" t="s">
        <v>4419</v>
      </c>
      <c r="BH86" s="747"/>
      <c r="BI86" s="747"/>
      <c r="BJ86" s="747"/>
      <c r="BK86" s="747"/>
      <c r="BL86" s="747"/>
      <c r="BM86" s="747"/>
      <c r="BN86" s="747"/>
      <c r="BO86" s="747"/>
      <c r="BP86" s="699" t="s">
        <v>4418</v>
      </c>
      <c r="BQ86" s="747"/>
      <c r="BR86" s="747"/>
      <c r="BS86" s="747"/>
      <c r="BT86" s="699" t="s">
        <v>4418</v>
      </c>
      <c r="BU86" s="699" t="s">
        <v>4418</v>
      </c>
      <c r="BV86" s="747"/>
      <c r="BW86" s="699" t="s">
        <v>4418</v>
      </c>
      <c r="BX86" s="747"/>
      <c r="BY86" s="747"/>
      <c r="BZ86" s="699"/>
      <c r="CA86" s="747"/>
      <c r="CB86" s="747"/>
      <c r="CC86" s="747"/>
      <c r="CD86" s="699" t="s">
        <v>4418</v>
      </c>
      <c r="CE86" s="747"/>
      <c r="CF86" s="747"/>
      <c r="CG86" s="747"/>
      <c r="CH86" s="747"/>
      <c r="CI86" s="747"/>
      <c r="CJ86" s="747"/>
      <c r="CK86" s="747"/>
      <c r="CL86" s="747"/>
      <c r="CM86" s="747"/>
      <c r="CN86" s="747"/>
      <c r="CO86" s="747"/>
      <c r="CP86" s="747"/>
      <c r="CQ86" s="699" t="s">
        <v>4418</v>
      </c>
      <c r="CR86" s="747"/>
      <c r="CS86" s="747"/>
      <c r="CT86" s="699" t="s">
        <v>4418</v>
      </c>
      <c r="CU86" s="747"/>
      <c r="CV86" s="747"/>
      <c r="CW86" s="747"/>
      <c r="CX86" s="747"/>
      <c r="CY86" s="747"/>
      <c r="CZ86" s="747"/>
      <c r="DA86" s="699" t="s">
        <v>4418</v>
      </c>
      <c r="DB86" s="747"/>
      <c r="DC86" s="699" t="s">
        <v>4418</v>
      </c>
      <c r="DD86" s="747"/>
      <c r="DE86" s="747"/>
      <c r="DF86" s="747"/>
      <c r="DG86" s="699" t="s">
        <v>4418</v>
      </c>
      <c r="DH86" s="747"/>
      <c r="DI86" s="747"/>
      <c r="DJ86" s="699" t="s">
        <v>4418</v>
      </c>
      <c r="DK86" s="747"/>
      <c r="DL86" s="747"/>
      <c r="DM86" s="699" t="s">
        <v>4418</v>
      </c>
      <c r="DN86" s="747"/>
      <c r="DO86" s="699" t="s">
        <v>4418</v>
      </c>
      <c r="DP86" s="747"/>
      <c r="DQ86" s="747"/>
      <c r="DR86" s="747"/>
      <c r="DS86" s="747"/>
      <c r="DT86" s="747"/>
      <c r="DU86" s="747"/>
      <c r="DV86" s="747"/>
      <c r="DW86" s="747"/>
      <c r="DX86" s="747"/>
      <c r="DY86" s="747"/>
      <c r="DZ86" s="747"/>
      <c r="EA86" s="747"/>
      <c r="EB86" s="747"/>
      <c r="EC86" s="747"/>
      <c r="ED86" s="699" t="s">
        <v>4418</v>
      </c>
      <c r="EE86" s="699" t="s">
        <v>4418</v>
      </c>
      <c r="EF86" s="747"/>
      <c r="EG86" s="699" t="s">
        <v>4418</v>
      </c>
      <c r="EH86" s="699" t="s">
        <v>4418</v>
      </c>
      <c r="EI86" s="747"/>
      <c r="EJ86" s="747"/>
      <c r="EK86" s="747"/>
      <c r="EL86" s="747"/>
      <c r="EM86" s="747"/>
      <c r="EN86" s="747"/>
      <c r="EO86" s="747"/>
      <c r="EP86" s="747"/>
      <c r="EQ86" s="747"/>
      <c r="ER86" s="699" t="s">
        <v>4418</v>
      </c>
      <c r="ES86" s="747"/>
      <c r="ET86" s="747"/>
      <c r="EU86" s="747"/>
      <c r="EV86" s="699" t="s">
        <v>4418</v>
      </c>
      <c r="EW86" s="747"/>
      <c r="EX86" s="747"/>
      <c r="EY86" s="699" t="s">
        <v>4418</v>
      </c>
      <c r="EZ86" s="747"/>
      <c r="FA86" s="699" t="s">
        <v>4418</v>
      </c>
      <c r="FB86" s="747"/>
      <c r="FC86" s="747"/>
      <c r="FD86" s="747"/>
      <c r="FE86" s="699" t="s">
        <v>4418</v>
      </c>
      <c r="FF86" s="699" t="s">
        <v>4418</v>
      </c>
      <c r="FG86" s="699" t="s">
        <v>4418</v>
      </c>
      <c r="FH86" s="699" t="s">
        <v>4418</v>
      </c>
      <c r="FI86" s="699" t="s">
        <v>4418</v>
      </c>
      <c r="FJ86" s="699" t="s">
        <v>4418</v>
      </c>
      <c r="FK86" s="699" t="s">
        <v>4418</v>
      </c>
      <c r="FL86" s="699" t="s">
        <v>4418</v>
      </c>
      <c r="FM86" s="699" t="s">
        <v>4418</v>
      </c>
      <c r="FN86" s="699" t="s">
        <v>4418</v>
      </c>
      <c r="FO86" s="699" t="s">
        <v>4418</v>
      </c>
      <c r="FP86" s="699" t="s">
        <v>4418</v>
      </c>
      <c r="FQ86" s="747"/>
      <c r="FR86" s="747"/>
      <c r="FS86" s="747"/>
      <c r="FT86" s="747"/>
      <c r="FU86" s="747"/>
      <c r="FV86" s="747"/>
      <c r="FW86" s="747"/>
      <c r="FX86" s="747"/>
      <c r="FY86" s="747"/>
      <c r="FZ86" s="747"/>
      <c r="GA86" s="747"/>
      <c r="GB86" s="747"/>
      <c r="GC86" s="747"/>
      <c r="GD86" s="747"/>
      <c r="GE86" s="747"/>
      <c r="GF86" s="747"/>
      <c r="GG86" s="747"/>
      <c r="GH86" s="747"/>
      <c r="GI86" s="747"/>
      <c r="GJ86" s="747"/>
      <c r="GK86" s="699" t="s">
        <v>4418</v>
      </c>
      <c r="GL86" s="747"/>
      <c r="GM86" s="747"/>
      <c r="GN86" s="747"/>
      <c r="GO86" s="747"/>
      <c r="GP86" s="747"/>
      <c r="GQ86" s="747"/>
      <c r="GR86" s="747"/>
      <c r="GS86" s="747"/>
      <c r="GT86" s="747"/>
      <c r="GU86" s="747"/>
      <c r="GV86" s="747"/>
      <c r="GW86" s="747"/>
      <c r="GX86" s="747"/>
      <c r="GY86" s="747"/>
      <c r="GZ86" s="747"/>
      <c r="HA86" s="747"/>
      <c r="HB86" s="699" t="s">
        <v>4418</v>
      </c>
      <c r="HC86" s="747"/>
      <c r="HD86" s="747"/>
      <c r="HE86" s="747"/>
      <c r="HF86" s="747"/>
      <c r="HG86" s="699" t="s">
        <v>4418</v>
      </c>
      <c r="HH86" s="747"/>
      <c r="HI86" s="699" t="s">
        <v>4419</v>
      </c>
      <c r="HJ86" s="699" t="s">
        <v>4418</v>
      </c>
      <c r="HK86" s="699" t="s">
        <v>4418</v>
      </c>
      <c r="HL86" s="699" t="s">
        <v>4418</v>
      </c>
      <c r="HM86" s="699" t="s">
        <v>4418</v>
      </c>
      <c r="HN86" s="747"/>
      <c r="HO86" s="747"/>
      <c r="HP86" s="699" t="s">
        <v>4419</v>
      </c>
      <c r="HQ86" s="747"/>
      <c r="HR86" s="747"/>
      <c r="HS86" s="747" t="s">
        <v>4418</v>
      </c>
      <c r="HT86" s="747"/>
      <c r="HU86" s="747"/>
      <c r="HV86" s="747"/>
      <c r="HW86" s="747"/>
      <c r="HX86" s="747"/>
      <c r="HY86" s="747"/>
      <c r="HZ86" s="747"/>
      <c r="IA86" s="747"/>
      <c r="IB86" s="747"/>
      <c r="IC86" s="747"/>
      <c r="ID86" s="747"/>
      <c r="IE86" s="747"/>
      <c r="IF86" s="747" t="s">
        <v>4418</v>
      </c>
      <c r="IG86" s="747"/>
      <c r="IH86" s="747" t="s">
        <v>4418</v>
      </c>
      <c r="II86" s="747"/>
      <c r="IJ86" s="747"/>
      <c r="IK86" s="747"/>
      <c r="IL86" s="747"/>
      <c r="IM86" s="747"/>
      <c r="IN86" s="747"/>
      <c r="IO86" s="747"/>
      <c r="IP86" s="747"/>
      <c r="IQ86" s="747"/>
      <c r="IR86" s="747"/>
      <c r="IS86" s="747" t="s">
        <v>4418</v>
      </c>
      <c r="IT86" s="747" t="s">
        <v>4418</v>
      </c>
      <c r="IU86" s="747" t="s">
        <v>4418</v>
      </c>
      <c r="IV86" s="747" t="s">
        <v>4418</v>
      </c>
      <c r="IW86" s="747" t="s">
        <v>4418</v>
      </c>
      <c r="IX86" s="699"/>
      <c r="IY86" s="747"/>
      <c r="IZ86" s="699" t="s">
        <v>4418</v>
      </c>
      <c r="JA86" s="747"/>
      <c r="JB86" s="747"/>
      <c r="JC86" s="747"/>
      <c r="JD86" s="747" t="s">
        <v>4418</v>
      </c>
      <c r="JE86" s="747"/>
      <c r="JF86" s="747"/>
      <c r="JG86" s="747"/>
      <c r="JH86" s="747" t="s">
        <v>4418</v>
      </c>
      <c r="JI86" s="747" t="s">
        <v>4418</v>
      </c>
      <c r="JJ86" s="747" t="s">
        <v>4418</v>
      </c>
      <c r="JK86" s="747" t="s">
        <v>4418</v>
      </c>
      <c r="JL86" s="747" t="s">
        <v>4418</v>
      </c>
      <c r="JM86" s="747"/>
      <c r="JN86" s="747"/>
      <c r="JO86" s="747"/>
      <c r="JP86" s="747"/>
      <c r="JQ86" s="700"/>
      <c r="JR86" s="593"/>
      <c r="JS86" s="354"/>
      <c r="JT86" s="355" t="s">
        <v>2291</v>
      </c>
      <c r="JU86" s="598"/>
      <c r="JV86" s="598"/>
    </row>
    <row r="87" spans="1:282" ht="12" thickBot="1" x14ac:dyDescent="0.3">
      <c r="C87" s="2577"/>
      <c r="D87" s="137"/>
    </row>
    <row r="88" spans="1:282" ht="12.5" x14ac:dyDescent="0.25">
      <c r="A88" s="1367" t="s">
        <v>2201</v>
      </c>
      <c r="B88" s="585" t="s">
        <v>2408</v>
      </c>
      <c r="C88" s="2534" t="s">
        <v>38</v>
      </c>
      <c r="D88" s="297"/>
      <c r="E88" s="418">
        <v>1</v>
      </c>
      <c r="F88" s="418">
        <v>2</v>
      </c>
      <c r="G88" s="2539">
        <v>3</v>
      </c>
      <c r="H88" s="2539">
        <v>4</v>
      </c>
      <c r="I88" s="2539">
        <v>5</v>
      </c>
      <c r="J88" s="2595">
        <v>6</v>
      </c>
      <c r="K88" s="2539">
        <v>7</v>
      </c>
      <c r="L88" s="2595">
        <v>8</v>
      </c>
      <c r="M88" s="2539">
        <v>9</v>
      </c>
      <c r="N88" s="2539">
        <v>10</v>
      </c>
      <c r="O88" s="2595">
        <v>11</v>
      </c>
      <c r="P88" s="2595">
        <v>12</v>
      </c>
      <c r="Q88" s="2595">
        <v>13</v>
      </c>
      <c r="R88" s="2595">
        <v>14</v>
      </c>
      <c r="S88" s="2595">
        <v>15</v>
      </c>
      <c r="T88" s="2595">
        <v>16</v>
      </c>
      <c r="U88" s="2595">
        <v>17</v>
      </c>
      <c r="V88" s="2595">
        <v>18</v>
      </c>
      <c r="W88" s="2595">
        <v>19</v>
      </c>
      <c r="X88" s="2595">
        <v>20</v>
      </c>
      <c r="Y88" s="2595">
        <v>21</v>
      </c>
      <c r="Z88" s="2595">
        <v>22</v>
      </c>
      <c r="AA88" s="2595">
        <v>23</v>
      </c>
      <c r="AB88" s="2595">
        <v>24</v>
      </c>
      <c r="AC88" s="2595">
        <v>25</v>
      </c>
      <c r="AD88" s="2595">
        <v>26</v>
      </c>
      <c r="AE88" s="2595">
        <v>27</v>
      </c>
      <c r="AF88" s="2595">
        <v>28</v>
      </c>
      <c r="AG88" s="2595">
        <v>29</v>
      </c>
      <c r="AH88" s="2595">
        <v>30</v>
      </c>
      <c r="AI88" s="2595">
        <v>31</v>
      </c>
      <c r="AJ88" s="2595">
        <v>32</v>
      </c>
      <c r="AK88" s="2595">
        <v>33</v>
      </c>
      <c r="AL88" s="2595">
        <v>34</v>
      </c>
      <c r="AM88" s="2595">
        <v>35</v>
      </c>
      <c r="AN88" s="2595">
        <v>36</v>
      </c>
      <c r="AO88" s="2595">
        <v>37</v>
      </c>
      <c r="AP88" s="2595">
        <v>38</v>
      </c>
      <c r="AQ88" s="2595">
        <v>39</v>
      </c>
      <c r="AR88" s="2595">
        <v>40</v>
      </c>
      <c r="AS88" s="2595">
        <v>41</v>
      </c>
      <c r="AT88" s="2595">
        <v>42</v>
      </c>
      <c r="AU88" s="2595">
        <v>43</v>
      </c>
      <c r="AV88" s="2595">
        <v>44</v>
      </c>
      <c r="AW88" s="2595">
        <v>45</v>
      </c>
      <c r="AX88" s="2595">
        <v>46</v>
      </c>
      <c r="AY88" s="2595">
        <v>47</v>
      </c>
      <c r="AZ88" s="2595">
        <v>48</v>
      </c>
      <c r="BA88" s="2595">
        <v>49</v>
      </c>
      <c r="BB88" s="2595">
        <v>50</v>
      </c>
      <c r="BC88" s="2595">
        <v>51</v>
      </c>
      <c r="BD88" s="2595">
        <v>52</v>
      </c>
      <c r="BE88" s="2595">
        <v>53</v>
      </c>
      <c r="BF88" s="2595">
        <v>54</v>
      </c>
      <c r="BG88" s="2595">
        <v>55</v>
      </c>
      <c r="BH88" s="2595">
        <v>56</v>
      </c>
      <c r="BI88" s="2595">
        <v>57</v>
      </c>
      <c r="BJ88" s="2595">
        <v>58</v>
      </c>
      <c r="BK88" s="2595">
        <v>59</v>
      </c>
      <c r="BL88" s="2595">
        <v>60</v>
      </c>
      <c r="BM88" s="2595">
        <v>61</v>
      </c>
      <c r="BN88" s="2595">
        <v>62</v>
      </c>
      <c r="BO88" s="2595">
        <v>63</v>
      </c>
      <c r="BP88" s="2595">
        <v>64</v>
      </c>
      <c r="BQ88" s="2595">
        <v>65</v>
      </c>
      <c r="BR88" s="2595">
        <v>66</v>
      </c>
      <c r="BS88" s="2595">
        <v>67</v>
      </c>
      <c r="BT88" s="2595">
        <v>68</v>
      </c>
      <c r="BU88" s="2595">
        <v>69</v>
      </c>
      <c r="BV88" s="2595">
        <v>70</v>
      </c>
      <c r="BW88" s="2595">
        <v>71</v>
      </c>
      <c r="BX88" s="2595">
        <v>72</v>
      </c>
      <c r="BY88" s="2595">
        <v>73</v>
      </c>
      <c r="BZ88" s="2595">
        <v>74</v>
      </c>
      <c r="CA88" s="2595">
        <v>75</v>
      </c>
      <c r="CB88" s="2595">
        <v>76</v>
      </c>
      <c r="CC88" s="2595">
        <v>77</v>
      </c>
      <c r="CD88" s="2595">
        <v>78</v>
      </c>
      <c r="CE88" s="2595">
        <v>79</v>
      </c>
      <c r="CF88" s="2595">
        <v>80</v>
      </c>
      <c r="CG88" s="2595">
        <v>81</v>
      </c>
      <c r="CH88" s="2595">
        <v>82</v>
      </c>
      <c r="CI88" s="2595">
        <v>83</v>
      </c>
      <c r="CJ88" s="2595">
        <v>84</v>
      </c>
      <c r="CK88" s="2595">
        <v>85</v>
      </c>
      <c r="CL88" s="2595">
        <v>86</v>
      </c>
      <c r="CM88" s="2595">
        <v>87</v>
      </c>
      <c r="CN88" s="2595">
        <v>88</v>
      </c>
      <c r="CO88" s="2595">
        <v>89</v>
      </c>
      <c r="CP88" s="2595">
        <v>90</v>
      </c>
      <c r="CQ88" s="2595">
        <v>91</v>
      </c>
      <c r="CR88" s="2595">
        <v>92</v>
      </c>
      <c r="CS88" s="2595">
        <v>93</v>
      </c>
      <c r="CT88" s="2595">
        <v>94</v>
      </c>
      <c r="CU88" s="2595">
        <v>95</v>
      </c>
      <c r="CV88" s="2595">
        <v>96</v>
      </c>
      <c r="CW88" s="2595">
        <v>97</v>
      </c>
      <c r="CX88" s="2595">
        <v>98</v>
      </c>
      <c r="CY88" s="2595">
        <v>99</v>
      </c>
      <c r="CZ88" s="2595">
        <v>100</v>
      </c>
      <c r="DA88" s="2595">
        <v>101</v>
      </c>
      <c r="DB88" s="2595">
        <v>102</v>
      </c>
      <c r="DC88" s="2595">
        <v>103</v>
      </c>
      <c r="DD88" s="2595">
        <v>104</v>
      </c>
      <c r="DE88" s="2595">
        <v>105</v>
      </c>
      <c r="DF88" s="2595">
        <v>106</v>
      </c>
      <c r="DG88" s="2595">
        <v>107</v>
      </c>
      <c r="DH88" s="2595">
        <v>108</v>
      </c>
      <c r="DI88" s="2595">
        <v>109</v>
      </c>
      <c r="DJ88" s="2595">
        <v>110</v>
      </c>
      <c r="DK88" s="2595">
        <v>111</v>
      </c>
      <c r="DL88" s="2595">
        <v>112</v>
      </c>
      <c r="DM88" s="2595">
        <v>113</v>
      </c>
      <c r="DN88" s="2595">
        <v>114</v>
      </c>
      <c r="DO88" s="2595">
        <v>115</v>
      </c>
      <c r="DP88" s="2595">
        <v>116</v>
      </c>
      <c r="DQ88" s="2595">
        <v>117</v>
      </c>
      <c r="DR88" s="2595">
        <v>118</v>
      </c>
      <c r="DS88" s="2595">
        <v>119</v>
      </c>
      <c r="DT88" s="2595">
        <v>120</v>
      </c>
      <c r="DU88" s="2595">
        <v>121</v>
      </c>
      <c r="DV88" s="2595">
        <v>122</v>
      </c>
      <c r="DW88" s="2595">
        <v>123</v>
      </c>
      <c r="DX88" s="2595">
        <v>124</v>
      </c>
      <c r="DY88" s="2595">
        <v>125</v>
      </c>
      <c r="DZ88" s="2595">
        <v>126</v>
      </c>
      <c r="EA88" s="2595">
        <v>127</v>
      </c>
      <c r="EB88" s="2595">
        <v>128</v>
      </c>
      <c r="EC88" s="2595">
        <v>129</v>
      </c>
      <c r="ED88" s="2595">
        <v>130</v>
      </c>
      <c r="EE88" s="2595">
        <v>131</v>
      </c>
      <c r="EF88" s="2595">
        <v>132</v>
      </c>
      <c r="EG88" s="2595">
        <v>133</v>
      </c>
      <c r="EH88" s="2595">
        <v>134</v>
      </c>
      <c r="EI88" s="2595">
        <v>135</v>
      </c>
      <c r="EJ88" s="2595">
        <v>136</v>
      </c>
      <c r="EK88" s="2595">
        <v>137</v>
      </c>
      <c r="EL88" s="2595">
        <v>138</v>
      </c>
      <c r="EM88" s="2595">
        <v>139</v>
      </c>
      <c r="EN88" s="2595">
        <v>140</v>
      </c>
      <c r="EO88" s="2595">
        <v>141</v>
      </c>
      <c r="EP88" s="2595">
        <v>142</v>
      </c>
      <c r="EQ88" s="2595">
        <v>143</v>
      </c>
      <c r="ER88" s="2595">
        <v>144</v>
      </c>
      <c r="ES88" s="2595">
        <v>145</v>
      </c>
      <c r="ET88" s="2595">
        <v>146</v>
      </c>
      <c r="EU88" s="2595">
        <v>147</v>
      </c>
      <c r="EV88" s="2595">
        <v>148</v>
      </c>
      <c r="EW88" s="2595">
        <v>149</v>
      </c>
      <c r="EX88" s="2595">
        <v>150</v>
      </c>
      <c r="EY88" s="2595">
        <v>151</v>
      </c>
      <c r="EZ88" s="2595">
        <v>152</v>
      </c>
      <c r="FA88" s="2595">
        <v>153</v>
      </c>
      <c r="FB88" s="2595">
        <v>154</v>
      </c>
      <c r="FC88" s="2595">
        <v>155</v>
      </c>
      <c r="FD88" s="2595">
        <v>156</v>
      </c>
      <c r="FE88" s="2595">
        <v>157</v>
      </c>
      <c r="FF88" s="2595">
        <v>158</v>
      </c>
      <c r="FG88" s="2595">
        <v>159</v>
      </c>
      <c r="FH88" s="2595">
        <v>160</v>
      </c>
      <c r="FI88" s="2595">
        <v>161</v>
      </c>
      <c r="FJ88" s="2595">
        <v>162</v>
      </c>
      <c r="FK88" s="2595">
        <v>163</v>
      </c>
      <c r="FL88" s="2595">
        <v>164</v>
      </c>
      <c r="FM88" s="2595">
        <v>165</v>
      </c>
      <c r="FN88" s="2595">
        <v>166</v>
      </c>
      <c r="FO88" s="2595">
        <v>167</v>
      </c>
      <c r="FP88" s="2595">
        <v>168</v>
      </c>
      <c r="FQ88" s="2595">
        <v>169</v>
      </c>
      <c r="FR88" s="2595">
        <v>170</v>
      </c>
      <c r="FS88" s="2595">
        <v>171</v>
      </c>
      <c r="FT88" s="2595">
        <v>172</v>
      </c>
      <c r="FU88" s="2595">
        <v>173</v>
      </c>
      <c r="FV88" s="2595">
        <v>174</v>
      </c>
      <c r="FW88" s="2595">
        <v>175</v>
      </c>
      <c r="FX88" s="2595">
        <v>176</v>
      </c>
      <c r="FY88" s="2595">
        <v>177</v>
      </c>
      <c r="FZ88" s="2595">
        <v>178</v>
      </c>
      <c r="GA88" s="2595">
        <v>179</v>
      </c>
      <c r="GB88" s="2595">
        <v>180</v>
      </c>
      <c r="GC88" s="2595">
        <v>181</v>
      </c>
      <c r="GD88" s="2595">
        <v>182</v>
      </c>
      <c r="GE88" s="2595">
        <v>183</v>
      </c>
      <c r="GF88" s="2595">
        <v>184</v>
      </c>
      <c r="GG88" s="2595">
        <v>185</v>
      </c>
      <c r="GH88" s="2595">
        <v>186</v>
      </c>
      <c r="GI88" s="2595">
        <v>187</v>
      </c>
      <c r="GJ88" s="2595">
        <v>188</v>
      </c>
      <c r="GK88" s="2595">
        <v>189</v>
      </c>
      <c r="GL88" s="2595">
        <v>190</v>
      </c>
      <c r="GM88" s="2595">
        <v>191</v>
      </c>
      <c r="GN88" s="2595">
        <v>192</v>
      </c>
      <c r="GO88" s="2595">
        <v>193</v>
      </c>
      <c r="GP88" s="2595">
        <v>194</v>
      </c>
      <c r="GQ88" s="2595">
        <v>195</v>
      </c>
      <c r="GR88" s="2595">
        <v>196</v>
      </c>
      <c r="GS88" s="2595">
        <v>197</v>
      </c>
      <c r="GT88" s="2595">
        <v>198</v>
      </c>
      <c r="GU88" s="2595">
        <v>199</v>
      </c>
      <c r="GV88" s="2595">
        <v>200</v>
      </c>
      <c r="GW88" s="2595">
        <v>201</v>
      </c>
      <c r="GX88" s="2595">
        <v>202</v>
      </c>
      <c r="GY88" s="2595">
        <v>203</v>
      </c>
      <c r="GZ88" s="2595">
        <v>204</v>
      </c>
      <c r="HA88" s="2595">
        <v>205</v>
      </c>
      <c r="HB88" s="2595">
        <v>206</v>
      </c>
      <c r="HC88" s="2595">
        <v>207</v>
      </c>
      <c r="HD88" s="2595">
        <v>208</v>
      </c>
      <c r="HE88" s="2595">
        <v>209</v>
      </c>
      <c r="HF88" s="2595">
        <v>210</v>
      </c>
      <c r="HG88" s="2595">
        <v>211</v>
      </c>
      <c r="HH88" s="2595">
        <v>212</v>
      </c>
      <c r="HI88" s="2595">
        <v>213</v>
      </c>
      <c r="HJ88" s="2595">
        <v>214</v>
      </c>
      <c r="HK88" s="2595">
        <v>215</v>
      </c>
      <c r="HL88" s="2595">
        <v>216</v>
      </c>
      <c r="HM88" s="2595">
        <v>217</v>
      </c>
      <c r="HN88" s="2595">
        <v>218</v>
      </c>
      <c r="HO88" s="2595">
        <v>219</v>
      </c>
      <c r="HP88" s="2595">
        <v>220</v>
      </c>
      <c r="HQ88" s="2595">
        <v>221</v>
      </c>
      <c r="HR88" s="2595">
        <v>222</v>
      </c>
      <c r="HS88" s="2595">
        <v>223</v>
      </c>
      <c r="HT88" s="2595">
        <v>224</v>
      </c>
      <c r="HU88" s="2595">
        <v>225</v>
      </c>
      <c r="HV88" s="2595">
        <v>226</v>
      </c>
      <c r="HW88" s="2595">
        <v>227</v>
      </c>
      <c r="HX88" s="2595">
        <v>228</v>
      </c>
      <c r="HY88" s="2595">
        <v>229</v>
      </c>
      <c r="HZ88" s="2595">
        <v>230</v>
      </c>
      <c r="IA88" s="2595">
        <v>231</v>
      </c>
      <c r="IB88" s="2595">
        <v>232</v>
      </c>
      <c r="IC88" s="2595">
        <v>233</v>
      </c>
      <c r="ID88" s="2595">
        <v>234</v>
      </c>
      <c r="IE88" s="2595">
        <v>235</v>
      </c>
      <c r="IF88" s="2595">
        <v>236</v>
      </c>
      <c r="IG88" s="2595">
        <v>237</v>
      </c>
      <c r="IH88" s="2595">
        <v>238</v>
      </c>
      <c r="II88" s="2595">
        <v>239</v>
      </c>
      <c r="IJ88" s="2595">
        <v>240</v>
      </c>
      <c r="IK88" s="2595">
        <v>241</v>
      </c>
      <c r="IL88" s="2595">
        <v>242</v>
      </c>
      <c r="IM88" s="2595">
        <v>243</v>
      </c>
      <c r="IN88" s="2595">
        <v>244</v>
      </c>
      <c r="IO88" s="2595">
        <v>245</v>
      </c>
      <c r="IP88" s="2595">
        <v>246</v>
      </c>
      <c r="IQ88" s="2595">
        <v>247</v>
      </c>
      <c r="IR88" s="2595">
        <v>248</v>
      </c>
      <c r="IS88" s="2595">
        <v>249</v>
      </c>
      <c r="IT88" s="2595">
        <v>250</v>
      </c>
      <c r="IU88" s="2595">
        <v>251</v>
      </c>
      <c r="IV88" s="2595">
        <v>252</v>
      </c>
      <c r="IW88" s="2595">
        <v>253</v>
      </c>
      <c r="IX88" s="2595">
        <v>254</v>
      </c>
      <c r="IY88" s="2595">
        <v>255</v>
      </c>
      <c r="IZ88" s="2595">
        <v>256</v>
      </c>
      <c r="JA88" s="2595">
        <v>257</v>
      </c>
      <c r="JB88" s="2595">
        <v>258</v>
      </c>
      <c r="JC88" s="2595">
        <v>259</v>
      </c>
      <c r="JD88" s="2595">
        <v>260</v>
      </c>
      <c r="JE88" s="2595">
        <v>261</v>
      </c>
      <c r="JF88" s="2595">
        <v>262</v>
      </c>
      <c r="JG88" s="2595">
        <v>263</v>
      </c>
      <c r="JH88" s="2595">
        <v>264</v>
      </c>
      <c r="JI88" s="2595">
        <v>265</v>
      </c>
      <c r="JJ88" s="2595">
        <v>266</v>
      </c>
      <c r="JK88" s="2595">
        <v>267</v>
      </c>
      <c r="JL88" s="2595">
        <v>268</v>
      </c>
      <c r="JM88" s="2595">
        <v>269</v>
      </c>
      <c r="JN88" s="2595">
        <v>270</v>
      </c>
      <c r="JO88" s="2595">
        <v>271</v>
      </c>
      <c r="JP88" s="2595">
        <v>272</v>
      </c>
      <c r="JQ88" s="2595">
        <v>273</v>
      </c>
      <c r="JR88" s="312"/>
      <c r="JS88" s="1470" t="s">
        <v>2198</v>
      </c>
      <c r="JT88" s="357"/>
    </row>
    <row r="89" spans="1:282" x14ac:dyDescent="0.25">
      <c r="A89" s="1367">
        <v>2</v>
      </c>
      <c r="B89" s="1411" t="str">
        <f t="shared" ref="B89:B113" si="12">IF(NRD_IND&gt;1,IF(HLOOKUP(NRD_IND-1,NRD_RANGE,A89)="","",HLOOKUP(NRD_IND-1,NRD_RANGE,A89)),"")</f>
        <v/>
      </c>
      <c r="C89" s="1728" t="s">
        <v>4420</v>
      </c>
      <c r="D89" s="1443" t="str">
        <f>"If you were not resident in the UK for "&amp;tax_year&amp;", put ‘X’ in the box"</f>
        <v>If you were not resident in the UK for 2025-26, put ‘X’ in the box</v>
      </c>
      <c r="E89" s="1381"/>
      <c r="F89" s="1381"/>
      <c r="G89" s="1381"/>
      <c r="H89" s="1381"/>
      <c r="I89" s="1381"/>
      <c r="J89" s="1381"/>
      <c r="K89" s="1381"/>
      <c r="L89" s="1381"/>
      <c r="M89" s="1381"/>
      <c r="N89" s="1381"/>
      <c r="O89" s="1381"/>
      <c r="P89" s="1381"/>
      <c r="Q89" s="1381"/>
      <c r="R89" s="1381"/>
      <c r="S89" s="1381"/>
      <c r="T89" s="1381"/>
      <c r="U89" s="1381"/>
      <c r="V89" s="1381"/>
      <c r="W89" s="1381"/>
      <c r="X89" s="1381"/>
      <c r="Y89" s="1381"/>
      <c r="Z89" s="1381"/>
      <c r="AA89" s="1381"/>
      <c r="AB89" s="1381"/>
      <c r="AC89" s="1381"/>
      <c r="AD89" s="1381"/>
      <c r="AE89" s="1381"/>
      <c r="AF89" s="1381"/>
      <c r="AG89" s="1381"/>
      <c r="AH89" s="1381"/>
      <c r="AI89" s="1381"/>
      <c r="AJ89" s="1381"/>
      <c r="AK89" s="1381"/>
      <c r="AL89" s="1381"/>
      <c r="AM89" s="1381"/>
      <c r="AN89" s="1381"/>
      <c r="AO89" s="1381"/>
      <c r="AP89" s="1381"/>
      <c r="AQ89" s="1381"/>
      <c r="AR89" s="1381"/>
      <c r="AS89" s="1381"/>
      <c r="AT89" s="1381"/>
      <c r="AU89" s="1381"/>
      <c r="AV89" s="1381"/>
      <c r="AW89" s="1381"/>
      <c r="AX89" s="1381" t="s">
        <v>1707</v>
      </c>
      <c r="AY89" s="1381" t="s">
        <v>1707</v>
      </c>
      <c r="AZ89" s="1381" t="s">
        <v>1707</v>
      </c>
      <c r="BA89" s="1381"/>
      <c r="BB89" s="1381"/>
      <c r="BC89" s="1381"/>
      <c r="BD89" s="1381"/>
      <c r="BE89" s="1381"/>
      <c r="BF89" s="1381"/>
      <c r="BG89" s="1381"/>
      <c r="BH89" s="1381"/>
      <c r="BI89" s="1381"/>
      <c r="BJ89" s="1381"/>
      <c r="BK89" s="1381" t="s">
        <v>1707</v>
      </c>
      <c r="BL89" s="1381"/>
      <c r="BM89" s="1381"/>
      <c r="BN89" s="1381"/>
      <c r="BO89" s="1381"/>
      <c r="BP89" s="1381"/>
      <c r="BQ89" s="1381"/>
      <c r="BR89" s="1381"/>
      <c r="BS89" s="1381"/>
      <c r="BT89" s="1381"/>
      <c r="BU89" s="1381"/>
      <c r="BV89" s="1381"/>
      <c r="BW89" s="1381"/>
      <c r="BX89" s="1381"/>
      <c r="BY89" s="1381"/>
      <c r="BZ89" s="1381"/>
      <c r="CA89" s="1381"/>
      <c r="CB89" s="1381"/>
      <c r="CC89" s="1381"/>
      <c r="CD89" s="1381"/>
      <c r="CE89" s="1381"/>
      <c r="CF89" s="1381"/>
      <c r="CG89" s="1381"/>
      <c r="CH89" s="1381"/>
      <c r="CI89" s="1381"/>
      <c r="CJ89" s="1381"/>
      <c r="CK89" s="1381"/>
      <c r="CL89" s="1381"/>
      <c r="CM89" s="1381"/>
      <c r="CN89" s="1381"/>
      <c r="CO89" s="1381"/>
      <c r="CP89" s="1381"/>
      <c r="CQ89" s="1381"/>
      <c r="CR89" s="1381"/>
      <c r="CS89" s="1381"/>
      <c r="CT89" s="1381"/>
      <c r="CU89" s="1381"/>
      <c r="CV89" s="1381"/>
      <c r="CW89" s="1381"/>
      <c r="CX89" s="1381"/>
      <c r="CY89" s="1381"/>
      <c r="CZ89" s="1381"/>
      <c r="DA89" s="1381"/>
      <c r="DB89" s="1381"/>
      <c r="DC89" s="1381"/>
      <c r="DD89" s="1381"/>
      <c r="DE89" s="1381"/>
      <c r="DF89" s="1381"/>
      <c r="DG89" s="1381"/>
      <c r="DH89" s="1381"/>
      <c r="DI89" s="1381"/>
      <c r="DJ89" s="1381"/>
      <c r="DK89" s="1381"/>
      <c r="DL89" s="1381"/>
      <c r="DM89" s="1381"/>
      <c r="DN89" s="1381"/>
      <c r="DO89" s="1381"/>
      <c r="DP89" s="1381"/>
      <c r="DQ89" s="1381"/>
      <c r="DR89" s="1381"/>
      <c r="DS89" s="1381" t="s">
        <v>1615</v>
      </c>
      <c r="DT89" s="1381" t="s">
        <v>1615</v>
      </c>
      <c r="DU89" s="1381"/>
      <c r="DV89" s="1381"/>
      <c r="DW89" s="1381"/>
      <c r="DX89" s="1381"/>
      <c r="DY89" s="1381"/>
      <c r="DZ89" s="1381"/>
      <c r="EA89" s="1381"/>
      <c r="EB89" s="1381"/>
      <c r="EC89" s="1381"/>
      <c r="ED89" s="1381"/>
      <c r="EE89" s="1381"/>
      <c r="EF89" s="1381"/>
      <c r="EG89" s="1381" t="s">
        <v>1707</v>
      </c>
      <c r="EH89" s="1381"/>
      <c r="EI89" s="1381"/>
      <c r="EJ89" s="1381"/>
      <c r="EK89" s="1381"/>
      <c r="EL89" s="1381"/>
      <c r="EM89" s="1381"/>
      <c r="EN89" s="1381"/>
      <c r="EO89" s="1381"/>
      <c r="EP89" s="1381"/>
      <c r="EQ89" s="1381"/>
      <c r="ER89" s="1381"/>
      <c r="ES89" s="1381"/>
      <c r="ET89" s="1381"/>
      <c r="EU89" s="1381"/>
      <c r="EV89" s="1381"/>
      <c r="EW89" s="1381"/>
      <c r="EX89" s="1381"/>
      <c r="EY89" s="1381"/>
      <c r="EZ89" s="1381"/>
      <c r="FA89" s="1381"/>
      <c r="FB89" s="1381"/>
      <c r="FC89" s="1381"/>
      <c r="FD89" s="1381"/>
      <c r="FE89" s="1381"/>
      <c r="FF89" s="1381"/>
      <c r="FG89" s="1381"/>
      <c r="FH89" s="1381"/>
      <c r="FI89" s="1381"/>
      <c r="FJ89" s="1381"/>
      <c r="FK89" s="1381"/>
      <c r="FL89" s="1381"/>
      <c r="FM89" s="1381"/>
      <c r="FN89" s="1381"/>
      <c r="FO89" s="1381"/>
      <c r="FP89" s="1381"/>
      <c r="FQ89" s="1381"/>
      <c r="FR89" s="1381"/>
      <c r="FS89" s="1381"/>
      <c r="FT89" s="1381" t="s">
        <v>1707</v>
      </c>
      <c r="FU89" s="1381" t="s">
        <v>1707</v>
      </c>
      <c r="FV89" s="1381" t="s">
        <v>1707</v>
      </c>
      <c r="FW89" s="1381"/>
      <c r="FX89" s="1381"/>
      <c r="FY89" s="1381"/>
      <c r="FZ89" s="1381" t="s">
        <v>1707</v>
      </c>
      <c r="GA89" s="1381"/>
      <c r="GB89" s="1381"/>
      <c r="GC89" s="1381"/>
      <c r="GD89" s="1381"/>
      <c r="GE89" s="1381"/>
      <c r="GF89" s="1381"/>
      <c r="GG89" s="1381"/>
      <c r="GH89" s="1381"/>
      <c r="GI89" s="1381"/>
      <c r="GJ89" s="1381"/>
      <c r="GK89" s="1381"/>
      <c r="GL89" s="1381"/>
      <c r="GM89" s="1381"/>
      <c r="GN89" s="1381"/>
      <c r="GO89" s="1381"/>
      <c r="GP89" s="1381"/>
      <c r="GQ89" s="1381"/>
      <c r="GR89" s="1381"/>
      <c r="GS89" s="1381"/>
      <c r="GT89" s="1381"/>
      <c r="GU89" s="1381"/>
      <c r="GV89" s="1381"/>
      <c r="GW89" s="1381"/>
      <c r="GX89" s="1381"/>
      <c r="GY89" s="1381"/>
      <c r="GZ89" s="1381"/>
      <c r="HA89" s="1381" t="s">
        <v>1615</v>
      </c>
      <c r="HB89" s="1381"/>
      <c r="HC89" s="1381"/>
      <c r="HD89" s="1381" t="s">
        <v>1707</v>
      </c>
      <c r="HE89" s="1381"/>
      <c r="HF89" s="1381" t="s">
        <v>1707</v>
      </c>
      <c r="HG89" s="1382"/>
      <c r="HH89" s="1381"/>
      <c r="HI89" s="1381" t="s">
        <v>1615</v>
      </c>
      <c r="HJ89" s="1381" t="s">
        <v>1615</v>
      </c>
      <c r="HK89" s="1381" t="s">
        <v>1615</v>
      </c>
      <c r="HL89" s="1381" t="s">
        <v>1615</v>
      </c>
      <c r="HM89" s="1381" t="s">
        <v>1707</v>
      </c>
      <c r="HN89" s="1381" t="s">
        <v>1615</v>
      </c>
      <c r="HO89" s="1381"/>
      <c r="HP89" s="1381"/>
      <c r="HQ89" s="1381"/>
      <c r="HR89" s="1381"/>
      <c r="HS89" s="1381"/>
      <c r="HT89" s="1381"/>
      <c r="HU89" s="1381"/>
      <c r="HV89" s="1381"/>
      <c r="HW89" s="1381"/>
      <c r="HX89" s="1381"/>
      <c r="HY89" s="1381"/>
      <c r="HZ89" s="1381"/>
      <c r="IA89" s="1381"/>
      <c r="IB89" s="1381"/>
      <c r="IC89" s="1381"/>
      <c r="ID89" s="1381"/>
      <c r="IE89" s="1381"/>
      <c r="IF89" s="1381"/>
      <c r="IG89" s="1381"/>
      <c r="IH89" s="1381"/>
      <c r="II89" s="1381"/>
      <c r="IJ89" s="1381"/>
      <c r="IK89" s="1381"/>
      <c r="IL89" s="1381"/>
      <c r="IM89" s="1381"/>
      <c r="IN89" s="1381"/>
      <c r="IO89" s="1381"/>
      <c r="IP89" s="1414" t="s">
        <v>1707</v>
      </c>
      <c r="IQ89" s="1414" t="s">
        <v>1707</v>
      </c>
      <c r="IR89" s="1414" t="s">
        <v>1707</v>
      </c>
      <c r="IS89" s="1381"/>
      <c r="IT89" s="1414" t="s">
        <v>1707</v>
      </c>
      <c r="IU89" s="1381"/>
      <c r="IV89" s="1381"/>
      <c r="IW89" s="1414" t="s">
        <v>1707</v>
      </c>
      <c r="IX89" s="1414"/>
      <c r="IY89" s="1414"/>
      <c r="IZ89" s="1414"/>
      <c r="JA89" s="1414"/>
      <c r="JB89" s="1414"/>
      <c r="JC89" s="1414"/>
      <c r="JD89" s="1414"/>
      <c r="JE89" s="1414"/>
      <c r="JF89" s="1414"/>
      <c r="JG89" s="1414"/>
      <c r="JH89" s="1381" t="s">
        <v>2927</v>
      </c>
      <c r="JI89" s="1381"/>
      <c r="JJ89" s="1414" t="s">
        <v>1707</v>
      </c>
      <c r="JK89" s="1414" t="s">
        <v>1707</v>
      </c>
      <c r="JL89" s="1464"/>
      <c r="JM89" s="1464"/>
      <c r="JN89" s="1414" t="s">
        <v>1707</v>
      </c>
      <c r="JO89" s="1414"/>
      <c r="JP89" s="1414"/>
      <c r="JQ89" s="1415" t="s">
        <v>1707</v>
      </c>
      <c r="JR89" s="312"/>
      <c r="JS89" s="315"/>
      <c r="JT89" s="357" t="s">
        <v>2319</v>
      </c>
    </row>
    <row r="90" spans="1:282" x14ac:dyDescent="0.25">
      <c r="A90" s="1367">
        <v>3</v>
      </c>
      <c r="B90" s="1411" t="str">
        <f t="shared" si="12"/>
        <v/>
      </c>
      <c r="C90" s="1759" t="s">
        <v>4421</v>
      </c>
      <c r="D90" s="1729" t="str">
        <f>"If you are eligible for overseas workday relief for "&amp;tax_year&amp;", put ‘X’ in the box"</f>
        <v>If you are eligible for overseas workday relief for 2025-26, put ‘X’ in the box</v>
      </c>
      <c r="E90" s="1730"/>
      <c r="F90" s="1730"/>
      <c r="G90" s="1381"/>
      <c r="H90" s="1381"/>
      <c r="I90" s="1381"/>
      <c r="J90" s="1414"/>
      <c r="K90" s="1381"/>
      <c r="L90" s="1414"/>
      <c r="M90" s="1381"/>
      <c r="N90" s="1381"/>
      <c r="O90" s="1414"/>
      <c r="P90" s="1414"/>
      <c r="Q90" s="1414"/>
      <c r="R90" s="1414"/>
      <c r="S90" s="1414"/>
      <c r="T90" s="1414"/>
      <c r="U90" s="1414"/>
      <c r="V90" s="1414"/>
      <c r="W90" s="1414"/>
      <c r="X90" s="1414"/>
      <c r="Y90" s="1414"/>
      <c r="Z90" s="1414"/>
      <c r="AA90" s="1414"/>
      <c r="AB90" s="1414"/>
      <c r="AC90" s="1414"/>
      <c r="AD90" s="1414"/>
      <c r="AE90" s="1414"/>
      <c r="AF90" s="1414"/>
      <c r="AG90" s="1414"/>
      <c r="AH90" s="1414"/>
      <c r="AI90" s="1414"/>
      <c r="AJ90" s="1414"/>
      <c r="AK90" s="1414"/>
      <c r="AL90" s="1414"/>
      <c r="AM90" s="1414"/>
      <c r="AN90" s="1414"/>
      <c r="AO90" s="1414"/>
      <c r="AP90" s="1414"/>
      <c r="AQ90" s="1414"/>
      <c r="AR90" s="1414"/>
      <c r="AS90" s="1414"/>
      <c r="AT90" s="1414"/>
      <c r="AU90" s="1414"/>
      <c r="AV90" s="1414"/>
      <c r="AW90" s="1414"/>
      <c r="AX90" s="1381"/>
      <c r="AY90" s="1381"/>
      <c r="AZ90" s="1381"/>
      <c r="BA90" s="1414"/>
      <c r="BB90" s="1414"/>
      <c r="BC90" s="1414"/>
      <c r="BD90" s="1414"/>
      <c r="BE90" s="1414"/>
      <c r="BF90" s="1414"/>
      <c r="BG90" s="1414"/>
      <c r="BH90" s="1414"/>
      <c r="BI90" s="1414"/>
      <c r="BJ90" s="1414"/>
      <c r="BK90" s="1414"/>
      <c r="BL90" s="1414"/>
      <c r="BM90" s="1414"/>
      <c r="BN90" s="1414"/>
      <c r="BO90" s="1414"/>
      <c r="BP90" s="1414"/>
      <c r="BQ90" s="1414"/>
      <c r="BR90" s="1414"/>
      <c r="BS90" s="1414"/>
      <c r="BT90" s="1414"/>
      <c r="BU90" s="1414"/>
      <c r="BV90" s="1414"/>
      <c r="BW90" s="1414"/>
      <c r="BX90" s="1414"/>
      <c r="BY90" s="1414"/>
      <c r="BZ90" s="1414"/>
      <c r="CA90" s="1414"/>
      <c r="CB90" s="1414"/>
      <c r="CC90" s="1414"/>
      <c r="CD90" s="1414"/>
      <c r="CE90" s="1414"/>
      <c r="CF90" s="1414"/>
      <c r="CG90" s="1414"/>
      <c r="CH90" s="1414"/>
      <c r="CI90" s="1414"/>
      <c r="CJ90" s="1382"/>
      <c r="CK90" s="1414"/>
      <c r="CL90" s="1414"/>
      <c r="CM90" s="1414"/>
      <c r="CN90" s="1414"/>
      <c r="CO90" s="1414"/>
      <c r="CP90" s="1414"/>
      <c r="CQ90" s="1414"/>
      <c r="CR90" s="1414"/>
      <c r="CS90" s="1414"/>
      <c r="CT90" s="1414"/>
      <c r="CU90" s="1414"/>
      <c r="CV90" s="1414"/>
      <c r="CW90" s="1414"/>
      <c r="CX90" s="1414"/>
      <c r="CY90" s="1414"/>
      <c r="CZ90" s="1414"/>
      <c r="DA90" s="1414"/>
      <c r="DB90" s="1414"/>
      <c r="DC90" s="1414"/>
      <c r="DD90" s="1414"/>
      <c r="DE90" s="1414"/>
      <c r="DF90" s="1414"/>
      <c r="DG90" s="1414"/>
      <c r="DH90" s="1414"/>
      <c r="DI90" s="1414"/>
      <c r="DJ90" s="1414"/>
      <c r="DK90" s="1414"/>
      <c r="DL90" s="1414"/>
      <c r="DM90" s="1414"/>
      <c r="DN90" s="1414"/>
      <c r="DO90" s="1414"/>
      <c r="DP90" s="1414"/>
      <c r="DQ90" s="1414"/>
      <c r="DR90" s="1414"/>
      <c r="DS90" s="1382"/>
      <c r="DT90" s="1382"/>
      <c r="DU90" s="1414"/>
      <c r="DV90" s="1414"/>
      <c r="DW90" s="1414"/>
      <c r="DX90" s="1414"/>
      <c r="DY90" s="1414"/>
      <c r="DZ90" s="1414"/>
      <c r="EA90" s="1414"/>
      <c r="EB90" s="1414"/>
      <c r="EC90" s="1414"/>
      <c r="ED90" s="1414"/>
      <c r="EE90" s="1414"/>
      <c r="EF90" s="1414"/>
      <c r="EG90" s="1414"/>
      <c r="EH90" s="1414"/>
      <c r="EI90" s="1414"/>
      <c r="EJ90" s="1414"/>
      <c r="EK90" s="1414"/>
      <c r="EL90" s="1414"/>
      <c r="EM90" s="1414"/>
      <c r="EN90" s="1414"/>
      <c r="EO90" s="1414"/>
      <c r="EP90" s="1414"/>
      <c r="EQ90" s="1414"/>
      <c r="ER90" s="1414"/>
      <c r="ES90" s="1414"/>
      <c r="ET90" s="1414"/>
      <c r="EU90" s="1414"/>
      <c r="EV90" s="1414"/>
      <c r="EW90" s="1414"/>
      <c r="EX90" s="1414"/>
      <c r="EY90" s="1414"/>
      <c r="EZ90" s="1414"/>
      <c r="FA90" s="1414"/>
      <c r="FB90" s="1414"/>
      <c r="FC90" s="1414"/>
      <c r="FD90" s="1414"/>
      <c r="FE90" s="1414"/>
      <c r="FF90" s="1414"/>
      <c r="FG90" s="1414"/>
      <c r="FH90" s="1414"/>
      <c r="FI90" s="1414"/>
      <c r="FJ90" s="1414"/>
      <c r="FK90" s="1414"/>
      <c r="FL90" s="1414"/>
      <c r="FM90" s="1414"/>
      <c r="FN90" s="1414"/>
      <c r="FO90" s="1414"/>
      <c r="FP90" s="1414"/>
      <c r="FQ90" s="1414"/>
      <c r="FR90" s="1414"/>
      <c r="FS90" s="1414"/>
      <c r="FT90" s="1381"/>
      <c r="FU90" s="1381"/>
      <c r="FV90" s="1381"/>
      <c r="FW90" s="1414"/>
      <c r="FX90" s="1414"/>
      <c r="FY90" s="1414"/>
      <c r="FZ90" s="1414"/>
      <c r="GA90" s="1414"/>
      <c r="GB90" s="1414"/>
      <c r="GC90" s="1414"/>
      <c r="GD90" s="1414"/>
      <c r="GE90" s="1414"/>
      <c r="GF90" s="1414"/>
      <c r="GG90" s="1414"/>
      <c r="GH90" s="1414"/>
      <c r="GI90" s="1414"/>
      <c r="GJ90" s="1414"/>
      <c r="GK90" s="1414"/>
      <c r="GL90" s="1414"/>
      <c r="GM90" s="1414"/>
      <c r="GN90" s="1414"/>
      <c r="GO90" s="1414"/>
      <c r="GP90" s="1414"/>
      <c r="GQ90" s="1414"/>
      <c r="GR90" s="1414"/>
      <c r="GS90" s="1414"/>
      <c r="GT90" s="1414"/>
      <c r="GU90" s="1414"/>
      <c r="GV90" s="1414"/>
      <c r="GW90" s="1414"/>
      <c r="GX90" s="1414"/>
      <c r="GY90" s="1414"/>
      <c r="GZ90" s="1414"/>
      <c r="HA90" s="1381"/>
      <c r="HB90" s="1414"/>
      <c r="HC90" s="1414"/>
      <c r="HD90" s="1381"/>
      <c r="HE90" s="1414"/>
      <c r="HF90" s="1381"/>
      <c r="HG90" s="1381"/>
      <c r="HH90" s="1414"/>
      <c r="HI90" s="1381"/>
      <c r="HJ90" s="1381"/>
      <c r="HK90" s="1381"/>
      <c r="HL90" s="1381"/>
      <c r="HM90" s="1381"/>
      <c r="HN90" s="1381"/>
      <c r="HO90" s="1414"/>
      <c r="HP90" s="1381"/>
      <c r="HQ90" s="1414"/>
      <c r="HR90" s="1414"/>
      <c r="HS90" s="1414"/>
      <c r="HT90" s="1414"/>
      <c r="HU90" s="1381"/>
      <c r="HV90" s="1414"/>
      <c r="HW90" s="1414"/>
      <c r="HX90" s="1414"/>
      <c r="HY90" s="1414"/>
      <c r="HZ90" s="1414"/>
      <c r="IA90" s="1414"/>
      <c r="IB90" s="1414"/>
      <c r="IC90" s="1414"/>
      <c r="ID90" s="1414"/>
      <c r="IE90" s="1414"/>
      <c r="IF90" s="1414"/>
      <c r="IG90" s="1414"/>
      <c r="IH90" s="1414"/>
      <c r="II90" s="1414"/>
      <c r="IJ90" s="1414"/>
      <c r="IK90" s="1414"/>
      <c r="IL90" s="1414"/>
      <c r="IM90" s="1414"/>
      <c r="IN90" s="1414"/>
      <c r="IO90" s="1414"/>
      <c r="IP90" s="1414"/>
      <c r="IQ90" s="1414"/>
      <c r="IR90" s="1414"/>
      <c r="IS90" s="1414"/>
      <c r="IT90" s="1414"/>
      <c r="IU90" s="1414"/>
      <c r="IV90" s="1414"/>
      <c r="IW90" s="1414"/>
      <c r="IX90" s="1414"/>
      <c r="IY90" s="1414"/>
      <c r="IZ90" s="1414"/>
      <c r="JA90" s="1414"/>
      <c r="JB90" s="1414"/>
      <c r="JC90" s="1414"/>
      <c r="JD90" s="1414"/>
      <c r="JE90" s="1414"/>
      <c r="JF90" s="1414"/>
      <c r="JG90" s="1414"/>
      <c r="JH90" s="1414"/>
      <c r="JI90" s="1414"/>
      <c r="JJ90" s="1414"/>
      <c r="JK90" s="1414"/>
      <c r="JL90" s="1414"/>
      <c r="JM90" s="1414"/>
      <c r="JN90" s="1414"/>
      <c r="JO90" s="1414"/>
      <c r="JP90" s="1414"/>
      <c r="JQ90" s="1415"/>
      <c r="JR90" s="312"/>
      <c r="JS90" s="315"/>
      <c r="JT90" s="357" t="s">
        <v>2319</v>
      </c>
    </row>
    <row r="91" spans="1:282" x14ac:dyDescent="0.25">
      <c r="A91" s="1367">
        <v>4</v>
      </c>
      <c r="B91" s="1411" t="str">
        <f t="shared" si="12"/>
        <v/>
      </c>
      <c r="C91" s="1728" t="s">
        <v>4422</v>
      </c>
      <c r="D91" s="1443" t="str">
        <f>"If your circumstances meet the criteria for split year treatment for "&amp;tax_year&amp;", put ‘X’ in the box"</f>
        <v>If your circumstances meet the criteria for split year treatment for 2025-26, put ‘X’ in the box</v>
      </c>
      <c r="E91" s="1381"/>
      <c r="F91" s="1381"/>
      <c r="G91" s="1381"/>
      <c r="H91" s="1381"/>
      <c r="I91" s="1381"/>
      <c r="J91" s="1414"/>
      <c r="K91" s="1381"/>
      <c r="L91" s="1414"/>
      <c r="M91" s="1381"/>
      <c r="N91" s="1381"/>
      <c r="O91" s="1414"/>
      <c r="P91" s="1414"/>
      <c r="Q91" s="1414"/>
      <c r="R91" s="1414"/>
      <c r="S91" s="1414"/>
      <c r="T91" s="1414"/>
      <c r="U91" s="1414"/>
      <c r="V91" s="1414"/>
      <c r="W91" s="1414"/>
      <c r="X91" s="1414"/>
      <c r="Y91" s="1414"/>
      <c r="Z91" s="1414"/>
      <c r="AA91" s="1414"/>
      <c r="AB91" s="1414"/>
      <c r="AC91" s="1414"/>
      <c r="AD91" s="1414"/>
      <c r="AE91" s="1414"/>
      <c r="AF91" s="1414"/>
      <c r="AG91" s="1414"/>
      <c r="AH91" s="1414"/>
      <c r="AI91" s="1414"/>
      <c r="AJ91" s="1414"/>
      <c r="AK91" s="1414"/>
      <c r="AL91" s="1414"/>
      <c r="AM91" s="1414"/>
      <c r="AN91" s="1414"/>
      <c r="AO91" s="1414"/>
      <c r="AP91" s="1414"/>
      <c r="AQ91" s="1414"/>
      <c r="AR91" s="1414"/>
      <c r="AS91" s="1414"/>
      <c r="AT91" s="1414"/>
      <c r="AU91" s="1414"/>
      <c r="AV91" s="1414"/>
      <c r="AW91" s="1414"/>
      <c r="AX91" s="1381" t="s">
        <v>1615</v>
      </c>
      <c r="AY91" s="1381" t="s">
        <v>1615</v>
      </c>
      <c r="AZ91" s="1381" t="s">
        <v>1615</v>
      </c>
      <c r="BA91" s="1414"/>
      <c r="BB91" s="1414"/>
      <c r="BC91" s="1414"/>
      <c r="BD91" s="1414"/>
      <c r="BE91" s="1414"/>
      <c r="BF91" s="1414"/>
      <c r="BG91" s="1414"/>
      <c r="BH91" s="1414"/>
      <c r="BI91" s="1414"/>
      <c r="BJ91" s="1414"/>
      <c r="BK91" s="1414"/>
      <c r="BL91" s="1414"/>
      <c r="BM91" s="1414"/>
      <c r="BN91" s="1414"/>
      <c r="BO91" s="1414"/>
      <c r="BP91" s="1414"/>
      <c r="BQ91" s="1414"/>
      <c r="BR91" s="1414"/>
      <c r="BS91" s="1414"/>
      <c r="BT91" s="1414"/>
      <c r="BU91" s="1414"/>
      <c r="BV91" s="1414"/>
      <c r="BW91" s="1414"/>
      <c r="BX91" s="1414"/>
      <c r="BY91" s="1414"/>
      <c r="BZ91" s="1414"/>
      <c r="CA91" s="1414"/>
      <c r="CB91" s="1414"/>
      <c r="CC91" s="1414"/>
      <c r="CD91" s="1414"/>
      <c r="CE91" s="1414"/>
      <c r="CF91" s="1414"/>
      <c r="CG91" s="1414"/>
      <c r="CH91" s="1414"/>
      <c r="CI91" s="1414"/>
      <c r="CJ91" s="1382"/>
      <c r="CK91" s="1414"/>
      <c r="CL91" s="1414"/>
      <c r="CM91" s="1414"/>
      <c r="CN91" s="1414"/>
      <c r="CO91" s="1414"/>
      <c r="CP91" s="1414"/>
      <c r="CQ91" s="1414"/>
      <c r="CR91" s="1414"/>
      <c r="CS91" s="1414"/>
      <c r="CT91" s="1414"/>
      <c r="CU91" s="1414"/>
      <c r="CV91" s="1414"/>
      <c r="CW91" s="1414"/>
      <c r="CX91" s="1414"/>
      <c r="CY91" s="1414"/>
      <c r="CZ91" s="1414"/>
      <c r="DA91" s="1414"/>
      <c r="DB91" s="1414"/>
      <c r="DC91" s="1414"/>
      <c r="DD91" s="1414"/>
      <c r="DE91" s="1414"/>
      <c r="DF91" s="1414"/>
      <c r="DG91" s="1414"/>
      <c r="DH91" s="1414"/>
      <c r="DI91" s="1414"/>
      <c r="DJ91" s="1414"/>
      <c r="DK91" s="1414"/>
      <c r="DL91" s="1414"/>
      <c r="DM91" s="1414"/>
      <c r="DN91" s="1414"/>
      <c r="DO91" s="1414"/>
      <c r="DP91" s="1414"/>
      <c r="DQ91" s="1414"/>
      <c r="DR91" s="1414"/>
      <c r="DS91" s="1381" t="s">
        <v>1615</v>
      </c>
      <c r="DT91" s="1381" t="s">
        <v>1615</v>
      </c>
      <c r="DU91" s="1414"/>
      <c r="DV91" s="1414"/>
      <c r="DW91" s="1414"/>
      <c r="DX91" s="1414"/>
      <c r="DY91" s="1414"/>
      <c r="DZ91" s="1414"/>
      <c r="EA91" s="1414"/>
      <c r="EB91" s="1414"/>
      <c r="EC91" s="1414"/>
      <c r="ED91" s="1414"/>
      <c r="EE91" s="1414"/>
      <c r="EF91" s="1414"/>
      <c r="EG91" s="1414"/>
      <c r="EH91" s="1414"/>
      <c r="EI91" s="1414"/>
      <c r="EJ91" s="1414"/>
      <c r="EK91" s="1414"/>
      <c r="EL91" s="1414"/>
      <c r="EM91" s="1414"/>
      <c r="EN91" s="1414"/>
      <c r="EO91" s="1414"/>
      <c r="EP91" s="1414"/>
      <c r="EQ91" s="1414"/>
      <c r="ER91" s="1414"/>
      <c r="ES91" s="1414"/>
      <c r="ET91" s="1414"/>
      <c r="EU91" s="1414"/>
      <c r="EV91" s="1414"/>
      <c r="EW91" s="1414"/>
      <c r="EX91" s="1414"/>
      <c r="EY91" s="1414"/>
      <c r="EZ91" s="1414"/>
      <c r="FA91" s="1414"/>
      <c r="FB91" s="1414"/>
      <c r="FC91" s="1414"/>
      <c r="FD91" s="1414"/>
      <c r="FE91" s="1414"/>
      <c r="FF91" s="1414"/>
      <c r="FG91" s="1414"/>
      <c r="FH91" s="1414"/>
      <c r="FI91" s="1414"/>
      <c r="FJ91" s="1414"/>
      <c r="FK91" s="1414"/>
      <c r="FL91" s="1414"/>
      <c r="FM91" s="1414"/>
      <c r="FN91" s="1414"/>
      <c r="FO91" s="1414"/>
      <c r="FP91" s="1414"/>
      <c r="FQ91" s="1414"/>
      <c r="FR91" s="1414"/>
      <c r="FS91" s="1414"/>
      <c r="FT91" s="1381" t="s">
        <v>1615</v>
      </c>
      <c r="FU91" s="1381" t="s">
        <v>1615</v>
      </c>
      <c r="FV91" s="1381" t="s">
        <v>1615</v>
      </c>
      <c r="FW91" s="1414"/>
      <c r="FX91" s="1414"/>
      <c r="FY91" s="1414"/>
      <c r="FZ91" s="1414"/>
      <c r="GA91" s="1414"/>
      <c r="GB91" s="1414"/>
      <c r="GC91" s="1414"/>
      <c r="GD91" s="1414"/>
      <c r="GE91" s="1414"/>
      <c r="GF91" s="1414"/>
      <c r="GG91" s="1414"/>
      <c r="GH91" s="1414"/>
      <c r="GI91" s="1414"/>
      <c r="GJ91" s="1414"/>
      <c r="GK91" s="1414"/>
      <c r="GL91" s="1414"/>
      <c r="GM91" s="1414"/>
      <c r="GN91" s="1414"/>
      <c r="GO91" s="1414"/>
      <c r="GP91" s="1414"/>
      <c r="GQ91" s="1414"/>
      <c r="GR91" s="1414"/>
      <c r="GS91" s="1414"/>
      <c r="GT91" s="1414"/>
      <c r="GU91" s="1414"/>
      <c r="GV91" s="1414"/>
      <c r="GW91" s="1414"/>
      <c r="GX91" s="1414"/>
      <c r="GY91" s="1414"/>
      <c r="GZ91" s="1414"/>
      <c r="HA91" s="1381" t="s">
        <v>1615</v>
      </c>
      <c r="HB91" s="1414"/>
      <c r="HC91" s="1414"/>
      <c r="HD91" s="1381" t="s">
        <v>1615</v>
      </c>
      <c r="HE91" s="1414"/>
      <c r="HF91" s="1381" t="s">
        <v>1615</v>
      </c>
      <c r="HG91" s="1382"/>
      <c r="HH91" s="1414"/>
      <c r="HI91" s="1381" t="s">
        <v>1615</v>
      </c>
      <c r="HJ91" s="1381" t="s">
        <v>1615</v>
      </c>
      <c r="HK91" s="1381" t="s">
        <v>1615</v>
      </c>
      <c r="HL91" s="1381" t="s">
        <v>1615</v>
      </c>
      <c r="HM91" s="1381" t="s">
        <v>1615</v>
      </c>
      <c r="HN91" s="1381" t="s">
        <v>1615</v>
      </c>
      <c r="HO91" s="1414"/>
      <c r="HP91" s="1381"/>
      <c r="HQ91" s="1414"/>
      <c r="HR91" s="1414"/>
      <c r="HS91" s="1414"/>
      <c r="HT91" s="1414"/>
      <c r="HU91" s="1381"/>
      <c r="HV91" s="1414"/>
      <c r="HW91" s="1414"/>
      <c r="HX91" s="1414"/>
      <c r="HY91" s="1414"/>
      <c r="HZ91" s="1414"/>
      <c r="IA91" s="1414"/>
      <c r="IB91" s="1414"/>
      <c r="IC91" s="1414"/>
      <c r="ID91" s="1414"/>
      <c r="IE91" s="1414"/>
      <c r="IF91" s="1414"/>
      <c r="IG91" s="1414"/>
      <c r="IH91" s="1414"/>
      <c r="II91" s="1414"/>
      <c r="IJ91" s="1414"/>
      <c r="IK91" s="1464"/>
      <c r="IL91" s="1414"/>
      <c r="IM91" s="1414"/>
      <c r="IN91" s="1414"/>
      <c r="IO91" s="1414"/>
      <c r="IP91" s="1414"/>
      <c r="IQ91" s="1414"/>
      <c r="IR91" s="1414"/>
      <c r="IS91" s="1414"/>
      <c r="IT91" s="1414"/>
      <c r="IU91" s="1414"/>
      <c r="IV91" s="1414"/>
      <c r="IW91" s="1414"/>
      <c r="IX91" s="1414"/>
      <c r="IY91" s="1414"/>
      <c r="IZ91" s="1414"/>
      <c r="JA91" s="1414"/>
      <c r="JB91" s="1414"/>
      <c r="JC91" s="1414"/>
      <c r="JD91" s="1414"/>
      <c r="JE91" s="1414"/>
      <c r="JF91" s="1414"/>
      <c r="JG91" s="1414"/>
      <c r="JH91" s="1414"/>
      <c r="JI91" s="1414"/>
      <c r="JJ91" s="1414"/>
      <c r="JK91" s="1414"/>
      <c r="JL91" s="1414"/>
      <c r="JM91" s="1414"/>
      <c r="JN91" s="1414"/>
      <c r="JO91" s="1414"/>
      <c r="JP91" s="1414"/>
      <c r="JQ91" s="1415"/>
      <c r="JR91" s="312"/>
      <c r="JS91" s="315" t="s">
        <v>4423</v>
      </c>
      <c r="JT91" s="357" t="s">
        <v>2319</v>
      </c>
    </row>
    <row r="92" spans="1:282" x14ac:dyDescent="0.25">
      <c r="A92" s="1367">
        <v>5</v>
      </c>
      <c r="B92" s="1411" t="str">
        <f t="shared" si="12"/>
        <v/>
      </c>
      <c r="C92" s="1728" t="s">
        <v>4424</v>
      </c>
      <c r="D92" s="1443" t="s">
        <v>4425</v>
      </c>
      <c r="E92" s="1381"/>
      <c r="F92" s="1381"/>
      <c r="G92" s="1381"/>
      <c r="H92" s="1381"/>
      <c r="I92" s="1381"/>
      <c r="J92" s="1414"/>
      <c r="K92" s="1381"/>
      <c r="L92" s="1414"/>
      <c r="M92" s="1381"/>
      <c r="N92" s="1381"/>
      <c r="O92" s="1414"/>
      <c r="P92" s="1414"/>
      <c r="Q92" s="1414"/>
      <c r="R92" s="1414"/>
      <c r="S92" s="1414"/>
      <c r="T92" s="1414"/>
      <c r="U92" s="1414"/>
      <c r="V92" s="1414"/>
      <c r="W92" s="1414"/>
      <c r="X92" s="1414"/>
      <c r="Y92" s="1414"/>
      <c r="Z92" s="1414"/>
      <c r="AA92" s="1414"/>
      <c r="AB92" s="1414"/>
      <c r="AC92" s="1414"/>
      <c r="AD92" s="1414"/>
      <c r="AE92" s="1414"/>
      <c r="AF92" s="1414"/>
      <c r="AG92" s="1414"/>
      <c r="AH92" s="1414"/>
      <c r="AI92" s="1414"/>
      <c r="AJ92" s="1414"/>
      <c r="AK92" s="1414"/>
      <c r="AL92" s="1414"/>
      <c r="AM92" s="1414"/>
      <c r="AN92" s="1414"/>
      <c r="AO92" s="1414"/>
      <c r="AP92" s="1414"/>
      <c r="AQ92" s="1414"/>
      <c r="AR92" s="1414"/>
      <c r="AS92" s="1414"/>
      <c r="AT92" s="1414"/>
      <c r="AU92" s="1414"/>
      <c r="AV92" s="1414"/>
      <c r="AW92" s="1414"/>
      <c r="AX92" s="1381" t="s">
        <v>1615</v>
      </c>
      <c r="AY92" s="1381" t="s">
        <v>1615</v>
      </c>
      <c r="AZ92" s="1381" t="s">
        <v>1615</v>
      </c>
      <c r="BA92" s="1414"/>
      <c r="BB92" s="1414"/>
      <c r="BC92" s="1414"/>
      <c r="BD92" s="1414"/>
      <c r="BE92" s="1414"/>
      <c r="BF92" s="1414"/>
      <c r="BG92" s="1414"/>
      <c r="BH92" s="1414"/>
      <c r="BI92" s="1414"/>
      <c r="BJ92" s="1414"/>
      <c r="BK92" s="1414"/>
      <c r="BL92" s="1414"/>
      <c r="BM92" s="1414"/>
      <c r="BN92" s="1414"/>
      <c r="BO92" s="1414"/>
      <c r="BP92" s="1414"/>
      <c r="BQ92" s="1414"/>
      <c r="BR92" s="1414"/>
      <c r="BS92" s="1414"/>
      <c r="BT92" s="1414"/>
      <c r="BU92" s="1414"/>
      <c r="BV92" s="1414"/>
      <c r="BW92" s="1414"/>
      <c r="BX92" s="1414"/>
      <c r="BY92" s="1414"/>
      <c r="BZ92" s="1414"/>
      <c r="CA92" s="1414"/>
      <c r="CB92" s="1414"/>
      <c r="CC92" s="1414"/>
      <c r="CD92" s="1414"/>
      <c r="CE92" s="1414"/>
      <c r="CF92" s="1414"/>
      <c r="CG92" s="1414"/>
      <c r="CH92" s="1414"/>
      <c r="CI92" s="1414"/>
      <c r="CJ92" s="1382"/>
      <c r="CK92" s="1414"/>
      <c r="CL92" s="1414"/>
      <c r="CM92" s="1414"/>
      <c r="CN92" s="1414"/>
      <c r="CO92" s="1414"/>
      <c r="CP92" s="1414"/>
      <c r="CQ92" s="1414"/>
      <c r="CR92" s="1414"/>
      <c r="CS92" s="1414"/>
      <c r="CT92" s="1414"/>
      <c r="CU92" s="1414"/>
      <c r="CV92" s="1414"/>
      <c r="CW92" s="1414"/>
      <c r="CX92" s="1414"/>
      <c r="CY92" s="1414"/>
      <c r="CZ92" s="1414"/>
      <c r="DA92" s="1414"/>
      <c r="DB92" s="1414"/>
      <c r="DC92" s="1414"/>
      <c r="DD92" s="1414"/>
      <c r="DE92" s="1414"/>
      <c r="DF92" s="1414"/>
      <c r="DG92" s="1414"/>
      <c r="DH92" s="1414"/>
      <c r="DI92" s="1414"/>
      <c r="DJ92" s="1414"/>
      <c r="DK92" s="1414"/>
      <c r="DL92" s="1414"/>
      <c r="DM92" s="1414"/>
      <c r="DN92" s="1414"/>
      <c r="DO92" s="1414"/>
      <c r="DP92" s="1414"/>
      <c r="DQ92" s="1414"/>
      <c r="DR92" s="1414"/>
      <c r="DS92" s="1381" t="s">
        <v>1615</v>
      </c>
      <c r="DT92" s="1381" t="s">
        <v>1615</v>
      </c>
      <c r="DU92" s="1414"/>
      <c r="DV92" s="1414"/>
      <c r="DW92" s="1414"/>
      <c r="DX92" s="1414"/>
      <c r="DY92" s="1414"/>
      <c r="DZ92" s="1414"/>
      <c r="EA92" s="1414"/>
      <c r="EB92" s="1414"/>
      <c r="EC92" s="1414"/>
      <c r="ED92" s="1414"/>
      <c r="EE92" s="1414"/>
      <c r="EF92" s="1414"/>
      <c r="EG92" s="1414"/>
      <c r="EH92" s="1414"/>
      <c r="EI92" s="1414"/>
      <c r="EJ92" s="1414"/>
      <c r="EK92" s="1414"/>
      <c r="EL92" s="1414"/>
      <c r="EM92" s="1414"/>
      <c r="EN92" s="1414"/>
      <c r="EO92" s="1414"/>
      <c r="EP92" s="1414"/>
      <c r="EQ92" s="1414"/>
      <c r="ER92" s="1414"/>
      <c r="ES92" s="1414"/>
      <c r="ET92" s="1414"/>
      <c r="EU92" s="1414"/>
      <c r="EV92" s="1414"/>
      <c r="EW92" s="1414"/>
      <c r="EX92" s="1414"/>
      <c r="EY92" s="1414"/>
      <c r="EZ92" s="1414"/>
      <c r="FA92" s="1414"/>
      <c r="FB92" s="1414"/>
      <c r="FC92" s="1414"/>
      <c r="FD92" s="1414"/>
      <c r="FE92" s="1414"/>
      <c r="FF92" s="1414"/>
      <c r="FG92" s="1414"/>
      <c r="FH92" s="1414"/>
      <c r="FI92" s="1414"/>
      <c r="FJ92" s="1414"/>
      <c r="FK92" s="1414"/>
      <c r="FL92" s="1414"/>
      <c r="FM92" s="1414"/>
      <c r="FN92" s="1414"/>
      <c r="FO92" s="1414"/>
      <c r="FP92" s="1414"/>
      <c r="FQ92" s="1414"/>
      <c r="FR92" s="1414"/>
      <c r="FS92" s="1414"/>
      <c r="FT92" s="1381" t="s">
        <v>1615</v>
      </c>
      <c r="FU92" s="1381" t="s">
        <v>1615</v>
      </c>
      <c r="FV92" s="1381" t="s">
        <v>1615</v>
      </c>
      <c r="FW92" s="1414"/>
      <c r="FX92" s="1414"/>
      <c r="FY92" s="1414"/>
      <c r="FZ92" s="1414"/>
      <c r="GA92" s="1414"/>
      <c r="GB92" s="1414"/>
      <c r="GC92" s="1414"/>
      <c r="GD92" s="1414"/>
      <c r="GE92" s="1414"/>
      <c r="GF92" s="1414"/>
      <c r="GG92" s="1414"/>
      <c r="GH92" s="1414"/>
      <c r="GI92" s="1414"/>
      <c r="GJ92" s="1414"/>
      <c r="GK92" s="1414"/>
      <c r="GL92" s="1414"/>
      <c r="GM92" s="1414"/>
      <c r="GN92" s="1414"/>
      <c r="GO92" s="1414"/>
      <c r="GP92" s="1414"/>
      <c r="GQ92" s="1414"/>
      <c r="GR92" s="1414"/>
      <c r="GS92" s="1414"/>
      <c r="GT92" s="1414"/>
      <c r="GU92" s="1414"/>
      <c r="GV92" s="1414"/>
      <c r="GW92" s="1414"/>
      <c r="GX92" s="1414"/>
      <c r="GY92" s="1414"/>
      <c r="GZ92" s="1414"/>
      <c r="HA92" s="1381" t="s">
        <v>1615</v>
      </c>
      <c r="HB92" s="1414"/>
      <c r="HC92" s="1414"/>
      <c r="HD92" s="1381" t="s">
        <v>1615</v>
      </c>
      <c r="HE92" s="1414"/>
      <c r="HF92" s="1381" t="s">
        <v>1615</v>
      </c>
      <c r="HG92" s="1382"/>
      <c r="HH92" s="1414"/>
      <c r="HI92" s="1381" t="s">
        <v>1615</v>
      </c>
      <c r="HJ92" s="1381" t="s">
        <v>1615</v>
      </c>
      <c r="HK92" s="1381" t="s">
        <v>1615</v>
      </c>
      <c r="HL92" s="1381" t="s">
        <v>1615</v>
      </c>
      <c r="HM92" s="1381" t="s">
        <v>1615</v>
      </c>
      <c r="HN92" s="1381" t="s">
        <v>1615</v>
      </c>
      <c r="HO92" s="1414"/>
      <c r="HP92" s="1381"/>
      <c r="HQ92" s="1414"/>
      <c r="HR92" s="1414"/>
      <c r="HS92" s="1414"/>
      <c r="HT92" s="1414"/>
      <c r="HU92" s="1381"/>
      <c r="HV92" s="1414"/>
      <c r="HW92" s="1414"/>
      <c r="HX92" s="1414"/>
      <c r="HY92" s="1414"/>
      <c r="HZ92" s="1414"/>
      <c r="IA92" s="1414"/>
      <c r="IB92" s="1414"/>
      <c r="IC92" s="1414"/>
      <c r="ID92" s="1414"/>
      <c r="IE92" s="1414"/>
      <c r="IF92" s="1414"/>
      <c r="IG92" s="1414"/>
      <c r="IH92" s="1414"/>
      <c r="II92" s="1414"/>
      <c r="IJ92" s="1414"/>
      <c r="IK92" s="1414"/>
      <c r="IL92" s="1414"/>
      <c r="IM92" s="1414"/>
      <c r="IN92" s="1414"/>
      <c r="IO92" s="1414"/>
      <c r="IP92" s="1414"/>
      <c r="IQ92" s="1414"/>
      <c r="IR92" s="1414"/>
      <c r="IS92" s="1414"/>
      <c r="IT92" s="1414"/>
      <c r="IU92" s="1414"/>
      <c r="IV92" s="1414"/>
      <c r="IW92" s="1414"/>
      <c r="IX92" s="1414"/>
      <c r="IY92" s="1414"/>
      <c r="IZ92" s="1414"/>
      <c r="JA92" s="1414"/>
      <c r="JB92" s="1414"/>
      <c r="JC92" s="1414"/>
      <c r="JD92" s="1414"/>
      <c r="JE92" s="1414"/>
      <c r="JF92" s="1414"/>
      <c r="JG92" s="1414"/>
      <c r="JH92" s="1414"/>
      <c r="JI92" s="1414"/>
      <c r="JJ92" s="1414"/>
      <c r="JK92" s="1414"/>
      <c r="JL92" s="1414"/>
      <c r="JM92" s="1414"/>
      <c r="JN92" s="1414"/>
      <c r="JO92" s="1414"/>
      <c r="JP92" s="1414"/>
      <c r="JQ92" s="1415"/>
      <c r="JR92" s="312"/>
      <c r="JS92" s="316" t="s">
        <v>4426</v>
      </c>
      <c r="JT92" s="357" t="s">
        <v>2319</v>
      </c>
    </row>
    <row r="93" spans="1:282" x14ac:dyDescent="0.25">
      <c r="A93" s="1367">
        <v>6</v>
      </c>
      <c r="B93" s="1411" t="str">
        <f t="shared" si="12"/>
        <v/>
      </c>
      <c r="C93" s="1728" t="s">
        <v>4427</v>
      </c>
      <c r="D93" s="1443" t="str">
        <f>"If you were resident in the UK for "&amp;tax_year&amp;", put ‘X’ in the box"</f>
        <v>If you were resident in the UK for 2025-26, put ‘X’ in the box</v>
      </c>
      <c r="E93" s="1381"/>
      <c r="F93" s="1381"/>
      <c r="G93" s="1381"/>
      <c r="H93" s="1381"/>
      <c r="I93" s="1381"/>
      <c r="J93" s="1414"/>
      <c r="K93" s="1381"/>
      <c r="L93" s="1414"/>
      <c r="M93" s="1381"/>
      <c r="N93" s="1381"/>
      <c r="O93" s="1414"/>
      <c r="P93" s="1414"/>
      <c r="Q93" s="1414"/>
      <c r="R93" s="1414"/>
      <c r="S93" s="1414"/>
      <c r="T93" s="1414"/>
      <c r="U93" s="1414"/>
      <c r="V93" s="1414"/>
      <c r="W93" s="1414"/>
      <c r="X93" s="1414"/>
      <c r="Y93" s="1414"/>
      <c r="Z93" s="1414"/>
      <c r="AA93" s="1414"/>
      <c r="AB93" s="1414"/>
      <c r="AC93" s="1414"/>
      <c r="AD93" s="1414"/>
      <c r="AE93" s="1414"/>
      <c r="AF93" s="1414"/>
      <c r="AG93" s="1414"/>
      <c r="AH93" s="1414"/>
      <c r="AI93" s="1414"/>
      <c r="AJ93" s="1414"/>
      <c r="AK93" s="1414"/>
      <c r="AL93" s="1414"/>
      <c r="AM93" s="1414"/>
      <c r="AN93" s="1414"/>
      <c r="AO93" s="1414"/>
      <c r="AP93" s="1414"/>
      <c r="AQ93" s="1414"/>
      <c r="AR93" s="1414"/>
      <c r="AS93" s="1414"/>
      <c r="AT93" s="1414"/>
      <c r="AU93" s="1414"/>
      <c r="AV93" s="1414"/>
      <c r="AW93" s="1414"/>
      <c r="AX93" s="1381" t="s">
        <v>1615</v>
      </c>
      <c r="AY93" s="1381" t="s">
        <v>1615</v>
      </c>
      <c r="AZ93" s="1381" t="s">
        <v>1615</v>
      </c>
      <c r="BA93" s="1414"/>
      <c r="BB93" s="1414"/>
      <c r="BC93" s="1414"/>
      <c r="BD93" s="1414"/>
      <c r="BE93" s="1414"/>
      <c r="BF93" s="1414"/>
      <c r="BG93" s="1414"/>
      <c r="BH93" s="1414"/>
      <c r="BI93" s="1414"/>
      <c r="BJ93" s="1414"/>
      <c r="BK93" s="1414"/>
      <c r="BL93" s="1414"/>
      <c r="BM93" s="1414"/>
      <c r="BN93" s="1414"/>
      <c r="BO93" s="1414"/>
      <c r="BP93" s="1414"/>
      <c r="BQ93" s="1414"/>
      <c r="BR93" s="1414"/>
      <c r="BS93" s="1414"/>
      <c r="BT93" s="1414"/>
      <c r="BU93" s="1414"/>
      <c r="BV93" s="1414"/>
      <c r="BW93" s="1414"/>
      <c r="BX93" s="1414"/>
      <c r="BY93" s="1414"/>
      <c r="BZ93" s="1414"/>
      <c r="CA93" s="1414"/>
      <c r="CB93" s="1414"/>
      <c r="CC93" s="1414"/>
      <c r="CD93" s="1414"/>
      <c r="CE93" s="1414"/>
      <c r="CF93" s="1414"/>
      <c r="CG93" s="1414"/>
      <c r="CH93" s="1414"/>
      <c r="CI93" s="1414"/>
      <c r="CJ93" s="1382"/>
      <c r="CK93" s="1414"/>
      <c r="CL93" s="1414"/>
      <c r="CM93" s="1414"/>
      <c r="CN93" s="1414"/>
      <c r="CO93" s="1414"/>
      <c r="CP93" s="1414"/>
      <c r="CQ93" s="1414"/>
      <c r="CR93" s="1414"/>
      <c r="CS93" s="1414"/>
      <c r="CT93" s="1414"/>
      <c r="CU93" s="1414"/>
      <c r="CV93" s="1414"/>
      <c r="CW93" s="1414"/>
      <c r="CX93" s="1414"/>
      <c r="CY93" s="1414"/>
      <c r="CZ93" s="1414"/>
      <c r="DA93" s="1414"/>
      <c r="DB93" s="1414"/>
      <c r="DC93" s="1414"/>
      <c r="DD93" s="1414"/>
      <c r="DE93" s="1414"/>
      <c r="DF93" s="1414"/>
      <c r="DG93" s="1414"/>
      <c r="DH93" s="1414"/>
      <c r="DI93" s="1414"/>
      <c r="DJ93" s="1414"/>
      <c r="DK93" s="1414"/>
      <c r="DL93" s="1414"/>
      <c r="DM93" s="1414"/>
      <c r="DN93" s="1414"/>
      <c r="DO93" s="1414"/>
      <c r="DP93" s="1414"/>
      <c r="DQ93" s="1414"/>
      <c r="DR93" s="1414"/>
      <c r="DS93" s="1381" t="s">
        <v>1707</v>
      </c>
      <c r="DT93" s="1382" t="s">
        <v>1707</v>
      </c>
      <c r="DU93" s="1414"/>
      <c r="DV93" s="1414"/>
      <c r="DW93" s="1414"/>
      <c r="DX93" s="1414"/>
      <c r="DY93" s="1414"/>
      <c r="DZ93" s="1414"/>
      <c r="EA93" s="1414"/>
      <c r="EB93" s="1414"/>
      <c r="EC93" s="1414"/>
      <c r="ED93" s="1414"/>
      <c r="EE93" s="1414"/>
      <c r="EF93" s="1414"/>
      <c r="EG93" s="1414"/>
      <c r="EH93" s="1414"/>
      <c r="EI93" s="1414"/>
      <c r="EJ93" s="1414"/>
      <c r="EK93" s="1414"/>
      <c r="EL93" s="1414"/>
      <c r="EM93" s="1414"/>
      <c r="EN93" s="1414"/>
      <c r="EO93" s="1414"/>
      <c r="EP93" s="1414"/>
      <c r="EQ93" s="1414"/>
      <c r="ER93" s="1414"/>
      <c r="ES93" s="1414"/>
      <c r="ET93" s="1414"/>
      <c r="EU93" s="1414"/>
      <c r="EV93" s="1414"/>
      <c r="EW93" s="1414"/>
      <c r="EX93" s="1414"/>
      <c r="EY93" s="1414"/>
      <c r="EZ93" s="1414"/>
      <c r="FA93" s="1414"/>
      <c r="FB93" s="1414"/>
      <c r="FC93" s="1414"/>
      <c r="FD93" s="1414"/>
      <c r="FE93" s="1414"/>
      <c r="FF93" s="1414"/>
      <c r="FG93" s="1414"/>
      <c r="FH93" s="1414"/>
      <c r="FI93" s="1464" t="s">
        <v>2714</v>
      </c>
      <c r="FJ93" s="1414"/>
      <c r="FK93" s="1414"/>
      <c r="FL93" s="1414"/>
      <c r="FM93" s="1414"/>
      <c r="FN93" s="1414"/>
      <c r="FO93" s="1414"/>
      <c r="FP93" s="1414"/>
      <c r="FQ93" s="1414"/>
      <c r="FR93" s="1414"/>
      <c r="FS93" s="1414"/>
      <c r="FT93" s="1381" t="s">
        <v>1615</v>
      </c>
      <c r="FU93" s="1381" t="s">
        <v>1615</v>
      </c>
      <c r="FV93" s="1381" t="s">
        <v>1615</v>
      </c>
      <c r="FW93" s="1414"/>
      <c r="FX93" s="1414"/>
      <c r="FY93" s="1414"/>
      <c r="FZ93" s="1414"/>
      <c r="GA93" s="1414"/>
      <c r="GB93" s="1414"/>
      <c r="GC93" s="1414"/>
      <c r="GD93" s="1414"/>
      <c r="GE93" s="1414"/>
      <c r="GF93" s="1414"/>
      <c r="GG93" s="1414"/>
      <c r="GH93" s="1414"/>
      <c r="GI93" s="1414"/>
      <c r="GJ93" s="1414"/>
      <c r="GK93" s="1414"/>
      <c r="GL93" s="1414"/>
      <c r="GM93" s="1414"/>
      <c r="GN93" s="1414"/>
      <c r="GO93" s="1414"/>
      <c r="GP93" s="1414"/>
      <c r="GQ93" s="1414"/>
      <c r="GR93" s="1414"/>
      <c r="GS93" s="1414"/>
      <c r="GT93" s="1414"/>
      <c r="GU93" s="1414"/>
      <c r="GV93" s="1414"/>
      <c r="GW93" s="1414"/>
      <c r="GX93" s="1414"/>
      <c r="GY93" s="1414"/>
      <c r="GZ93" s="1414"/>
      <c r="HA93" s="1381" t="s">
        <v>1707</v>
      </c>
      <c r="HB93" s="1414"/>
      <c r="HC93" s="1414"/>
      <c r="HD93" s="1381" t="s">
        <v>1707</v>
      </c>
      <c r="HE93" s="1414"/>
      <c r="HF93" s="1381" t="s">
        <v>1707</v>
      </c>
      <c r="HG93" s="1382"/>
      <c r="HH93" s="1414"/>
      <c r="HI93" s="1381" t="s">
        <v>1707</v>
      </c>
      <c r="HJ93" s="1381" t="s">
        <v>1615</v>
      </c>
      <c r="HK93" s="1381" t="s">
        <v>1615</v>
      </c>
      <c r="HL93" s="1381" t="s">
        <v>1615</v>
      </c>
      <c r="HM93" s="1381" t="s">
        <v>1615</v>
      </c>
      <c r="HN93" s="1381" t="s">
        <v>1615</v>
      </c>
      <c r="HO93" s="1414"/>
      <c r="HP93" s="1381"/>
      <c r="HQ93" s="1414"/>
      <c r="HR93" s="1414"/>
      <c r="HS93" s="1414"/>
      <c r="HT93" s="1414"/>
      <c r="HU93" s="1381"/>
      <c r="HV93" s="1414"/>
      <c r="HW93" s="1414"/>
      <c r="HX93" s="1414"/>
      <c r="HY93" s="1414"/>
      <c r="HZ93" s="1414"/>
      <c r="IA93" s="1414"/>
      <c r="IB93" s="1414"/>
      <c r="IC93" s="1414"/>
      <c r="ID93" s="1414"/>
      <c r="IE93" s="1414"/>
      <c r="IF93" s="1414"/>
      <c r="IG93" s="1414"/>
      <c r="IH93" s="1414"/>
      <c r="II93" s="1414"/>
      <c r="IJ93" s="1414"/>
      <c r="IK93" s="1464"/>
      <c r="IL93" s="1414"/>
      <c r="IM93" s="1414"/>
      <c r="IN93" s="1414"/>
      <c r="IO93" s="1414"/>
      <c r="IP93" s="1414"/>
      <c r="IQ93" s="1414"/>
      <c r="IR93" s="1414"/>
      <c r="IS93" s="1414"/>
      <c r="IT93" s="1414"/>
      <c r="IU93" s="1414"/>
      <c r="IV93" s="1414"/>
      <c r="IW93" s="1414"/>
      <c r="IX93" s="1414"/>
      <c r="IY93" s="1414"/>
      <c r="IZ93" s="1414"/>
      <c r="JA93" s="1414"/>
      <c r="JB93" s="1414"/>
      <c r="JC93" s="1414"/>
      <c r="JD93" s="1414"/>
      <c r="JE93" s="1414"/>
      <c r="JF93" s="1414"/>
      <c r="JG93" s="1414"/>
      <c r="JH93" s="1414"/>
      <c r="JI93" s="1414"/>
      <c r="JJ93" s="1414"/>
      <c r="JK93" s="1414"/>
      <c r="JL93" s="1414"/>
      <c r="JM93" s="1414"/>
      <c r="JN93" s="1414"/>
      <c r="JO93" s="1414"/>
      <c r="JP93" s="1414"/>
      <c r="JQ93" s="1415"/>
      <c r="JR93" s="312"/>
      <c r="JS93" s="315"/>
      <c r="JT93" s="357" t="s">
        <v>2319</v>
      </c>
    </row>
    <row r="94" spans="1:282" x14ac:dyDescent="0.25">
      <c r="A94" s="1367">
        <v>7</v>
      </c>
      <c r="B94" s="1411" t="str">
        <f t="shared" si="12"/>
        <v/>
      </c>
      <c r="C94" s="1759" t="s">
        <v>4428</v>
      </c>
      <c r="D94" s="1729" t="s">
        <v>4429</v>
      </c>
      <c r="E94" s="1730"/>
      <c r="F94" s="1730"/>
      <c r="G94" s="1730"/>
      <c r="H94" s="1730"/>
      <c r="I94" s="1381"/>
      <c r="J94" s="1414"/>
      <c r="K94" s="1381"/>
      <c r="L94" s="1414"/>
      <c r="M94" s="1381"/>
      <c r="N94" s="1381"/>
      <c r="O94" s="1414"/>
      <c r="P94" s="1414"/>
      <c r="Q94" s="1414"/>
      <c r="R94" s="1414"/>
      <c r="S94" s="1414"/>
      <c r="T94" s="1414"/>
      <c r="U94" s="1414"/>
      <c r="V94" s="1414"/>
      <c r="W94" s="1414"/>
      <c r="X94" s="1414"/>
      <c r="Y94" s="1414"/>
      <c r="Z94" s="1414"/>
      <c r="AA94" s="1414"/>
      <c r="AB94" s="1414"/>
      <c r="AC94" s="1414"/>
      <c r="AD94" s="1414"/>
      <c r="AE94" s="1414"/>
      <c r="AF94" s="1414"/>
      <c r="AG94" s="1414"/>
      <c r="AH94" s="1414"/>
      <c r="AI94" s="1414"/>
      <c r="AJ94" s="1414"/>
      <c r="AK94" s="1414"/>
      <c r="AL94" s="1414"/>
      <c r="AM94" s="1414"/>
      <c r="AN94" s="1414"/>
      <c r="AO94" s="1414"/>
      <c r="AP94" s="1414"/>
      <c r="AQ94" s="1414"/>
      <c r="AR94" s="1414"/>
      <c r="AS94" s="1414"/>
      <c r="AT94" s="1414"/>
      <c r="AU94" s="1414"/>
      <c r="AV94" s="1414"/>
      <c r="AW94" s="1414"/>
      <c r="AX94" s="1381" t="s">
        <v>1615</v>
      </c>
      <c r="AY94" s="1381" t="s">
        <v>1615</v>
      </c>
      <c r="AZ94" s="1381" t="s">
        <v>1615</v>
      </c>
      <c r="BA94" s="1414"/>
      <c r="BB94" s="1414"/>
      <c r="BC94" s="1414"/>
      <c r="BD94" s="1414"/>
      <c r="BE94" s="1414"/>
      <c r="BF94" s="1414"/>
      <c r="BG94" s="1414"/>
      <c r="BH94" s="1414"/>
      <c r="BI94" s="1414"/>
      <c r="BJ94" s="1414"/>
      <c r="BK94" s="1414"/>
      <c r="BL94" s="1414"/>
      <c r="BM94" s="1414"/>
      <c r="BN94" s="1414"/>
      <c r="BO94" s="1414"/>
      <c r="BP94" s="1414"/>
      <c r="BQ94" s="1414"/>
      <c r="BR94" s="1414"/>
      <c r="BS94" s="1414"/>
      <c r="BT94" s="1414"/>
      <c r="BU94" s="1414"/>
      <c r="BV94" s="1414"/>
      <c r="BW94" s="1414"/>
      <c r="BX94" s="1414"/>
      <c r="BY94" s="1414"/>
      <c r="BZ94" s="1414"/>
      <c r="CA94" s="1414"/>
      <c r="CB94" s="1414"/>
      <c r="CC94" s="1414"/>
      <c r="CD94" s="1414"/>
      <c r="CE94" s="1414"/>
      <c r="CF94" s="1414"/>
      <c r="CG94" s="1414"/>
      <c r="CH94" s="1414"/>
      <c r="CI94" s="1414"/>
      <c r="CJ94" s="1382"/>
      <c r="CK94" s="1414"/>
      <c r="CL94" s="1414"/>
      <c r="CM94" s="1414"/>
      <c r="CN94" s="1414"/>
      <c r="CO94" s="1414"/>
      <c r="CP94" s="1414"/>
      <c r="CQ94" s="1414"/>
      <c r="CR94" s="1414"/>
      <c r="CS94" s="1414"/>
      <c r="CT94" s="1414"/>
      <c r="CU94" s="1414"/>
      <c r="CV94" s="1414"/>
      <c r="CW94" s="1414"/>
      <c r="CX94" s="1414"/>
      <c r="CY94" s="1414"/>
      <c r="CZ94" s="1414"/>
      <c r="DA94" s="1414"/>
      <c r="DB94" s="1414"/>
      <c r="DC94" s="1414"/>
      <c r="DD94" s="1414"/>
      <c r="DE94" s="1414"/>
      <c r="DF94" s="1414"/>
      <c r="DG94" s="1414"/>
      <c r="DH94" s="1414"/>
      <c r="DI94" s="1414"/>
      <c r="DJ94" s="1414"/>
      <c r="DK94" s="1414"/>
      <c r="DL94" s="1414"/>
      <c r="DM94" s="1414"/>
      <c r="DN94" s="1414"/>
      <c r="DO94" s="1414"/>
      <c r="DP94" s="1414"/>
      <c r="DQ94" s="1414"/>
      <c r="DR94" s="1414"/>
      <c r="DS94" s="1382"/>
      <c r="DT94" s="1382"/>
      <c r="DU94" s="1414"/>
      <c r="DV94" s="1414"/>
      <c r="DW94" s="1414"/>
      <c r="DX94" s="1414"/>
      <c r="DY94" s="1414"/>
      <c r="DZ94" s="1414"/>
      <c r="EA94" s="1414"/>
      <c r="EB94" s="1414"/>
      <c r="EC94" s="1414"/>
      <c r="ED94" s="1414"/>
      <c r="EE94" s="1414"/>
      <c r="EF94" s="1414"/>
      <c r="EG94" s="1414"/>
      <c r="EH94" s="1414"/>
      <c r="EI94" s="1414"/>
      <c r="EJ94" s="1414"/>
      <c r="EK94" s="1414"/>
      <c r="EL94" s="1414"/>
      <c r="EM94" s="1414"/>
      <c r="EN94" s="1414"/>
      <c r="EO94" s="1414"/>
      <c r="EP94" s="1414"/>
      <c r="EQ94" s="1414"/>
      <c r="ER94" s="1414"/>
      <c r="ES94" s="1414"/>
      <c r="ET94" s="1414"/>
      <c r="EU94" s="1414"/>
      <c r="EV94" s="1414"/>
      <c r="EW94" s="1414"/>
      <c r="EX94" s="1414"/>
      <c r="EY94" s="1414"/>
      <c r="EZ94" s="1414"/>
      <c r="FA94" s="1414"/>
      <c r="FB94" s="1414"/>
      <c r="FC94" s="1414"/>
      <c r="FD94" s="1414"/>
      <c r="FE94" s="1414"/>
      <c r="FF94" s="1414"/>
      <c r="FG94" s="1414"/>
      <c r="FH94" s="1414"/>
      <c r="FI94" s="1414"/>
      <c r="FJ94" s="1414"/>
      <c r="FK94" s="1414"/>
      <c r="FL94" s="1414"/>
      <c r="FM94" s="1414"/>
      <c r="FN94" s="1414"/>
      <c r="FO94" s="1414"/>
      <c r="FP94" s="1414"/>
      <c r="FQ94" s="1414"/>
      <c r="FR94" s="1414"/>
      <c r="FS94" s="1414"/>
      <c r="FT94" s="1382"/>
      <c r="FU94" s="1382"/>
      <c r="FV94" s="1382"/>
      <c r="FW94" s="1414"/>
      <c r="FX94" s="1414"/>
      <c r="FY94" s="1414"/>
      <c r="FZ94" s="1414"/>
      <c r="GA94" s="1414"/>
      <c r="GB94" s="1414"/>
      <c r="GC94" s="1414"/>
      <c r="GD94" s="1414"/>
      <c r="GE94" s="1414"/>
      <c r="GF94" s="1414"/>
      <c r="GG94" s="1414"/>
      <c r="GH94" s="1414"/>
      <c r="GI94" s="1414"/>
      <c r="GJ94" s="1414"/>
      <c r="GK94" s="1414"/>
      <c r="GL94" s="1414"/>
      <c r="GM94" s="1414"/>
      <c r="GN94" s="1414"/>
      <c r="GO94" s="1414"/>
      <c r="GP94" s="1414"/>
      <c r="GQ94" s="1414"/>
      <c r="GR94" s="1414"/>
      <c r="GS94" s="1414"/>
      <c r="GT94" s="1414"/>
      <c r="GU94" s="1414"/>
      <c r="GV94" s="1414"/>
      <c r="GW94" s="1414"/>
      <c r="GX94" s="1414"/>
      <c r="GY94" s="1414"/>
      <c r="GZ94" s="1414"/>
      <c r="HA94" s="1382"/>
      <c r="HB94" s="1414"/>
      <c r="HC94" s="1414"/>
      <c r="HD94" s="1382"/>
      <c r="HE94" s="1414"/>
      <c r="HF94" s="1382"/>
      <c r="HG94" s="1382"/>
      <c r="HH94" s="1414"/>
      <c r="HI94" s="1382"/>
      <c r="HJ94" s="1382"/>
      <c r="HK94" s="1382"/>
      <c r="HL94" s="1382"/>
      <c r="HM94" s="1382"/>
      <c r="HN94" s="1382"/>
      <c r="HO94" s="1414"/>
      <c r="HP94" s="1381"/>
      <c r="HQ94" s="1414"/>
      <c r="HR94" s="1414"/>
      <c r="HS94" s="1414"/>
      <c r="HT94" s="1414"/>
      <c r="HU94" s="1381"/>
      <c r="HV94" s="1414"/>
      <c r="HW94" s="1414"/>
      <c r="HX94" s="1414"/>
      <c r="HY94" s="1414"/>
      <c r="HZ94" s="1414"/>
      <c r="IA94" s="1414"/>
      <c r="IB94" s="1414"/>
      <c r="IC94" s="1414"/>
      <c r="ID94" s="1414"/>
      <c r="IE94" s="1414"/>
      <c r="IF94" s="1414"/>
      <c r="IG94" s="1414"/>
      <c r="IH94" s="1414"/>
      <c r="II94" s="1414"/>
      <c r="IJ94" s="1414"/>
      <c r="IK94" s="1414"/>
      <c r="IL94" s="1414"/>
      <c r="IM94" s="1414"/>
      <c r="IN94" s="1414"/>
      <c r="IO94" s="1414"/>
      <c r="IP94" s="1414"/>
      <c r="IQ94" s="1414"/>
      <c r="IR94" s="1414"/>
      <c r="IS94" s="1414"/>
      <c r="IT94" s="1414"/>
      <c r="IU94" s="1414"/>
      <c r="IV94" s="1414"/>
      <c r="IW94" s="1414"/>
      <c r="IX94" s="1414"/>
      <c r="IY94" s="1414"/>
      <c r="IZ94" s="1414"/>
      <c r="JA94" s="1414"/>
      <c r="JB94" s="1414"/>
      <c r="JC94" s="1414"/>
      <c r="JD94" s="1414"/>
      <c r="JE94" s="1414"/>
      <c r="JF94" s="1414"/>
      <c r="JG94" s="1414"/>
      <c r="JH94" s="1414"/>
      <c r="JI94" s="1414"/>
      <c r="JJ94" s="1414"/>
      <c r="JK94" s="1414"/>
      <c r="JL94" s="1414"/>
      <c r="JM94" s="1414"/>
      <c r="JN94" s="1414"/>
      <c r="JO94" s="1414"/>
      <c r="JP94" s="1414"/>
      <c r="JQ94" s="1415"/>
      <c r="JR94" s="312"/>
      <c r="JS94" s="315"/>
      <c r="JT94" s="1060" t="s">
        <v>2319</v>
      </c>
    </row>
    <row r="95" spans="1:282" ht="30" x14ac:dyDescent="0.25">
      <c r="A95" s="1367">
        <v>8</v>
      </c>
      <c r="B95" s="1411" t="str">
        <f t="shared" si="12"/>
        <v/>
      </c>
      <c r="C95" s="1728" t="s">
        <v>4430</v>
      </c>
      <c r="D95" s="1443" t="s">
        <v>4431</v>
      </c>
      <c r="E95" s="1290"/>
      <c r="F95" s="1731"/>
      <c r="G95" s="1731"/>
      <c r="H95" s="1731"/>
      <c r="I95" s="1361"/>
      <c r="J95" s="1732"/>
      <c r="K95" s="1361"/>
      <c r="L95" s="1732"/>
      <c r="M95" s="1731"/>
      <c r="N95" s="1731"/>
      <c r="O95" s="1732"/>
      <c r="P95" s="1732"/>
      <c r="Q95" s="1732"/>
      <c r="R95" s="1732"/>
      <c r="S95" s="1732"/>
      <c r="T95" s="1732"/>
      <c r="U95" s="1732"/>
      <c r="V95" s="1732"/>
      <c r="W95" s="1732"/>
      <c r="X95" s="1732"/>
      <c r="Y95" s="1732"/>
      <c r="Z95" s="1732"/>
      <c r="AA95" s="1732"/>
      <c r="AB95" s="1732"/>
      <c r="AC95" s="1732"/>
      <c r="AD95" s="1732"/>
      <c r="AE95" s="1732"/>
      <c r="AF95" s="1732"/>
      <c r="AG95" s="1732"/>
      <c r="AH95" s="1732"/>
      <c r="AI95" s="1732"/>
      <c r="AJ95" s="1732"/>
      <c r="AK95" s="1732"/>
      <c r="AL95" s="1732"/>
      <c r="AM95" s="1732"/>
      <c r="AN95" s="1732"/>
      <c r="AO95" s="1732"/>
      <c r="AP95" s="1732"/>
      <c r="AQ95" s="1732"/>
      <c r="AR95" s="1732"/>
      <c r="AS95" s="1732"/>
      <c r="AT95" s="1732"/>
      <c r="AU95" s="1732"/>
      <c r="AV95" s="1732"/>
      <c r="AW95" s="1732"/>
      <c r="AX95" s="1290"/>
      <c r="AY95" s="1290"/>
      <c r="AZ95" s="1290"/>
      <c r="BA95" s="1732"/>
      <c r="BB95" s="1732"/>
      <c r="BC95" s="1732"/>
      <c r="BD95" s="1732"/>
      <c r="BE95" s="1732"/>
      <c r="BF95" s="1732"/>
      <c r="BG95" s="1732"/>
      <c r="BH95" s="1732"/>
      <c r="BI95" s="1732"/>
      <c r="BJ95" s="1732"/>
      <c r="BK95" s="1732"/>
      <c r="BL95" s="1732"/>
      <c r="BM95" s="1732"/>
      <c r="BN95" s="1732"/>
      <c r="BO95" s="1732"/>
      <c r="BP95" s="1732"/>
      <c r="BQ95" s="1732"/>
      <c r="BR95" s="1732"/>
      <c r="BS95" s="1732"/>
      <c r="BT95" s="1732"/>
      <c r="BU95" s="1732"/>
      <c r="BV95" s="1732"/>
      <c r="BW95" s="1732"/>
      <c r="BX95" s="1732"/>
      <c r="BY95" s="1732"/>
      <c r="BZ95" s="1732"/>
      <c r="CA95" s="1732"/>
      <c r="CB95" s="1732"/>
      <c r="CC95" s="1732"/>
      <c r="CD95" s="1732"/>
      <c r="CE95" s="1732"/>
      <c r="CF95" s="1732"/>
      <c r="CG95" s="1732"/>
      <c r="CH95" s="1732"/>
      <c r="CI95" s="1732"/>
      <c r="CJ95" s="1731"/>
      <c r="CK95" s="1732"/>
      <c r="CL95" s="1732"/>
      <c r="CM95" s="1732"/>
      <c r="CN95" s="1732"/>
      <c r="CO95" s="1732"/>
      <c r="CP95" s="1732"/>
      <c r="CQ95" s="1732"/>
      <c r="CR95" s="1732"/>
      <c r="CS95" s="1732"/>
      <c r="CT95" s="1732"/>
      <c r="CU95" s="1732"/>
      <c r="CV95" s="1732"/>
      <c r="CW95" s="1732"/>
      <c r="CX95" s="1732"/>
      <c r="CY95" s="1732"/>
      <c r="CZ95" s="1732"/>
      <c r="DA95" s="1732"/>
      <c r="DB95" s="1732"/>
      <c r="DC95" s="1732"/>
      <c r="DD95" s="1732"/>
      <c r="DE95" s="1732"/>
      <c r="DF95" s="1732"/>
      <c r="DG95" s="1732"/>
      <c r="DH95" s="1732"/>
      <c r="DI95" s="1732"/>
      <c r="DJ95" s="1732"/>
      <c r="DK95" s="1732"/>
      <c r="DL95" s="1732"/>
      <c r="DM95" s="1732"/>
      <c r="DN95" s="1732"/>
      <c r="DO95" s="1732"/>
      <c r="DP95" s="1732"/>
      <c r="DQ95" s="1732"/>
      <c r="DR95" s="1732"/>
      <c r="DS95" s="1731"/>
      <c r="DT95" s="1361"/>
      <c r="DU95" s="1732"/>
      <c r="DV95" s="1732"/>
      <c r="DW95" s="1732"/>
      <c r="DX95" s="1732"/>
      <c r="DY95" s="1732"/>
      <c r="DZ95" s="1732"/>
      <c r="EA95" s="1732"/>
      <c r="EB95" s="1732"/>
      <c r="EC95" s="1732"/>
      <c r="ED95" s="1732"/>
      <c r="EE95" s="1732"/>
      <c r="EF95" s="1732"/>
      <c r="EG95" s="1732"/>
      <c r="EH95" s="1732"/>
      <c r="EI95" s="1732"/>
      <c r="EJ95" s="1732"/>
      <c r="EK95" s="1732"/>
      <c r="EL95" s="1732"/>
      <c r="EM95" s="1732"/>
      <c r="EN95" s="1732"/>
      <c r="EO95" s="1732"/>
      <c r="EP95" s="1732"/>
      <c r="EQ95" s="1732"/>
      <c r="ER95" s="1732"/>
      <c r="ES95" s="1732"/>
      <c r="ET95" s="1732"/>
      <c r="EU95" s="1732"/>
      <c r="EV95" s="1732"/>
      <c r="EW95" s="1732"/>
      <c r="EX95" s="1732"/>
      <c r="EY95" s="1732"/>
      <c r="EZ95" s="1732"/>
      <c r="FA95" s="1732"/>
      <c r="FB95" s="1732"/>
      <c r="FC95" s="1732"/>
      <c r="FD95" s="1732"/>
      <c r="FE95" s="1732"/>
      <c r="FF95" s="1732"/>
      <c r="FG95" s="1732"/>
      <c r="FH95" s="1732"/>
      <c r="FI95" s="1732"/>
      <c r="FJ95" s="1732"/>
      <c r="FK95" s="1732"/>
      <c r="FL95" s="1732"/>
      <c r="FM95" s="1732"/>
      <c r="FN95" s="1732"/>
      <c r="FO95" s="1732"/>
      <c r="FP95" s="1732"/>
      <c r="FQ95" s="1732"/>
      <c r="FR95" s="1732"/>
      <c r="FS95" s="1732"/>
      <c r="FT95" s="1290"/>
      <c r="FU95" s="1290"/>
      <c r="FV95" s="1290"/>
      <c r="FW95" s="1732"/>
      <c r="FX95" s="1732"/>
      <c r="FY95" s="1732"/>
      <c r="FZ95" s="1732"/>
      <c r="GA95" s="1732"/>
      <c r="GB95" s="1732"/>
      <c r="GC95" s="1732"/>
      <c r="GD95" s="1732"/>
      <c r="GE95" s="1732"/>
      <c r="GF95" s="1732"/>
      <c r="GG95" s="1732"/>
      <c r="GH95" s="1732"/>
      <c r="GI95" s="1732"/>
      <c r="GJ95" s="1732"/>
      <c r="GK95" s="1732"/>
      <c r="GL95" s="1732"/>
      <c r="GM95" s="1732"/>
      <c r="GN95" s="1732"/>
      <c r="GO95" s="1732"/>
      <c r="GP95" s="1732"/>
      <c r="GQ95" s="1732"/>
      <c r="GR95" s="1732"/>
      <c r="GS95" s="1732"/>
      <c r="GT95" s="1732"/>
      <c r="GU95" s="1732"/>
      <c r="GV95" s="1732"/>
      <c r="GW95" s="1732"/>
      <c r="GX95" s="1732"/>
      <c r="GY95" s="1732"/>
      <c r="GZ95" s="1732"/>
      <c r="HA95" s="1731"/>
      <c r="HB95" s="1732"/>
      <c r="HC95" s="1732"/>
      <c r="HD95" s="1361"/>
      <c r="HE95" s="1732"/>
      <c r="HF95" s="1361"/>
      <c r="HG95" s="1361"/>
      <c r="HH95" s="1732"/>
      <c r="HI95" s="1731"/>
      <c r="HJ95" s="1731"/>
      <c r="HK95" s="1731"/>
      <c r="HL95" s="1731"/>
      <c r="HM95" s="1731"/>
      <c r="HN95" s="1361"/>
      <c r="HO95" s="1732"/>
      <c r="HP95" s="1731"/>
      <c r="HQ95" s="1732"/>
      <c r="HR95" s="1732"/>
      <c r="HS95" s="1732"/>
      <c r="HT95" s="1732"/>
      <c r="HU95" s="1731"/>
      <c r="HV95" s="1732"/>
      <c r="HW95" s="1732"/>
      <c r="HX95" s="1732"/>
      <c r="HY95" s="1732"/>
      <c r="HZ95" s="1732"/>
      <c r="IA95" s="1732"/>
      <c r="IB95" s="1732"/>
      <c r="IC95" s="1732"/>
      <c r="ID95" s="1732"/>
      <c r="IE95" s="1732"/>
      <c r="IF95" s="1732"/>
      <c r="IG95" s="1732"/>
      <c r="IH95" s="1732"/>
      <c r="II95" s="1732"/>
      <c r="IJ95" s="1732"/>
      <c r="IK95" s="1732"/>
      <c r="IL95" s="1732"/>
      <c r="IM95" s="1732"/>
      <c r="IN95" s="1732"/>
      <c r="IO95" s="1732"/>
      <c r="IP95" s="1732"/>
      <c r="IQ95" s="1732"/>
      <c r="IR95" s="1732"/>
      <c r="IS95" s="1732"/>
      <c r="IT95" s="1732"/>
      <c r="IU95" s="1732"/>
      <c r="IV95" s="1732"/>
      <c r="IW95" s="1732"/>
      <c r="IX95" s="1732"/>
      <c r="IY95" s="1732"/>
      <c r="IZ95" s="1732"/>
      <c r="JA95" s="1732"/>
      <c r="JB95" s="1732"/>
      <c r="JC95" s="1732"/>
      <c r="JD95" s="1732"/>
      <c r="JE95" s="1732"/>
      <c r="JF95" s="1732"/>
      <c r="JG95" s="1732"/>
      <c r="JH95" s="1732"/>
      <c r="JI95" s="1732"/>
      <c r="JJ95" s="1732"/>
      <c r="JK95" s="1732"/>
      <c r="JL95" s="1732"/>
      <c r="JM95" s="1732"/>
      <c r="JN95" s="1732"/>
      <c r="JO95" s="1732"/>
      <c r="JP95" s="1732"/>
      <c r="JQ95" s="1733"/>
      <c r="JR95" s="600"/>
      <c r="JS95" s="316" t="s">
        <v>4432</v>
      </c>
      <c r="JT95" s="366" t="s">
        <v>2208</v>
      </c>
    </row>
    <row r="96" spans="1:282" x14ac:dyDescent="0.25">
      <c r="A96" s="1367">
        <v>9</v>
      </c>
      <c r="B96" s="1411" t="str">
        <f t="shared" si="12"/>
        <v/>
      </c>
      <c r="C96" s="1728" t="s">
        <v>4433</v>
      </c>
      <c r="D96" s="1443" t="s">
        <v>4434</v>
      </c>
      <c r="E96" s="1618"/>
      <c r="F96" s="1618"/>
      <c r="G96" s="1381"/>
      <c r="H96" s="1381"/>
      <c r="I96" s="1381"/>
      <c r="J96" s="1414"/>
      <c r="K96" s="1381"/>
      <c r="L96" s="1414"/>
      <c r="M96" s="1381"/>
      <c r="N96" s="1381"/>
      <c r="O96" s="1414"/>
      <c r="P96" s="1414"/>
      <c r="Q96" s="1414"/>
      <c r="R96" s="1414"/>
      <c r="S96" s="1414"/>
      <c r="T96" s="1414"/>
      <c r="U96" s="1414"/>
      <c r="V96" s="1414"/>
      <c r="W96" s="1414"/>
      <c r="X96" s="1414"/>
      <c r="Y96" s="1414"/>
      <c r="Z96" s="1414"/>
      <c r="AA96" s="1414"/>
      <c r="AB96" s="1414"/>
      <c r="AC96" s="1414"/>
      <c r="AD96" s="1414"/>
      <c r="AE96" s="1414"/>
      <c r="AF96" s="1414"/>
      <c r="AG96" s="1414"/>
      <c r="AH96" s="1414"/>
      <c r="AI96" s="1414"/>
      <c r="AJ96" s="1414"/>
      <c r="AK96" s="1414"/>
      <c r="AL96" s="1414"/>
      <c r="AM96" s="1414"/>
      <c r="AN96" s="1414"/>
      <c r="AO96" s="1414"/>
      <c r="AP96" s="1414"/>
      <c r="AQ96" s="1414"/>
      <c r="AR96" s="1414"/>
      <c r="AS96" s="1414"/>
      <c r="AT96" s="1414"/>
      <c r="AU96" s="1414"/>
      <c r="AV96" s="1414"/>
      <c r="AW96" s="1414"/>
      <c r="AX96" s="1618" t="s">
        <v>1707</v>
      </c>
      <c r="AY96" s="2596"/>
      <c r="AZ96" s="1618" t="s">
        <v>1707</v>
      </c>
      <c r="BA96" s="1414"/>
      <c r="BB96" s="1414"/>
      <c r="BC96" s="1414"/>
      <c r="BD96" s="1414"/>
      <c r="BE96" s="1414"/>
      <c r="BF96" s="1414"/>
      <c r="BG96" s="1414"/>
      <c r="BH96" s="1414"/>
      <c r="BI96" s="1414"/>
      <c r="BJ96" s="1414"/>
      <c r="BK96" s="1414"/>
      <c r="BL96" s="1414"/>
      <c r="BM96" s="1414"/>
      <c r="BN96" s="1414"/>
      <c r="BO96" s="1414"/>
      <c r="BP96" s="1414"/>
      <c r="BQ96" s="1414"/>
      <c r="BR96" s="1414"/>
      <c r="BS96" s="1414"/>
      <c r="BT96" s="1414"/>
      <c r="BU96" s="1414"/>
      <c r="BV96" s="1414"/>
      <c r="BW96" s="1414"/>
      <c r="BX96" s="1414"/>
      <c r="BY96" s="1414"/>
      <c r="BZ96" s="1414"/>
      <c r="CA96" s="1414"/>
      <c r="CB96" s="1414"/>
      <c r="CC96" s="1414"/>
      <c r="CD96" s="1414"/>
      <c r="CE96" s="1414"/>
      <c r="CF96" s="1414"/>
      <c r="CG96" s="1414"/>
      <c r="CH96" s="1414"/>
      <c r="CI96" s="1414"/>
      <c r="CJ96" s="1382"/>
      <c r="CK96" s="1414"/>
      <c r="CL96" s="1414"/>
      <c r="CM96" s="1414"/>
      <c r="CN96" s="1414"/>
      <c r="CO96" s="1414"/>
      <c r="CP96" s="1414"/>
      <c r="CQ96" s="1414"/>
      <c r="CR96" s="1414"/>
      <c r="CS96" s="1414"/>
      <c r="CT96" s="1414"/>
      <c r="CU96" s="1414"/>
      <c r="CV96" s="1414"/>
      <c r="CW96" s="1414"/>
      <c r="CX96" s="1414"/>
      <c r="CY96" s="1414"/>
      <c r="CZ96" s="1414"/>
      <c r="DA96" s="1414"/>
      <c r="DB96" s="1414"/>
      <c r="DC96" s="1414"/>
      <c r="DD96" s="1414"/>
      <c r="DE96" s="1414"/>
      <c r="DF96" s="1414"/>
      <c r="DG96" s="1414"/>
      <c r="DH96" s="1414"/>
      <c r="DI96" s="1414"/>
      <c r="DJ96" s="1414"/>
      <c r="DK96" s="1414"/>
      <c r="DL96" s="1414"/>
      <c r="DM96" s="1414"/>
      <c r="DN96" s="1414"/>
      <c r="DO96" s="1414"/>
      <c r="DP96" s="1414"/>
      <c r="DQ96" s="1414"/>
      <c r="DR96" s="1414"/>
      <c r="DS96" s="1381" t="s">
        <v>1615</v>
      </c>
      <c r="DT96" s="1381" t="s">
        <v>1615</v>
      </c>
      <c r="DU96" s="1414"/>
      <c r="DV96" s="1414"/>
      <c r="DW96" s="1414"/>
      <c r="DX96" s="1414"/>
      <c r="DY96" s="1414"/>
      <c r="DZ96" s="1414"/>
      <c r="EA96" s="1414"/>
      <c r="EB96" s="1414"/>
      <c r="EC96" s="1414"/>
      <c r="ED96" s="1414"/>
      <c r="EE96" s="1414"/>
      <c r="EF96" s="1414"/>
      <c r="EG96" s="1464" t="s">
        <v>1707</v>
      </c>
      <c r="EH96" s="1414"/>
      <c r="EI96" s="1414"/>
      <c r="EJ96" s="1414"/>
      <c r="EK96" s="1414"/>
      <c r="EL96" s="1414"/>
      <c r="EM96" s="1414"/>
      <c r="EN96" s="1414"/>
      <c r="EO96" s="1414"/>
      <c r="EP96" s="1414"/>
      <c r="EQ96" s="1414"/>
      <c r="ER96" s="1414"/>
      <c r="ES96" s="1414"/>
      <c r="ET96" s="1414"/>
      <c r="EU96" s="1414"/>
      <c r="EV96" s="1414"/>
      <c r="EW96" s="1414"/>
      <c r="EX96" s="1414"/>
      <c r="EY96" s="1414"/>
      <c r="EZ96" s="1414"/>
      <c r="FA96" s="1414"/>
      <c r="FB96" s="1414"/>
      <c r="FC96" s="1414"/>
      <c r="FD96" s="1414"/>
      <c r="FE96" s="1414"/>
      <c r="FF96" s="1414"/>
      <c r="FG96" s="1414"/>
      <c r="FH96" s="1414"/>
      <c r="FI96" s="1414"/>
      <c r="FJ96" s="1414"/>
      <c r="FK96" s="1414"/>
      <c r="FL96" s="1414"/>
      <c r="FM96" s="1414"/>
      <c r="FN96" s="1414"/>
      <c r="FO96" s="1414"/>
      <c r="FP96" s="1414"/>
      <c r="FQ96" s="1414"/>
      <c r="FR96" s="1414"/>
      <c r="FS96" s="1414"/>
      <c r="FT96" s="1618" t="s">
        <v>1707</v>
      </c>
      <c r="FU96" s="1618" t="s">
        <v>1707</v>
      </c>
      <c r="FV96" s="1618" t="s">
        <v>1707</v>
      </c>
      <c r="FW96" s="1414"/>
      <c r="FX96" s="1414"/>
      <c r="FY96" s="1414"/>
      <c r="FZ96" s="1414"/>
      <c r="GA96" s="1414"/>
      <c r="GB96" s="1414"/>
      <c r="GC96" s="1414"/>
      <c r="GD96" s="1414"/>
      <c r="GE96" s="1414"/>
      <c r="GF96" s="1414"/>
      <c r="GG96" s="1414"/>
      <c r="GH96" s="1414"/>
      <c r="GI96" s="1414"/>
      <c r="GJ96" s="1414"/>
      <c r="GK96" s="1414"/>
      <c r="GL96" s="1414"/>
      <c r="GM96" s="1414"/>
      <c r="GN96" s="1414"/>
      <c r="GO96" s="1414"/>
      <c r="GP96" s="1414"/>
      <c r="GQ96" s="1414"/>
      <c r="GR96" s="1414"/>
      <c r="GS96" s="1414"/>
      <c r="GT96" s="1414"/>
      <c r="GU96" s="1414"/>
      <c r="GV96" s="1414"/>
      <c r="GW96" s="1414"/>
      <c r="GX96" s="1414"/>
      <c r="GY96" s="1414"/>
      <c r="GZ96" s="1414"/>
      <c r="HA96" s="1381" t="s">
        <v>1615</v>
      </c>
      <c r="HB96" s="1414"/>
      <c r="HC96" s="1414"/>
      <c r="HD96" s="1381" t="s">
        <v>1615</v>
      </c>
      <c r="HE96" s="1414"/>
      <c r="HF96" s="1381" t="s">
        <v>1615</v>
      </c>
      <c r="HG96" s="1382"/>
      <c r="HH96" s="1414"/>
      <c r="HI96" s="1381" t="s">
        <v>1615</v>
      </c>
      <c r="HJ96" s="1381" t="s">
        <v>1615</v>
      </c>
      <c r="HK96" s="1381" t="s">
        <v>1615</v>
      </c>
      <c r="HL96" s="1381" t="s">
        <v>1615</v>
      </c>
      <c r="HM96" s="1381" t="s">
        <v>1615</v>
      </c>
      <c r="HN96" s="1381"/>
      <c r="HO96" s="1414"/>
      <c r="HP96" s="1618"/>
      <c r="HQ96" s="1414"/>
      <c r="HR96" s="1414"/>
      <c r="HS96" s="1414"/>
      <c r="HT96" s="1414"/>
      <c r="HU96" s="1618"/>
      <c r="HV96" s="1414"/>
      <c r="HW96" s="1414"/>
      <c r="HX96" s="1414"/>
      <c r="HY96" s="1414"/>
      <c r="HZ96" s="1414"/>
      <c r="IA96" s="1414"/>
      <c r="IB96" s="1414"/>
      <c r="IC96" s="1414"/>
      <c r="ID96" s="1414"/>
      <c r="IE96" s="1414"/>
      <c r="IF96" s="1414"/>
      <c r="IG96" s="1414"/>
      <c r="IH96" s="1414"/>
      <c r="II96" s="1414"/>
      <c r="IJ96" s="1414"/>
      <c r="IK96" s="1414"/>
      <c r="IL96" s="1414"/>
      <c r="IM96" s="1414"/>
      <c r="IN96" s="1414"/>
      <c r="IO96" s="1414"/>
      <c r="IP96" s="1414"/>
      <c r="IQ96" s="1414" t="s">
        <v>1707</v>
      </c>
      <c r="IR96" s="1414"/>
      <c r="IS96" s="1414"/>
      <c r="IT96" s="1414"/>
      <c r="IU96" s="1414"/>
      <c r="IV96" s="1414"/>
      <c r="IW96" s="1414" t="s">
        <v>1707</v>
      </c>
      <c r="IX96" s="1414"/>
      <c r="IY96" s="1414"/>
      <c r="IZ96" s="1414"/>
      <c r="JA96" s="1414"/>
      <c r="JB96" s="1414"/>
      <c r="JC96" s="1414"/>
      <c r="JD96" s="1414"/>
      <c r="JE96" s="1414"/>
      <c r="JF96" s="1414"/>
      <c r="JG96" s="1414"/>
      <c r="JH96" s="1414"/>
      <c r="JI96" s="1414"/>
      <c r="JJ96" s="1414"/>
      <c r="JK96" s="1414"/>
      <c r="JL96" s="1414"/>
      <c r="JM96" s="1414"/>
      <c r="JN96" s="1414"/>
      <c r="JO96" s="1414"/>
      <c r="JP96" s="1414"/>
      <c r="JQ96" s="1415"/>
      <c r="JR96" s="312"/>
      <c r="JS96" s="316" t="s">
        <v>4435</v>
      </c>
      <c r="JT96" s="357" t="s">
        <v>2319</v>
      </c>
    </row>
    <row r="97" spans="1:280" x14ac:dyDescent="0.25">
      <c r="A97" s="1367">
        <v>10</v>
      </c>
      <c r="B97" s="1411" t="str">
        <f t="shared" si="12"/>
        <v/>
      </c>
      <c r="C97" s="1728" t="s">
        <v>4436</v>
      </c>
      <c r="D97" s="1443" t="str">
        <f>"If you have had a gap between employments in "&amp;tax_year&amp;" put 'X' in box"</f>
        <v>If you have had a gap between employments in 2025-26 put 'X' in box</v>
      </c>
      <c r="E97" s="1381"/>
      <c r="F97" s="1381"/>
      <c r="G97" s="1381"/>
      <c r="H97" s="1381"/>
      <c r="I97" s="1381"/>
      <c r="J97" s="1414"/>
      <c r="K97" s="1381"/>
      <c r="L97" s="1414"/>
      <c r="M97" s="1381"/>
      <c r="N97" s="1381"/>
      <c r="O97" s="1414"/>
      <c r="P97" s="1414"/>
      <c r="Q97" s="1414"/>
      <c r="R97" s="1414"/>
      <c r="S97" s="1414"/>
      <c r="T97" s="1414"/>
      <c r="U97" s="1414"/>
      <c r="V97" s="1414"/>
      <c r="W97" s="1414"/>
      <c r="X97" s="1414"/>
      <c r="Y97" s="1414"/>
      <c r="Z97" s="1414"/>
      <c r="AA97" s="1414"/>
      <c r="AB97" s="1414"/>
      <c r="AC97" s="1414"/>
      <c r="AD97" s="1414"/>
      <c r="AE97" s="1414"/>
      <c r="AF97" s="1414"/>
      <c r="AG97" s="1414"/>
      <c r="AH97" s="1414"/>
      <c r="AI97" s="1414"/>
      <c r="AJ97" s="1414"/>
      <c r="AK97" s="1414"/>
      <c r="AL97" s="1414"/>
      <c r="AM97" s="1414"/>
      <c r="AN97" s="1414"/>
      <c r="AO97" s="1414"/>
      <c r="AP97" s="1414"/>
      <c r="AQ97" s="1414"/>
      <c r="AR97" s="1414"/>
      <c r="AS97" s="1414"/>
      <c r="AT97" s="1414"/>
      <c r="AU97" s="1414"/>
      <c r="AV97" s="1414"/>
      <c r="AW97" s="1414"/>
      <c r="AX97" s="1381" t="s">
        <v>1707</v>
      </c>
      <c r="AY97" s="1382"/>
      <c r="AZ97" s="1381" t="s">
        <v>1707</v>
      </c>
      <c r="BA97" s="1414"/>
      <c r="BB97" s="1414"/>
      <c r="BC97" s="1414"/>
      <c r="BD97" s="1414"/>
      <c r="BE97" s="1414"/>
      <c r="BF97" s="1414"/>
      <c r="BG97" s="1414"/>
      <c r="BH97" s="1414"/>
      <c r="BI97" s="1414"/>
      <c r="BJ97" s="1414"/>
      <c r="BK97" s="1414"/>
      <c r="BL97" s="1414"/>
      <c r="BM97" s="1414"/>
      <c r="BN97" s="1414"/>
      <c r="BO97" s="1414"/>
      <c r="BP97" s="1414"/>
      <c r="BQ97" s="1414"/>
      <c r="BR97" s="1414"/>
      <c r="BS97" s="1414"/>
      <c r="BT97" s="1414"/>
      <c r="BU97" s="1414"/>
      <c r="BV97" s="1414"/>
      <c r="BW97" s="1414"/>
      <c r="BX97" s="1414"/>
      <c r="BY97" s="1414"/>
      <c r="BZ97" s="1414"/>
      <c r="CA97" s="1414"/>
      <c r="CB97" s="1414"/>
      <c r="CC97" s="1414"/>
      <c r="CD97" s="1414"/>
      <c r="CE97" s="1414"/>
      <c r="CF97" s="1414"/>
      <c r="CG97" s="1414"/>
      <c r="CH97" s="1414"/>
      <c r="CI97" s="1414"/>
      <c r="CJ97" s="1382"/>
      <c r="CK97" s="1414"/>
      <c r="CL97" s="1414"/>
      <c r="CM97" s="1414"/>
      <c r="CN97" s="1414"/>
      <c r="CO97" s="1414"/>
      <c r="CP97" s="1414"/>
      <c r="CQ97" s="1414"/>
      <c r="CR97" s="1414"/>
      <c r="CS97" s="1414"/>
      <c r="CT97" s="1414"/>
      <c r="CU97" s="1414"/>
      <c r="CV97" s="1414"/>
      <c r="CW97" s="1414"/>
      <c r="CX97" s="1414"/>
      <c r="CY97" s="1414"/>
      <c r="CZ97" s="1414"/>
      <c r="DA97" s="1414"/>
      <c r="DB97" s="1414"/>
      <c r="DC97" s="1414"/>
      <c r="DD97" s="1414"/>
      <c r="DE97" s="1414"/>
      <c r="DF97" s="1414"/>
      <c r="DG97" s="1414"/>
      <c r="DH97" s="1414"/>
      <c r="DI97" s="1414"/>
      <c r="DJ97" s="1414"/>
      <c r="DK97" s="1414"/>
      <c r="DL97" s="1414"/>
      <c r="DM97" s="1414"/>
      <c r="DN97" s="1414"/>
      <c r="DO97" s="1414"/>
      <c r="DP97" s="1414"/>
      <c r="DQ97" s="1414"/>
      <c r="DR97" s="1414"/>
      <c r="DS97" s="1381" t="s">
        <v>1615</v>
      </c>
      <c r="DT97" s="1381" t="s">
        <v>1615</v>
      </c>
      <c r="DU97" s="1414"/>
      <c r="DV97" s="1414"/>
      <c r="DW97" s="1414"/>
      <c r="DX97" s="1414"/>
      <c r="DY97" s="1414"/>
      <c r="DZ97" s="1414"/>
      <c r="EA97" s="1414"/>
      <c r="EB97" s="1414"/>
      <c r="EC97" s="1414"/>
      <c r="ED97" s="1414"/>
      <c r="EE97" s="1414"/>
      <c r="EF97" s="1414"/>
      <c r="EG97" s="1414"/>
      <c r="EH97" s="1414"/>
      <c r="EI97" s="1414"/>
      <c r="EJ97" s="1414"/>
      <c r="EK97" s="1414"/>
      <c r="EL97" s="1414"/>
      <c r="EM97" s="1414"/>
      <c r="EN97" s="1414"/>
      <c r="EO97" s="1414"/>
      <c r="EP97" s="1414"/>
      <c r="EQ97" s="1414"/>
      <c r="ER97" s="1414"/>
      <c r="ES97" s="1414"/>
      <c r="ET97" s="1414"/>
      <c r="EU97" s="1414"/>
      <c r="EV97" s="1414"/>
      <c r="EW97" s="1414"/>
      <c r="EX97" s="1414"/>
      <c r="EY97" s="1414"/>
      <c r="EZ97" s="1414"/>
      <c r="FA97" s="1414"/>
      <c r="FB97" s="1414"/>
      <c r="FC97" s="1414"/>
      <c r="FD97" s="1414"/>
      <c r="FE97" s="1414"/>
      <c r="FF97" s="1414"/>
      <c r="FG97" s="1414"/>
      <c r="FH97" s="1414"/>
      <c r="FI97" s="1414"/>
      <c r="FJ97" s="1414"/>
      <c r="FK97" s="1414"/>
      <c r="FL97" s="1414"/>
      <c r="FM97" s="1414"/>
      <c r="FN97" s="1414"/>
      <c r="FO97" s="1414"/>
      <c r="FP97" s="1414"/>
      <c r="FQ97" s="1414"/>
      <c r="FR97" s="1414"/>
      <c r="FS97" s="1414"/>
      <c r="FT97" s="1381" t="s">
        <v>1707</v>
      </c>
      <c r="FU97" s="1381" t="s">
        <v>1707</v>
      </c>
      <c r="FV97" s="1381" t="s">
        <v>1707</v>
      </c>
      <c r="FW97" s="1414"/>
      <c r="FX97" s="1414"/>
      <c r="FY97" s="1414"/>
      <c r="FZ97" s="1414"/>
      <c r="GA97" s="1414"/>
      <c r="GB97" s="1414"/>
      <c r="GC97" s="1414"/>
      <c r="GD97" s="1414"/>
      <c r="GE97" s="1414"/>
      <c r="GF97" s="1414"/>
      <c r="GG97" s="1414"/>
      <c r="GH97" s="1414"/>
      <c r="GI97" s="1414"/>
      <c r="GJ97" s="1414"/>
      <c r="GK97" s="1414"/>
      <c r="GL97" s="1414"/>
      <c r="GM97" s="1414"/>
      <c r="GN97" s="1414"/>
      <c r="GO97" s="1414"/>
      <c r="GP97" s="1414"/>
      <c r="GQ97" s="1414"/>
      <c r="GR97" s="1414"/>
      <c r="GS97" s="1414"/>
      <c r="GT97" s="1414"/>
      <c r="GU97" s="1414"/>
      <c r="GV97" s="1414"/>
      <c r="GW97" s="1414"/>
      <c r="GX97" s="1414"/>
      <c r="GY97" s="1414"/>
      <c r="GZ97" s="1414"/>
      <c r="HA97" s="1381" t="s">
        <v>1615</v>
      </c>
      <c r="HB97" s="1414"/>
      <c r="HC97" s="1414"/>
      <c r="HD97" s="1381" t="s">
        <v>1615</v>
      </c>
      <c r="HE97" s="1414"/>
      <c r="HF97" s="1381" t="s">
        <v>1615</v>
      </c>
      <c r="HG97" s="1382"/>
      <c r="HH97" s="1414"/>
      <c r="HI97" s="1381" t="s">
        <v>1615</v>
      </c>
      <c r="HJ97" s="1381" t="s">
        <v>1615</v>
      </c>
      <c r="HK97" s="1381" t="s">
        <v>1615</v>
      </c>
      <c r="HL97" s="1381" t="s">
        <v>1615</v>
      </c>
      <c r="HM97" s="1381" t="s">
        <v>1615</v>
      </c>
      <c r="HN97" s="1381"/>
      <c r="HO97" s="1414"/>
      <c r="HP97" s="1381"/>
      <c r="HQ97" s="1414"/>
      <c r="HR97" s="1414"/>
      <c r="HS97" s="1414"/>
      <c r="HT97" s="1414"/>
      <c r="HU97" s="1381"/>
      <c r="HV97" s="1414"/>
      <c r="HW97" s="1414"/>
      <c r="HX97" s="1414"/>
      <c r="HY97" s="1414"/>
      <c r="HZ97" s="1414"/>
      <c r="IA97" s="1414"/>
      <c r="IB97" s="1414"/>
      <c r="IC97" s="1414"/>
      <c r="ID97" s="1414"/>
      <c r="IE97" s="1414"/>
      <c r="IF97" s="1414"/>
      <c r="IG97" s="1414"/>
      <c r="IH97" s="1414"/>
      <c r="II97" s="1414"/>
      <c r="IJ97" s="1414"/>
      <c r="IK97" s="1414"/>
      <c r="IL97" s="1414"/>
      <c r="IM97" s="1414"/>
      <c r="IN97" s="1414"/>
      <c r="IO97" s="1414"/>
      <c r="IP97" s="1414"/>
      <c r="IQ97" s="1414"/>
      <c r="IR97" s="1414"/>
      <c r="IS97" s="1414"/>
      <c r="IT97" s="1414"/>
      <c r="IU97" s="1414"/>
      <c r="IV97" s="1414"/>
      <c r="IW97" s="1414"/>
      <c r="IX97" s="1414"/>
      <c r="IY97" s="1414"/>
      <c r="IZ97" s="1414"/>
      <c r="JA97" s="1414"/>
      <c r="JB97" s="1414"/>
      <c r="JC97" s="1414"/>
      <c r="JD97" s="1414"/>
      <c r="JE97" s="1414"/>
      <c r="JF97" s="1414"/>
      <c r="JG97" s="1414"/>
      <c r="JH97" s="1414"/>
      <c r="JI97" s="1414"/>
      <c r="JJ97" s="1414"/>
      <c r="JK97" s="1414"/>
      <c r="JL97" s="1414"/>
      <c r="JM97" s="1414"/>
      <c r="JN97" s="1414"/>
      <c r="JO97" s="1414"/>
      <c r="JP97" s="1414"/>
      <c r="JQ97" s="1415"/>
      <c r="JR97" s="312"/>
      <c r="JS97" s="315" t="s">
        <v>4437</v>
      </c>
      <c r="JT97" s="357" t="s">
        <v>2319</v>
      </c>
    </row>
    <row r="98" spans="1:280" x14ac:dyDescent="0.25">
      <c r="A98" s="1367">
        <v>11</v>
      </c>
      <c r="B98" s="1411" t="str">
        <f t="shared" si="12"/>
        <v/>
      </c>
      <c r="C98" s="1728" t="s">
        <v>4438</v>
      </c>
      <c r="D98" s="1443" t="str">
        <f>"If you had a home overseas in "&amp;tax_year&amp;" put 'X' in box"</f>
        <v>If you had a home overseas in 2025-26 put 'X' in box</v>
      </c>
      <c r="E98" s="1381"/>
      <c r="F98" s="1381"/>
      <c r="G98" s="1381"/>
      <c r="H98" s="1381"/>
      <c r="I98" s="1381"/>
      <c r="J98" s="1414"/>
      <c r="K98" s="1381"/>
      <c r="L98" s="1414"/>
      <c r="M98" s="1381"/>
      <c r="N98" s="1381"/>
      <c r="O98" s="1414"/>
      <c r="P98" s="1414"/>
      <c r="Q98" s="1414"/>
      <c r="R98" s="1414"/>
      <c r="S98" s="1414"/>
      <c r="T98" s="1414"/>
      <c r="U98" s="1414"/>
      <c r="V98" s="1414"/>
      <c r="W98" s="1414"/>
      <c r="X98" s="1414"/>
      <c r="Y98" s="1414"/>
      <c r="Z98" s="1414"/>
      <c r="AA98" s="1414"/>
      <c r="AB98" s="1414"/>
      <c r="AC98" s="1414"/>
      <c r="AD98" s="1414"/>
      <c r="AE98" s="1414"/>
      <c r="AF98" s="1414"/>
      <c r="AG98" s="1414"/>
      <c r="AH98" s="1414"/>
      <c r="AI98" s="1414"/>
      <c r="AJ98" s="1414"/>
      <c r="AK98" s="1414"/>
      <c r="AL98" s="1414"/>
      <c r="AM98" s="1414"/>
      <c r="AN98" s="1414"/>
      <c r="AO98" s="1414"/>
      <c r="AP98" s="1414"/>
      <c r="AQ98" s="1414"/>
      <c r="AR98" s="1414"/>
      <c r="AS98" s="1414"/>
      <c r="AT98" s="1414"/>
      <c r="AU98" s="1414"/>
      <c r="AV98" s="1414"/>
      <c r="AW98" s="1414"/>
      <c r="AX98" s="1381" t="s">
        <v>1707</v>
      </c>
      <c r="AY98" s="1381" t="s">
        <v>1707</v>
      </c>
      <c r="AZ98" s="1381" t="s">
        <v>1707</v>
      </c>
      <c r="BA98" s="1414"/>
      <c r="BB98" s="1414"/>
      <c r="BC98" s="1414"/>
      <c r="BD98" s="1414"/>
      <c r="BE98" s="1414"/>
      <c r="BF98" s="1414"/>
      <c r="BG98" s="1414"/>
      <c r="BH98" s="1414"/>
      <c r="BI98" s="1414"/>
      <c r="BJ98" s="1414"/>
      <c r="BK98" s="1414" t="s">
        <v>1707</v>
      </c>
      <c r="BL98" s="1414"/>
      <c r="BM98" s="1414"/>
      <c r="BN98" s="1414"/>
      <c r="BO98" s="1414"/>
      <c r="BP98" s="1414"/>
      <c r="BQ98" s="1414"/>
      <c r="BR98" s="1414"/>
      <c r="BS98" s="1414"/>
      <c r="BT98" s="1414"/>
      <c r="BU98" s="1414"/>
      <c r="BV98" s="1414"/>
      <c r="BW98" s="1414"/>
      <c r="BX98" s="1414"/>
      <c r="BY98" s="1414"/>
      <c r="BZ98" s="1414"/>
      <c r="CA98" s="1414"/>
      <c r="CB98" s="1414"/>
      <c r="CC98" s="1414"/>
      <c r="CD98" s="1414"/>
      <c r="CE98" s="1414"/>
      <c r="CF98" s="1414"/>
      <c r="CG98" s="1414"/>
      <c r="CH98" s="1414"/>
      <c r="CI98" s="1414"/>
      <c r="CJ98" s="1382"/>
      <c r="CK98" s="1414"/>
      <c r="CL98" s="1414"/>
      <c r="CM98" s="1414"/>
      <c r="CN98" s="1414"/>
      <c r="CO98" s="1414"/>
      <c r="CP98" s="1414"/>
      <c r="CQ98" s="1414"/>
      <c r="CR98" s="1414"/>
      <c r="CS98" s="1414"/>
      <c r="CT98" s="1414"/>
      <c r="CU98" s="1414"/>
      <c r="CV98" s="1414"/>
      <c r="CW98" s="1414"/>
      <c r="CX98" s="1414"/>
      <c r="CY98" s="1414"/>
      <c r="CZ98" s="1414"/>
      <c r="DA98" s="1414"/>
      <c r="DB98" s="1414"/>
      <c r="DC98" s="1414"/>
      <c r="DD98" s="1414"/>
      <c r="DE98" s="1414"/>
      <c r="DF98" s="1414"/>
      <c r="DG98" s="1414"/>
      <c r="DH98" s="1414"/>
      <c r="DI98" s="1414"/>
      <c r="DJ98" s="1414"/>
      <c r="DK98" s="1414"/>
      <c r="DL98" s="1414"/>
      <c r="DM98" s="1414"/>
      <c r="DN98" s="1414"/>
      <c r="DO98" s="1414"/>
      <c r="DP98" s="1414"/>
      <c r="DQ98" s="1414"/>
      <c r="DR98" s="1414"/>
      <c r="DS98" s="1381" t="s">
        <v>1707</v>
      </c>
      <c r="DT98" s="1381" t="s">
        <v>1707</v>
      </c>
      <c r="DU98" s="1414"/>
      <c r="DV98" s="1414"/>
      <c r="DW98" s="1414"/>
      <c r="DX98" s="1414"/>
      <c r="DY98" s="1414"/>
      <c r="DZ98" s="1414"/>
      <c r="EA98" s="1414"/>
      <c r="EB98" s="1414"/>
      <c r="EC98" s="1414"/>
      <c r="ED98" s="1414"/>
      <c r="EE98" s="1414"/>
      <c r="EF98" s="1414"/>
      <c r="EG98" s="1414"/>
      <c r="EH98" s="1414"/>
      <c r="EI98" s="1414"/>
      <c r="EJ98" s="1414"/>
      <c r="EK98" s="1414"/>
      <c r="EL98" s="1414"/>
      <c r="EM98" s="1414"/>
      <c r="EN98" s="1414"/>
      <c r="EO98" s="1414"/>
      <c r="EP98" s="1414"/>
      <c r="EQ98" s="1414"/>
      <c r="ER98" s="1414"/>
      <c r="ES98" s="1414"/>
      <c r="ET98" s="1414"/>
      <c r="EU98" s="1414"/>
      <c r="EV98" s="1414"/>
      <c r="EW98" s="1414"/>
      <c r="EX98" s="1414"/>
      <c r="EY98" s="1414"/>
      <c r="EZ98" s="1414"/>
      <c r="FA98" s="1414"/>
      <c r="FB98" s="1414"/>
      <c r="FC98" s="1414"/>
      <c r="FD98" s="1414"/>
      <c r="FE98" s="1414"/>
      <c r="FF98" s="1414"/>
      <c r="FG98" s="1414"/>
      <c r="FH98" s="1414"/>
      <c r="FI98" s="1414"/>
      <c r="FJ98" s="1414"/>
      <c r="FK98" s="1414"/>
      <c r="FL98" s="1414"/>
      <c r="FM98" s="1414"/>
      <c r="FN98" s="1414"/>
      <c r="FO98" s="1414"/>
      <c r="FP98" s="1414"/>
      <c r="FQ98" s="1414"/>
      <c r="FR98" s="1414"/>
      <c r="FS98" s="1414"/>
      <c r="FT98" s="1381" t="s">
        <v>1707</v>
      </c>
      <c r="FU98" s="1381" t="s">
        <v>1707</v>
      </c>
      <c r="FV98" s="1381" t="s">
        <v>1707</v>
      </c>
      <c r="FW98" s="1414"/>
      <c r="FX98" s="1414"/>
      <c r="FY98" s="1414"/>
      <c r="FZ98" s="1414"/>
      <c r="GA98" s="1414"/>
      <c r="GB98" s="1414"/>
      <c r="GC98" s="1414"/>
      <c r="GD98" s="1414"/>
      <c r="GE98" s="1414"/>
      <c r="GF98" s="1414"/>
      <c r="GG98" s="1414"/>
      <c r="GH98" s="1414"/>
      <c r="GI98" s="1414"/>
      <c r="GJ98" s="1414"/>
      <c r="GK98" s="1414"/>
      <c r="GL98" s="1414"/>
      <c r="GM98" s="1414"/>
      <c r="GN98" s="1414"/>
      <c r="GO98" s="1414"/>
      <c r="GP98" s="1414"/>
      <c r="GQ98" s="1414"/>
      <c r="GR98" s="1414"/>
      <c r="GS98" s="1414"/>
      <c r="GT98" s="1414"/>
      <c r="GU98" s="1414"/>
      <c r="GV98" s="1414"/>
      <c r="GW98" s="1414"/>
      <c r="GX98" s="1414"/>
      <c r="GY98" s="1414"/>
      <c r="GZ98" s="1414"/>
      <c r="HA98" s="1381" t="s">
        <v>1707</v>
      </c>
      <c r="HB98" s="1414"/>
      <c r="HC98" s="1414"/>
      <c r="HD98" s="1381" t="s">
        <v>1615</v>
      </c>
      <c r="HE98" s="1414"/>
      <c r="HF98" s="1381" t="s">
        <v>1615</v>
      </c>
      <c r="HG98" s="1382"/>
      <c r="HH98" s="1414"/>
      <c r="HI98" s="1381" t="s">
        <v>1707</v>
      </c>
      <c r="HJ98" s="1381" t="s">
        <v>1707</v>
      </c>
      <c r="HK98" s="1381" t="s">
        <v>1707</v>
      </c>
      <c r="HL98" s="1381" t="s">
        <v>1707</v>
      </c>
      <c r="HM98" s="1381" t="s">
        <v>1707</v>
      </c>
      <c r="HN98" s="1381"/>
      <c r="HO98" s="1414"/>
      <c r="HP98" s="1381"/>
      <c r="HQ98" s="1414"/>
      <c r="HR98" s="1414"/>
      <c r="HS98" s="1414"/>
      <c r="HT98" s="1414"/>
      <c r="HU98" s="1381"/>
      <c r="HV98" s="1414"/>
      <c r="HW98" s="1414"/>
      <c r="HX98" s="1414"/>
      <c r="HY98" s="1414"/>
      <c r="HZ98" s="1414"/>
      <c r="IA98" s="1414"/>
      <c r="IB98" s="1414"/>
      <c r="IC98" s="1414"/>
      <c r="ID98" s="1414"/>
      <c r="IE98" s="1414"/>
      <c r="IF98" s="1414"/>
      <c r="IG98" s="1414"/>
      <c r="IH98" s="1414"/>
      <c r="II98" s="1414"/>
      <c r="IJ98" s="1414"/>
      <c r="IK98" s="1464"/>
      <c r="IL98" s="1414"/>
      <c r="IM98" s="1414"/>
      <c r="IN98" s="1414"/>
      <c r="IO98" s="1414"/>
      <c r="IP98" s="1414" t="s">
        <v>1707</v>
      </c>
      <c r="IQ98" s="1414" t="s">
        <v>1707</v>
      </c>
      <c r="IR98" s="1414" t="s">
        <v>1707</v>
      </c>
      <c r="IS98" s="1414"/>
      <c r="IT98" s="1414" t="s">
        <v>1707</v>
      </c>
      <c r="IU98" s="1414"/>
      <c r="IV98" s="1414"/>
      <c r="IW98" s="1414" t="s">
        <v>1707</v>
      </c>
      <c r="IX98" s="1414"/>
      <c r="IY98" s="1414"/>
      <c r="IZ98" s="1414"/>
      <c r="JA98" s="1414"/>
      <c r="JB98" s="1414"/>
      <c r="JC98" s="1414"/>
      <c r="JD98" s="1414"/>
      <c r="JE98" s="1414"/>
      <c r="JF98" s="1414"/>
      <c r="JG98" s="1414"/>
      <c r="JH98" s="1414"/>
      <c r="JI98" s="1414"/>
      <c r="JJ98" s="1414"/>
      <c r="JK98" s="1414" t="s">
        <v>1707</v>
      </c>
      <c r="JL98" s="1414"/>
      <c r="JM98" s="1414"/>
      <c r="JN98" s="1414"/>
      <c r="JO98" s="1414"/>
      <c r="JP98" s="1414"/>
      <c r="JQ98" s="1415"/>
      <c r="JR98" s="312"/>
      <c r="JS98" s="315"/>
      <c r="JT98" s="357" t="s">
        <v>2319</v>
      </c>
    </row>
    <row r="99" spans="1:280" x14ac:dyDescent="0.25">
      <c r="A99" s="1367">
        <v>12</v>
      </c>
      <c r="B99" s="1411" t="str">
        <f t="shared" si="12"/>
        <v/>
      </c>
      <c r="C99" s="1728" t="s">
        <v>4439</v>
      </c>
      <c r="D99" s="1443" t="str">
        <f>"Number of days spent in the UK during "&amp;tax_year</f>
        <v>Number of days spent in the UK during 2025-26</v>
      </c>
      <c r="E99" s="1381"/>
      <c r="F99" s="1381"/>
      <c r="G99" s="1734"/>
      <c r="H99" s="1381"/>
      <c r="I99" s="1381"/>
      <c r="J99" s="1414"/>
      <c r="K99" s="1381"/>
      <c r="L99" s="1414"/>
      <c r="M99" s="1381"/>
      <c r="N99" s="1381"/>
      <c r="O99" s="1414"/>
      <c r="P99" s="1414"/>
      <c r="Q99" s="1414"/>
      <c r="R99" s="1414"/>
      <c r="S99" s="1414"/>
      <c r="T99" s="1414"/>
      <c r="U99" s="1414"/>
      <c r="V99" s="1414"/>
      <c r="W99" s="1414"/>
      <c r="X99" s="1414"/>
      <c r="Y99" s="1414"/>
      <c r="Z99" s="1414"/>
      <c r="AA99" s="1414"/>
      <c r="AB99" s="1414"/>
      <c r="AC99" s="1414"/>
      <c r="AD99" s="1414"/>
      <c r="AE99" s="1414"/>
      <c r="AF99" s="1414"/>
      <c r="AG99" s="1414"/>
      <c r="AH99" s="1414"/>
      <c r="AI99" s="1414"/>
      <c r="AJ99" s="1414"/>
      <c r="AK99" s="1414"/>
      <c r="AL99" s="1414"/>
      <c r="AM99" s="1414"/>
      <c r="AN99" s="1414"/>
      <c r="AO99" s="1414"/>
      <c r="AP99" s="1414"/>
      <c r="AQ99" s="1414"/>
      <c r="AR99" s="1414"/>
      <c r="AS99" s="1414"/>
      <c r="AT99" s="1414"/>
      <c r="AU99" s="1414"/>
      <c r="AV99" s="1414"/>
      <c r="AW99" s="1414"/>
      <c r="AX99" s="1381">
        <v>99</v>
      </c>
      <c r="AY99" s="1382">
        <v>5</v>
      </c>
      <c r="AZ99" s="1381">
        <v>99</v>
      </c>
      <c r="BA99" s="1414"/>
      <c r="BB99" s="1414"/>
      <c r="BC99" s="1414"/>
      <c r="BD99" s="1414"/>
      <c r="BE99" s="1414"/>
      <c r="BF99" s="1414"/>
      <c r="BG99" s="1414"/>
      <c r="BH99" s="1414"/>
      <c r="BI99" s="1414"/>
      <c r="BJ99" s="1414"/>
      <c r="BK99" s="1414">
        <v>10</v>
      </c>
      <c r="BL99" s="1414"/>
      <c r="BM99" s="1414"/>
      <c r="BN99" s="1414"/>
      <c r="BO99" s="1414"/>
      <c r="BP99" s="1414"/>
      <c r="BQ99" s="1414"/>
      <c r="BR99" s="1414"/>
      <c r="BS99" s="1414"/>
      <c r="BT99" s="1414"/>
      <c r="BU99" s="1414"/>
      <c r="BV99" s="1414"/>
      <c r="BW99" s="1414"/>
      <c r="BX99" s="1414"/>
      <c r="BY99" s="1414"/>
      <c r="BZ99" s="1414"/>
      <c r="CA99" s="1414"/>
      <c r="CB99" s="1414"/>
      <c r="CC99" s="1414"/>
      <c r="CD99" s="1414"/>
      <c r="CE99" s="1414"/>
      <c r="CF99" s="1414"/>
      <c r="CG99" s="1414"/>
      <c r="CH99" s="1414"/>
      <c r="CI99" s="1414"/>
      <c r="CJ99" s="1735"/>
      <c r="CK99" s="1414"/>
      <c r="CL99" s="1414"/>
      <c r="CM99" s="1414"/>
      <c r="CN99" s="1414"/>
      <c r="CO99" s="1414"/>
      <c r="CP99" s="1414"/>
      <c r="CQ99" s="1414"/>
      <c r="CR99" s="1414"/>
      <c r="CS99" s="1414"/>
      <c r="CT99" s="1414"/>
      <c r="CU99" s="1414"/>
      <c r="CV99" s="1414"/>
      <c r="CW99" s="1414"/>
      <c r="CX99" s="1414"/>
      <c r="CY99" s="1414"/>
      <c r="CZ99" s="1414"/>
      <c r="DA99" s="1414"/>
      <c r="DB99" s="1414"/>
      <c r="DC99" s="1414"/>
      <c r="DD99" s="1414"/>
      <c r="DE99" s="1414"/>
      <c r="DF99" s="1414"/>
      <c r="DG99" s="1414"/>
      <c r="DH99" s="1414"/>
      <c r="DI99" s="1414"/>
      <c r="DJ99" s="1414"/>
      <c r="DK99" s="1414"/>
      <c r="DL99" s="1414"/>
      <c r="DM99" s="1414"/>
      <c r="DN99" s="1414"/>
      <c r="DO99" s="1414"/>
      <c r="DP99" s="1414"/>
      <c r="DQ99" s="1414"/>
      <c r="DR99" s="1414"/>
      <c r="DS99" s="1735">
        <v>0</v>
      </c>
      <c r="DT99" s="1382">
        <v>0</v>
      </c>
      <c r="DU99" s="1414"/>
      <c r="DV99" s="1414"/>
      <c r="DW99" s="1414"/>
      <c r="DX99" s="1414"/>
      <c r="DY99" s="1414"/>
      <c r="DZ99" s="1414"/>
      <c r="EA99" s="1414"/>
      <c r="EB99" s="1414"/>
      <c r="EC99" s="1414"/>
      <c r="ED99" s="1414"/>
      <c r="EE99" s="1414"/>
      <c r="EF99" s="1414"/>
      <c r="EG99" s="1464">
        <v>49</v>
      </c>
      <c r="EH99" s="1414"/>
      <c r="EI99" s="1414"/>
      <c r="EJ99" s="1414"/>
      <c r="EK99" s="1414"/>
      <c r="EL99" s="1414"/>
      <c r="EM99" s="1414"/>
      <c r="EN99" s="1414"/>
      <c r="EO99" s="1414"/>
      <c r="EP99" s="1414"/>
      <c r="EQ99" s="1414"/>
      <c r="ER99" s="1414"/>
      <c r="ES99" s="1414"/>
      <c r="ET99" s="1414"/>
      <c r="EU99" s="1414"/>
      <c r="EV99" s="1414"/>
      <c r="EW99" s="1414"/>
      <c r="EX99" s="1414"/>
      <c r="EY99" s="1414"/>
      <c r="EZ99" s="1414"/>
      <c r="FA99" s="1414"/>
      <c r="FB99" s="1414"/>
      <c r="FC99" s="1414"/>
      <c r="FD99" s="1414"/>
      <c r="FE99" s="1414"/>
      <c r="FF99" s="1414"/>
      <c r="FG99" s="1414"/>
      <c r="FH99" s="1414"/>
      <c r="FI99" s="1414"/>
      <c r="FJ99" s="1414"/>
      <c r="FK99" s="1414"/>
      <c r="FL99" s="1414"/>
      <c r="FM99" s="1414"/>
      <c r="FN99" s="1414"/>
      <c r="FO99" s="1414"/>
      <c r="FP99" s="1414"/>
      <c r="FQ99" s="1414"/>
      <c r="FR99" s="1414"/>
      <c r="FS99" s="1414"/>
      <c r="FT99" s="1381">
        <v>99</v>
      </c>
      <c r="FU99" s="1381">
        <v>99</v>
      </c>
      <c r="FV99" s="1381">
        <v>99</v>
      </c>
      <c r="FW99" s="1414"/>
      <c r="FX99" s="1414"/>
      <c r="FY99" s="1414"/>
      <c r="FZ99" s="1414">
        <v>53</v>
      </c>
      <c r="GA99" s="1414"/>
      <c r="GB99" s="1414"/>
      <c r="GC99" s="1414"/>
      <c r="GD99" s="1414"/>
      <c r="GE99" s="1414"/>
      <c r="GF99" s="1414"/>
      <c r="GG99" s="1414"/>
      <c r="GH99" s="1414"/>
      <c r="GI99" s="1414"/>
      <c r="GJ99" s="1414"/>
      <c r="GK99" s="1414"/>
      <c r="GL99" s="1414"/>
      <c r="GM99" s="1414"/>
      <c r="GN99" s="1414"/>
      <c r="GO99" s="1414"/>
      <c r="GP99" s="1414"/>
      <c r="GQ99" s="1414"/>
      <c r="GR99" s="1414"/>
      <c r="GS99" s="1414"/>
      <c r="GT99" s="1414"/>
      <c r="GU99" s="1414"/>
      <c r="GV99" s="1414"/>
      <c r="GW99" s="1414"/>
      <c r="GX99" s="1414"/>
      <c r="GY99" s="1414"/>
      <c r="GZ99" s="1414"/>
      <c r="HA99" s="1734">
        <v>331</v>
      </c>
      <c r="HB99" s="1414"/>
      <c r="HC99" s="1414"/>
      <c r="HD99" s="1381">
        <v>84</v>
      </c>
      <c r="HE99" s="1414"/>
      <c r="HF99" s="1381">
        <v>84</v>
      </c>
      <c r="HG99" s="1382"/>
      <c r="HH99" s="1414"/>
      <c r="HI99" s="1734">
        <v>331</v>
      </c>
      <c r="HJ99" s="1381">
        <v>316</v>
      </c>
      <c r="HK99" s="1381">
        <v>316</v>
      </c>
      <c r="HL99" s="1381">
        <v>316</v>
      </c>
      <c r="HM99" s="1381">
        <v>316</v>
      </c>
      <c r="HN99" s="1381"/>
      <c r="HO99" s="1414"/>
      <c r="HP99" s="1381"/>
      <c r="HQ99" s="1414"/>
      <c r="HR99" s="1414"/>
      <c r="HS99" s="1414"/>
      <c r="HT99" s="1414"/>
      <c r="HU99" s="1381"/>
      <c r="HV99" s="1414"/>
      <c r="HW99" s="1414"/>
      <c r="HX99" s="1414"/>
      <c r="HY99" s="1414"/>
      <c r="HZ99" s="1414"/>
      <c r="IA99" s="1414"/>
      <c r="IB99" s="1414"/>
      <c r="IC99" s="1414"/>
      <c r="ID99" s="1414"/>
      <c r="IE99" s="1414"/>
      <c r="IF99" s="1414"/>
      <c r="IG99" s="1414"/>
      <c r="IH99" s="1414"/>
      <c r="II99" s="1414"/>
      <c r="IJ99" s="1414"/>
      <c r="IK99" s="1464"/>
      <c r="IL99" s="1414"/>
      <c r="IM99" s="1414"/>
      <c r="IN99" s="1414"/>
      <c r="IO99" s="1414"/>
      <c r="IP99" s="1414">
        <v>0</v>
      </c>
      <c r="IQ99" s="1414">
        <v>4</v>
      </c>
      <c r="IR99" s="1414">
        <v>10</v>
      </c>
      <c r="IS99" s="1414"/>
      <c r="IT99" s="1414">
        <v>87</v>
      </c>
      <c r="IU99" s="1414"/>
      <c r="IV99" s="1414"/>
      <c r="IW99" s="1414">
        <v>14</v>
      </c>
      <c r="IX99" s="1414"/>
      <c r="IY99" s="1414"/>
      <c r="IZ99" s="1414"/>
      <c r="JA99" s="1414"/>
      <c r="JB99" s="1414"/>
      <c r="JC99" s="1414"/>
      <c r="JD99" s="1414"/>
      <c r="JE99" s="1414"/>
      <c r="JF99" s="1414"/>
      <c r="JG99" s="1414"/>
      <c r="JH99" s="1414"/>
      <c r="JI99" s="1414"/>
      <c r="JJ99" s="1414">
        <v>25</v>
      </c>
      <c r="JK99" s="1414">
        <v>31</v>
      </c>
      <c r="JL99" s="1464"/>
      <c r="JM99" s="1464"/>
      <c r="JN99" s="1414">
        <v>21</v>
      </c>
      <c r="JO99" s="1414"/>
      <c r="JP99" s="1414"/>
      <c r="JQ99" s="1415">
        <v>13</v>
      </c>
      <c r="JR99" s="312"/>
      <c r="JS99" s="315" t="s">
        <v>4440</v>
      </c>
      <c r="JT99" s="357" t="s">
        <v>2351</v>
      </c>
    </row>
    <row r="100" spans="1:280" ht="20" x14ac:dyDescent="0.25">
      <c r="A100" s="1367">
        <v>13</v>
      </c>
      <c r="B100" s="1411" t="str">
        <f t="shared" si="12"/>
        <v/>
      </c>
      <c r="C100" s="1728" t="s">
        <v>4441</v>
      </c>
      <c r="D100" s="1443" t="s">
        <v>4442</v>
      </c>
      <c r="E100" s="1381"/>
      <c r="F100" s="1381"/>
      <c r="G100" s="1381"/>
      <c r="H100" s="1381"/>
      <c r="I100" s="1381"/>
      <c r="J100" s="1414"/>
      <c r="K100" s="1381"/>
      <c r="L100" s="1414"/>
      <c r="M100" s="1381"/>
      <c r="N100" s="1381"/>
      <c r="O100" s="1414"/>
      <c r="P100" s="1414"/>
      <c r="Q100" s="1414"/>
      <c r="R100" s="1414"/>
      <c r="S100" s="1414"/>
      <c r="T100" s="1414"/>
      <c r="U100" s="1414"/>
      <c r="V100" s="1414"/>
      <c r="W100" s="1414"/>
      <c r="X100" s="1414"/>
      <c r="Y100" s="1414"/>
      <c r="Z100" s="1414"/>
      <c r="AA100" s="1414"/>
      <c r="AB100" s="1414"/>
      <c r="AC100" s="1414"/>
      <c r="AD100" s="1414"/>
      <c r="AE100" s="1414"/>
      <c r="AF100" s="1414"/>
      <c r="AG100" s="1414"/>
      <c r="AH100" s="1414"/>
      <c r="AI100" s="1414"/>
      <c r="AJ100" s="1414"/>
      <c r="AK100" s="1414"/>
      <c r="AL100" s="1414"/>
      <c r="AM100" s="1414"/>
      <c r="AN100" s="1414"/>
      <c r="AO100" s="1414"/>
      <c r="AP100" s="1414"/>
      <c r="AQ100" s="1414"/>
      <c r="AR100" s="1414"/>
      <c r="AS100" s="1414"/>
      <c r="AT100" s="1414"/>
      <c r="AU100" s="1414"/>
      <c r="AV100" s="1414"/>
      <c r="AW100" s="1414"/>
      <c r="AX100" s="1381">
        <v>0</v>
      </c>
      <c r="AY100" s="1381">
        <v>0</v>
      </c>
      <c r="AZ100" s="1381">
        <v>0</v>
      </c>
      <c r="BA100" s="1414"/>
      <c r="BB100" s="1414"/>
      <c r="BC100" s="1414"/>
      <c r="BD100" s="1414"/>
      <c r="BE100" s="1414"/>
      <c r="BF100" s="1414"/>
      <c r="BG100" s="1414"/>
      <c r="BH100" s="1414"/>
      <c r="BI100" s="1414"/>
      <c r="BJ100" s="1414"/>
      <c r="BK100" s="1414"/>
      <c r="BL100" s="1414"/>
      <c r="BM100" s="1414"/>
      <c r="BN100" s="1414"/>
      <c r="BO100" s="1414"/>
      <c r="BP100" s="1414"/>
      <c r="BQ100" s="1414"/>
      <c r="BR100" s="1414"/>
      <c r="BS100" s="1414"/>
      <c r="BT100" s="1414"/>
      <c r="BU100" s="1414"/>
      <c r="BV100" s="1414"/>
      <c r="BW100" s="1414"/>
      <c r="BX100" s="1414"/>
      <c r="BY100" s="1414"/>
      <c r="BZ100" s="1414"/>
      <c r="CA100" s="1414"/>
      <c r="CB100" s="1414"/>
      <c r="CC100" s="1414"/>
      <c r="CD100" s="1414"/>
      <c r="CE100" s="1414"/>
      <c r="CF100" s="1414"/>
      <c r="CG100" s="1414"/>
      <c r="CH100" s="1414"/>
      <c r="CI100" s="1414"/>
      <c r="CJ100" s="1382"/>
      <c r="CK100" s="1414"/>
      <c r="CL100" s="1414"/>
      <c r="CM100" s="1414"/>
      <c r="CN100" s="1414"/>
      <c r="CO100" s="1414"/>
      <c r="CP100" s="1414"/>
      <c r="CQ100" s="1414"/>
      <c r="CR100" s="1414"/>
      <c r="CS100" s="1414"/>
      <c r="CT100" s="1414"/>
      <c r="CU100" s="1414"/>
      <c r="CV100" s="1414"/>
      <c r="CW100" s="1414"/>
      <c r="CX100" s="1414"/>
      <c r="CY100" s="1414"/>
      <c r="CZ100" s="1414"/>
      <c r="DA100" s="1414"/>
      <c r="DB100" s="1414"/>
      <c r="DC100" s="1414"/>
      <c r="DD100" s="1414"/>
      <c r="DE100" s="1414"/>
      <c r="DF100" s="1414"/>
      <c r="DG100" s="1414"/>
      <c r="DH100" s="1414"/>
      <c r="DI100" s="1414"/>
      <c r="DJ100" s="1414"/>
      <c r="DK100" s="1414"/>
      <c r="DL100" s="1414"/>
      <c r="DM100" s="1414"/>
      <c r="DN100" s="1414"/>
      <c r="DO100" s="1414"/>
      <c r="DP100" s="1414"/>
      <c r="DQ100" s="1414"/>
      <c r="DR100" s="1414"/>
      <c r="DS100" s="1381">
        <v>0</v>
      </c>
      <c r="DT100" s="1381">
        <v>0</v>
      </c>
      <c r="DU100" s="1414"/>
      <c r="DV100" s="1414"/>
      <c r="DW100" s="1414"/>
      <c r="DX100" s="1414"/>
      <c r="DY100" s="1414"/>
      <c r="DZ100" s="1414"/>
      <c r="EA100" s="1414"/>
      <c r="EB100" s="1414"/>
      <c r="EC100" s="1414"/>
      <c r="ED100" s="1414"/>
      <c r="EE100" s="1414"/>
      <c r="EF100" s="1414"/>
      <c r="EG100" s="1414"/>
      <c r="EH100" s="1414"/>
      <c r="EI100" s="1414"/>
      <c r="EJ100" s="1414"/>
      <c r="EK100" s="1414"/>
      <c r="EL100" s="1414"/>
      <c r="EM100" s="1414"/>
      <c r="EN100" s="1414"/>
      <c r="EO100" s="1414"/>
      <c r="EP100" s="1414"/>
      <c r="EQ100" s="1414"/>
      <c r="ER100" s="1414"/>
      <c r="ES100" s="1414"/>
      <c r="ET100" s="1414"/>
      <c r="EU100" s="1414"/>
      <c r="EV100" s="1414"/>
      <c r="EW100" s="1414"/>
      <c r="EX100" s="1414"/>
      <c r="EY100" s="1414"/>
      <c r="EZ100" s="1414"/>
      <c r="FA100" s="1414"/>
      <c r="FB100" s="1414"/>
      <c r="FC100" s="1414"/>
      <c r="FD100" s="1414"/>
      <c r="FE100" s="1414"/>
      <c r="FF100" s="1414"/>
      <c r="FG100" s="1414"/>
      <c r="FH100" s="1414"/>
      <c r="FI100" s="1414"/>
      <c r="FJ100" s="1414"/>
      <c r="FK100" s="1414"/>
      <c r="FL100" s="1414"/>
      <c r="FM100" s="1414"/>
      <c r="FN100" s="1414"/>
      <c r="FO100" s="1414"/>
      <c r="FP100" s="1414"/>
      <c r="FQ100" s="1414"/>
      <c r="FR100" s="1414"/>
      <c r="FS100" s="1414"/>
      <c r="FT100" s="1381">
        <v>0</v>
      </c>
      <c r="FU100" s="1381">
        <v>0</v>
      </c>
      <c r="FV100" s="1381">
        <v>0</v>
      </c>
      <c r="FW100" s="1414"/>
      <c r="FX100" s="1414"/>
      <c r="FY100" s="1414"/>
      <c r="FZ100" s="1414">
        <v>3</v>
      </c>
      <c r="GA100" s="1414"/>
      <c r="GB100" s="1414"/>
      <c r="GC100" s="1414"/>
      <c r="GD100" s="1414"/>
      <c r="GE100" s="1414"/>
      <c r="GF100" s="1414"/>
      <c r="GG100" s="1414"/>
      <c r="GH100" s="1414"/>
      <c r="GI100" s="1414"/>
      <c r="GJ100" s="1414"/>
      <c r="GK100" s="1414"/>
      <c r="GL100" s="1414"/>
      <c r="GM100" s="1414"/>
      <c r="GN100" s="1414"/>
      <c r="GO100" s="1414"/>
      <c r="GP100" s="1414"/>
      <c r="GQ100" s="1414"/>
      <c r="GR100" s="1414"/>
      <c r="GS100" s="1414"/>
      <c r="GT100" s="1414"/>
      <c r="GU100" s="1414"/>
      <c r="GV100" s="1414"/>
      <c r="GW100" s="1414"/>
      <c r="GX100" s="1414"/>
      <c r="GY100" s="1414"/>
      <c r="GZ100" s="1414"/>
      <c r="HA100" s="1381">
        <v>0</v>
      </c>
      <c r="HB100" s="1414"/>
      <c r="HC100" s="1414"/>
      <c r="HD100" s="1381">
        <v>0</v>
      </c>
      <c r="HE100" s="1414"/>
      <c r="HF100" s="1381">
        <v>0</v>
      </c>
      <c r="HG100" s="1382"/>
      <c r="HH100" s="1414"/>
      <c r="HI100" s="1381">
        <v>0</v>
      </c>
      <c r="HJ100" s="1381">
        <v>0</v>
      </c>
      <c r="HK100" s="1381">
        <v>0</v>
      </c>
      <c r="HL100" s="1381">
        <v>0</v>
      </c>
      <c r="HM100" s="1381">
        <v>0</v>
      </c>
      <c r="HN100" s="1381"/>
      <c r="HO100" s="1414"/>
      <c r="HP100" s="1381"/>
      <c r="HQ100" s="1414"/>
      <c r="HR100" s="1414"/>
      <c r="HS100" s="1414"/>
      <c r="HT100" s="1414"/>
      <c r="HU100" s="1381"/>
      <c r="HV100" s="1414"/>
      <c r="HW100" s="1414"/>
      <c r="HX100" s="1414"/>
      <c r="HY100" s="1414"/>
      <c r="HZ100" s="1414"/>
      <c r="IA100" s="1414"/>
      <c r="IB100" s="1414"/>
      <c r="IC100" s="1414"/>
      <c r="ID100" s="1414"/>
      <c r="IE100" s="1414"/>
      <c r="IF100" s="1414"/>
      <c r="IG100" s="1414"/>
      <c r="IH100" s="1414"/>
      <c r="II100" s="1414"/>
      <c r="IJ100" s="1414"/>
      <c r="IK100" s="1414"/>
      <c r="IL100" s="1414"/>
      <c r="IM100" s="1414"/>
      <c r="IN100" s="1414"/>
      <c r="IO100" s="1414"/>
      <c r="IP100" s="1414"/>
      <c r="IQ100" s="1414"/>
      <c r="IR100" s="1414"/>
      <c r="IS100" s="1414"/>
      <c r="IT100" s="1414">
        <v>0</v>
      </c>
      <c r="IU100" s="1414"/>
      <c r="IV100" s="1414"/>
      <c r="IW100" s="1414">
        <v>0</v>
      </c>
      <c r="IX100" s="1414"/>
      <c r="IY100" s="1414"/>
      <c r="IZ100" s="1414"/>
      <c r="JA100" s="1414"/>
      <c r="JB100" s="1414"/>
      <c r="JC100" s="1414"/>
      <c r="JD100" s="1414"/>
      <c r="JE100" s="1414"/>
      <c r="JF100" s="1414"/>
      <c r="JG100" s="1414"/>
      <c r="JH100" s="1414"/>
      <c r="JI100" s="1414"/>
      <c r="JJ100" s="1414"/>
      <c r="JK100" s="1414"/>
      <c r="JL100" s="1414"/>
      <c r="JM100" s="1414"/>
      <c r="JN100" s="1414"/>
      <c r="JO100" s="1414"/>
      <c r="JP100" s="1414"/>
      <c r="JQ100" s="1415"/>
      <c r="JR100" s="312"/>
      <c r="JS100" s="315" t="s">
        <v>4443</v>
      </c>
      <c r="JT100" s="357" t="s">
        <v>2351</v>
      </c>
    </row>
    <row r="101" spans="1:280" ht="34.5" x14ac:dyDescent="0.25">
      <c r="A101" s="1367">
        <v>14</v>
      </c>
      <c r="B101" s="1411" t="str">
        <f t="shared" si="12"/>
        <v/>
      </c>
      <c r="C101" s="1728" t="s">
        <v>4444</v>
      </c>
      <c r="D101" s="1736" t="s">
        <v>4445</v>
      </c>
      <c r="E101" s="1381"/>
      <c r="F101" s="1381"/>
      <c r="G101" s="1381"/>
      <c r="H101" s="1381"/>
      <c r="I101" s="1381"/>
      <c r="J101" s="1414"/>
      <c r="K101" s="1381"/>
      <c r="L101" s="1414"/>
      <c r="M101" s="1381"/>
      <c r="N101" s="1381"/>
      <c r="O101" s="1414"/>
      <c r="P101" s="1414"/>
      <c r="Q101" s="1414"/>
      <c r="R101" s="1414"/>
      <c r="S101" s="1414"/>
      <c r="T101" s="1414"/>
      <c r="U101" s="1414"/>
      <c r="V101" s="1414"/>
      <c r="W101" s="1414"/>
      <c r="X101" s="1414"/>
      <c r="Y101" s="1414"/>
      <c r="Z101" s="1414"/>
      <c r="AA101" s="1414"/>
      <c r="AB101" s="1414"/>
      <c r="AC101" s="1414"/>
      <c r="AD101" s="1414"/>
      <c r="AE101" s="1414"/>
      <c r="AF101" s="1414"/>
      <c r="AG101" s="1414"/>
      <c r="AH101" s="1414"/>
      <c r="AI101" s="1414"/>
      <c r="AJ101" s="1414"/>
      <c r="AK101" s="1414"/>
      <c r="AL101" s="1414"/>
      <c r="AM101" s="1414"/>
      <c r="AN101" s="1414"/>
      <c r="AO101" s="1414"/>
      <c r="AP101" s="1414"/>
      <c r="AQ101" s="1414"/>
      <c r="AR101" s="1414"/>
      <c r="AS101" s="1414"/>
      <c r="AT101" s="1414"/>
      <c r="AU101" s="1414"/>
      <c r="AV101" s="1414"/>
      <c r="AW101" s="1414"/>
      <c r="AX101" s="1381"/>
      <c r="AY101" s="1381"/>
      <c r="AZ101" s="1381"/>
      <c r="BA101" s="1414"/>
      <c r="BB101" s="1414"/>
      <c r="BC101" s="1414"/>
      <c r="BD101" s="1414"/>
      <c r="BE101" s="1414"/>
      <c r="BF101" s="1414"/>
      <c r="BG101" s="1414"/>
      <c r="BH101" s="1414"/>
      <c r="BI101" s="1414"/>
      <c r="BJ101" s="1414"/>
      <c r="BK101" s="1414"/>
      <c r="BL101" s="1414"/>
      <c r="BM101" s="1414"/>
      <c r="BN101" s="1414"/>
      <c r="BO101" s="1414"/>
      <c r="BP101" s="1414"/>
      <c r="BQ101" s="1414"/>
      <c r="BR101" s="1414"/>
      <c r="BS101" s="1414"/>
      <c r="BT101" s="1414"/>
      <c r="BU101" s="1414"/>
      <c r="BV101" s="1414"/>
      <c r="BW101" s="1414"/>
      <c r="BX101" s="1414"/>
      <c r="BY101" s="1414"/>
      <c r="BZ101" s="1414"/>
      <c r="CA101" s="1414"/>
      <c r="CB101" s="1414"/>
      <c r="CC101" s="1414"/>
      <c r="CD101" s="1414"/>
      <c r="CE101" s="1414"/>
      <c r="CF101" s="1414"/>
      <c r="CG101" s="1414"/>
      <c r="CH101" s="1414"/>
      <c r="CI101" s="1414"/>
      <c r="CJ101" s="1381"/>
      <c r="CK101" s="1414"/>
      <c r="CL101" s="1414"/>
      <c r="CM101" s="1414"/>
      <c r="CN101" s="1414"/>
      <c r="CO101" s="1414"/>
      <c r="CP101" s="1414"/>
      <c r="CQ101" s="1414"/>
      <c r="CR101" s="1414"/>
      <c r="CS101" s="1414"/>
      <c r="CT101" s="1414"/>
      <c r="CU101" s="1414"/>
      <c r="CV101" s="1414"/>
      <c r="CW101" s="1414"/>
      <c r="CX101" s="1414"/>
      <c r="CY101" s="1414"/>
      <c r="CZ101" s="1414"/>
      <c r="DA101" s="1414"/>
      <c r="DB101" s="1414"/>
      <c r="DC101" s="1414"/>
      <c r="DD101" s="1414"/>
      <c r="DE101" s="1414"/>
      <c r="DF101" s="1414"/>
      <c r="DG101" s="1414"/>
      <c r="DH101" s="1414"/>
      <c r="DI101" s="1414"/>
      <c r="DJ101" s="1414"/>
      <c r="DK101" s="1414"/>
      <c r="DL101" s="1414"/>
      <c r="DM101" s="1414"/>
      <c r="DN101" s="1414"/>
      <c r="DO101" s="1414"/>
      <c r="DP101" s="1414"/>
      <c r="DQ101" s="1414"/>
      <c r="DR101" s="1414"/>
      <c r="DS101" s="1381"/>
      <c r="DT101" s="1381"/>
      <c r="DU101" s="1414"/>
      <c r="DV101" s="1414"/>
      <c r="DW101" s="1414"/>
      <c r="DX101" s="1414"/>
      <c r="DY101" s="1414"/>
      <c r="DZ101" s="1414"/>
      <c r="EA101" s="1414"/>
      <c r="EB101" s="1414"/>
      <c r="EC101" s="1414"/>
      <c r="ED101" s="1414"/>
      <c r="EE101" s="1414"/>
      <c r="EF101" s="1414"/>
      <c r="EG101" s="1414"/>
      <c r="EH101" s="1414"/>
      <c r="EI101" s="1414"/>
      <c r="EJ101" s="1414"/>
      <c r="EK101" s="1414"/>
      <c r="EL101" s="1414"/>
      <c r="EM101" s="1414"/>
      <c r="EN101" s="1414"/>
      <c r="EO101" s="1414"/>
      <c r="EP101" s="1414"/>
      <c r="EQ101" s="1414"/>
      <c r="ER101" s="1414"/>
      <c r="ES101" s="1414"/>
      <c r="ET101" s="1414"/>
      <c r="EU101" s="1414"/>
      <c r="EV101" s="1414"/>
      <c r="EW101" s="1414"/>
      <c r="EX101" s="1414"/>
      <c r="EY101" s="1414"/>
      <c r="EZ101" s="1414"/>
      <c r="FA101" s="1414"/>
      <c r="FB101" s="1414"/>
      <c r="FC101" s="1414"/>
      <c r="FD101" s="1414"/>
      <c r="FE101" s="1414"/>
      <c r="FF101" s="1414"/>
      <c r="FG101" s="1414"/>
      <c r="FH101" s="1414"/>
      <c r="FI101" s="1414"/>
      <c r="FJ101" s="1414"/>
      <c r="FK101" s="1414"/>
      <c r="FL101" s="1414"/>
      <c r="FM101" s="1414"/>
      <c r="FN101" s="1414"/>
      <c r="FO101" s="1414"/>
      <c r="FP101" s="1414"/>
      <c r="FQ101" s="1414"/>
      <c r="FR101" s="1414"/>
      <c r="FS101" s="1414"/>
      <c r="FT101" s="1381"/>
      <c r="FU101" s="1381"/>
      <c r="FV101" s="1381"/>
      <c r="FW101" s="1414"/>
      <c r="FX101" s="1414"/>
      <c r="FY101" s="1414"/>
      <c r="FZ101" s="1414">
        <v>60</v>
      </c>
      <c r="GA101" s="1414"/>
      <c r="GB101" s="1414"/>
      <c r="GC101" s="1414"/>
      <c r="GD101" s="1414"/>
      <c r="GE101" s="1414"/>
      <c r="GF101" s="1414"/>
      <c r="GG101" s="1414"/>
      <c r="GH101" s="1414"/>
      <c r="GI101" s="1414"/>
      <c r="GJ101" s="1414"/>
      <c r="GK101" s="1414"/>
      <c r="GL101" s="1414"/>
      <c r="GM101" s="1414"/>
      <c r="GN101" s="1414"/>
      <c r="GO101" s="1414"/>
      <c r="GP101" s="1414"/>
      <c r="GQ101" s="1414"/>
      <c r="GR101" s="1414"/>
      <c r="GS101" s="1414"/>
      <c r="GT101" s="1414"/>
      <c r="GU101" s="1414"/>
      <c r="GV101" s="1414"/>
      <c r="GW101" s="1414"/>
      <c r="GX101" s="1414"/>
      <c r="GY101" s="1414"/>
      <c r="GZ101" s="1414"/>
      <c r="HA101" s="1381"/>
      <c r="HB101" s="1414"/>
      <c r="HC101" s="1414"/>
      <c r="HD101" s="1381"/>
      <c r="HE101" s="1414"/>
      <c r="HF101" s="1381"/>
      <c r="HG101" s="1381"/>
      <c r="HH101" s="1414"/>
      <c r="HI101" s="1381"/>
      <c r="HJ101" s="1381"/>
      <c r="HK101" s="1381"/>
      <c r="HL101" s="1381"/>
      <c r="HM101" s="1381"/>
      <c r="HN101" s="1381"/>
      <c r="HO101" s="1414"/>
      <c r="HP101" s="1381"/>
      <c r="HQ101" s="1414"/>
      <c r="HR101" s="1414"/>
      <c r="HS101" s="1414"/>
      <c r="HT101" s="1414"/>
      <c r="HU101" s="1381"/>
      <c r="HV101" s="1414"/>
      <c r="HW101" s="1414"/>
      <c r="HX101" s="1414"/>
      <c r="HY101" s="1414"/>
      <c r="HZ101" s="1414"/>
      <c r="IA101" s="1414"/>
      <c r="IB101" s="1414"/>
      <c r="IC101" s="1414"/>
      <c r="ID101" s="1414"/>
      <c r="IE101" s="1414"/>
      <c r="IF101" s="1414"/>
      <c r="IG101" s="1414"/>
      <c r="IH101" s="1414"/>
      <c r="II101" s="1414"/>
      <c r="IJ101" s="1414"/>
      <c r="IK101" s="1414"/>
      <c r="IL101" s="1414"/>
      <c r="IM101" s="1414"/>
      <c r="IN101" s="1414"/>
      <c r="IO101" s="1414"/>
      <c r="IP101" s="1414"/>
      <c r="IQ101" s="1414"/>
      <c r="IR101" s="1414"/>
      <c r="IS101" s="1414"/>
      <c r="IT101" s="1414"/>
      <c r="IU101" s="1414"/>
      <c r="IV101" s="1414"/>
      <c r="IW101" s="1414"/>
      <c r="IX101" s="1414"/>
      <c r="IY101" s="1414"/>
      <c r="IZ101" s="1414"/>
      <c r="JA101" s="1414"/>
      <c r="JB101" s="1414"/>
      <c r="JC101" s="1414"/>
      <c r="JD101" s="1414"/>
      <c r="JE101" s="1414"/>
      <c r="JF101" s="1414"/>
      <c r="JG101" s="1414"/>
      <c r="JH101" s="1414"/>
      <c r="JI101" s="1414"/>
      <c r="JJ101" s="1414"/>
      <c r="JK101" s="1414"/>
      <c r="JL101" s="1414"/>
      <c r="JM101" s="1414"/>
      <c r="JN101" s="1414"/>
      <c r="JO101" s="1414"/>
      <c r="JP101" s="1414"/>
      <c r="JQ101" s="1415"/>
      <c r="JR101" s="312"/>
      <c r="JS101" s="315"/>
      <c r="JT101" s="357"/>
    </row>
    <row r="102" spans="1:280" x14ac:dyDescent="0.25">
      <c r="A102" s="1367">
        <v>15</v>
      </c>
      <c r="B102" s="1411" t="str">
        <f t="shared" si="12"/>
        <v/>
      </c>
      <c r="C102" s="1728" t="s">
        <v>4446</v>
      </c>
      <c r="D102" s="1443" t="str">
        <f>"How many ties to the UK did you have in "&amp;tax_year&amp;"?"</f>
        <v>How many ties to the UK did you have in 2025-26?</v>
      </c>
      <c r="E102" s="1381"/>
      <c r="F102" s="1381"/>
      <c r="G102" s="1734"/>
      <c r="H102" s="1381"/>
      <c r="I102" s="1381"/>
      <c r="J102" s="1414"/>
      <c r="K102" s="1381"/>
      <c r="L102" s="1414"/>
      <c r="M102" s="1381"/>
      <c r="N102" s="1381"/>
      <c r="O102" s="1414"/>
      <c r="P102" s="1414"/>
      <c r="Q102" s="1414"/>
      <c r="R102" s="1414"/>
      <c r="S102" s="1414"/>
      <c r="T102" s="1414"/>
      <c r="U102" s="1414"/>
      <c r="V102" s="1414"/>
      <c r="W102" s="1414"/>
      <c r="X102" s="1414"/>
      <c r="Y102" s="1414"/>
      <c r="Z102" s="1414"/>
      <c r="AA102" s="1414"/>
      <c r="AB102" s="1414"/>
      <c r="AC102" s="1414"/>
      <c r="AD102" s="1414"/>
      <c r="AE102" s="1414"/>
      <c r="AF102" s="1414"/>
      <c r="AG102" s="1414"/>
      <c r="AH102" s="1414"/>
      <c r="AI102" s="1414"/>
      <c r="AJ102" s="1414"/>
      <c r="AK102" s="1414"/>
      <c r="AL102" s="1414"/>
      <c r="AM102" s="1414"/>
      <c r="AN102" s="1414"/>
      <c r="AO102" s="1414"/>
      <c r="AP102" s="1414"/>
      <c r="AQ102" s="1414"/>
      <c r="AR102" s="1414"/>
      <c r="AS102" s="1414"/>
      <c r="AT102" s="1414"/>
      <c r="AU102" s="1414"/>
      <c r="AV102" s="1414"/>
      <c r="AW102" s="1414"/>
      <c r="AX102" s="1381">
        <v>1</v>
      </c>
      <c r="AY102" s="1382">
        <v>0</v>
      </c>
      <c r="AZ102" s="1381">
        <v>1</v>
      </c>
      <c r="BA102" s="1414"/>
      <c r="BB102" s="1414"/>
      <c r="BC102" s="1414"/>
      <c r="BD102" s="1414"/>
      <c r="BE102" s="1414"/>
      <c r="BF102" s="1414"/>
      <c r="BG102" s="1414"/>
      <c r="BH102" s="1414"/>
      <c r="BI102" s="1414"/>
      <c r="BJ102" s="1414"/>
      <c r="BK102" s="1414"/>
      <c r="BL102" s="1414"/>
      <c r="BM102" s="1414"/>
      <c r="BN102" s="1414"/>
      <c r="BO102" s="1414"/>
      <c r="BP102" s="1414"/>
      <c r="BQ102" s="1414"/>
      <c r="BR102" s="1414"/>
      <c r="BS102" s="1414"/>
      <c r="BT102" s="1414"/>
      <c r="BU102" s="1414"/>
      <c r="BV102" s="1414"/>
      <c r="BW102" s="1414"/>
      <c r="BX102" s="1414"/>
      <c r="BY102" s="1414"/>
      <c r="BZ102" s="1414"/>
      <c r="CA102" s="1414"/>
      <c r="CB102" s="1414"/>
      <c r="CC102" s="1414"/>
      <c r="CD102" s="1414"/>
      <c r="CE102" s="1414"/>
      <c r="CF102" s="1414"/>
      <c r="CG102" s="1414"/>
      <c r="CH102" s="1414"/>
      <c r="CI102" s="1414"/>
      <c r="CJ102" s="1735"/>
      <c r="CK102" s="1414"/>
      <c r="CL102" s="1414"/>
      <c r="CM102" s="1414"/>
      <c r="CN102" s="1414"/>
      <c r="CO102" s="1414"/>
      <c r="CP102" s="1414"/>
      <c r="CQ102" s="1414"/>
      <c r="CR102" s="1414"/>
      <c r="CS102" s="1414"/>
      <c r="CT102" s="1414"/>
      <c r="CU102" s="1414"/>
      <c r="CV102" s="1414"/>
      <c r="CW102" s="1414"/>
      <c r="CX102" s="1414"/>
      <c r="CY102" s="1414"/>
      <c r="CZ102" s="1414"/>
      <c r="DA102" s="1414"/>
      <c r="DB102" s="1414"/>
      <c r="DC102" s="1414"/>
      <c r="DD102" s="1414"/>
      <c r="DE102" s="1414"/>
      <c r="DF102" s="1414"/>
      <c r="DG102" s="1414"/>
      <c r="DH102" s="1414"/>
      <c r="DI102" s="1414"/>
      <c r="DJ102" s="1414"/>
      <c r="DK102" s="1414"/>
      <c r="DL102" s="1414"/>
      <c r="DM102" s="1414"/>
      <c r="DN102" s="1414"/>
      <c r="DO102" s="1414"/>
      <c r="DP102" s="1414"/>
      <c r="DQ102" s="1414"/>
      <c r="DR102" s="1414"/>
      <c r="DS102" s="1735">
        <v>0</v>
      </c>
      <c r="DT102" s="1382">
        <v>0</v>
      </c>
      <c r="DU102" s="1414"/>
      <c r="DV102" s="1414"/>
      <c r="DW102" s="1414"/>
      <c r="DX102" s="1414"/>
      <c r="DY102" s="1414"/>
      <c r="DZ102" s="1414"/>
      <c r="EA102" s="1414"/>
      <c r="EB102" s="1414"/>
      <c r="EC102" s="1414"/>
      <c r="ED102" s="1414"/>
      <c r="EE102" s="1414"/>
      <c r="EF102" s="1414"/>
      <c r="EG102" s="1414"/>
      <c r="EH102" s="1414"/>
      <c r="EI102" s="1414"/>
      <c r="EJ102" s="1414"/>
      <c r="EK102" s="1414"/>
      <c r="EL102" s="1414"/>
      <c r="EM102" s="1414"/>
      <c r="EN102" s="1414"/>
      <c r="EO102" s="1414"/>
      <c r="EP102" s="1414"/>
      <c r="EQ102" s="1414"/>
      <c r="ER102" s="1414"/>
      <c r="ES102" s="1414"/>
      <c r="ET102" s="1414"/>
      <c r="EU102" s="1414"/>
      <c r="EV102" s="1414"/>
      <c r="EW102" s="1414"/>
      <c r="EX102" s="1414"/>
      <c r="EY102" s="1414"/>
      <c r="EZ102" s="1414"/>
      <c r="FA102" s="1414"/>
      <c r="FB102" s="1414"/>
      <c r="FC102" s="1414"/>
      <c r="FD102" s="1414"/>
      <c r="FE102" s="1414"/>
      <c r="FF102" s="1414"/>
      <c r="FG102" s="1414"/>
      <c r="FH102" s="1414"/>
      <c r="FI102" s="1414"/>
      <c r="FJ102" s="1414"/>
      <c r="FK102" s="1414"/>
      <c r="FL102" s="1414"/>
      <c r="FM102" s="1414"/>
      <c r="FN102" s="1414"/>
      <c r="FO102" s="1414"/>
      <c r="FP102" s="1414"/>
      <c r="FQ102" s="1414"/>
      <c r="FR102" s="1414"/>
      <c r="FS102" s="1414"/>
      <c r="FT102" s="1381">
        <v>1</v>
      </c>
      <c r="FU102" s="1381">
        <v>1</v>
      </c>
      <c r="FV102" s="1381">
        <v>1</v>
      </c>
      <c r="FW102" s="1414"/>
      <c r="FX102" s="1414"/>
      <c r="FY102" s="1414"/>
      <c r="FZ102" s="1414"/>
      <c r="GA102" s="1414"/>
      <c r="GB102" s="1414"/>
      <c r="GC102" s="1414"/>
      <c r="GD102" s="1414"/>
      <c r="GE102" s="1414"/>
      <c r="GF102" s="1414"/>
      <c r="GG102" s="1414"/>
      <c r="GH102" s="1414"/>
      <c r="GI102" s="1414"/>
      <c r="GJ102" s="1414"/>
      <c r="GK102" s="1414"/>
      <c r="GL102" s="1414"/>
      <c r="GM102" s="1414"/>
      <c r="GN102" s="1414"/>
      <c r="GO102" s="1414"/>
      <c r="GP102" s="1414"/>
      <c r="GQ102" s="1414"/>
      <c r="GR102" s="1414"/>
      <c r="GS102" s="1414"/>
      <c r="GT102" s="1414"/>
      <c r="GU102" s="1414"/>
      <c r="GV102" s="1414"/>
      <c r="GW102" s="1414"/>
      <c r="GX102" s="1414"/>
      <c r="GY102" s="1414"/>
      <c r="GZ102" s="1414"/>
      <c r="HA102" s="1734">
        <v>4</v>
      </c>
      <c r="HB102" s="1414"/>
      <c r="HC102" s="1414"/>
      <c r="HD102" s="1381">
        <v>0</v>
      </c>
      <c r="HE102" s="1414"/>
      <c r="HF102" s="1381">
        <v>0</v>
      </c>
      <c r="HG102" s="1382"/>
      <c r="HH102" s="1414"/>
      <c r="HI102" s="1734">
        <v>4</v>
      </c>
      <c r="HJ102" s="1381">
        <v>3</v>
      </c>
      <c r="HK102" s="1381">
        <v>3</v>
      </c>
      <c r="HL102" s="1381">
        <v>3</v>
      </c>
      <c r="HM102" s="1381">
        <v>3</v>
      </c>
      <c r="HN102" s="1381"/>
      <c r="HO102" s="1414"/>
      <c r="HP102" s="1381"/>
      <c r="HQ102" s="1414"/>
      <c r="HR102" s="1414"/>
      <c r="HS102" s="1414"/>
      <c r="HT102" s="1414"/>
      <c r="HU102" s="1381"/>
      <c r="HV102" s="1414"/>
      <c r="HW102" s="1414"/>
      <c r="HX102" s="1414"/>
      <c r="HY102" s="1414"/>
      <c r="HZ102" s="1414"/>
      <c r="IA102" s="1414"/>
      <c r="IB102" s="1414"/>
      <c r="IC102" s="1414"/>
      <c r="ID102" s="1414"/>
      <c r="IE102" s="1414"/>
      <c r="IF102" s="1414"/>
      <c r="IG102" s="1414"/>
      <c r="IH102" s="1414"/>
      <c r="II102" s="1414"/>
      <c r="IJ102" s="1414"/>
      <c r="IK102" s="1464"/>
      <c r="IL102" s="1414"/>
      <c r="IM102" s="1414"/>
      <c r="IN102" s="1414"/>
      <c r="IO102" s="1414"/>
      <c r="IP102" s="1414"/>
      <c r="IQ102" s="1414"/>
      <c r="IR102" s="1414"/>
      <c r="IS102" s="1414"/>
      <c r="IT102" s="1414">
        <v>3</v>
      </c>
      <c r="IU102" s="1414"/>
      <c r="IV102" s="1414"/>
      <c r="IW102" s="1414"/>
      <c r="IX102" s="1414"/>
      <c r="IY102" s="1414"/>
      <c r="IZ102" s="1414"/>
      <c r="JA102" s="1414"/>
      <c r="JB102" s="1414"/>
      <c r="JC102" s="1414"/>
      <c r="JD102" s="1414"/>
      <c r="JE102" s="1414"/>
      <c r="JF102" s="1414"/>
      <c r="JG102" s="1414"/>
      <c r="JH102" s="1414"/>
      <c r="JI102" s="1414"/>
      <c r="JJ102" s="1414"/>
      <c r="JK102" s="1414"/>
      <c r="JL102" s="1414"/>
      <c r="JM102" s="1414"/>
      <c r="JN102" s="1414"/>
      <c r="JO102" s="1414"/>
      <c r="JP102" s="1414"/>
      <c r="JQ102" s="1415"/>
      <c r="JR102" s="312"/>
      <c r="JS102" s="315"/>
      <c r="JT102" s="357" t="s">
        <v>2351</v>
      </c>
    </row>
    <row r="103" spans="1:280" x14ac:dyDescent="0.25">
      <c r="A103" s="1367">
        <v>16</v>
      </c>
      <c r="B103" s="1411" t="str">
        <f t="shared" si="12"/>
        <v/>
      </c>
      <c r="C103" s="1728" t="s">
        <v>4447</v>
      </c>
      <c r="D103" s="1443" t="str">
        <f>"Number of days you worked for more than 3 hours in the UK in "&amp;tax_year</f>
        <v>Number of days you worked for more than 3 hours in the UK in 2025-26</v>
      </c>
      <c r="E103" s="1381"/>
      <c r="F103" s="1381"/>
      <c r="G103" s="1734"/>
      <c r="H103" s="1381"/>
      <c r="I103" s="1381"/>
      <c r="J103" s="1414"/>
      <c r="K103" s="1381"/>
      <c r="L103" s="1414"/>
      <c r="M103" s="1381"/>
      <c r="N103" s="1381"/>
      <c r="O103" s="1414"/>
      <c r="P103" s="1414"/>
      <c r="Q103" s="1414"/>
      <c r="R103" s="1414"/>
      <c r="S103" s="1414"/>
      <c r="T103" s="1414"/>
      <c r="U103" s="1414"/>
      <c r="V103" s="1414"/>
      <c r="W103" s="1414"/>
      <c r="X103" s="1414"/>
      <c r="Y103" s="1414"/>
      <c r="Z103" s="1414"/>
      <c r="AA103" s="1414"/>
      <c r="AB103" s="1414"/>
      <c r="AC103" s="1414"/>
      <c r="AD103" s="1414"/>
      <c r="AE103" s="1414"/>
      <c r="AF103" s="1414"/>
      <c r="AG103" s="1414"/>
      <c r="AH103" s="1414"/>
      <c r="AI103" s="1414"/>
      <c r="AJ103" s="1414"/>
      <c r="AK103" s="1414"/>
      <c r="AL103" s="1414"/>
      <c r="AM103" s="1414"/>
      <c r="AN103" s="1414"/>
      <c r="AO103" s="1414"/>
      <c r="AP103" s="1414"/>
      <c r="AQ103" s="1414"/>
      <c r="AR103" s="1414"/>
      <c r="AS103" s="1414"/>
      <c r="AT103" s="1414"/>
      <c r="AU103" s="1414"/>
      <c r="AV103" s="1414"/>
      <c r="AW103" s="1414"/>
      <c r="AX103" s="1381">
        <v>80</v>
      </c>
      <c r="AY103" s="1382">
        <v>0</v>
      </c>
      <c r="AZ103" s="1381">
        <v>80</v>
      </c>
      <c r="BA103" s="1414"/>
      <c r="BB103" s="1414"/>
      <c r="BC103" s="1414"/>
      <c r="BD103" s="1414"/>
      <c r="BE103" s="1414"/>
      <c r="BF103" s="1414"/>
      <c r="BG103" s="1414"/>
      <c r="BH103" s="1414"/>
      <c r="BI103" s="1414"/>
      <c r="BJ103" s="1414"/>
      <c r="BK103" s="1414"/>
      <c r="BL103" s="1414"/>
      <c r="BM103" s="1414"/>
      <c r="BN103" s="1414"/>
      <c r="BO103" s="1414"/>
      <c r="BP103" s="1414"/>
      <c r="BQ103" s="1414"/>
      <c r="BR103" s="1414"/>
      <c r="BS103" s="1414"/>
      <c r="BT103" s="1414"/>
      <c r="BU103" s="1414"/>
      <c r="BV103" s="1414"/>
      <c r="BW103" s="1414"/>
      <c r="BX103" s="1414"/>
      <c r="BY103" s="1414"/>
      <c r="BZ103" s="1414"/>
      <c r="CA103" s="1414"/>
      <c r="CB103" s="1414"/>
      <c r="CC103" s="1414"/>
      <c r="CD103" s="1414"/>
      <c r="CE103" s="1414"/>
      <c r="CF103" s="1414"/>
      <c r="CG103" s="1414"/>
      <c r="CH103" s="1414"/>
      <c r="CI103" s="1414"/>
      <c r="CJ103" s="1735"/>
      <c r="CK103" s="1414"/>
      <c r="CL103" s="1414"/>
      <c r="CM103" s="1414"/>
      <c r="CN103" s="1414"/>
      <c r="CO103" s="1414"/>
      <c r="CP103" s="1414"/>
      <c r="CQ103" s="1414"/>
      <c r="CR103" s="1414"/>
      <c r="CS103" s="1414"/>
      <c r="CT103" s="1414"/>
      <c r="CU103" s="1414"/>
      <c r="CV103" s="1414"/>
      <c r="CW103" s="1414"/>
      <c r="CX103" s="1414"/>
      <c r="CY103" s="1414"/>
      <c r="CZ103" s="1414"/>
      <c r="DA103" s="1414"/>
      <c r="DB103" s="1414"/>
      <c r="DC103" s="1414"/>
      <c r="DD103" s="1414"/>
      <c r="DE103" s="1414"/>
      <c r="DF103" s="1414"/>
      <c r="DG103" s="1414"/>
      <c r="DH103" s="1414"/>
      <c r="DI103" s="1414"/>
      <c r="DJ103" s="1414"/>
      <c r="DK103" s="1414"/>
      <c r="DL103" s="1414"/>
      <c r="DM103" s="1414"/>
      <c r="DN103" s="1414"/>
      <c r="DO103" s="1414"/>
      <c r="DP103" s="1414"/>
      <c r="DQ103" s="1414"/>
      <c r="DR103" s="1414"/>
      <c r="DS103" s="1735">
        <v>0</v>
      </c>
      <c r="DT103" s="1382">
        <v>0</v>
      </c>
      <c r="DU103" s="1414"/>
      <c r="DV103" s="1414"/>
      <c r="DW103" s="1414"/>
      <c r="DX103" s="1414"/>
      <c r="DY103" s="1414"/>
      <c r="DZ103" s="1414"/>
      <c r="EA103" s="1414"/>
      <c r="EB103" s="1414"/>
      <c r="EC103" s="1414"/>
      <c r="ED103" s="1414"/>
      <c r="EE103" s="1414"/>
      <c r="EF103" s="1414"/>
      <c r="EG103" s="1464">
        <v>17</v>
      </c>
      <c r="EH103" s="1414"/>
      <c r="EI103" s="1414"/>
      <c r="EJ103" s="1414"/>
      <c r="EK103" s="1414"/>
      <c r="EL103" s="1414"/>
      <c r="EM103" s="1414"/>
      <c r="EN103" s="1414"/>
      <c r="EO103" s="1414"/>
      <c r="EP103" s="1414"/>
      <c r="EQ103" s="1414"/>
      <c r="ER103" s="1414"/>
      <c r="ES103" s="1414"/>
      <c r="ET103" s="1414"/>
      <c r="EU103" s="1414"/>
      <c r="EV103" s="1414"/>
      <c r="EW103" s="1414"/>
      <c r="EX103" s="1414"/>
      <c r="EY103" s="1414"/>
      <c r="EZ103" s="1414"/>
      <c r="FA103" s="1414"/>
      <c r="FB103" s="1414"/>
      <c r="FC103" s="1414"/>
      <c r="FD103" s="1414"/>
      <c r="FE103" s="1414"/>
      <c r="FF103" s="1414"/>
      <c r="FG103" s="1414"/>
      <c r="FH103" s="1414"/>
      <c r="FI103" s="1414"/>
      <c r="FJ103" s="1414"/>
      <c r="FK103" s="1414"/>
      <c r="FL103" s="1414"/>
      <c r="FM103" s="1414"/>
      <c r="FN103" s="1414"/>
      <c r="FO103" s="1414"/>
      <c r="FP103" s="1414"/>
      <c r="FQ103" s="1414"/>
      <c r="FR103" s="1414"/>
      <c r="FS103" s="1414"/>
      <c r="FT103" s="1381">
        <v>80</v>
      </c>
      <c r="FU103" s="1381">
        <v>80</v>
      </c>
      <c r="FV103" s="1381">
        <v>80</v>
      </c>
      <c r="FW103" s="1414"/>
      <c r="FX103" s="1414"/>
      <c r="FY103" s="1414"/>
      <c r="FZ103" s="1414"/>
      <c r="GA103" s="1414"/>
      <c r="GB103" s="1414"/>
      <c r="GC103" s="1414"/>
      <c r="GD103" s="1414"/>
      <c r="GE103" s="1414"/>
      <c r="GF103" s="1414"/>
      <c r="GG103" s="1414"/>
      <c r="GH103" s="1414"/>
      <c r="GI103" s="1414"/>
      <c r="GJ103" s="1414"/>
      <c r="GK103" s="1414"/>
      <c r="GL103" s="1414"/>
      <c r="GM103" s="1414"/>
      <c r="GN103" s="1414"/>
      <c r="GO103" s="1414"/>
      <c r="GP103" s="1414"/>
      <c r="GQ103" s="1414"/>
      <c r="GR103" s="1414"/>
      <c r="GS103" s="1414"/>
      <c r="GT103" s="1414"/>
      <c r="GU103" s="1414"/>
      <c r="GV103" s="1414"/>
      <c r="GW103" s="1414"/>
      <c r="GX103" s="1414"/>
      <c r="GY103" s="1414"/>
      <c r="GZ103" s="1414"/>
      <c r="HA103" s="1734">
        <v>286</v>
      </c>
      <c r="HB103" s="1414"/>
      <c r="HC103" s="1414"/>
      <c r="HD103" s="1381">
        <v>0</v>
      </c>
      <c r="HE103" s="1414"/>
      <c r="HF103" s="1381">
        <v>0</v>
      </c>
      <c r="HG103" s="1382"/>
      <c r="HH103" s="1414"/>
      <c r="HI103" s="1734">
        <v>286</v>
      </c>
      <c r="HJ103" s="1381">
        <v>294</v>
      </c>
      <c r="HK103" s="1381">
        <v>294</v>
      </c>
      <c r="HL103" s="1381">
        <v>294</v>
      </c>
      <c r="HM103" s="1381">
        <v>294</v>
      </c>
      <c r="HN103" s="1381"/>
      <c r="HO103" s="1414"/>
      <c r="HP103" s="1381"/>
      <c r="HQ103" s="1414"/>
      <c r="HR103" s="1414"/>
      <c r="HS103" s="1414"/>
      <c r="HT103" s="1414"/>
      <c r="HU103" s="1381"/>
      <c r="HV103" s="1414"/>
      <c r="HW103" s="1414"/>
      <c r="HX103" s="1414"/>
      <c r="HY103" s="1414"/>
      <c r="HZ103" s="1414"/>
      <c r="IA103" s="1414"/>
      <c r="IB103" s="1414"/>
      <c r="IC103" s="1414"/>
      <c r="ID103" s="1414"/>
      <c r="IE103" s="1414"/>
      <c r="IF103" s="1414"/>
      <c r="IG103" s="1414"/>
      <c r="IH103" s="1414"/>
      <c r="II103" s="1414"/>
      <c r="IJ103" s="1414"/>
      <c r="IK103" s="1464"/>
      <c r="IL103" s="1414"/>
      <c r="IM103" s="1414"/>
      <c r="IN103" s="1414"/>
      <c r="IO103" s="1414"/>
      <c r="IP103" s="1414"/>
      <c r="IQ103" s="1414">
        <v>2</v>
      </c>
      <c r="IR103" s="1414"/>
      <c r="IS103" s="1414"/>
      <c r="IT103" s="1414">
        <v>51</v>
      </c>
      <c r="IU103" s="1414"/>
      <c r="IV103" s="1414"/>
      <c r="IW103" s="1414">
        <v>11</v>
      </c>
      <c r="IX103" s="1414"/>
      <c r="IY103" s="1414"/>
      <c r="IZ103" s="1414"/>
      <c r="JA103" s="1414"/>
      <c r="JB103" s="1414"/>
      <c r="JC103" s="1414"/>
      <c r="JD103" s="1414"/>
      <c r="JE103" s="1414"/>
      <c r="JF103" s="1414"/>
      <c r="JG103" s="1414"/>
      <c r="JH103" s="1414"/>
      <c r="JI103" s="1414"/>
      <c r="JJ103" s="1414"/>
      <c r="JK103" s="1414"/>
      <c r="JL103" s="1414"/>
      <c r="JM103" s="1414"/>
      <c r="JN103" s="1414"/>
      <c r="JO103" s="1414"/>
      <c r="JP103" s="1414"/>
      <c r="JQ103" s="1415"/>
      <c r="JR103" s="312"/>
      <c r="JS103" s="315"/>
      <c r="JT103" s="357" t="s">
        <v>2351</v>
      </c>
    </row>
    <row r="104" spans="1:280" x14ac:dyDescent="0.25">
      <c r="A104" s="1367">
        <v>17</v>
      </c>
      <c r="B104" s="1411" t="str">
        <f t="shared" si="12"/>
        <v/>
      </c>
      <c r="C104" s="1728" t="s">
        <v>4448</v>
      </c>
      <c r="D104" s="1443" t="str">
        <f>"Number of days you worked for more than 3 hours overseas in "&amp;tax_year</f>
        <v>Number of days you worked for more than 3 hours overseas in 2025-26</v>
      </c>
      <c r="E104" s="1381"/>
      <c r="F104" s="1381"/>
      <c r="G104" s="1734"/>
      <c r="H104" s="1734"/>
      <c r="I104" s="1734"/>
      <c r="J104" s="1737"/>
      <c r="K104" s="1381"/>
      <c r="L104" s="1737"/>
      <c r="M104" s="1734"/>
      <c r="N104" s="1734"/>
      <c r="O104" s="1737"/>
      <c r="P104" s="1737"/>
      <c r="Q104" s="1737"/>
      <c r="R104" s="1737"/>
      <c r="S104" s="1737"/>
      <c r="T104" s="1737"/>
      <c r="U104" s="1737"/>
      <c r="V104" s="1737"/>
      <c r="W104" s="1737"/>
      <c r="X104" s="1737"/>
      <c r="Y104" s="1737"/>
      <c r="Z104" s="1737"/>
      <c r="AA104" s="1737"/>
      <c r="AB104" s="1737"/>
      <c r="AC104" s="1737"/>
      <c r="AD104" s="1737"/>
      <c r="AE104" s="1737"/>
      <c r="AF104" s="1737"/>
      <c r="AG104" s="1737"/>
      <c r="AH104" s="1737"/>
      <c r="AI104" s="1737"/>
      <c r="AJ104" s="1737"/>
      <c r="AK104" s="1737"/>
      <c r="AL104" s="1737"/>
      <c r="AM104" s="1737"/>
      <c r="AN104" s="1737"/>
      <c r="AO104" s="1737"/>
      <c r="AP104" s="1737"/>
      <c r="AQ104" s="1737"/>
      <c r="AR104" s="1737"/>
      <c r="AS104" s="1737"/>
      <c r="AT104" s="1737"/>
      <c r="AU104" s="1737"/>
      <c r="AV104" s="1737"/>
      <c r="AW104" s="1737"/>
      <c r="AX104" s="1381">
        <v>160</v>
      </c>
      <c r="AY104" s="1382">
        <v>0</v>
      </c>
      <c r="AZ104" s="1381">
        <v>160</v>
      </c>
      <c r="BA104" s="1737"/>
      <c r="BB104" s="1737"/>
      <c r="BC104" s="1737"/>
      <c r="BD104" s="1737"/>
      <c r="BE104" s="1737"/>
      <c r="BF104" s="1737"/>
      <c r="BG104" s="1737"/>
      <c r="BH104" s="1737"/>
      <c r="BI104" s="1737"/>
      <c r="BJ104" s="1737"/>
      <c r="BK104" s="1737"/>
      <c r="BL104" s="1737"/>
      <c r="BM104" s="1737"/>
      <c r="BN104" s="1737"/>
      <c r="BO104" s="1737"/>
      <c r="BP104" s="1737"/>
      <c r="BQ104" s="1737"/>
      <c r="BR104" s="1737"/>
      <c r="BS104" s="1737"/>
      <c r="BT104" s="1737"/>
      <c r="BU104" s="1737"/>
      <c r="BV104" s="1737"/>
      <c r="BW104" s="1737"/>
      <c r="BX104" s="1737"/>
      <c r="BY104" s="1737"/>
      <c r="BZ104" s="1737"/>
      <c r="CA104" s="1737"/>
      <c r="CB104" s="1737"/>
      <c r="CC104" s="1737"/>
      <c r="CD104" s="1737"/>
      <c r="CE104" s="1737"/>
      <c r="CF104" s="1737"/>
      <c r="CG104" s="1737"/>
      <c r="CH104" s="1737"/>
      <c r="CI104" s="1737"/>
      <c r="CJ104" s="1734"/>
      <c r="CK104" s="1737"/>
      <c r="CL104" s="1737"/>
      <c r="CM104" s="1737"/>
      <c r="CN104" s="1737"/>
      <c r="CO104" s="1737"/>
      <c r="CP104" s="1737"/>
      <c r="CQ104" s="1737"/>
      <c r="CR104" s="1737"/>
      <c r="CS104" s="1737"/>
      <c r="CT104" s="1737"/>
      <c r="CU104" s="1737"/>
      <c r="CV104" s="1737"/>
      <c r="CW104" s="1737"/>
      <c r="CX104" s="1737"/>
      <c r="CY104" s="1737"/>
      <c r="CZ104" s="1737"/>
      <c r="DA104" s="1737"/>
      <c r="DB104" s="1737"/>
      <c r="DC104" s="1737"/>
      <c r="DD104" s="1737"/>
      <c r="DE104" s="1737"/>
      <c r="DF104" s="1737"/>
      <c r="DG104" s="1737"/>
      <c r="DH104" s="1737"/>
      <c r="DI104" s="1737"/>
      <c r="DJ104" s="1737"/>
      <c r="DK104" s="1737"/>
      <c r="DL104" s="1737"/>
      <c r="DM104" s="1737"/>
      <c r="DN104" s="1737"/>
      <c r="DO104" s="1737"/>
      <c r="DP104" s="1737"/>
      <c r="DQ104" s="1737"/>
      <c r="DR104" s="1737"/>
      <c r="DS104" s="1735">
        <v>71</v>
      </c>
      <c r="DT104" s="1735">
        <v>129</v>
      </c>
      <c r="DU104" s="1737"/>
      <c r="DV104" s="1737"/>
      <c r="DW104" s="1737"/>
      <c r="DX104" s="1737"/>
      <c r="DY104" s="1737"/>
      <c r="DZ104" s="1737"/>
      <c r="EA104" s="1737"/>
      <c r="EB104" s="1737"/>
      <c r="EC104" s="1737"/>
      <c r="ED104" s="1737"/>
      <c r="EE104" s="1737"/>
      <c r="EF104" s="1737"/>
      <c r="EG104" s="1737"/>
      <c r="EH104" s="1737"/>
      <c r="EI104" s="1737"/>
      <c r="EJ104" s="1737"/>
      <c r="EK104" s="1737"/>
      <c r="EL104" s="1737"/>
      <c r="EM104" s="1737"/>
      <c r="EN104" s="1737"/>
      <c r="EO104" s="1737"/>
      <c r="EP104" s="1737"/>
      <c r="EQ104" s="1737"/>
      <c r="ER104" s="1737"/>
      <c r="ES104" s="1737"/>
      <c r="ET104" s="1737"/>
      <c r="EU104" s="1737"/>
      <c r="EV104" s="1737"/>
      <c r="EW104" s="1737"/>
      <c r="EX104" s="1737"/>
      <c r="EY104" s="1737"/>
      <c r="EZ104" s="1737"/>
      <c r="FA104" s="1737"/>
      <c r="FB104" s="1737"/>
      <c r="FC104" s="1737"/>
      <c r="FD104" s="1737"/>
      <c r="FE104" s="1737"/>
      <c r="FF104" s="1737"/>
      <c r="FG104" s="1737"/>
      <c r="FH104" s="1737"/>
      <c r="FI104" s="1737"/>
      <c r="FJ104" s="1737"/>
      <c r="FK104" s="1737"/>
      <c r="FL104" s="1737"/>
      <c r="FM104" s="1737"/>
      <c r="FN104" s="1737"/>
      <c r="FO104" s="1737"/>
      <c r="FP104" s="1737"/>
      <c r="FQ104" s="1737"/>
      <c r="FR104" s="1737"/>
      <c r="FS104" s="1737"/>
      <c r="FT104" s="1381">
        <v>160</v>
      </c>
      <c r="FU104" s="1381">
        <v>160</v>
      </c>
      <c r="FV104" s="1381">
        <v>160</v>
      </c>
      <c r="FW104" s="1737"/>
      <c r="FX104" s="1737"/>
      <c r="FY104" s="1737"/>
      <c r="FZ104" s="1737"/>
      <c r="GA104" s="1737"/>
      <c r="GB104" s="1737"/>
      <c r="GC104" s="1737"/>
      <c r="GD104" s="1737"/>
      <c r="GE104" s="1737"/>
      <c r="GF104" s="1737"/>
      <c r="GG104" s="1737"/>
      <c r="GH104" s="1737"/>
      <c r="GI104" s="1737"/>
      <c r="GJ104" s="1737"/>
      <c r="GK104" s="1737"/>
      <c r="GL104" s="1737"/>
      <c r="GM104" s="1737"/>
      <c r="GN104" s="1737"/>
      <c r="GO104" s="1737"/>
      <c r="GP104" s="1737"/>
      <c r="GQ104" s="1737"/>
      <c r="GR104" s="1737"/>
      <c r="GS104" s="1737"/>
      <c r="GT104" s="1737"/>
      <c r="GU104" s="1737"/>
      <c r="GV104" s="1737"/>
      <c r="GW104" s="1737"/>
      <c r="GX104" s="1737"/>
      <c r="GY104" s="1737"/>
      <c r="GZ104" s="1737"/>
      <c r="HA104" s="1734"/>
      <c r="HB104" s="1737"/>
      <c r="HC104" s="1737"/>
      <c r="HD104" s="1381"/>
      <c r="HE104" s="1737"/>
      <c r="HF104" s="1381"/>
      <c r="HG104" s="1381"/>
      <c r="HH104" s="1737"/>
      <c r="HI104" s="1734"/>
      <c r="HJ104" s="1734"/>
      <c r="HK104" s="1734"/>
      <c r="HL104" s="1734"/>
      <c r="HM104" s="1734"/>
      <c r="HN104" s="1381"/>
      <c r="HO104" s="1737"/>
      <c r="HP104" s="1381"/>
      <c r="HQ104" s="1737"/>
      <c r="HR104" s="1737"/>
      <c r="HS104" s="1737"/>
      <c r="HT104" s="1737"/>
      <c r="HU104" s="1381"/>
      <c r="HV104" s="1737"/>
      <c r="HW104" s="1737"/>
      <c r="HX104" s="1737"/>
      <c r="HY104" s="1737"/>
      <c r="HZ104" s="1737"/>
      <c r="IA104" s="1737"/>
      <c r="IB104" s="1737"/>
      <c r="IC104" s="1737"/>
      <c r="ID104" s="1737"/>
      <c r="IE104" s="1737"/>
      <c r="IF104" s="1737"/>
      <c r="IG104" s="1737"/>
      <c r="IH104" s="1737"/>
      <c r="II104" s="1737"/>
      <c r="IJ104" s="1737"/>
      <c r="IK104" s="1737"/>
      <c r="IL104" s="1737"/>
      <c r="IM104" s="1737"/>
      <c r="IN104" s="1737"/>
      <c r="IO104" s="1737"/>
      <c r="IP104" s="1737"/>
      <c r="IQ104" s="1737"/>
      <c r="IR104" s="1737"/>
      <c r="IS104" s="1737"/>
      <c r="IT104" s="1737">
        <v>117</v>
      </c>
      <c r="IU104" s="1737"/>
      <c r="IV104" s="1737"/>
      <c r="IW104" s="1737">
        <v>214</v>
      </c>
      <c r="IX104" s="1737"/>
      <c r="IY104" s="1737"/>
      <c r="IZ104" s="1737"/>
      <c r="JA104" s="1737"/>
      <c r="JB104" s="1737"/>
      <c r="JC104" s="1737"/>
      <c r="JD104" s="1737"/>
      <c r="JE104" s="1737"/>
      <c r="JF104" s="1737"/>
      <c r="JG104" s="1737"/>
      <c r="JH104" s="1737"/>
      <c r="JI104" s="1737"/>
      <c r="JJ104" s="1737"/>
      <c r="JK104" s="1737"/>
      <c r="JL104" s="1737"/>
      <c r="JM104" s="1737"/>
      <c r="JN104" s="1737"/>
      <c r="JO104" s="1737"/>
      <c r="JP104" s="1737"/>
      <c r="JQ104" s="1738"/>
      <c r="JR104" s="601"/>
      <c r="JS104" s="315"/>
      <c r="JT104" s="367" t="s">
        <v>4449</v>
      </c>
    </row>
    <row r="105" spans="1:280" x14ac:dyDescent="0.25">
      <c r="A105" s="1367">
        <v>18</v>
      </c>
      <c r="B105" s="1411" t="str">
        <f t="shared" si="12"/>
        <v/>
      </c>
      <c r="C105" s="1728" t="s">
        <v>4450</v>
      </c>
      <c r="D105" s="1443" t="s">
        <v>4451</v>
      </c>
      <c r="E105" s="1381"/>
      <c r="F105" s="1381"/>
      <c r="G105" s="1381"/>
      <c r="H105" s="1381"/>
      <c r="I105" s="1381"/>
      <c r="J105" s="1414"/>
      <c r="K105" s="1381"/>
      <c r="L105" s="1414"/>
      <c r="M105" s="1381"/>
      <c r="N105" s="1381"/>
      <c r="O105" s="1414"/>
      <c r="P105" s="1414"/>
      <c r="Q105" s="1414"/>
      <c r="R105" s="1414"/>
      <c r="S105" s="1414"/>
      <c r="T105" s="1414"/>
      <c r="U105" s="1414"/>
      <c r="V105" s="1414"/>
      <c r="W105" s="1414"/>
      <c r="X105" s="1414"/>
      <c r="Y105" s="1414"/>
      <c r="Z105" s="1414"/>
      <c r="AA105" s="1414"/>
      <c r="AB105" s="1414"/>
      <c r="AC105" s="1414"/>
      <c r="AD105" s="1414"/>
      <c r="AE105" s="1414"/>
      <c r="AF105" s="1414"/>
      <c r="AG105" s="1414"/>
      <c r="AH105" s="1414"/>
      <c r="AI105" s="1414"/>
      <c r="AJ105" s="1414"/>
      <c r="AK105" s="1414"/>
      <c r="AL105" s="1414"/>
      <c r="AM105" s="1414"/>
      <c r="AN105" s="1414"/>
      <c r="AO105" s="1414"/>
      <c r="AP105" s="1414"/>
      <c r="AQ105" s="1414"/>
      <c r="AR105" s="1414"/>
      <c r="AS105" s="1414"/>
      <c r="AT105" s="1414"/>
      <c r="AU105" s="1414"/>
      <c r="AV105" s="1414"/>
      <c r="AW105" s="1414"/>
      <c r="AX105" s="1381" t="s">
        <v>1615</v>
      </c>
      <c r="AY105" s="1382" t="s">
        <v>1707</v>
      </c>
      <c r="AZ105" s="1381" t="s">
        <v>1615</v>
      </c>
      <c r="BA105" s="1414"/>
      <c r="BB105" s="1414"/>
      <c r="BC105" s="1414"/>
      <c r="BD105" s="1414"/>
      <c r="BE105" s="1414"/>
      <c r="BF105" s="1414"/>
      <c r="BG105" s="1414"/>
      <c r="BH105" s="1414"/>
      <c r="BI105" s="1414"/>
      <c r="BJ105" s="1414"/>
      <c r="BK105" s="1414"/>
      <c r="BL105" s="1414"/>
      <c r="BM105" s="1414"/>
      <c r="BN105" s="1414"/>
      <c r="BO105" s="1414"/>
      <c r="BP105" s="1414"/>
      <c r="BQ105" s="1414"/>
      <c r="BR105" s="1414"/>
      <c r="BS105" s="1414"/>
      <c r="BT105" s="1414"/>
      <c r="BU105" s="1414"/>
      <c r="BV105" s="1414"/>
      <c r="BW105" s="1414"/>
      <c r="BX105" s="1414"/>
      <c r="BY105" s="1414"/>
      <c r="BZ105" s="1414"/>
      <c r="CA105" s="1414"/>
      <c r="CB105" s="1414"/>
      <c r="CC105" s="1414"/>
      <c r="CD105" s="1414"/>
      <c r="CE105" s="1414"/>
      <c r="CF105" s="1414"/>
      <c r="CG105" s="1414"/>
      <c r="CH105" s="1414"/>
      <c r="CI105" s="1414"/>
      <c r="CJ105" s="1382"/>
      <c r="CK105" s="1414"/>
      <c r="CL105" s="1414"/>
      <c r="CM105" s="1414"/>
      <c r="CN105" s="1414"/>
      <c r="CO105" s="1414"/>
      <c r="CP105" s="1414"/>
      <c r="CQ105" s="1414"/>
      <c r="CR105" s="1414"/>
      <c r="CS105" s="1414"/>
      <c r="CT105" s="1414"/>
      <c r="CU105" s="1414"/>
      <c r="CV105" s="1414"/>
      <c r="CW105" s="1414"/>
      <c r="CX105" s="1414"/>
      <c r="CY105" s="1414"/>
      <c r="CZ105" s="1414"/>
      <c r="DA105" s="1414"/>
      <c r="DB105" s="1414"/>
      <c r="DC105" s="1414"/>
      <c r="DD105" s="1414"/>
      <c r="DE105" s="1414"/>
      <c r="DF105" s="1414"/>
      <c r="DG105" s="1414"/>
      <c r="DH105" s="1414"/>
      <c r="DI105" s="1414"/>
      <c r="DJ105" s="1414"/>
      <c r="DK105" s="1414"/>
      <c r="DL105" s="1414"/>
      <c r="DM105" s="1414"/>
      <c r="DN105" s="1414"/>
      <c r="DO105" s="1414"/>
      <c r="DP105" s="1414"/>
      <c r="DQ105" s="1414"/>
      <c r="DR105" s="1414"/>
      <c r="DS105" s="1381" t="s">
        <v>1615</v>
      </c>
      <c r="DT105" s="1381" t="s">
        <v>1615</v>
      </c>
      <c r="DU105" s="1414"/>
      <c r="DV105" s="1414"/>
      <c r="DW105" s="1414"/>
      <c r="DX105" s="1414"/>
      <c r="DY105" s="1414"/>
      <c r="DZ105" s="1414"/>
      <c r="EA105" s="1414"/>
      <c r="EB105" s="1414"/>
      <c r="EC105" s="1414"/>
      <c r="ED105" s="1414"/>
      <c r="EE105" s="1414"/>
      <c r="EF105" s="1414"/>
      <c r="EG105" s="1414"/>
      <c r="EH105" s="1414"/>
      <c r="EI105" s="1414"/>
      <c r="EJ105" s="1414"/>
      <c r="EK105" s="1414"/>
      <c r="EL105" s="1414"/>
      <c r="EM105" s="1414"/>
      <c r="EN105" s="1414"/>
      <c r="EO105" s="1414"/>
      <c r="EP105" s="1414"/>
      <c r="EQ105" s="1414"/>
      <c r="ER105" s="1414"/>
      <c r="ES105" s="1414"/>
      <c r="ET105" s="1414"/>
      <c r="EU105" s="1414"/>
      <c r="EV105" s="1414"/>
      <c r="EW105" s="1414"/>
      <c r="EX105" s="1414"/>
      <c r="EY105" s="1414"/>
      <c r="EZ105" s="1414"/>
      <c r="FA105" s="1414"/>
      <c r="FB105" s="1414"/>
      <c r="FC105" s="1414"/>
      <c r="FD105" s="1414"/>
      <c r="FE105" s="1414"/>
      <c r="FF105" s="1414"/>
      <c r="FG105" s="1414"/>
      <c r="FH105" s="1414"/>
      <c r="FI105" s="1414"/>
      <c r="FJ105" s="1414"/>
      <c r="FK105" s="1414"/>
      <c r="FL105" s="1414"/>
      <c r="FM105" s="1414"/>
      <c r="FN105" s="1414"/>
      <c r="FO105" s="1414"/>
      <c r="FP105" s="1414"/>
      <c r="FQ105" s="1414"/>
      <c r="FR105" s="1414"/>
      <c r="FS105" s="1414"/>
      <c r="FT105" s="1381" t="s">
        <v>1615</v>
      </c>
      <c r="FU105" s="1381" t="s">
        <v>1615</v>
      </c>
      <c r="FV105" s="1381" t="s">
        <v>1615</v>
      </c>
      <c r="FW105" s="1414"/>
      <c r="FX105" s="1414"/>
      <c r="FY105" s="1414"/>
      <c r="FZ105" s="1414" t="s">
        <v>1707</v>
      </c>
      <c r="GA105" s="1414"/>
      <c r="GB105" s="1414"/>
      <c r="GC105" s="1414"/>
      <c r="GD105" s="1414"/>
      <c r="GE105" s="1414"/>
      <c r="GF105" s="1414"/>
      <c r="GG105" s="1414"/>
      <c r="GH105" s="1414"/>
      <c r="GI105" s="1414"/>
      <c r="GJ105" s="1414"/>
      <c r="GK105" s="1414"/>
      <c r="GL105" s="1414"/>
      <c r="GM105" s="1414"/>
      <c r="GN105" s="1414"/>
      <c r="GO105" s="1414"/>
      <c r="GP105" s="1414"/>
      <c r="GQ105" s="1414"/>
      <c r="GR105" s="1414"/>
      <c r="GS105" s="1414"/>
      <c r="GT105" s="1414"/>
      <c r="GU105" s="1414"/>
      <c r="GV105" s="1414"/>
      <c r="GW105" s="1414"/>
      <c r="GX105" s="1414"/>
      <c r="GY105" s="1414"/>
      <c r="GZ105" s="1414"/>
      <c r="HA105" s="1381" t="s">
        <v>1615</v>
      </c>
      <c r="HB105" s="1414"/>
      <c r="HC105" s="1414"/>
      <c r="HD105" s="1381" t="s">
        <v>1615</v>
      </c>
      <c r="HE105" s="1414"/>
      <c r="HF105" s="1381" t="s">
        <v>1615</v>
      </c>
      <c r="HG105" s="1382"/>
      <c r="HH105" s="1414"/>
      <c r="HI105" s="1381" t="s">
        <v>1615</v>
      </c>
      <c r="HJ105" s="1381" t="s">
        <v>1615</v>
      </c>
      <c r="HK105" s="1381" t="s">
        <v>1615</v>
      </c>
      <c r="HL105" s="1381" t="s">
        <v>1615</v>
      </c>
      <c r="HM105" s="1381" t="s">
        <v>1615</v>
      </c>
      <c r="HN105" s="1381"/>
      <c r="HO105" s="1414"/>
      <c r="HP105" s="1381"/>
      <c r="HQ105" s="1414"/>
      <c r="HR105" s="1414"/>
      <c r="HS105" s="1414"/>
      <c r="HT105" s="1414"/>
      <c r="HU105" s="1381"/>
      <c r="HV105" s="1414"/>
      <c r="HW105" s="1414"/>
      <c r="HX105" s="1414"/>
      <c r="HY105" s="1414"/>
      <c r="HZ105" s="1414"/>
      <c r="IA105" s="1414"/>
      <c r="IB105" s="1414"/>
      <c r="IC105" s="1414"/>
      <c r="ID105" s="1414"/>
      <c r="IE105" s="1414"/>
      <c r="IF105" s="1414"/>
      <c r="IG105" s="1414"/>
      <c r="IH105" s="1414"/>
      <c r="II105" s="1414"/>
      <c r="IJ105" s="1414"/>
      <c r="IK105" s="1414"/>
      <c r="IL105" s="1414"/>
      <c r="IM105" s="1414"/>
      <c r="IN105" s="1414"/>
      <c r="IO105" s="1414"/>
      <c r="IP105" s="1414" t="s">
        <v>1707</v>
      </c>
      <c r="IQ105" s="1414" t="s">
        <v>1707</v>
      </c>
      <c r="IR105" s="1414"/>
      <c r="IS105" s="1414"/>
      <c r="IT105" s="1414"/>
      <c r="IU105" s="1414"/>
      <c r="IV105" s="1414"/>
      <c r="IW105" s="1414" t="s">
        <v>1707</v>
      </c>
      <c r="IX105" s="1414"/>
      <c r="IY105" s="1414"/>
      <c r="IZ105" s="1414"/>
      <c r="JA105" s="1414"/>
      <c r="JB105" s="1414"/>
      <c r="JC105" s="1414"/>
      <c r="JD105" s="1414"/>
      <c r="JE105" s="1414"/>
      <c r="JF105" s="1414"/>
      <c r="JG105" s="1414"/>
      <c r="JH105" s="1414"/>
      <c r="JI105" s="1414"/>
      <c r="JJ105" s="1414"/>
      <c r="JK105" s="1414"/>
      <c r="JL105" s="1414"/>
      <c r="JM105" s="1414"/>
      <c r="JN105" s="1414"/>
      <c r="JO105" s="1414"/>
      <c r="JP105" s="1414"/>
      <c r="JQ105" s="1415" t="s">
        <v>1707</v>
      </c>
      <c r="JR105" s="312"/>
      <c r="JS105" s="315"/>
      <c r="JT105" s="357" t="s">
        <v>2319</v>
      </c>
    </row>
    <row r="106" spans="1:280" x14ac:dyDescent="0.25">
      <c r="A106" s="1367">
        <v>19</v>
      </c>
      <c r="B106" s="1411" t="str">
        <f>IF(NRD_IND&gt;1,IF(HLOOKUP(NRD_IND-1,NRD_RANGE,A106)="","",HLOOKUP(NRD_IND-1,NRD_RANGE,A106)),"")</f>
        <v/>
      </c>
      <c r="C106" s="1728" t="s">
        <v>4452</v>
      </c>
      <c r="D106" s="1443" t="s">
        <v>4453</v>
      </c>
      <c r="E106" s="1381"/>
      <c r="F106" s="1381"/>
      <c r="G106" s="1381"/>
      <c r="H106" s="1381"/>
      <c r="I106" s="1381"/>
      <c r="J106" s="1414"/>
      <c r="K106" s="1381"/>
      <c r="L106" s="1414"/>
      <c r="M106" s="1381"/>
      <c r="N106" s="1381"/>
      <c r="O106" s="1414"/>
      <c r="P106" s="1414"/>
      <c r="Q106" s="1414"/>
      <c r="R106" s="1414"/>
      <c r="S106" s="1414"/>
      <c r="T106" s="1414"/>
      <c r="U106" s="1414"/>
      <c r="V106" s="1414"/>
      <c r="W106" s="1414"/>
      <c r="X106" s="1414"/>
      <c r="Y106" s="1414"/>
      <c r="Z106" s="1414"/>
      <c r="AA106" s="1414"/>
      <c r="AB106" s="1414"/>
      <c r="AC106" s="1414"/>
      <c r="AD106" s="1414"/>
      <c r="AE106" s="1414"/>
      <c r="AF106" s="1414"/>
      <c r="AG106" s="1414"/>
      <c r="AH106" s="1414"/>
      <c r="AI106" s="1414"/>
      <c r="AJ106" s="1414"/>
      <c r="AK106" s="1414"/>
      <c r="AL106" s="1414"/>
      <c r="AM106" s="1414"/>
      <c r="AN106" s="1414"/>
      <c r="AO106" s="1414"/>
      <c r="AP106" s="1414"/>
      <c r="AQ106" s="1414"/>
      <c r="AR106" s="1414"/>
      <c r="AS106" s="1414"/>
      <c r="AT106" s="1414"/>
      <c r="AU106" s="1414"/>
      <c r="AV106" s="1414"/>
      <c r="AW106" s="1414"/>
      <c r="AX106" s="1381" t="s">
        <v>1707</v>
      </c>
      <c r="AY106" s="1382" t="s">
        <v>1615</v>
      </c>
      <c r="AZ106" s="1381" t="s">
        <v>1707</v>
      </c>
      <c r="BA106" s="1414"/>
      <c r="BB106" s="1414"/>
      <c r="BC106" s="1414"/>
      <c r="BD106" s="1414"/>
      <c r="BE106" s="1414"/>
      <c r="BF106" s="1414"/>
      <c r="BG106" s="1414"/>
      <c r="BH106" s="1414"/>
      <c r="BI106" s="1414"/>
      <c r="BJ106" s="1414"/>
      <c r="BK106" s="1414" t="s">
        <v>1707</v>
      </c>
      <c r="BL106" s="1414"/>
      <c r="BM106" s="1414"/>
      <c r="BN106" s="1414"/>
      <c r="BO106" s="1414"/>
      <c r="BP106" s="1414"/>
      <c r="BQ106" s="1414"/>
      <c r="BR106" s="1414"/>
      <c r="BS106" s="1414"/>
      <c r="BT106" s="1414"/>
      <c r="BU106" s="1414"/>
      <c r="BV106" s="1414"/>
      <c r="BW106" s="1414"/>
      <c r="BX106" s="1414"/>
      <c r="BY106" s="1414"/>
      <c r="BZ106" s="1414"/>
      <c r="CA106" s="1414"/>
      <c r="CB106" s="1414"/>
      <c r="CC106" s="1414"/>
      <c r="CD106" s="1414"/>
      <c r="CE106" s="1414"/>
      <c r="CF106" s="1414"/>
      <c r="CG106" s="1414"/>
      <c r="CH106" s="1414"/>
      <c r="CI106" s="1414"/>
      <c r="CJ106" s="1382"/>
      <c r="CK106" s="1414"/>
      <c r="CL106" s="1414"/>
      <c r="CM106" s="1414"/>
      <c r="CN106" s="1414"/>
      <c r="CO106" s="1414"/>
      <c r="CP106" s="1414"/>
      <c r="CQ106" s="1414"/>
      <c r="CR106" s="1414"/>
      <c r="CS106" s="1414"/>
      <c r="CT106" s="1414"/>
      <c r="CU106" s="1414"/>
      <c r="CV106" s="1414"/>
      <c r="CW106" s="1414"/>
      <c r="CX106" s="1414"/>
      <c r="CY106" s="1414"/>
      <c r="CZ106" s="1414"/>
      <c r="DA106" s="1414"/>
      <c r="DB106" s="1414"/>
      <c r="DC106" s="1414"/>
      <c r="DD106" s="1414"/>
      <c r="DE106" s="1414"/>
      <c r="DF106" s="1414"/>
      <c r="DG106" s="1414"/>
      <c r="DH106" s="1414"/>
      <c r="DI106" s="1414"/>
      <c r="DJ106" s="1414"/>
      <c r="DK106" s="1414"/>
      <c r="DL106" s="1414"/>
      <c r="DM106" s="1414"/>
      <c r="DN106" s="1414"/>
      <c r="DO106" s="1414"/>
      <c r="DP106" s="1414"/>
      <c r="DQ106" s="1414"/>
      <c r="DR106" s="1414"/>
      <c r="DS106" s="1381" t="s">
        <v>1615</v>
      </c>
      <c r="DT106" s="1381" t="s">
        <v>1615</v>
      </c>
      <c r="DU106" s="1414"/>
      <c r="DV106" s="1414"/>
      <c r="DW106" s="1414"/>
      <c r="DX106" s="1414"/>
      <c r="DY106" s="1414"/>
      <c r="DZ106" s="1414"/>
      <c r="EA106" s="1414"/>
      <c r="EB106" s="1414"/>
      <c r="EC106" s="1414"/>
      <c r="ED106" s="1414"/>
      <c r="EE106" s="1414"/>
      <c r="EF106" s="1414"/>
      <c r="EG106" s="1414"/>
      <c r="EH106" s="1414"/>
      <c r="EI106" s="1414"/>
      <c r="EJ106" s="1414"/>
      <c r="EK106" s="1414"/>
      <c r="EL106" s="1414"/>
      <c r="EM106" s="1414"/>
      <c r="EN106" s="1414"/>
      <c r="EO106" s="1414"/>
      <c r="EP106" s="1414"/>
      <c r="EQ106" s="1414"/>
      <c r="ER106" s="1414"/>
      <c r="ES106" s="1414"/>
      <c r="ET106" s="1414"/>
      <c r="EU106" s="1414"/>
      <c r="EV106" s="1414"/>
      <c r="EW106" s="1414"/>
      <c r="EX106" s="1414"/>
      <c r="EY106" s="1414"/>
      <c r="EZ106" s="1414"/>
      <c r="FA106" s="1414"/>
      <c r="FB106" s="1414"/>
      <c r="FC106" s="1414"/>
      <c r="FD106" s="1414"/>
      <c r="FE106" s="1414"/>
      <c r="FF106" s="1414"/>
      <c r="FG106" s="1414"/>
      <c r="FH106" s="1414"/>
      <c r="FI106" s="1414"/>
      <c r="FJ106" s="1414"/>
      <c r="FK106" s="1414"/>
      <c r="FL106" s="1414"/>
      <c r="FM106" s="1414"/>
      <c r="FN106" s="1414"/>
      <c r="FO106" s="1414"/>
      <c r="FP106" s="1414"/>
      <c r="FQ106" s="1414"/>
      <c r="FR106" s="1414"/>
      <c r="FS106" s="1414"/>
      <c r="FT106" s="1381" t="s">
        <v>1707</v>
      </c>
      <c r="FU106" s="1381" t="s">
        <v>1707</v>
      </c>
      <c r="FV106" s="1381" t="s">
        <v>1707</v>
      </c>
      <c r="FW106" s="1414"/>
      <c r="FX106" s="1414"/>
      <c r="FY106" s="1414"/>
      <c r="FZ106" s="1414"/>
      <c r="GA106" s="1414"/>
      <c r="GB106" s="1414"/>
      <c r="GC106" s="1414"/>
      <c r="GD106" s="1414"/>
      <c r="GE106" s="1414"/>
      <c r="GF106" s="1414"/>
      <c r="GG106" s="1414"/>
      <c r="GH106" s="1414"/>
      <c r="GI106" s="1414"/>
      <c r="GJ106" s="1414"/>
      <c r="GK106" s="1414"/>
      <c r="GL106" s="1414"/>
      <c r="GM106" s="1414"/>
      <c r="GN106" s="1414"/>
      <c r="GO106" s="1414"/>
      <c r="GP106" s="1414"/>
      <c r="GQ106" s="1414"/>
      <c r="GR106" s="1414"/>
      <c r="GS106" s="1414"/>
      <c r="GT106" s="1414"/>
      <c r="GU106" s="1414"/>
      <c r="GV106" s="1414"/>
      <c r="GW106" s="1414"/>
      <c r="GX106" s="1414"/>
      <c r="GY106" s="1414"/>
      <c r="GZ106" s="1414"/>
      <c r="HA106" s="1381" t="s">
        <v>1615</v>
      </c>
      <c r="HB106" s="1414"/>
      <c r="HC106" s="1414"/>
      <c r="HD106" s="1381" t="s">
        <v>1615</v>
      </c>
      <c r="HE106" s="1414"/>
      <c r="HF106" s="1381" t="s">
        <v>1615</v>
      </c>
      <c r="HG106" s="1382"/>
      <c r="HH106" s="1414"/>
      <c r="HI106" s="1381" t="s">
        <v>1615</v>
      </c>
      <c r="HJ106" s="1381" t="s">
        <v>1615</v>
      </c>
      <c r="HK106" s="1381" t="s">
        <v>1615</v>
      </c>
      <c r="HL106" s="1381" t="s">
        <v>1615</v>
      </c>
      <c r="HM106" s="1381" t="s">
        <v>1615</v>
      </c>
      <c r="HN106" s="1381"/>
      <c r="HO106" s="1414"/>
      <c r="HP106" s="1381"/>
      <c r="HQ106" s="1414"/>
      <c r="HR106" s="1414"/>
      <c r="HS106" s="1414"/>
      <c r="HT106" s="1414"/>
      <c r="HU106" s="1381"/>
      <c r="HV106" s="1414"/>
      <c r="HW106" s="1414"/>
      <c r="HX106" s="1414"/>
      <c r="HY106" s="1414"/>
      <c r="HZ106" s="1414"/>
      <c r="IA106" s="1414"/>
      <c r="IB106" s="1414"/>
      <c r="IC106" s="1414"/>
      <c r="ID106" s="1414"/>
      <c r="IE106" s="1414"/>
      <c r="IF106" s="1414"/>
      <c r="IG106" s="1414"/>
      <c r="IH106" s="1414"/>
      <c r="II106" s="1414"/>
      <c r="IJ106" s="1414"/>
      <c r="IK106" s="1414"/>
      <c r="IL106" s="1414"/>
      <c r="IM106" s="1414"/>
      <c r="IN106" s="1414"/>
      <c r="IO106" s="1414"/>
      <c r="IP106" s="1414"/>
      <c r="IQ106" s="1414"/>
      <c r="IR106" s="1414" t="s">
        <v>1707</v>
      </c>
      <c r="IS106" s="1414"/>
      <c r="IT106" s="1414"/>
      <c r="IU106" s="1414"/>
      <c r="IV106" s="1414"/>
      <c r="IW106" s="1414" t="s">
        <v>1707</v>
      </c>
      <c r="IX106" s="1414"/>
      <c r="IY106" s="1414"/>
      <c r="IZ106" s="1414"/>
      <c r="JA106" s="1414"/>
      <c r="JB106" s="1414"/>
      <c r="JC106" s="1414"/>
      <c r="JD106" s="1414"/>
      <c r="JE106" s="1414"/>
      <c r="JF106" s="1414"/>
      <c r="JG106" s="1414"/>
      <c r="JH106" s="1414"/>
      <c r="JI106" s="1414"/>
      <c r="JJ106" s="1414" t="s">
        <v>1707</v>
      </c>
      <c r="JK106" s="1414" t="s">
        <v>1707</v>
      </c>
      <c r="JL106" s="1464"/>
      <c r="JM106" s="1464"/>
      <c r="JN106" s="1414" t="s">
        <v>1707</v>
      </c>
      <c r="JO106" s="1414"/>
      <c r="JP106" s="1414"/>
      <c r="JQ106" s="1415"/>
      <c r="JR106" s="312"/>
      <c r="JS106" s="315"/>
      <c r="JT106" s="357" t="s">
        <v>2319</v>
      </c>
    </row>
    <row r="107" spans="1:280" x14ac:dyDescent="0.25">
      <c r="A107" s="1367">
        <v>20</v>
      </c>
      <c r="B107" s="1411" t="str">
        <f t="shared" si="12"/>
        <v/>
      </c>
      <c r="C107" s="1728" t="s">
        <v>4454</v>
      </c>
      <c r="D107" s="1443" t="s">
        <v>4455</v>
      </c>
      <c r="E107" s="1739"/>
      <c r="F107" s="1739"/>
      <c r="G107" s="1739"/>
      <c r="H107" s="1739"/>
      <c r="I107" s="1381"/>
      <c r="J107" s="1740"/>
      <c r="K107" s="1381"/>
      <c r="L107" s="1740"/>
      <c r="M107" s="1381"/>
      <c r="N107" s="1381"/>
      <c r="O107" s="1740"/>
      <c r="P107" s="1740"/>
      <c r="Q107" s="1740"/>
      <c r="R107" s="1740"/>
      <c r="S107" s="1740"/>
      <c r="T107" s="1740"/>
      <c r="U107" s="1740"/>
      <c r="V107" s="1740"/>
      <c r="W107" s="1740"/>
      <c r="X107" s="1740"/>
      <c r="Y107" s="1740"/>
      <c r="Z107" s="1740"/>
      <c r="AA107" s="1740"/>
      <c r="AB107" s="1740"/>
      <c r="AC107" s="1740"/>
      <c r="AD107" s="1740"/>
      <c r="AE107" s="1740"/>
      <c r="AF107" s="1740"/>
      <c r="AG107" s="1740"/>
      <c r="AH107" s="1740"/>
      <c r="AI107" s="1740"/>
      <c r="AJ107" s="1740"/>
      <c r="AK107" s="1740"/>
      <c r="AL107" s="1740"/>
      <c r="AM107" s="1740"/>
      <c r="AN107" s="1740"/>
      <c r="AO107" s="1740"/>
      <c r="AP107" s="1740"/>
      <c r="AQ107" s="1740"/>
      <c r="AR107" s="1740"/>
      <c r="AS107" s="1740"/>
      <c r="AT107" s="1740"/>
      <c r="AU107" s="1740"/>
      <c r="AV107" s="1740"/>
      <c r="AW107" s="1740"/>
      <c r="AX107" s="1739" t="s">
        <v>4456</v>
      </c>
      <c r="AY107" s="1741" t="s">
        <v>3862</v>
      </c>
      <c r="AZ107" s="1739" t="s">
        <v>4456</v>
      </c>
      <c r="BA107" s="1740"/>
      <c r="BB107" s="1740"/>
      <c r="BC107" s="1740"/>
      <c r="BD107" s="1740"/>
      <c r="BE107" s="1740"/>
      <c r="BF107" s="1740"/>
      <c r="BG107" s="1740"/>
      <c r="BH107" s="1740"/>
      <c r="BI107" s="1740"/>
      <c r="BJ107" s="1740"/>
      <c r="BK107" s="1740" t="s">
        <v>3854</v>
      </c>
      <c r="BL107" s="1740"/>
      <c r="BM107" s="1740"/>
      <c r="BN107" s="1740"/>
      <c r="BO107" s="1740"/>
      <c r="BP107" s="1740"/>
      <c r="BQ107" s="1740"/>
      <c r="BR107" s="1740"/>
      <c r="BS107" s="1740"/>
      <c r="BT107" s="1740"/>
      <c r="BU107" s="1740"/>
      <c r="BV107" s="1740"/>
      <c r="BW107" s="1740"/>
      <c r="BX107" s="1740"/>
      <c r="BY107" s="1740"/>
      <c r="BZ107" s="1740"/>
      <c r="CA107" s="1740"/>
      <c r="CB107" s="1740"/>
      <c r="CC107" s="1740"/>
      <c r="CD107" s="1740"/>
      <c r="CE107" s="1740"/>
      <c r="CF107" s="1740"/>
      <c r="CG107" s="1740"/>
      <c r="CH107" s="1740"/>
      <c r="CI107" s="1740"/>
      <c r="CJ107" s="1741"/>
      <c r="CK107" s="1740"/>
      <c r="CL107" s="1740"/>
      <c r="CM107" s="1740"/>
      <c r="CN107" s="1740"/>
      <c r="CO107" s="1740"/>
      <c r="CP107" s="1740"/>
      <c r="CQ107" s="1740"/>
      <c r="CR107" s="1740"/>
      <c r="CS107" s="1740"/>
      <c r="CT107" s="1740"/>
      <c r="CU107" s="1740"/>
      <c r="CV107" s="1740"/>
      <c r="CW107" s="1740"/>
      <c r="CX107" s="1740"/>
      <c r="CY107" s="1740"/>
      <c r="CZ107" s="1740"/>
      <c r="DA107" s="1740"/>
      <c r="DB107" s="1740"/>
      <c r="DC107" s="1740"/>
      <c r="DD107" s="1740"/>
      <c r="DE107" s="1740"/>
      <c r="DF107" s="1740"/>
      <c r="DG107" s="1740"/>
      <c r="DH107" s="1740"/>
      <c r="DI107" s="1740"/>
      <c r="DJ107" s="1740"/>
      <c r="DK107" s="1740"/>
      <c r="DL107" s="1740"/>
      <c r="DM107" s="1740"/>
      <c r="DN107" s="1740"/>
      <c r="DO107" s="1740"/>
      <c r="DP107" s="1740"/>
      <c r="DQ107" s="1740"/>
      <c r="DR107" s="1740"/>
      <c r="DS107" s="1739" t="s">
        <v>4457</v>
      </c>
      <c r="DT107" s="1381" t="s">
        <v>3852</v>
      </c>
      <c r="DU107" s="1740"/>
      <c r="DV107" s="1740"/>
      <c r="DW107" s="1740"/>
      <c r="DX107" s="1740"/>
      <c r="DY107" s="1740"/>
      <c r="DZ107" s="1740"/>
      <c r="EA107" s="1740"/>
      <c r="EB107" s="1740"/>
      <c r="EC107" s="1740"/>
      <c r="ED107" s="1740"/>
      <c r="EE107" s="1740"/>
      <c r="EF107" s="1740"/>
      <c r="EG107" s="1740"/>
      <c r="EH107" s="1740"/>
      <c r="EI107" s="1740"/>
      <c r="EJ107" s="1740"/>
      <c r="EK107" s="1740"/>
      <c r="EL107" s="1740"/>
      <c r="EM107" s="1740"/>
      <c r="EN107" s="1740"/>
      <c r="EO107" s="1740"/>
      <c r="EP107" s="1740"/>
      <c r="EQ107" s="1740"/>
      <c r="ER107" s="1740"/>
      <c r="ES107" s="1740"/>
      <c r="ET107" s="1740"/>
      <c r="EU107" s="1740"/>
      <c r="EV107" s="1740"/>
      <c r="EW107" s="1740"/>
      <c r="EX107" s="1740"/>
      <c r="EY107" s="1740"/>
      <c r="EZ107" s="1740"/>
      <c r="FA107" s="1740"/>
      <c r="FB107" s="1740"/>
      <c r="FC107" s="1740"/>
      <c r="FD107" s="1740"/>
      <c r="FE107" s="1740"/>
      <c r="FF107" s="1740"/>
      <c r="FG107" s="1740"/>
      <c r="FH107" s="1740"/>
      <c r="FI107" s="1740"/>
      <c r="FJ107" s="1740"/>
      <c r="FK107" s="1740"/>
      <c r="FL107" s="1740"/>
      <c r="FM107" s="1740"/>
      <c r="FN107" s="1740"/>
      <c r="FO107" s="1740"/>
      <c r="FP107" s="1740"/>
      <c r="FQ107" s="1740"/>
      <c r="FR107" s="1740"/>
      <c r="FS107" s="1740"/>
      <c r="FT107" s="1739" t="s">
        <v>4456</v>
      </c>
      <c r="FU107" s="1739" t="s">
        <v>4456</v>
      </c>
      <c r="FV107" s="1739" t="s">
        <v>4456</v>
      </c>
      <c r="FW107" s="1740"/>
      <c r="FX107" s="1740"/>
      <c r="FY107" s="1740"/>
      <c r="FZ107" s="1740" t="s">
        <v>3854</v>
      </c>
      <c r="GA107" s="1740"/>
      <c r="GB107" s="1740"/>
      <c r="GC107" s="1740"/>
      <c r="GD107" s="1740"/>
      <c r="GE107" s="1740"/>
      <c r="GF107" s="1740"/>
      <c r="GG107" s="1740"/>
      <c r="GH107" s="1740"/>
      <c r="GI107" s="1740"/>
      <c r="GJ107" s="1740"/>
      <c r="GK107" s="1740"/>
      <c r="GL107" s="1740"/>
      <c r="GM107" s="1740"/>
      <c r="GN107" s="1740"/>
      <c r="GO107" s="1740"/>
      <c r="GP107" s="1740"/>
      <c r="GQ107" s="1740"/>
      <c r="GR107" s="1740"/>
      <c r="GS107" s="1740"/>
      <c r="GT107" s="1740"/>
      <c r="GU107" s="1740"/>
      <c r="GV107" s="1740"/>
      <c r="GW107" s="1740"/>
      <c r="GX107" s="1740"/>
      <c r="GY107" s="1740"/>
      <c r="GZ107" s="1740"/>
      <c r="HA107" s="1739" t="s">
        <v>4457</v>
      </c>
      <c r="HB107" s="1740"/>
      <c r="HC107" s="1740"/>
      <c r="HD107" s="1381" t="s">
        <v>3963</v>
      </c>
      <c r="HE107" s="1740"/>
      <c r="HF107" s="1381" t="s">
        <v>3963</v>
      </c>
      <c r="HG107" s="1382"/>
      <c r="HH107" s="1740"/>
      <c r="HI107" s="1739" t="s">
        <v>4457</v>
      </c>
      <c r="HJ107" s="1739"/>
      <c r="HK107" s="1381" t="s">
        <v>3852</v>
      </c>
      <c r="HL107" s="1381" t="s">
        <v>3852</v>
      </c>
      <c r="HM107" s="1381" t="s">
        <v>3852</v>
      </c>
      <c r="HN107" s="1381"/>
      <c r="HO107" s="1740"/>
      <c r="HP107" s="1739"/>
      <c r="HQ107" s="1740"/>
      <c r="HR107" s="1740"/>
      <c r="HS107" s="1740"/>
      <c r="HT107" s="1740"/>
      <c r="HU107" s="1739"/>
      <c r="HV107" s="1740"/>
      <c r="HW107" s="1740"/>
      <c r="HX107" s="1740"/>
      <c r="HY107" s="1740"/>
      <c r="HZ107" s="1740"/>
      <c r="IA107" s="1740"/>
      <c r="IB107" s="1740"/>
      <c r="IC107" s="1740"/>
      <c r="ID107" s="1740"/>
      <c r="IE107" s="1740"/>
      <c r="IF107" s="1740"/>
      <c r="IG107" s="1740"/>
      <c r="IH107" s="1740"/>
      <c r="II107" s="1740"/>
      <c r="IJ107" s="1740"/>
      <c r="IK107" s="1740"/>
      <c r="IL107" s="1740"/>
      <c r="IM107" s="1740"/>
      <c r="IN107" s="1740"/>
      <c r="IO107" s="1740"/>
      <c r="IP107" s="1740" t="s">
        <v>3878</v>
      </c>
      <c r="IQ107" s="1740" t="s">
        <v>3859</v>
      </c>
      <c r="IR107" s="1740" t="s">
        <v>3854</v>
      </c>
      <c r="IS107" s="1740"/>
      <c r="IT107" s="1740"/>
      <c r="IU107" s="1740"/>
      <c r="IV107" s="1740"/>
      <c r="IW107" s="1740" t="s">
        <v>3852</v>
      </c>
      <c r="IX107" s="1740"/>
      <c r="IY107" s="1740"/>
      <c r="IZ107" s="1740"/>
      <c r="JA107" s="1740"/>
      <c r="JB107" s="1740"/>
      <c r="JC107" s="1740"/>
      <c r="JD107" s="1740"/>
      <c r="JE107" s="1740"/>
      <c r="JF107" s="1740"/>
      <c r="JG107" s="1740"/>
      <c r="JH107" s="1740"/>
      <c r="JI107" s="1740"/>
      <c r="JJ107" s="1740" t="s">
        <v>3860</v>
      </c>
      <c r="JK107" s="1740" t="s">
        <v>3852</v>
      </c>
      <c r="JL107" s="2441"/>
      <c r="JM107" s="2441"/>
      <c r="JN107" s="1740" t="s">
        <v>4459</v>
      </c>
      <c r="JO107" s="1740"/>
      <c r="JP107" s="1740"/>
      <c r="JQ107" s="1742" t="s">
        <v>3853</v>
      </c>
      <c r="JR107" s="602"/>
      <c r="JS107" s="315" t="s">
        <v>4460</v>
      </c>
      <c r="JT107" s="367" t="s">
        <v>4461</v>
      </c>
    </row>
    <row r="108" spans="1:280" x14ac:dyDescent="0.25">
      <c r="A108" s="1367">
        <v>21</v>
      </c>
      <c r="B108" s="1411" t="str">
        <f t="shared" si="12"/>
        <v/>
      </c>
      <c r="C108" s="1728" t="s">
        <v>4462</v>
      </c>
      <c r="D108" s="1443" t="str">
        <f>"Enter the code(s) for the country or countries, other than the UK, in which you were resident for tax purposes for "&amp;tax_year</f>
        <v>Enter the code(s) for the country or countries, other than the UK, in which you were resident for tax purposes for 2025-26</v>
      </c>
      <c r="E108" s="1561"/>
      <c r="F108" s="1561"/>
      <c r="G108" s="1739"/>
      <c r="H108" s="1381"/>
      <c r="I108" s="1381"/>
      <c r="J108" s="1414"/>
      <c r="K108" s="1381"/>
      <c r="L108" s="1414"/>
      <c r="M108" s="1381"/>
      <c r="N108" s="1381"/>
      <c r="O108" s="1414"/>
      <c r="P108" s="1414"/>
      <c r="Q108" s="1414"/>
      <c r="R108" s="1414"/>
      <c r="S108" s="1414"/>
      <c r="T108" s="1414"/>
      <c r="U108" s="1414"/>
      <c r="V108" s="1414"/>
      <c r="W108" s="1414"/>
      <c r="X108" s="1414"/>
      <c r="Y108" s="1414"/>
      <c r="Z108" s="1414"/>
      <c r="AA108" s="1414"/>
      <c r="AB108" s="1414"/>
      <c r="AC108" s="1414"/>
      <c r="AD108" s="1414"/>
      <c r="AE108" s="1414"/>
      <c r="AF108" s="1414"/>
      <c r="AG108" s="1414"/>
      <c r="AH108" s="1414"/>
      <c r="AI108" s="1414"/>
      <c r="AJ108" s="1414"/>
      <c r="AK108" s="1414"/>
      <c r="AL108" s="1414"/>
      <c r="AM108" s="1414"/>
      <c r="AN108" s="1414"/>
      <c r="AO108" s="1414"/>
      <c r="AP108" s="1414"/>
      <c r="AQ108" s="1414"/>
      <c r="AR108" s="1414"/>
      <c r="AS108" s="1414"/>
      <c r="AT108" s="1414"/>
      <c r="AU108" s="1414"/>
      <c r="AV108" s="1414"/>
      <c r="AW108" s="1414"/>
      <c r="AX108" s="1561"/>
      <c r="AY108" s="1562" t="s">
        <v>3862</v>
      </c>
      <c r="AZ108" s="1561"/>
      <c r="BA108" s="1414"/>
      <c r="BB108" s="1414"/>
      <c r="BC108" s="1414"/>
      <c r="BD108" s="1414"/>
      <c r="BE108" s="1414"/>
      <c r="BF108" s="1414"/>
      <c r="BG108" s="1414"/>
      <c r="BH108" s="1414"/>
      <c r="BI108" s="1414"/>
      <c r="BJ108" s="1414"/>
      <c r="BK108" s="1414" t="s">
        <v>3854</v>
      </c>
      <c r="BL108" s="1414"/>
      <c r="BM108" s="1414"/>
      <c r="BN108" s="1414"/>
      <c r="BO108" s="1414"/>
      <c r="BP108" s="1414"/>
      <c r="BQ108" s="1414"/>
      <c r="BR108" s="1414"/>
      <c r="BS108" s="1414"/>
      <c r="BT108" s="1414"/>
      <c r="BU108" s="1414"/>
      <c r="BV108" s="1414"/>
      <c r="BW108" s="1414"/>
      <c r="BX108" s="1414"/>
      <c r="BY108" s="1414"/>
      <c r="BZ108" s="1414"/>
      <c r="CA108" s="1414"/>
      <c r="CB108" s="1414"/>
      <c r="CC108" s="1414"/>
      <c r="CD108" s="1414"/>
      <c r="CE108" s="1414"/>
      <c r="CF108" s="1414"/>
      <c r="CG108" s="1414"/>
      <c r="CH108" s="1414"/>
      <c r="CI108" s="1414"/>
      <c r="CJ108" s="1741"/>
      <c r="CK108" s="1414"/>
      <c r="CL108" s="1414"/>
      <c r="CM108" s="1414"/>
      <c r="CN108" s="1414"/>
      <c r="CO108" s="1414"/>
      <c r="CP108" s="1414"/>
      <c r="CQ108" s="1414"/>
      <c r="CR108" s="1414"/>
      <c r="CS108" s="1414"/>
      <c r="CT108" s="1414"/>
      <c r="CU108" s="1414"/>
      <c r="CV108" s="1414"/>
      <c r="CW108" s="1414"/>
      <c r="CX108" s="1414"/>
      <c r="CY108" s="1414"/>
      <c r="CZ108" s="1414"/>
      <c r="DA108" s="1414"/>
      <c r="DB108" s="1414"/>
      <c r="DC108" s="1414"/>
      <c r="DD108" s="1414"/>
      <c r="DE108" s="1414"/>
      <c r="DF108" s="1414"/>
      <c r="DG108" s="1414"/>
      <c r="DH108" s="1414"/>
      <c r="DI108" s="1414"/>
      <c r="DJ108" s="1414"/>
      <c r="DK108" s="1414"/>
      <c r="DL108" s="1414"/>
      <c r="DM108" s="1414"/>
      <c r="DN108" s="1414"/>
      <c r="DO108" s="1414"/>
      <c r="DP108" s="1414"/>
      <c r="DQ108" s="1414"/>
      <c r="DR108" s="1414"/>
      <c r="DS108" s="1739" t="s">
        <v>4457</v>
      </c>
      <c r="DT108" s="1381" t="s">
        <v>3852</v>
      </c>
      <c r="DU108" s="1414"/>
      <c r="DV108" s="1414"/>
      <c r="DW108" s="1414"/>
      <c r="DX108" s="1414"/>
      <c r="DY108" s="1414"/>
      <c r="DZ108" s="1414"/>
      <c r="EA108" s="1414"/>
      <c r="EB108" s="1414"/>
      <c r="EC108" s="1414"/>
      <c r="ED108" s="1414"/>
      <c r="EE108" s="1414"/>
      <c r="EF108" s="1414"/>
      <c r="EG108" s="1414"/>
      <c r="EH108" s="1414"/>
      <c r="EI108" s="1414"/>
      <c r="EJ108" s="1414"/>
      <c r="EK108" s="1414"/>
      <c r="EL108" s="1414"/>
      <c r="EM108" s="1414"/>
      <c r="EN108" s="1414"/>
      <c r="EO108" s="1414"/>
      <c r="EP108" s="1414"/>
      <c r="EQ108" s="1414"/>
      <c r="ER108" s="1414"/>
      <c r="ES108" s="1414"/>
      <c r="ET108" s="1414"/>
      <c r="EU108" s="1414"/>
      <c r="EV108" s="1414"/>
      <c r="EW108" s="1414"/>
      <c r="EX108" s="1414"/>
      <c r="EY108" s="1414"/>
      <c r="EZ108" s="1414"/>
      <c r="FA108" s="1414"/>
      <c r="FB108" s="1414"/>
      <c r="FC108" s="1414"/>
      <c r="FD108" s="1414"/>
      <c r="FE108" s="1414"/>
      <c r="FF108" s="1414"/>
      <c r="FG108" s="1414"/>
      <c r="FH108" s="1414"/>
      <c r="FI108" s="1414"/>
      <c r="FJ108" s="1414"/>
      <c r="FK108" s="1414"/>
      <c r="FL108" s="1414"/>
      <c r="FM108" s="1414"/>
      <c r="FN108" s="1414"/>
      <c r="FO108" s="1414"/>
      <c r="FP108" s="1414"/>
      <c r="FQ108" s="1414"/>
      <c r="FR108" s="1414"/>
      <c r="FS108" s="1414"/>
      <c r="FT108" s="1561"/>
      <c r="FU108" s="1561"/>
      <c r="FV108" s="1561"/>
      <c r="FW108" s="1414"/>
      <c r="FX108" s="1414"/>
      <c r="FY108" s="1414"/>
      <c r="FZ108" s="1740" t="s">
        <v>3854</v>
      </c>
      <c r="GA108" s="1414"/>
      <c r="GB108" s="1414"/>
      <c r="GC108" s="1414"/>
      <c r="GD108" s="1414"/>
      <c r="GE108" s="1414"/>
      <c r="GF108" s="1414"/>
      <c r="GG108" s="1414"/>
      <c r="GH108" s="1414"/>
      <c r="GI108" s="1414"/>
      <c r="GJ108" s="1414"/>
      <c r="GK108" s="1414"/>
      <c r="GL108" s="1414"/>
      <c r="GM108" s="1414"/>
      <c r="GN108" s="1414"/>
      <c r="GO108" s="1414"/>
      <c r="GP108" s="1414"/>
      <c r="GQ108" s="1414"/>
      <c r="GR108" s="1414"/>
      <c r="GS108" s="1414"/>
      <c r="GT108" s="1414"/>
      <c r="GU108" s="1414"/>
      <c r="GV108" s="1414"/>
      <c r="GW108" s="1414"/>
      <c r="GX108" s="1414"/>
      <c r="GY108" s="1414"/>
      <c r="GZ108" s="1414"/>
      <c r="HA108" s="1739" t="s">
        <v>4457</v>
      </c>
      <c r="HB108" s="1414"/>
      <c r="HC108" s="1414"/>
      <c r="HD108" s="1381" t="s">
        <v>3963</v>
      </c>
      <c r="HE108" s="1414"/>
      <c r="HF108" s="1381" t="s">
        <v>3963</v>
      </c>
      <c r="HG108" s="1382"/>
      <c r="HH108" s="1414"/>
      <c r="HI108" s="1739" t="s">
        <v>4457</v>
      </c>
      <c r="HJ108" s="1381" t="s">
        <v>3852</v>
      </c>
      <c r="HK108" s="1381" t="s">
        <v>3852</v>
      </c>
      <c r="HL108" s="1381" t="s">
        <v>3852</v>
      </c>
      <c r="HM108" s="1381" t="s">
        <v>3852</v>
      </c>
      <c r="HN108" s="1381"/>
      <c r="HO108" s="1414"/>
      <c r="HP108" s="1561"/>
      <c r="HQ108" s="1414"/>
      <c r="HR108" s="1414"/>
      <c r="HS108" s="1414"/>
      <c r="HT108" s="1414"/>
      <c r="HU108" s="1561"/>
      <c r="HV108" s="1414"/>
      <c r="HW108" s="1414"/>
      <c r="HX108" s="1414"/>
      <c r="HY108" s="1414"/>
      <c r="HZ108" s="1414"/>
      <c r="IA108" s="1414"/>
      <c r="IB108" s="1414"/>
      <c r="IC108" s="1414"/>
      <c r="ID108" s="1414"/>
      <c r="IE108" s="1414"/>
      <c r="IF108" s="1414"/>
      <c r="IG108" s="1414"/>
      <c r="IH108" s="1414"/>
      <c r="II108" s="1414"/>
      <c r="IJ108" s="1414"/>
      <c r="IK108" s="1464"/>
      <c r="IL108" s="1414"/>
      <c r="IM108" s="1414"/>
      <c r="IN108" s="1414"/>
      <c r="IO108" s="1414"/>
      <c r="IP108" s="1414" t="s">
        <v>3878</v>
      </c>
      <c r="IQ108" s="1414" t="s">
        <v>3859</v>
      </c>
      <c r="IR108" s="1414" t="s">
        <v>3854</v>
      </c>
      <c r="IS108" s="1414"/>
      <c r="IT108" s="1414"/>
      <c r="IU108" s="1414"/>
      <c r="IV108" s="1414"/>
      <c r="IW108" s="1414"/>
      <c r="IX108" s="1414"/>
      <c r="IY108" s="1414"/>
      <c r="IZ108" s="1414"/>
      <c r="JA108" s="1414"/>
      <c r="JB108" s="1414"/>
      <c r="JC108" s="1414"/>
      <c r="JD108" s="1414"/>
      <c r="JE108" s="1414"/>
      <c r="JF108" s="1414"/>
      <c r="JG108" s="1414"/>
      <c r="JH108" s="1414"/>
      <c r="JI108" s="1414"/>
      <c r="JJ108" s="1414"/>
      <c r="JK108" s="1414"/>
      <c r="JL108" s="1414"/>
      <c r="JM108" s="1414"/>
      <c r="JN108" s="1414"/>
      <c r="JO108" s="1414"/>
      <c r="JP108" s="1414"/>
      <c r="JQ108" s="1415"/>
      <c r="JR108" s="312"/>
      <c r="JS108" s="315" t="s">
        <v>4463</v>
      </c>
      <c r="JT108" s="357" t="s">
        <v>4461</v>
      </c>
    </row>
    <row r="109" spans="1:280" x14ac:dyDescent="0.25">
      <c r="A109" s="1367">
        <v>22</v>
      </c>
      <c r="B109" s="1411" t="str">
        <f t="shared" si="12"/>
        <v/>
      </c>
      <c r="C109" s="1728" t="s">
        <v>4464</v>
      </c>
      <c r="D109" s="1443" t="str">
        <f>"If you were also resident in either or both of the countries above for "&amp;tax_year&amp;", enter the appropriate code(s)"</f>
        <v>If you were also resident in either or both of the countries above for 2025-26, enter the appropriate code(s)</v>
      </c>
      <c r="E109" s="1561"/>
      <c r="F109" s="1561"/>
      <c r="G109" s="1739"/>
      <c r="H109" s="1381"/>
      <c r="I109" s="1381"/>
      <c r="J109" s="1414"/>
      <c r="K109" s="1381"/>
      <c r="L109" s="1414"/>
      <c r="M109" s="1381"/>
      <c r="N109" s="1381"/>
      <c r="O109" s="1414"/>
      <c r="P109" s="1414"/>
      <c r="Q109" s="1414"/>
      <c r="R109" s="1414"/>
      <c r="S109" s="1414"/>
      <c r="T109" s="1414"/>
      <c r="U109" s="1414"/>
      <c r="V109" s="1414"/>
      <c r="W109" s="1414"/>
      <c r="X109" s="1414"/>
      <c r="Y109" s="1414"/>
      <c r="Z109" s="1414"/>
      <c r="AA109" s="1414"/>
      <c r="AB109" s="1414"/>
      <c r="AC109" s="1414"/>
      <c r="AD109" s="1414"/>
      <c r="AE109" s="1414"/>
      <c r="AF109" s="1414"/>
      <c r="AG109" s="1414"/>
      <c r="AH109" s="1414"/>
      <c r="AI109" s="1414"/>
      <c r="AJ109" s="1414"/>
      <c r="AK109" s="1414"/>
      <c r="AL109" s="1414"/>
      <c r="AM109" s="1414"/>
      <c r="AN109" s="1414"/>
      <c r="AO109" s="1414"/>
      <c r="AP109" s="1414"/>
      <c r="AQ109" s="1414"/>
      <c r="AR109" s="1414"/>
      <c r="AS109" s="1414"/>
      <c r="AT109" s="1414"/>
      <c r="AU109" s="1414"/>
      <c r="AV109" s="1414"/>
      <c r="AW109" s="1414"/>
      <c r="AX109" s="1561"/>
      <c r="AY109" s="1562" t="s">
        <v>3862</v>
      </c>
      <c r="AZ109" s="1561"/>
      <c r="BA109" s="1414"/>
      <c r="BB109" s="1414"/>
      <c r="BC109" s="1414"/>
      <c r="BD109" s="1414"/>
      <c r="BE109" s="1414"/>
      <c r="BF109" s="1414"/>
      <c r="BG109" s="1414"/>
      <c r="BH109" s="1414"/>
      <c r="BI109" s="1414"/>
      <c r="BJ109" s="1414"/>
      <c r="BK109" s="1414" t="s">
        <v>3854</v>
      </c>
      <c r="BL109" s="1414"/>
      <c r="BM109" s="1414"/>
      <c r="BN109" s="1414"/>
      <c r="BO109" s="1414"/>
      <c r="BP109" s="1414"/>
      <c r="BQ109" s="1414"/>
      <c r="BR109" s="1414"/>
      <c r="BS109" s="1414"/>
      <c r="BT109" s="1414"/>
      <c r="BU109" s="1414"/>
      <c r="BV109" s="1414"/>
      <c r="BW109" s="1414"/>
      <c r="BX109" s="1414"/>
      <c r="BY109" s="1414"/>
      <c r="BZ109" s="1414"/>
      <c r="CA109" s="1414"/>
      <c r="CB109" s="1414"/>
      <c r="CC109" s="1414"/>
      <c r="CD109" s="1414"/>
      <c r="CE109" s="1414"/>
      <c r="CF109" s="1414"/>
      <c r="CG109" s="1414"/>
      <c r="CH109" s="1414"/>
      <c r="CI109" s="1414"/>
      <c r="CJ109" s="1739"/>
      <c r="CK109" s="1414"/>
      <c r="CL109" s="1414"/>
      <c r="CM109" s="1414"/>
      <c r="CN109" s="1414"/>
      <c r="CO109" s="1414"/>
      <c r="CP109" s="1414"/>
      <c r="CQ109" s="1414"/>
      <c r="CR109" s="1414"/>
      <c r="CS109" s="1414"/>
      <c r="CT109" s="1414"/>
      <c r="CU109" s="1414"/>
      <c r="CV109" s="1414"/>
      <c r="CW109" s="1414"/>
      <c r="CX109" s="1414"/>
      <c r="CY109" s="1414"/>
      <c r="CZ109" s="1414"/>
      <c r="DA109" s="1414"/>
      <c r="DB109" s="1414"/>
      <c r="DC109" s="1414"/>
      <c r="DD109" s="1414"/>
      <c r="DE109" s="1414"/>
      <c r="DF109" s="1414"/>
      <c r="DG109" s="1414"/>
      <c r="DH109" s="1414"/>
      <c r="DI109" s="1414"/>
      <c r="DJ109" s="1414"/>
      <c r="DK109" s="1414"/>
      <c r="DL109" s="1414"/>
      <c r="DM109" s="1414"/>
      <c r="DN109" s="1414"/>
      <c r="DO109" s="1414"/>
      <c r="DP109" s="1414"/>
      <c r="DQ109" s="1414"/>
      <c r="DR109" s="1414"/>
      <c r="DS109" s="1739"/>
      <c r="DT109" s="1381" t="s">
        <v>3852</v>
      </c>
      <c r="DU109" s="1414"/>
      <c r="DV109" s="1414"/>
      <c r="DW109" s="1414"/>
      <c r="DX109" s="1414"/>
      <c r="DY109" s="1414"/>
      <c r="DZ109" s="1414"/>
      <c r="EA109" s="1414"/>
      <c r="EB109" s="1414"/>
      <c r="EC109" s="1414"/>
      <c r="ED109" s="1414"/>
      <c r="EE109" s="1414"/>
      <c r="EF109" s="1414"/>
      <c r="EG109" s="1414"/>
      <c r="EH109" s="1414"/>
      <c r="EI109" s="1414"/>
      <c r="EJ109" s="1414"/>
      <c r="EK109" s="1414"/>
      <c r="EL109" s="1414"/>
      <c r="EM109" s="1414"/>
      <c r="EN109" s="1414"/>
      <c r="EO109" s="1414"/>
      <c r="EP109" s="1414"/>
      <c r="EQ109" s="1414"/>
      <c r="ER109" s="1414"/>
      <c r="ES109" s="1414"/>
      <c r="ET109" s="1414"/>
      <c r="EU109" s="1414"/>
      <c r="EV109" s="1414"/>
      <c r="EW109" s="1414"/>
      <c r="EX109" s="1414"/>
      <c r="EY109" s="1414"/>
      <c r="EZ109" s="1414"/>
      <c r="FA109" s="1414"/>
      <c r="FB109" s="1414"/>
      <c r="FC109" s="1414"/>
      <c r="FD109" s="1414"/>
      <c r="FE109" s="1414"/>
      <c r="FF109" s="1414"/>
      <c r="FG109" s="1414"/>
      <c r="FH109" s="1414"/>
      <c r="FI109" s="1414"/>
      <c r="FJ109" s="1414"/>
      <c r="FK109" s="1414"/>
      <c r="FL109" s="1414"/>
      <c r="FM109" s="1414"/>
      <c r="FN109" s="1414"/>
      <c r="FO109" s="1414"/>
      <c r="FP109" s="1414"/>
      <c r="FQ109" s="1414"/>
      <c r="FR109" s="1414"/>
      <c r="FS109" s="1414"/>
      <c r="FT109" s="1561"/>
      <c r="FU109" s="1561"/>
      <c r="FV109" s="1561"/>
      <c r="FW109" s="1414"/>
      <c r="FX109" s="1414"/>
      <c r="FY109" s="1414"/>
      <c r="FZ109" s="1740" t="s">
        <v>3854</v>
      </c>
      <c r="GA109" s="1414"/>
      <c r="GB109" s="1414"/>
      <c r="GC109" s="1414"/>
      <c r="GD109" s="1414"/>
      <c r="GE109" s="1414"/>
      <c r="GF109" s="1414"/>
      <c r="GG109" s="1414"/>
      <c r="GH109" s="1414"/>
      <c r="GI109" s="1414"/>
      <c r="GJ109" s="1414"/>
      <c r="GK109" s="1414"/>
      <c r="GL109" s="1414"/>
      <c r="GM109" s="1414"/>
      <c r="GN109" s="1414"/>
      <c r="GO109" s="1414"/>
      <c r="GP109" s="1414"/>
      <c r="GQ109" s="1414"/>
      <c r="GR109" s="1414"/>
      <c r="GS109" s="1414"/>
      <c r="GT109" s="1414"/>
      <c r="GU109" s="1414"/>
      <c r="GV109" s="1414"/>
      <c r="GW109" s="1414"/>
      <c r="GX109" s="1414"/>
      <c r="GY109" s="1414"/>
      <c r="GZ109" s="1414"/>
      <c r="HA109" s="1739"/>
      <c r="HB109" s="1414"/>
      <c r="HC109" s="1414"/>
      <c r="HD109" s="1381" t="s">
        <v>3963</v>
      </c>
      <c r="HE109" s="1414"/>
      <c r="HF109" s="1381" t="s">
        <v>3963</v>
      </c>
      <c r="HG109" s="1382"/>
      <c r="HH109" s="1414"/>
      <c r="HI109" s="1739"/>
      <c r="HJ109" s="1381" t="s">
        <v>3852</v>
      </c>
      <c r="HK109" s="1381" t="s">
        <v>3852</v>
      </c>
      <c r="HL109" s="1381" t="s">
        <v>3852</v>
      </c>
      <c r="HM109" s="1381" t="s">
        <v>3852</v>
      </c>
      <c r="HN109" s="1381"/>
      <c r="HO109" s="1414"/>
      <c r="HP109" s="1561"/>
      <c r="HQ109" s="1414"/>
      <c r="HR109" s="1414"/>
      <c r="HS109" s="1414"/>
      <c r="HT109" s="1414"/>
      <c r="HU109" s="1561"/>
      <c r="HV109" s="1414"/>
      <c r="HW109" s="1414"/>
      <c r="HX109" s="1414"/>
      <c r="HY109" s="1414"/>
      <c r="HZ109" s="1414"/>
      <c r="IA109" s="1414"/>
      <c r="IB109" s="1414"/>
      <c r="IC109" s="1414"/>
      <c r="ID109" s="1414"/>
      <c r="IE109" s="1414"/>
      <c r="IF109" s="1414"/>
      <c r="IG109" s="1414"/>
      <c r="IH109" s="1414"/>
      <c r="II109" s="1414"/>
      <c r="IJ109" s="1414"/>
      <c r="IK109" s="1414"/>
      <c r="IL109" s="1414"/>
      <c r="IM109" s="1414"/>
      <c r="IN109" s="1414"/>
      <c r="IO109" s="1414"/>
      <c r="IP109" s="1414" t="s">
        <v>3878</v>
      </c>
      <c r="IQ109" s="1414" t="s">
        <v>3859</v>
      </c>
      <c r="IR109" s="1414" t="s">
        <v>3854</v>
      </c>
      <c r="IS109" s="1414"/>
      <c r="IT109" s="1414"/>
      <c r="IU109" s="1414"/>
      <c r="IV109" s="1414"/>
      <c r="IW109" s="1414"/>
      <c r="IX109" s="1414"/>
      <c r="IY109" s="1414"/>
      <c r="IZ109" s="1414"/>
      <c r="JA109" s="1414"/>
      <c r="JB109" s="1414"/>
      <c r="JC109" s="1414"/>
      <c r="JD109" s="1414"/>
      <c r="JE109" s="1414"/>
      <c r="JF109" s="1414"/>
      <c r="JG109" s="1414"/>
      <c r="JH109" s="1414"/>
      <c r="JI109" s="1414"/>
      <c r="JJ109" s="1414"/>
      <c r="JK109" s="1414"/>
      <c r="JL109" s="1414"/>
      <c r="JM109" s="1414"/>
      <c r="JN109" s="1414"/>
      <c r="JO109" s="1414"/>
      <c r="JP109" s="1414"/>
      <c r="JQ109" s="1415"/>
      <c r="JR109" s="312"/>
      <c r="JS109" s="315" t="s">
        <v>4465</v>
      </c>
      <c r="JT109" s="357" t="s">
        <v>4461</v>
      </c>
    </row>
    <row r="110" spans="1:280" x14ac:dyDescent="0.25">
      <c r="A110" s="1367">
        <v>23</v>
      </c>
      <c r="B110" s="1411" t="str">
        <f t="shared" si="12"/>
        <v/>
      </c>
      <c r="C110" s="1728" t="s">
        <v>4466</v>
      </c>
      <c r="D110" s="1443" t="s">
        <v>4467</v>
      </c>
      <c r="E110" s="1453"/>
      <c r="F110" s="1453"/>
      <c r="G110" s="2597"/>
      <c r="H110" s="1453"/>
      <c r="I110" s="1453"/>
      <c r="J110" s="1760"/>
      <c r="K110" s="1453"/>
      <c r="L110" s="1760"/>
      <c r="M110" s="1453"/>
      <c r="N110" s="1453"/>
      <c r="O110" s="1760"/>
      <c r="P110" s="1760"/>
      <c r="Q110" s="1760"/>
      <c r="R110" s="1760"/>
      <c r="S110" s="1760"/>
      <c r="T110" s="1760"/>
      <c r="U110" s="1760"/>
      <c r="V110" s="1760"/>
      <c r="W110" s="1760"/>
      <c r="X110" s="1760"/>
      <c r="Y110" s="1760"/>
      <c r="Z110" s="1760"/>
      <c r="AA110" s="1760"/>
      <c r="AB110" s="1760"/>
      <c r="AC110" s="1760"/>
      <c r="AD110" s="1760"/>
      <c r="AE110" s="1760"/>
      <c r="AF110" s="1760"/>
      <c r="AG110" s="1760"/>
      <c r="AH110" s="1760"/>
      <c r="AI110" s="1760"/>
      <c r="AJ110" s="1760"/>
      <c r="AK110" s="1760"/>
      <c r="AL110" s="1760"/>
      <c r="AM110" s="1760"/>
      <c r="AN110" s="1760"/>
      <c r="AO110" s="1760"/>
      <c r="AP110" s="1760"/>
      <c r="AQ110" s="1760"/>
      <c r="AR110" s="1760"/>
      <c r="AS110" s="1760"/>
      <c r="AT110" s="1760"/>
      <c r="AU110" s="1760"/>
      <c r="AV110" s="1760"/>
      <c r="AW110" s="1760"/>
      <c r="AX110" s="1453"/>
      <c r="AY110" s="1469">
        <v>10882</v>
      </c>
      <c r="AZ110" s="1453"/>
      <c r="BA110" s="1760"/>
      <c r="BB110" s="1760"/>
      <c r="BC110" s="1760"/>
      <c r="BD110" s="1760"/>
      <c r="BE110" s="1760"/>
      <c r="BF110" s="1760"/>
      <c r="BG110" s="1760"/>
      <c r="BH110" s="1760"/>
      <c r="BI110" s="1760"/>
      <c r="BJ110" s="1760"/>
      <c r="BK110" s="1760"/>
      <c r="BL110" s="1760"/>
      <c r="BM110" s="1760"/>
      <c r="BN110" s="1760"/>
      <c r="BO110" s="1760"/>
      <c r="BP110" s="1760"/>
      <c r="BQ110" s="1760"/>
      <c r="BR110" s="1760"/>
      <c r="BS110" s="1760"/>
      <c r="BT110" s="1760"/>
      <c r="BU110" s="1760"/>
      <c r="BV110" s="1760"/>
      <c r="BW110" s="1760"/>
      <c r="BX110" s="1760"/>
      <c r="BY110" s="1760"/>
      <c r="BZ110" s="1760"/>
      <c r="CA110" s="1760"/>
      <c r="CB110" s="1760"/>
      <c r="CC110" s="1760"/>
      <c r="CD110" s="1760"/>
      <c r="CE110" s="1760"/>
      <c r="CF110" s="1760"/>
      <c r="CG110" s="1760"/>
      <c r="CH110" s="1760"/>
      <c r="CI110" s="1760"/>
      <c r="CJ110" s="2597"/>
      <c r="CK110" s="1760"/>
      <c r="CL110" s="1760"/>
      <c r="CM110" s="1760"/>
      <c r="CN110" s="1760"/>
      <c r="CO110" s="1760"/>
      <c r="CP110" s="1760"/>
      <c r="CQ110" s="1760"/>
      <c r="CR110" s="1760"/>
      <c r="CS110" s="1760"/>
      <c r="CT110" s="1760"/>
      <c r="CU110" s="1760"/>
      <c r="CV110" s="1760"/>
      <c r="CW110" s="1760"/>
      <c r="CX110" s="1760"/>
      <c r="CY110" s="1760"/>
      <c r="CZ110" s="1760"/>
      <c r="DA110" s="1760"/>
      <c r="DB110" s="1760"/>
      <c r="DC110" s="1760"/>
      <c r="DD110" s="1760"/>
      <c r="DE110" s="1760"/>
      <c r="DF110" s="1760"/>
      <c r="DG110" s="1760"/>
      <c r="DH110" s="1760"/>
      <c r="DI110" s="1760"/>
      <c r="DJ110" s="1760"/>
      <c r="DK110" s="1760"/>
      <c r="DL110" s="1760"/>
      <c r="DM110" s="1760"/>
      <c r="DN110" s="1760"/>
      <c r="DO110" s="1760"/>
      <c r="DP110" s="1760"/>
      <c r="DQ110" s="1760"/>
      <c r="DR110" s="1760"/>
      <c r="DS110" s="2597"/>
      <c r="DT110" s="1453">
        <v>2400</v>
      </c>
      <c r="DU110" s="1760"/>
      <c r="DV110" s="1760"/>
      <c r="DW110" s="1760"/>
      <c r="DX110" s="1760"/>
      <c r="DY110" s="1760"/>
      <c r="DZ110" s="1760"/>
      <c r="EA110" s="1760"/>
      <c r="EB110" s="1760"/>
      <c r="EC110" s="1760"/>
      <c r="ED110" s="1760"/>
      <c r="EE110" s="1760"/>
      <c r="EF110" s="1760"/>
      <c r="EG110" s="1760"/>
      <c r="EH110" s="1760"/>
      <c r="EI110" s="1760"/>
      <c r="EJ110" s="1760"/>
      <c r="EK110" s="1760"/>
      <c r="EL110" s="1760"/>
      <c r="EM110" s="1760"/>
      <c r="EN110" s="1760"/>
      <c r="EO110" s="1760"/>
      <c r="EP110" s="1760"/>
      <c r="EQ110" s="1760"/>
      <c r="ER110" s="1760"/>
      <c r="ES110" s="1760"/>
      <c r="ET110" s="1760"/>
      <c r="EU110" s="1760"/>
      <c r="EV110" s="1760"/>
      <c r="EW110" s="1760"/>
      <c r="EX110" s="1760"/>
      <c r="EY110" s="1760"/>
      <c r="EZ110" s="1760"/>
      <c r="FA110" s="1760"/>
      <c r="FB110" s="1760"/>
      <c r="FC110" s="1760"/>
      <c r="FD110" s="1760"/>
      <c r="FE110" s="1760"/>
      <c r="FF110" s="1760"/>
      <c r="FG110" s="1760"/>
      <c r="FH110" s="1760"/>
      <c r="FI110" s="1760"/>
      <c r="FJ110" s="1760"/>
      <c r="FK110" s="1760"/>
      <c r="FL110" s="1760"/>
      <c r="FM110" s="1760"/>
      <c r="FN110" s="1760"/>
      <c r="FO110" s="1760"/>
      <c r="FP110" s="1760"/>
      <c r="FQ110" s="1760"/>
      <c r="FR110" s="1760"/>
      <c r="FS110" s="1760"/>
      <c r="FT110" s="1453"/>
      <c r="FU110" s="1453"/>
      <c r="FV110" s="1453"/>
      <c r="FW110" s="1760"/>
      <c r="FX110" s="1760"/>
      <c r="FY110" s="1760"/>
      <c r="FZ110" s="1760"/>
      <c r="GA110" s="1760"/>
      <c r="GB110" s="1760"/>
      <c r="GC110" s="1760"/>
      <c r="GD110" s="1760"/>
      <c r="GE110" s="1760"/>
      <c r="GF110" s="1760"/>
      <c r="GG110" s="1760"/>
      <c r="GH110" s="1760"/>
      <c r="GI110" s="1760"/>
      <c r="GJ110" s="1760"/>
      <c r="GK110" s="1760"/>
      <c r="GL110" s="1760"/>
      <c r="GM110" s="1760"/>
      <c r="GN110" s="1760"/>
      <c r="GO110" s="1760"/>
      <c r="GP110" s="1760"/>
      <c r="GQ110" s="1760"/>
      <c r="GR110" s="1760"/>
      <c r="GS110" s="1760"/>
      <c r="GT110" s="1760"/>
      <c r="GU110" s="1760"/>
      <c r="GV110" s="1760"/>
      <c r="GW110" s="1760"/>
      <c r="GX110" s="1760"/>
      <c r="GY110" s="1760"/>
      <c r="GZ110" s="1760"/>
      <c r="HA110" s="2597"/>
      <c r="HB110" s="1760"/>
      <c r="HC110" s="1760"/>
      <c r="HD110" s="1453"/>
      <c r="HE110" s="1760"/>
      <c r="HF110" s="1453"/>
      <c r="HG110" s="1453"/>
      <c r="HH110" s="1760"/>
      <c r="HI110" s="2597"/>
      <c r="HJ110" s="1453"/>
      <c r="HK110" s="1453">
        <v>131762</v>
      </c>
      <c r="HL110" s="1453">
        <v>131762</v>
      </c>
      <c r="HM110" s="1453">
        <v>131762</v>
      </c>
      <c r="HN110" s="1453"/>
      <c r="HO110" s="1760"/>
      <c r="HP110" s="1453"/>
      <c r="HQ110" s="1760"/>
      <c r="HR110" s="1760"/>
      <c r="HS110" s="1760"/>
      <c r="HT110" s="1760"/>
      <c r="HU110" s="1453"/>
      <c r="HV110" s="1760"/>
      <c r="HW110" s="1760"/>
      <c r="HX110" s="1760"/>
      <c r="HY110" s="1760"/>
      <c r="HZ110" s="1760"/>
      <c r="IA110" s="1760"/>
      <c r="IB110" s="1760"/>
      <c r="IC110" s="1760"/>
      <c r="ID110" s="1760"/>
      <c r="IE110" s="1760"/>
      <c r="IF110" s="1760"/>
      <c r="IG110" s="1760"/>
      <c r="IH110" s="1760"/>
      <c r="II110" s="1760"/>
      <c r="IJ110" s="1760"/>
      <c r="IK110" s="1760"/>
      <c r="IL110" s="1760"/>
      <c r="IM110" s="1760"/>
      <c r="IN110" s="1760"/>
      <c r="IO110" s="1760"/>
      <c r="IP110" s="1760"/>
      <c r="IQ110" s="1760"/>
      <c r="IR110" s="1760"/>
      <c r="IS110" s="1760"/>
      <c r="IT110" s="1760"/>
      <c r="IU110" s="1760"/>
      <c r="IV110" s="1760"/>
      <c r="IW110" s="1760"/>
      <c r="IX110" s="1760"/>
      <c r="IY110" s="1760"/>
      <c r="IZ110" s="1760"/>
      <c r="JA110" s="1760"/>
      <c r="JB110" s="1760"/>
      <c r="JC110" s="1760"/>
      <c r="JD110" s="1760"/>
      <c r="JE110" s="1760"/>
      <c r="JF110" s="1760"/>
      <c r="JG110" s="1760"/>
      <c r="JH110" s="1760"/>
      <c r="JI110" s="1760"/>
      <c r="JJ110" s="1760"/>
      <c r="JK110" s="1760"/>
      <c r="JL110" s="1760"/>
      <c r="JM110" s="1760"/>
      <c r="JN110" s="1760"/>
      <c r="JO110" s="1760"/>
      <c r="JP110" s="1760"/>
      <c r="JQ110" s="1761"/>
      <c r="JR110" s="312"/>
      <c r="JS110" s="315"/>
      <c r="JT110" s="357" t="s">
        <v>2242</v>
      </c>
    </row>
    <row r="111" spans="1:280" x14ac:dyDescent="0.25">
      <c r="A111" s="1367">
        <v>24</v>
      </c>
      <c r="B111" s="1411" t="str">
        <f t="shared" si="12"/>
        <v/>
      </c>
      <c r="C111" s="1728" t="s">
        <v>4468</v>
      </c>
      <c r="D111" s="1443" t="s">
        <v>4469</v>
      </c>
      <c r="E111" s="1453"/>
      <c r="F111" s="1453"/>
      <c r="G111" s="1453"/>
      <c r="H111" s="1453"/>
      <c r="I111" s="1453"/>
      <c r="J111" s="1760"/>
      <c r="K111" s="1453"/>
      <c r="L111" s="1760"/>
      <c r="M111" s="1453"/>
      <c r="N111" s="1453"/>
      <c r="O111" s="1760"/>
      <c r="P111" s="1760"/>
      <c r="Q111" s="1760"/>
      <c r="R111" s="1760"/>
      <c r="S111" s="1760"/>
      <c r="T111" s="1760"/>
      <c r="U111" s="1760"/>
      <c r="V111" s="1760"/>
      <c r="W111" s="1760"/>
      <c r="X111" s="1760"/>
      <c r="Y111" s="1760"/>
      <c r="Z111" s="1760"/>
      <c r="AA111" s="1760"/>
      <c r="AB111" s="1760"/>
      <c r="AC111" s="1760"/>
      <c r="AD111" s="1760"/>
      <c r="AE111" s="1760"/>
      <c r="AF111" s="1760"/>
      <c r="AG111" s="1760"/>
      <c r="AH111" s="1760"/>
      <c r="AI111" s="1760"/>
      <c r="AJ111" s="1760"/>
      <c r="AK111" s="1760"/>
      <c r="AL111" s="1760"/>
      <c r="AM111" s="1760"/>
      <c r="AN111" s="1760"/>
      <c r="AO111" s="1760"/>
      <c r="AP111" s="1760"/>
      <c r="AQ111" s="1760"/>
      <c r="AR111" s="1760"/>
      <c r="AS111" s="1760"/>
      <c r="AT111" s="1760"/>
      <c r="AU111" s="1760"/>
      <c r="AV111" s="1760"/>
      <c r="AW111" s="1760"/>
      <c r="AX111" s="1453"/>
      <c r="AY111" s="1453"/>
      <c r="AZ111" s="1453"/>
      <c r="BA111" s="1760"/>
      <c r="BB111" s="1760"/>
      <c r="BC111" s="1760"/>
      <c r="BD111" s="1760"/>
      <c r="BE111" s="1760"/>
      <c r="BF111" s="1760"/>
      <c r="BG111" s="1760"/>
      <c r="BH111" s="1760"/>
      <c r="BI111" s="1760"/>
      <c r="BJ111" s="1760"/>
      <c r="BK111" s="1760"/>
      <c r="BL111" s="1760"/>
      <c r="BM111" s="1760"/>
      <c r="BN111" s="1760"/>
      <c r="BO111" s="1760"/>
      <c r="BP111" s="1760"/>
      <c r="BQ111" s="1760"/>
      <c r="BR111" s="1760"/>
      <c r="BS111" s="1760"/>
      <c r="BT111" s="1760"/>
      <c r="BU111" s="1760"/>
      <c r="BV111" s="1760"/>
      <c r="BW111" s="1760"/>
      <c r="BX111" s="1760"/>
      <c r="BY111" s="1760"/>
      <c r="BZ111" s="1760"/>
      <c r="CA111" s="1760"/>
      <c r="CB111" s="1760"/>
      <c r="CC111" s="1760"/>
      <c r="CD111" s="1760"/>
      <c r="CE111" s="1760"/>
      <c r="CF111" s="1760"/>
      <c r="CG111" s="1760"/>
      <c r="CH111" s="1760"/>
      <c r="CI111" s="1760"/>
      <c r="CJ111" s="1453"/>
      <c r="CK111" s="1760"/>
      <c r="CL111" s="1760"/>
      <c r="CM111" s="1760"/>
      <c r="CN111" s="1760"/>
      <c r="CO111" s="1760"/>
      <c r="CP111" s="1760"/>
      <c r="CQ111" s="1760"/>
      <c r="CR111" s="1760"/>
      <c r="CS111" s="1760"/>
      <c r="CT111" s="1760"/>
      <c r="CU111" s="1760"/>
      <c r="CV111" s="1760"/>
      <c r="CW111" s="1760"/>
      <c r="CX111" s="1760"/>
      <c r="CY111" s="1760"/>
      <c r="CZ111" s="1760"/>
      <c r="DA111" s="1760"/>
      <c r="DB111" s="1760"/>
      <c r="DC111" s="1760"/>
      <c r="DD111" s="1760"/>
      <c r="DE111" s="1760"/>
      <c r="DF111" s="1760"/>
      <c r="DG111" s="1760"/>
      <c r="DH111" s="1760"/>
      <c r="DI111" s="1760"/>
      <c r="DJ111" s="1760"/>
      <c r="DK111" s="1760"/>
      <c r="DL111" s="1760"/>
      <c r="DM111" s="1760"/>
      <c r="DN111" s="1760"/>
      <c r="DO111" s="1760"/>
      <c r="DP111" s="1760"/>
      <c r="DQ111" s="1760"/>
      <c r="DR111" s="1760"/>
      <c r="DS111" s="1453"/>
      <c r="DT111" s="1453">
        <v>0</v>
      </c>
      <c r="DU111" s="1760"/>
      <c r="DV111" s="1760"/>
      <c r="DW111" s="1760"/>
      <c r="DX111" s="1760"/>
      <c r="DY111" s="1760"/>
      <c r="DZ111" s="1760"/>
      <c r="EA111" s="1760"/>
      <c r="EB111" s="1760"/>
      <c r="EC111" s="1760"/>
      <c r="ED111" s="1760"/>
      <c r="EE111" s="1760"/>
      <c r="EF111" s="1760"/>
      <c r="EG111" s="1760"/>
      <c r="EH111" s="1760"/>
      <c r="EI111" s="1760"/>
      <c r="EJ111" s="1760"/>
      <c r="EK111" s="1760"/>
      <c r="EL111" s="1760"/>
      <c r="EM111" s="1760"/>
      <c r="EN111" s="1760"/>
      <c r="EO111" s="1760"/>
      <c r="EP111" s="1760"/>
      <c r="EQ111" s="1760"/>
      <c r="ER111" s="1760"/>
      <c r="ES111" s="1760"/>
      <c r="ET111" s="1760"/>
      <c r="EU111" s="1760"/>
      <c r="EV111" s="1760"/>
      <c r="EW111" s="1760"/>
      <c r="EX111" s="1760"/>
      <c r="EY111" s="1760"/>
      <c r="EZ111" s="1760"/>
      <c r="FA111" s="1760"/>
      <c r="FB111" s="1760"/>
      <c r="FC111" s="1760"/>
      <c r="FD111" s="1760"/>
      <c r="FE111" s="1760"/>
      <c r="FF111" s="1760"/>
      <c r="FG111" s="1760"/>
      <c r="FH111" s="1760"/>
      <c r="FI111" s="1760"/>
      <c r="FJ111" s="1760"/>
      <c r="FK111" s="1760"/>
      <c r="FL111" s="1760"/>
      <c r="FM111" s="1760"/>
      <c r="FN111" s="1760"/>
      <c r="FO111" s="1760"/>
      <c r="FP111" s="1760"/>
      <c r="FQ111" s="1760"/>
      <c r="FR111" s="1760"/>
      <c r="FS111" s="1760"/>
      <c r="FT111" s="1453"/>
      <c r="FU111" s="1453"/>
      <c r="FV111" s="1453"/>
      <c r="FW111" s="1760"/>
      <c r="FX111" s="1760"/>
      <c r="FY111" s="1760"/>
      <c r="FZ111" s="1760"/>
      <c r="GA111" s="1760"/>
      <c r="GB111" s="1760"/>
      <c r="GC111" s="1760"/>
      <c r="GD111" s="1760"/>
      <c r="GE111" s="1760"/>
      <c r="GF111" s="1760"/>
      <c r="GG111" s="1760"/>
      <c r="GH111" s="1760"/>
      <c r="GI111" s="1760"/>
      <c r="GJ111" s="1760"/>
      <c r="GK111" s="1760"/>
      <c r="GL111" s="1760"/>
      <c r="GM111" s="1760"/>
      <c r="GN111" s="1760"/>
      <c r="GO111" s="1760"/>
      <c r="GP111" s="1760"/>
      <c r="GQ111" s="1760"/>
      <c r="GR111" s="1760"/>
      <c r="GS111" s="1760"/>
      <c r="GT111" s="1760"/>
      <c r="GU111" s="1760"/>
      <c r="GV111" s="1760"/>
      <c r="GW111" s="1760"/>
      <c r="GX111" s="1760"/>
      <c r="GY111" s="1760"/>
      <c r="GZ111" s="1760"/>
      <c r="HA111" s="1453"/>
      <c r="HB111" s="1760"/>
      <c r="HC111" s="1760"/>
      <c r="HD111" s="1453"/>
      <c r="HE111" s="1760"/>
      <c r="HF111" s="1453"/>
      <c r="HG111" s="1453"/>
      <c r="HH111" s="1760"/>
      <c r="HI111" s="1453"/>
      <c r="HJ111" s="1453"/>
      <c r="HK111" s="1453"/>
      <c r="HL111" s="1453"/>
      <c r="HM111" s="1453"/>
      <c r="HN111" s="1453"/>
      <c r="HO111" s="1760"/>
      <c r="HP111" s="1453"/>
      <c r="HQ111" s="1760"/>
      <c r="HR111" s="1760"/>
      <c r="HS111" s="1760"/>
      <c r="HT111" s="1760"/>
      <c r="HU111" s="1453"/>
      <c r="HV111" s="1760"/>
      <c r="HW111" s="1760"/>
      <c r="HX111" s="1760"/>
      <c r="HY111" s="1760"/>
      <c r="HZ111" s="1760"/>
      <c r="IA111" s="1760"/>
      <c r="IB111" s="1760"/>
      <c r="IC111" s="1760"/>
      <c r="ID111" s="1760"/>
      <c r="IE111" s="1760"/>
      <c r="IF111" s="1760"/>
      <c r="IG111" s="1760"/>
      <c r="IH111" s="1760"/>
      <c r="II111" s="1760"/>
      <c r="IJ111" s="1760"/>
      <c r="IK111" s="2598"/>
      <c r="IL111" s="1760"/>
      <c r="IM111" s="1760"/>
      <c r="IN111" s="1760"/>
      <c r="IO111" s="1760"/>
      <c r="IP111" s="1760"/>
      <c r="IQ111" s="1760"/>
      <c r="IR111" s="1760"/>
      <c r="IS111" s="1760"/>
      <c r="IT111" s="1760"/>
      <c r="IU111" s="1760"/>
      <c r="IV111" s="1760"/>
      <c r="IW111" s="1760"/>
      <c r="IX111" s="1760"/>
      <c r="IY111" s="1760"/>
      <c r="IZ111" s="1760"/>
      <c r="JA111" s="1760"/>
      <c r="JB111" s="1760"/>
      <c r="JC111" s="1760"/>
      <c r="JD111" s="1760"/>
      <c r="JE111" s="1760"/>
      <c r="JF111" s="1760"/>
      <c r="JG111" s="1760"/>
      <c r="JH111" s="1760"/>
      <c r="JI111" s="1760"/>
      <c r="JJ111" s="1760"/>
      <c r="JK111" s="1760"/>
      <c r="JL111" s="1760"/>
      <c r="JM111" s="1760"/>
      <c r="JN111" s="1760"/>
      <c r="JO111" s="1760"/>
      <c r="JP111" s="1760"/>
      <c r="JQ111" s="1761"/>
      <c r="JR111" s="312"/>
      <c r="JS111" s="315"/>
      <c r="JT111" s="357" t="s">
        <v>2242</v>
      </c>
    </row>
    <row r="112" spans="1:280" x14ac:dyDescent="0.25">
      <c r="A112" s="1367">
        <v>25</v>
      </c>
      <c r="B112" s="1411" t="str">
        <f t="shared" si="12"/>
        <v/>
      </c>
      <c r="C112" s="1728" t="s">
        <v>4470</v>
      </c>
      <c r="D112" s="1443" t="s">
        <v>4471</v>
      </c>
      <c r="E112" s="1453"/>
      <c r="F112" s="1453"/>
      <c r="G112" s="1453"/>
      <c r="H112" s="1453"/>
      <c r="I112" s="1453"/>
      <c r="J112" s="1760"/>
      <c r="K112" s="1453"/>
      <c r="L112" s="1760"/>
      <c r="M112" s="1453"/>
      <c r="N112" s="1453"/>
      <c r="O112" s="1760"/>
      <c r="P112" s="1760"/>
      <c r="Q112" s="1760"/>
      <c r="R112" s="1760"/>
      <c r="S112" s="1760"/>
      <c r="T112" s="1760"/>
      <c r="U112" s="1760"/>
      <c r="V112" s="1760"/>
      <c r="W112" s="1760"/>
      <c r="X112" s="1760"/>
      <c r="Y112" s="1760"/>
      <c r="Z112" s="1760"/>
      <c r="AA112" s="1760"/>
      <c r="AB112" s="1760"/>
      <c r="AC112" s="1760"/>
      <c r="AD112" s="1760"/>
      <c r="AE112" s="1760"/>
      <c r="AF112" s="1760"/>
      <c r="AG112" s="1760"/>
      <c r="AH112" s="1760"/>
      <c r="AI112" s="1760"/>
      <c r="AJ112" s="1760"/>
      <c r="AK112" s="1760"/>
      <c r="AL112" s="1760"/>
      <c r="AM112" s="1760"/>
      <c r="AN112" s="1760"/>
      <c r="AO112" s="1760"/>
      <c r="AP112" s="1760"/>
      <c r="AQ112" s="1760"/>
      <c r="AR112" s="1760"/>
      <c r="AS112" s="1760"/>
      <c r="AT112" s="1760"/>
      <c r="AU112" s="1760"/>
      <c r="AV112" s="1760"/>
      <c r="AW112" s="1760"/>
      <c r="AX112" s="1453"/>
      <c r="AY112" s="1469">
        <v>1632</v>
      </c>
      <c r="AZ112" s="1453"/>
      <c r="BA112" s="1760"/>
      <c r="BB112" s="1760"/>
      <c r="BC112" s="1760"/>
      <c r="BD112" s="1760"/>
      <c r="BE112" s="1760"/>
      <c r="BF112" s="1760"/>
      <c r="BG112" s="1760"/>
      <c r="BH112" s="1760"/>
      <c r="BI112" s="1760"/>
      <c r="BJ112" s="1760"/>
      <c r="BK112" s="1760"/>
      <c r="BL112" s="1760"/>
      <c r="BM112" s="1760"/>
      <c r="BN112" s="1760"/>
      <c r="BO112" s="1760"/>
      <c r="BP112" s="1760"/>
      <c r="BQ112" s="1760"/>
      <c r="BR112" s="1760"/>
      <c r="BS112" s="1760"/>
      <c r="BT112" s="1760"/>
      <c r="BU112" s="1760"/>
      <c r="BV112" s="1760"/>
      <c r="BW112" s="1760"/>
      <c r="BX112" s="1760"/>
      <c r="BY112" s="1760"/>
      <c r="BZ112" s="1760"/>
      <c r="CA112" s="1760"/>
      <c r="CB112" s="1760"/>
      <c r="CC112" s="1760"/>
      <c r="CD112" s="1760"/>
      <c r="CE112" s="1760"/>
      <c r="CF112" s="1760"/>
      <c r="CG112" s="1760"/>
      <c r="CH112" s="1760"/>
      <c r="CI112" s="1760"/>
      <c r="CJ112" s="1453"/>
      <c r="CK112" s="1760"/>
      <c r="CL112" s="1760"/>
      <c r="CM112" s="1760"/>
      <c r="CN112" s="1760"/>
      <c r="CO112" s="1760"/>
      <c r="CP112" s="1760"/>
      <c r="CQ112" s="1760"/>
      <c r="CR112" s="1760"/>
      <c r="CS112" s="1760"/>
      <c r="CT112" s="1760"/>
      <c r="CU112" s="1760"/>
      <c r="CV112" s="1760"/>
      <c r="CW112" s="1760"/>
      <c r="CX112" s="1760"/>
      <c r="CY112" s="1760"/>
      <c r="CZ112" s="1760"/>
      <c r="DA112" s="1760"/>
      <c r="DB112" s="1760"/>
      <c r="DC112" s="1760"/>
      <c r="DD112" s="1760"/>
      <c r="DE112" s="1760"/>
      <c r="DF112" s="1760"/>
      <c r="DG112" s="1760"/>
      <c r="DH112" s="1760"/>
      <c r="DI112" s="1760"/>
      <c r="DJ112" s="1760"/>
      <c r="DK112" s="1760"/>
      <c r="DL112" s="1760"/>
      <c r="DM112" s="1760"/>
      <c r="DN112" s="1760"/>
      <c r="DO112" s="1760"/>
      <c r="DP112" s="1760"/>
      <c r="DQ112" s="1760"/>
      <c r="DR112" s="1760"/>
      <c r="DS112" s="1453"/>
      <c r="DT112" s="1453">
        <v>120</v>
      </c>
      <c r="DU112" s="1760"/>
      <c r="DV112" s="1760"/>
      <c r="DW112" s="1760"/>
      <c r="DX112" s="1760"/>
      <c r="DY112" s="1760"/>
      <c r="DZ112" s="1760"/>
      <c r="EA112" s="1760"/>
      <c r="EB112" s="1760"/>
      <c r="EC112" s="1760"/>
      <c r="ED112" s="1760"/>
      <c r="EE112" s="1760"/>
      <c r="EF112" s="1760"/>
      <c r="EG112" s="1760"/>
      <c r="EH112" s="1760"/>
      <c r="EI112" s="1760"/>
      <c r="EJ112" s="1760"/>
      <c r="EK112" s="1760"/>
      <c r="EL112" s="1760"/>
      <c r="EM112" s="1760"/>
      <c r="EN112" s="1760"/>
      <c r="EO112" s="1760"/>
      <c r="EP112" s="1760"/>
      <c r="EQ112" s="1760"/>
      <c r="ER112" s="1760"/>
      <c r="ES112" s="1760"/>
      <c r="ET112" s="1760"/>
      <c r="EU112" s="1760"/>
      <c r="EV112" s="1760"/>
      <c r="EW112" s="1760"/>
      <c r="EX112" s="1760"/>
      <c r="EY112" s="1760"/>
      <c r="EZ112" s="1760"/>
      <c r="FA112" s="1760"/>
      <c r="FB112" s="1760"/>
      <c r="FC112" s="1760"/>
      <c r="FD112" s="1760"/>
      <c r="FE112" s="1760"/>
      <c r="FF112" s="1760"/>
      <c r="FG112" s="1760"/>
      <c r="FH112" s="1760"/>
      <c r="FI112" s="1760"/>
      <c r="FJ112" s="1760"/>
      <c r="FK112" s="1760"/>
      <c r="FL112" s="1760"/>
      <c r="FM112" s="1760"/>
      <c r="FN112" s="1760"/>
      <c r="FO112" s="1760"/>
      <c r="FP112" s="1760"/>
      <c r="FQ112" s="1760"/>
      <c r="FR112" s="1760"/>
      <c r="FS112" s="1760"/>
      <c r="FT112" s="1453"/>
      <c r="FU112" s="1453"/>
      <c r="FV112" s="1453"/>
      <c r="FW112" s="1760"/>
      <c r="FX112" s="1760"/>
      <c r="FY112" s="1760"/>
      <c r="FZ112" s="1760"/>
      <c r="GA112" s="1760"/>
      <c r="GB112" s="1760"/>
      <c r="GC112" s="1760"/>
      <c r="GD112" s="1760"/>
      <c r="GE112" s="1760"/>
      <c r="GF112" s="1760"/>
      <c r="GG112" s="1760"/>
      <c r="GH112" s="1760"/>
      <c r="GI112" s="1760"/>
      <c r="GJ112" s="1760"/>
      <c r="GK112" s="1760"/>
      <c r="GL112" s="1760"/>
      <c r="GM112" s="1760"/>
      <c r="GN112" s="1760"/>
      <c r="GO112" s="1760"/>
      <c r="GP112" s="1760"/>
      <c r="GQ112" s="1760"/>
      <c r="GR112" s="1760"/>
      <c r="GS112" s="1760"/>
      <c r="GT112" s="1760"/>
      <c r="GU112" s="1760"/>
      <c r="GV112" s="1760"/>
      <c r="GW112" s="1760"/>
      <c r="GX112" s="1760"/>
      <c r="GY112" s="1760"/>
      <c r="GZ112" s="1760"/>
      <c r="HA112" s="1453"/>
      <c r="HB112" s="1760"/>
      <c r="HC112" s="1760"/>
      <c r="HD112" s="1453"/>
      <c r="HE112" s="1760"/>
      <c r="HF112" s="1453"/>
      <c r="HG112" s="1453"/>
      <c r="HH112" s="1760"/>
      <c r="HI112" s="1453"/>
      <c r="HJ112" s="1453"/>
      <c r="HK112" s="1453"/>
      <c r="HL112" s="1453"/>
      <c r="HM112" s="1453"/>
      <c r="HN112" s="1453"/>
      <c r="HO112" s="1760"/>
      <c r="HP112" s="1453"/>
      <c r="HQ112" s="1760"/>
      <c r="HR112" s="1760"/>
      <c r="HS112" s="1760"/>
      <c r="HT112" s="1760"/>
      <c r="HU112" s="1453"/>
      <c r="HV112" s="1760"/>
      <c r="HW112" s="1760"/>
      <c r="HX112" s="1760"/>
      <c r="HY112" s="1760"/>
      <c r="HZ112" s="1760"/>
      <c r="IA112" s="1760"/>
      <c r="IB112" s="1760"/>
      <c r="IC112" s="1760"/>
      <c r="ID112" s="1760"/>
      <c r="IE112" s="1760"/>
      <c r="IF112" s="1760"/>
      <c r="IG112" s="1760"/>
      <c r="IH112" s="1760"/>
      <c r="II112" s="1760"/>
      <c r="IJ112" s="1760"/>
      <c r="IK112" s="1760"/>
      <c r="IL112" s="1760"/>
      <c r="IM112" s="1760"/>
      <c r="IN112" s="1760"/>
      <c r="IO112" s="1760"/>
      <c r="IP112" s="1760"/>
      <c r="IQ112" s="1760"/>
      <c r="IR112" s="1760"/>
      <c r="IS112" s="1760"/>
      <c r="IT112" s="1760"/>
      <c r="IU112" s="1760"/>
      <c r="IV112" s="1760"/>
      <c r="IW112" s="1760"/>
      <c r="IX112" s="1760"/>
      <c r="IY112" s="1760"/>
      <c r="IZ112" s="1760"/>
      <c r="JA112" s="1760"/>
      <c r="JB112" s="1760"/>
      <c r="JC112" s="1760"/>
      <c r="JD112" s="1760"/>
      <c r="JE112" s="1760"/>
      <c r="JF112" s="1760"/>
      <c r="JG112" s="1760"/>
      <c r="JH112" s="1760"/>
      <c r="JI112" s="1760"/>
      <c r="JJ112" s="1760"/>
      <c r="JK112" s="1760"/>
      <c r="JL112" s="1760"/>
      <c r="JM112" s="1760"/>
      <c r="JN112" s="1760"/>
      <c r="JO112" s="1760"/>
      <c r="JP112" s="1760"/>
      <c r="JQ112" s="1761"/>
      <c r="JR112" s="312"/>
      <c r="JS112" s="315"/>
      <c r="JT112" s="357" t="s">
        <v>2242</v>
      </c>
    </row>
    <row r="113" spans="1:280" x14ac:dyDescent="0.25">
      <c r="A113" s="1367">
        <v>26</v>
      </c>
      <c r="B113" s="1411" t="str">
        <f t="shared" si="12"/>
        <v/>
      </c>
      <c r="C113" s="1728" t="s">
        <v>4472</v>
      </c>
      <c r="D113" s="1743" t="s">
        <v>4473</v>
      </c>
      <c r="E113" s="1381"/>
      <c r="F113" s="1381"/>
      <c r="G113" s="1381"/>
      <c r="H113" s="1381"/>
      <c r="I113" s="1381"/>
      <c r="J113" s="1414"/>
      <c r="K113" s="1381"/>
      <c r="L113" s="1414"/>
      <c r="M113" s="1381"/>
      <c r="N113" s="1381"/>
      <c r="O113" s="1414"/>
      <c r="P113" s="1414"/>
      <c r="Q113" s="1414"/>
      <c r="R113" s="1414"/>
      <c r="S113" s="1414"/>
      <c r="T113" s="1414"/>
      <c r="U113" s="1414"/>
      <c r="V113" s="1414"/>
      <c r="W113" s="1414"/>
      <c r="X113" s="1414"/>
      <c r="Y113" s="1414"/>
      <c r="Z113" s="1414"/>
      <c r="AA113" s="1414"/>
      <c r="AB113" s="1414"/>
      <c r="AC113" s="1414"/>
      <c r="AD113" s="1414"/>
      <c r="AE113" s="1414"/>
      <c r="AF113" s="1414"/>
      <c r="AG113" s="1414"/>
      <c r="AH113" s="1414"/>
      <c r="AI113" s="1414"/>
      <c r="AJ113" s="1414"/>
      <c r="AK113" s="1414"/>
      <c r="AL113" s="1414"/>
      <c r="AM113" s="1414"/>
      <c r="AN113" s="1414"/>
      <c r="AO113" s="1414"/>
      <c r="AP113" s="1414"/>
      <c r="AQ113" s="1414"/>
      <c r="AR113" s="1414"/>
      <c r="AS113" s="1414"/>
      <c r="AT113" s="1414"/>
      <c r="AU113" s="1414"/>
      <c r="AV113" s="1414"/>
      <c r="AW113" s="1414"/>
      <c r="AX113" s="1382"/>
      <c r="AY113" s="1382"/>
      <c r="AZ113" s="1382"/>
      <c r="BA113" s="1414"/>
      <c r="BB113" s="1414"/>
      <c r="BC113" s="1414"/>
      <c r="BD113" s="1414"/>
      <c r="BE113" s="1414"/>
      <c r="BF113" s="1414"/>
      <c r="BG113" s="1414"/>
      <c r="BH113" s="1414"/>
      <c r="BI113" s="1414"/>
      <c r="BJ113" s="1414"/>
      <c r="BK113" s="1464"/>
      <c r="BL113" s="1414"/>
      <c r="BM113" s="1414"/>
      <c r="BN113" s="1414"/>
      <c r="BO113" s="1414"/>
      <c r="BP113" s="1414"/>
      <c r="BQ113" s="1414"/>
      <c r="BR113" s="1414"/>
      <c r="BS113" s="1414"/>
      <c r="BT113" s="1414"/>
      <c r="BU113" s="1414"/>
      <c r="BV113" s="1414"/>
      <c r="BW113" s="1414"/>
      <c r="BX113" s="1414"/>
      <c r="BY113" s="1414"/>
      <c r="BZ113" s="1414"/>
      <c r="CA113" s="1414"/>
      <c r="CB113" s="1414"/>
      <c r="CC113" s="1414"/>
      <c r="CD113" s="1414"/>
      <c r="CE113" s="1414"/>
      <c r="CF113" s="1414"/>
      <c r="CG113" s="1414"/>
      <c r="CH113" s="1414"/>
      <c r="CI113" s="1414"/>
      <c r="CJ113" s="1382"/>
      <c r="CK113" s="1414"/>
      <c r="CL113" s="1414"/>
      <c r="CM113" s="1414"/>
      <c r="CN113" s="1414"/>
      <c r="CO113" s="1414"/>
      <c r="CP113" s="1414"/>
      <c r="CQ113" s="1414"/>
      <c r="CR113" s="1414"/>
      <c r="CS113" s="1414"/>
      <c r="CT113" s="1414"/>
      <c r="CU113" s="1414"/>
      <c r="CV113" s="1414"/>
      <c r="CW113" s="1414"/>
      <c r="CX113" s="1414"/>
      <c r="CY113" s="1414"/>
      <c r="CZ113" s="1414"/>
      <c r="DA113" s="1414"/>
      <c r="DB113" s="1414"/>
      <c r="DC113" s="1414"/>
      <c r="DD113" s="1414"/>
      <c r="DE113" s="1414"/>
      <c r="DF113" s="1414"/>
      <c r="DG113" s="1414"/>
      <c r="DH113" s="1414"/>
      <c r="DI113" s="1414"/>
      <c r="DJ113" s="1414"/>
      <c r="DK113" s="1414"/>
      <c r="DL113" s="1414"/>
      <c r="DM113" s="1414"/>
      <c r="DN113" s="1414"/>
      <c r="DO113" s="1414"/>
      <c r="DP113" s="1414"/>
      <c r="DQ113" s="1414"/>
      <c r="DR113" s="1414"/>
      <c r="DS113" s="1382"/>
      <c r="DT113" s="1382"/>
      <c r="DU113" s="1414"/>
      <c r="DV113" s="1414"/>
      <c r="DW113" s="1414"/>
      <c r="DX113" s="1414"/>
      <c r="DY113" s="1414"/>
      <c r="DZ113" s="1414"/>
      <c r="EA113" s="1414"/>
      <c r="EB113" s="1414"/>
      <c r="EC113" s="1414"/>
      <c r="ED113" s="1414"/>
      <c r="EE113" s="1414"/>
      <c r="EF113" s="1414"/>
      <c r="EG113" s="1414"/>
      <c r="EH113" s="1414"/>
      <c r="EI113" s="1414"/>
      <c r="EJ113" s="1414"/>
      <c r="EK113" s="1414"/>
      <c r="EL113" s="1414"/>
      <c r="EM113" s="1414"/>
      <c r="EN113" s="1414"/>
      <c r="EO113" s="1414"/>
      <c r="EP113" s="1414"/>
      <c r="EQ113" s="1414"/>
      <c r="ER113" s="1414"/>
      <c r="ES113" s="1414"/>
      <c r="ET113" s="1414"/>
      <c r="EU113" s="1414"/>
      <c r="EV113" s="1414"/>
      <c r="EW113" s="1414"/>
      <c r="EX113" s="1414"/>
      <c r="EY113" s="1414"/>
      <c r="EZ113" s="1414"/>
      <c r="FA113" s="1414"/>
      <c r="FB113" s="1414"/>
      <c r="FC113" s="1414"/>
      <c r="FD113" s="1414"/>
      <c r="FE113" s="1414"/>
      <c r="FF113" s="1464"/>
      <c r="FG113" s="1414"/>
      <c r="FH113" s="1414"/>
      <c r="FI113" s="1464"/>
      <c r="FJ113" s="1414"/>
      <c r="FK113" s="1414"/>
      <c r="FL113" s="1414"/>
      <c r="FM113" s="1414"/>
      <c r="FN113" s="1414"/>
      <c r="FO113" s="1414"/>
      <c r="FP113" s="1414"/>
      <c r="FQ113" s="1414"/>
      <c r="FR113" s="1414"/>
      <c r="FS113" s="1414"/>
      <c r="FT113" s="1382"/>
      <c r="FU113" s="1382"/>
      <c r="FV113" s="1382"/>
      <c r="FW113" s="1414"/>
      <c r="FX113" s="1414"/>
      <c r="FY113" s="1414"/>
      <c r="FZ113" s="1414"/>
      <c r="GA113" s="1414"/>
      <c r="GB113" s="1414"/>
      <c r="GC113" s="1414"/>
      <c r="GD113" s="1414"/>
      <c r="GE113" s="1414"/>
      <c r="GF113" s="1414"/>
      <c r="GG113" s="1414"/>
      <c r="GH113" s="1414"/>
      <c r="GI113" s="1414"/>
      <c r="GJ113" s="1414"/>
      <c r="GK113" s="1414"/>
      <c r="GL113" s="1414"/>
      <c r="GM113" s="1414"/>
      <c r="GN113" s="1414"/>
      <c r="GO113" s="1414"/>
      <c r="GP113" s="1414"/>
      <c r="GQ113" s="1414"/>
      <c r="GR113" s="1414"/>
      <c r="GS113" s="1414"/>
      <c r="GT113" s="1414"/>
      <c r="GU113" s="1414"/>
      <c r="GV113" s="1414"/>
      <c r="GW113" s="1414"/>
      <c r="GX113" s="1414"/>
      <c r="GY113" s="1414"/>
      <c r="GZ113" s="1414"/>
      <c r="HA113" s="1382"/>
      <c r="HB113" s="1414"/>
      <c r="HC113" s="1414"/>
      <c r="HD113" s="1382"/>
      <c r="HE113" s="1414"/>
      <c r="HF113" s="1382"/>
      <c r="HG113" s="1465">
        <v>45719</v>
      </c>
      <c r="HH113" s="1414"/>
      <c r="HI113" s="1382"/>
      <c r="HJ113" s="1382"/>
      <c r="HK113" s="1382"/>
      <c r="HL113" s="1382"/>
      <c r="HM113" s="1382"/>
      <c r="HN113" s="1382"/>
      <c r="HO113" s="1414"/>
      <c r="HP113" s="1381"/>
      <c r="HQ113" s="1414"/>
      <c r="HR113" s="1414"/>
      <c r="HS113" s="1414"/>
      <c r="HT113" s="1414"/>
      <c r="HU113" s="1381"/>
      <c r="HV113" s="1414"/>
      <c r="HW113" s="1414"/>
      <c r="HX113" s="1414"/>
      <c r="HY113" s="1414"/>
      <c r="HZ113" s="1414"/>
      <c r="IA113" s="1414"/>
      <c r="IB113" s="1414"/>
      <c r="IC113" s="1414"/>
      <c r="ID113" s="1414"/>
      <c r="IE113" s="1414"/>
      <c r="IF113" s="1414"/>
      <c r="IG113" s="1414"/>
      <c r="IH113" s="1414"/>
      <c r="II113" s="1414"/>
      <c r="IJ113" s="1414"/>
      <c r="IK113" s="1464"/>
      <c r="IL113" s="1414"/>
      <c r="IM113" s="1414"/>
      <c r="IN113" s="1414"/>
      <c r="IO113" s="1414"/>
      <c r="IP113" s="1414"/>
      <c r="IQ113" s="1414"/>
      <c r="IR113" s="1464"/>
      <c r="IS113" s="1464"/>
      <c r="IT113" s="1414"/>
      <c r="IU113" s="1464"/>
      <c r="IV113" s="1414"/>
      <c r="IW113" s="1464"/>
      <c r="IX113" s="1414"/>
      <c r="IY113" s="1414"/>
      <c r="IZ113" s="1414"/>
      <c r="JA113" s="1414"/>
      <c r="JB113" s="1414"/>
      <c r="JC113" s="1414"/>
      <c r="JD113" s="1414"/>
      <c r="JE113" s="1414"/>
      <c r="JF113" s="1414"/>
      <c r="JG113" s="1414"/>
      <c r="JH113" s="1414"/>
      <c r="JI113" s="1414"/>
      <c r="JJ113" s="1414"/>
      <c r="JK113" s="1414"/>
      <c r="JL113" s="1414"/>
      <c r="JM113" s="1414"/>
      <c r="JN113" s="1414"/>
      <c r="JO113" s="1414"/>
      <c r="JP113" s="1414"/>
      <c r="JQ113" s="1415"/>
      <c r="JR113" s="312"/>
      <c r="JS113" s="420"/>
      <c r="JT113" s="419" t="s">
        <v>2319</v>
      </c>
    </row>
    <row r="114" spans="1:280" x14ac:dyDescent="0.25">
      <c r="A114" s="1367">
        <v>27</v>
      </c>
      <c r="B114" s="1411" t="str">
        <f t="shared" ref="B114:B144" si="13">IF(NRD_IND&gt;1,IF(HLOOKUP(NRD_IND-1,NRD_RANGE,A114)="","",HLOOKUP(NRD_IND-1,NRD_RANGE,A114)),"")</f>
        <v/>
      </c>
      <c r="C114" s="2578" t="s">
        <v>4474</v>
      </c>
      <c r="D114" s="1744" t="s">
        <v>4475</v>
      </c>
      <c r="E114" s="2599"/>
      <c r="F114" s="2599"/>
      <c r="G114" s="2599"/>
      <c r="H114" s="1559"/>
      <c r="I114" s="1559"/>
      <c r="J114" s="1745"/>
      <c r="K114" s="1559"/>
      <c r="L114" s="1745"/>
      <c r="M114" s="1559"/>
      <c r="N114" s="1618"/>
      <c r="O114" s="1745"/>
      <c r="P114" s="1745"/>
      <c r="Q114" s="1745"/>
      <c r="R114" s="1746"/>
      <c r="S114" s="1746"/>
      <c r="T114" s="1746"/>
      <c r="U114" s="1746"/>
      <c r="V114" s="1746"/>
      <c r="W114" s="1746"/>
      <c r="X114" s="1746"/>
      <c r="Y114" s="1746"/>
      <c r="Z114" s="1746"/>
      <c r="AA114" s="1746"/>
      <c r="AB114" s="1746"/>
      <c r="AC114" s="1746"/>
      <c r="AD114" s="1746"/>
      <c r="AE114" s="1746"/>
      <c r="AF114" s="1746"/>
      <c r="AG114" s="1746"/>
      <c r="AH114" s="1746"/>
      <c r="AI114" s="1746"/>
      <c r="AJ114" s="1746"/>
      <c r="AK114" s="1746"/>
      <c r="AL114" s="1746"/>
      <c r="AM114" s="1746"/>
      <c r="AN114" s="1746"/>
      <c r="AO114" s="1746"/>
      <c r="AP114" s="1746"/>
      <c r="AQ114" s="1746"/>
      <c r="AR114" s="1746"/>
      <c r="AS114" s="1746"/>
      <c r="AT114" s="1746"/>
      <c r="AU114" s="1746"/>
      <c r="AV114" s="1746"/>
      <c r="AW114" s="1746"/>
      <c r="AX114" s="1559"/>
      <c r="AY114" s="1559"/>
      <c r="AZ114" s="1559"/>
      <c r="BA114" s="1746"/>
      <c r="BB114" s="1746"/>
      <c r="BC114" s="1746"/>
      <c r="BD114" s="1746"/>
      <c r="BE114" s="1746"/>
      <c r="BF114" s="1746"/>
      <c r="BG114" s="1746"/>
      <c r="BH114" s="1746"/>
      <c r="BI114" s="1746"/>
      <c r="BJ114" s="1746"/>
      <c r="BK114" s="1746"/>
      <c r="BL114" s="1746"/>
      <c r="BM114" s="1746"/>
      <c r="BN114" s="1746"/>
      <c r="BO114" s="1746"/>
      <c r="BP114" s="1746"/>
      <c r="BQ114" s="1746"/>
      <c r="BR114" s="1746"/>
      <c r="BS114" s="1746"/>
      <c r="BT114" s="1746"/>
      <c r="BU114" s="1746"/>
      <c r="BV114" s="1746"/>
      <c r="BW114" s="1746"/>
      <c r="BX114" s="1746"/>
      <c r="BY114" s="1746"/>
      <c r="BZ114" s="1746"/>
      <c r="CA114" s="1746"/>
      <c r="CB114" s="1746"/>
      <c r="CC114" s="1746"/>
      <c r="CD114" s="1746"/>
      <c r="CE114" s="1746"/>
      <c r="CF114" s="1746"/>
      <c r="CG114" s="1746"/>
      <c r="CH114" s="1746"/>
      <c r="CI114" s="1746"/>
      <c r="CJ114" s="1559"/>
      <c r="CK114" s="1746"/>
      <c r="CL114" s="1746"/>
      <c r="CM114" s="1746"/>
      <c r="CN114" s="1746"/>
      <c r="CO114" s="1746"/>
      <c r="CP114" s="1746"/>
      <c r="CQ114" s="1746"/>
      <c r="CR114" s="1746"/>
      <c r="CS114" s="1746"/>
      <c r="CT114" s="1746"/>
      <c r="CU114" s="1746"/>
      <c r="CV114" s="1746"/>
      <c r="CW114" s="1746"/>
      <c r="CX114" s="1746"/>
      <c r="CY114" s="1746"/>
      <c r="CZ114" s="1746"/>
      <c r="DA114" s="1746"/>
      <c r="DB114" s="1746"/>
      <c r="DC114" s="1746"/>
      <c r="DD114" s="1746"/>
      <c r="DE114" s="1746"/>
      <c r="DF114" s="1746"/>
      <c r="DG114" s="1746"/>
      <c r="DH114" s="1746"/>
      <c r="DI114" s="1746"/>
      <c r="DJ114" s="1746"/>
      <c r="DK114" s="1746"/>
      <c r="DL114" s="1746"/>
      <c r="DM114" s="1746"/>
      <c r="DN114" s="1746"/>
      <c r="DO114" s="1746"/>
      <c r="DP114" s="1746"/>
      <c r="DQ114" s="1746"/>
      <c r="DR114" s="1746"/>
      <c r="DS114" s="1559"/>
      <c r="DT114" s="1559"/>
      <c r="DU114" s="1746"/>
      <c r="DV114" s="1746"/>
      <c r="DW114" s="1746"/>
      <c r="DX114" s="1746"/>
      <c r="DY114" s="1746"/>
      <c r="DZ114" s="1746"/>
      <c r="EA114" s="1746"/>
      <c r="EB114" s="1746"/>
      <c r="EC114" s="1746"/>
      <c r="ED114" s="1746"/>
      <c r="EE114" s="1746"/>
      <c r="EF114" s="1746"/>
      <c r="EG114" s="1746"/>
      <c r="EH114" s="1746"/>
      <c r="EI114" s="1746"/>
      <c r="EJ114" s="1746"/>
      <c r="EK114" s="1746"/>
      <c r="EL114" s="1746"/>
      <c r="EM114" s="1746"/>
      <c r="EN114" s="1746"/>
      <c r="EO114" s="1746"/>
      <c r="EP114" s="1746"/>
      <c r="EQ114" s="1746"/>
      <c r="ER114" s="1746"/>
      <c r="ES114" s="1746"/>
      <c r="ET114" s="1746"/>
      <c r="EU114" s="1746"/>
      <c r="EV114" s="1746"/>
      <c r="EW114" s="1746"/>
      <c r="EX114" s="1746"/>
      <c r="EY114" s="1746"/>
      <c r="EZ114" s="1746"/>
      <c r="FA114" s="1746"/>
      <c r="FB114" s="1746"/>
      <c r="FC114" s="1746"/>
      <c r="FD114" s="1746"/>
      <c r="FE114" s="1746"/>
      <c r="FF114" s="1746"/>
      <c r="FG114" s="1746"/>
      <c r="FH114" s="1746"/>
      <c r="FI114" s="1746"/>
      <c r="FJ114" s="1746"/>
      <c r="FK114" s="1746"/>
      <c r="FL114" s="1746"/>
      <c r="FM114" s="1746"/>
      <c r="FN114" s="1746"/>
      <c r="FO114" s="1746"/>
      <c r="FP114" s="1746"/>
      <c r="FQ114" s="1746"/>
      <c r="FR114" s="1746"/>
      <c r="FS114" s="1746"/>
      <c r="FT114" s="1559"/>
      <c r="FU114" s="1559"/>
      <c r="FV114" s="1559"/>
      <c r="FW114" s="1746"/>
      <c r="FX114" s="1746"/>
      <c r="FY114" s="1746"/>
      <c r="FZ114" s="1746"/>
      <c r="GA114" s="1746"/>
      <c r="GB114" s="1746"/>
      <c r="GC114" s="1746"/>
      <c r="GD114" s="1746"/>
      <c r="GE114" s="1746"/>
      <c r="GF114" s="1746"/>
      <c r="GG114" s="1746"/>
      <c r="GH114" s="1746"/>
      <c r="GI114" s="1746"/>
      <c r="GJ114" s="1746"/>
      <c r="GK114" s="1746"/>
      <c r="GL114" s="1746"/>
      <c r="GM114" s="1746"/>
      <c r="GN114" s="1746"/>
      <c r="GO114" s="1746"/>
      <c r="GP114" s="1746"/>
      <c r="GQ114" s="1746"/>
      <c r="GR114" s="1746"/>
      <c r="GS114" s="1746"/>
      <c r="GT114" s="1746"/>
      <c r="GU114" s="1746"/>
      <c r="GV114" s="1746"/>
      <c r="GW114" s="1746"/>
      <c r="GX114" s="1746"/>
      <c r="GY114" s="1746"/>
      <c r="GZ114" s="1746"/>
      <c r="HA114" s="1559"/>
      <c r="HB114" s="1746"/>
      <c r="HC114" s="1746"/>
      <c r="HD114" s="1559"/>
      <c r="HE114" s="1746"/>
      <c r="HF114" s="1559"/>
      <c r="HG114" s="1559"/>
      <c r="HH114" s="1746"/>
      <c r="HI114" s="1559"/>
      <c r="HJ114" s="1559"/>
      <c r="HK114" s="1559"/>
      <c r="HL114" s="1559"/>
      <c r="HM114" s="1618"/>
      <c r="HN114" s="1559"/>
      <c r="HO114" s="1746"/>
      <c r="HP114" s="1559"/>
      <c r="HQ114" s="1746"/>
      <c r="HR114" s="1746"/>
      <c r="HS114" s="1746"/>
      <c r="HT114" s="1746"/>
      <c r="HU114" s="1559"/>
      <c r="HV114" s="1746"/>
      <c r="HW114" s="1746"/>
      <c r="HX114" s="1746"/>
      <c r="HY114" s="1746"/>
      <c r="HZ114" s="1746"/>
      <c r="IA114" s="1746"/>
      <c r="IB114" s="1746"/>
      <c r="IC114" s="1746"/>
      <c r="ID114" s="1746"/>
      <c r="IE114" s="1746"/>
      <c r="IF114" s="1746"/>
      <c r="IG114" s="1746"/>
      <c r="IH114" s="1746"/>
      <c r="II114" s="1746"/>
      <c r="IJ114" s="1746"/>
      <c r="IK114" s="1746"/>
      <c r="IL114" s="1746"/>
      <c r="IM114" s="1746"/>
      <c r="IN114" s="1746"/>
      <c r="IO114" s="1746"/>
      <c r="IP114" s="1746"/>
      <c r="IQ114" s="1746"/>
      <c r="IR114" s="1746"/>
      <c r="IS114" s="1746"/>
      <c r="IT114" s="1746"/>
      <c r="IU114" s="1746"/>
      <c r="IV114" s="1746"/>
      <c r="IW114" s="1746"/>
      <c r="IX114" s="1746"/>
      <c r="IY114" s="1746"/>
      <c r="IZ114" s="1746"/>
      <c r="JA114" s="1746"/>
      <c r="JB114" s="1746"/>
      <c r="JC114" s="1746"/>
      <c r="JD114" s="1746"/>
      <c r="JE114" s="1746"/>
      <c r="JF114" s="1746"/>
      <c r="JG114" s="1746"/>
      <c r="JH114" s="1746"/>
      <c r="JI114" s="1746"/>
      <c r="JJ114" s="1746"/>
      <c r="JK114" s="1746"/>
      <c r="JL114" s="1746"/>
      <c r="JM114" s="1746"/>
      <c r="JN114" s="1746"/>
      <c r="JO114" s="1746"/>
      <c r="JP114" s="1746"/>
      <c r="JQ114" s="1747"/>
      <c r="JR114" s="1748"/>
      <c r="JS114" s="499"/>
      <c r="JT114" s="1749"/>
    </row>
    <row r="115" spans="1:280" x14ac:dyDescent="0.25">
      <c r="A115" s="1367">
        <v>28</v>
      </c>
      <c r="B115" s="1411" t="str">
        <f t="shared" si="13"/>
        <v/>
      </c>
      <c r="C115" s="2578" t="s">
        <v>4476</v>
      </c>
      <c r="D115" s="1744" t="s">
        <v>4477</v>
      </c>
      <c r="E115" s="2599"/>
      <c r="F115" s="2599"/>
      <c r="G115" s="2599"/>
      <c r="H115" s="1559"/>
      <c r="I115" s="1559"/>
      <c r="J115" s="1745"/>
      <c r="K115" s="1559"/>
      <c r="L115" s="1745"/>
      <c r="M115" s="1559"/>
      <c r="N115" s="1618"/>
      <c r="O115" s="1745"/>
      <c r="P115" s="1745"/>
      <c r="Q115" s="1745"/>
      <c r="R115" s="1746"/>
      <c r="S115" s="1746"/>
      <c r="T115" s="1746"/>
      <c r="U115" s="1746"/>
      <c r="V115" s="1746"/>
      <c r="W115" s="1746"/>
      <c r="X115" s="1746"/>
      <c r="Y115" s="1746"/>
      <c r="Z115" s="1746"/>
      <c r="AA115" s="1746"/>
      <c r="AB115" s="1746"/>
      <c r="AC115" s="1746"/>
      <c r="AD115" s="1746"/>
      <c r="AE115" s="1746"/>
      <c r="AF115" s="1746"/>
      <c r="AG115" s="1746"/>
      <c r="AH115" s="1746"/>
      <c r="AI115" s="1746"/>
      <c r="AJ115" s="1746"/>
      <c r="AK115" s="1746"/>
      <c r="AL115" s="1746"/>
      <c r="AM115" s="1746"/>
      <c r="AN115" s="1746"/>
      <c r="AO115" s="1746"/>
      <c r="AP115" s="1746"/>
      <c r="AQ115" s="1746"/>
      <c r="AR115" s="1746"/>
      <c r="AS115" s="1746"/>
      <c r="AT115" s="1746"/>
      <c r="AU115" s="1746"/>
      <c r="AV115" s="1746"/>
      <c r="AW115" s="1746"/>
      <c r="AX115" s="1559"/>
      <c r="AY115" s="1559"/>
      <c r="AZ115" s="1559"/>
      <c r="BA115" s="1746"/>
      <c r="BB115" s="1746"/>
      <c r="BC115" s="1746"/>
      <c r="BD115" s="1746"/>
      <c r="BE115" s="1746"/>
      <c r="BF115" s="1746"/>
      <c r="BG115" s="1746"/>
      <c r="BH115" s="1746"/>
      <c r="BI115" s="1746"/>
      <c r="BJ115" s="1746"/>
      <c r="BK115" s="1750"/>
      <c r="BL115" s="1746"/>
      <c r="BM115" s="1746"/>
      <c r="BN115" s="1746"/>
      <c r="BO115" s="1746"/>
      <c r="BP115" s="1746"/>
      <c r="BQ115" s="1746"/>
      <c r="BR115" s="1746"/>
      <c r="BS115" s="1746"/>
      <c r="BT115" s="1746"/>
      <c r="BU115" s="1746"/>
      <c r="BV115" s="1746"/>
      <c r="BW115" s="1746"/>
      <c r="BX115" s="1746"/>
      <c r="BY115" s="1746"/>
      <c r="BZ115" s="1746"/>
      <c r="CA115" s="1746"/>
      <c r="CB115" s="1746"/>
      <c r="CC115" s="1746"/>
      <c r="CD115" s="1746"/>
      <c r="CE115" s="1746"/>
      <c r="CF115" s="1746"/>
      <c r="CG115" s="1746"/>
      <c r="CH115" s="1746"/>
      <c r="CI115" s="1746"/>
      <c r="CJ115" s="1559"/>
      <c r="CK115" s="1746"/>
      <c r="CL115" s="1746"/>
      <c r="CM115" s="1746"/>
      <c r="CN115" s="1746"/>
      <c r="CO115" s="1746"/>
      <c r="CP115" s="1746"/>
      <c r="CQ115" s="1746"/>
      <c r="CR115" s="1746"/>
      <c r="CS115" s="1746"/>
      <c r="CT115" s="1746"/>
      <c r="CU115" s="1746"/>
      <c r="CV115" s="1746"/>
      <c r="CW115" s="1746"/>
      <c r="CX115" s="1746"/>
      <c r="CY115" s="1746"/>
      <c r="CZ115" s="1746"/>
      <c r="DA115" s="1746"/>
      <c r="DB115" s="1746"/>
      <c r="DC115" s="1746"/>
      <c r="DD115" s="1746"/>
      <c r="DE115" s="1746"/>
      <c r="DF115" s="1746"/>
      <c r="DG115" s="1746"/>
      <c r="DH115" s="1746"/>
      <c r="DI115" s="1746"/>
      <c r="DJ115" s="1746"/>
      <c r="DK115" s="1746"/>
      <c r="DL115" s="1746"/>
      <c r="DM115" s="1746"/>
      <c r="DN115" s="1746"/>
      <c r="DO115" s="1746"/>
      <c r="DP115" s="1746"/>
      <c r="DQ115" s="1746"/>
      <c r="DR115" s="1746"/>
      <c r="DS115" s="1559"/>
      <c r="DT115" s="1559"/>
      <c r="DU115" s="1746"/>
      <c r="DV115" s="1746"/>
      <c r="DW115" s="1746"/>
      <c r="DX115" s="1746"/>
      <c r="DY115" s="1746"/>
      <c r="DZ115" s="1746"/>
      <c r="EA115" s="1746"/>
      <c r="EB115" s="1746"/>
      <c r="EC115" s="1746"/>
      <c r="ED115" s="1746"/>
      <c r="EE115" s="1746"/>
      <c r="EF115" s="1746"/>
      <c r="EG115" s="1746"/>
      <c r="EH115" s="1746"/>
      <c r="EI115" s="1746"/>
      <c r="EJ115" s="1746"/>
      <c r="EK115" s="1746"/>
      <c r="EL115" s="1746"/>
      <c r="EM115" s="1746"/>
      <c r="EN115" s="1746"/>
      <c r="EO115" s="1746"/>
      <c r="EP115" s="1746"/>
      <c r="EQ115" s="1746"/>
      <c r="ER115" s="1746"/>
      <c r="ES115" s="1746"/>
      <c r="ET115" s="1746"/>
      <c r="EU115" s="1746"/>
      <c r="EV115" s="1746"/>
      <c r="EW115" s="1746"/>
      <c r="EX115" s="1746"/>
      <c r="EY115" s="1746"/>
      <c r="EZ115" s="1746"/>
      <c r="FA115" s="1746"/>
      <c r="FB115" s="1746"/>
      <c r="FC115" s="1746"/>
      <c r="FD115" s="1746"/>
      <c r="FE115" s="1746"/>
      <c r="FF115" s="1746"/>
      <c r="FG115" s="1746"/>
      <c r="FH115" s="1746"/>
      <c r="FI115" s="1746"/>
      <c r="FJ115" s="1746"/>
      <c r="FK115" s="1746"/>
      <c r="FL115" s="1746"/>
      <c r="FM115" s="1746"/>
      <c r="FN115" s="1746"/>
      <c r="FO115" s="1746"/>
      <c r="FP115" s="1746"/>
      <c r="FQ115" s="1746"/>
      <c r="FR115" s="1746"/>
      <c r="FS115" s="1746"/>
      <c r="FT115" s="1559"/>
      <c r="FU115" s="1559"/>
      <c r="FV115" s="1559"/>
      <c r="FW115" s="1746"/>
      <c r="FX115" s="1746"/>
      <c r="FY115" s="1746"/>
      <c r="FZ115" s="1746"/>
      <c r="GA115" s="1746"/>
      <c r="GB115" s="1746"/>
      <c r="GC115" s="1746"/>
      <c r="GD115" s="1746"/>
      <c r="GE115" s="1746"/>
      <c r="GF115" s="1746"/>
      <c r="GG115" s="1746"/>
      <c r="GH115" s="1746"/>
      <c r="GI115" s="1746"/>
      <c r="GJ115" s="1746"/>
      <c r="GK115" s="1746"/>
      <c r="GL115" s="1746"/>
      <c r="GM115" s="1746"/>
      <c r="GN115" s="1746"/>
      <c r="GO115" s="1746"/>
      <c r="GP115" s="1746"/>
      <c r="GQ115" s="1746"/>
      <c r="GR115" s="1746"/>
      <c r="GS115" s="1746"/>
      <c r="GT115" s="1746"/>
      <c r="GU115" s="1746"/>
      <c r="GV115" s="1746"/>
      <c r="GW115" s="1746"/>
      <c r="GX115" s="1746"/>
      <c r="GY115" s="1746"/>
      <c r="GZ115" s="1746"/>
      <c r="HA115" s="1559"/>
      <c r="HB115" s="1746"/>
      <c r="HC115" s="1746"/>
      <c r="HD115" s="1559"/>
      <c r="HE115" s="1746"/>
      <c r="HF115" s="1559"/>
      <c r="HG115" s="1559"/>
      <c r="HH115" s="1746"/>
      <c r="HI115" s="1559"/>
      <c r="HJ115" s="1559"/>
      <c r="HK115" s="1559"/>
      <c r="HL115" s="1559"/>
      <c r="HM115" s="2596"/>
      <c r="HN115" s="1559"/>
      <c r="HO115" s="1746"/>
      <c r="HP115" s="1559"/>
      <c r="HQ115" s="1746"/>
      <c r="HR115" s="1746"/>
      <c r="HS115" s="1746"/>
      <c r="HT115" s="1746"/>
      <c r="HU115" s="1559"/>
      <c r="HV115" s="1746"/>
      <c r="HW115" s="1746"/>
      <c r="HX115" s="1746"/>
      <c r="HY115" s="1746"/>
      <c r="HZ115" s="1746"/>
      <c r="IA115" s="1746"/>
      <c r="IB115" s="1746"/>
      <c r="IC115" s="1746"/>
      <c r="ID115" s="1746"/>
      <c r="IE115" s="1746"/>
      <c r="IF115" s="1746"/>
      <c r="IG115" s="1746"/>
      <c r="IH115" s="1746"/>
      <c r="II115" s="1746"/>
      <c r="IJ115" s="1746"/>
      <c r="IK115" s="1746"/>
      <c r="IL115" s="1746"/>
      <c r="IM115" s="1746"/>
      <c r="IN115" s="1746"/>
      <c r="IO115" s="1746"/>
      <c r="IP115" s="1746"/>
      <c r="IQ115" s="1746"/>
      <c r="IR115" s="1750"/>
      <c r="IS115" s="1750"/>
      <c r="IT115" s="1746"/>
      <c r="IU115" s="1750"/>
      <c r="IV115" s="1746"/>
      <c r="IW115" s="1746"/>
      <c r="IX115" s="1746"/>
      <c r="IY115" s="1746"/>
      <c r="IZ115" s="1746"/>
      <c r="JA115" s="1746"/>
      <c r="JB115" s="1746"/>
      <c r="JC115" s="1746"/>
      <c r="JD115" s="1746"/>
      <c r="JE115" s="1746"/>
      <c r="JF115" s="1746"/>
      <c r="JG115" s="1746"/>
      <c r="JH115" s="1746"/>
      <c r="JI115" s="1746"/>
      <c r="JJ115" s="1746"/>
      <c r="JK115" s="1746"/>
      <c r="JL115" s="1746"/>
      <c r="JM115" s="1746"/>
      <c r="JN115" s="1746"/>
      <c r="JO115" s="1746"/>
      <c r="JP115" s="1746"/>
      <c r="JQ115" s="1747"/>
      <c r="JR115" s="1748"/>
      <c r="JS115" s="499"/>
      <c r="JT115" s="1749"/>
    </row>
    <row r="116" spans="1:280" x14ac:dyDescent="0.25">
      <c r="A116" s="1367">
        <v>29</v>
      </c>
      <c r="B116" s="1677" t="str">
        <f t="shared" si="13"/>
        <v/>
      </c>
      <c r="C116" s="2578" t="s">
        <v>4478</v>
      </c>
      <c r="D116" s="1744" t="s">
        <v>4479</v>
      </c>
      <c r="E116" s="2599"/>
      <c r="F116" s="2599"/>
      <c r="G116" s="2599"/>
      <c r="H116" s="1559"/>
      <c r="I116" s="1559"/>
      <c r="J116" s="1745"/>
      <c r="K116" s="1559"/>
      <c r="L116" s="1745"/>
      <c r="M116" s="1559"/>
      <c r="N116" s="2587"/>
      <c r="O116" s="1745"/>
      <c r="P116" s="1745"/>
      <c r="Q116" s="1745"/>
      <c r="R116" s="1746"/>
      <c r="S116" s="1746"/>
      <c r="T116" s="1746"/>
      <c r="U116" s="1746"/>
      <c r="V116" s="1746"/>
      <c r="W116" s="1746"/>
      <c r="X116" s="1746"/>
      <c r="Y116" s="1746"/>
      <c r="Z116" s="1746"/>
      <c r="AA116" s="1746"/>
      <c r="AB116" s="1746"/>
      <c r="AC116" s="1746"/>
      <c r="AD116" s="1746"/>
      <c r="AE116" s="1746"/>
      <c r="AF116" s="1746"/>
      <c r="AG116" s="1746"/>
      <c r="AH116" s="1746"/>
      <c r="AI116" s="1746"/>
      <c r="AJ116" s="1746"/>
      <c r="AK116" s="1746"/>
      <c r="AL116" s="1746"/>
      <c r="AM116" s="1746"/>
      <c r="AN116" s="1746"/>
      <c r="AO116" s="1746"/>
      <c r="AP116" s="1746"/>
      <c r="AQ116" s="1746"/>
      <c r="AR116" s="1746"/>
      <c r="AS116" s="1746"/>
      <c r="AT116" s="1746"/>
      <c r="AU116" s="1746"/>
      <c r="AV116" s="1746"/>
      <c r="AW116" s="1746"/>
      <c r="AX116" s="1559"/>
      <c r="AY116" s="1559"/>
      <c r="AZ116" s="1559"/>
      <c r="BA116" s="1746"/>
      <c r="BB116" s="1746"/>
      <c r="BC116" s="1746"/>
      <c r="BD116" s="1746"/>
      <c r="BE116" s="1746"/>
      <c r="BF116" s="1746"/>
      <c r="BG116" s="1746"/>
      <c r="BH116" s="1746"/>
      <c r="BI116" s="1746"/>
      <c r="BJ116" s="1746"/>
      <c r="BK116" s="1750"/>
      <c r="BL116" s="1746"/>
      <c r="BM116" s="1746"/>
      <c r="BN116" s="1746"/>
      <c r="BO116" s="1746"/>
      <c r="BP116" s="1746"/>
      <c r="BQ116" s="1746"/>
      <c r="BR116" s="1746"/>
      <c r="BS116" s="1746"/>
      <c r="BT116" s="1746"/>
      <c r="BU116" s="1746"/>
      <c r="BV116" s="1746"/>
      <c r="BW116" s="1746"/>
      <c r="BX116" s="1746"/>
      <c r="BY116" s="1746"/>
      <c r="BZ116" s="1746"/>
      <c r="CA116" s="1746"/>
      <c r="CB116" s="1746"/>
      <c r="CC116" s="1746"/>
      <c r="CD116" s="1746"/>
      <c r="CE116" s="1746"/>
      <c r="CF116" s="1746"/>
      <c r="CG116" s="1746"/>
      <c r="CH116" s="1746"/>
      <c r="CI116" s="1746"/>
      <c r="CJ116" s="1559"/>
      <c r="CK116" s="1746"/>
      <c r="CL116" s="1746"/>
      <c r="CM116" s="1746"/>
      <c r="CN116" s="1746"/>
      <c r="CO116" s="1746"/>
      <c r="CP116" s="1746"/>
      <c r="CQ116" s="1746"/>
      <c r="CR116" s="1746"/>
      <c r="CS116" s="1746"/>
      <c r="CT116" s="1746"/>
      <c r="CU116" s="1746"/>
      <c r="CV116" s="1746"/>
      <c r="CW116" s="1746"/>
      <c r="CX116" s="1746"/>
      <c r="CY116" s="1746"/>
      <c r="CZ116" s="1746"/>
      <c r="DA116" s="1746"/>
      <c r="DB116" s="1746"/>
      <c r="DC116" s="1746"/>
      <c r="DD116" s="1746"/>
      <c r="DE116" s="1746"/>
      <c r="DF116" s="1746"/>
      <c r="DG116" s="1746"/>
      <c r="DH116" s="1746"/>
      <c r="DI116" s="1746"/>
      <c r="DJ116" s="1746"/>
      <c r="DK116" s="1746"/>
      <c r="DL116" s="1746"/>
      <c r="DM116" s="1746"/>
      <c r="DN116" s="1746"/>
      <c r="DO116" s="1746"/>
      <c r="DP116" s="1746"/>
      <c r="DQ116" s="1746"/>
      <c r="DR116" s="1746"/>
      <c r="DS116" s="1559"/>
      <c r="DT116" s="1559"/>
      <c r="DU116" s="1746"/>
      <c r="DV116" s="1746"/>
      <c r="DW116" s="1746"/>
      <c r="DX116" s="1746"/>
      <c r="DY116" s="1746"/>
      <c r="DZ116" s="1746"/>
      <c r="EA116" s="1746"/>
      <c r="EB116" s="1746"/>
      <c r="EC116" s="1746"/>
      <c r="ED116" s="1746"/>
      <c r="EE116" s="1746"/>
      <c r="EF116" s="1746"/>
      <c r="EG116" s="1746"/>
      <c r="EH116" s="1746"/>
      <c r="EI116" s="1746"/>
      <c r="EJ116" s="1746"/>
      <c r="EK116" s="1746"/>
      <c r="EL116" s="1746"/>
      <c r="EM116" s="1746"/>
      <c r="EN116" s="1746"/>
      <c r="EO116" s="1746"/>
      <c r="EP116" s="1746"/>
      <c r="EQ116" s="1746"/>
      <c r="ER116" s="1746"/>
      <c r="ES116" s="1746"/>
      <c r="ET116" s="1746"/>
      <c r="EU116" s="1746"/>
      <c r="EV116" s="1746"/>
      <c r="EW116" s="1746"/>
      <c r="EX116" s="1746"/>
      <c r="EY116" s="1746"/>
      <c r="EZ116" s="1746"/>
      <c r="FA116" s="1746"/>
      <c r="FB116" s="1746"/>
      <c r="FC116" s="1746"/>
      <c r="FD116" s="1746"/>
      <c r="FE116" s="1746"/>
      <c r="FF116" s="1746"/>
      <c r="FG116" s="1746"/>
      <c r="FH116" s="1746"/>
      <c r="FI116" s="1746"/>
      <c r="FJ116" s="1746"/>
      <c r="FK116" s="1746"/>
      <c r="FL116" s="1746"/>
      <c r="FM116" s="1746"/>
      <c r="FN116" s="1746"/>
      <c r="FO116" s="1746"/>
      <c r="FP116" s="1746"/>
      <c r="FQ116" s="1746"/>
      <c r="FR116" s="1746"/>
      <c r="FS116" s="1746"/>
      <c r="FT116" s="1559"/>
      <c r="FU116" s="1559"/>
      <c r="FV116" s="1559"/>
      <c r="FW116" s="1746"/>
      <c r="FX116" s="1746"/>
      <c r="FY116" s="1746"/>
      <c r="FZ116" s="1746"/>
      <c r="GA116" s="1746"/>
      <c r="GB116" s="1746"/>
      <c r="GC116" s="1746"/>
      <c r="GD116" s="1746"/>
      <c r="GE116" s="1746"/>
      <c r="GF116" s="1746"/>
      <c r="GG116" s="1746"/>
      <c r="GH116" s="1746"/>
      <c r="GI116" s="1746"/>
      <c r="GJ116" s="1746"/>
      <c r="GK116" s="1746"/>
      <c r="GL116" s="1746"/>
      <c r="GM116" s="1746"/>
      <c r="GN116" s="1746"/>
      <c r="GO116" s="1746"/>
      <c r="GP116" s="1746"/>
      <c r="GQ116" s="1746"/>
      <c r="GR116" s="1746"/>
      <c r="GS116" s="1746"/>
      <c r="GT116" s="1746"/>
      <c r="GU116" s="1746"/>
      <c r="GV116" s="1746"/>
      <c r="GW116" s="1746"/>
      <c r="GX116" s="1746"/>
      <c r="GY116" s="1746"/>
      <c r="GZ116" s="1746"/>
      <c r="HA116" s="1559"/>
      <c r="HB116" s="1746"/>
      <c r="HC116" s="1746"/>
      <c r="HD116" s="1559"/>
      <c r="HE116" s="1746"/>
      <c r="HF116" s="1559"/>
      <c r="HG116" s="1559"/>
      <c r="HH116" s="1746"/>
      <c r="HI116" s="1559"/>
      <c r="HJ116" s="1559"/>
      <c r="HK116" s="1559"/>
      <c r="HL116" s="1559"/>
      <c r="HM116" s="1692"/>
      <c r="HN116" s="1559"/>
      <c r="HO116" s="1746"/>
      <c r="HP116" s="1559"/>
      <c r="HQ116" s="1746"/>
      <c r="HR116" s="1746"/>
      <c r="HS116" s="1746"/>
      <c r="HT116" s="1746"/>
      <c r="HU116" s="1559"/>
      <c r="HV116" s="1746"/>
      <c r="HW116" s="1746"/>
      <c r="HX116" s="1746"/>
      <c r="HY116" s="1746"/>
      <c r="HZ116" s="1746"/>
      <c r="IA116" s="1746"/>
      <c r="IB116" s="1746"/>
      <c r="IC116" s="1746"/>
      <c r="ID116" s="1746"/>
      <c r="IE116" s="1746"/>
      <c r="IF116" s="1746"/>
      <c r="IG116" s="1746"/>
      <c r="IH116" s="1746"/>
      <c r="II116" s="1746"/>
      <c r="IJ116" s="1746"/>
      <c r="IK116" s="1746"/>
      <c r="IL116" s="1746"/>
      <c r="IM116" s="1746"/>
      <c r="IN116" s="1746"/>
      <c r="IO116" s="1746"/>
      <c r="IP116" s="1746"/>
      <c r="IQ116" s="1746"/>
      <c r="IR116" s="1750"/>
      <c r="IS116" s="1750"/>
      <c r="IT116" s="1746"/>
      <c r="IU116" s="1750"/>
      <c r="IV116" s="1746"/>
      <c r="IW116" s="1750"/>
      <c r="IX116" s="1746"/>
      <c r="IY116" s="1746"/>
      <c r="IZ116" s="1746"/>
      <c r="JA116" s="1746"/>
      <c r="JB116" s="1746"/>
      <c r="JC116" s="1746"/>
      <c r="JD116" s="1746"/>
      <c r="JE116" s="1746"/>
      <c r="JF116" s="1746"/>
      <c r="JG116" s="1746"/>
      <c r="JH116" s="1746"/>
      <c r="JI116" s="1746"/>
      <c r="JJ116" s="1746"/>
      <c r="JK116" s="1746"/>
      <c r="JL116" s="1746"/>
      <c r="JM116" s="1746"/>
      <c r="JN116" s="1746"/>
      <c r="JO116" s="1746"/>
      <c r="JP116" s="1746"/>
      <c r="JQ116" s="1747"/>
      <c r="JR116" s="1748"/>
      <c r="JS116" s="499"/>
      <c r="JT116" s="1749"/>
    </row>
    <row r="117" spans="1:280" x14ac:dyDescent="0.25">
      <c r="A117" s="1367">
        <v>30</v>
      </c>
      <c r="B117" s="1411" t="str">
        <f t="shared" si="13"/>
        <v/>
      </c>
      <c r="C117" s="1728" t="s">
        <v>4480</v>
      </c>
      <c r="D117" s="1743" t="s">
        <v>4481</v>
      </c>
      <c r="E117" s="1730"/>
      <c r="F117" s="1730"/>
      <c r="G117" s="1730"/>
      <c r="H117" s="1381"/>
      <c r="I117" s="1381"/>
      <c r="J117" s="1414"/>
      <c r="K117" s="1381"/>
      <c r="L117" s="1414"/>
      <c r="M117" s="1381"/>
      <c r="N117" s="1381"/>
      <c r="O117" s="1414"/>
      <c r="P117" s="1414"/>
      <c r="Q117" s="1414"/>
      <c r="R117" s="1414"/>
      <c r="S117" s="1414"/>
      <c r="T117" s="1414"/>
      <c r="U117" s="1414"/>
      <c r="V117" s="1414"/>
      <c r="W117" s="1414"/>
      <c r="X117" s="1414"/>
      <c r="Y117" s="1414"/>
      <c r="Z117" s="1414"/>
      <c r="AA117" s="1414"/>
      <c r="AB117" s="1414"/>
      <c r="AC117" s="1414"/>
      <c r="AD117" s="1414"/>
      <c r="AE117" s="1414"/>
      <c r="AF117" s="1414"/>
      <c r="AG117" s="1414"/>
      <c r="AH117" s="1414"/>
      <c r="AI117" s="1414"/>
      <c r="AJ117" s="1414"/>
      <c r="AK117" s="1414"/>
      <c r="AL117" s="1414"/>
      <c r="AM117" s="1414"/>
      <c r="AN117" s="1414"/>
      <c r="AO117" s="1414"/>
      <c r="AP117" s="1414"/>
      <c r="AQ117" s="1414"/>
      <c r="AR117" s="1414"/>
      <c r="AS117" s="1414"/>
      <c r="AT117" s="1414"/>
      <c r="AU117" s="1414"/>
      <c r="AV117" s="1414"/>
      <c r="AW117" s="1414"/>
      <c r="AX117" s="1382"/>
      <c r="AY117" s="1382"/>
      <c r="AZ117" s="1382"/>
      <c r="BA117" s="1414"/>
      <c r="BB117" s="1414"/>
      <c r="BC117" s="1414"/>
      <c r="BD117" s="1414"/>
      <c r="BE117" s="1414"/>
      <c r="BF117" s="1414"/>
      <c r="BG117" s="1414"/>
      <c r="BH117" s="1414"/>
      <c r="BI117" s="1414"/>
      <c r="BJ117" s="1414"/>
      <c r="BK117" s="1414"/>
      <c r="BL117" s="1414"/>
      <c r="BM117" s="1414"/>
      <c r="BN117" s="1414"/>
      <c r="BO117" s="1414"/>
      <c r="BP117" s="1414"/>
      <c r="BQ117" s="1414"/>
      <c r="BR117" s="1414"/>
      <c r="BS117" s="1414"/>
      <c r="BT117" s="1414"/>
      <c r="BU117" s="1414"/>
      <c r="BV117" s="1414"/>
      <c r="BW117" s="1414"/>
      <c r="BX117" s="1414"/>
      <c r="BY117" s="1414"/>
      <c r="BZ117" s="1414"/>
      <c r="CA117" s="1414"/>
      <c r="CB117" s="1414"/>
      <c r="CC117" s="1414"/>
      <c r="CD117" s="1414"/>
      <c r="CE117" s="1414"/>
      <c r="CF117" s="1414"/>
      <c r="CG117" s="1414"/>
      <c r="CH117" s="1414"/>
      <c r="CI117" s="1414"/>
      <c r="CJ117" s="1382"/>
      <c r="CK117" s="1414"/>
      <c r="CL117" s="1414"/>
      <c r="CM117" s="1414"/>
      <c r="CN117" s="1414"/>
      <c r="CO117" s="1414"/>
      <c r="CP117" s="1414"/>
      <c r="CQ117" s="1414"/>
      <c r="CR117" s="1414"/>
      <c r="CS117" s="1414"/>
      <c r="CT117" s="1414"/>
      <c r="CU117" s="1414"/>
      <c r="CV117" s="1414"/>
      <c r="CW117" s="1414"/>
      <c r="CX117" s="1414"/>
      <c r="CY117" s="1414"/>
      <c r="CZ117" s="1414"/>
      <c r="DA117" s="1414"/>
      <c r="DB117" s="1414"/>
      <c r="DC117" s="1414"/>
      <c r="DD117" s="1414"/>
      <c r="DE117" s="1414"/>
      <c r="DF117" s="1414"/>
      <c r="DG117" s="1414"/>
      <c r="DH117" s="1414"/>
      <c r="DI117" s="1414"/>
      <c r="DJ117" s="1414"/>
      <c r="DK117" s="1414"/>
      <c r="DL117" s="1414"/>
      <c r="DM117" s="1414"/>
      <c r="DN117" s="1414"/>
      <c r="DO117" s="1414"/>
      <c r="DP117" s="1414"/>
      <c r="DQ117" s="1414"/>
      <c r="DR117" s="1414"/>
      <c r="DS117" s="1382"/>
      <c r="DT117" s="1382"/>
      <c r="DU117" s="1414"/>
      <c r="DV117" s="1414"/>
      <c r="DW117" s="1414"/>
      <c r="DX117" s="1414"/>
      <c r="DY117" s="1414"/>
      <c r="DZ117" s="1414"/>
      <c r="EA117" s="1414"/>
      <c r="EB117" s="1414"/>
      <c r="EC117" s="1414"/>
      <c r="ED117" s="1414"/>
      <c r="EE117" s="1414"/>
      <c r="EF117" s="1414"/>
      <c r="EG117" s="1414"/>
      <c r="EH117" s="1414"/>
      <c r="EI117" s="1414"/>
      <c r="EJ117" s="1414"/>
      <c r="EK117" s="1414"/>
      <c r="EL117" s="1414"/>
      <c r="EM117" s="1414"/>
      <c r="EN117" s="1414"/>
      <c r="EO117" s="1414"/>
      <c r="EP117" s="1414"/>
      <c r="EQ117" s="1414"/>
      <c r="ER117" s="1414"/>
      <c r="ES117" s="1414"/>
      <c r="ET117" s="1414"/>
      <c r="EU117" s="1414"/>
      <c r="EV117" s="1414"/>
      <c r="EW117" s="1414"/>
      <c r="EX117" s="1414"/>
      <c r="EY117" s="1414"/>
      <c r="EZ117" s="1414"/>
      <c r="FA117" s="1414"/>
      <c r="FB117" s="1414"/>
      <c r="FC117" s="1414"/>
      <c r="FD117" s="1414"/>
      <c r="FE117" s="1414"/>
      <c r="FF117" s="1414"/>
      <c r="FG117" s="1414"/>
      <c r="FH117" s="1414"/>
      <c r="FI117" s="1414"/>
      <c r="FJ117" s="1414"/>
      <c r="FK117" s="1414"/>
      <c r="FL117" s="1414"/>
      <c r="FM117" s="1414"/>
      <c r="FN117" s="1414"/>
      <c r="FO117" s="1414"/>
      <c r="FP117" s="1414"/>
      <c r="FQ117" s="1414"/>
      <c r="FR117" s="1414"/>
      <c r="FS117" s="1414"/>
      <c r="FT117" s="1382"/>
      <c r="FU117" s="1382"/>
      <c r="FV117" s="1382"/>
      <c r="FW117" s="1414"/>
      <c r="FX117" s="1414"/>
      <c r="FY117" s="1414"/>
      <c r="FZ117" s="1414"/>
      <c r="GA117" s="1414"/>
      <c r="GB117" s="1414"/>
      <c r="GC117" s="1414"/>
      <c r="GD117" s="1414"/>
      <c r="GE117" s="1414"/>
      <c r="GF117" s="1414"/>
      <c r="GG117" s="1414"/>
      <c r="GH117" s="1414"/>
      <c r="GI117" s="1414"/>
      <c r="GJ117" s="1414"/>
      <c r="GK117" s="1414"/>
      <c r="GL117" s="1414"/>
      <c r="GM117" s="1414"/>
      <c r="GN117" s="1414"/>
      <c r="GO117" s="1414"/>
      <c r="GP117" s="1414"/>
      <c r="GQ117" s="1414"/>
      <c r="GR117" s="1414"/>
      <c r="GS117" s="1414"/>
      <c r="GT117" s="1414"/>
      <c r="GU117" s="1414"/>
      <c r="GV117" s="1414"/>
      <c r="GW117" s="1414"/>
      <c r="GX117" s="1414"/>
      <c r="GY117" s="1414"/>
      <c r="GZ117" s="1414"/>
      <c r="HA117" s="1382"/>
      <c r="HB117" s="1414"/>
      <c r="HC117" s="1414"/>
      <c r="HD117" s="1382"/>
      <c r="HE117" s="1414"/>
      <c r="HF117" s="1382"/>
      <c r="HG117" s="1382"/>
      <c r="HH117" s="1414"/>
      <c r="HI117" s="1382"/>
      <c r="HJ117" s="1382"/>
      <c r="HK117" s="1382"/>
      <c r="HL117" s="1382"/>
      <c r="HM117" s="1382"/>
      <c r="HN117" s="1381"/>
      <c r="HO117" s="1414"/>
      <c r="HP117" s="1381"/>
      <c r="HQ117" s="1414"/>
      <c r="HR117" s="1414"/>
      <c r="HS117" s="1414"/>
      <c r="HT117" s="1414"/>
      <c r="HU117" s="1381"/>
      <c r="HV117" s="1414"/>
      <c r="HW117" s="1414"/>
      <c r="HX117" s="1414"/>
      <c r="HY117" s="1414"/>
      <c r="HZ117" s="1414"/>
      <c r="IA117" s="1414"/>
      <c r="IB117" s="1414"/>
      <c r="IC117" s="1414"/>
      <c r="ID117" s="1414"/>
      <c r="IE117" s="1414"/>
      <c r="IF117" s="1414"/>
      <c r="IG117" s="1414"/>
      <c r="IH117" s="1414"/>
      <c r="II117" s="1414"/>
      <c r="IJ117" s="1414"/>
      <c r="IK117" s="1414"/>
      <c r="IL117" s="1414"/>
      <c r="IM117" s="1414"/>
      <c r="IN117" s="1414"/>
      <c r="IO117" s="1414"/>
      <c r="IP117" s="1414"/>
      <c r="IQ117" s="1414"/>
      <c r="IR117" s="1414"/>
      <c r="IS117" s="1414"/>
      <c r="IT117" s="1414"/>
      <c r="IU117" s="1414"/>
      <c r="IV117" s="1414"/>
      <c r="IW117" s="1414"/>
      <c r="IX117" s="1414"/>
      <c r="IY117" s="1414"/>
      <c r="IZ117" s="1414"/>
      <c r="JA117" s="1414"/>
      <c r="JB117" s="1414"/>
      <c r="JC117" s="1414"/>
      <c r="JD117" s="1414"/>
      <c r="JE117" s="1414"/>
      <c r="JF117" s="1414"/>
      <c r="JG117" s="1414"/>
      <c r="JH117" s="1414"/>
      <c r="JI117" s="1414"/>
      <c r="JJ117" s="1414"/>
      <c r="JK117" s="1414"/>
      <c r="JL117" s="1414"/>
      <c r="JM117" s="1414"/>
      <c r="JN117" s="1414"/>
      <c r="JO117" s="1414"/>
      <c r="JP117" s="1414"/>
      <c r="JQ117" s="1415"/>
      <c r="JR117" s="312"/>
      <c r="JS117" s="420" t="s">
        <v>4482</v>
      </c>
      <c r="JT117" s="419" t="s">
        <v>2319</v>
      </c>
    </row>
    <row r="118" spans="1:280" x14ac:dyDescent="0.25">
      <c r="A118" s="1367">
        <v>31</v>
      </c>
      <c r="B118" s="1411" t="str">
        <f t="shared" si="13"/>
        <v/>
      </c>
      <c r="C118" s="1759" t="s">
        <v>4483</v>
      </c>
      <c r="D118" s="1751" t="s">
        <v>4484</v>
      </c>
      <c r="E118" s="1752"/>
      <c r="F118" s="1752"/>
      <c r="G118" s="1752"/>
      <c r="H118" s="1752"/>
      <c r="I118" s="1752"/>
      <c r="J118" s="1753"/>
      <c r="K118" s="1381"/>
      <c r="L118" s="1414"/>
      <c r="M118" s="1381"/>
      <c r="N118" s="1381"/>
      <c r="O118" s="1414"/>
      <c r="P118" s="1414"/>
      <c r="Q118" s="1414"/>
      <c r="R118" s="1414"/>
      <c r="S118" s="1414"/>
      <c r="T118" s="1414"/>
      <c r="U118" s="1414"/>
      <c r="V118" s="1414"/>
      <c r="W118" s="1414"/>
      <c r="X118" s="1414"/>
      <c r="Y118" s="1414"/>
      <c r="Z118" s="1414"/>
      <c r="AA118" s="1414"/>
      <c r="AB118" s="1414"/>
      <c r="AC118" s="1414"/>
      <c r="AD118" s="1414"/>
      <c r="AE118" s="1414"/>
      <c r="AF118" s="1414"/>
      <c r="AG118" s="1414"/>
      <c r="AH118" s="1414"/>
      <c r="AI118" s="1414"/>
      <c r="AJ118" s="1414"/>
      <c r="AK118" s="1414"/>
      <c r="AL118" s="1414"/>
      <c r="AM118" s="1414"/>
      <c r="AN118" s="1414"/>
      <c r="AO118" s="1414"/>
      <c r="AP118" s="1414"/>
      <c r="AQ118" s="1414"/>
      <c r="AR118" s="1414"/>
      <c r="AS118" s="1414"/>
      <c r="AT118" s="1414"/>
      <c r="AU118" s="1414"/>
      <c r="AV118" s="1414"/>
      <c r="AW118" s="1414"/>
      <c r="AX118" s="1381"/>
      <c r="AY118" s="1465"/>
      <c r="AZ118" s="1381"/>
      <c r="BA118" s="1414"/>
      <c r="BB118" s="1414"/>
      <c r="BC118" s="1414"/>
      <c r="BD118" s="1414"/>
      <c r="BE118" s="1414"/>
      <c r="BF118" s="1414"/>
      <c r="BG118" s="1414"/>
      <c r="BH118" s="1414"/>
      <c r="BI118" s="1414"/>
      <c r="BJ118" s="1414"/>
      <c r="BK118" s="1464"/>
      <c r="BL118" s="1414"/>
      <c r="BM118" s="1414"/>
      <c r="BN118" s="1414"/>
      <c r="BO118" s="1414"/>
      <c r="BP118" s="1414"/>
      <c r="BQ118" s="1414"/>
      <c r="BR118" s="1414"/>
      <c r="BS118" s="1414"/>
      <c r="BT118" s="1414"/>
      <c r="BU118" s="1414"/>
      <c r="BV118" s="1414"/>
      <c r="BW118" s="1414"/>
      <c r="BX118" s="1414"/>
      <c r="BY118" s="1414"/>
      <c r="BZ118" s="1414"/>
      <c r="CA118" s="1414"/>
      <c r="CB118" s="1414"/>
      <c r="CC118" s="1414"/>
      <c r="CD118" s="1414"/>
      <c r="CE118" s="1414"/>
      <c r="CF118" s="1414"/>
      <c r="CG118" s="1414"/>
      <c r="CH118" s="1414"/>
      <c r="CI118" s="1414"/>
      <c r="CJ118" s="1381"/>
      <c r="CK118" s="1414"/>
      <c r="CL118" s="1414"/>
      <c r="CM118" s="1414"/>
      <c r="CN118" s="1414"/>
      <c r="CO118" s="1414"/>
      <c r="CP118" s="1414"/>
      <c r="CQ118" s="1414"/>
      <c r="CR118" s="1414"/>
      <c r="CS118" s="1414"/>
      <c r="CT118" s="1414"/>
      <c r="CU118" s="1414"/>
      <c r="CV118" s="1414"/>
      <c r="CW118" s="1414"/>
      <c r="CX118" s="1414"/>
      <c r="CY118" s="1414"/>
      <c r="CZ118" s="1414"/>
      <c r="DA118" s="1414"/>
      <c r="DB118" s="1414"/>
      <c r="DC118" s="1414"/>
      <c r="DD118" s="1414"/>
      <c r="DE118" s="1414"/>
      <c r="DF118" s="1414"/>
      <c r="DG118" s="1414"/>
      <c r="DH118" s="1414"/>
      <c r="DI118" s="1414"/>
      <c r="DJ118" s="1414"/>
      <c r="DK118" s="1414"/>
      <c r="DL118" s="1414"/>
      <c r="DM118" s="1414"/>
      <c r="DN118" s="1414"/>
      <c r="DO118" s="1414"/>
      <c r="DP118" s="1414"/>
      <c r="DQ118" s="1414"/>
      <c r="DR118" s="1414"/>
      <c r="DS118" s="1381"/>
      <c r="DT118" s="1381"/>
      <c r="DU118" s="1414"/>
      <c r="DV118" s="1414"/>
      <c r="DW118" s="1414"/>
      <c r="DX118" s="1414"/>
      <c r="DY118" s="1414"/>
      <c r="DZ118" s="1414"/>
      <c r="EA118" s="1414"/>
      <c r="EB118" s="1414"/>
      <c r="EC118" s="1414"/>
      <c r="ED118" s="1414"/>
      <c r="EE118" s="1414"/>
      <c r="EF118" s="1414"/>
      <c r="EG118" s="1414"/>
      <c r="EH118" s="1414"/>
      <c r="EI118" s="1414"/>
      <c r="EJ118" s="1414"/>
      <c r="EK118" s="1414"/>
      <c r="EL118" s="1414"/>
      <c r="EM118" s="1414"/>
      <c r="EN118" s="1414"/>
      <c r="EO118" s="1414"/>
      <c r="EP118" s="1414"/>
      <c r="EQ118" s="1414"/>
      <c r="ER118" s="1414"/>
      <c r="ES118" s="1414"/>
      <c r="ET118" s="1414"/>
      <c r="EU118" s="1414"/>
      <c r="EV118" s="1414"/>
      <c r="EW118" s="1414"/>
      <c r="EX118" s="1414"/>
      <c r="EY118" s="1414"/>
      <c r="EZ118" s="1414"/>
      <c r="FA118" s="1414"/>
      <c r="FB118" s="1414"/>
      <c r="FC118" s="1414"/>
      <c r="FD118" s="1414"/>
      <c r="FE118" s="1414"/>
      <c r="FF118" s="1414"/>
      <c r="FG118" s="1414"/>
      <c r="FH118" s="1414"/>
      <c r="FI118" s="1414"/>
      <c r="FJ118" s="1414"/>
      <c r="FK118" s="1414"/>
      <c r="FL118" s="1414"/>
      <c r="FM118" s="1414"/>
      <c r="FN118" s="1414"/>
      <c r="FO118" s="1414"/>
      <c r="FP118" s="1414"/>
      <c r="FQ118" s="1414"/>
      <c r="FR118" s="1414"/>
      <c r="FS118" s="1414"/>
      <c r="FT118" s="1381"/>
      <c r="FU118" s="1381"/>
      <c r="FV118" s="1381"/>
      <c r="FW118" s="1414"/>
      <c r="FX118" s="1414"/>
      <c r="FY118" s="1414"/>
      <c r="FZ118" s="1414"/>
      <c r="GA118" s="1414"/>
      <c r="GB118" s="1414"/>
      <c r="GC118" s="1414"/>
      <c r="GD118" s="1414"/>
      <c r="GE118" s="1414"/>
      <c r="GF118" s="1414"/>
      <c r="GG118" s="1414"/>
      <c r="GH118" s="1414"/>
      <c r="GI118" s="1414"/>
      <c r="GJ118" s="1414"/>
      <c r="GK118" s="1414"/>
      <c r="GL118" s="1414"/>
      <c r="GM118" s="1414"/>
      <c r="GN118" s="1414"/>
      <c r="GO118" s="1414"/>
      <c r="GP118" s="1414"/>
      <c r="GQ118" s="1414"/>
      <c r="GR118" s="1414"/>
      <c r="GS118" s="1414"/>
      <c r="GT118" s="1414"/>
      <c r="GU118" s="1414"/>
      <c r="GV118" s="1414"/>
      <c r="GW118" s="1414"/>
      <c r="GX118" s="1414"/>
      <c r="GY118" s="1414"/>
      <c r="GZ118" s="1414"/>
      <c r="HA118" s="1381"/>
      <c r="HB118" s="1414"/>
      <c r="HC118" s="1414"/>
      <c r="HD118" s="1381"/>
      <c r="HE118" s="1414"/>
      <c r="HF118" s="1381"/>
      <c r="HG118" s="1381"/>
      <c r="HH118" s="1414"/>
      <c r="HI118" s="1381"/>
      <c r="HJ118" s="1381"/>
      <c r="HK118" s="1381"/>
      <c r="HL118" s="1381"/>
      <c r="HM118" s="1381"/>
      <c r="HN118" s="1381"/>
      <c r="HO118" s="1414"/>
      <c r="HP118" s="1381"/>
      <c r="HQ118" s="1414"/>
      <c r="HR118" s="1414"/>
      <c r="HS118" s="1414"/>
      <c r="HT118" s="1414"/>
      <c r="HU118" s="1381"/>
      <c r="HV118" s="1414"/>
      <c r="HW118" s="1414"/>
      <c r="HX118" s="1414"/>
      <c r="HY118" s="1414"/>
      <c r="HZ118" s="1414"/>
      <c r="IA118" s="1414"/>
      <c r="IB118" s="1414"/>
      <c r="IC118" s="1414"/>
      <c r="ID118" s="1414"/>
      <c r="IE118" s="1414"/>
      <c r="IF118" s="1414"/>
      <c r="IG118" s="1414"/>
      <c r="IH118" s="1414"/>
      <c r="II118" s="1414"/>
      <c r="IJ118" s="1414"/>
      <c r="IK118" s="1414"/>
      <c r="IL118" s="1414"/>
      <c r="IM118" s="1414"/>
      <c r="IN118" s="1414"/>
      <c r="IO118" s="1414"/>
      <c r="IP118" s="1414"/>
      <c r="IQ118" s="1414"/>
      <c r="IR118" s="1464"/>
      <c r="IS118" s="1414"/>
      <c r="IT118" s="1414"/>
      <c r="IU118" s="1414"/>
      <c r="IV118" s="1414"/>
      <c r="IW118" s="1464"/>
      <c r="IX118" s="1414"/>
      <c r="IY118" s="1414"/>
      <c r="IZ118" s="1414"/>
      <c r="JA118" s="1414"/>
      <c r="JB118" s="1414"/>
      <c r="JC118" s="1414"/>
      <c r="JD118" s="1414"/>
      <c r="JE118" s="1414"/>
      <c r="JF118" s="1414"/>
      <c r="JG118" s="1414"/>
      <c r="JH118" s="1414"/>
      <c r="JI118" s="1414"/>
      <c r="JJ118" s="1414"/>
      <c r="JK118" s="1414"/>
      <c r="JL118" s="1414"/>
      <c r="JM118" s="1414"/>
      <c r="JN118" s="1414"/>
      <c r="JO118" s="1414"/>
      <c r="JP118" s="1414"/>
      <c r="JQ118" s="1415"/>
      <c r="JR118" s="312"/>
      <c r="JS118" s="1056" t="s">
        <v>4485</v>
      </c>
      <c r="JT118" s="1059" t="s">
        <v>2208</v>
      </c>
    </row>
    <row r="119" spans="1:280" ht="20" x14ac:dyDescent="0.25">
      <c r="A119" s="1367">
        <v>32</v>
      </c>
      <c r="B119" s="1411" t="str">
        <f t="shared" si="13"/>
        <v/>
      </c>
      <c r="C119" s="1759" t="s">
        <v>4486</v>
      </c>
      <c r="D119" s="1751" t="s">
        <v>4487</v>
      </c>
      <c r="E119" s="1752"/>
      <c r="F119" s="1752"/>
      <c r="G119" s="1752"/>
      <c r="H119" s="1752"/>
      <c r="I119" s="1752"/>
      <c r="J119" s="1753"/>
      <c r="K119" s="1381"/>
      <c r="L119" s="1414"/>
      <c r="M119" s="1381"/>
      <c r="N119" s="1381"/>
      <c r="O119" s="1414"/>
      <c r="P119" s="1414"/>
      <c r="Q119" s="1414"/>
      <c r="R119" s="1414"/>
      <c r="S119" s="1414"/>
      <c r="T119" s="1414"/>
      <c r="U119" s="1414"/>
      <c r="V119" s="1414"/>
      <c r="W119" s="1414"/>
      <c r="X119" s="1414"/>
      <c r="Y119" s="1414"/>
      <c r="Z119" s="1414"/>
      <c r="AA119" s="1414"/>
      <c r="AB119" s="1414"/>
      <c r="AC119" s="1414"/>
      <c r="AD119" s="1414"/>
      <c r="AE119" s="1414"/>
      <c r="AF119" s="1414"/>
      <c r="AG119" s="1414"/>
      <c r="AH119" s="1414"/>
      <c r="AI119" s="1414"/>
      <c r="AJ119" s="1414"/>
      <c r="AK119" s="1414"/>
      <c r="AL119" s="1414"/>
      <c r="AM119" s="1414"/>
      <c r="AN119" s="1414"/>
      <c r="AO119" s="1414"/>
      <c r="AP119" s="1414"/>
      <c r="AQ119" s="1414"/>
      <c r="AR119" s="1414"/>
      <c r="AS119" s="1414"/>
      <c r="AT119" s="1414"/>
      <c r="AU119" s="1414"/>
      <c r="AV119" s="1414"/>
      <c r="AW119" s="1414"/>
      <c r="AX119" s="1382"/>
      <c r="AY119" s="1382"/>
      <c r="AZ119" s="1382"/>
      <c r="BA119" s="1414"/>
      <c r="BB119" s="1414"/>
      <c r="BC119" s="1414"/>
      <c r="BD119" s="1414"/>
      <c r="BE119" s="1414"/>
      <c r="BF119" s="1414"/>
      <c r="BG119" s="1414"/>
      <c r="BH119" s="1414"/>
      <c r="BI119" s="1414"/>
      <c r="BJ119" s="1414"/>
      <c r="BK119" s="1464"/>
      <c r="BL119" s="1414"/>
      <c r="BM119" s="1414"/>
      <c r="BN119" s="1414"/>
      <c r="BO119" s="1414"/>
      <c r="BP119" s="1414"/>
      <c r="BQ119" s="1414"/>
      <c r="BR119" s="1414"/>
      <c r="BS119" s="1414"/>
      <c r="BT119" s="1414"/>
      <c r="BU119" s="1414"/>
      <c r="BV119" s="1414"/>
      <c r="BW119" s="1414"/>
      <c r="BX119" s="1414"/>
      <c r="BY119" s="1414"/>
      <c r="BZ119" s="1414"/>
      <c r="CA119" s="1414"/>
      <c r="CB119" s="1414"/>
      <c r="CC119" s="1414"/>
      <c r="CD119" s="1414"/>
      <c r="CE119" s="1414"/>
      <c r="CF119" s="1414"/>
      <c r="CG119" s="1414"/>
      <c r="CH119" s="1414"/>
      <c r="CI119" s="1414"/>
      <c r="CJ119" s="1382"/>
      <c r="CK119" s="1414"/>
      <c r="CL119" s="1414"/>
      <c r="CM119" s="1414"/>
      <c r="CN119" s="1414"/>
      <c r="CO119" s="1414"/>
      <c r="CP119" s="1414"/>
      <c r="CQ119" s="1414"/>
      <c r="CR119" s="1414"/>
      <c r="CS119" s="1414"/>
      <c r="CT119" s="1414"/>
      <c r="CU119" s="1414"/>
      <c r="CV119" s="1414"/>
      <c r="CW119" s="1414"/>
      <c r="CX119" s="1414"/>
      <c r="CY119" s="1414"/>
      <c r="CZ119" s="1414"/>
      <c r="DA119" s="1414"/>
      <c r="DB119" s="1414"/>
      <c r="DC119" s="1414"/>
      <c r="DD119" s="1414"/>
      <c r="DE119" s="1414"/>
      <c r="DF119" s="1414"/>
      <c r="DG119" s="1414"/>
      <c r="DH119" s="1414"/>
      <c r="DI119" s="1414"/>
      <c r="DJ119" s="1414"/>
      <c r="DK119" s="1414"/>
      <c r="DL119" s="1414"/>
      <c r="DM119" s="1414"/>
      <c r="DN119" s="1414"/>
      <c r="DO119" s="1414"/>
      <c r="DP119" s="1414"/>
      <c r="DQ119" s="1414"/>
      <c r="DR119" s="1414"/>
      <c r="DS119" s="1382"/>
      <c r="DT119" s="1382"/>
      <c r="DU119" s="1414"/>
      <c r="DV119" s="1414"/>
      <c r="DW119" s="1414"/>
      <c r="DX119" s="1414"/>
      <c r="DY119" s="1414"/>
      <c r="DZ119" s="1414"/>
      <c r="EA119" s="1414"/>
      <c r="EB119" s="1414"/>
      <c r="EC119" s="1414"/>
      <c r="ED119" s="1414"/>
      <c r="EE119" s="1414"/>
      <c r="EF119" s="1414"/>
      <c r="EG119" s="1414"/>
      <c r="EH119" s="1414"/>
      <c r="EI119" s="1414"/>
      <c r="EJ119" s="1414"/>
      <c r="EK119" s="1414"/>
      <c r="EL119" s="1414"/>
      <c r="EM119" s="1414"/>
      <c r="EN119" s="1414"/>
      <c r="EO119" s="1414"/>
      <c r="EP119" s="1414"/>
      <c r="EQ119" s="1414"/>
      <c r="ER119" s="1414"/>
      <c r="ES119" s="1414"/>
      <c r="ET119" s="1414"/>
      <c r="EU119" s="1414"/>
      <c r="EV119" s="1414"/>
      <c r="EW119" s="1414"/>
      <c r="EX119" s="1414"/>
      <c r="EY119" s="1414"/>
      <c r="EZ119" s="1414"/>
      <c r="FA119" s="1414"/>
      <c r="FB119" s="1414"/>
      <c r="FC119" s="1414"/>
      <c r="FD119" s="1414"/>
      <c r="FE119" s="1414"/>
      <c r="FF119" s="1414"/>
      <c r="FG119" s="1414"/>
      <c r="FH119" s="1414"/>
      <c r="FI119" s="1464"/>
      <c r="FJ119" s="1414"/>
      <c r="FK119" s="1414"/>
      <c r="FL119" s="1414"/>
      <c r="FM119" s="1414"/>
      <c r="FN119" s="1414"/>
      <c r="FO119" s="1414"/>
      <c r="FP119" s="1414"/>
      <c r="FQ119" s="1414"/>
      <c r="FR119" s="1414"/>
      <c r="FS119" s="1414"/>
      <c r="FT119" s="1382"/>
      <c r="FU119" s="1382"/>
      <c r="FV119" s="1382"/>
      <c r="FW119" s="1414"/>
      <c r="FX119" s="1414"/>
      <c r="FY119" s="1414"/>
      <c r="FZ119" s="1414"/>
      <c r="GA119" s="1414"/>
      <c r="GB119" s="1414"/>
      <c r="GC119" s="1414"/>
      <c r="GD119" s="1414"/>
      <c r="GE119" s="1414"/>
      <c r="GF119" s="1414"/>
      <c r="GG119" s="1414"/>
      <c r="GH119" s="1414"/>
      <c r="GI119" s="1414"/>
      <c r="GJ119" s="1414"/>
      <c r="GK119" s="1414"/>
      <c r="GL119" s="1414"/>
      <c r="GM119" s="1414"/>
      <c r="GN119" s="1414"/>
      <c r="GO119" s="1414"/>
      <c r="GP119" s="1414"/>
      <c r="GQ119" s="1414"/>
      <c r="GR119" s="1414"/>
      <c r="GS119" s="1414"/>
      <c r="GT119" s="1414"/>
      <c r="GU119" s="1414"/>
      <c r="GV119" s="1414"/>
      <c r="GW119" s="1414"/>
      <c r="GX119" s="1414"/>
      <c r="GY119" s="1414"/>
      <c r="GZ119" s="1414"/>
      <c r="HA119" s="1382"/>
      <c r="HB119" s="1414"/>
      <c r="HC119" s="1414"/>
      <c r="HD119" s="1382"/>
      <c r="HE119" s="1414"/>
      <c r="HF119" s="1382"/>
      <c r="HG119" s="1382"/>
      <c r="HH119" s="1414"/>
      <c r="HI119" s="1382"/>
      <c r="HJ119" s="1382"/>
      <c r="HK119" s="1382"/>
      <c r="HL119" s="1382"/>
      <c r="HM119" s="1382"/>
      <c r="HN119" s="1382"/>
      <c r="HO119" s="1414"/>
      <c r="HP119" s="1381"/>
      <c r="HQ119" s="1414"/>
      <c r="HR119" s="1414"/>
      <c r="HS119" s="1414"/>
      <c r="HT119" s="1414"/>
      <c r="HU119" s="1381"/>
      <c r="HV119" s="1414"/>
      <c r="HW119" s="1414"/>
      <c r="HX119" s="1414"/>
      <c r="HY119" s="1414"/>
      <c r="HZ119" s="1414"/>
      <c r="IA119" s="1414"/>
      <c r="IB119" s="1414"/>
      <c r="IC119" s="1414"/>
      <c r="ID119" s="1414"/>
      <c r="IE119" s="1414"/>
      <c r="IF119" s="1414"/>
      <c r="IG119" s="1414"/>
      <c r="IH119" s="1414"/>
      <c r="II119" s="1414"/>
      <c r="IJ119" s="1414"/>
      <c r="IK119" s="1414"/>
      <c r="IL119" s="1414"/>
      <c r="IM119" s="1414"/>
      <c r="IN119" s="1414"/>
      <c r="IO119" s="1414"/>
      <c r="IP119" s="1414"/>
      <c r="IQ119" s="1414"/>
      <c r="IR119" s="1464"/>
      <c r="IS119" s="1414"/>
      <c r="IT119" s="1414"/>
      <c r="IU119" s="1414"/>
      <c r="IV119" s="1414"/>
      <c r="IW119" s="1414"/>
      <c r="IX119" s="1414"/>
      <c r="IY119" s="1414"/>
      <c r="IZ119" s="1414"/>
      <c r="JA119" s="1414"/>
      <c r="JB119" s="1414"/>
      <c r="JC119" s="1414"/>
      <c r="JD119" s="1414"/>
      <c r="JE119" s="1414"/>
      <c r="JF119" s="1414"/>
      <c r="JG119" s="1414"/>
      <c r="JH119" s="1414"/>
      <c r="JI119" s="1414"/>
      <c r="JJ119" s="1414"/>
      <c r="JK119" s="1414"/>
      <c r="JL119" s="1414"/>
      <c r="JM119" s="1414"/>
      <c r="JN119" s="1414"/>
      <c r="JO119" s="1414"/>
      <c r="JP119" s="1414"/>
      <c r="JQ119" s="1415"/>
      <c r="JR119" s="312"/>
      <c r="JS119" s="1056" t="s">
        <v>4488</v>
      </c>
      <c r="JT119" s="1059" t="s">
        <v>2319</v>
      </c>
    </row>
    <row r="120" spans="1:280" ht="20" x14ac:dyDescent="0.25">
      <c r="A120" s="1367">
        <v>33</v>
      </c>
      <c r="B120" s="1411" t="str">
        <f t="shared" si="13"/>
        <v/>
      </c>
      <c r="C120" s="1759" t="s">
        <v>4489</v>
      </c>
      <c r="D120" s="1751" t="s">
        <v>4490</v>
      </c>
      <c r="E120" s="1754"/>
      <c r="F120" s="1754"/>
      <c r="G120" s="1755"/>
      <c r="H120" s="1755"/>
      <c r="I120" s="1755"/>
      <c r="J120" s="1756"/>
      <c r="K120" s="1361"/>
      <c r="L120" s="1732"/>
      <c r="M120" s="1731"/>
      <c r="N120" s="1731"/>
      <c r="O120" s="1732"/>
      <c r="P120" s="1732"/>
      <c r="Q120" s="1732"/>
      <c r="R120" s="1732"/>
      <c r="S120" s="1732"/>
      <c r="T120" s="1732"/>
      <c r="U120" s="1732"/>
      <c r="V120" s="1732"/>
      <c r="W120" s="1732"/>
      <c r="X120" s="1732"/>
      <c r="Y120" s="1732"/>
      <c r="Z120" s="1732"/>
      <c r="AA120" s="1732"/>
      <c r="AB120" s="1732"/>
      <c r="AC120" s="1732"/>
      <c r="AD120" s="1732"/>
      <c r="AE120" s="1732"/>
      <c r="AF120" s="1732"/>
      <c r="AG120" s="1732"/>
      <c r="AH120" s="1732"/>
      <c r="AI120" s="1732"/>
      <c r="AJ120" s="1732"/>
      <c r="AK120" s="1732"/>
      <c r="AL120" s="1732"/>
      <c r="AM120" s="1732"/>
      <c r="AN120" s="1732"/>
      <c r="AO120" s="1732"/>
      <c r="AP120" s="1732"/>
      <c r="AQ120" s="1732"/>
      <c r="AR120" s="1732"/>
      <c r="AS120" s="1732"/>
      <c r="AT120" s="1732"/>
      <c r="AU120" s="1732"/>
      <c r="AV120" s="1732"/>
      <c r="AW120" s="1732"/>
      <c r="AX120" s="1290"/>
      <c r="AY120" s="1290"/>
      <c r="AZ120" s="1290"/>
      <c r="BA120" s="1732"/>
      <c r="BB120" s="1732"/>
      <c r="BC120" s="1732"/>
      <c r="BD120" s="1732"/>
      <c r="BE120" s="1732"/>
      <c r="BF120" s="1732"/>
      <c r="BG120" s="1732"/>
      <c r="BH120" s="1732"/>
      <c r="BI120" s="1732"/>
      <c r="BJ120" s="1732"/>
      <c r="BK120" s="1732"/>
      <c r="BL120" s="1732"/>
      <c r="BM120" s="1732"/>
      <c r="BN120" s="1732"/>
      <c r="BO120" s="1732"/>
      <c r="BP120" s="1732"/>
      <c r="BQ120" s="1732"/>
      <c r="BR120" s="1732"/>
      <c r="BS120" s="1732"/>
      <c r="BT120" s="1732"/>
      <c r="BU120" s="1732"/>
      <c r="BV120" s="1732"/>
      <c r="BW120" s="1732"/>
      <c r="BX120" s="1732"/>
      <c r="BY120" s="1732"/>
      <c r="BZ120" s="1732"/>
      <c r="CA120" s="1732"/>
      <c r="CB120" s="1732"/>
      <c r="CC120" s="1732"/>
      <c r="CD120" s="1732"/>
      <c r="CE120" s="1732"/>
      <c r="CF120" s="1732"/>
      <c r="CG120" s="1732"/>
      <c r="CH120" s="1732"/>
      <c r="CI120" s="1732"/>
      <c r="CJ120" s="1757"/>
      <c r="CK120" s="1732"/>
      <c r="CL120" s="1732"/>
      <c r="CM120" s="1732"/>
      <c r="CN120" s="1732"/>
      <c r="CO120" s="1732"/>
      <c r="CP120" s="1732"/>
      <c r="CQ120" s="1732"/>
      <c r="CR120" s="1732"/>
      <c r="CS120" s="1732"/>
      <c r="CT120" s="1732"/>
      <c r="CU120" s="1732"/>
      <c r="CV120" s="1732"/>
      <c r="CW120" s="1732"/>
      <c r="CX120" s="1732"/>
      <c r="CY120" s="1732"/>
      <c r="CZ120" s="1732"/>
      <c r="DA120" s="1732"/>
      <c r="DB120" s="1732"/>
      <c r="DC120" s="1732"/>
      <c r="DD120" s="1732"/>
      <c r="DE120" s="1732"/>
      <c r="DF120" s="1732"/>
      <c r="DG120" s="1732"/>
      <c r="DH120" s="1732"/>
      <c r="DI120" s="1732"/>
      <c r="DJ120" s="1732"/>
      <c r="DK120" s="1732"/>
      <c r="DL120" s="1732"/>
      <c r="DM120" s="1732"/>
      <c r="DN120" s="1732"/>
      <c r="DO120" s="1732"/>
      <c r="DP120" s="1732"/>
      <c r="DQ120" s="1732"/>
      <c r="DR120" s="1732"/>
      <c r="DS120" s="1757"/>
      <c r="DT120" s="1757"/>
      <c r="DU120" s="1732"/>
      <c r="DV120" s="1732"/>
      <c r="DW120" s="1732"/>
      <c r="DX120" s="1732"/>
      <c r="DY120" s="1732"/>
      <c r="DZ120" s="1732"/>
      <c r="EA120" s="1732"/>
      <c r="EB120" s="1732"/>
      <c r="EC120" s="1732"/>
      <c r="ED120" s="1732"/>
      <c r="EE120" s="1732"/>
      <c r="EF120" s="1732"/>
      <c r="EG120" s="1732"/>
      <c r="EH120" s="1732"/>
      <c r="EI120" s="1732"/>
      <c r="EJ120" s="1732"/>
      <c r="EK120" s="1732"/>
      <c r="EL120" s="1732"/>
      <c r="EM120" s="1732"/>
      <c r="EN120" s="1732"/>
      <c r="EO120" s="1732"/>
      <c r="EP120" s="1732"/>
      <c r="EQ120" s="1732"/>
      <c r="ER120" s="1732"/>
      <c r="ES120" s="1732"/>
      <c r="ET120" s="1732"/>
      <c r="EU120" s="1732"/>
      <c r="EV120" s="1732"/>
      <c r="EW120" s="1732"/>
      <c r="EX120" s="1732"/>
      <c r="EY120" s="1732"/>
      <c r="EZ120" s="1732"/>
      <c r="FA120" s="1732"/>
      <c r="FB120" s="1732"/>
      <c r="FC120" s="1732"/>
      <c r="FD120" s="1732"/>
      <c r="FE120" s="1732"/>
      <c r="FF120" s="1758"/>
      <c r="FG120" s="1732"/>
      <c r="FH120" s="1732"/>
      <c r="FI120" s="1732"/>
      <c r="FJ120" s="1732"/>
      <c r="FK120" s="1732"/>
      <c r="FL120" s="1732"/>
      <c r="FM120" s="1732"/>
      <c r="FN120" s="1732"/>
      <c r="FO120" s="1732"/>
      <c r="FP120" s="1732"/>
      <c r="FQ120" s="1732"/>
      <c r="FR120" s="1732"/>
      <c r="FS120" s="1732"/>
      <c r="FT120" s="1290"/>
      <c r="FU120" s="1290"/>
      <c r="FV120" s="1290"/>
      <c r="FW120" s="1732"/>
      <c r="FX120" s="1732"/>
      <c r="FY120" s="1732"/>
      <c r="FZ120" s="1732"/>
      <c r="GA120" s="1732"/>
      <c r="GB120" s="1732"/>
      <c r="GC120" s="1732"/>
      <c r="GD120" s="1732"/>
      <c r="GE120" s="1732"/>
      <c r="GF120" s="1732"/>
      <c r="GG120" s="1732"/>
      <c r="GH120" s="1732"/>
      <c r="GI120" s="1732"/>
      <c r="GJ120" s="1732"/>
      <c r="GK120" s="1732"/>
      <c r="GL120" s="1732"/>
      <c r="GM120" s="1732"/>
      <c r="GN120" s="1732"/>
      <c r="GO120" s="1732"/>
      <c r="GP120" s="1732"/>
      <c r="GQ120" s="1732"/>
      <c r="GR120" s="1732"/>
      <c r="GS120" s="1732"/>
      <c r="GT120" s="1732"/>
      <c r="GU120" s="1732"/>
      <c r="GV120" s="1732"/>
      <c r="GW120" s="1732"/>
      <c r="GX120" s="1732"/>
      <c r="GY120" s="1732"/>
      <c r="GZ120" s="1732"/>
      <c r="HA120" s="1757"/>
      <c r="HB120" s="1732"/>
      <c r="HC120" s="1732"/>
      <c r="HD120" s="1757"/>
      <c r="HE120" s="1732"/>
      <c r="HF120" s="1757"/>
      <c r="HG120" s="1757"/>
      <c r="HH120" s="1758"/>
      <c r="HI120" s="1757"/>
      <c r="HJ120" s="1757"/>
      <c r="HK120" s="1757"/>
      <c r="HL120" s="1757"/>
      <c r="HM120" s="1757"/>
      <c r="HN120" s="1361"/>
      <c r="HO120" s="1732"/>
      <c r="HP120" s="1290"/>
      <c r="HQ120" s="1732"/>
      <c r="HR120" s="1732"/>
      <c r="HS120" s="1732"/>
      <c r="HT120" s="1732"/>
      <c r="HU120" s="1732"/>
      <c r="HV120" s="1732"/>
      <c r="HW120" s="1732"/>
      <c r="HX120" s="1732"/>
      <c r="HY120" s="1732"/>
      <c r="HZ120" s="1732"/>
      <c r="IA120" s="1732"/>
      <c r="IB120" s="1732"/>
      <c r="IC120" s="1732"/>
      <c r="ID120" s="1732"/>
      <c r="IE120" s="1732"/>
      <c r="IF120" s="1732"/>
      <c r="IG120" s="1732"/>
      <c r="IH120" s="1732"/>
      <c r="II120" s="1732"/>
      <c r="IJ120" s="1732"/>
      <c r="IK120" s="1732"/>
      <c r="IL120" s="1732"/>
      <c r="IM120" s="1732"/>
      <c r="IN120" s="1732"/>
      <c r="IO120" s="1732"/>
      <c r="IP120" s="1732"/>
      <c r="IQ120" s="1732"/>
      <c r="IR120" s="1732"/>
      <c r="IS120" s="1732"/>
      <c r="IT120" s="1732"/>
      <c r="IU120" s="1732"/>
      <c r="IV120" s="1732"/>
      <c r="IW120" s="1732"/>
      <c r="IX120" s="1732"/>
      <c r="IY120" s="1732"/>
      <c r="IZ120" s="1732"/>
      <c r="JA120" s="1732"/>
      <c r="JB120" s="1732"/>
      <c r="JC120" s="1732"/>
      <c r="JD120" s="1732"/>
      <c r="JE120" s="1732"/>
      <c r="JF120" s="1732"/>
      <c r="JG120" s="1732"/>
      <c r="JH120" s="1732"/>
      <c r="JI120" s="1732"/>
      <c r="JJ120" s="1732"/>
      <c r="JK120" s="1732"/>
      <c r="JL120" s="1732"/>
      <c r="JM120" s="1732"/>
      <c r="JN120" s="1732"/>
      <c r="JO120" s="1732"/>
      <c r="JP120" s="1732"/>
      <c r="JQ120" s="1733"/>
      <c r="JR120" s="1046"/>
      <c r="JS120" s="1056" t="s">
        <v>4491</v>
      </c>
      <c r="JT120" s="1061" t="s">
        <v>2208</v>
      </c>
    </row>
    <row r="121" spans="1:280" ht="10.5" customHeight="1" x14ac:dyDescent="0.25">
      <c r="A121" s="1367">
        <v>34</v>
      </c>
      <c r="B121" s="1411" t="str">
        <f t="shared" si="13"/>
        <v/>
      </c>
      <c r="C121" s="1728" t="s">
        <v>4492</v>
      </c>
      <c r="D121" s="1743" t="s">
        <v>4493</v>
      </c>
      <c r="E121" s="1730"/>
      <c r="F121" s="1730"/>
      <c r="G121" s="1730"/>
      <c r="H121" s="1381"/>
      <c r="I121" s="1381"/>
      <c r="J121" s="1414"/>
      <c r="K121" s="1381"/>
      <c r="L121" s="1414"/>
      <c r="M121" s="1381"/>
      <c r="N121" s="1618"/>
      <c r="O121" s="1414"/>
      <c r="P121" s="1414"/>
      <c r="Q121" s="1414"/>
      <c r="R121" s="1414"/>
      <c r="S121" s="1414"/>
      <c r="T121" s="1414"/>
      <c r="U121" s="1414"/>
      <c r="V121" s="1414"/>
      <c r="W121" s="1414"/>
      <c r="X121" s="1414"/>
      <c r="Y121" s="1414"/>
      <c r="Z121" s="1414"/>
      <c r="AA121" s="1414"/>
      <c r="AB121" s="1414"/>
      <c r="AC121" s="1414"/>
      <c r="AD121" s="1414"/>
      <c r="AE121" s="1414"/>
      <c r="AF121" s="1414"/>
      <c r="AG121" s="1414"/>
      <c r="AH121" s="1414"/>
      <c r="AI121" s="1414"/>
      <c r="AJ121" s="1414"/>
      <c r="AK121" s="1414"/>
      <c r="AL121" s="1414"/>
      <c r="AM121" s="1414"/>
      <c r="AN121" s="1414"/>
      <c r="AO121" s="1414"/>
      <c r="AP121" s="1414"/>
      <c r="AQ121" s="1414"/>
      <c r="AR121" s="1414"/>
      <c r="AS121" s="1414"/>
      <c r="AT121" s="1414"/>
      <c r="AU121" s="1414"/>
      <c r="AV121" s="1414"/>
      <c r="AW121" s="1414"/>
      <c r="AX121" s="1382"/>
      <c r="AY121" s="1382"/>
      <c r="AZ121" s="1382"/>
      <c r="BA121" s="1414"/>
      <c r="BB121" s="1414"/>
      <c r="BC121" s="1414"/>
      <c r="BD121" s="1414"/>
      <c r="BE121" s="1414"/>
      <c r="BF121" s="1414"/>
      <c r="BG121" s="1414"/>
      <c r="BH121" s="1414"/>
      <c r="BI121" s="1414"/>
      <c r="BJ121" s="1414"/>
      <c r="BK121" s="1414"/>
      <c r="BL121" s="1414"/>
      <c r="BM121" s="1414"/>
      <c r="BN121" s="1414"/>
      <c r="BO121" s="1414"/>
      <c r="BP121" s="1414"/>
      <c r="BQ121" s="1414"/>
      <c r="BR121" s="1414"/>
      <c r="BS121" s="1414"/>
      <c r="BT121" s="1414"/>
      <c r="BU121" s="1414"/>
      <c r="BV121" s="1414"/>
      <c r="BW121" s="1414"/>
      <c r="BX121" s="1414"/>
      <c r="BY121" s="1414"/>
      <c r="BZ121" s="1414"/>
      <c r="CA121" s="1414"/>
      <c r="CB121" s="1414"/>
      <c r="CC121" s="1414"/>
      <c r="CD121" s="1414"/>
      <c r="CE121" s="1414"/>
      <c r="CF121" s="1414"/>
      <c r="CG121" s="1414"/>
      <c r="CH121" s="1414"/>
      <c r="CI121" s="1414"/>
      <c r="CJ121" s="1382"/>
      <c r="CK121" s="1414"/>
      <c r="CL121" s="1414"/>
      <c r="CM121" s="1414"/>
      <c r="CN121" s="1414"/>
      <c r="CO121" s="1414"/>
      <c r="CP121" s="1414"/>
      <c r="CQ121" s="1414"/>
      <c r="CR121" s="1414"/>
      <c r="CS121" s="1414"/>
      <c r="CT121" s="1414"/>
      <c r="CU121" s="1414"/>
      <c r="CV121" s="1414"/>
      <c r="CW121" s="1414"/>
      <c r="CX121" s="1414"/>
      <c r="CY121" s="1414"/>
      <c r="CZ121" s="1414"/>
      <c r="DA121" s="1414"/>
      <c r="DB121" s="1414"/>
      <c r="DC121" s="1414"/>
      <c r="DD121" s="1414"/>
      <c r="DE121" s="1414"/>
      <c r="DF121" s="1414"/>
      <c r="DG121" s="1414"/>
      <c r="DH121" s="1414"/>
      <c r="DI121" s="1414"/>
      <c r="DJ121" s="1414"/>
      <c r="DK121" s="1414"/>
      <c r="DL121" s="1414"/>
      <c r="DM121" s="1414"/>
      <c r="DN121" s="1414"/>
      <c r="DO121" s="1414"/>
      <c r="DP121" s="1414"/>
      <c r="DQ121" s="1414"/>
      <c r="DR121" s="1414"/>
      <c r="DS121" s="1382"/>
      <c r="DT121" s="1382"/>
      <c r="DU121" s="1414"/>
      <c r="DV121" s="1414"/>
      <c r="DW121" s="1414"/>
      <c r="DX121" s="1414"/>
      <c r="DY121" s="1414"/>
      <c r="DZ121" s="1414"/>
      <c r="EA121" s="1414"/>
      <c r="EB121" s="1414"/>
      <c r="EC121" s="1414"/>
      <c r="ED121" s="1414"/>
      <c r="EE121" s="1414"/>
      <c r="EF121" s="1414"/>
      <c r="EG121" s="1414"/>
      <c r="EH121" s="1414"/>
      <c r="EI121" s="1414"/>
      <c r="EJ121" s="1414"/>
      <c r="EK121" s="1414"/>
      <c r="EL121" s="1414"/>
      <c r="EM121" s="1414"/>
      <c r="EN121" s="1414"/>
      <c r="EO121" s="1414"/>
      <c r="EP121" s="1414"/>
      <c r="EQ121" s="1414"/>
      <c r="ER121" s="1414"/>
      <c r="ES121" s="1414"/>
      <c r="ET121" s="1414"/>
      <c r="EU121" s="1414"/>
      <c r="EV121" s="1414"/>
      <c r="EW121" s="1414"/>
      <c r="EX121" s="1414"/>
      <c r="EY121" s="1414"/>
      <c r="EZ121" s="1414"/>
      <c r="FA121" s="1414"/>
      <c r="FB121" s="1414"/>
      <c r="FC121" s="1414"/>
      <c r="FD121" s="1414"/>
      <c r="FE121" s="1414"/>
      <c r="FF121" s="1464"/>
      <c r="FG121" s="1414"/>
      <c r="FH121" s="1414"/>
      <c r="FI121" s="1464"/>
      <c r="FJ121" s="1414"/>
      <c r="FK121" s="1414"/>
      <c r="FL121" s="1414"/>
      <c r="FM121" s="1414"/>
      <c r="FN121" s="1414"/>
      <c r="FO121" s="1414"/>
      <c r="FP121" s="1414"/>
      <c r="FQ121" s="1414"/>
      <c r="FR121" s="1414"/>
      <c r="FS121" s="1414"/>
      <c r="FT121" s="1382"/>
      <c r="FU121" s="1382"/>
      <c r="FV121" s="1382"/>
      <c r="FW121" s="1414"/>
      <c r="FX121" s="1414"/>
      <c r="FY121" s="1414"/>
      <c r="FZ121" s="1414"/>
      <c r="GA121" s="1414"/>
      <c r="GB121" s="1414"/>
      <c r="GC121" s="1414"/>
      <c r="GD121" s="1414"/>
      <c r="GE121" s="1414"/>
      <c r="GF121" s="1414"/>
      <c r="GG121" s="1414"/>
      <c r="GH121" s="1414"/>
      <c r="GI121" s="1414"/>
      <c r="GJ121" s="1414"/>
      <c r="GK121" s="1414"/>
      <c r="GL121" s="1414"/>
      <c r="GM121" s="1414"/>
      <c r="GN121" s="1414"/>
      <c r="GO121" s="1414"/>
      <c r="GP121" s="1414"/>
      <c r="GQ121" s="1414"/>
      <c r="GR121" s="1414"/>
      <c r="GS121" s="1414"/>
      <c r="GT121" s="1414"/>
      <c r="GU121" s="1414"/>
      <c r="GV121" s="1414"/>
      <c r="GW121" s="1414"/>
      <c r="GX121" s="1414"/>
      <c r="GY121" s="1414"/>
      <c r="GZ121" s="1414"/>
      <c r="HA121" s="1382"/>
      <c r="HB121" s="1414"/>
      <c r="HC121" s="1414"/>
      <c r="HD121" s="1382"/>
      <c r="HE121" s="1414"/>
      <c r="HF121" s="1382"/>
      <c r="HG121" s="1382" t="s">
        <v>1707</v>
      </c>
      <c r="HH121" s="1414"/>
      <c r="HI121" s="1382"/>
      <c r="HJ121" s="1382"/>
      <c r="HK121" s="1382"/>
      <c r="HL121" s="1382"/>
      <c r="HM121" s="2596"/>
      <c r="HN121" s="1382"/>
      <c r="HO121" s="1414"/>
      <c r="HP121" s="1381"/>
      <c r="HQ121" s="1414"/>
      <c r="HR121" s="1414"/>
      <c r="HS121" s="1414"/>
      <c r="HT121" s="1414"/>
      <c r="HU121" s="1381"/>
      <c r="HV121" s="1414"/>
      <c r="HW121" s="1414"/>
      <c r="HX121" s="1414"/>
      <c r="HY121" s="1414"/>
      <c r="HZ121" s="1414"/>
      <c r="IA121" s="1414"/>
      <c r="IB121" s="1414"/>
      <c r="IC121" s="1414"/>
      <c r="ID121" s="1414"/>
      <c r="IE121" s="1414"/>
      <c r="IF121" s="1414"/>
      <c r="IG121" s="1414"/>
      <c r="IH121" s="1414"/>
      <c r="II121" s="1414"/>
      <c r="IJ121" s="1414"/>
      <c r="IK121" s="1464" t="s">
        <v>1707</v>
      </c>
      <c r="IL121" s="1414"/>
      <c r="IM121" s="1414"/>
      <c r="IN121" s="1414"/>
      <c r="IO121" s="1414"/>
      <c r="IP121" s="1414"/>
      <c r="IQ121" s="1414"/>
      <c r="IR121" s="1414"/>
      <c r="IS121" s="1414"/>
      <c r="IT121" s="1464"/>
      <c r="IU121" s="1414"/>
      <c r="IV121" s="1414"/>
      <c r="IW121" s="1464"/>
      <c r="IX121" s="1414"/>
      <c r="IY121" s="1414"/>
      <c r="IZ121" s="1414"/>
      <c r="JA121" s="1414"/>
      <c r="JB121" s="1414"/>
      <c r="JC121" s="1414"/>
      <c r="JD121" s="1414"/>
      <c r="JE121" s="1414"/>
      <c r="JF121" s="1414"/>
      <c r="JG121" s="1414"/>
      <c r="JH121" s="1414"/>
      <c r="JI121" s="1414"/>
      <c r="JJ121" s="1464"/>
      <c r="JK121" s="1464"/>
      <c r="JL121" s="1464"/>
      <c r="JM121" s="1464"/>
      <c r="JN121" s="1464"/>
      <c r="JO121" s="1414"/>
      <c r="JP121" s="1414"/>
      <c r="JQ121" s="2487"/>
      <c r="JR121" s="312"/>
      <c r="JS121" s="499" t="s">
        <v>4494</v>
      </c>
      <c r="JT121" s="419" t="s">
        <v>2319</v>
      </c>
    </row>
    <row r="122" spans="1:280" ht="10.5" customHeight="1" x14ac:dyDescent="0.25">
      <c r="A122" s="1367">
        <v>35</v>
      </c>
      <c r="B122" s="1411" t="str">
        <f t="shared" si="13"/>
        <v/>
      </c>
      <c r="C122" s="1728" t="s">
        <v>4495</v>
      </c>
      <c r="D122" s="1743" t="s">
        <v>4496</v>
      </c>
      <c r="E122" s="1730"/>
      <c r="F122" s="1730"/>
      <c r="G122" s="1730"/>
      <c r="H122" s="1381"/>
      <c r="I122" s="1381"/>
      <c r="J122" s="1414"/>
      <c r="K122" s="1381"/>
      <c r="L122" s="1414"/>
      <c r="M122" s="1381"/>
      <c r="N122" s="1381"/>
      <c r="O122" s="1414"/>
      <c r="P122" s="1414"/>
      <c r="Q122" s="1414"/>
      <c r="R122" s="1414"/>
      <c r="S122" s="1414"/>
      <c r="T122" s="1414"/>
      <c r="U122" s="1414"/>
      <c r="V122" s="1414"/>
      <c r="W122" s="1414"/>
      <c r="X122" s="1414"/>
      <c r="Y122" s="1414"/>
      <c r="Z122" s="1414"/>
      <c r="AA122" s="1414"/>
      <c r="AB122" s="1414"/>
      <c r="AC122" s="1414"/>
      <c r="AD122" s="1414"/>
      <c r="AE122" s="1414"/>
      <c r="AF122" s="1414"/>
      <c r="AG122" s="1414"/>
      <c r="AH122" s="1414"/>
      <c r="AI122" s="1414"/>
      <c r="AJ122" s="1414"/>
      <c r="AK122" s="1414"/>
      <c r="AL122" s="1414"/>
      <c r="AM122" s="1414"/>
      <c r="AN122" s="1414"/>
      <c r="AO122" s="1414"/>
      <c r="AP122" s="1414"/>
      <c r="AQ122" s="1414"/>
      <c r="AR122" s="1414"/>
      <c r="AS122" s="1414"/>
      <c r="AT122" s="1414"/>
      <c r="AU122" s="1414"/>
      <c r="AV122" s="1414"/>
      <c r="AW122" s="1414"/>
      <c r="AX122" s="1382"/>
      <c r="AY122" s="1382"/>
      <c r="AZ122" s="1382"/>
      <c r="BA122" s="1414"/>
      <c r="BB122" s="1414"/>
      <c r="BC122" s="1414"/>
      <c r="BD122" s="1414"/>
      <c r="BE122" s="1414"/>
      <c r="BF122" s="1414"/>
      <c r="BG122" s="1414"/>
      <c r="BH122" s="1414"/>
      <c r="BI122" s="1414"/>
      <c r="BJ122" s="1414"/>
      <c r="BK122" s="1414"/>
      <c r="BL122" s="1414"/>
      <c r="BM122" s="1414"/>
      <c r="BN122" s="1414"/>
      <c r="BO122" s="1414"/>
      <c r="BP122" s="1414"/>
      <c r="BQ122" s="1414"/>
      <c r="BR122" s="1414"/>
      <c r="BS122" s="1414"/>
      <c r="BT122" s="1414"/>
      <c r="BU122" s="1414"/>
      <c r="BV122" s="1414"/>
      <c r="BW122" s="1414"/>
      <c r="BX122" s="1414"/>
      <c r="BY122" s="1414"/>
      <c r="BZ122" s="1414"/>
      <c r="CA122" s="1414"/>
      <c r="CB122" s="1414"/>
      <c r="CC122" s="1414"/>
      <c r="CD122" s="1414"/>
      <c r="CE122" s="1414"/>
      <c r="CF122" s="1414"/>
      <c r="CG122" s="1414"/>
      <c r="CH122" s="1414"/>
      <c r="CI122" s="1414"/>
      <c r="CJ122" s="1382"/>
      <c r="CK122" s="1414"/>
      <c r="CL122" s="1414"/>
      <c r="CM122" s="1414"/>
      <c r="CN122" s="1414"/>
      <c r="CO122" s="1414"/>
      <c r="CP122" s="1414"/>
      <c r="CQ122" s="1414"/>
      <c r="CR122" s="1414"/>
      <c r="CS122" s="1414"/>
      <c r="CT122" s="1414"/>
      <c r="CU122" s="1414"/>
      <c r="CV122" s="1414"/>
      <c r="CW122" s="1414"/>
      <c r="CX122" s="1414"/>
      <c r="CY122" s="1414"/>
      <c r="CZ122" s="1414"/>
      <c r="DA122" s="1414"/>
      <c r="DB122" s="1414"/>
      <c r="DC122" s="1414"/>
      <c r="DD122" s="1414"/>
      <c r="DE122" s="1414"/>
      <c r="DF122" s="1414"/>
      <c r="DG122" s="1414"/>
      <c r="DH122" s="1414"/>
      <c r="DI122" s="1414"/>
      <c r="DJ122" s="1414"/>
      <c r="DK122" s="1414"/>
      <c r="DL122" s="1414"/>
      <c r="DM122" s="1414"/>
      <c r="DN122" s="1414"/>
      <c r="DO122" s="1414"/>
      <c r="DP122" s="1414"/>
      <c r="DQ122" s="1414"/>
      <c r="DR122" s="1414"/>
      <c r="DS122" s="1382"/>
      <c r="DT122" s="1382"/>
      <c r="DU122" s="1414"/>
      <c r="DV122" s="1414"/>
      <c r="DW122" s="1414"/>
      <c r="DX122" s="1414"/>
      <c r="DY122" s="1414"/>
      <c r="DZ122" s="1414"/>
      <c r="EA122" s="1414"/>
      <c r="EB122" s="1414"/>
      <c r="EC122" s="1414"/>
      <c r="ED122" s="1414"/>
      <c r="EE122" s="1414"/>
      <c r="EF122" s="1414"/>
      <c r="EG122" s="1414"/>
      <c r="EH122" s="1414"/>
      <c r="EI122" s="1414"/>
      <c r="EJ122" s="1414"/>
      <c r="EK122" s="1414"/>
      <c r="EL122" s="1414"/>
      <c r="EM122" s="1414"/>
      <c r="EN122" s="1414"/>
      <c r="EO122" s="1414"/>
      <c r="EP122" s="1414"/>
      <c r="EQ122" s="1414"/>
      <c r="ER122" s="1414"/>
      <c r="ES122" s="1414"/>
      <c r="ET122" s="1414"/>
      <c r="EU122" s="1414"/>
      <c r="EV122" s="1414"/>
      <c r="EW122" s="1414"/>
      <c r="EX122" s="1414"/>
      <c r="EY122" s="1414"/>
      <c r="EZ122" s="1414"/>
      <c r="FA122" s="1414"/>
      <c r="FB122" s="1414"/>
      <c r="FC122" s="1414"/>
      <c r="FD122" s="1414"/>
      <c r="FE122" s="1414"/>
      <c r="FF122" s="1414"/>
      <c r="FG122" s="1414"/>
      <c r="FH122" s="1414"/>
      <c r="FI122" s="1414"/>
      <c r="FJ122" s="1414"/>
      <c r="FK122" s="1414"/>
      <c r="FL122" s="1414"/>
      <c r="FM122" s="1414"/>
      <c r="FN122" s="1414"/>
      <c r="FO122" s="1414"/>
      <c r="FP122" s="1414"/>
      <c r="FQ122" s="1414"/>
      <c r="FR122" s="1414"/>
      <c r="FS122" s="1414"/>
      <c r="FT122" s="1382"/>
      <c r="FU122" s="1382"/>
      <c r="FV122" s="1382"/>
      <c r="FW122" s="1414"/>
      <c r="FX122" s="1414"/>
      <c r="FY122" s="1414"/>
      <c r="FZ122" s="1414"/>
      <c r="GA122" s="1414"/>
      <c r="GB122" s="1414"/>
      <c r="GC122" s="1414"/>
      <c r="GD122" s="1414"/>
      <c r="GE122" s="1414"/>
      <c r="GF122" s="1414"/>
      <c r="GG122" s="1414"/>
      <c r="GH122" s="1414"/>
      <c r="GI122" s="1414"/>
      <c r="GJ122" s="1414"/>
      <c r="GK122" s="1414"/>
      <c r="GL122" s="1414"/>
      <c r="GM122" s="1414"/>
      <c r="GN122" s="1414"/>
      <c r="GO122" s="1414"/>
      <c r="GP122" s="1414"/>
      <c r="GQ122" s="1414"/>
      <c r="GR122" s="1414"/>
      <c r="GS122" s="1414"/>
      <c r="GT122" s="1414"/>
      <c r="GU122" s="1414"/>
      <c r="GV122" s="1414"/>
      <c r="GW122" s="1414"/>
      <c r="GX122" s="1414"/>
      <c r="GY122" s="1414"/>
      <c r="GZ122" s="1414"/>
      <c r="HA122" s="1382"/>
      <c r="HB122" s="1414"/>
      <c r="HC122" s="1414"/>
      <c r="HD122" s="1382"/>
      <c r="HE122" s="1414"/>
      <c r="HF122" s="1382"/>
      <c r="HG122" s="1382" t="s">
        <v>1707</v>
      </c>
      <c r="HH122" s="1414"/>
      <c r="HI122" s="1382"/>
      <c r="HJ122" s="1382"/>
      <c r="HK122" s="1382"/>
      <c r="HL122" s="1382"/>
      <c r="HM122" s="1382"/>
      <c r="HN122" s="1382"/>
      <c r="HO122" s="1414"/>
      <c r="HP122" s="1381"/>
      <c r="HQ122" s="1414"/>
      <c r="HR122" s="1414"/>
      <c r="HS122" s="1414"/>
      <c r="HT122" s="1414"/>
      <c r="HU122" s="1381"/>
      <c r="HV122" s="1414"/>
      <c r="HW122" s="1414"/>
      <c r="HX122" s="1414"/>
      <c r="HY122" s="1414"/>
      <c r="HZ122" s="1414"/>
      <c r="IA122" s="1414"/>
      <c r="IB122" s="1414"/>
      <c r="IC122" s="1414"/>
      <c r="ID122" s="1414"/>
      <c r="IE122" s="1414"/>
      <c r="IF122" s="1414"/>
      <c r="IG122" s="1414"/>
      <c r="IH122" s="1414"/>
      <c r="II122" s="1414"/>
      <c r="IJ122" s="1414"/>
      <c r="IK122" s="1464" t="s">
        <v>1707</v>
      </c>
      <c r="IL122" s="1414"/>
      <c r="IM122" s="1414"/>
      <c r="IN122" s="1414"/>
      <c r="IO122" s="1414"/>
      <c r="IP122" s="1414"/>
      <c r="IQ122" s="1414"/>
      <c r="IR122" s="1414"/>
      <c r="IS122" s="1414"/>
      <c r="IT122" s="1414"/>
      <c r="IU122" s="1414"/>
      <c r="IV122" s="1414"/>
      <c r="IW122" s="1414"/>
      <c r="IX122" s="1414"/>
      <c r="IY122" s="1414"/>
      <c r="IZ122" s="1414"/>
      <c r="JA122" s="1414"/>
      <c r="JB122" s="1414"/>
      <c r="JC122" s="1414"/>
      <c r="JD122" s="1414"/>
      <c r="JE122" s="1414"/>
      <c r="JF122" s="1414"/>
      <c r="JG122" s="1414"/>
      <c r="JH122" s="1414"/>
      <c r="JI122" s="1414"/>
      <c r="JJ122" s="1414"/>
      <c r="JK122" s="1414"/>
      <c r="JL122" s="1414"/>
      <c r="JM122" s="1414"/>
      <c r="JN122" s="1414"/>
      <c r="JO122" s="1414"/>
      <c r="JP122" s="1414"/>
      <c r="JQ122" s="1415"/>
      <c r="JR122" s="312"/>
      <c r="JS122" s="420" t="s">
        <v>4497</v>
      </c>
      <c r="JT122" s="419" t="s">
        <v>2319</v>
      </c>
    </row>
    <row r="123" spans="1:280" ht="10.5" customHeight="1" x14ac:dyDescent="0.25">
      <c r="A123" s="1367">
        <v>36</v>
      </c>
      <c r="B123" s="1411" t="str">
        <f t="shared" si="13"/>
        <v/>
      </c>
      <c r="C123" s="1728" t="s">
        <v>4498</v>
      </c>
      <c r="D123" s="1743" t="s">
        <v>4499</v>
      </c>
      <c r="E123" s="1730"/>
      <c r="F123" s="1730"/>
      <c r="G123" s="1730"/>
      <c r="H123" s="1730"/>
      <c r="I123" s="1730"/>
      <c r="J123" s="1414"/>
      <c r="K123" s="1381"/>
      <c r="L123" s="1414"/>
      <c r="M123" s="1381"/>
      <c r="N123" s="1381"/>
      <c r="O123" s="1414"/>
      <c r="P123" s="1414"/>
      <c r="Q123" s="1414"/>
      <c r="R123" s="1414"/>
      <c r="S123" s="1414"/>
      <c r="T123" s="1414"/>
      <c r="U123" s="1414"/>
      <c r="V123" s="1414"/>
      <c r="W123" s="1414"/>
      <c r="X123" s="1414"/>
      <c r="Y123" s="1414"/>
      <c r="Z123" s="1414"/>
      <c r="AA123" s="1414"/>
      <c r="AB123" s="1414"/>
      <c r="AC123" s="1414"/>
      <c r="AD123" s="1414"/>
      <c r="AE123" s="1414"/>
      <c r="AF123" s="1414"/>
      <c r="AG123" s="1414"/>
      <c r="AH123" s="1414"/>
      <c r="AI123" s="1414"/>
      <c r="AJ123" s="1414"/>
      <c r="AK123" s="1414"/>
      <c r="AL123" s="1414"/>
      <c r="AM123" s="1414"/>
      <c r="AN123" s="1414"/>
      <c r="AO123" s="1414"/>
      <c r="AP123" s="1414"/>
      <c r="AQ123" s="1414"/>
      <c r="AR123" s="1414"/>
      <c r="AS123" s="1414"/>
      <c r="AT123" s="1414"/>
      <c r="AU123" s="1414"/>
      <c r="AV123" s="1414"/>
      <c r="AW123" s="1414"/>
      <c r="AX123" s="1382"/>
      <c r="AY123" s="1382"/>
      <c r="AZ123" s="1382"/>
      <c r="BA123" s="1414"/>
      <c r="BB123" s="1414"/>
      <c r="BC123" s="1414"/>
      <c r="BD123" s="1414"/>
      <c r="BE123" s="1414"/>
      <c r="BF123" s="1414"/>
      <c r="BG123" s="1414"/>
      <c r="BH123" s="1414"/>
      <c r="BI123" s="1414"/>
      <c r="BJ123" s="1414"/>
      <c r="BK123" s="1414"/>
      <c r="BL123" s="1414"/>
      <c r="BM123" s="1414"/>
      <c r="BN123" s="1414"/>
      <c r="BO123" s="1414"/>
      <c r="BP123" s="1414"/>
      <c r="BQ123" s="1414"/>
      <c r="BR123" s="1414"/>
      <c r="BS123" s="1414"/>
      <c r="BT123" s="1414"/>
      <c r="BU123" s="1414"/>
      <c r="BV123" s="1414"/>
      <c r="BW123" s="1414"/>
      <c r="BX123" s="1414"/>
      <c r="BY123" s="1414"/>
      <c r="BZ123" s="1414"/>
      <c r="CA123" s="1414"/>
      <c r="CB123" s="1414"/>
      <c r="CC123" s="1414"/>
      <c r="CD123" s="1414"/>
      <c r="CE123" s="1414"/>
      <c r="CF123" s="1414"/>
      <c r="CG123" s="1414"/>
      <c r="CH123" s="1414"/>
      <c r="CI123" s="1414"/>
      <c r="CJ123" s="1382"/>
      <c r="CK123" s="1414"/>
      <c r="CL123" s="1414"/>
      <c r="CM123" s="1414"/>
      <c r="CN123" s="1414"/>
      <c r="CO123" s="1414"/>
      <c r="CP123" s="1414"/>
      <c r="CQ123" s="1414"/>
      <c r="CR123" s="1414"/>
      <c r="CS123" s="1414"/>
      <c r="CT123" s="1414"/>
      <c r="CU123" s="1414"/>
      <c r="CV123" s="1414"/>
      <c r="CW123" s="1414"/>
      <c r="CX123" s="1414"/>
      <c r="CY123" s="1414"/>
      <c r="CZ123" s="1414"/>
      <c r="DA123" s="1414"/>
      <c r="DB123" s="1414"/>
      <c r="DC123" s="1414"/>
      <c r="DD123" s="1414"/>
      <c r="DE123" s="1414"/>
      <c r="DF123" s="1414"/>
      <c r="DG123" s="1414"/>
      <c r="DH123" s="1414"/>
      <c r="DI123" s="1414"/>
      <c r="DJ123" s="1414"/>
      <c r="DK123" s="1414"/>
      <c r="DL123" s="1414"/>
      <c r="DM123" s="1414"/>
      <c r="DN123" s="1414"/>
      <c r="DO123" s="1414"/>
      <c r="DP123" s="1414"/>
      <c r="DQ123" s="1414"/>
      <c r="DR123" s="1414"/>
      <c r="DS123" s="1382"/>
      <c r="DT123" s="1382"/>
      <c r="DU123" s="1414"/>
      <c r="DV123" s="1414"/>
      <c r="DW123" s="1414"/>
      <c r="DX123" s="1414"/>
      <c r="DY123" s="1414"/>
      <c r="DZ123" s="1414"/>
      <c r="EA123" s="1414"/>
      <c r="EB123" s="1414"/>
      <c r="EC123" s="1414"/>
      <c r="ED123" s="1414"/>
      <c r="EE123" s="1414"/>
      <c r="EF123" s="1414"/>
      <c r="EG123" s="1414"/>
      <c r="EH123" s="1414"/>
      <c r="EI123" s="1414"/>
      <c r="EJ123" s="1414"/>
      <c r="EK123" s="1414"/>
      <c r="EL123" s="1414"/>
      <c r="EM123" s="1414"/>
      <c r="EN123" s="1414"/>
      <c r="EO123" s="1414"/>
      <c r="EP123" s="1414"/>
      <c r="EQ123" s="1414"/>
      <c r="ER123" s="1414"/>
      <c r="ES123" s="1414"/>
      <c r="ET123" s="1414"/>
      <c r="EU123" s="1414"/>
      <c r="EV123" s="1414"/>
      <c r="EW123" s="1414"/>
      <c r="EX123" s="1414"/>
      <c r="EY123" s="1414"/>
      <c r="EZ123" s="1414"/>
      <c r="FA123" s="1414"/>
      <c r="FB123" s="1414"/>
      <c r="FC123" s="1414"/>
      <c r="FD123" s="1414"/>
      <c r="FE123" s="1414"/>
      <c r="FF123" s="1414"/>
      <c r="FG123" s="1414"/>
      <c r="FH123" s="1414"/>
      <c r="FI123" s="1414"/>
      <c r="FJ123" s="1414"/>
      <c r="FK123" s="1414"/>
      <c r="FL123" s="1414"/>
      <c r="FM123" s="1414"/>
      <c r="FN123" s="1414"/>
      <c r="FO123" s="1414"/>
      <c r="FP123" s="1414"/>
      <c r="FQ123" s="1414"/>
      <c r="FR123" s="1414"/>
      <c r="FS123" s="1414"/>
      <c r="FT123" s="1382"/>
      <c r="FU123" s="1382"/>
      <c r="FV123" s="1382"/>
      <c r="FW123" s="1414"/>
      <c r="FX123" s="1414"/>
      <c r="FY123" s="1414"/>
      <c r="FZ123" s="1414"/>
      <c r="GA123" s="1414"/>
      <c r="GB123" s="1414"/>
      <c r="GC123" s="1414"/>
      <c r="GD123" s="1414"/>
      <c r="GE123" s="1414"/>
      <c r="GF123" s="1414"/>
      <c r="GG123" s="1414"/>
      <c r="GH123" s="1414"/>
      <c r="GI123" s="1414"/>
      <c r="GJ123" s="1414"/>
      <c r="GK123" s="1414"/>
      <c r="GL123" s="1414"/>
      <c r="GM123" s="1414"/>
      <c r="GN123" s="1414"/>
      <c r="GO123" s="1414"/>
      <c r="GP123" s="1414"/>
      <c r="GQ123" s="1414"/>
      <c r="GR123" s="1414"/>
      <c r="GS123" s="1414"/>
      <c r="GT123" s="1414"/>
      <c r="GU123" s="1414"/>
      <c r="GV123" s="1414"/>
      <c r="GW123" s="1414"/>
      <c r="GX123" s="1414"/>
      <c r="GY123" s="1414"/>
      <c r="GZ123" s="1414"/>
      <c r="HA123" s="1382"/>
      <c r="HB123" s="1414"/>
      <c r="HC123" s="1414"/>
      <c r="HD123" s="1382"/>
      <c r="HE123" s="1414"/>
      <c r="HF123" s="1382"/>
      <c r="HG123" s="1382" t="s">
        <v>1615</v>
      </c>
      <c r="HH123" s="1414"/>
      <c r="HI123" s="1382"/>
      <c r="HJ123" s="1382"/>
      <c r="HK123" s="1382"/>
      <c r="HL123" s="1382"/>
      <c r="HM123" s="1382"/>
      <c r="HN123" s="1382"/>
      <c r="HO123" s="1414"/>
      <c r="HP123" s="1381"/>
      <c r="HQ123" s="1414"/>
      <c r="HR123" s="1414"/>
      <c r="HS123" s="1414"/>
      <c r="HT123" s="1414"/>
      <c r="HU123" s="1381"/>
      <c r="HV123" s="1414"/>
      <c r="HW123" s="1414"/>
      <c r="HX123" s="1414"/>
      <c r="HY123" s="1414"/>
      <c r="HZ123" s="1414"/>
      <c r="IA123" s="1414"/>
      <c r="IB123" s="1414"/>
      <c r="IC123" s="1414"/>
      <c r="ID123" s="1414"/>
      <c r="IE123" s="1414"/>
      <c r="IF123" s="1414"/>
      <c r="IG123" s="1414"/>
      <c r="IH123" s="1414"/>
      <c r="II123" s="1414"/>
      <c r="IJ123" s="1414"/>
      <c r="IK123" s="1414"/>
      <c r="IL123" s="1414"/>
      <c r="IM123" s="1414"/>
      <c r="IN123" s="1414"/>
      <c r="IO123" s="1414"/>
      <c r="IP123" s="1414"/>
      <c r="IQ123" s="1414"/>
      <c r="IR123" s="1414"/>
      <c r="IS123" s="1414"/>
      <c r="IT123" s="1414"/>
      <c r="IU123" s="1414"/>
      <c r="IV123" s="1414"/>
      <c r="IW123" s="1414"/>
      <c r="IX123" s="1414"/>
      <c r="IY123" s="1414"/>
      <c r="IZ123" s="1414"/>
      <c r="JA123" s="1414"/>
      <c r="JB123" s="1414"/>
      <c r="JC123" s="1414"/>
      <c r="JD123" s="1414"/>
      <c r="JE123" s="1414"/>
      <c r="JF123" s="1414"/>
      <c r="JG123" s="1414"/>
      <c r="JH123" s="1414"/>
      <c r="JI123" s="1414"/>
      <c r="JJ123" s="1414"/>
      <c r="JK123" s="1414"/>
      <c r="JL123" s="1414"/>
      <c r="JM123" s="1414"/>
      <c r="JN123" s="1414"/>
      <c r="JO123" s="1414"/>
      <c r="JP123" s="1414"/>
      <c r="JQ123" s="1415"/>
      <c r="JR123" s="312"/>
      <c r="JS123" s="499" t="s">
        <v>4500</v>
      </c>
      <c r="JT123" s="419" t="s">
        <v>2319</v>
      </c>
    </row>
    <row r="124" spans="1:280" ht="10.5" customHeight="1" x14ac:dyDescent="0.25">
      <c r="A124" s="1367">
        <v>37</v>
      </c>
      <c r="B124" s="1411" t="str">
        <f t="shared" si="13"/>
        <v/>
      </c>
      <c r="C124" s="1759" t="s">
        <v>4501</v>
      </c>
      <c r="D124" s="1729" t="str">
        <f>"If you were UK resident for "&amp;tax_year&amp;" and for 12 or more of the preceding 14 tax years, put ‘X’ in the box"</f>
        <v>If you were UK resident for 2025-26 and for 12 or more of the preceding 14 tax years, put ‘X’ in the box</v>
      </c>
      <c r="E124" s="1752"/>
      <c r="F124" s="1752"/>
      <c r="G124" s="1752"/>
      <c r="H124" s="1752"/>
      <c r="I124" s="1381"/>
      <c r="J124" s="1414"/>
      <c r="K124" s="1381"/>
      <c r="L124" s="1414"/>
      <c r="M124" s="1381"/>
      <c r="N124" s="1381"/>
      <c r="O124" s="1414"/>
      <c r="P124" s="1414"/>
      <c r="Q124" s="1414"/>
      <c r="R124" s="1414"/>
      <c r="S124" s="1414"/>
      <c r="T124" s="1414"/>
      <c r="U124" s="1414"/>
      <c r="V124" s="1414"/>
      <c r="W124" s="1414"/>
      <c r="X124" s="1414"/>
      <c r="Y124" s="1414"/>
      <c r="Z124" s="1414"/>
      <c r="AA124" s="1414"/>
      <c r="AB124" s="1414"/>
      <c r="AC124" s="1414"/>
      <c r="AD124" s="1414"/>
      <c r="AE124" s="1414"/>
      <c r="AF124" s="1414"/>
      <c r="AG124" s="1414"/>
      <c r="AH124" s="1414"/>
      <c r="AI124" s="1414"/>
      <c r="AJ124" s="1414"/>
      <c r="AK124" s="1414"/>
      <c r="AL124" s="1414"/>
      <c r="AM124" s="1414"/>
      <c r="AN124" s="1414"/>
      <c r="AO124" s="1414"/>
      <c r="AP124" s="1414"/>
      <c r="AQ124" s="1414"/>
      <c r="AR124" s="1414"/>
      <c r="AS124" s="1414"/>
      <c r="AT124" s="1414"/>
      <c r="AU124" s="1414"/>
      <c r="AV124" s="1414"/>
      <c r="AW124" s="1414"/>
      <c r="AX124" s="1382"/>
      <c r="AY124" s="1382"/>
      <c r="AZ124" s="1382"/>
      <c r="BA124" s="1414"/>
      <c r="BB124" s="1414"/>
      <c r="BC124" s="1414"/>
      <c r="BD124" s="1414"/>
      <c r="BE124" s="1414"/>
      <c r="BF124" s="1414"/>
      <c r="BG124" s="1414"/>
      <c r="BH124" s="1414"/>
      <c r="BI124" s="1414"/>
      <c r="BJ124" s="1414"/>
      <c r="BK124" s="1414"/>
      <c r="BL124" s="1414"/>
      <c r="BM124" s="1414"/>
      <c r="BN124" s="1414"/>
      <c r="BO124" s="1414"/>
      <c r="BP124" s="1414"/>
      <c r="BQ124" s="1414"/>
      <c r="BR124" s="1414"/>
      <c r="BS124" s="1414"/>
      <c r="BT124" s="1414"/>
      <c r="BU124" s="1414"/>
      <c r="BV124" s="1414"/>
      <c r="BW124" s="1414"/>
      <c r="BX124" s="1414"/>
      <c r="BY124" s="1414"/>
      <c r="BZ124" s="1414"/>
      <c r="CA124" s="1414"/>
      <c r="CB124" s="1414"/>
      <c r="CC124" s="1414"/>
      <c r="CD124" s="1414"/>
      <c r="CE124" s="1414"/>
      <c r="CF124" s="1414"/>
      <c r="CG124" s="1414"/>
      <c r="CH124" s="1414"/>
      <c r="CI124" s="1414"/>
      <c r="CJ124" s="1382"/>
      <c r="CK124" s="1414"/>
      <c r="CL124" s="1414"/>
      <c r="CM124" s="1414"/>
      <c r="CN124" s="1414"/>
      <c r="CO124" s="1414"/>
      <c r="CP124" s="1414"/>
      <c r="CQ124" s="1414"/>
      <c r="CR124" s="1414"/>
      <c r="CS124" s="1414"/>
      <c r="CT124" s="1414"/>
      <c r="CU124" s="1414"/>
      <c r="CV124" s="1414"/>
      <c r="CW124" s="1414"/>
      <c r="CX124" s="1414"/>
      <c r="CY124" s="1414"/>
      <c r="CZ124" s="1414"/>
      <c r="DA124" s="1414"/>
      <c r="DB124" s="1414"/>
      <c r="DC124" s="1414"/>
      <c r="DD124" s="1414"/>
      <c r="DE124" s="1414"/>
      <c r="DF124" s="1414"/>
      <c r="DG124" s="1414"/>
      <c r="DH124" s="1414"/>
      <c r="DI124" s="1414"/>
      <c r="DJ124" s="1414"/>
      <c r="DK124" s="1414"/>
      <c r="DL124" s="1414"/>
      <c r="DM124" s="1414"/>
      <c r="DN124" s="1414"/>
      <c r="DO124" s="1414"/>
      <c r="DP124" s="1414"/>
      <c r="DQ124" s="1414"/>
      <c r="DR124" s="1414"/>
      <c r="DS124" s="1382"/>
      <c r="DT124" s="1382"/>
      <c r="DU124" s="1414"/>
      <c r="DV124" s="1414"/>
      <c r="DW124" s="1414"/>
      <c r="DX124" s="1414"/>
      <c r="DY124" s="1414"/>
      <c r="DZ124" s="1414"/>
      <c r="EA124" s="1414"/>
      <c r="EB124" s="1414"/>
      <c r="EC124" s="1414"/>
      <c r="ED124" s="1414"/>
      <c r="EE124" s="1414"/>
      <c r="EF124" s="1414"/>
      <c r="EG124" s="1414"/>
      <c r="EH124" s="1414"/>
      <c r="EI124" s="1414"/>
      <c r="EJ124" s="1414"/>
      <c r="EK124" s="1414"/>
      <c r="EL124" s="1414"/>
      <c r="EM124" s="1414"/>
      <c r="EN124" s="1414"/>
      <c r="EO124" s="1414"/>
      <c r="EP124" s="1414"/>
      <c r="EQ124" s="1414"/>
      <c r="ER124" s="1414"/>
      <c r="ES124" s="1414"/>
      <c r="ET124" s="1414"/>
      <c r="EU124" s="1414"/>
      <c r="EV124" s="1414"/>
      <c r="EW124" s="1414"/>
      <c r="EX124" s="1414"/>
      <c r="EY124" s="1414"/>
      <c r="EZ124" s="1414"/>
      <c r="FA124" s="1414"/>
      <c r="FB124" s="1414"/>
      <c r="FC124" s="1414"/>
      <c r="FD124" s="1414"/>
      <c r="FE124" s="1414"/>
      <c r="FF124" s="1414"/>
      <c r="FG124" s="1414"/>
      <c r="FH124" s="1414"/>
      <c r="FI124" s="1414"/>
      <c r="FJ124" s="1414"/>
      <c r="FK124" s="1414"/>
      <c r="FL124" s="1414"/>
      <c r="FM124" s="1414"/>
      <c r="FN124" s="1414"/>
      <c r="FO124" s="1414"/>
      <c r="FP124" s="1414"/>
      <c r="FQ124" s="1414"/>
      <c r="FR124" s="1414"/>
      <c r="FS124" s="1414"/>
      <c r="FT124" s="1382"/>
      <c r="FU124" s="1382"/>
      <c r="FV124" s="1382"/>
      <c r="FW124" s="1414"/>
      <c r="FX124" s="1414"/>
      <c r="FY124" s="1414"/>
      <c r="FZ124" s="1414"/>
      <c r="GA124" s="1414"/>
      <c r="GB124" s="1414"/>
      <c r="GC124" s="1414"/>
      <c r="GD124" s="1414"/>
      <c r="GE124" s="1414"/>
      <c r="GF124" s="1414"/>
      <c r="GG124" s="1414"/>
      <c r="GH124" s="1414"/>
      <c r="GI124" s="1414"/>
      <c r="GJ124" s="1414"/>
      <c r="GK124" s="1414"/>
      <c r="GL124" s="1414"/>
      <c r="GM124" s="1414"/>
      <c r="GN124" s="1414"/>
      <c r="GO124" s="1414"/>
      <c r="GP124" s="1414"/>
      <c r="GQ124" s="1414"/>
      <c r="GR124" s="1414"/>
      <c r="GS124" s="1414"/>
      <c r="GT124" s="1414"/>
      <c r="GU124" s="1414"/>
      <c r="GV124" s="1414"/>
      <c r="GW124" s="1414"/>
      <c r="GX124" s="1414"/>
      <c r="GY124" s="1414"/>
      <c r="GZ124" s="1414"/>
      <c r="HA124" s="1382"/>
      <c r="HB124" s="1414"/>
      <c r="HC124" s="1414"/>
      <c r="HD124" s="1382"/>
      <c r="HE124" s="1414"/>
      <c r="HF124" s="1382"/>
      <c r="HG124" s="1382"/>
      <c r="HH124" s="1414"/>
      <c r="HI124" s="1382"/>
      <c r="HJ124" s="1382"/>
      <c r="HK124" s="1382"/>
      <c r="HL124" s="1382"/>
      <c r="HM124" s="1382"/>
      <c r="HN124" s="1382"/>
      <c r="HO124" s="1414"/>
      <c r="HP124" s="1381"/>
      <c r="HQ124" s="1414"/>
      <c r="HR124" s="1414"/>
      <c r="HS124" s="1414"/>
      <c r="HT124" s="1414"/>
      <c r="HU124" s="1381"/>
      <c r="HV124" s="1414"/>
      <c r="HW124" s="1414"/>
      <c r="HX124" s="1414"/>
      <c r="HY124" s="1414"/>
      <c r="HZ124" s="1414"/>
      <c r="IA124" s="1414"/>
      <c r="IB124" s="1414"/>
      <c r="IC124" s="1414"/>
      <c r="ID124" s="1414"/>
      <c r="IE124" s="1414"/>
      <c r="IF124" s="1414"/>
      <c r="IG124" s="1414"/>
      <c r="IH124" s="1414"/>
      <c r="II124" s="1414"/>
      <c r="IJ124" s="1414"/>
      <c r="IK124" s="1414"/>
      <c r="IL124" s="1414"/>
      <c r="IM124" s="1414"/>
      <c r="IN124" s="1414"/>
      <c r="IO124" s="1414"/>
      <c r="IP124" s="1414"/>
      <c r="IQ124" s="1414"/>
      <c r="IR124" s="1414"/>
      <c r="IS124" s="1414"/>
      <c r="IT124" s="1414"/>
      <c r="IU124" s="1414"/>
      <c r="IV124" s="1414"/>
      <c r="IW124" s="1414"/>
      <c r="IX124" s="1414"/>
      <c r="IY124" s="1414"/>
      <c r="IZ124" s="1414"/>
      <c r="JA124" s="1414"/>
      <c r="JB124" s="1414"/>
      <c r="JC124" s="1414"/>
      <c r="JD124" s="1414"/>
      <c r="JE124" s="1414"/>
      <c r="JF124" s="1414"/>
      <c r="JG124" s="1414"/>
      <c r="JH124" s="1414"/>
      <c r="JI124" s="1414"/>
      <c r="JJ124" s="1414"/>
      <c r="JK124" s="1414"/>
      <c r="JL124" s="1414"/>
      <c r="JM124" s="1414"/>
      <c r="JN124" s="1414"/>
      <c r="JO124" s="1414"/>
      <c r="JP124" s="1414"/>
      <c r="JQ124" s="1415"/>
      <c r="JR124" s="312"/>
      <c r="JS124" s="1057" t="s">
        <v>4502</v>
      </c>
      <c r="JT124" s="1059" t="s">
        <v>2319</v>
      </c>
    </row>
    <row r="125" spans="1:280" ht="10.5" customHeight="1" x14ac:dyDescent="0.25">
      <c r="A125" s="1367">
        <v>38</v>
      </c>
      <c r="B125" s="1411" t="str">
        <f t="shared" si="13"/>
        <v/>
      </c>
      <c r="C125" s="1759" t="s">
        <v>4503</v>
      </c>
      <c r="D125" s="1729" t="str">
        <f>"If you were UK resident for "&amp;tax_year&amp;" and for 7 or more of the preceding 9 tax years, put ‘X’ in the box"</f>
        <v>If you were UK resident for 2025-26 and for 7 or more of the preceding 9 tax years, put ‘X’ in the box</v>
      </c>
      <c r="E125" s="1752"/>
      <c r="F125" s="1752"/>
      <c r="G125" s="1752"/>
      <c r="H125" s="1752"/>
      <c r="I125" s="1381"/>
      <c r="J125" s="1414"/>
      <c r="K125" s="1381"/>
      <c r="L125" s="1414"/>
      <c r="M125" s="1381"/>
      <c r="N125" s="1381"/>
      <c r="O125" s="1414"/>
      <c r="P125" s="1414"/>
      <c r="Q125" s="1414"/>
      <c r="R125" s="1414"/>
      <c r="S125" s="1414"/>
      <c r="T125" s="1414"/>
      <c r="U125" s="1414"/>
      <c r="V125" s="1414"/>
      <c r="W125" s="1414"/>
      <c r="X125" s="1414"/>
      <c r="Y125" s="1414"/>
      <c r="Z125" s="1414"/>
      <c r="AA125" s="1414"/>
      <c r="AB125" s="1414"/>
      <c r="AC125" s="1414"/>
      <c r="AD125" s="1414"/>
      <c r="AE125" s="1414"/>
      <c r="AF125" s="1414"/>
      <c r="AG125" s="1414"/>
      <c r="AH125" s="1414"/>
      <c r="AI125" s="1414"/>
      <c r="AJ125" s="1414"/>
      <c r="AK125" s="1414"/>
      <c r="AL125" s="1414"/>
      <c r="AM125" s="1414"/>
      <c r="AN125" s="1414"/>
      <c r="AO125" s="1414"/>
      <c r="AP125" s="1414"/>
      <c r="AQ125" s="1414"/>
      <c r="AR125" s="1414"/>
      <c r="AS125" s="1414"/>
      <c r="AT125" s="1414"/>
      <c r="AU125" s="1414"/>
      <c r="AV125" s="1414"/>
      <c r="AW125" s="1414"/>
      <c r="AX125" s="1382"/>
      <c r="AY125" s="1382"/>
      <c r="AZ125" s="1382"/>
      <c r="BA125" s="1414"/>
      <c r="BB125" s="1414"/>
      <c r="BC125" s="1414"/>
      <c r="BD125" s="1414"/>
      <c r="BE125" s="1414"/>
      <c r="BF125" s="1414"/>
      <c r="BG125" s="1414"/>
      <c r="BH125" s="1414"/>
      <c r="BI125" s="1414"/>
      <c r="BJ125" s="1414"/>
      <c r="BK125" s="1414"/>
      <c r="BL125" s="1414"/>
      <c r="BM125" s="1414"/>
      <c r="BN125" s="1414"/>
      <c r="BO125" s="1414"/>
      <c r="BP125" s="1414"/>
      <c r="BQ125" s="1414"/>
      <c r="BR125" s="1414"/>
      <c r="BS125" s="1414"/>
      <c r="BT125" s="1414"/>
      <c r="BU125" s="1414"/>
      <c r="BV125" s="1414"/>
      <c r="BW125" s="1414"/>
      <c r="BX125" s="1414"/>
      <c r="BY125" s="1414"/>
      <c r="BZ125" s="1414"/>
      <c r="CA125" s="1414"/>
      <c r="CB125" s="1414"/>
      <c r="CC125" s="1414"/>
      <c r="CD125" s="1414"/>
      <c r="CE125" s="1414"/>
      <c r="CF125" s="1414"/>
      <c r="CG125" s="1414"/>
      <c r="CH125" s="1414"/>
      <c r="CI125" s="1414"/>
      <c r="CJ125" s="1382"/>
      <c r="CK125" s="1414"/>
      <c r="CL125" s="1414"/>
      <c r="CM125" s="1414"/>
      <c r="CN125" s="1414"/>
      <c r="CO125" s="1414"/>
      <c r="CP125" s="1414"/>
      <c r="CQ125" s="1414"/>
      <c r="CR125" s="1414"/>
      <c r="CS125" s="1414"/>
      <c r="CT125" s="1414"/>
      <c r="CU125" s="1414"/>
      <c r="CV125" s="1414"/>
      <c r="CW125" s="1414"/>
      <c r="CX125" s="1414"/>
      <c r="CY125" s="1414"/>
      <c r="CZ125" s="1414"/>
      <c r="DA125" s="1414"/>
      <c r="DB125" s="1414"/>
      <c r="DC125" s="1414"/>
      <c r="DD125" s="1414"/>
      <c r="DE125" s="1414"/>
      <c r="DF125" s="1414"/>
      <c r="DG125" s="1414"/>
      <c r="DH125" s="1414"/>
      <c r="DI125" s="1414"/>
      <c r="DJ125" s="1414"/>
      <c r="DK125" s="1414"/>
      <c r="DL125" s="1414"/>
      <c r="DM125" s="1414"/>
      <c r="DN125" s="1414"/>
      <c r="DO125" s="1414"/>
      <c r="DP125" s="1414"/>
      <c r="DQ125" s="1414"/>
      <c r="DR125" s="1414"/>
      <c r="DS125" s="1382"/>
      <c r="DT125" s="1382"/>
      <c r="DU125" s="1414"/>
      <c r="DV125" s="1414"/>
      <c r="DW125" s="1414"/>
      <c r="DX125" s="1414"/>
      <c r="DY125" s="1414"/>
      <c r="DZ125" s="1414"/>
      <c r="EA125" s="1414"/>
      <c r="EB125" s="1414"/>
      <c r="EC125" s="1414"/>
      <c r="ED125" s="1414"/>
      <c r="EE125" s="1414"/>
      <c r="EF125" s="1414"/>
      <c r="EG125" s="1414"/>
      <c r="EH125" s="1414"/>
      <c r="EI125" s="1414"/>
      <c r="EJ125" s="1414"/>
      <c r="EK125" s="1414"/>
      <c r="EL125" s="1414"/>
      <c r="EM125" s="1414"/>
      <c r="EN125" s="1414"/>
      <c r="EO125" s="1414"/>
      <c r="EP125" s="1414"/>
      <c r="EQ125" s="1414"/>
      <c r="ER125" s="1414"/>
      <c r="ES125" s="1414"/>
      <c r="ET125" s="1414"/>
      <c r="EU125" s="1414"/>
      <c r="EV125" s="1414"/>
      <c r="EW125" s="1414"/>
      <c r="EX125" s="1414"/>
      <c r="EY125" s="1414"/>
      <c r="EZ125" s="1414"/>
      <c r="FA125" s="1414"/>
      <c r="FB125" s="1414"/>
      <c r="FC125" s="1414"/>
      <c r="FD125" s="1414"/>
      <c r="FE125" s="1414"/>
      <c r="FF125" s="1464"/>
      <c r="FG125" s="1414"/>
      <c r="FH125" s="1414"/>
      <c r="FI125" s="1414"/>
      <c r="FJ125" s="1414"/>
      <c r="FK125" s="1414"/>
      <c r="FL125" s="1414"/>
      <c r="FM125" s="1414"/>
      <c r="FN125" s="1414"/>
      <c r="FO125" s="1414"/>
      <c r="FP125" s="1414"/>
      <c r="FQ125" s="1414"/>
      <c r="FR125" s="1414"/>
      <c r="FS125" s="1414"/>
      <c r="FT125" s="1382"/>
      <c r="FU125" s="1382"/>
      <c r="FV125" s="1382"/>
      <c r="FW125" s="1414"/>
      <c r="FX125" s="1414"/>
      <c r="FY125" s="1414"/>
      <c r="FZ125" s="1414"/>
      <c r="GA125" s="1414"/>
      <c r="GB125" s="1414"/>
      <c r="GC125" s="1414"/>
      <c r="GD125" s="1414"/>
      <c r="GE125" s="1414"/>
      <c r="GF125" s="1414"/>
      <c r="GG125" s="1414"/>
      <c r="GH125" s="1414"/>
      <c r="GI125" s="1414"/>
      <c r="GJ125" s="1414"/>
      <c r="GK125" s="1414"/>
      <c r="GL125" s="1414"/>
      <c r="GM125" s="1414"/>
      <c r="GN125" s="1414"/>
      <c r="GO125" s="1414"/>
      <c r="GP125" s="1414"/>
      <c r="GQ125" s="1414"/>
      <c r="GR125" s="1414"/>
      <c r="GS125" s="1414"/>
      <c r="GT125" s="1414"/>
      <c r="GU125" s="1414"/>
      <c r="GV125" s="1414"/>
      <c r="GW125" s="1414"/>
      <c r="GX125" s="1414"/>
      <c r="GY125" s="1414"/>
      <c r="GZ125" s="1414"/>
      <c r="HA125" s="1382"/>
      <c r="HB125" s="1414"/>
      <c r="HC125" s="1414"/>
      <c r="HD125" s="1382"/>
      <c r="HE125" s="1414"/>
      <c r="HF125" s="1382"/>
      <c r="HG125" s="1382"/>
      <c r="HH125" s="1414"/>
      <c r="HI125" s="1382"/>
      <c r="HJ125" s="1382"/>
      <c r="HK125" s="1382"/>
      <c r="HL125" s="1382"/>
      <c r="HM125" s="1382"/>
      <c r="HN125" s="1382"/>
      <c r="HO125" s="1414"/>
      <c r="HP125" s="1381"/>
      <c r="HQ125" s="1414"/>
      <c r="HR125" s="1414"/>
      <c r="HS125" s="1414"/>
      <c r="HT125" s="1414"/>
      <c r="HU125" s="1381"/>
      <c r="HV125" s="1414"/>
      <c r="HW125" s="1414"/>
      <c r="HX125" s="1414"/>
      <c r="HY125" s="1414"/>
      <c r="HZ125" s="1414"/>
      <c r="IA125" s="1414"/>
      <c r="IB125" s="1414"/>
      <c r="IC125" s="1414"/>
      <c r="ID125" s="1414"/>
      <c r="IE125" s="1414"/>
      <c r="IF125" s="1414"/>
      <c r="IG125" s="1414"/>
      <c r="IH125" s="1414"/>
      <c r="II125" s="1414"/>
      <c r="IJ125" s="1414"/>
      <c r="IK125" s="1414"/>
      <c r="IL125" s="1414"/>
      <c r="IM125" s="1414"/>
      <c r="IN125" s="1414"/>
      <c r="IO125" s="1414"/>
      <c r="IP125" s="1414"/>
      <c r="IQ125" s="1414"/>
      <c r="IR125" s="1414"/>
      <c r="IS125" s="1414"/>
      <c r="IT125" s="1414"/>
      <c r="IU125" s="1414"/>
      <c r="IV125" s="1414"/>
      <c r="IW125" s="1414"/>
      <c r="IX125" s="1414"/>
      <c r="IY125" s="1414"/>
      <c r="IZ125" s="1414"/>
      <c r="JA125" s="1414"/>
      <c r="JB125" s="1414"/>
      <c r="JC125" s="1414"/>
      <c r="JD125" s="1414"/>
      <c r="JE125" s="1414"/>
      <c r="JF125" s="1414"/>
      <c r="JG125" s="1414"/>
      <c r="JH125" s="1414"/>
      <c r="JI125" s="1414"/>
      <c r="JJ125" s="1414"/>
      <c r="JK125" s="1414"/>
      <c r="JL125" s="1414"/>
      <c r="JM125" s="1414"/>
      <c r="JN125" s="1414"/>
      <c r="JO125" s="1414"/>
      <c r="JP125" s="1414"/>
      <c r="JQ125" s="1415"/>
      <c r="JR125" s="312"/>
      <c r="JS125" s="1057" t="s">
        <v>4504</v>
      </c>
      <c r="JT125" s="1059" t="s">
        <v>2319</v>
      </c>
    </row>
    <row r="126" spans="1:280" ht="10.5" customHeight="1" x14ac:dyDescent="0.25">
      <c r="A126" s="1367">
        <v>39</v>
      </c>
      <c r="B126" s="1411" t="str">
        <f t="shared" si="13"/>
        <v/>
      </c>
      <c r="C126" s="1759" t="s">
        <v>4505</v>
      </c>
      <c r="D126" s="1729" t="str">
        <f>"If you were under 18 on 5 April "&amp;Tax_year_end&amp;", put ‘X’ in the box"</f>
        <v>If you were under 18 on 5 April 2026, put ‘X’ in the box</v>
      </c>
      <c r="E126" s="1752"/>
      <c r="F126" s="1752"/>
      <c r="G126" s="1752"/>
      <c r="H126" s="1752"/>
      <c r="I126" s="1381"/>
      <c r="J126" s="1414"/>
      <c r="K126" s="1381"/>
      <c r="L126" s="1414"/>
      <c r="M126" s="1381"/>
      <c r="N126" s="1381"/>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382"/>
      <c r="AY126" s="1382"/>
      <c r="AZ126" s="1382"/>
      <c r="BA126" s="1414"/>
      <c r="BB126" s="1414"/>
      <c r="BC126" s="1414"/>
      <c r="BD126" s="1414"/>
      <c r="BE126" s="1414"/>
      <c r="BF126" s="1414"/>
      <c r="BG126" s="1414"/>
      <c r="BH126" s="1414"/>
      <c r="BI126" s="1414"/>
      <c r="BJ126" s="1414"/>
      <c r="BK126" s="1414"/>
      <c r="BL126" s="1414"/>
      <c r="BM126" s="1414"/>
      <c r="BN126" s="1414"/>
      <c r="BO126" s="1414"/>
      <c r="BP126" s="1414"/>
      <c r="BQ126" s="1414"/>
      <c r="BR126" s="1414"/>
      <c r="BS126" s="1414"/>
      <c r="BT126" s="1414"/>
      <c r="BU126" s="1414"/>
      <c r="BV126" s="1414"/>
      <c r="BW126" s="1414"/>
      <c r="BX126" s="1414"/>
      <c r="BY126" s="1414"/>
      <c r="BZ126" s="1414"/>
      <c r="CA126" s="1414"/>
      <c r="CB126" s="1414"/>
      <c r="CC126" s="1414"/>
      <c r="CD126" s="1414"/>
      <c r="CE126" s="1414"/>
      <c r="CF126" s="1414"/>
      <c r="CG126" s="1414"/>
      <c r="CH126" s="1414"/>
      <c r="CI126" s="1414"/>
      <c r="CJ126" s="1382"/>
      <c r="CK126" s="1414"/>
      <c r="CL126" s="1414"/>
      <c r="CM126" s="1414"/>
      <c r="CN126" s="1414"/>
      <c r="CO126" s="1414"/>
      <c r="CP126" s="1414"/>
      <c r="CQ126" s="1414"/>
      <c r="CR126" s="1414"/>
      <c r="CS126" s="1414"/>
      <c r="CT126" s="1414"/>
      <c r="CU126" s="1414"/>
      <c r="CV126" s="1414"/>
      <c r="CW126" s="1414"/>
      <c r="CX126" s="1414"/>
      <c r="CY126" s="1414"/>
      <c r="CZ126" s="1414"/>
      <c r="DA126" s="1414"/>
      <c r="DB126" s="1414"/>
      <c r="DC126" s="1414"/>
      <c r="DD126" s="1414"/>
      <c r="DE126" s="1414"/>
      <c r="DF126" s="1414"/>
      <c r="DG126" s="1414"/>
      <c r="DH126" s="1414"/>
      <c r="DI126" s="1414"/>
      <c r="DJ126" s="1414"/>
      <c r="DK126" s="1414"/>
      <c r="DL126" s="1414"/>
      <c r="DM126" s="1414"/>
      <c r="DN126" s="1414"/>
      <c r="DO126" s="1414"/>
      <c r="DP126" s="1414"/>
      <c r="DQ126" s="1414"/>
      <c r="DR126" s="1414"/>
      <c r="DS126" s="1382"/>
      <c r="DT126" s="1382"/>
      <c r="DU126" s="1414"/>
      <c r="DV126" s="1414"/>
      <c r="DW126" s="1414"/>
      <c r="DX126" s="1414"/>
      <c r="DY126" s="1414"/>
      <c r="DZ126" s="1414"/>
      <c r="EA126" s="1414"/>
      <c r="EB126" s="1414"/>
      <c r="EC126" s="1414"/>
      <c r="ED126" s="1414"/>
      <c r="EE126" s="1414"/>
      <c r="EF126" s="1414"/>
      <c r="EG126" s="1414"/>
      <c r="EH126" s="1414"/>
      <c r="EI126" s="1414"/>
      <c r="EJ126" s="1414"/>
      <c r="EK126" s="1414"/>
      <c r="EL126" s="1414"/>
      <c r="EM126" s="1414"/>
      <c r="EN126" s="1414"/>
      <c r="EO126" s="1414"/>
      <c r="EP126" s="1414"/>
      <c r="EQ126" s="1414"/>
      <c r="ER126" s="1414"/>
      <c r="ES126" s="1414"/>
      <c r="ET126" s="1414"/>
      <c r="EU126" s="1414"/>
      <c r="EV126" s="1414"/>
      <c r="EW126" s="1414"/>
      <c r="EX126" s="1414"/>
      <c r="EY126" s="1414"/>
      <c r="EZ126" s="1414"/>
      <c r="FA126" s="1414"/>
      <c r="FB126" s="1414"/>
      <c r="FC126" s="1414"/>
      <c r="FD126" s="1414"/>
      <c r="FE126" s="1414"/>
      <c r="FF126" s="1414"/>
      <c r="FG126" s="1414"/>
      <c r="FH126" s="1414"/>
      <c r="FI126" s="1414"/>
      <c r="FJ126" s="1414"/>
      <c r="FK126" s="1414"/>
      <c r="FL126" s="1414"/>
      <c r="FM126" s="1414"/>
      <c r="FN126" s="1414"/>
      <c r="FO126" s="1414"/>
      <c r="FP126" s="1414"/>
      <c r="FQ126" s="1414"/>
      <c r="FR126" s="1414"/>
      <c r="FS126" s="1414"/>
      <c r="FT126" s="1382"/>
      <c r="FU126" s="1382"/>
      <c r="FV126" s="1382"/>
      <c r="FW126" s="1414"/>
      <c r="FX126" s="1414"/>
      <c r="FY126" s="1414"/>
      <c r="FZ126" s="1414"/>
      <c r="GA126" s="1414"/>
      <c r="GB126" s="1414"/>
      <c r="GC126" s="1414"/>
      <c r="GD126" s="1414"/>
      <c r="GE126" s="1414"/>
      <c r="GF126" s="1414"/>
      <c r="GG126" s="1414"/>
      <c r="GH126" s="1414"/>
      <c r="GI126" s="1414"/>
      <c r="GJ126" s="1414"/>
      <c r="GK126" s="1414"/>
      <c r="GL126" s="1414"/>
      <c r="GM126" s="1414"/>
      <c r="GN126" s="1414"/>
      <c r="GO126" s="1414"/>
      <c r="GP126" s="1414"/>
      <c r="GQ126" s="1414"/>
      <c r="GR126" s="1414"/>
      <c r="GS126" s="1414"/>
      <c r="GT126" s="1414"/>
      <c r="GU126" s="1414"/>
      <c r="GV126" s="1414"/>
      <c r="GW126" s="1414"/>
      <c r="GX126" s="1414"/>
      <c r="GY126" s="1414"/>
      <c r="GZ126" s="1414"/>
      <c r="HA126" s="1382"/>
      <c r="HB126" s="1414"/>
      <c r="HC126" s="1414"/>
      <c r="HD126" s="1382"/>
      <c r="HE126" s="1414"/>
      <c r="HF126" s="1382"/>
      <c r="HG126" s="1382"/>
      <c r="HH126" s="1414"/>
      <c r="HI126" s="1382"/>
      <c r="HJ126" s="1382"/>
      <c r="HK126" s="1382"/>
      <c r="HL126" s="1382"/>
      <c r="HM126" s="1382"/>
      <c r="HN126" s="1382"/>
      <c r="HO126" s="1414"/>
      <c r="HP126" s="1381"/>
      <c r="HQ126" s="1414"/>
      <c r="HR126" s="1414"/>
      <c r="HS126" s="1414"/>
      <c r="HT126" s="1414"/>
      <c r="HU126" s="1381"/>
      <c r="HV126" s="1414"/>
      <c r="HW126" s="1414"/>
      <c r="HX126" s="1414"/>
      <c r="HY126" s="1414"/>
      <c r="HZ126" s="1414"/>
      <c r="IA126" s="1414"/>
      <c r="IB126" s="1414"/>
      <c r="IC126" s="1414"/>
      <c r="ID126" s="1414"/>
      <c r="IE126" s="1414"/>
      <c r="IF126" s="1414"/>
      <c r="IG126" s="1414"/>
      <c r="IH126" s="1414"/>
      <c r="II126" s="1414"/>
      <c r="IJ126" s="1414"/>
      <c r="IK126" s="1414"/>
      <c r="IL126" s="1414"/>
      <c r="IM126" s="1414"/>
      <c r="IN126" s="1414"/>
      <c r="IO126" s="1414"/>
      <c r="IP126" s="1414"/>
      <c r="IQ126" s="1414"/>
      <c r="IR126" s="1414"/>
      <c r="IS126" s="1414"/>
      <c r="IT126" s="1414"/>
      <c r="IU126" s="1414"/>
      <c r="IV126" s="1414"/>
      <c r="IW126" s="1414"/>
      <c r="IX126" s="1414"/>
      <c r="IY126" s="1414"/>
      <c r="IZ126" s="1414"/>
      <c r="JA126" s="1414"/>
      <c r="JB126" s="1414"/>
      <c r="JC126" s="1414"/>
      <c r="JD126" s="1414"/>
      <c r="JE126" s="1414"/>
      <c r="JF126" s="1414"/>
      <c r="JG126" s="1414"/>
      <c r="JH126" s="1414"/>
      <c r="JI126" s="1414"/>
      <c r="JJ126" s="1414"/>
      <c r="JK126" s="1414"/>
      <c r="JL126" s="1414"/>
      <c r="JM126" s="1414"/>
      <c r="JN126" s="1414"/>
      <c r="JO126" s="1414"/>
      <c r="JP126" s="1414"/>
      <c r="JQ126" s="1415"/>
      <c r="JR126" s="312"/>
      <c r="JS126" s="1058"/>
      <c r="JT126" s="1060" t="s">
        <v>2319</v>
      </c>
    </row>
    <row r="127" spans="1:280" ht="10.5" customHeight="1" x14ac:dyDescent="0.25">
      <c r="A127" s="1367">
        <v>40</v>
      </c>
      <c r="B127" s="1411" t="str">
        <f t="shared" si="13"/>
        <v/>
      </c>
      <c r="C127" s="1759" t="s">
        <v>4506</v>
      </c>
      <c r="D127" s="1729" t="s">
        <v>4507</v>
      </c>
      <c r="E127" s="2600"/>
      <c r="F127" s="2600"/>
      <c r="G127" s="2600"/>
      <c r="H127" s="2600"/>
      <c r="I127" s="1453"/>
      <c r="J127" s="1760"/>
      <c r="K127" s="1453"/>
      <c r="L127" s="1760"/>
      <c r="M127" s="1453"/>
      <c r="N127" s="1453"/>
      <c r="O127" s="1760"/>
      <c r="P127" s="1760"/>
      <c r="Q127" s="1760"/>
      <c r="R127" s="1760"/>
      <c r="S127" s="1760"/>
      <c r="T127" s="1760"/>
      <c r="U127" s="1760"/>
      <c r="V127" s="1760"/>
      <c r="W127" s="1760"/>
      <c r="X127" s="1760"/>
      <c r="Y127" s="1760"/>
      <c r="Z127" s="1760"/>
      <c r="AA127" s="1760"/>
      <c r="AB127" s="1760"/>
      <c r="AC127" s="1760"/>
      <c r="AD127" s="1760"/>
      <c r="AE127" s="1760"/>
      <c r="AF127" s="1760"/>
      <c r="AG127" s="1760"/>
      <c r="AH127" s="1760"/>
      <c r="AI127" s="1760"/>
      <c r="AJ127" s="1760"/>
      <c r="AK127" s="1760"/>
      <c r="AL127" s="1760"/>
      <c r="AM127" s="1760"/>
      <c r="AN127" s="1760"/>
      <c r="AO127" s="1760"/>
      <c r="AP127" s="1760"/>
      <c r="AQ127" s="1760"/>
      <c r="AR127" s="1760"/>
      <c r="AS127" s="1760"/>
      <c r="AT127" s="1760"/>
      <c r="AU127" s="1760"/>
      <c r="AV127" s="1760"/>
      <c r="AW127" s="1760"/>
      <c r="AX127" s="1453"/>
      <c r="AY127" s="1453"/>
      <c r="AZ127" s="1453"/>
      <c r="BA127" s="1760"/>
      <c r="BB127" s="1760"/>
      <c r="BC127" s="1760"/>
      <c r="BD127" s="1760"/>
      <c r="BE127" s="1760"/>
      <c r="BF127" s="1760"/>
      <c r="BG127" s="1760"/>
      <c r="BH127" s="1760"/>
      <c r="BI127" s="1760"/>
      <c r="BJ127" s="1760"/>
      <c r="BK127" s="1760"/>
      <c r="BL127" s="1760"/>
      <c r="BM127" s="1760"/>
      <c r="BN127" s="1760"/>
      <c r="BO127" s="1760"/>
      <c r="BP127" s="1760"/>
      <c r="BQ127" s="1760"/>
      <c r="BR127" s="1760"/>
      <c r="BS127" s="1760"/>
      <c r="BT127" s="1760"/>
      <c r="BU127" s="1760"/>
      <c r="BV127" s="1760"/>
      <c r="BW127" s="1760"/>
      <c r="BX127" s="1760"/>
      <c r="BY127" s="1760"/>
      <c r="BZ127" s="1760"/>
      <c r="CA127" s="1760"/>
      <c r="CB127" s="1760"/>
      <c r="CC127" s="1760"/>
      <c r="CD127" s="1760"/>
      <c r="CE127" s="1760"/>
      <c r="CF127" s="1760"/>
      <c r="CG127" s="1760"/>
      <c r="CH127" s="1760"/>
      <c r="CI127" s="1760"/>
      <c r="CJ127" s="1469"/>
      <c r="CK127" s="1760"/>
      <c r="CL127" s="1760"/>
      <c r="CM127" s="1760"/>
      <c r="CN127" s="1760"/>
      <c r="CO127" s="1760"/>
      <c r="CP127" s="1760"/>
      <c r="CQ127" s="1760"/>
      <c r="CR127" s="1760"/>
      <c r="CS127" s="1760"/>
      <c r="CT127" s="1760"/>
      <c r="CU127" s="1760"/>
      <c r="CV127" s="1760"/>
      <c r="CW127" s="1760"/>
      <c r="CX127" s="1760"/>
      <c r="CY127" s="1760"/>
      <c r="CZ127" s="1760"/>
      <c r="DA127" s="1760"/>
      <c r="DB127" s="1760"/>
      <c r="DC127" s="1760"/>
      <c r="DD127" s="1760"/>
      <c r="DE127" s="1760"/>
      <c r="DF127" s="1760"/>
      <c r="DG127" s="1760"/>
      <c r="DH127" s="1760"/>
      <c r="DI127" s="1760"/>
      <c r="DJ127" s="1760"/>
      <c r="DK127" s="1760"/>
      <c r="DL127" s="1760"/>
      <c r="DM127" s="1760"/>
      <c r="DN127" s="1760"/>
      <c r="DO127" s="1760"/>
      <c r="DP127" s="1760"/>
      <c r="DQ127" s="1760"/>
      <c r="DR127" s="1760"/>
      <c r="DS127" s="1469"/>
      <c r="DT127" s="1469"/>
      <c r="DU127" s="1760"/>
      <c r="DV127" s="1760"/>
      <c r="DW127" s="1760"/>
      <c r="DX127" s="1760"/>
      <c r="DY127" s="1760"/>
      <c r="DZ127" s="1760"/>
      <c r="EA127" s="1760"/>
      <c r="EB127" s="1760"/>
      <c r="EC127" s="1760"/>
      <c r="ED127" s="1760"/>
      <c r="EE127" s="1760"/>
      <c r="EF127" s="1760"/>
      <c r="EG127" s="1760"/>
      <c r="EH127" s="1760"/>
      <c r="EI127" s="1760"/>
      <c r="EJ127" s="1760"/>
      <c r="EK127" s="1760"/>
      <c r="EL127" s="1760"/>
      <c r="EM127" s="1760"/>
      <c r="EN127" s="1760"/>
      <c r="EO127" s="1760"/>
      <c r="EP127" s="1760"/>
      <c r="EQ127" s="1760"/>
      <c r="ER127" s="1760"/>
      <c r="ES127" s="1760"/>
      <c r="ET127" s="1760"/>
      <c r="EU127" s="1760"/>
      <c r="EV127" s="1760"/>
      <c r="EW127" s="1760"/>
      <c r="EX127" s="1760"/>
      <c r="EY127" s="1760"/>
      <c r="EZ127" s="1760"/>
      <c r="FA127" s="1760"/>
      <c r="FB127" s="1760"/>
      <c r="FC127" s="1760"/>
      <c r="FD127" s="1760"/>
      <c r="FE127" s="1760"/>
      <c r="FF127" s="2598"/>
      <c r="FG127" s="1760"/>
      <c r="FH127" s="1760"/>
      <c r="FI127" s="1760"/>
      <c r="FJ127" s="1760"/>
      <c r="FK127" s="1760"/>
      <c r="FL127" s="1760"/>
      <c r="FM127" s="1760"/>
      <c r="FN127" s="1760"/>
      <c r="FO127" s="1760"/>
      <c r="FP127" s="1760"/>
      <c r="FQ127" s="1760"/>
      <c r="FR127" s="1760"/>
      <c r="FS127" s="1760"/>
      <c r="FT127" s="1453"/>
      <c r="FU127" s="1453"/>
      <c r="FV127" s="1453"/>
      <c r="FW127" s="1760"/>
      <c r="FX127" s="1760"/>
      <c r="FY127" s="1760"/>
      <c r="FZ127" s="1760"/>
      <c r="GA127" s="1760"/>
      <c r="GB127" s="1760"/>
      <c r="GC127" s="1760"/>
      <c r="GD127" s="1760"/>
      <c r="GE127" s="1760"/>
      <c r="GF127" s="1760"/>
      <c r="GG127" s="1760"/>
      <c r="GH127" s="1760"/>
      <c r="GI127" s="1760"/>
      <c r="GJ127" s="1760"/>
      <c r="GK127" s="1760"/>
      <c r="GL127" s="1760"/>
      <c r="GM127" s="1760"/>
      <c r="GN127" s="1760"/>
      <c r="GO127" s="1760"/>
      <c r="GP127" s="1760"/>
      <c r="GQ127" s="1760"/>
      <c r="GR127" s="1760"/>
      <c r="GS127" s="1760"/>
      <c r="GT127" s="1760"/>
      <c r="GU127" s="1760"/>
      <c r="GV127" s="1760"/>
      <c r="GW127" s="1760"/>
      <c r="GX127" s="1760"/>
      <c r="GY127" s="1760"/>
      <c r="GZ127" s="1760"/>
      <c r="HA127" s="1469"/>
      <c r="HB127" s="1760"/>
      <c r="HC127" s="1760"/>
      <c r="HD127" s="1453"/>
      <c r="HE127" s="1760"/>
      <c r="HF127" s="1453"/>
      <c r="HG127" s="1453"/>
      <c r="HH127" s="1760"/>
      <c r="HI127" s="1469"/>
      <c r="HJ127" s="1469"/>
      <c r="HK127" s="1469"/>
      <c r="HL127" s="1469"/>
      <c r="HM127" s="1453"/>
      <c r="HN127" s="1453"/>
      <c r="HO127" s="1760"/>
      <c r="HP127" s="1453"/>
      <c r="HQ127" s="1760"/>
      <c r="HR127" s="1760"/>
      <c r="HS127" s="1760"/>
      <c r="HT127" s="1760"/>
      <c r="HU127" s="1453"/>
      <c r="HV127" s="1760"/>
      <c r="HW127" s="1760"/>
      <c r="HX127" s="1760"/>
      <c r="HY127" s="1760"/>
      <c r="HZ127" s="1760"/>
      <c r="IA127" s="1760"/>
      <c r="IB127" s="1760"/>
      <c r="IC127" s="1760"/>
      <c r="ID127" s="1760"/>
      <c r="IE127" s="1760"/>
      <c r="IF127" s="1760"/>
      <c r="IG127" s="1760"/>
      <c r="IH127" s="1760"/>
      <c r="II127" s="1760"/>
      <c r="IJ127" s="1760"/>
      <c r="IK127" s="1760"/>
      <c r="IL127" s="1760"/>
      <c r="IM127" s="1760"/>
      <c r="IN127" s="1760"/>
      <c r="IO127" s="1760"/>
      <c r="IP127" s="1760"/>
      <c r="IQ127" s="1760"/>
      <c r="IR127" s="1760"/>
      <c r="IS127" s="1760"/>
      <c r="IT127" s="1760"/>
      <c r="IU127" s="1760"/>
      <c r="IV127" s="1760"/>
      <c r="IW127" s="1760"/>
      <c r="IX127" s="1760"/>
      <c r="IY127" s="1760"/>
      <c r="IZ127" s="1760"/>
      <c r="JA127" s="1760"/>
      <c r="JB127" s="1760"/>
      <c r="JC127" s="1760"/>
      <c r="JD127" s="1760"/>
      <c r="JE127" s="1760"/>
      <c r="JF127" s="1760"/>
      <c r="JG127" s="1760"/>
      <c r="JH127" s="1760"/>
      <c r="JI127" s="1760"/>
      <c r="JJ127" s="1760"/>
      <c r="JK127" s="1760"/>
      <c r="JL127" s="1760"/>
      <c r="JM127" s="1760"/>
      <c r="JN127" s="1760"/>
      <c r="JO127" s="1760"/>
      <c r="JP127" s="1760"/>
      <c r="JQ127" s="1761"/>
      <c r="JR127" s="312"/>
      <c r="JS127" s="1058"/>
      <c r="JT127" s="1060" t="s">
        <v>2242</v>
      </c>
    </row>
    <row r="128" spans="1:280" ht="10.5" customHeight="1" x14ac:dyDescent="0.25">
      <c r="A128" s="1367">
        <v>41</v>
      </c>
      <c r="B128" s="1411" t="str">
        <f t="shared" si="13"/>
        <v/>
      </c>
      <c r="C128" s="1759" t="s">
        <v>4508</v>
      </c>
      <c r="D128" s="1729" t="s">
        <v>4509</v>
      </c>
      <c r="E128" s="2600"/>
      <c r="F128" s="2600"/>
      <c r="G128" s="2600"/>
      <c r="H128" s="2600"/>
      <c r="I128" s="1453"/>
      <c r="J128" s="1760"/>
      <c r="K128" s="1453"/>
      <c r="L128" s="1760"/>
      <c r="M128" s="1453"/>
      <c r="N128" s="1453"/>
      <c r="O128" s="1760"/>
      <c r="P128" s="1760"/>
      <c r="Q128" s="1760"/>
      <c r="R128" s="1760"/>
      <c r="S128" s="1760"/>
      <c r="T128" s="1760"/>
      <c r="U128" s="1760"/>
      <c r="V128" s="1760"/>
      <c r="W128" s="1760"/>
      <c r="X128" s="1760"/>
      <c r="Y128" s="1760"/>
      <c r="Z128" s="1760"/>
      <c r="AA128" s="1760"/>
      <c r="AB128" s="1760"/>
      <c r="AC128" s="1760"/>
      <c r="AD128" s="1760"/>
      <c r="AE128" s="1760"/>
      <c r="AF128" s="1760"/>
      <c r="AG128" s="1760"/>
      <c r="AH128" s="1760"/>
      <c r="AI128" s="1760"/>
      <c r="AJ128" s="1760"/>
      <c r="AK128" s="1760"/>
      <c r="AL128" s="1760"/>
      <c r="AM128" s="1760"/>
      <c r="AN128" s="1760"/>
      <c r="AO128" s="1760"/>
      <c r="AP128" s="1760"/>
      <c r="AQ128" s="1760"/>
      <c r="AR128" s="1760"/>
      <c r="AS128" s="1760"/>
      <c r="AT128" s="1760"/>
      <c r="AU128" s="1760"/>
      <c r="AV128" s="1760"/>
      <c r="AW128" s="1760"/>
      <c r="AX128" s="1453"/>
      <c r="AY128" s="1453"/>
      <c r="AZ128" s="1453"/>
      <c r="BA128" s="1760"/>
      <c r="BB128" s="1760"/>
      <c r="BC128" s="1760"/>
      <c r="BD128" s="1760"/>
      <c r="BE128" s="1760"/>
      <c r="BF128" s="1760"/>
      <c r="BG128" s="1760"/>
      <c r="BH128" s="1760"/>
      <c r="BI128" s="1760"/>
      <c r="BJ128" s="1760"/>
      <c r="BK128" s="1760"/>
      <c r="BL128" s="1760"/>
      <c r="BM128" s="1760"/>
      <c r="BN128" s="1760"/>
      <c r="BO128" s="1760"/>
      <c r="BP128" s="1760"/>
      <c r="BQ128" s="1760"/>
      <c r="BR128" s="1760"/>
      <c r="BS128" s="1760"/>
      <c r="BT128" s="1760"/>
      <c r="BU128" s="1760"/>
      <c r="BV128" s="1760"/>
      <c r="BW128" s="1760"/>
      <c r="BX128" s="1760"/>
      <c r="BY128" s="1760"/>
      <c r="BZ128" s="1760"/>
      <c r="CA128" s="1760"/>
      <c r="CB128" s="1760"/>
      <c r="CC128" s="1760"/>
      <c r="CD128" s="1760"/>
      <c r="CE128" s="1760"/>
      <c r="CF128" s="1760"/>
      <c r="CG128" s="1760"/>
      <c r="CH128" s="1760"/>
      <c r="CI128" s="1760"/>
      <c r="CJ128" s="1453"/>
      <c r="CK128" s="1760"/>
      <c r="CL128" s="1760"/>
      <c r="CM128" s="1760"/>
      <c r="CN128" s="1760"/>
      <c r="CO128" s="1760"/>
      <c r="CP128" s="1760"/>
      <c r="CQ128" s="1760"/>
      <c r="CR128" s="1760"/>
      <c r="CS128" s="1760"/>
      <c r="CT128" s="1760"/>
      <c r="CU128" s="1760"/>
      <c r="CV128" s="1760"/>
      <c r="CW128" s="1760"/>
      <c r="CX128" s="1760"/>
      <c r="CY128" s="1760"/>
      <c r="CZ128" s="1760"/>
      <c r="DA128" s="1760"/>
      <c r="DB128" s="1760"/>
      <c r="DC128" s="1760"/>
      <c r="DD128" s="1760"/>
      <c r="DE128" s="1760"/>
      <c r="DF128" s="1760"/>
      <c r="DG128" s="1760"/>
      <c r="DH128" s="1760"/>
      <c r="DI128" s="1760"/>
      <c r="DJ128" s="1760"/>
      <c r="DK128" s="1760"/>
      <c r="DL128" s="1760"/>
      <c r="DM128" s="1760"/>
      <c r="DN128" s="1760"/>
      <c r="DO128" s="1760"/>
      <c r="DP128" s="1760"/>
      <c r="DQ128" s="1760"/>
      <c r="DR128" s="1760"/>
      <c r="DS128" s="1453"/>
      <c r="DT128" s="1453"/>
      <c r="DU128" s="1760"/>
      <c r="DV128" s="1760"/>
      <c r="DW128" s="1760"/>
      <c r="DX128" s="1760"/>
      <c r="DY128" s="1760"/>
      <c r="DZ128" s="1760"/>
      <c r="EA128" s="1760"/>
      <c r="EB128" s="1760"/>
      <c r="EC128" s="1760"/>
      <c r="ED128" s="1760"/>
      <c r="EE128" s="1760"/>
      <c r="EF128" s="1760"/>
      <c r="EG128" s="1760"/>
      <c r="EH128" s="1760"/>
      <c r="EI128" s="1760"/>
      <c r="EJ128" s="1760"/>
      <c r="EK128" s="1760"/>
      <c r="EL128" s="1760"/>
      <c r="EM128" s="1760"/>
      <c r="EN128" s="1760"/>
      <c r="EO128" s="1760"/>
      <c r="EP128" s="1760"/>
      <c r="EQ128" s="1760"/>
      <c r="ER128" s="1760"/>
      <c r="ES128" s="1760"/>
      <c r="ET128" s="1760"/>
      <c r="EU128" s="1760"/>
      <c r="EV128" s="1760"/>
      <c r="EW128" s="1760"/>
      <c r="EX128" s="1760"/>
      <c r="EY128" s="1760"/>
      <c r="EZ128" s="1760"/>
      <c r="FA128" s="1760"/>
      <c r="FB128" s="1760"/>
      <c r="FC128" s="1760"/>
      <c r="FD128" s="1760"/>
      <c r="FE128" s="1760"/>
      <c r="FF128" s="1760"/>
      <c r="FG128" s="1760"/>
      <c r="FH128" s="1760"/>
      <c r="FI128" s="1760"/>
      <c r="FJ128" s="1760"/>
      <c r="FK128" s="1760"/>
      <c r="FL128" s="1760"/>
      <c r="FM128" s="1760"/>
      <c r="FN128" s="1760"/>
      <c r="FO128" s="1760"/>
      <c r="FP128" s="1760"/>
      <c r="FQ128" s="1760"/>
      <c r="FR128" s="1760"/>
      <c r="FS128" s="1760"/>
      <c r="FT128" s="1453"/>
      <c r="FU128" s="1453"/>
      <c r="FV128" s="1453"/>
      <c r="FW128" s="1760"/>
      <c r="FX128" s="1760"/>
      <c r="FY128" s="1760"/>
      <c r="FZ128" s="1760"/>
      <c r="GA128" s="1760"/>
      <c r="GB128" s="1760"/>
      <c r="GC128" s="1760"/>
      <c r="GD128" s="1760"/>
      <c r="GE128" s="1760"/>
      <c r="GF128" s="1760"/>
      <c r="GG128" s="1760"/>
      <c r="GH128" s="1760"/>
      <c r="GI128" s="1760"/>
      <c r="GJ128" s="1760"/>
      <c r="GK128" s="1760"/>
      <c r="GL128" s="1760"/>
      <c r="GM128" s="1760"/>
      <c r="GN128" s="1760"/>
      <c r="GO128" s="1760"/>
      <c r="GP128" s="1760"/>
      <c r="GQ128" s="1760"/>
      <c r="GR128" s="1760"/>
      <c r="GS128" s="1760"/>
      <c r="GT128" s="1760"/>
      <c r="GU128" s="1760"/>
      <c r="GV128" s="1760"/>
      <c r="GW128" s="1760"/>
      <c r="GX128" s="1760"/>
      <c r="GY128" s="1760"/>
      <c r="GZ128" s="1760"/>
      <c r="HA128" s="1453"/>
      <c r="HB128" s="1760"/>
      <c r="HC128" s="1760"/>
      <c r="HD128" s="1453"/>
      <c r="HE128" s="1760"/>
      <c r="HF128" s="1453"/>
      <c r="HG128" s="1453"/>
      <c r="HH128" s="1760"/>
      <c r="HI128" s="1453"/>
      <c r="HJ128" s="1453"/>
      <c r="HK128" s="1469"/>
      <c r="HL128" s="1469"/>
      <c r="HM128" s="1453"/>
      <c r="HN128" s="1453"/>
      <c r="HO128" s="1760"/>
      <c r="HP128" s="1453"/>
      <c r="HQ128" s="1760"/>
      <c r="HR128" s="1760"/>
      <c r="HS128" s="1760"/>
      <c r="HT128" s="1760"/>
      <c r="HU128" s="1453"/>
      <c r="HV128" s="1760"/>
      <c r="HW128" s="1760"/>
      <c r="HX128" s="1760"/>
      <c r="HY128" s="1760"/>
      <c r="HZ128" s="1760"/>
      <c r="IA128" s="1760"/>
      <c r="IB128" s="1760"/>
      <c r="IC128" s="1760"/>
      <c r="ID128" s="1760"/>
      <c r="IE128" s="1760"/>
      <c r="IF128" s="1760"/>
      <c r="IG128" s="1760"/>
      <c r="IH128" s="1760"/>
      <c r="II128" s="1760"/>
      <c r="IJ128" s="1760"/>
      <c r="IK128" s="1760"/>
      <c r="IL128" s="1760"/>
      <c r="IM128" s="1760"/>
      <c r="IN128" s="1760"/>
      <c r="IO128" s="1760"/>
      <c r="IP128" s="1760"/>
      <c r="IQ128" s="1760"/>
      <c r="IR128" s="1760"/>
      <c r="IS128" s="1760"/>
      <c r="IT128" s="1760"/>
      <c r="IU128" s="1760"/>
      <c r="IV128" s="1760"/>
      <c r="IW128" s="1760"/>
      <c r="IX128" s="1760"/>
      <c r="IY128" s="1760"/>
      <c r="IZ128" s="1760"/>
      <c r="JA128" s="1760"/>
      <c r="JB128" s="1760"/>
      <c r="JC128" s="1760"/>
      <c r="JD128" s="1760"/>
      <c r="JE128" s="1760"/>
      <c r="JF128" s="1760"/>
      <c r="JG128" s="1760"/>
      <c r="JH128" s="1760"/>
      <c r="JI128" s="1760"/>
      <c r="JJ128" s="1760"/>
      <c r="JK128" s="1760"/>
      <c r="JL128" s="1760"/>
      <c r="JM128" s="1760"/>
      <c r="JN128" s="1760"/>
      <c r="JO128" s="1760"/>
      <c r="JP128" s="1760"/>
      <c r="JQ128" s="1761"/>
      <c r="JR128" s="312"/>
      <c r="JS128" s="1058" t="s">
        <v>4510</v>
      </c>
      <c r="JT128" s="1060" t="s">
        <v>2242</v>
      </c>
    </row>
    <row r="129" spans="1:280" ht="10.5" customHeight="1" x14ac:dyDescent="0.25">
      <c r="A129" s="1367">
        <v>42</v>
      </c>
      <c r="B129" s="1411" t="str">
        <f t="shared" si="13"/>
        <v/>
      </c>
      <c r="C129" s="1759" t="s">
        <v>4511</v>
      </c>
      <c r="D129" s="1729" t="s">
        <v>4512</v>
      </c>
      <c r="E129" s="2600"/>
      <c r="F129" s="2600"/>
      <c r="G129" s="2600"/>
      <c r="H129" s="2600"/>
      <c r="I129" s="1453"/>
      <c r="J129" s="1760"/>
      <c r="K129" s="1453"/>
      <c r="L129" s="1760"/>
      <c r="M129" s="1453"/>
      <c r="N129" s="1453"/>
      <c r="O129" s="1760"/>
      <c r="P129" s="1760"/>
      <c r="Q129" s="1760"/>
      <c r="R129" s="1760"/>
      <c r="S129" s="1760"/>
      <c r="T129" s="1760"/>
      <c r="U129" s="1760"/>
      <c r="V129" s="1760"/>
      <c r="W129" s="1760"/>
      <c r="X129" s="1760"/>
      <c r="Y129" s="1760"/>
      <c r="Z129" s="1760"/>
      <c r="AA129" s="1760"/>
      <c r="AB129" s="1760"/>
      <c r="AC129" s="1760"/>
      <c r="AD129" s="1760"/>
      <c r="AE129" s="1760"/>
      <c r="AF129" s="1760"/>
      <c r="AG129" s="1760"/>
      <c r="AH129" s="1760"/>
      <c r="AI129" s="1760"/>
      <c r="AJ129" s="1760"/>
      <c r="AK129" s="1760"/>
      <c r="AL129" s="1760"/>
      <c r="AM129" s="1760"/>
      <c r="AN129" s="1760"/>
      <c r="AO129" s="1760"/>
      <c r="AP129" s="1760"/>
      <c r="AQ129" s="1760"/>
      <c r="AR129" s="1760"/>
      <c r="AS129" s="1760"/>
      <c r="AT129" s="1760"/>
      <c r="AU129" s="1760"/>
      <c r="AV129" s="1760"/>
      <c r="AW129" s="1760"/>
      <c r="AX129" s="1453"/>
      <c r="AY129" s="1453"/>
      <c r="AZ129" s="1453"/>
      <c r="BA129" s="1760"/>
      <c r="BB129" s="1760"/>
      <c r="BC129" s="1760"/>
      <c r="BD129" s="1760"/>
      <c r="BE129" s="1760"/>
      <c r="BF129" s="1760"/>
      <c r="BG129" s="1760"/>
      <c r="BH129" s="1760"/>
      <c r="BI129" s="1760"/>
      <c r="BJ129" s="1760"/>
      <c r="BK129" s="1760"/>
      <c r="BL129" s="1760"/>
      <c r="BM129" s="1760"/>
      <c r="BN129" s="1760"/>
      <c r="BO129" s="1760"/>
      <c r="BP129" s="1760"/>
      <c r="BQ129" s="1760"/>
      <c r="BR129" s="1760"/>
      <c r="BS129" s="1760"/>
      <c r="BT129" s="1760"/>
      <c r="BU129" s="1760"/>
      <c r="BV129" s="1760"/>
      <c r="BW129" s="1760"/>
      <c r="BX129" s="1760"/>
      <c r="BY129" s="1760"/>
      <c r="BZ129" s="1760"/>
      <c r="CA129" s="1760"/>
      <c r="CB129" s="1760"/>
      <c r="CC129" s="1760"/>
      <c r="CD129" s="1760"/>
      <c r="CE129" s="1760"/>
      <c r="CF129" s="1760"/>
      <c r="CG129" s="1760"/>
      <c r="CH129" s="1760"/>
      <c r="CI129" s="1760"/>
      <c r="CJ129" s="1453"/>
      <c r="CK129" s="1760"/>
      <c r="CL129" s="1760"/>
      <c r="CM129" s="1760"/>
      <c r="CN129" s="1760"/>
      <c r="CO129" s="1760"/>
      <c r="CP129" s="1760"/>
      <c r="CQ129" s="1760"/>
      <c r="CR129" s="1760"/>
      <c r="CS129" s="1760"/>
      <c r="CT129" s="1760"/>
      <c r="CU129" s="1760"/>
      <c r="CV129" s="1760"/>
      <c r="CW129" s="1760"/>
      <c r="CX129" s="1760"/>
      <c r="CY129" s="1760"/>
      <c r="CZ129" s="1760"/>
      <c r="DA129" s="1760"/>
      <c r="DB129" s="1760"/>
      <c r="DC129" s="1760"/>
      <c r="DD129" s="1760"/>
      <c r="DE129" s="1760"/>
      <c r="DF129" s="1760"/>
      <c r="DG129" s="1760"/>
      <c r="DH129" s="1760"/>
      <c r="DI129" s="1760"/>
      <c r="DJ129" s="1760"/>
      <c r="DK129" s="1760"/>
      <c r="DL129" s="1760"/>
      <c r="DM129" s="1760"/>
      <c r="DN129" s="1760"/>
      <c r="DO129" s="1760"/>
      <c r="DP129" s="1760"/>
      <c r="DQ129" s="1760"/>
      <c r="DR129" s="1760"/>
      <c r="DS129" s="1453"/>
      <c r="DT129" s="1453"/>
      <c r="DU129" s="1760"/>
      <c r="DV129" s="1760"/>
      <c r="DW129" s="1760"/>
      <c r="DX129" s="1760"/>
      <c r="DY129" s="1760"/>
      <c r="DZ129" s="1760"/>
      <c r="EA129" s="1760"/>
      <c r="EB129" s="1760"/>
      <c r="EC129" s="1760"/>
      <c r="ED129" s="1760"/>
      <c r="EE129" s="1760"/>
      <c r="EF129" s="1760"/>
      <c r="EG129" s="1760"/>
      <c r="EH129" s="1760"/>
      <c r="EI129" s="1760"/>
      <c r="EJ129" s="1760"/>
      <c r="EK129" s="1760"/>
      <c r="EL129" s="1760"/>
      <c r="EM129" s="1760"/>
      <c r="EN129" s="1760"/>
      <c r="EO129" s="1760"/>
      <c r="EP129" s="1760"/>
      <c r="EQ129" s="1760"/>
      <c r="ER129" s="1760"/>
      <c r="ES129" s="1760"/>
      <c r="ET129" s="1760"/>
      <c r="EU129" s="1760"/>
      <c r="EV129" s="1760"/>
      <c r="EW129" s="1760"/>
      <c r="EX129" s="1760"/>
      <c r="EY129" s="1760"/>
      <c r="EZ129" s="1760"/>
      <c r="FA129" s="1760"/>
      <c r="FB129" s="1760"/>
      <c r="FC129" s="1760"/>
      <c r="FD129" s="1760"/>
      <c r="FE129" s="1760"/>
      <c r="FF129" s="1760"/>
      <c r="FG129" s="1760"/>
      <c r="FH129" s="1760"/>
      <c r="FI129" s="1760"/>
      <c r="FJ129" s="1760"/>
      <c r="FK129" s="1760"/>
      <c r="FL129" s="1760"/>
      <c r="FM129" s="1760"/>
      <c r="FN129" s="1760"/>
      <c r="FO129" s="1760"/>
      <c r="FP129" s="1760"/>
      <c r="FQ129" s="1760"/>
      <c r="FR129" s="1760"/>
      <c r="FS129" s="1760"/>
      <c r="FT129" s="1453"/>
      <c r="FU129" s="1453"/>
      <c r="FV129" s="1453"/>
      <c r="FW129" s="1760"/>
      <c r="FX129" s="1760"/>
      <c r="FY129" s="1760"/>
      <c r="FZ129" s="1760"/>
      <c r="GA129" s="1760"/>
      <c r="GB129" s="1760"/>
      <c r="GC129" s="1760"/>
      <c r="GD129" s="1760"/>
      <c r="GE129" s="1760"/>
      <c r="GF129" s="1760"/>
      <c r="GG129" s="1760"/>
      <c r="GH129" s="1760"/>
      <c r="GI129" s="1760"/>
      <c r="GJ129" s="1760"/>
      <c r="GK129" s="1760"/>
      <c r="GL129" s="1760"/>
      <c r="GM129" s="1760"/>
      <c r="GN129" s="1760"/>
      <c r="GO129" s="1760"/>
      <c r="GP129" s="1760"/>
      <c r="GQ129" s="1760"/>
      <c r="GR129" s="1760"/>
      <c r="GS129" s="1760"/>
      <c r="GT129" s="1760"/>
      <c r="GU129" s="1760"/>
      <c r="GV129" s="1760"/>
      <c r="GW129" s="1760"/>
      <c r="GX129" s="1760"/>
      <c r="GY129" s="1760"/>
      <c r="GZ129" s="1760"/>
      <c r="HA129" s="1453"/>
      <c r="HB129" s="1760"/>
      <c r="HC129" s="1760"/>
      <c r="HD129" s="1453"/>
      <c r="HE129" s="1760"/>
      <c r="HF129" s="1453"/>
      <c r="HG129" s="1453"/>
      <c r="HH129" s="1760"/>
      <c r="HI129" s="1453"/>
      <c r="HJ129" s="1453"/>
      <c r="HK129" s="1453"/>
      <c r="HL129" s="1469"/>
      <c r="HM129" s="1453"/>
      <c r="HN129" s="1453"/>
      <c r="HO129" s="1760"/>
      <c r="HP129" s="1453"/>
      <c r="HQ129" s="1760"/>
      <c r="HR129" s="1760"/>
      <c r="HS129" s="1760"/>
      <c r="HT129" s="1760"/>
      <c r="HU129" s="1453"/>
      <c r="HV129" s="1760"/>
      <c r="HW129" s="1760"/>
      <c r="HX129" s="1760"/>
      <c r="HY129" s="1760"/>
      <c r="HZ129" s="1760"/>
      <c r="IA129" s="1760"/>
      <c r="IB129" s="1760"/>
      <c r="IC129" s="1760"/>
      <c r="ID129" s="1760"/>
      <c r="IE129" s="1760"/>
      <c r="IF129" s="1760"/>
      <c r="IG129" s="1760"/>
      <c r="IH129" s="1760"/>
      <c r="II129" s="1760"/>
      <c r="IJ129" s="1760"/>
      <c r="IK129" s="1760"/>
      <c r="IL129" s="1760"/>
      <c r="IM129" s="1760"/>
      <c r="IN129" s="1760"/>
      <c r="IO129" s="1760"/>
      <c r="IP129" s="1760"/>
      <c r="IQ129" s="1760"/>
      <c r="IR129" s="1760"/>
      <c r="IS129" s="1760"/>
      <c r="IT129" s="1760"/>
      <c r="IU129" s="1760"/>
      <c r="IV129" s="1760"/>
      <c r="IW129" s="1760"/>
      <c r="IX129" s="1760"/>
      <c r="IY129" s="1760"/>
      <c r="IZ129" s="1760"/>
      <c r="JA129" s="1760"/>
      <c r="JB129" s="1760"/>
      <c r="JC129" s="1760"/>
      <c r="JD129" s="1760"/>
      <c r="JE129" s="1760"/>
      <c r="JF129" s="1760"/>
      <c r="JG129" s="1760"/>
      <c r="JH129" s="1760"/>
      <c r="JI129" s="1760"/>
      <c r="JJ129" s="1760"/>
      <c r="JK129" s="1760"/>
      <c r="JL129" s="1760"/>
      <c r="JM129" s="1760"/>
      <c r="JN129" s="1760"/>
      <c r="JO129" s="1760"/>
      <c r="JP129" s="1760"/>
      <c r="JQ129" s="1761"/>
      <c r="JR129" s="312"/>
      <c r="JS129" s="1058" t="s">
        <v>4513</v>
      </c>
      <c r="JT129" s="1060" t="s">
        <v>2224</v>
      </c>
    </row>
    <row r="130" spans="1:280" ht="10.5" customHeight="1" x14ac:dyDescent="0.25">
      <c r="A130" s="1367">
        <v>43</v>
      </c>
      <c r="B130" s="1411" t="str">
        <f t="shared" si="13"/>
        <v/>
      </c>
      <c r="C130" s="1728" t="s">
        <v>4514</v>
      </c>
      <c r="D130" s="1443" t="str">
        <f>"If you have remitted nominated income or gains during "&amp;tax_year&amp;", put ‘X’ in the box unless what you have remitted is within the £10 aggregate limit"</f>
        <v>If you have remitted nominated income or gains during 2025-26, put ‘X’ in the box unless what you have remitted is within the £10 aggregate limit</v>
      </c>
      <c r="E130" s="1381"/>
      <c r="F130" s="1381"/>
      <c r="G130" s="1381"/>
      <c r="H130" s="1381"/>
      <c r="I130" s="1381"/>
      <c r="J130" s="1414"/>
      <c r="K130" s="1381"/>
      <c r="L130" s="1414"/>
      <c r="M130" s="1381"/>
      <c r="N130" s="1381"/>
      <c r="O130" s="1414"/>
      <c r="P130" s="1414"/>
      <c r="Q130" s="1414"/>
      <c r="R130" s="1414"/>
      <c r="S130" s="1414"/>
      <c r="T130" s="1414"/>
      <c r="U130" s="1414"/>
      <c r="V130" s="1414"/>
      <c r="W130" s="1414"/>
      <c r="X130" s="1414"/>
      <c r="Y130" s="1414"/>
      <c r="Z130" s="1414"/>
      <c r="AA130" s="1414"/>
      <c r="AB130" s="1414"/>
      <c r="AC130" s="1414"/>
      <c r="AD130" s="1414"/>
      <c r="AE130" s="1414"/>
      <c r="AF130" s="1414"/>
      <c r="AG130" s="1414"/>
      <c r="AH130" s="1414"/>
      <c r="AI130" s="1414"/>
      <c r="AJ130" s="1414"/>
      <c r="AK130" s="1414"/>
      <c r="AL130" s="1414"/>
      <c r="AM130" s="1414"/>
      <c r="AN130" s="1414"/>
      <c r="AO130" s="1414"/>
      <c r="AP130" s="1414"/>
      <c r="AQ130" s="1414"/>
      <c r="AR130" s="1414"/>
      <c r="AS130" s="1414"/>
      <c r="AT130" s="1414"/>
      <c r="AU130" s="1414"/>
      <c r="AV130" s="1414"/>
      <c r="AW130" s="1414"/>
      <c r="AX130" s="1382"/>
      <c r="AY130" s="1382"/>
      <c r="AZ130" s="1382"/>
      <c r="BA130" s="1414"/>
      <c r="BB130" s="1414"/>
      <c r="BC130" s="1414"/>
      <c r="BD130" s="1414"/>
      <c r="BE130" s="1414"/>
      <c r="BF130" s="1414"/>
      <c r="BG130" s="1414"/>
      <c r="BH130" s="1414"/>
      <c r="BI130" s="1414"/>
      <c r="BJ130" s="1414"/>
      <c r="BK130" s="1414"/>
      <c r="BL130" s="1414"/>
      <c r="BM130" s="1414"/>
      <c r="BN130" s="1414"/>
      <c r="BO130" s="1414"/>
      <c r="BP130" s="1414"/>
      <c r="BQ130" s="1414"/>
      <c r="BR130" s="1414"/>
      <c r="BS130" s="1414"/>
      <c r="BT130" s="1414"/>
      <c r="BU130" s="1414"/>
      <c r="BV130" s="1414"/>
      <c r="BW130" s="1414"/>
      <c r="BX130" s="1414"/>
      <c r="BY130" s="1414"/>
      <c r="BZ130" s="1414"/>
      <c r="CA130" s="1414"/>
      <c r="CB130" s="1414"/>
      <c r="CC130" s="1414"/>
      <c r="CD130" s="1414"/>
      <c r="CE130" s="1414"/>
      <c r="CF130" s="1414"/>
      <c r="CG130" s="1414"/>
      <c r="CH130" s="1414"/>
      <c r="CI130" s="1414"/>
      <c r="CJ130" s="1382"/>
      <c r="CK130" s="1414"/>
      <c r="CL130" s="1414"/>
      <c r="CM130" s="1414"/>
      <c r="CN130" s="1414"/>
      <c r="CO130" s="1414"/>
      <c r="CP130" s="1414"/>
      <c r="CQ130" s="1414"/>
      <c r="CR130" s="1414"/>
      <c r="CS130" s="1414"/>
      <c r="CT130" s="1414"/>
      <c r="CU130" s="1414"/>
      <c r="CV130" s="1414"/>
      <c r="CW130" s="1414"/>
      <c r="CX130" s="1414"/>
      <c r="CY130" s="1414"/>
      <c r="CZ130" s="1414"/>
      <c r="DA130" s="1414"/>
      <c r="DB130" s="1414"/>
      <c r="DC130" s="1414"/>
      <c r="DD130" s="1414"/>
      <c r="DE130" s="1414"/>
      <c r="DF130" s="1414"/>
      <c r="DG130" s="1414"/>
      <c r="DH130" s="1414"/>
      <c r="DI130" s="1414"/>
      <c r="DJ130" s="1414"/>
      <c r="DK130" s="1414"/>
      <c r="DL130" s="1414"/>
      <c r="DM130" s="1414"/>
      <c r="DN130" s="1414"/>
      <c r="DO130" s="1414"/>
      <c r="DP130" s="1414"/>
      <c r="DQ130" s="1414"/>
      <c r="DR130" s="1414"/>
      <c r="DS130" s="1382"/>
      <c r="DT130" s="1382"/>
      <c r="DU130" s="1414"/>
      <c r="DV130" s="1414"/>
      <c r="DW130" s="1414"/>
      <c r="DX130" s="1414"/>
      <c r="DY130" s="1414"/>
      <c r="DZ130" s="1414"/>
      <c r="EA130" s="1414"/>
      <c r="EB130" s="1414"/>
      <c r="EC130" s="1414"/>
      <c r="ED130" s="1414"/>
      <c r="EE130" s="1414"/>
      <c r="EF130" s="1414"/>
      <c r="EG130" s="1414"/>
      <c r="EH130" s="1414"/>
      <c r="EI130" s="1414"/>
      <c r="EJ130" s="1414"/>
      <c r="EK130" s="1414"/>
      <c r="EL130" s="1414"/>
      <c r="EM130" s="1414"/>
      <c r="EN130" s="1414"/>
      <c r="EO130" s="1414"/>
      <c r="EP130" s="1414"/>
      <c r="EQ130" s="1414"/>
      <c r="ER130" s="1414"/>
      <c r="ES130" s="1414"/>
      <c r="ET130" s="1414"/>
      <c r="EU130" s="1414"/>
      <c r="EV130" s="1414"/>
      <c r="EW130" s="1414"/>
      <c r="EX130" s="1414"/>
      <c r="EY130" s="1414"/>
      <c r="EZ130" s="1414"/>
      <c r="FA130" s="1414"/>
      <c r="FB130" s="1414"/>
      <c r="FC130" s="1414"/>
      <c r="FD130" s="1414"/>
      <c r="FE130" s="1414"/>
      <c r="FF130" s="1414"/>
      <c r="FG130" s="1414"/>
      <c r="FH130" s="1414"/>
      <c r="FI130" s="1414"/>
      <c r="FJ130" s="1414"/>
      <c r="FK130" s="1414"/>
      <c r="FL130" s="1414"/>
      <c r="FM130" s="1414"/>
      <c r="FN130" s="1414"/>
      <c r="FO130" s="1414"/>
      <c r="FP130" s="1414"/>
      <c r="FQ130" s="1414"/>
      <c r="FR130" s="1414"/>
      <c r="FS130" s="1414"/>
      <c r="FT130" s="1382"/>
      <c r="FU130" s="1382"/>
      <c r="FV130" s="1382"/>
      <c r="FW130" s="1414"/>
      <c r="FX130" s="1414"/>
      <c r="FY130" s="1414"/>
      <c r="FZ130" s="1414"/>
      <c r="GA130" s="1414"/>
      <c r="GB130" s="1414"/>
      <c r="GC130" s="1414"/>
      <c r="GD130" s="1414"/>
      <c r="GE130" s="1414"/>
      <c r="GF130" s="1414"/>
      <c r="GG130" s="1414"/>
      <c r="GH130" s="1414"/>
      <c r="GI130" s="1414"/>
      <c r="GJ130" s="1414"/>
      <c r="GK130" s="1414"/>
      <c r="GL130" s="1414"/>
      <c r="GM130" s="1414"/>
      <c r="GN130" s="1414"/>
      <c r="GO130" s="1414"/>
      <c r="GP130" s="1414"/>
      <c r="GQ130" s="1414"/>
      <c r="GR130" s="1414"/>
      <c r="GS130" s="1414"/>
      <c r="GT130" s="1414"/>
      <c r="GU130" s="1414"/>
      <c r="GV130" s="1414"/>
      <c r="GW130" s="1414"/>
      <c r="GX130" s="1414"/>
      <c r="GY130" s="1414"/>
      <c r="GZ130" s="1414"/>
      <c r="HA130" s="1382"/>
      <c r="HB130" s="1414"/>
      <c r="HC130" s="1414"/>
      <c r="HD130" s="1382"/>
      <c r="HE130" s="1414"/>
      <c r="HF130" s="1382"/>
      <c r="HG130" s="1382"/>
      <c r="HH130" s="1414"/>
      <c r="HI130" s="1382"/>
      <c r="HJ130" s="1382"/>
      <c r="HK130" s="1382"/>
      <c r="HL130" s="1382"/>
      <c r="HM130" s="1381"/>
      <c r="HN130" s="1381"/>
      <c r="HO130" s="1414"/>
      <c r="HP130" s="1381"/>
      <c r="HQ130" s="1414"/>
      <c r="HR130" s="1414"/>
      <c r="HS130" s="1414"/>
      <c r="HT130" s="1414"/>
      <c r="HU130" s="1381"/>
      <c r="HV130" s="1414"/>
      <c r="HW130" s="1414"/>
      <c r="HX130" s="1414"/>
      <c r="HY130" s="1414"/>
      <c r="HZ130" s="1414"/>
      <c r="IA130" s="1414"/>
      <c r="IB130" s="1414"/>
      <c r="IC130" s="1414"/>
      <c r="ID130" s="1414"/>
      <c r="IE130" s="1414"/>
      <c r="IF130" s="1414"/>
      <c r="IG130" s="1414"/>
      <c r="IH130" s="1414"/>
      <c r="II130" s="1414"/>
      <c r="IJ130" s="1414"/>
      <c r="IK130" s="1414"/>
      <c r="IL130" s="1414"/>
      <c r="IM130" s="1414"/>
      <c r="IN130" s="1414"/>
      <c r="IO130" s="1414"/>
      <c r="IP130" s="1414"/>
      <c r="IQ130" s="1414"/>
      <c r="IR130" s="1414"/>
      <c r="IS130" s="1414"/>
      <c r="IT130" s="1414"/>
      <c r="IU130" s="1414"/>
      <c r="IV130" s="1414"/>
      <c r="IW130" s="1414"/>
      <c r="IX130" s="1414"/>
      <c r="IY130" s="1414"/>
      <c r="IZ130" s="1414"/>
      <c r="JA130" s="1414"/>
      <c r="JB130" s="1414"/>
      <c r="JC130" s="1414"/>
      <c r="JD130" s="1414"/>
      <c r="JE130" s="1414"/>
      <c r="JF130" s="1414"/>
      <c r="JG130" s="1414"/>
      <c r="JH130" s="1414"/>
      <c r="JI130" s="1414"/>
      <c r="JJ130" s="1414"/>
      <c r="JK130" s="1414"/>
      <c r="JL130" s="1414"/>
      <c r="JM130" s="1414"/>
      <c r="JN130" s="1414"/>
      <c r="JO130" s="1414"/>
      <c r="JP130" s="1414"/>
      <c r="JQ130" s="1415"/>
      <c r="JR130" s="312"/>
      <c r="JS130" s="315"/>
      <c r="JT130" s="357" t="s">
        <v>2319</v>
      </c>
    </row>
    <row r="131" spans="1:280" ht="10.5" customHeight="1" x14ac:dyDescent="0.25">
      <c r="A131" s="1367">
        <v>44</v>
      </c>
      <c r="B131" s="1411" t="str">
        <f t="shared" si="13"/>
        <v/>
      </c>
      <c r="C131" s="1728" t="s">
        <v>4515</v>
      </c>
      <c r="D131" s="1443" t="s">
        <v>4516</v>
      </c>
      <c r="E131" s="1453"/>
      <c r="F131" s="1453"/>
      <c r="G131" s="1453"/>
      <c r="H131" s="1453"/>
      <c r="I131" s="1453"/>
      <c r="J131" s="1760"/>
      <c r="K131" s="1453"/>
      <c r="L131" s="1760"/>
      <c r="M131" s="1453"/>
      <c r="N131" s="1453"/>
      <c r="O131" s="1760"/>
      <c r="P131" s="1760"/>
      <c r="Q131" s="1760"/>
      <c r="R131" s="1760"/>
      <c r="S131" s="1760"/>
      <c r="T131" s="1760"/>
      <c r="U131" s="1760"/>
      <c r="V131" s="1760"/>
      <c r="W131" s="1760"/>
      <c r="X131" s="1760"/>
      <c r="Y131" s="1760"/>
      <c r="Z131" s="1760"/>
      <c r="AA131" s="1760"/>
      <c r="AB131" s="1760"/>
      <c r="AC131" s="1760"/>
      <c r="AD131" s="1760"/>
      <c r="AE131" s="1760"/>
      <c r="AF131" s="1760"/>
      <c r="AG131" s="1760"/>
      <c r="AH131" s="1760"/>
      <c r="AI131" s="1760"/>
      <c r="AJ131" s="1760"/>
      <c r="AK131" s="1760"/>
      <c r="AL131" s="1760"/>
      <c r="AM131" s="1760"/>
      <c r="AN131" s="1760"/>
      <c r="AO131" s="1760"/>
      <c r="AP131" s="1760"/>
      <c r="AQ131" s="1760"/>
      <c r="AR131" s="1760"/>
      <c r="AS131" s="1760"/>
      <c r="AT131" s="1760"/>
      <c r="AU131" s="1760"/>
      <c r="AV131" s="1760"/>
      <c r="AW131" s="1760"/>
      <c r="AX131" s="1453"/>
      <c r="AY131" s="1453"/>
      <c r="AZ131" s="1453"/>
      <c r="BA131" s="1760"/>
      <c r="BB131" s="1760"/>
      <c r="BC131" s="1760"/>
      <c r="BD131" s="1760"/>
      <c r="BE131" s="1760"/>
      <c r="BF131" s="1760"/>
      <c r="BG131" s="1760"/>
      <c r="BH131" s="1760"/>
      <c r="BI131" s="1760"/>
      <c r="BJ131" s="1760"/>
      <c r="BK131" s="1760"/>
      <c r="BL131" s="1760"/>
      <c r="BM131" s="1760"/>
      <c r="BN131" s="1760"/>
      <c r="BO131" s="1760"/>
      <c r="BP131" s="1760"/>
      <c r="BQ131" s="1760"/>
      <c r="BR131" s="1760"/>
      <c r="BS131" s="1760"/>
      <c r="BT131" s="1760"/>
      <c r="BU131" s="1760"/>
      <c r="BV131" s="1760"/>
      <c r="BW131" s="1760"/>
      <c r="BX131" s="1760"/>
      <c r="BY131" s="1760"/>
      <c r="BZ131" s="1760"/>
      <c r="CA131" s="1760"/>
      <c r="CB131" s="1760"/>
      <c r="CC131" s="1760"/>
      <c r="CD131" s="1760"/>
      <c r="CE131" s="1760"/>
      <c r="CF131" s="1760"/>
      <c r="CG131" s="1760"/>
      <c r="CH131" s="1760"/>
      <c r="CI131" s="1760"/>
      <c r="CJ131" s="1453"/>
      <c r="CK131" s="1760"/>
      <c r="CL131" s="1760"/>
      <c r="CM131" s="1760"/>
      <c r="CN131" s="1760"/>
      <c r="CO131" s="1760"/>
      <c r="CP131" s="1760"/>
      <c r="CQ131" s="1760"/>
      <c r="CR131" s="1760"/>
      <c r="CS131" s="1760"/>
      <c r="CT131" s="1760"/>
      <c r="CU131" s="1760"/>
      <c r="CV131" s="1760"/>
      <c r="CW131" s="1760"/>
      <c r="CX131" s="1760"/>
      <c r="CY131" s="1760"/>
      <c r="CZ131" s="1760"/>
      <c r="DA131" s="1760"/>
      <c r="DB131" s="1760"/>
      <c r="DC131" s="1760"/>
      <c r="DD131" s="1760"/>
      <c r="DE131" s="1760"/>
      <c r="DF131" s="1760"/>
      <c r="DG131" s="1760"/>
      <c r="DH131" s="1760"/>
      <c r="DI131" s="1760"/>
      <c r="DJ131" s="1760"/>
      <c r="DK131" s="1760"/>
      <c r="DL131" s="1760"/>
      <c r="DM131" s="1760"/>
      <c r="DN131" s="1760"/>
      <c r="DO131" s="1760"/>
      <c r="DP131" s="1760"/>
      <c r="DQ131" s="1760"/>
      <c r="DR131" s="1760"/>
      <c r="DS131" s="1453"/>
      <c r="DT131" s="1453"/>
      <c r="DU131" s="1760"/>
      <c r="DV131" s="1760"/>
      <c r="DW131" s="1760"/>
      <c r="DX131" s="1760"/>
      <c r="DY131" s="1760"/>
      <c r="DZ131" s="1760"/>
      <c r="EA131" s="1760"/>
      <c r="EB131" s="1760"/>
      <c r="EC131" s="1760"/>
      <c r="ED131" s="1760"/>
      <c r="EE131" s="1760"/>
      <c r="EF131" s="1760"/>
      <c r="EG131" s="1760"/>
      <c r="EH131" s="1760"/>
      <c r="EI131" s="1760"/>
      <c r="EJ131" s="1760"/>
      <c r="EK131" s="1760"/>
      <c r="EL131" s="1760"/>
      <c r="EM131" s="1760"/>
      <c r="EN131" s="1760"/>
      <c r="EO131" s="1760"/>
      <c r="EP131" s="1760"/>
      <c r="EQ131" s="1760"/>
      <c r="ER131" s="1760"/>
      <c r="ES131" s="1760"/>
      <c r="ET131" s="1760"/>
      <c r="EU131" s="1760"/>
      <c r="EV131" s="1760"/>
      <c r="EW131" s="1760"/>
      <c r="EX131" s="1760"/>
      <c r="EY131" s="1760"/>
      <c r="EZ131" s="1760"/>
      <c r="FA131" s="1760"/>
      <c r="FB131" s="1760"/>
      <c r="FC131" s="1760"/>
      <c r="FD131" s="1760"/>
      <c r="FE131" s="1760"/>
      <c r="FF131" s="1760"/>
      <c r="FG131" s="1760"/>
      <c r="FH131" s="1760"/>
      <c r="FI131" s="1760"/>
      <c r="FJ131" s="1760"/>
      <c r="FK131" s="1760"/>
      <c r="FL131" s="1760"/>
      <c r="FM131" s="1760"/>
      <c r="FN131" s="1760"/>
      <c r="FO131" s="1760"/>
      <c r="FP131" s="1760"/>
      <c r="FQ131" s="1760"/>
      <c r="FR131" s="1760"/>
      <c r="FS131" s="1760"/>
      <c r="FT131" s="1453"/>
      <c r="FU131" s="1453"/>
      <c r="FV131" s="1453"/>
      <c r="FW131" s="1760"/>
      <c r="FX131" s="1760"/>
      <c r="FY131" s="1760"/>
      <c r="FZ131" s="1760"/>
      <c r="GA131" s="1760"/>
      <c r="GB131" s="1760"/>
      <c r="GC131" s="1760"/>
      <c r="GD131" s="1760"/>
      <c r="GE131" s="1760"/>
      <c r="GF131" s="1760"/>
      <c r="GG131" s="1760"/>
      <c r="GH131" s="1760"/>
      <c r="GI131" s="1760"/>
      <c r="GJ131" s="1760"/>
      <c r="GK131" s="1760"/>
      <c r="GL131" s="1760"/>
      <c r="GM131" s="1760"/>
      <c r="GN131" s="1760"/>
      <c r="GO131" s="1760"/>
      <c r="GP131" s="1760"/>
      <c r="GQ131" s="1760"/>
      <c r="GR131" s="1760"/>
      <c r="GS131" s="1760"/>
      <c r="GT131" s="1760"/>
      <c r="GU131" s="1760"/>
      <c r="GV131" s="1760"/>
      <c r="GW131" s="1760"/>
      <c r="GX131" s="1760"/>
      <c r="GY131" s="1760"/>
      <c r="GZ131" s="1760"/>
      <c r="HA131" s="1453"/>
      <c r="HB131" s="1760"/>
      <c r="HC131" s="1760"/>
      <c r="HD131" s="1453"/>
      <c r="HE131" s="1760"/>
      <c r="HF131" s="1453"/>
      <c r="HG131" s="1453"/>
      <c r="HH131" s="1760"/>
      <c r="HI131" s="1453"/>
      <c r="HJ131" s="1453"/>
      <c r="HK131" s="1453"/>
      <c r="HL131" s="1453"/>
      <c r="HM131" s="1453"/>
      <c r="HN131" s="1453"/>
      <c r="HO131" s="1760"/>
      <c r="HP131" s="1453"/>
      <c r="HQ131" s="1760"/>
      <c r="HR131" s="1760"/>
      <c r="HS131" s="1760"/>
      <c r="HT131" s="1760"/>
      <c r="HU131" s="1453"/>
      <c r="HV131" s="1760"/>
      <c r="HW131" s="1760"/>
      <c r="HX131" s="1760"/>
      <c r="HY131" s="1760"/>
      <c r="HZ131" s="1760"/>
      <c r="IA131" s="1760"/>
      <c r="IB131" s="1760"/>
      <c r="IC131" s="1760"/>
      <c r="ID131" s="1760"/>
      <c r="IE131" s="1760"/>
      <c r="IF131" s="1760"/>
      <c r="IG131" s="1760"/>
      <c r="IH131" s="1760"/>
      <c r="II131" s="1760"/>
      <c r="IJ131" s="1760"/>
      <c r="IK131" s="1760"/>
      <c r="IL131" s="1760"/>
      <c r="IM131" s="1760"/>
      <c r="IN131" s="1760"/>
      <c r="IO131" s="1760"/>
      <c r="IP131" s="1760"/>
      <c r="IQ131" s="1760"/>
      <c r="IR131" s="1760"/>
      <c r="IS131" s="1760"/>
      <c r="IT131" s="1760"/>
      <c r="IU131" s="1760"/>
      <c r="IV131" s="1760"/>
      <c r="IW131" s="1760"/>
      <c r="IX131" s="1760"/>
      <c r="IY131" s="1760"/>
      <c r="IZ131" s="1760"/>
      <c r="JA131" s="1760"/>
      <c r="JB131" s="1760"/>
      <c r="JC131" s="1760"/>
      <c r="JD131" s="1760"/>
      <c r="JE131" s="1760"/>
      <c r="JF131" s="1760"/>
      <c r="JG131" s="1760"/>
      <c r="JH131" s="1760"/>
      <c r="JI131" s="1760"/>
      <c r="JJ131" s="1760"/>
      <c r="JK131" s="1760"/>
      <c r="JL131" s="1760"/>
      <c r="JM131" s="1760"/>
      <c r="JN131" s="1760"/>
      <c r="JO131" s="1760"/>
      <c r="JP131" s="1760"/>
      <c r="JQ131" s="1761"/>
      <c r="JR131" s="312"/>
      <c r="JS131" s="315"/>
      <c r="JT131" s="357" t="s">
        <v>2242</v>
      </c>
    </row>
    <row r="132" spans="1:280" ht="10.5" customHeight="1" x14ac:dyDescent="0.25">
      <c r="A132" s="1367">
        <v>45</v>
      </c>
      <c r="B132" s="1411" t="str">
        <f t="shared" si="13"/>
        <v/>
      </c>
      <c r="C132" s="1728" t="s">
        <v>4517</v>
      </c>
      <c r="D132" s="1443" t="s">
        <v>4518</v>
      </c>
      <c r="E132" s="1381"/>
      <c r="F132" s="1381"/>
      <c r="G132" s="1381"/>
      <c r="H132" s="1381"/>
      <c r="I132" s="1381"/>
      <c r="J132" s="1414"/>
      <c r="K132" s="1381"/>
      <c r="L132" s="1414"/>
      <c r="M132" s="1381"/>
      <c r="N132" s="1381"/>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381"/>
      <c r="AY132" s="1381"/>
      <c r="AZ132" s="1381"/>
      <c r="BA132" s="1414"/>
      <c r="BB132" s="1414"/>
      <c r="BC132" s="1414"/>
      <c r="BD132" s="1414"/>
      <c r="BE132" s="1414"/>
      <c r="BF132" s="1414"/>
      <c r="BG132" s="1414"/>
      <c r="BH132" s="1414"/>
      <c r="BI132" s="1414"/>
      <c r="BJ132" s="1414"/>
      <c r="BK132" s="1414"/>
      <c r="BL132" s="1414"/>
      <c r="BM132" s="1414"/>
      <c r="BN132" s="1414"/>
      <c r="BO132" s="1414"/>
      <c r="BP132" s="1414"/>
      <c r="BQ132" s="1414"/>
      <c r="BR132" s="1414"/>
      <c r="BS132" s="1414"/>
      <c r="BT132" s="1414"/>
      <c r="BU132" s="1414"/>
      <c r="BV132" s="1414"/>
      <c r="BW132" s="1414"/>
      <c r="BX132" s="1414"/>
      <c r="BY132" s="1414"/>
      <c r="BZ132" s="1414"/>
      <c r="CA132" s="1414"/>
      <c r="CB132" s="1414"/>
      <c r="CC132" s="1414"/>
      <c r="CD132" s="1414"/>
      <c r="CE132" s="1414"/>
      <c r="CF132" s="1414"/>
      <c r="CG132" s="1414"/>
      <c r="CH132" s="1414"/>
      <c r="CI132" s="1414"/>
      <c r="CJ132" s="1381"/>
      <c r="CK132" s="1414"/>
      <c r="CL132" s="1414"/>
      <c r="CM132" s="1414"/>
      <c r="CN132" s="1414"/>
      <c r="CO132" s="1414"/>
      <c r="CP132" s="1414"/>
      <c r="CQ132" s="1414"/>
      <c r="CR132" s="1414"/>
      <c r="CS132" s="1414"/>
      <c r="CT132" s="1414"/>
      <c r="CU132" s="1414"/>
      <c r="CV132" s="1414"/>
      <c r="CW132" s="1414"/>
      <c r="CX132" s="1414"/>
      <c r="CY132" s="1414"/>
      <c r="CZ132" s="1414"/>
      <c r="DA132" s="1414"/>
      <c r="DB132" s="1414"/>
      <c r="DC132" s="1414"/>
      <c r="DD132" s="1414"/>
      <c r="DE132" s="1414"/>
      <c r="DF132" s="1414"/>
      <c r="DG132" s="1414"/>
      <c r="DH132" s="1414"/>
      <c r="DI132" s="1414"/>
      <c r="DJ132" s="1414"/>
      <c r="DK132" s="1414"/>
      <c r="DL132" s="1414"/>
      <c r="DM132" s="1414"/>
      <c r="DN132" s="1414"/>
      <c r="DO132" s="1414"/>
      <c r="DP132" s="1414"/>
      <c r="DQ132" s="1414"/>
      <c r="DR132" s="1414"/>
      <c r="DS132" s="1381"/>
      <c r="DT132" s="1381"/>
      <c r="DU132" s="1414"/>
      <c r="DV132" s="1414"/>
      <c r="DW132" s="1414"/>
      <c r="DX132" s="1414"/>
      <c r="DY132" s="1414"/>
      <c r="DZ132" s="1414"/>
      <c r="EA132" s="1414"/>
      <c r="EB132" s="1414"/>
      <c r="EC132" s="1414"/>
      <c r="ED132" s="1414"/>
      <c r="EE132" s="1414"/>
      <c r="EF132" s="1414"/>
      <c r="EG132" s="1414"/>
      <c r="EH132" s="1414"/>
      <c r="EI132" s="1414"/>
      <c r="EJ132" s="1414"/>
      <c r="EK132" s="1414"/>
      <c r="EL132" s="1414"/>
      <c r="EM132" s="1414"/>
      <c r="EN132" s="1414"/>
      <c r="EO132" s="1414"/>
      <c r="EP132" s="1414"/>
      <c r="EQ132" s="1414"/>
      <c r="ER132" s="1414"/>
      <c r="ES132" s="1414"/>
      <c r="ET132" s="1414"/>
      <c r="EU132" s="1414"/>
      <c r="EV132" s="1414"/>
      <c r="EW132" s="1414"/>
      <c r="EX132" s="1414"/>
      <c r="EY132" s="1414"/>
      <c r="EZ132" s="1414"/>
      <c r="FA132" s="1414"/>
      <c r="FB132" s="1414"/>
      <c r="FC132" s="1414"/>
      <c r="FD132" s="1414"/>
      <c r="FE132" s="1414"/>
      <c r="FF132" s="1414"/>
      <c r="FG132" s="1414"/>
      <c r="FH132" s="1414"/>
      <c r="FI132" s="1414"/>
      <c r="FJ132" s="1414"/>
      <c r="FK132" s="1414"/>
      <c r="FL132" s="1414"/>
      <c r="FM132" s="1414"/>
      <c r="FN132" s="1414"/>
      <c r="FO132" s="1414"/>
      <c r="FP132" s="1414"/>
      <c r="FQ132" s="1414"/>
      <c r="FR132" s="1414"/>
      <c r="FS132" s="1414"/>
      <c r="FT132" s="1381"/>
      <c r="FU132" s="1381"/>
      <c r="FV132" s="1381"/>
      <c r="FW132" s="1414"/>
      <c r="FX132" s="1414"/>
      <c r="FY132" s="1414"/>
      <c r="FZ132" s="1414"/>
      <c r="GA132" s="1414"/>
      <c r="GB132" s="1414"/>
      <c r="GC132" s="1414"/>
      <c r="GD132" s="1414"/>
      <c r="GE132" s="1414"/>
      <c r="GF132" s="1414"/>
      <c r="GG132" s="1414"/>
      <c r="GH132" s="1414"/>
      <c r="GI132" s="1414"/>
      <c r="GJ132" s="1414"/>
      <c r="GK132" s="1414"/>
      <c r="GL132" s="1414"/>
      <c r="GM132" s="1414"/>
      <c r="GN132" s="1414"/>
      <c r="GO132" s="1414"/>
      <c r="GP132" s="1414"/>
      <c r="GQ132" s="1414"/>
      <c r="GR132" s="1414"/>
      <c r="GS132" s="1414"/>
      <c r="GT132" s="1414"/>
      <c r="GU132" s="1414"/>
      <c r="GV132" s="1414"/>
      <c r="GW132" s="1414"/>
      <c r="GX132" s="1414"/>
      <c r="GY132" s="1414"/>
      <c r="GZ132" s="1414"/>
      <c r="HA132" s="1381"/>
      <c r="HB132" s="1414"/>
      <c r="HC132" s="1414"/>
      <c r="HD132" s="1381"/>
      <c r="HE132" s="1414"/>
      <c r="HF132" s="1381"/>
      <c r="HG132" s="1381"/>
      <c r="HH132" s="1414"/>
      <c r="HI132" s="1381"/>
      <c r="HJ132" s="1381"/>
      <c r="HK132" s="1381"/>
      <c r="HL132" s="1381"/>
      <c r="HM132" s="1381"/>
      <c r="HN132" s="1381"/>
      <c r="HO132" s="1414"/>
      <c r="HP132" s="1381"/>
      <c r="HQ132" s="1414"/>
      <c r="HR132" s="1414"/>
      <c r="HS132" s="1414"/>
      <c r="HT132" s="1414"/>
      <c r="HU132" s="1381"/>
      <c r="HV132" s="1414"/>
      <c r="HW132" s="1414"/>
      <c r="HX132" s="1414"/>
      <c r="HY132" s="1414"/>
      <c r="HZ132" s="1414"/>
      <c r="IA132" s="1414"/>
      <c r="IB132" s="1414"/>
      <c r="IC132" s="1414"/>
      <c r="ID132" s="1414"/>
      <c r="IE132" s="1414"/>
      <c r="IF132" s="1414"/>
      <c r="IG132" s="1414"/>
      <c r="IH132" s="1414"/>
      <c r="II132" s="1414"/>
      <c r="IJ132" s="1414"/>
      <c r="IK132" s="1414"/>
      <c r="IL132" s="1414"/>
      <c r="IM132" s="1414"/>
      <c r="IN132" s="1414"/>
      <c r="IO132" s="1414"/>
      <c r="IP132" s="1414"/>
      <c r="IQ132" s="1414"/>
      <c r="IR132" s="1414"/>
      <c r="IS132" s="1414"/>
      <c r="IT132" s="1414"/>
      <c r="IU132" s="1414"/>
      <c r="IV132" s="1414"/>
      <c r="IW132" s="1414"/>
      <c r="IX132" s="1414"/>
      <c r="IY132" s="1414"/>
      <c r="IZ132" s="1414"/>
      <c r="JA132" s="1414"/>
      <c r="JB132" s="1414"/>
      <c r="JC132" s="1414"/>
      <c r="JD132" s="1414"/>
      <c r="JE132" s="1414"/>
      <c r="JF132" s="1414"/>
      <c r="JG132" s="1414"/>
      <c r="JH132" s="1414"/>
      <c r="JI132" s="1414"/>
      <c r="JJ132" s="1414"/>
      <c r="JK132" s="1414"/>
      <c r="JL132" s="1414"/>
      <c r="JM132" s="1414"/>
      <c r="JN132" s="1414"/>
      <c r="JO132" s="1414"/>
      <c r="JP132" s="1414"/>
      <c r="JQ132" s="1415"/>
      <c r="JR132" s="312"/>
      <c r="JS132" s="315"/>
      <c r="JT132" s="357" t="s">
        <v>2319</v>
      </c>
    </row>
    <row r="133" spans="1:280" ht="10.5" customHeight="1" x14ac:dyDescent="0.25">
      <c r="A133" s="1367">
        <v>46</v>
      </c>
      <c r="B133" s="1411" t="str">
        <f t="shared" si="13"/>
        <v/>
      </c>
      <c r="C133" s="2579" t="s">
        <v>4519</v>
      </c>
      <c r="D133" s="1743" t="s">
        <v>4520</v>
      </c>
      <c r="E133" s="1762"/>
      <c r="F133" s="1762"/>
      <c r="G133" s="1763"/>
      <c r="H133" s="1763"/>
      <c r="I133" s="1763"/>
      <c r="J133" s="1764"/>
      <c r="K133" s="1763"/>
      <c r="L133" s="1764"/>
      <c r="M133" s="1763"/>
      <c r="N133" s="1763"/>
      <c r="O133" s="1764"/>
      <c r="P133" s="1764"/>
      <c r="Q133" s="1764"/>
      <c r="R133" s="1764"/>
      <c r="S133" s="1764"/>
      <c r="T133" s="1764"/>
      <c r="U133" s="1764"/>
      <c r="V133" s="1764"/>
      <c r="W133" s="1764"/>
      <c r="X133" s="1764"/>
      <c r="Y133" s="1764"/>
      <c r="Z133" s="1764"/>
      <c r="AA133" s="1764"/>
      <c r="AB133" s="1764"/>
      <c r="AC133" s="1764"/>
      <c r="AD133" s="1764"/>
      <c r="AE133" s="1764"/>
      <c r="AF133" s="1764"/>
      <c r="AG133" s="1764"/>
      <c r="AH133" s="1764"/>
      <c r="AI133" s="1764"/>
      <c r="AJ133" s="1764"/>
      <c r="AK133" s="1764"/>
      <c r="AL133" s="1764"/>
      <c r="AM133" s="1764"/>
      <c r="AN133" s="1764"/>
      <c r="AO133" s="1764"/>
      <c r="AP133" s="1764"/>
      <c r="AQ133" s="1764"/>
      <c r="AR133" s="1764"/>
      <c r="AS133" s="1764"/>
      <c r="AT133" s="1764"/>
      <c r="AU133" s="1764"/>
      <c r="AV133" s="1764"/>
      <c r="AW133" s="1764"/>
      <c r="AX133" s="1763"/>
      <c r="AY133" s="1763"/>
      <c r="AZ133" s="1763"/>
      <c r="BA133" s="1764"/>
      <c r="BB133" s="1764"/>
      <c r="BC133" s="1764"/>
      <c r="BD133" s="1764"/>
      <c r="BE133" s="1764"/>
      <c r="BF133" s="1764"/>
      <c r="BG133" s="1764"/>
      <c r="BH133" s="1764"/>
      <c r="BI133" s="1764"/>
      <c r="BJ133" s="1764"/>
      <c r="BK133" s="1764"/>
      <c r="BL133" s="1764"/>
      <c r="BM133" s="1764"/>
      <c r="BN133" s="1764"/>
      <c r="BO133" s="1764"/>
      <c r="BP133" s="1764"/>
      <c r="BQ133" s="1764"/>
      <c r="BR133" s="1764"/>
      <c r="BS133" s="1764"/>
      <c r="BT133" s="1764"/>
      <c r="BU133" s="1764"/>
      <c r="BV133" s="1764"/>
      <c r="BW133" s="1764"/>
      <c r="BX133" s="1764"/>
      <c r="BY133" s="1764"/>
      <c r="BZ133" s="1764"/>
      <c r="CA133" s="1764"/>
      <c r="CB133" s="1764"/>
      <c r="CC133" s="1764"/>
      <c r="CD133" s="1764"/>
      <c r="CE133" s="1764"/>
      <c r="CF133" s="1764"/>
      <c r="CG133" s="1764"/>
      <c r="CH133" s="1764"/>
      <c r="CI133" s="1764"/>
      <c r="CJ133" s="1763"/>
      <c r="CK133" s="1764"/>
      <c r="CL133" s="1764"/>
      <c r="CM133" s="1764"/>
      <c r="CN133" s="1764"/>
      <c r="CO133" s="1764"/>
      <c r="CP133" s="1764"/>
      <c r="CQ133" s="1764"/>
      <c r="CR133" s="1764"/>
      <c r="CS133" s="1764"/>
      <c r="CT133" s="1764"/>
      <c r="CU133" s="1764"/>
      <c r="CV133" s="1764"/>
      <c r="CW133" s="1764"/>
      <c r="CX133" s="1764"/>
      <c r="CY133" s="1764"/>
      <c r="CZ133" s="1764"/>
      <c r="DA133" s="1764"/>
      <c r="DB133" s="1764"/>
      <c r="DC133" s="1764"/>
      <c r="DD133" s="1764"/>
      <c r="DE133" s="1764"/>
      <c r="DF133" s="1764"/>
      <c r="DG133" s="1764"/>
      <c r="DH133" s="1764"/>
      <c r="DI133" s="1764"/>
      <c r="DJ133" s="1764"/>
      <c r="DK133" s="1764"/>
      <c r="DL133" s="1764"/>
      <c r="DM133" s="1764"/>
      <c r="DN133" s="1764"/>
      <c r="DO133" s="1764"/>
      <c r="DP133" s="1764"/>
      <c r="DQ133" s="1764"/>
      <c r="DR133" s="1764"/>
      <c r="DS133" s="1763"/>
      <c r="DT133" s="1763"/>
      <c r="DU133" s="1764"/>
      <c r="DV133" s="1764"/>
      <c r="DW133" s="1764"/>
      <c r="DX133" s="1764"/>
      <c r="DY133" s="1764"/>
      <c r="DZ133" s="1764"/>
      <c r="EA133" s="1764"/>
      <c r="EB133" s="1764"/>
      <c r="EC133" s="1764"/>
      <c r="ED133" s="1764"/>
      <c r="EE133" s="1764"/>
      <c r="EF133" s="1764"/>
      <c r="EG133" s="1764"/>
      <c r="EH133" s="1764"/>
      <c r="EI133" s="1764"/>
      <c r="EJ133" s="1764"/>
      <c r="EK133" s="1764"/>
      <c r="EL133" s="1764"/>
      <c r="EM133" s="1764"/>
      <c r="EN133" s="1764"/>
      <c r="EO133" s="1764"/>
      <c r="EP133" s="1764"/>
      <c r="EQ133" s="1764"/>
      <c r="ER133" s="1764"/>
      <c r="ES133" s="1764"/>
      <c r="ET133" s="1764"/>
      <c r="EU133" s="1764"/>
      <c r="EV133" s="1764"/>
      <c r="EW133" s="1764"/>
      <c r="EX133" s="1764"/>
      <c r="EY133" s="1764"/>
      <c r="EZ133" s="1764"/>
      <c r="FA133" s="1764"/>
      <c r="FB133" s="1764"/>
      <c r="FC133" s="1764"/>
      <c r="FD133" s="1764"/>
      <c r="FE133" s="1764"/>
      <c r="FF133" s="1764"/>
      <c r="FG133" s="1764"/>
      <c r="FH133" s="1764"/>
      <c r="FI133" s="1764"/>
      <c r="FJ133" s="1764"/>
      <c r="FK133" s="1764"/>
      <c r="FL133" s="1764"/>
      <c r="FM133" s="1764"/>
      <c r="FN133" s="1764"/>
      <c r="FO133" s="1764"/>
      <c r="FP133" s="1764"/>
      <c r="FQ133" s="1764"/>
      <c r="FR133" s="1764"/>
      <c r="FS133" s="1764"/>
      <c r="FT133" s="1763"/>
      <c r="FU133" s="1763"/>
      <c r="FV133" s="1763"/>
      <c r="FW133" s="1764"/>
      <c r="FX133" s="1764"/>
      <c r="FY133" s="1764"/>
      <c r="FZ133" s="1764"/>
      <c r="GA133" s="1764"/>
      <c r="GB133" s="1764"/>
      <c r="GC133" s="1764"/>
      <c r="GD133" s="1764"/>
      <c r="GE133" s="1764"/>
      <c r="GF133" s="1764"/>
      <c r="GG133" s="1764"/>
      <c r="GH133" s="1764"/>
      <c r="GI133" s="1764"/>
      <c r="GJ133" s="1764"/>
      <c r="GK133" s="1764"/>
      <c r="GL133" s="1764"/>
      <c r="GM133" s="1764"/>
      <c r="GN133" s="1764"/>
      <c r="GO133" s="1764"/>
      <c r="GP133" s="1764"/>
      <c r="GQ133" s="1764"/>
      <c r="GR133" s="1764"/>
      <c r="GS133" s="1764"/>
      <c r="GT133" s="1764"/>
      <c r="GU133" s="1764"/>
      <c r="GV133" s="1764"/>
      <c r="GW133" s="1764"/>
      <c r="GX133" s="1764"/>
      <c r="GY133" s="1764"/>
      <c r="GZ133" s="1764"/>
      <c r="HA133" s="1763"/>
      <c r="HB133" s="1764"/>
      <c r="HC133" s="1764"/>
      <c r="HD133" s="1763"/>
      <c r="HE133" s="1764"/>
      <c r="HF133" s="1763"/>
      <c r="HG133" s="2398" t="s">
        <v>1707</v>
      </c>
      <c r="HH133" s="1764"/>
      <c r="HI133" s="1763"/>
      <c r="HJ133" s="1763"/>
      <c r="HK133" s="1763"/>
      <c r="HL133" s="1763"/>
      <c r="HM133" s="1763"/>
      <c r="HN133" s="1763"/>
      <c r="HO133" s="1764"/>
      <c r="HP133" s="1763"/>
      <c r="HQ133" s="1764"/>
      <c r="HR133" s="1764"/>
      <c r="HS133" s="1764"/>
      <c r="HT133" s="1764"/>
      <c r="HU133" s="1763"/>
      <c r="HV133" s="1764"/>
      <c r="HW133" s="1764"/>
      <c r="HX133" s="1764"/>
      <c r="HY133" s="1764"/>
      <c r="HZ133" s="1764"/>
      <c r="IA133" s="1764"/>
      <c r="IB133" s="1764"/>
      <c r="IC133" s="1764"/>
      <c r="ID133" s="1764"/>
      <c r="IE133" s="1764"/>
      <c r="IF133" s="1764"/>
      <c r="IG133" s="1764"/>
      <c r="IH133" s="1764"/>
      <c r="II133" s="1764"/>
      <c r="IJ133" s="1764"/>
      <c r="IK133" s="1764"/>
      <c r="IL133" s="1764"/>
      <c r="IM133" s="1764"/>
      <c r="IN133" s="1764"/>
      <c r="IO133" s="1764"/>
      <c r="IP133" s="1764"/>
      <c r="IQ133" s="1764"/>
      <c r="IR133" s="1764"/>
      <c r="IS133" s="1764"/>
      <c r="IT133" s="1764"/>
      <c r="IU133" s="1764"/>
      <c r="IV133" s="1764"/>
      <c r="IW133" s="1764"/>
      <c r="IX133" s="1764"/>
      <c r="IY133" s="1764"/>
      <c r="IZ133" s="1764"/>
      <c r="JA133" s="1764"/>
      <c r="JB133" s="1764"/>
      <c r="JC133" s="1764"/>
      <c r="JD133" s="1764"/>
      <c r="JE133" s="1764"/>
      <c r="JF133" s="2398" t="s">
        <v>1707</v>
      </c>
      <c r="JG133" s="1764"/>
      <c r="JH133" s="1764"/>
      <c r="JI133" s="1764"/>
      <c r="JJ133" s="1764"/>
      <c r="JK133" s="1764"/>
      <c r="JL133" s="1764"/>
      <c r="JM133" s="1764"/>
      <c r="JN133" s="1764"/>
      <c r="JO133" s="1764"/>
      <c r="JP133" s="1764"/>
      <c r="JQ133" s="1765"/>
      <c r="JR133" s="312"/>
      <c r="JS133" s="315"/>
      <c r="JT133" s="357"/>
    </row>
    <row r="134" spans="1:280" ht="10.5" customHeight="1" x14ac:dyDescent="0.25">
      <c r="A134" s="1367">
        <v>47</v>
      </c>
      <c r="B134" s="1411" t="str">
        <f t="shared" si="13"/>
        <v/>
      </c>
      <c r="C134" s="2580" t="s">
        <v>4521</v>
      </c>
      <c r="D134" s="1743" t="s">
        <v>4522</v>
      </c>
      <c r="E134" s="1762"/>
      <c r="F134" s="1762"/>
      <c r="G134" s="1763"/>
      <c r="H134" s="1763"/>
      <c r="I134" s="1763"/>
      <c r="J134" s="1764"/>
      <c r="K134" s="1763"/>
      <c r="L134" s="1764"/>
      <c r="M134" s="1763"/>
      <c r="N134" s="1763"/>
      <c r="O134" s="1764"/>
      <c r="P134" s="1764"/>
      <c r="Q134" s="1764"/>
      <c r="R134" s="1764"/>
      <c r="S134" s="1764"/>
      <c r="T134" s="1764"/>
      <c r="U134" s="1764"/>
      <c r="V134" s="1764"/>
      <c r="W134" s="1764"/>
      <c r="X134" s="1764"/>
      <c r="Y134" s="1764"/>
      <c r="Z134" s="1764"/>
      <c r="AA134" s="1764"/>
      <c r="AB134" s="1764"/>
      <c r="AC134" s="1764"/>
      <c r="AD134" s="1764"/>
      <c r="AE134" s="1764"/>
      <c r="AF134" s="1764"/>
      <c r="AG134" s="1764"/>
      <c r="AH134" s="1764"/>
      <c r="AI134" s="1764"/>
      <c r="AJ134" s="1764"/>
      <c r="AK134" s="1764"/>
      <c r="AL134" s="1764"/>
      <c r="AM134" s="1764"/>
      <c r="AN134" s="1764"/>
      <c r="AO134" s="1764"/>
      <c r="AP134" s="1764"/>
      <c r="AQ134" s="1764"/>
      <c r="AR134" s="1764"/>
      <c r="AS134" s="1764"/>
      <c r="AT134" s="1764"/>
      <c r="AU134" s="1764"/>
      <c r="AV134" s="1764"/>
      <c r="AW134" s="1764"/>
      <c r="AX134" s="1763"/>
      <c r="AY134" s="1763"/>
      <c r="AZ134" s="1763"/>
      <c r="BA134" s="1764"/>
      <c r="BB134" s="1764"/>
      <c r="BC134" s="1764"/>
      <c r="BD134" s="1764"/>
      <c r="BE134" s="1764"/>
      <c r="BF134" s="1764"/>
      <c r="BG134" s="1764"/>
      <c r="BH134" s="1764"/>
      <c r="BI134" s="1764"/>
      <c r="BJ134" s="1764"/>
      <c r="BK134" s="1764"/>
      <c r="BL134" s="1764"/>
      <c r="BM134" s="1764"/>
      <c r="BN134" s="1764"/>
      <c r="BO134" s="1764"/>
      <c r="BP134" s="1764"/>
      <c r="BQ134" s="1764"/>
      <c r="BR134" s="1764"/>
      <c r="BS134" s="1764"/>
      <c r="BT134" s="1764"/>
      <c r="BU134" s="1764"/>
      <c r="BV134" s="1764"/>
      <c r="BW134" s="1764"/>
      <c r="BX134" s="1764"/>
      <c r="BY134" s="1764"/>
      <c r="BZ134" s="1764"/>
      <c r="CA134" s="1764"/>
      <c r="CB134" s="1764"/>
      <c r="CC134" s="1764"/>
      <c r="CD134" s="1764"/>
      <c r="CE134" s="1764"/>
      <c r="CF134" s="1764"/>
      <c r="CG134" s="1764"/>
      <c r="CH134" s="1764"/>
      <c r="CI134" s="1764"/>
      <c r="CJ134" s="1763"/>
      <c r="CK134" s="1764"/>
      <c r="CL134" s="1764"/>
      <c r="CM134" s="1764"/>
      <c r="CN134" s="1764"/>
      <c r="CO134" s="1764"/>
      <c r="CP134" s="1764"/>
      <c r="CQ134" s="1764"/>
      <c r="CR134" s="1764"/>
      <c r="CS134" s="1764"/>
      <c r="CT134" s="1764"/>
      <c r="CU134" s="1764"/>
      <c r="CV134" s="1764"/>
      <c r="CW134" s="1764"/>
      <c r="CX134" s="1764"/>
      <c r="CY134" s="1764"/>
      <c r="CZ134" s="1764"/>
      <c r="DA134" s="1764"/>
      <c r="DB134" s="1764"/>
      <c r="DC134" s="1764"/>
      <c r="DD134" s="1764"/>
      <c r="DE134" s="1764"/>
      <c r="DF134" s="1764"/>
      <c r="DG134" s="1764"/>
      <c r="DH134" s="1764"/>
      <c r="DI134" s="1764"/>
      <c r="DJ134" s="1764"/>
      <c r="DK134" s="1764"/>
      <c r="DL134" s="1764"/>
      <c r="DM134" s="1764"/>
      <c r="DN134" s="1764"/>
      <c r="DO134" s="1766" t="s">
        <v>1707</v>
      </c>
      <c r="DP134" s="1764"/>
      <c r="DQ134" s="1764"/>
      <c r="DR134" s="1764"/>
      <c r="DS134" s="1763"/>
      <c r="DT134" s="1763"/>
      <c r="DU134" s="1764"/>
      <c r="DV134" s="1764"/>
      <c r="DW134" s="1764"/>
      <c r="DX134" s="1764"/>
      <c r="DY134" s="1764"/>
      <c r="DZ134" s="1764"/>
      <c r="EA134" s="1764"/>
      <c r="EB134" s="1764"/>
      <c r="EC134" s="1764"/>
      <c r="ED134" s="1764"/>
      <c r="EE134" s="1764"/>
      <c r="EF134" s="1764"/>
      <c r="EG134" s="1764"/>
      <c r="EH134" s="1764"/>
      <c r="EI134" s="1764"/>
      <c r="EJ134" s="1764"/>
      <c r="EK134" s="1764"/>
      <c r="EL134" s="1764"/>
      <c r="EM134" s="1764"/>
      <c r="EN134" s="1764"/>
      <c r="EO134" s="1764"/>
      <c r="EP134" s="1764"/>
      <c r="EQ134" s="1764"/>
      <c r="ER134" s="1764"/>
      <c r="ES134" s="1764"/>
      <c r="ET134" s="1764"/>
      <c r="EU134" s="1764"/>
      <c r="EV134" s="1764"/>
      <c r="EW134" s="1764"/>
      <c r="EX134" s="1764"/>
      <c r="EY134" s="1764"/>
      <c r="EZ134" s="1764"/>
      <c r="FA134" s="1764"/>
      <c r="FB134" s="1764"/>
      <c r="FC134" s="1764"/>
      <c r="FD134" s="1764"/>
      <c r="FE134" s="1764"/>
      <c r="FF134" s="1764"/>
      <c r="FG134" s="1764"/>
      <c r="FH134" s="1764"/>
      <c r="FI134" s="1764"/>
      <c r="FJ134" s="1764"/>
      <c r="FK134" s="1764"/>
      <c r="FL134" s="1764"/>
      <c r="FM134" s="1764"/>
      <c r="FN134" s="1764"/>
      <c r="FO134" s="1764"/>
      <c r="FP134" s="1764"/>
      <c r="FQ134" s="1764"/>
      <c r="FR134" s="1764"/>
      <c r="FS134" s="1764"/>
      <c r="FT134" s="1763"/>
      <c r="FU134" s="1763"/>
      <c r="FV134" s="1763"/>
      <c r="FW134" s="1764"/>
      <c r="FX134" s="1764"/>
      <c r="FY134" s="1764"/>
      <c r="FZ134" s="1764"/>
      <c r="GA134" s="1764"/>
      <c r="GB134" s="1764"/>
      <c r="GC134" s="1764"/>
      <c r="GD134" s="1764"/>
      <c r="GE134" s="1764"/>
      <c r="GF134" s="1764"/>
      <c r="GG134" s="1764"/>
      <c r="GH134" s="1764"/>
      <c r="GI134" s="1764"/>
      <c r="GJ134" s="1764"/>
      <c r="GK134" s="1764"/>
      <c r="GL134" s="1764"/>
      <c r="GM134" s="1764"/>
      <c r="GN134" s="1764"/>
      <c r="GO134" s="1764"/>
      <c r="GP134" s="1764"/>
      <c r="GQ134" s="1764"/>
      <c r="GR134" s="1764"/>
      <c r="GS134" s="1764"/>
      <c r="GT134" s="1764"/>
      <c r="GU134" s="1764"/>
      <c r="GV134" s="1764"/>
      <c r="GW134" s="1764"/>
      <c r="GX134" s="1764"/>
      <c r="GY134" s="1764"/>
      <c r="GZ134" s="1764"/>
      <c r="HA134" s="1763"/>
      <c r="HB134" s="1764"/>
      <c r="HC134" s="1764"/>
      <c r="HD134" s="1763"/>
      <c r="HE134" s="1764"/>
      <c r="HF134" s="1763"/>
      <c r="HG134" s="2398" t="s">
        <v>1707</v>
      </c>
      <c r="HH134" s="1764"/>
      <c r="HI134" s="1763"/>
      <c r="HJ134" s="1763"/>
      <c r="HK134" s="1763"/>
      <c r="HL134" s="1763"/>
      <c r="HM134" s="1763"/>
      <c r="HN134" s="1763"/>
      <c r="HO134" s="1764"/>
      <c r="HP134" s="1763"/>
      <c r="HQ134" s="1764"/>
      <c r="HR134" s="1764"/>
      <c r="HS134" s="1764"/>
      <c r="HT134" s="1764"/>
      <c r="HU134" s="1763"/>
      <c r="HV134" s="1764"/>
      <c r="HW134" s="1764"/>
      <c r="HX134" s="1764"/>
      <c r="HY134" s="1764"/>
      <c r="HZ134" s="1764"/>
      <c r="IA134" s="1764"/>
      <c r="IB134" s="1764"/>
      <c r="IC134" s="1764"/>
      <c r="ID134" s="1764"/>
      <c r="IE134" s="1764"/>
      <c r="IF134" s="1764"/>
      <c r="IG134" s="1764"/>
      <c r="IH134" s="1764"/>
      <c r="II134" s="1764"/>
      <c r="IJ134" s="1764"/>
      <c r="IK134" s="1764"/>
      <c r="IL134" s="1764"/>
      <c r="IM134" s="1764"/>
      <c r="IN134" s="1764"/>
      <c r="IO134" s="1764"/>
      <c r="IP134" s="1764"/>
      <c r="IQ134" s="1764"/>
      <c r="IR134" s="1764"/>
      <c r="IS134" s="1764"/>
      <c r="IT134" s="1764"/>
      <c r="IU134" s="1764"/>
      <c r="IV134" s="1764"/>
      <c r="IW134" s="1764"/>
      <c r="IX134" s="1764"/>
      <c r="IY134" s="1764"/>
      <c r="IZ134" s="1764"/>
      <c r="JA134" s="1764"/>
      <c r="JB134" s="1764"/>
      <c r="JC134" s="1764"/>
      <c r="JD134" s="1764"/>
      <c r="JE134" s="1764"/>
      <c r="JF134" s="2398" t="s">
        <v>1707</v>
      </c>
      <c r="JG134" s="1764"/>
      <c r="JH134" s="1764"/>
      <c r="JI134" s="1764"/>
      <c r="JJ134" s="1764"/>
      <c r="JK134" s="1764"/>
      <c r="JL134" s="1764"/>
      <c r="JM134" s="1764"/>
      <c r="JN134" s="1764"/>
      <c r="JO134" s="1764"/>
      <c r="JP134" s="1764"/>
      <c r="JQ134" s="1765"/>
      <c r="JR134" s="312"/>
      <c r="JS134" s="315"/>
      <c r="JT134" s="357"/>
    </row>
    <row r="135" spans="1:280" ht="10.5" customHeight="1" x14ac:dyDescent="0.25">
      <c r="A135" s="1367">
        <v>48</v>
      </c>
      <c r="B135" s="1411" t="str">
        <f t="shared" si="13"/>
        <v/>
      </c>
      <c r="C135" s="2580" t="s">
        <v>4523</v>
      </c>
      <c r="D135" s="1743" t="s">
        <v>4524</v>
      </c>
      <c r="E135" s="1762"/>
      <c r="F135" s="1762"/>
      <c r="G135" s="1762"/>
      <c r="H135" s="1762"/>
      <c r="I135" s="1762"/>
      <c r="J135" s="1764"/>
      <c r="K135" s="1763"/>
      <c r="L135" s="1764"/>
      <c r="M135" s="1763"/>
      <c r="N135" s="1763"/>
      <c r="O135" s="1764"/>
      <c r="P135" s="1764"/>
      <c r="Q135" s="1764"/>
      <c r="R135" s="1764"/>
      <c r="S135" s="1764"/>
      <c r="T135" s="1764"/>
      <c r="U135" s="1764"/>
      <c r="V135" s="1764"/>
      <c r="W135" s="1764"/>
      <c r="X135" s="1764"/>
      <c r="Y135" s="1764"/>
      <c r="Z135" s="1764"/>
      <c r="AA135" s="1764"/>
      <c r="AB135" s="1764"/>
      <c r="AC135" s="1764"/>
      <c r="AD135" s="1764"/>
      <c r="AE135" s="1764"/>
      <c r="AF135" s="1764"/>
      <c r="AG135" s="1764"/>
      <c r="AH135" s="1764"/>
      <c r="AI135" s="1764"/>
      <c r="AJ135" s="1764"/>
      <c r="AK135" s="1764"/>
      <c r="AL135" s="1764"/>
      <c r="AM135" s="1764"/>
      <c r="AN135" s="1764"/>
      <c r="AO135" s="1764"/>
      <c r="AP135" s="1764"/>
      <c r="AQ135" s="1764"/>
      <c r="AR135" s="1764"/>
      <c r="AS135" s="1764"/>
      <c r="AT135" s="1764"/>
      <c r="AU135" s="1764"/>
      <c r="AV135" s="1764"/>
      <c r="AW135" s="1764"/>
      <c r="AX135" s="1763"/>
      <c r="AY135" s="1763"/>
      <c r="AZ135" s="1763"/>
      <c r="BA135" s="1764"/>
      <c r="BB135" s="1764"/>
      <c r="BC135" s="1764"/>
      <c r="BD135" s="1764"/>
      <c r="BE135" s="1764"/>
      <c r="BF135" s="1764"/>
      <c r="BG135" s="1764"/>
      <c r="BH135" s="1764"/>
      <c r="BI135" s="1764"/>
      <c r="BJ135" s="1764"/>
      <c r="BK135" s="1764"/>
      <c r="BL135" s="1764"/>
      <c r="BM135" s="1764"/>
      <c r="BN135" s="1764"/>
      <c r="BO135" s="1764"/>
      <c r="BP135" s="1764"/>
      <c r="BQ135" s="1764"/>
      <c r="BR135" s="1764"/>
      <c r="BS135" s="1764"/>
      <c r="BT135" s="1764"/>
      <c r="BU135" s="1764"/>
      <c r="BV135" s="1764"/>
      <c r="BW135" s="1764"/>
      <c r="BX135" s="1764"/>
      <c r="BY135" s="1764"/>
      <c r="BZ135" s="1764"/>
      <c r="CA135" s="1764"/>
      <c r="CB135" s="1764"/>
      <c r="CC135" s="1764"/>
      <c r="CD135" s="1764"/>
      <c r="CE135" s="1764"/>
      <c r="CF135" s="1764"/>
      <c r="CG135" s="1764"/>
      <c r="CH135" s="1764"/>
      <c r="CI135" s="1764"/>
      <c r="CJ135" s="1763"/>
      <c r="CK135" s="1764"/>
      <c r="CL135" s="1764"/>
      <c r="CM135" s="1764"/>
      <c r="CN135" s="1764"/>
      <c r="CO135" s="1764"/>
      <c r="CP135" s="1764"/>
      <c r="CQ135" s="1764"/>
      <c r="CR135" s="1764"/>
      <c r="CS135" s="1764"/>
      <c r="CT135" s="1764"/>
      <c r="CU135" s="1764"/>
      <c r="CV135" s="1764"/>
      <c r="CW135" s="1764"/>
      <c r="CX135" s="1764"/>
      <c r="CY135" s="1764"/>
      <c r="CZ135" s="1764"/>
      <c r="DA135" s="1764"/>
      <c r="DB135" s="1764"/>
      <c r="DC135" s="1764"/>
      <c r="DD135" s="1764"/>
      <c r="DE135" s="1764"/>
      <c r="DF135" s="1764"/>
      <c r="DG135" s="1764"/>
      <c r="DH135" s="1764"/>
      <c r="DI135" s="1764"/>
      <c r="DJ135" s="1764"/>
      <c r="DK135" s="1764"/>
      <c r="DL135" s="1764"/>
      <c r="DM135" s="1764"/>
      <c r="DN135" s="1764"/>
      <c r="DO135" s="1766" t="s">
        <v>1707</v>
      </c>
      <c r="DP135" s="1766" t="s">
        <v>1707</v>
      </c>
      <c r="DQ135" s="1764"/>
      <c r="DR135" s="1764"/>
      <c r="DS135" s="1763"/>
      <c r="DT135" s="1763"/>
      <c r="DU135" s="1764"/>
      <c r="DV135" s="1764"/>
      <c r="DW135" s="1764"/>
      <c r="DX135" s="1764"/>
      <c r="DY135" s="1764"/>
      <c r="DZ135" s="1764"/>
      <c r="EA135" s="1764"/>
      <c r="EB135" s="1764"/>
      <c r="EC135" s="1764"/>
      <c r="ED135" s="1764"/>
      <c r="EE135" s="1764"/>
      <c r="EF135" s="1764"/>
      <c r="EG135" s="1764"/>
      <c r="EH135" s="1764"/>
      <c r="EI135" s="1764"/>
      <c r="EJ135" s="1764"/>
      <c r="EK135" s="1764"/>
      <c r="EL135" s="1764"/>
      <c r="EM135" s="1764"/>
      <c r="EN135" s="1764"/>
      <c r="EO135" s="1764"/>
      <c r="EP135" s="1764"/>
      <c r="EQ135" s="1764"/>
      <c r="ER135" s="1764"/>
      <c r="ES135" s="1764"/>
      <c r="ET135" s="1764"/>
      <c r="EU135" s="1764"/>
      <c r="EV135" s="1764"/>
      <c r="EW135" s="1764"/>
      <c r="EX135" s="1764"/>
      <c r="EY135" s="1764"/>
      <c r="EZ135" s="1764"/>
      <c r="FA135" s="1764"/>
      <c r="FB135" s="1764"/>
      <c r="FC135" s="1764"/>
      <c r="FD135" s="1764"/>
      <c r="FE135" s="1764"/>
      <c r="FF135" s="1764"/>
      <c r="FG135" s="1764"/>
      <c r="FH135" s="1764"/>
      <c r="FI135" s="1764"/>
      <c r="FJ135" s="1764"/>
      <c r="FK135" s="1764"/>
      <c r="FL135" s="1764"/>
      <c r="FM135" s="1764"/>
      <c r="FN135" s="1764"/>
      <c r="FO135" s="1764"/>
      <c r="FP135" s="1764"/>
      <c r="FQ135" s="1764"/>
      <c r="FR135" s="1764"/>
      <c r="FS135" s="1764"/>
      <c r="FT135" s="1763"/>
      <c r="FU135" s="1763"/>
      <c r="FV135" s="1763"/>
      <c r="FW135" s="1764"/>
      <c r="FX135" s="1764"/>
      <c r="FY135" s="1764"/>
      <c r="FZ135" s="1764"/>
      <c r="GA135" s="1764"/>
      <c r="GB135" s="1764"/>
      <c r="GC135" s="1764"/>
      <c r="GD135" s="1764"/>
      <c r="GE135" s="1764"/>
      <c r="GF135" s="1764"/>
      <c r="GG135" s="1764"/>
      <c r="GH135" s="1764"/>
      <c r="GI135" s="1764"/>
      <c r="GJ135" s="1764"/>
      <c r="GK135" s="1764"/>
      <c r="GL135" s="1764"/>
      <c r="GM135" s="1764"/>
      <c r="GN135" s="1764"/>
      <c r="GO135" s="1764"/>
      <c r="GP135" s="1764"/>
      <c r="GQ135" s="1764"/>
      <c r="GR135" s="1764"/>
      <c r="GS135" s="1764"/>
      <c r="GT135" s="1764"/>
      <c r="GU135" s="1764"/>
      <c r="GV135" s="1764"/>
      <c r="GW135" s="1764"/>
      <c r="GX135" s="1764"/>
      <c r="GY135" s="1764"/>
      <c r="GZ135" s="1764"/>
      <c r="HA135" s="1763"/>
      <c r="HB135" s="1764"/>
      <c r="HC135" s="1764"/>
      <c r="HD135" s="1763"/>
      <c r="HE135" s="1764"/>
      <c r="HF135" s="1763"/>
      <c r="HG135" s="2398" t="s">
        <v>1615</v>
      </c>
      <c r="HH135" s="1764"/>
      <c r="HI135" s="1763"/>
      <c r="HJ135" s="1763"/>
      <c r="HK135" s="1763"/>
      <c r="HL135" s="1763"/>
      <c r="HM135" s="1763"/>
      <c r="HN135" s="1763"/>
      <c r="HO135" s="1764"/>
      <c r="HP135" s="1763"/>
      <c r="HQ135" s="1764"/>
      <c r="HR135" s="1764"/>
      <c r="HS135" s="1764"/>
      <c r="HT135" s="1764"/>
      <c r="HU135" s="1763"/>
      <c r="HV135" s="1764"/>
      <c r="HW135" s="1764"/>
      <c r="HX135" s="1764"/>
      <c r="HY135" s="1764"/>
      <c r="HZ135" s="1764"/>
      <c r="IA135" s="1764"/>
      <c r="IB135" s="1764"/>
      <c r="IC135" s="1764"/>
      <c r="ID135" s="1764"/>
      <c r="IE135" s="1764"/>
      <c r="IF135" s="1764"/>
      <c r="IG135" s="1764"/>
      <c r="IH135" s="1764"/>
      <c r="II135" s="1764"/>
      <c r="IJ135" s="1764"/>
      <c r="IK135" s="1764"/>
      <c r="IL135" s="1764"/>
      <c r="IM135" s="1764"/>
      <c r="IN135" s="1764"/>
      <c r="IO135" s="1764"/>
      <c r="IP135" s="1764"/>
      <c r="IQ135" s="1764"/>
      <c r="IR135" s="1764"/>
      <c r="IS135" s="1764"/>
      <c r="IT135" s="1764"/>
      <c r="IU135" s="1764"/>
      <c r="IV135" s="1764"/>
      <c r="IW135" s="1764"/>
      <c r="IX135" s="1764"/>
      <c r="IY135" s="1764"/>
      <c r="IZ135" s="1764"/>
      <c r="JA135" s="1764"/>
      <c r="JB135" s="1764"/>
      <c r="JC135" s="1764"/>
      <c r="JD135" s="1764"/>
      <c r="JE135" s="1764"/>
      <c r="JF135" s="2398" t="s">
        <v>1615</v>
      </c>
      <c r="JG135" s="1764"/>
      <c r="JH135" s="1764"/>
      <c r="JI135" s="1764"/>
      <c r="JJ135" s="1764"/>
      <c r="JK135" s="1764"/>
      <c r="JL135" s="1764"/>
      <c r="JM135" s="1764"/>
      <c r="JN135" s="1764"/>
      <c r="JO135" s="1764"/>
      <c r="JP135" s="1764"/>
      <c r="JQ135" s="1765"/>
      <c r="JR135" s="312"/>
      <c r="JS135" s="315"/>
      <c r="JT135" s="357"/>
    </row>
    <row r="136" spans="1:280" ht="10.5" customHeight="1" x14ac:dyDescent="0.25">
      <c r="A136" s="1367">
        <v>49</v>
      </c>
      <c r="B136" s="1684" t="str">
        <f t="shared" si="13"/>
        <v/>
      </c>
      <c r="C136" s="2580" t="s">
        <v>4525</v>
      </c>
      <c r="D136" s="1743" t="s">
        <v>4526</v>
      </c>
      <c r="E136" s="2433"/>
      <c r="F136" s="2433"/>
      <c r="G136" s="2433"/>
      <c r="H136" s="2433"/>
      <c r="I136" s="2433"/>
      <c r="J136" s="2434"/>
      <c r="K136" s="2433"/>
      <c r="L136" s="2434"/>
      <c r="M136" s="2433"/>
      <c r="N136" s="2433"/>
      <c r="O136" s="2434"/>
      <c r="P136" s="2434"/>
      <c r="Q136" s="2434"/>
      <c r="R136" s="2434"/>
      <c r="S136" s="2434"/>
      <c r="T136" s="2434"/>
      <c r="U136" s="2434"/>
      <c r="V136" s="2434"/>
      <c r="W136" s="2434"/>
      <c r="X136" s="2434"/>
      <c r="Y136" s="2434"/>
      <c r="Z136" s="2434"/>
      <c r="AA136" s="2434"/>
      <c r="AB136" s="2434"/>
      <c r="AC136" s="2434"/>
      <c r="AD136" s="2434"/>
      <c r="AE136" s="2434"/>
      <c r="AF136" s="2434"/>
      <c r="AG136" s="2434"/>
      <c r="AH136" s="2434"/>
      <c r="AI136" s="2434"/>
      <c r="AJ136" s="2434"/>
      <c r="AK136" s="2434"/>
      <c r="AL136" s="2434"/>
      <c r="AM136" s="2434"/>
      <c r="AN136" s="2434"/>
      <c r="AO136" s="2434"/>
      <c r="AP136" s="2434"/>
      <c r="AQ136" s="2434"/>
      <c r="AR136" s="2434"/>
      <c r="AS136" s="2434"/>
      <c r="AT136" s="2434"/>
      <c r="AU136" s="2434"/>
      <c r="AV136" s="2434"/>
      <c r="AW136" s="2434"/>
      <c r="AX136" s="2433"/>
      <c r="AY136" s="2433"/>
      <c r="AZ136" s="2433"/>
      <c r="BA136" s="2434"/>
      <c r="BB136" s="2434"/>
      <c r="BC136" s="2434"/>
      <c r="BD136" s="2434"/>
      <c r="BE136" s="2434"/>
      <c r="BF136" s="2434"/>
      <c r="BG136" s="2434"/>
      <c r="BH136" s="2434"/>
      <c r="BI136" s="2434"/>
      <c r="BJ136" s="2434"/>
      <c r="BK136" s="2434"/>
      <c r="BL136" s="2434"/>
      <c r="BM136" s="2434"/>
      <c r="BN136" s="2434"/>
      <c r="BO136" s="2434"/>
      <c r="BP136" s="2434"/>
      <c r="BQ136" s="2434"/>
      <c r="BR136" s="2434"/>
      <c r="BS136" s="2434"/>
      <c r="BT136" s="2434"/>
      <c r="BU136" s="2434"/>
      <c r="BV136" s="2434"/>
      <c r="BW136" s="2434"/>
      <c r="BX136" s="2434"/>
      <c r="BY136" s="2434"/>
      <c r="BZ136" s="2434"/>
      <c r="CA136" s="2434"/>
      <c r="CB136" s="2434"/>
      <c r="CC136" s="2434"/>
      <c r="CD136" s="2434"/>
      <c r="CE136" s="2434"/>
      <c r="CF136" s="2434"/>
      <c r="CG136" s="2434"/>
      <c r="CH136" s="2434"/>
      <c r="CI136" s="2434"/>
      <c r="CJ136" s="2433"/>
      <c r="CK136" s="2434"/>
      <c r="CL136" s="2434"/>
      <c r="CM136" s="2434"/>
      <c r="CN136" s="2434"/>
      <c r="CO136" s="2434"/>
      <c r="CP136" s="2434"/>
      <c r="CQ136" s="2434"/>
      <c r="CR136" s="2434"/>
      <c r="CS136" s="2434"/>
      <c r="CT136" s="2434"/>
      <c r="CU136" s="2434"/>
      <c r="CV136" s="2434"/>
      <c r="CW136" s="2434"/>
      <c r="CX136" s="2434"/>
      <c r="CY136" s="2434"/>
      <c r="CZ136" s="2434"/>
      <c r="DA136" s="2434"/>
      <c r="DB136" s="2434"/>
      <c r="DC136" s="2434"/>
      <c r="DD136" s="2434"/>
      <c r="DE136" s="2434"/>
      <c r="DF136" s="2434"/>
      <c r="DG136" s="2434"/>
      <c r="DH136" s="2434"/>
      <c r="DI136" s="2434"/>
      <c r="DJ136" s="2434"/>
      <c r="DK136" s="2434"/>
      <c r="DL136" s="2434"/>
      <c r="DM136" s="2434"/>
      <c r="DN136" s="2434"/>
      <c r="DO136" s="2435">
        <v>1020433</v>
      </c>
      <c r="DP136" s="2435">
        <v>515098</v>
      </c>
      <c r="DQ136" s="2434"/>
      <c r="DR136" s="2434"/>
      <c r="DS136" s="2433"/>
      <c r="DT136" s="2433"/>
      <c r="DU136" s="2434"/>
      <c r="DV136" s="2434"/>
      <c r="DW136" s="2434"/>
      <c r="DX136" s="2434"/>
      <c r="DY136" s="2434"/>
      <c r="DZ136" s="2434"/>
      <c r="EA136" s="2434"/>
      <c r="EB136" s="2434"/>
      <c r="EC136" s="2434"/>
      <c r="ED136" s="2434"/>
      <c r="EE136" s="2434"/>
      <c r="EF136" s="2434"/>
      <c r="EG136" s="2434"/>
      <c r="EH136" s="2434"/>
      <c r="EI136" s="2434"/>
      <c r="EJ136" s="2434"/>
      <c r="EK136" s="2434"/>
      <c r="EL136" s="2434"/>
      <c r="EM136" s="2434"/>
      <c r="EN136" s="2434"/>
      <c r="EO136" s="2434"/>
      <c r="EP136" s="2434"/>
      <c r="EQ136" s="2434"/>
      <c r="ER136" s="2434"/>
      <c r="ES136" s="2434"/>
      <c r="ET136" s="2434"/>
      <c r="EU136" s="2434"/>
      <c r="EV136" s="2434"/>
      <c r="EW136" s="2434"/>
      <c r="EX136" s="2434"/>
      <c r="EY136" s="2434"/>
      <c r="EZ136" s="2434"/>
      <c r="FA136" s="2434"/>
      <c r="FB136" s="2434"/>
      <c r="FC136" s="2434"/>
      <c r="FD136" s="2434"/>
      <c r="FE136" s="2434"/>
      <c r="FF136" s="2434"/>
      <c r="FG136" s="2434"/>
      <c r="FH136" s="2434"/>
      <c r="FI136" s="2434"/>
      <c r="FJ136" s="2434"/>
      <c r="FK136" s="2434"/>
      <c r="FL136" s="2434"/>
      <c r="FM136" s="2434"/>
      <c r="FN136" s="2434"/>
      <c r="FO136" s="2434"/>
      <c r="FP136" s="2434"/>
      <c r="FQ136" s="2434"/>
      <c r="FR136" s="2434"/>
      <c r="FS136" s="2434"/>
      <c r="FT136" s="2433"/>
      <c r="FU136" s="2433"/>
      <c r="FV136" s="2433"/>
      <c r="FW136" s="2434"/>
      <c r="FX136" s="2434"/>
      <c r="FY136" s="2434"/>
      <c r="FZ136" s="2434"/>
      <c r="GA136" s="2434"/>
      <c r="GB136" s="2434"/>
      <c r="GC136" s="2434"/>
      <c r="GD136" s="2434"/>
      <c r="GE136" s="2434"/>
      <c r="GF136" s="2434"/>
      <c r="GG136" s="2434"/>
      <c r="GH136" s="2434"/>
      <c r="GI136" s="2434"/>
      <c r="GJ136" s="2434"/>
      <c r="GK136" s="2434"/>
      <c r="GL136" s="2434"/>
      <c r="GM136" s="2434"/>
      <c r="GN136" s="2434"/>
      <c r="GO136" s="2434"/>
      <c r="GP136" s="2434"/>
      <c r="GQ136" s="2434"/>
      <c r="GR136" s="2434"/>
      <c r="GS136" s="2434"/>
      <c r="GT136" s="2434"/>
      <c r="GU136" s="2434"/>
      <c r="GV136" s="2434"/>
      <c r="GW136" s="2434"/>
      <c r="GX136" s="2434"/>
      <c r="GY136" s="2434"/>
      <c r="GZ136" s="2434"/>
      <c r="HA136" s="2433"/>
      <c r="HB136" s="2434"/>
      <c r="HC136" s="2434"/>
      <c r="HD136" s="2433"/>
      <c r="HE136" s="2434"/>
      <c r="HF136" s="2433"/>
      <c r="HG136" s="2436">
        <v>82000</v>
      </c>
      <c r="HH136" s="2434"/>
      <c r="HI136" s="2433"/>
      <c r="HJ136" s="2433"/>
      <c r="HK136" s="2433"/>
      <c r="HL136" s="2433"/>
      <c r="HM136" s="2433"/>
      <c r="HN136" s="2433"/>
      <c r="HO136" s="2434"/>
      <c r="HP136" s="2433"/>
      <c r="HQ136" s="2434"/>
      <c r="HR136" s="2434"/>
      <c r="HS136" s="2434"/>
      <c r="HT136" s="2434"/>
      <c r="HU136" s="2433"/>
      <c r="HV136" s="2434"/>
      <c r="HW136" s="2434"/>
      <c r="HX136" s="2434"/>
      <c r="HY136" s="2434"/>
      <c r="HZ136" s="2434"/>
      <c r="IA136" s="2434"/>
      <c r="IB136" s="2434"/>
      <c r="IC136" s="2434"/>
      <c r="ID136" s="2434"/>
      <c r="IE136" s="2434"/>
      <c r="IF136" s="2434"/>
      <c r="IG136" s="2434"/>
      <c r="IH136" s="2434"/>
      <c r="II136" s="2434"/>
      <c r="IJ136" s="2434"/>
      <c r="IK136" s="2434"/>
      <c r="IL136" s="2434"/>
      <c r="IM136" s="2434"/>
      <c r="IN136" s="2434"/>
      <c r="IO136" s="2434"/>
      <c r="IP136" s="2434"/>
      <c r="IQ136" s="2434"/>
      <c r="IR136" s="2434"/>
      <c r="IS136" s="2434"/>
      <c r="IT136" s="2434"/>
      <c r="IU136" s="2434"/>
      <c r="IV136" s="2434"/>
      <c r="IW136" s="2434"/>
      <c r="IX136" s="2434"/>
      <c r="IY136" s="2434"/>
      <c r="IZ136" s="2434"/>
      <c r="JA136" s="2434"/>
      <c r="JB136" s="2434"/>
      <c r="JC136" s="2434"/>
      <c r="JD136" s="2434"/>
      <c r="JE136" s="2434"/>
      <c r="JF136" s="2436">
        <v>32500</v>
      </c>
      <c r="JG136" s="2434"/>
      <c r="JH136" s="2434"/>
      <c r="JI136" s="2434"/>
      <c r="JJ136" s="2434"/>
      <c r="JK136" s="2434"/>
      <c r="JL136" s="2434"/>
      <c r="JM136" s="2434"/>
      <c r="JN136" s="2434"/>
      <c r="JO136" s="2434"/>
      <c r="JP136" s="2434"/>
      <c r="JQ136" s="2437"/>
      <c r="JR136" s="312"/>
      <c r="JS136" s="315"/>
      <c r="JT136" s="357"/>
    </row>
    <row r="137" spans="1:280" ht="10.5" customHeight="1" x14ac:dyDescent="0.25">
      <c r="A137" s="1367">
        <v>50</v>
      </c>
      <c r="B137" s="1684" t="str">
        <f t="shared" si="13"/>
        <v/>
      </c>
      <c r="C137" s="2580" t="s">
        <v>4527</v>
      </c>
      <c r="D137" s="1743" t="s">
        <v>4528</v>
      </c>
      <c r="E137" s="2438"/>
      <c r="F137" s="2433"/>
      <c r="G137" s="2433"/>
      <c r="H137" s="2433"/>
      <c r="I137" s="2433"/>
      <c r="J137" s="2434"/>
      <c r="K137" s="2433"/>
      <c r="L137" s="2434"/>
      <c r="M137" s="2433"/>
      <c r="N137" s="2433"/>
      <c r="O137" s="2434"/>
      <c r="P137" s="2434"/>
      <c r="Q137" s="2434"/>
      <c r="R137" s="2434"/>
      <c r="S137" s="2434"/>
      <c r="T137" s="2434"/>
      <c r="U137" s="2434"/>
      <c r="V137" s="2434"/>
      <c r="W137" s="2434"/>
      <c r="X137" s="2434"/>
      <c r="Y137" s="2434"/>
      <c r="Z137" s="2434"/>
      <c r="AA137" s="2434"/>
      <c r="AB137" s="2434"/>
      <c r="AC137" s="2434"/>
      <c r="AD137" s="2434"/>
      <c r="AE137" s="2434"/>
      <c r="AF137" s="2434"/>
      <c r="AG137" s="2434"/>
      <c r="AH137" s="2434"/>
      <c r="AI137" s="2434"/>
      <c r="AJ137" s="2434"/>
      <c r="AK137" s="2434"/>
      <c r="AL137" s="2434"/>
      <c r="AM137" s="2434"/>
      <c r="AN137" s="2434"/>
      <c r="AO137" s="2434"/>
      <c r="AP137" s="2434"/>
      <c r="AQ137" s="2434"/>
      <c r="AR137" s="2434"/>
      <c r="AS137" s="2434"/>
      <c r="AT137" s="2434"/>
      <c r="AU137" s="2434"/>
      <c r="AV137" s="2434"/>
      <c r="AW137" s="2434"/>
      <c r="AX137" s="2433"/>
      <c r="AY137" s="2433"/>
      <c r="AZ137" s="2433"/>
      <c r="BA137" s="2434"/>
      <c r="BB137" s="2434"/>
      <c r="BC137" s="2434"/>
      <c r="BD137" s="2434"/>
      <c r="BE137" s="2434"/>
      <c r="BF137" s="2434"/>
      <c r="BG137" s="2434"/>
      <c r="BH137" s="2434"/>
      <c r="BI137" s="2434"/>
      <c r="BJ137" s="2434"/>
      <c r="BK137" s="2434"/>
      <c r="BL137" s="2434"/>
      <c r="BM137" s="2434"/>
      <c r="BN137" s="2434"/>
      <c r="BO137" s="2434"/>
      <c r="BP137" s="2434"/>
      <c r="BQ137" s="2434"/>
      <c r="BR137" s="2434"/>
      <c r="BS137" s="2434"/>
      <c r="BT137" s="2434"/>
      <c r="BU137" s="2434"/>
      <c r="BV137" s="2434"/>
      <c r="BW137" s="2434"/>
      <c r="BX137" s="2434"/>
      <c r="BY137" s="2434"/>
      <c r="BZ137" s="2434"/>
      <c r="CA137" s="2434"/>
      <c r="CB137" s="2434"/>
      <c r="CC137" s="2434"/>
      <c r="CD137" s="2434"/>
      <c r="CE137" s="2434"/>
      <c r="CF137" s="2434"/>
      <c r="CG137" s="2434"/>
      <c r="CH137" s="2434"/>
      <c r="CI137" s="2434"/>
      <c r="CJ137" s="2433"/>
      <c r="CK137" s="2434"/>
      <c r="CL137" s="2434"/>
      <c r="CM137" s="2434"/>
      <c r="CN137" s="2434"/>
      <c r="CO137" s="2434"/>
      <c r="CP137" s="2434"/>
      <c r="CQ137" s="2434"/>
      <c r="CR137" s="2434"/>
      <c r="CS137" s="2434"/>
      <c r="CT137" s="2434"/>
      <c r="CU137" s="2434"/>
      <c r="CV137" s="2434"/>
      <c r="CW137" s="2434"/>
      <c r="CX137" s="2434"/>
      <c r="CY137" s="2434"/>
      <c r="CZ137" s="2434"/>
      <c r="DA137" s="2434"/>
      <c r="DB137" s="2434"/>
      <c r="DC137" s="2434"/>
      <c r="DD137" s="2434"/>
      <c r="DE137" s="2434"/>
      <c r="DF137" s="2434"/>
      <c r="DG137" s="2434"/>
      <c r="DH137" s="2434"/>
      <c r="DI137" s="2434"/>
      <c r="DJ137" s="2434"/>
      <c r="DK137" s="2434"/>
      <c r="DL137" s="2434"/>
      <c r="DM137" s="2434"/>
      <c r="DN137" s="2434"/>
      <c r="DO137" s="2435">
        <v>357152</v>
      </c>
      <c r="DP137" s="2435">
        <v>360569</v>
      </c>
      <c r="DQ137" s="1453"/>
      <c r="DR137" s="1453"/>
      <c r="DS137" s="2439"/>
      <c r="DT137" s="2433"/>
      <c r="DU137" s="2434"/>
      <c r="DV137" s="2434"/>
      <c r="DW137" s="2434"/>
      <c r="DX137" s="2434"/>
      <c r="DY137" s="2434"/>
      <c r="DZ137" s="2434"/>
      <c r="EA137" s="2434"/>
      <c r="EB137" s="2434"/>
      <c r="EC137" s="2434"/>
      <c r="ED137" s="2434"/>
      <c r="EE137" s="2434"/>
      <c r="EF137" s="2434"/>
      <c r="EG137" s="2434"/>
      <c r="EH137" s="2434"/>
      <c r="EI137" s="2434"/>
      <c r="EJ137" s="2434"/>
      <c r="EK137" s="2434"/>
      <c r="EL137" s="2434"/>
      <c r="EM137" s="2434"/>
      <c r="EN137" s="2434"/>
      <c r="EO137" s="2434"/>
      <c r="EP137" s="2434"/>
      <c r="EQ137" s="2434"/>
      <c r="ER137" s="2434"/>
      <c r="ES137" s="2434"/>
      <c r="ET137" s="2434"/>
      <c r="EU137" s="2434"/>
      <c r="EV137" s="2434"/>
      <c r="EW137" s="2434"/>
      <c r="EX137" s="2434"/>
      <c r="EY137" s="2434"/>
      <c r="EZ137" s="2434"/>
      <c r="FA137" s="2434"/>
      <c r="FB137" s="2434"/>
      <c r="FC137" s="2434"/>
      <c r="FD137" s="2434"/>
      <c r="FE137" s="2434"/>
      <c r="FF137" s="2434"/>
      <c r="FG137" s="2434"/>
      <c r="FH137" s="2434"/>
      <c r="FI137" s="2434"/>
      <c r="FJ137" s="2434"/>
      <c r="FK137" s="2434"/>
      <c r="FL137" s="2434"/>
      <c r="FM137" s="2434"/>
      <c r="FN137" s="2434"/>
      <c r="FO137" s="2434"/>
      <c r="FP137" s="2434"/>
      <c r="FQ137" s="2434"/>
      <c r="FR137" s="2434"/>
      <c r="FS137" s="2434"/>
      <c r="FT137" s="2433"/>
      <c r="FU137" s="2433"/>
      <c r="FV137" s="2433"/>
      <c r="FW137" s="2434"/>
      <c r="FX137" s="2434"/>
      <c r="FY137" s="2434"/>
      <c r="FZ137" s="2434"/>
      <c r="GA137" s="2434"/>
      <c r="GB137" s="2434"/>
      <c r="GC137" s="2434"/>
      <c r="GD137" s="2434"/>
      <c r="GE137" s="2434"/>
      <c r="GF137" s="2434"/>
      <c r="GG137" s="2434"/>
      <c r="GH137" s="2434"/>
      <c r="GI137" s="2434"/>
      <c r="GJ137" s="2434"/>
      <c r="GK137" s="2434"/>
      <c r="GL137" s="2434"/>
      <c r="GM137" s="2434"/>
      <c r="GN137" s="2434"/>
      <c r="GO137" s="2434"/>
      <c r="GP137" s="2434"/>
      <c r="GQ137" s="2434"/>
      <c r="GR137" s="2434"/>
      <c r="GS137" s="2434"/>
      <c r="GT137" s="2434"/>
      <c r="GU137" s="2434"/>
      <c r="GV137" s="2434"/>
      <c r="GW137" s="2434"/>
      <c r="GX137" s="2434"/>
      <c r="GY137" s="2434"/>
      <c r="GZ137" s="2434"/>
      <c r="HA137" s="2433"/>
      <c r="HB137" s="2434"/>
      <c r="HC137" s="2434"/>
      <c r="HD137" s="2433"/>
      <c r="HE137" s="2434"/>
      <c r="HF137" s="2433"/>
      <c r="HG137" s="2436">
        <v>72000</v>
      </c>
      <c r="HH137" s="2434"/>
      <c r="HI137" s="2433"/>
      <c r="HJ137" s="2433"/>
      <c r="HK137" s="2433"/>
      <c r="HL137" s="2433"/>
      <c r="HM137" s="2433"/>
      <c r="HN137" s="2433"/>
      <c r="HO137" s="2434"/>
      <c r="HP137" s="2433"/>
      <c r="HQ137" s="2434"/>
      <c r="HR137" s="2434"/>
      <c r="HS137" s="2434"/>
      <c r="HT137" s="2434"/>
      <c r="HU137" s="2433"/>
      <c r="HV137" s="2434"/>
      <c r="HW137" s="2434"/>
      <c r="HX137" s="2434"/>
      <c r="HY137" s="2434"/>
      <c r="HZ137" s="2434"/>
      <c r="IA137" s="2434"/>
      <c r="IB137" s="2434"/>
      <c r="IC137" s="2434"/>
      <c r="ID137" s="2434"/>
      <c r="IE137" s="2434"/>
      <c r="IF137" s="2434"/>
      <c r="IG137" s="2434"/>
      <c r="IH137" s="2434"/>
      <c r="II137" s="2434"/>
      <c r="IJ137" s="2434"/>
      <c r="IK137" s="2434"/>
      <c r="IL137" s="2434"/>
      <c r="IM137" s="2434"/>
      <c r="IN137" s="2434"/>
      <c r="IO137" s="2434"/>
      <c r="IP137" s="2434"/>
      <c r="IQ137" s="2434"/>
      <c r="IR137" s="2434"/>
      <c r="IS137" s="2434"/>
      <c r="IT137" s="2434"/>
      <c r="IU137" s="2434"/>
      <c r="IV137" s="2434"/>
      <c r="IW137" s="2434"/>
      <c r="IX137" s="2434"/>
      <c r="IY137" s="2434"/>
      <c r="IZ137" s="2434"/>
      <c r="JA137" s="2434"/>
      <c r="JB137" s="2434"/>
      <c r="JC137" s="2434"/>
      <c r="JD137" s="2434"/>
      <c r="JE137" s="2434"/>
      <c r="JF137" s="2436">
        <v>31500</v>
      </c>
      <c r="JG137" s="2434"/>
      <c r="JH137" s="2434"/>
      <c r="JI137" s="2434"/>
      <c r="JJ137" s="2434"/>
      <c r="JK137" s="2434"/>
      <c r="JL137" s="2434"/>
      <c r="JM137" s="2434"/>
      <c r="JN137" s="2434"/>
      <c r="JO137" s="2434"/>
      <c r="JP137" s="2434"/>
      <c r="JQ137" s="2437"/>
      <c r="JR137" s="312"/>
      <c r="JS137" s="315"/>
      <c r="JT137" s="357"/>
    </row>
    <row r="138" spans="1:280" ht="10.5" customHeight="1" x14ac:dyDescent="0.25">
      <c r="A138" s="1367">
        <v>51</v>
      </c>
      <c r="B138" s="1684" t="str">
        <f t="shared" si="13"/>
        <v/>
      </c>
      <c r="C138" s="2580" t="s">
        <v>4529</v>
      </c>
      <c r="D138" s="1743" t="s">
        <v>4530</v>
      </c>
      <c r="E138" s="2438"/>
      <c r="F138" s="2433"/>
      <c r="G138" s="2433"/>
      <c r="H138" s="2433"/>
      <c r="I138" s="2433"/>
      <c r="J138" s="2434"/>
      <c r="K138" s="2433"/>
      <c r="L138" s="2434"/>
      <c r="M138" s="2433"/>
      <c r="N138" s="2433"/>
      <c r="O138" s="2434"/>
      <c r="P138" s="2434"/>
      <c r="Q138" s="2434"/>
      <c r="R138" s="2434"/>
      <c r="S138" s="2434"/>
      <c r="T138" s="2434"/>
      <c r="U138" s="2434"/>
      <c r="V138" s="2434"/>
      <c r="W138" s="2434"/>
      <c r="X138" s="2434"/>
      <c r="Y138" s="2434"/>
      <c r="Z138" s="2434"/>
      <c r="AA138" s="2434"/>
      <c r="AB138" s="2434"/>
      <c r="AC138" s="2434"/>
      <c r="AD138" s="2434"/>
      <c r="AE138" s="2434"/>
      <c r="AF138" s="2434"/>
      <c r="AG138" s="2434"/>
      <c r="AH138" s="2434"/>
      <c r="AI138" s="2434"/>
      <c r="AJ138" s="2434"/>
      <c r="AK138" s="2434"/>
      <c r="AL138" s="2434"/>
      <c r="AM138" s="2434"/>
      <c r="AN138" s="2434"/>
      <c r="AO138" s="2434"/>
      <c r="AP138" s="2434"/>
      <c r="AQ138" s="2434"/>
      <c r="AR138" s="2434"/>
      <c r="AS138" s="2434"/>
      <c r="AT138" s="2434"/>
      <c r="AU138" s="2434"/>
      <c r="AV138" s="2434"/>
      <c r="AW138" s="2434"/>
      <c r="AX138" s="2433"/>
      <c r="AY138" s="2433"/>
      <c r="AZ138" s="2433"/>
      <c r="BA138" s="2434"/>
      <c r="BB138" s="2434"/>
      <c r="BC138" s="2434"/>
      <c r="BD138" s="2434"/>
      <c r="BE138" s="2434"/>
      <c r="BF138" s="2434"/>
      <c r="BG138" s="2434"/>
      <c r="BH138" s="2434"/>
      <c r="BI138" s="2434"/>
      <c r="BJ138" s="2434"/>
      <c r="BK138" s="2434"/>
      <c r="BL138" s="2434"/>
      <c r="BM138" s="2434"/>
      <c r="BN138" s="2434"/>
      <c r="BO138" s="2434"/>
      <c r="BP138" s="2434"/>
      <c r="BQ138" s="2434"/>
      <c r="BR138" s="2434"/>
      <c r="BS138" s="2434"/>
      <c r="BT138" s="2434"/>
      <c r="BU138" s="2434"/>
      <c r="BV138" s="2434"/>
      <c r="BW138" s="2434"/>
      <c r="BX138" s="2434"/>
      <c r="BY138" s="2434"/>
      <c r="BZ138" s="2434"/>
      <c r="CA138" s="2434"/>
      <c r="CB138" s="2434"/>
      <c r="CC138" s="2434"/>
      <c r="CD138" s="2434"/>
      <c r="CE138" s="2434"/>
      <c r="CF138" s="2434"/>
      <c r="CG138" s="2434"/>
      <c r="CH138" s="2434"/>
      <c r="CI138" s="2434"/>
      <c r="CJ138" s="2433"/>
      <c r="CK138" s="2434"/>
      <c r="CL138" s="2434"/>
      <c r="CM138" s="2434"/>
      <c r="CN138" s="2434"/>
      <c r="CO138" s="2434"/>
      <c r="CP138" s="2434"/>
      <c r="CQ138" s="2434"/>
      <c r="CR138" s="2434"/>
      <c r="CS138" s="2434"/>
      <c r="CT138" s="2434"/>
      <c r="CU138" s="2434"/>
      <c r="CV138" s="2434"/>
      <c r="CW138" s="2434"/>
      <c r="CX138" s="2434"/>
      <c r="CY138" s="2434"/>
      <c r="CZ138" s="2434"/>
      <c r="DA138" s="2434"/>
      <c r="DB138" s="2434"/>
      <c r="DC138" s="2434"/>
      <c r="DD138" s="2434"/>
      <c r="DE138" s="2434"/>
      <c r="DF138" s="2434"/>
      <c r="DG138" s="2434"/>
      <c r="DH138" s="2434"/>
      <c r="DI138" s="2434"/>
      <c r="DJ138" s="2434"/>
      <c r="DK138" s="2434"/>
      <c r="DL138" s="2434"/>
      <c r="DM138" s="2434"/>
      <c r="DN138" s="2434"/>
      <c r="DO138" s="2434"/>
      <c r="DP138" s="2435">
        <v>360569</v>
      </c>
      <c r="DQ138" s="1453"/>
      <c r="DR138" s="1554"/>
      <c r="DS138" s="2439"/>
      <c r="DT138" s="2433"/>
      <c r="DU138" s="2434"/>
      <c r="DV138" s="2434"/>
      <c r="DW138" s="2434"/>
      <c r="DX138" s="2434"/>
      <c r="DY138" s="2434"/>
      <c r="DZ138" s="2434"/>
      <c r="EA138" s="2434"/>
      <c r="EB138" s="2434"/>
      <c r="EC138" s="2434"/>
      <c r="ED138" s="2434"/>
      <c r="EE138" s="2434"/>
      <c r="EF138" s="2434"/>
      <c r="EG138" s="2434"/>
      <c r="EH138" s="2434"/>
      <c r="EI138" s="2434"/>
      <c r="EJ138" s="2434"/>
      <c r="EK138" s="2434"/>
      <c r="EL138" s="2434"/>
      <c r="EM138" s="2434"/>
      <c r="EN138" s="2434"/>
      <c r="EO138" s="2434"/>
      <c r="EP138" s="2434"/>
      <c r="EQ138" s="2434"/>
      <c r="ER138" s="2434"/>
      <c r="ES138" s="2434"/>
      <c r="ET138" s="2434"/>
      <c r="EU138" s="2434"/>
      <c r="EV138" s="2434"/>
      <c r="EW138" s="2434"/>
      <c r="EX138" s="2434"/>
      <c r="EY138" s="2434"/>
      <c r="EZ138" s="2434"/>
      <c r="FA138" s="2434"/>
      <c r="FB138" s="2434"/>
      <c r="FC138" s="2434"/>
      <c r="FD138" s="2434"/>
      <c r="FE138" s="2434"/>
      <c r="FF138" s="2434"/>
      <c r="FG138" s="2434"/>
      <c r="FH138" s="2434"/>
      <c r="FI138" s="2434"/>
      <c r="FJ138" s="2434"/>
      <c r="FK138" s="2434"/>
      <c r="FL138" s="2434"/>
      <c r="FM138" s="2434"/>
      <c r="FN138" s="2434"/>
      <c r="FO138" s="2434"/>
      <c r="FP138" s="2434"/>
      <c r="FQ138" s="2434"/>
      <c r="FR138" s="2434"/>
      <c r="FS138" s="2434"/>
      <c r="FT138" s="2433"/>
      <c r="FU138" s="2433"/>
      <c r="FV138" s="2433"/>
      <c r="FW138" s="2434"/>
      <c r="FX138" s="2434"/>
      <c r="FY138" s="2434"/>
      <c r="FZ138" s="2434"/>
      <c r="GA138" s="2434"/>
      <c r="GB138" s="2434"/>
      <c r="GC138" s="2434"/>
      <c r="GD138" s="2434"/>
      <c r="GE138" s="2434"/>
      <c r="GF138" s="2434"/>
      <c r="GG138" s="2434"/>
      <c r="GH138" s="2434"/>
      <c r="GI138" s="2434"/>
      <c r="GJ138" s="2434"/>
      <c r="GK138" s="2434"/>
      <c r="GL138" s="2434"/>
      <c r="GM138" s="2434"/>
      <c r="GN138" s="2434"/>
      <c r="GO138" s="2434"/>
      <c r="GP138" s="2434"/>
      <c r="GQ138" s="2434"/>
      <c r="GR138" s="2434"/>
      <c r="GS138" s="2434"/>
      <c r="GT138" s="2434"/>
      <c r="GU138" s="2434"/>
      <c r="GV138" s="2434"/>
      <c r="GW138" s="2434"/>
      <c r="GX138" s="2434"/>
      <c r="GY138" s="2434"/>
      <c r="GZ138" s="2434"/>
      <c r="HA138" s="2433"/>
      <c r="HB138" s="2434"/>
      <c r="HC138" s="2434"/>
      <c r="HD138" s="2433"/>
      <c r="HE138" s="2434"/>
      <c r="HF138" s="2433"/>
      <c r="HG138" s="2436">
        <v>24600</v>
      </c>
      <c r="HH138" s="2434"/>
      <c r="HI138" s="2433"/>
      <c r="HJ138" s="2433"/>
      <c r="HK138" s="2433"/>
      <c r="HL138" s="2433"/>
      <c r="HM138" s="2433"/>
      <c r="HN138" s="2433"/>
      <c r="HO138" s="2434"/>
      <c r="HP138" s="2433"/>
      <c r="HQ138" s="2434"/>
      <c r="HR138" s="2434"/>
      <c r="HS138" s="2434"/>
      <c r="HT138" s="2434"/>
      <c r="HU138" s="2433"/>
      <c r="HV138" s="2434"/>
      <c r="HW138" s="2434"/>
      <c r="HX138" s="2434"/>
      <c r="HY138" s="2434"/>
      <c r="HZ138" s="2434"/>
      <c r="IA138" s="2434"/>
      <c r="IB138" s="2434"/>
      <c r="IC138" s="2434"/>
      <c r="ID138" s="2434"/>
      <c r="IE138" s="2434"/>
      <c r="IF138" s="2434"/>
      <c r="IG138" s="2434"/>
      <c r="IH138" s="2434"/>
      <c r="II138" s="2434"/>
      <c r="IJ138" s="2434"/>
      <c r="IK138" s="2434"/>
      <c r="IL138" s="2434"/>
      <c r="IM138" s="2434"/>
      <c r="IN138" s="2434"/>
      <c r="IO138" s="2434"/>
      <c r="IP138" s="2434"/>
      <c r="IQ138" s="2434"/>
      <c r="IR138" s="2434"/>
      <c r="IS138" s="2434"/>
      <c r="IT138" s="2434"/>
      <c r="IU138" s="2434"/>
      <c r="IV138" s="2434"/>
      <c r="IW138" s="2434"/>
      <c r="IX138" s="2434"/>
      <c r="IY138" s="2434"/>
      <c r="IZ138" s="2434"/>
      <c r="JA138" s="2434"/>
      <c r="JB138" s="2434"/>
      <c r="JC138" s="2434"/>
      <c r="JD138" s="2434"/>
      <c r="JE138" s="2434"/>
      <c r="JF138" s="2436">
        <v>9450</v>
      </c>
      <c r="JG138" s="2434"/>
      <c r="JH138" s="2434"/>
      <c r="JI138" s="2434"/>
      <c r="JJ138" s="2434"/>
      <c r="JK138" s="2434"/>
      <c r="JL138" s="2434"/>
      <c r="JM138" s="2434"/>
      <c r="JN138" s="2434"/>
      <c r="JO138" s="2434"/>
      <c r="JP138" s="2434"/>
      <c r="JQ138" s="2437"/>
      <c r="JR138" s="312"/>
      <c r="JS138" s="315"/>
      <c r="JT138" s="357"/>
    </row>
    <row r="139" spans="1:280" ht="10.5" customHeight="1" x14ac:dyDescent="0.25">
      <c r="A139" s="1367">
        <v>52</v>
      </c>
      <c r="B139" s="1684" t="str">
        <f t="shared" si="13"/>
        <v/>
      </c>
      <c r="C139" s="2580" t="s">
        <v>4531</v>
      </c>
      <c r="D139" s="1743" t="s">
        <v>4532</v>
      </c>
      <c r="E139" s="2438"/>
      <c r="F139" s="2433"/>
      <c r="G139" s="2433"/>
      <c r="H139" s="2433"/>
      <c r="I139" s="2433"/>
      <c r="J139" s="2434"/>
      <c r="K139" s="2433"/>
      <c r="L139" s="2434"/>
      <c r="M139" s="2433"/>
      <c r="N139" s="2433"/>
      <c r="O139" s="2434"/>
      <c r="P139" s="2434"/>
      <c r="Q139" s="2434"/>
      <c r="R139" s="2434"/>
      <c r="S139" s="2434"/>
      <c r="T139" s="2434"/>
      <c r="U139" s="2434"/>
      <c r="V139" s="2434"/>
      <c r="W139" s="2434"/>
      <c r="X139" s="2434"/>
      <c r="Y139" s="2434"/>
      <c r="Z139" s="2434"/>
      <c r="AA139" s="2434"/>
      <c r="AB139" s="2434"/>
      <c r="AC139" s="2434"/>
      <c r="AD139" s="2434"/>
      <c r="AE139" s="2434"/>
      <c r="AF139" s="2434"/>
      <c r="AG139" s="2434"/>
      <c r="AH139" s="2434"/>
      <c r="AI139" s="2434"/>
      <c r="AJ139" s="2434"/>
      <c r="AK139" s="2434"/>
      <c r="AL139" s="2434"/>
      <c r="AM139" s="2434"/>
      <c r="AN139" s="2434"/>
      <c r="AO139" s="2434"/>
      <c r="AP139" s="2434"/>
      <c r="AQ139" s="2434"/>
      <c r="AR139" s="2434"/>
      <c r="AS139" s="2434"/>
      <c r="AT139" s="2434"/>
      <c r="AU139" s="2434"/>
      <c r="AV139" s="2434"/>
      <c r="AW139" s="2434"/>
      <c r="AX139" s="2433"/>
      <c r="AY139" s="2433"/>
      <c r="AZ139" s="2433"/>
      <c r="BA139" s="2434"/>
      <c r="BB139" s="2434"/>
      <c r="BC139" s="2434"/>
      <c r="BD139" s="2434"/>
      <c r="BE139" s="2434"/>
      <c r="BF139" s="2434"/>
      <c r="BG139" s="2434"/>
      <c r="BH139" s="2434"/>
      <c r="BI139" s="2434"/>
      <c r="BJ139" s="2434"/>
      <c r="BK139" s="2434"/>
      <c r="BL139" s="2434"/>
      <c r="BM139" s="2434"/>
      <c r="BN139" s="2434"/>
      <c r="BO139" s="2434"/>
      <c r="BP139" s="2434"/>
      <c r="BQ139" s="2434"/>
      <c r="BR139" s="2434"/>
      <c r="BS139" s="2434"/>
      <c r="BT139" s="2434"/>
      <c r="BU139" s="2434"/>
      <c r="BV139" s="2434"/>
      <c r="BW139" s="2434"/>
      <c r="BX139" s="2434"/>
      <c r="BY139" s="2434"/>
      <c r="BZ139" s="2434"/>
      <c r="CA139" s="2434"/>
      <c r="CB139" s="2434"/>
      <c r="CC139" s="2434"/>
      <c r="CD139" s="2434"/>
      <c r="CE139" s="2434"/>
      <c r="CF139" s="2434"/>
      <c r="CG139" s="2434"/>
      <c r="CH139" s="2434"/>
      <c r="CI139" s="2434"/>
      <c r="CJ139" s="2433"/>
      <c r="CK139" s="2434"/>
      <c r="CL139" s="2434"/>
      <c r="CM139" s="2434"/>
      <c r="CN139" s="2434"/>
      <c r="CO139" s="2434"/>
      <c r="CP139" s="2434"/>
      <c r="CQ139" s="2434"/>
      <c r="CR139" s="2434"/>
      <c r="CS139" s="2434"/>
      <c r="CT139" s="2434"/>
      <c r="CU139" s="2434"/>
      <c r="CV139" s="2434"/>
      <c r="CW139" s="2434"/>
      <c r="CX139" s="2434"/>
      <c r="CY139" s="2434"/>
      <c r="CZ139" s="2434"/>
      <c r="DA139" s="2434"/>
      <c r="DB139" s="2434"/>
      <c r="DC139" s="2434"/>
      <c r="DD139" s="2434"/>
      <c r="DE139" s="2434"/>
      <c r="DF139" s="2434"/>
      <c r="DG139" s="2434"/>
      <c r="DH139" s="2434"/>
      <c r="DI139" s="2434"/>
      <c r="DJ139" s="2434"/>
      <c r="DK139" s="2434"/>
      <c r="DL139" s="2434"/>
      <c r="DM139" s="2434"/>
      <c r="DN139" s="2434"/>
      <c r="DO139" s="2435">
        <v>357152</v>
      </c>
      <c r="DP139" s="2435">
        <v>360569</v>
      </c>
      <c r="DQ139" s="2434"/>
      <c r="DR139" s="2434"/>
      <c r="DS139" s="2433"/>
      <c r="DT139" s="2433"/>
      <c r="DU139" s="2434"/>
      <c r="DV139" s="2434"/>
      <c r="DW139" s="2434"/>
      <c r="DX139" s="2434"/>
      <c r="DY139" s="2434"/>
      <c r="DZ139" s="2434"/>
      <c r="EA139" s="2434"/>
      <c r="EB139" s="2434"/>
      <c r="EC139" s="2434"/>
      <c r="ED139" s="2434"/>
      <c r="EE139" s="2434"/>
      <c r="EF139" s="2434"/>
      <c r="EG139" s="2434"/>
      <c r="EH139" s="2434"/>
      <c r="EI139" s="2434"/>
      <c r="EJ139" s="2434"/>
      <c r="EK139" s="2434"/>
      <c r="EL139" s="2434"/>
      <c r="EM139" s="2434"/>
      <c r="EN139" s="2434"/>
      <c r="EO139" s="2434"/>
      <c r="EP139" s="2434"/>
      <c r="EQ139" s="2434"/>
      <c r="ER139" s="2434"/>
      <c r="ES139" s="2434"/>
      <c r="ET139" s="2434"/>
      <c r="EU139" s="2434"/>
      <c r="EV139" s="2434"/>
      <c r="EW139" s="2434"/>
      <c r="EX139" s="2434"/>
      <c r="EY139" s="2434"/>
      <c r="EZ139" s="2434"/>
      <c r="FA139" s="2434"/>
      <c r="FB139" s="2434"/>
      <c r="FC139" s="2434"/>
      <c r="FD139" s="2434"/>
      <c r="FE139" s="2434"/>
      <c r="FF139" s="2434"/>
      <c r="FG139" s="2434"/>
      <c r="FH139" s="2434"/>
      <c r="FI139" s="2434"/>
      <c r="FJ139" s="2434"/>
      <c r="FK139" s="2434"/>
      <c r="FL139" s="2434"/>
      <c r="FM139" s="2434"/>
      <c r="FN139" s="2434"/>
      <c r="FO139" s="2434"/>
      <c r="FP139" s="2434"/>
      <c r="FQ139" s="2434"/>
      <c r="FR139" s="2434"/>
      <c r="FS139" s="2434"/>
      <c r="FT139" s="2433"/>
      <c r="FU139" s="2433"/>
      <c r="FV139" s="2433"/>
      <c r="FW139" s="2434"/>
      <c r="FX139" s="2434"/>
      <c r="FY139" s="2434"/>
      <c r="FZ139" s="2434"/>
      <c r="GA139" s="2434"/>
      <c r="GB139" s="2434"/>
      <c r="GC139" s="2434"/>
      <c r="GD139" s="2434"/>
      <c r="GE139" s="2434"/>
      <c r="GF139" s="2434"/>
      <c r="GG139" s="2434"/>
      <c r="GH139" s="2434"/>
      <c r="GI139" s="2434"/>
      <c r="GJ139" s="2434"/>
      <c r="GK139" s="2434"/>
      <c r="GL139" s="2434"/>
      <c r="GM139" s="2434"/>
      <c r="GN139" s="2434"/>
      <c r="GO139" s="2434"/>
      <c r="GP139" s="2434"/>
      <c r="GQ139" s="2434"/>
      <c r="GR139" s="2434"/>
      <c r="GS139" s="2434"/>
      <c r="GT139" s="2434"/>
      <c r="GU139" s="2434"/>
      <c r="GV139" s="2434"/>
      <c r="GW139" s="2434"/>
      <c r="GX139" s="2434"/>
      <c r="GY139" s="2434"/>
      <c r="GZ139" s="2434"/>
      <c r="HA139" s="2433"/>
      <c r="HB139" s="2434"/>
      <c r="HC139" s="2434"/>
      <c r="HD139" s="2433"/>
      <c r="HE139" s="2434"/>
      <c r="HF139" s="2433"/>
      <c r="HG139" s="2436">
        <v>24600</v>
      </c>
      <c r="HH139" s="2434"/>
      <c r="HI139" s="2433"/>
      <c r="HJ139" s="2433"/>
      <c r="HK139" s="2433"/>
      <c r="HL139" s="2433"/>
      <c r="HM139" s="2433"/>
      <c r="HN139" s="2433"/>
      <c r="HO139" s="2434"/>
      <c r="HP139" s="2433"/>
      <c r="HQ139" s="2434"/>
      <c r="HR139" s="2434"/>
      <c r="HS139" s="2434"/>
      <c r="HT139" s="2434"/>
      <c r="HU139" s="2433"/>
      <c r="HV139" s="2434"/>
      <c r="HW139" s="2434"/>
      <c r="HX139" s="2434"/>
      <c r="HY139" s="2434"/>
      <c r="HZ139" s="2434"/>
      <c r="IA139" s="2434"/>
      <c r="IB139" s="2434"/>
      <c r="IC139" s="2434"/>
      <c r="ID139" s="2434"/>
      <c r="IE139" s="2434"/>
      <c r="IF139" s="2434"/>
      <c r="IG139" s="2434"/>
      <c r="IH139" s="2434"/>
      <c r="II139" s="2434"/>
      <c r="IJ139" s="2434"/>
      <c r="IK139" s="2434"/>
      <c r="IL139" s="2434"/>
      <c r="IM139" s="2434"/>
      <c r="IN139" s="2434"/>
      <c r="IO139" s="2434"/>
      <c r="IP139" s="2434"/>
      <c r="IQ139" s="2434"/>
      <c r="IR139" s="2434"/>
      <c r="IS139" s="2434"/>
      <c r="IT139" s="2434"/>
      <c r="IU139" s="2434"/>
      <c r="IV139" s="2434"/>
      <c r="IW139" s="2434"/>
      <c r="IX139" s="2434"/>
      <c r="IY139" s="2434"/>
      <c r="IZ139" s="2434"/>
      <c r="JA139" s="2434"/>
      <c r="JB139" s="2434"/>
      <c r="JC139" s="2434"/>
      <c r="JD139" s="2434"/>
      <c r="JE139" s="2434"/>
      <c r="JF139" s="2436">
        <v>9450</v>
      </c>
      <c r="JG139" s="2434"/>
      <c r="JH139" s="2434"/>
      <c r="JI139" s="2434"/>
      <c r="JJ139" s="2434"/>
      <c r="JK139" s="2434"/>
      <c r="JL139" s="2434"/>
      <c r="JM139" s="2434"/>
      <c r="JN139" s="2434"/>
      <c r="JO139" s="2434"/>
      <c r="JP139" s="2434"/>
      <c r="JQ139" s="2437"/>
      <c r="JR139" s="312"/>
      <c r="JS139" s="315"/>
      <c r="JT139" s="357"/>
    </row>
    <row r="140" spans="1:280" ht="10.5" customHeight="1" x14ac:dyDescent="0.25">
      <c r="A140" s="1367">
        <v>53</v>
      </c>
      <c r="B140" s="1684" t="str">
        <f t="shared" si="13"/>
        <v/>
      </c>
      <c r="C140" s="2580" t="s">
        <v>4533</v>
      </c>
      <c r="D140" s="1743" t="s">
        <v>4534</v>
      </c>
      <c r="E140" s="2438"/>
      <c r="F140" s="2438"/>
      <c r="G140" s="2438"/>
      <c r="H140" s="2438"/>
      <c r="I140" s="2433"/>
      <c r="J140" s="2434"/>
      <c r="K140" s="2433"/>
      <c r="L140" s="2434"/>
      <c r="M140" s="2433"/>
      <c r="N140" s="2433"/>
      <c r="O140" s="2434"/>
      <c r="P140" s="2434"/>
      <c r="Q140" s="2434"/>
      <c r="R140" s="2434"/>
      <c r="S140" s="2434"/>
      <c r="T140" s="2434"/>
      <c r="U140" s="2434"/>
      <c r="V140" s="2434"/>
      <c r="W140" s="2434"/>
      <c r="X140" s="2434"/>
      <c r="Y140" s="2434"/>
      <c r="Z140" s="2434"/>
      <c r="AA140" s="2434"/>
      <c r="AB140" s="2434"/>
      <c r="AC140" s="2434"/>
      <c r="AD140" s="2434"/>
      <c r="AE140" s="2434"/>
      <c r="AF140" s="2434"/>
      <c r="AG140" s="2434"/>
      <c r="AH140" s="2434"/>
      <c r="AI140" s="2434"/>
      <c r="AJ140" s="2434"/>
      <c r="AK140" s="2434"/>
      <c r="AL140" s="2434"/>
      <c r="AM140" s="2434"/>
      <c r="AN140" s="2434"/>
      <c r="AO140" s="2434"/>
      <c r="AP140" s="2434"/>
      <c r="AQ140" s="2434"/>
      <c r="AR140" s="2434"/>
      <c r="AS140" s="2434"/>
      <c r="AT140" s="2434"/>
      <c r="AU140" s="2434"/>
      <c r="AV140" s="2434"/>
      <c r="AW140" s="2434"/>
      <c r="AX140" s="2433"/>
      <c r="AY140" s="2433"/>
      <c r="AZ140" s="2433"/>
      <c r="BA140" s="2434"/>
      <c r="BB140" s="2434"/>
      <c r="BC140" s="2434"/>
      <c r="BD140" s="2434"/>
      <c r="BE140" s="2434"/>
      <c r="BF140" s="2434"/>
      <c r="BG140" s="2434"/>
      <c r="BH140" s="2434"/>
      <c r="BI140" s="2434"/>
      <c r="BJ140" s="2434"/>
      <c r="BK140" s="2434"/>
      <c r="BL140" s="2434"/>
      <c r="BM140" s="2434"/>
      <c r="BN140" s="2434"/>
      <c r="BO140" s="2434"/>
      <c r="BP140" s="2434"/>
      <c r="BQ140" s="2434"/>
      <c r="BR140" s="2434"/>
      <c r="BS140" s="2434"/>
      <c r="BT140" s="2434"/>
      <c r="BU140" s="2434"/>
      <c r="BV140" s="2434"/>
      <c r="BW140" s="2434"/>
      <c r="BX140" s="2434"/>
      <c r="BY140" s="2434"/>
      <c r="BZ140" s="2434"/>
      <c r="CA140" s="2434"/>
      <c r="CB140" s="2434"/>
      <c r="CC140" s="2434"/>
      <c r="CD140" s="2434"/>
      <c r="CE140" s="2434"/>
      <c r="CF140" s="2434"/>
      <c r="CG140" s="2434"/>
      <c r="CH140" s="2434"/>
      <c r="CI140" s="2434"/>
      <c r="CJ140" s="2433"/>
      <c r="CK140" s="2434"/>
      <c r="CL140" s="2434"/>
      <c r="CM140" s="2434"/>
      <c r="CN140" s="2434"/>
      <c r="CO140" s="2434"/>
      <c r="CP140" s="2434"/>
      <c r="CQ140" s="2434"/>
      <c r="CR140" s="2434"/>
      <c r="CS140" s="2434"/>
      <c r="CT140" s="2434"/>
      <c r="CU140" s="2434"/>
      <c r="CV140" s="2434"/>
      <c r="CW140" s="2434"/>
      <c r="CX140" s="2434"/>
      <c r="CY140" s="2434"/>
      <c r="CZ140" s="2434"/>
      <c r="DA140" s="2434"/>
      <c r="DB140" s="2434"/>
      <c r="DC140" s="2434"/>
      <c r="DD140" s="2434"/>
      <c r="DE140" s="2434"/>
      <c r="DF140" s="2434"/>
      <c r="DG140" s="2434"/>
      <c r="DH140" s="2434"/>
      <c r="DI140" s="2434"/>
      <c r="DJ140" s="2434"/>
      <c r="DK140" s="2434"/>
      <c r="DL140" s="2434"/>
      <c r="DM140" s="2434"/>
      <c r="DN140" s="2434"/>
      <c r="DO140" s="2435">
        <v>357152</v>
      </c>
      <c r="DP140" s="2435">
        <v>360569</v>
      </c>
      <c r="DQ140" s="2434"/>
      <c r="DR140" s="2434"/>
      <c r="DS140" s="2433"/>
      <c r="DT140" s="2433"/>
      <c r="DU140" s="2434"/>
      <c r="DV140" s="2434"/>
      <c r="DW140" s="2434"/>
      <c r="DX140" s="2434"/>
      <c r="DY140" s="2434"/>
      <c r="DZ140" s="2434"/>
      <c r="EA140" s="2434"/>
      <c r="EB140" s="2434"/>
      <c r="EC140" s="2434"/>
      <c r="ED140" s="2434"/>
      <c r="EE140" s="2434"/>
      <c r="EF140" s="2434"/>
      <c r="EG140" s="2434"/>
      <c r="EH140" s="2434"/>
      <c r="EI140" s="2434"/>
      <c r="EJ140" s="2434"/>
      <c r="EK140" s="2434"/>
      <c r="EL140" s="2434"/>
      <c r="EM140" s="2434"/>
      <c r="EN140" s="2434"/>
      <c r="EO140" s="2434"/>
      <c r="EP140" s="2434"/>
      <c r="EQ140" s="2434"/>
      <c r="ER140" s="2434"/>
      <c r="ES140" s="2434"/>
      <c r="ET140" s="2434"/>
      <c r="EU140" s="2434"/>
      <c r="EV140" s="2434"/>
      <c r="EW140" s="2434"/>
      <c r="EX140" s="2434"/>
      <c r="EY140" s="2434"/>
      <c r="EZ140" s="2434"/>
      <c r="FA140" s="2434"/>
      <c r="FB140" s="2434"/>
      <c r="FC140" s="2434"/>
      <c r="FD140" s="2434"/>
      <c r="FE140" s="2434"/>
      <c r="FF140" s="2434"/>
      <c r="FG140" s="2434"/>
      <c r="FH140" s="2434"/>
      <c r="FI140" s="2434"/>
      <c r="FJ140" s="2434"/>
      <c r="FK140" s="2434"/>
      <c r="FL140" s="2434"/>
      <c r="FM140" s="2434"/>
      <c r="FN140" s="2434"/>
      <c r="FO140" s="2434"/>
      <c r="FP140" s="2434"/>
      <c r="FQ140" s="2434"/>
      <c r="FR140" s="2434"/>
      <c r="FS140" s="2434"/>
      <c r="FT140" s="2433"/>
      <c r="FU140" s="2433"/>
      <c r="FV140" s="2433"/>
      <c r="FW140" s="2434"/>
      <c r="FX140" s="2434"/>
      <c r="FY140" s="2434"/>
      <c r="FZ140" s="2434"/>
      <c r="GA140" s="2434"/>
      <c r="GB140" s="2434"/>
      <c r="GC140" s="2434"/>
      <c r="GD140" s="2434"/>
      <c r="GE140" s="2434"/>
      <c r="GF140" s="2434"/>
      <c r="GG140" s="2434"/>
      <c r="GH140" s="2434"/>
      <c r="GI140" s="2434"/>
      <c r="GJ140" s="2434"/>
      <c r="GK140" s="2434"/>
      <c r="GL140" s="2434"/>
      <c r="GM140" s="2434"/>
      <c r="GN140" s="2434"/>
      <c r="GO140" s="2434"/>
      <c r="GP140" s="2434"/>
      <c r="GQ140" s="2434"/>
      <c r="GR140" s="2434"/>
      <c r="GS140" s="2434"/>
      <c r="GT140" s="2434"/>
      <c r="GU140" s="2434"/>
      <c r="GV140" s="2434"/>
      <c r="GW140" s="2434"/>
      <c r="GX140" s="2434"/>
      <c r="GY140" s="2434"/>
      <c r="GZ140" s="2434"/>
      <c r="HA140" s="2433"/>
      <c r="HB140" s="2434"/>
      <c r="HC140" s="2434"/>
      <c r="HD140" s="2433"/>
      <c r="HE140" s="2434"/>
      <c r="HF140" s="2433"/>
      <c r="HG140" s="2436">
        <v>24600</v>
      </c>
      <c r="HH140" s="2434"/>
      <c r="HI140" s="2433"/>
      <c r="HJ140" s="2433"/>
      <c r="HK140" s="2433"/>
      <c r="HL140" s="2433"/>
      <c r="HM140" s="2433"/>
      <c r="HN140" s="2433"/>
      <c r="HO140" s="2434"/>
      <c r="HP140" s="2433"/>
      <c r="HQ140" s="2434"/>
      <c r="HR140" s="2434"/>
      <c r="HS140" s="2434"/>
      <c r="HT140" s="2434"/>
      <c r="HU140" s="2433"/>
      <c r="HV140" s="2434"/>
      <c r="HW140" s="2434"/>
      <c r="HX140" s="2434"/>
      <c r="HY140" s="2434"/>
      <c r="HZ140" s="2434"/>
      <c r="IA140" s="2434"/>
      <c r="IB140" s="2434"/>
      <c r="IC140" s="2434"/>
      <c r="ID140" s="2434"/>
      <c r="IE140" s="2434"/>
      <c r="IF140" s="2434"/>
      <c r="IG140" s="2434"/>
      <c r="IH140" s="2434"/>
      <c r="II140" s="2434"/>
      <c r="IJ140" s="2434"/>
      <c r="IK140" s="2434"/>
      <c r="IL140" s="2434"/>
      <c r="IM140" s="2434"/>
      <c r="IN140" s="2434"/>
      <c r="IO140" s="2434"/>
      <c r="IP140" s="2434"/>
      <c r="IQ140" s="2434"/>
      <c r="IR140" s="2434"/>
      <c r="IS140" s="2434"/>
      <c r="IT140" s="2434"/>
      <c r="IU140" s="2434"/>
      <c r="IV140" s="2434"/>
      <c r="IW140" s="2434"/>
      <c r="IX140" s="2434"/>
      <c r="IY140" s="2434"/>
      <c r="IZ140" s="2434"/>
      <c r="JA140" s="2434"/>
      <c r="JB140" s="2434"/>
      <c r="JC140" s="2434"/>
      <c r="JD140" s="2434"/>
      <c r="JE140" s="2434"/>
      <c r="JF140" s="2436">
        <v>9450</v>
      </c>
      <c r="JG140" s="2434"/>
      <c r="JH140" s="2434"/>
      <c r="JI140" s="2434"/>
      <c r="JJ140" s="2434"/>
      <c r="JK140" s="2434"/>
      <c r="JL140" s="2434"/>
      <c r="JM140" s="2434"/>
      <c r="JN140" s="2434"/>
      <c r="JO140" s="2434"/>
      <c r="JP140" s="2434"/>
      <c r="JQ140" s="2437"/>
      <c r="JR140" s="312"/>
      <c r="JS140" s="315"/>
      <c r="JT140" s="357"/>
    </row>
    <row r="141" spans="1:280" ht="10.5" customHeight="1" x14ac:dyDescent="0.25">
      <c r="A141" s="1367">
        <v>54</v>
      </c>
      <c r="B141" s="1411" t="str">
        <f t="shared" si="13"/>
        <v/>
      </c>
      <c r="C141" s="2580" t="s">
        <v>4535</v>
      </c>
      <c r="D141" s="1767" t="s">
        <v>4536</v>
      </c>
      <c r="E141" s="1762"/>
      <c r="F141" s="1762"/>
      <c r="G141" s="1762"/>
      <c r="H141" s="1762"/>
      <c r="I141" s="1763"/>
      <c r="J141" s="1764"/>
      <c r="K141" s="1763"/>
      <c r="L141" s="1764"/>
      <c r="M141" s="1763"/>
      <c r="N141" s="1763"/>
      <c r="O141" s="1764"/>
      <c r="P141" s="1764"/>
      <c r="Q141" s="1764"/>
      <c r="R141" s="1764"/>
      <c r="S141" s="1764"/>
      <c r="T141" s="1764"/>
      <c r="U141" s="1764"/>
      <c r="V141" s="1764"/>
      <c r="W141" s="1764"/>
      <c r="X141" s="1764"/>
      <c r="Y141" s="1764"/>
      <c r="Z141" s="1764"/>
      <c r="AA141" s="1764"/>
      <c r="AB141" s="1764"/>
      <c r="AC141" s="1764"/>
      <c r="AD141" s="1764"/>
      <c r="AE141" s="1764"/>
      <c r="AF141" s="1764"/>
      <c r="AG141" s="1764"/>
      <c r="AH141" s="1764"/>
      <c r="AI141" s="1764"/>
      <c r="AJ141" s="1764"/>
      <c r="AK141" s="1764"/>
      <c r="AL141" s="1764"/>
      <c r="AM141" s="1764"/>
      <c r="AN141" s="1764"/>
      <c r="AO141" s="1764"/>
      <c r="AP141" s="1764"/>
      <c r="AQ141" s="1764"/>
      <c r="AR141" s="1764"/>
      <c r="AS141" s="1764"/>
      <c r="AT141" s="1764"/>
      <c r="AU141" s="1764"/>
      <c r="AV141" s="1764"/>
      <c r="AW141" s="1764"/>
      <c r="AX141" s="1763"/>
      <c r="AY141" s="1763"/>
      <c r="AZ141" s="1763"/>
      <c r="BA141" s="1764"/>
      <c r="BB141" s="1764"/>
      <c r="BC141" s="1764"/>
      <c r="BD141" s="1764"/>
      <c r="BE141" s="1764"/>
      <c r="BF141" s="1764"/>
      <c r="BG141" s="1764"/>
      <c r="BH141" s="1764"/>
      <c r="BI141" s="1764"/>
      <c r="BJ141" s="1764"/>
      <c r="BK141" s="1764"/>
      <c r="BL141" s="1764"/>
      <c r="BM141" s="1764"/>
      <c r="BN141" s="1764"/>
      <c r="BO141" s="1764"/>
      <c r="BP141" s="1764"/>
      <c r="BQ141" s="1764"/>
      <c r="BR141" s="1764"/>
      <c r="BS141" s="1764"/>
      <c r="BT141" s="1764"/>
      <c r="BU141" s="1764"/>
      <c r="BV141" s="1764"/>
      <c r="BW141" s="1764"/>
      <c r="BX141" s="1764"/>
      <c r="BY141" s="1764"/>
      <c r="BZ141" s="1764"/>
      <c r="CA141" s="1764"/>
      <c r="CB141" s="1764"/>
      <c r="CC141" s="1764"/>
      <c r="CD141" s="1764"/>
      <c r="CE141" s="1764"/>
      <c r="CF141" s="1764"/>
      <c r="CG141" s="1764"/>
      <c r="CH141" s="1764"/>
      <c r="CI141" s="1764"/>
      <c r="CJ141" s="1763"/>
      <c r="CK141" s="1764"/>
      <c r="CL141" s="1764"/>
      <c r="CM141" s="1764"/>
      <c r="CN141" s="1764"/>
      <c r="CO141" s="1764"/>
      <c r="CP141" s="1764"/>
      <c r="CQ141" s="1764"/>
      <c r="CR141" s="1764"/>
      <c r="CS141" s="1764"/>
      <c r="CT141" s="1764"/>
      <c r="CU141" s="1764"/>
      <c r="CV141" s="1764"/>
      <c r="CW141" s="1764"/>
      <c r="CX141" s="1764"/>
      <c r="CY141" s="1764"/>
      <c r="CZ141" s="1764"/>
      <c r="DA141" s="1764"/>
      <c r="DB141" s="1764"/>
      <c r="DC141" s="1764"/>
      <c r="DD141" s="1764"/>
      <c r="DE141" s="1764"/>
      <c r="DF141" s="1764"/>
      <c r="DG141" s="1764"/>
      <c r="DH141" s="1764"/>
      <c r="DI141" s="1764"/>
      <c r="DJ141" s="1764"/>
      <c r="DK141" s="1764"/>
      <c r="DL141" s="1764"/>
      <c r="DM141" s="1764"/>
      <c r="DN141" s="1764"/>
      <c r="DO141" s="1766" t="s">
        <v>1707</v>
      </c>
      <c r="DP141" s="1766" t="s">
        <v>1707</v>
      </c>
      <c r="DQ141" s="1764"/>
      <c r="DR141" s="1764"/>
      <c r="DS141" s="1763"/>
      <c r="DT141" s="1763"/>
      <c r="DU141" s="1764"/>
      <c r="DV141" s="1764"/>
      <c r="DW141" s="1764"/>
      <c r="DX141" s="1764"/>
      <c r="DY141" s="1764"/>
      <c r="DZ141" s="1764"/>
      <c r="EA141" s="1764"/>
      <c r="EB141" s="1764"/>
      <c r="EC141" s="1764"/>
      <c r="ED141" s="1764"/>
      <c r="EE141" s="1764"/>
      <c r="EF141" s="1764"/>
      <c r="EG141" s="1764"/>
      <c r="EH141" s="1764"/>
      <c r="EI141" s="1764"/>
      <c r="EJ141" s="1764"/>
      <c r="EK141" s="1764"/>
      <c r="EL141" s="1764"/>
      <c r="EM141" s="1764"/>
      <c r="EN141" s="1764"/>
      <c r="EO141" s="1764"/>
      <c r="EP141" s="1764"/>
      <c r="EQ141" s="1764"/>
      <c r="ER141" s="1764"/>
      <c r="ES141" s="1764"/>
      <c r="ET141" s="1764"/>
      <c r="EU141" s="1764"/>
      <c r="EV141" s="1764"/>
      <c r="EW141" s="1764"/>
      <c r="EX141" s="1764"/>
      <c r="EY141" s="1764"/>
      <c r="EZ141" s="1766" t="s">
        <v>1707</v>
      </c>
      <c r="FA141" s="1764"/>
      <c r="FB141" s="1764"/>
      <c r="FC141" s="1764"/>
      <c r="FD141" s="1764"/>
      <c r="FE141" s="1764"/>
      <c r="FF141" s="1764"/>
      <c r="FG141" s="1764"/>
      <c r="FH141" s="1764"/>
      <c r="FI141" s="1764"/>
      <c r="FJ141" s="1764"/>
      <c r="FK141" s="1764"/>
      <c r="FL141" s="1766" t="s">
        <v>1707</v>
      </c>
      <c r="FM141" s="1764"/>
      <c r="FN141" s="1764"/>
      <c r="FO141" s="1764"/>
      <c r="FP141" s="1764"/>
      <c r="FQ141" s="1764"/>
      <c r="FR141" s="1764"/>
      <c r="FS141" s="1764"/>
      <c r="FT141" s="1763"/>
      <c r="FU141" s="1763"/>
      <c r="FV141" s="1763"/>
      <c r="FW141" s="1764"/>
      <c r="FX141" s="1764"/>
      <c r="FY141" s="1764"/>
      <c r="FZ141" s="1764"/>
      <c r="GA141" s="1764"/>
      <c r="GB141" s="1764"/>
      <c r="GC141" s="1764"/>
      <c r="GD141" s="1764"/>
      <c r="GE141" s="1764"/>
      <c r="GF141" s="1764"/>
      <c r="GG141" s="1764"/>
      <c r="GH141" s="1764"/>
      <c r="GI141" s="1764"/>
      <c r="GJ141" s="1764"/>
      <c r="GK141" s="1764"/>
      <c r="GL141" s="1764"/>
      <c r="GM141" s="1764"/>
      <c r="GN141" s="1764"/>
      <c r="GO141" s="1764"/>
      <c r="GP141" s="1764"/>
      <c r="GQ141" s="1764"/>
      <c r="GR141" s="1764"/>
      <c r="GS141" s="1764"/>
      <c r="GT141" s="1764"/>
      <c r="GU141" s="1764"/>
      <c r="GV141" s="1764"/>
      <c r="GW141" s="1764"/>
      <c r="GX141" s="1764"/>
      <c r="GY141" s="1764"/>
      <c r="GZ141" s="1764"/>
      <c r="HA141" s="1763"/>
      <c r="HB141" s="1764"/>
      <c r="HC141" s="1764"/>
      <c r="HD141" s="1763"/>
      <c r="HE141" s="1764"/>
      <c r="HF141" s="1763"/>
      <c r="HG141" s="2398" t="s">
        <v>1707</v>
      </c>
      <c r="HH141" s="1764"/>
      <c r="HI141" s="1763"/>
      <c r="HJ141" s="1763"/>
      <c r="HK141" s="1763"/>
      <c r="HL141" s="1763"/>
      <c r="HM141" s="1763"/>
      <c r="HN141" s="1763"/>
      <c r="HO141" s="1764"/>
      <c r="HP141" s="1763"/>
      <c r="HQ141" s="1764"/>
      <c r="HR141" s="1764"/>
      <c r="HS141" s="1764"/>
      <c r="HT141" s="1764"/>
      <c r="HU141" s="1763"/>
      <c r="HV141" s="1764"/>
      <c r="HW141" s="1764"/>
      <c r="HX141" s="1764"/>
      <c r="HY141" s="1764"/>
      <c r="HZ141" s="1764"/>
      <c r="IA141" s="1764"/>
      <c r="IB141" s="1764"/>
      <c r="IC141" s="1764"/>
      <c r="ID141" s="1764"/>
      <c r="IE141" s="1764"/>
      <c r="IF141" s="1764"/>
      <c r="IG141" s="1764"/>
      <c r="IH141" s="1764"/>
      <c r="II141" s="1764"/>
      <c r="IJ141" s="1764"/>
      <c r="IK141" s="1764"/>
      <c r="IL141" s="1764"/>
      <c r="IM141" s="1764"/>
      <c r="IN141" s="1764"/>
      <c r="IO141" s="1764"/>
      <c r="IP141" s="1764"/>
      <c r="IQ141" s="1764"/>
      <c r="IR141" s="1764"/>
      <c r="IS141" s="1764"/>
      <c r="IT141" s="1764"/>
      <c r="IU141" s="1764"/>
      <c r="IV141" s="1764"/>
      <c r="IW141" s="1764"/>
      <c r="IX141" s="1764"/>
      <c r="IY141" s="1764"/>
      <c r="IZ141" s="1764"/>
      <c r="JA141" s="1766" t="s">
        <v>1707</v>
      </c>
      <c r="JB141" s="1764"/>
      <c r="JC141" s="1764"/>
      <c r="JD141" s="1766" t="s">
        <v>1707</v>
      </c>
      <c r="JE141" s="1766" t="s">
        <v>1707</v>
      </c>
      <c r="JF141" s="1764"/>
      <c r="JG141" s="1764"/>
      <c r="JH141" s="1764"/>
      <c r="JI141" s="1764"/>
      <c r="JJ141" s="1764"/>
      <c r="JK141" s="1764"/>
      <c r="JL141" s="1766" t="s">
        <v>1707</v>
      </c>
      <c r="JM141" s="1766" t="s">
        <v>1707</v>
      </c>
      <c r="JN141" s="1764"/>
      <c r="JO141" s="1764"/>
      <c r="JP141" s="1764"/>
      <c r="JQ141" s="1765"/>
      <c r="JR141" s="312"/>
      <c r="JS141" s="315"/>
      <c r="JT141" s="357"/>
    </row>
    <row r="142" spans="1:280" ht="10.5" customHeight="1" x14ac:dyDescent="0.25">
      <c r="A142" s="1367">
        <v>55</v>
      </c>
      <c r="B142" s="1411" t="str">
        <f t="shared" si="13"/>
        <v/>
      </c>
      <c r="C142" s="2580" t="s">
        <v>4537</v>
      </c>
      <c r="D142" s="1743" t="s">
        <v>4538</v>
      </c>
      <c r="E142" s="2449"/>
      <c r="F142" s="2450"/>
      <c r="G142" s="2450"/>
      <c r="H142" s="794"/>
      <c r="I142" s="2450"/>
      <c r="J142" s="2451"/>
      <c r="K142" s="2450"/>
      <c r="L142" s="2451"/>
      <c r="M142" s="2450"/>
      <c r="N142" s="2450"/>
      <c r="O142" s="2451"/>
      <c r="P142" s="2451"/>
      <c r="Q142" s="2451"/>
      <c r="R142" s="2451"/>
      <c r="S142" s="2451"/>
      <c r="T142" s="2451"/>
      <c r="U142" s="2451"/>
      <c r="V142" s="2451"/>
      <c r="W142" s="2451"/>
      <c r="X142" s="2451"/>
      <c r="Y142" s="2451"/>
      <c r="Z142" s="2451"/>
      <c r="AA142" s="2451"/>
      <c r="AB142" s="2451"/>
      <c r="AC142" s="2451"/>
      <c r="AD142" s="2451"/>
      <c r="AE142" s="2451"/>
      <c r="AF142" s="2451"/>
      <c r="AG142" s="2451"/>
      <c r="AH142" s="2451"/>
      <c r="AI142" s="2451"/>
      <c r="AJ142" s="2451"/>
      <c r="AK142" s="2451"/>
      <c r="AL142" s="2451"/>
      <c r="AM142" s="2451"/>
      <c r="AN142" s="2451"/>
      <c r="AO142" s="2451"/>
      <c r="AP142" s="2451"/>
      <c r="AQ142" s="2451"/>
      <c r="AR142" s="2451"/>
      <c r="AS142" s="2451"/>
      <c r="AT142" s="2451"/>
      <c r="AU142" s="2451"/>
      <c r="AV142" s="2451"/>
      <c r="AW142" s="2451"/>
      <c r="AX142" s="2450"/>
      <c r="AY142" s="2450"/>
      <c r="AZ142" s="2450"/>
      <c r="BA142" s="2451"/>
      <c r="BB142" s="2451"/>
      <c r="BC142" s="2451"/>
      <c r="BD142" s="2451"/>
      <c r="BE142" s="2451"/>
      <c r="BF142" s="2451"/>
      <c r="BG142" s="2451"/>
      <c r="BH142" s="2451"/>
      <c r="BI142" s="2451"/>
      <c r="BJ142" s="2451"/>
      <c r="BK142" s="2451"/>
      <c r="BL142" s="2451"/>
      <c r="BM142" s="2451"/>
      <c r="BN142" s="2451"/>
      <c r="BO142" s="2451"/>
      <c r="BP142" s="2451"/>
      <c r="BQ142" s="2451"/>
      <c r="BR142" s="2451"/>
      <c r="BS142" s="2451"/>
      <c r="BT142" s="2451"/>
      <c r="BU142" s="2451"/>
      <c r="BV142" s="2451"/>
      <c r="BW142" s="2451"/>
      <c r="BX142" s="2451"/>
      <c r="BY142" s="2451"/>
      <c r="BZ142" s="2451"/>
      <c r="CA142" s="2451"/>
      <c r="CB142" s="2451"/>
      <c r="CC142" s="2451"/>
      <c r="CD142" s="2451"/>
      <c r="CE142" s="2451"/>
      <c r="CF142" s="2451"/>
      <c r="CG142" s="2451"/>
      <c r="CH142" s="2451"/>
      <c r="CI142" s="2451"/>
      <c r="CJ142" s="2450"/>
      <c r="CK142" s="2451"/>
      <c r="CL142" s="2451"/>
      <c r="CM142" s="2451"/>
      <c r="CN142" s="2451"/>
      <c r="CO142" s="2451"/>
      <c r="CP142" s="2451"/>
      <c r="CQ142" s="2451"/>
      <c r="CR142" s="2451"/>
      <c r="CS142" s="2451"/>
      <c r="CT142" s="2451"/>
      <c r="CU142" s="2451"/>
      <c r="CV142" s="2451"/>
      <c r="CW142" s="2451"/>
      <c r="CX142" s="2451"/>
      <c r="CY142" s="2451"/>
      <c r="CZ142" s="2451"/>
      <c r="DA142" s="2451"/>
      <c r="DB142" s="2451"/>
      <c r="DC142" s="2451"/>
      <c r="DD142" s="2451"/>
      <c r="DE142" s="2451"/>
      <c r="DF142" s="2451"/>
      <c r="DG142" s="2451"/>
      <c r="DH142" s="2451"/>
      <c r="DI142" s="2451"/>
      <c r="DJ142" s="2451"/>
      <c r="DK142" s="2451"/>
      <c r="DL142" s="2451"/>
      <c r="DM142" s="2451"/>
      <c r="DN142" s="2451"/>
      <c r="DO142" s="2452">
        <v>25000</v>
      </c>
      <c r="DP142" s="2452">
        <v>33000</v>
      </c>
      <c r="DQ142" s="2451"/>
      <c r="DR142" s="2451"/>
      <c r="DS142" s="2450"/>
      <c r="DT142" s="2450"/>
      <c r="DU142" s="2451"/>
      <c r="DV142" s="2451"/>
      <c r="DW142" s="2451"/>
      <c r="DX142" s="2451"/>
      <c r="DY142" s="2451"/>
      <c r="DZ142" s="2451"/>
      <c r="EA142" s="2451"/>
      <c r="EB142" s="2451"/>
      <c r="EC142" s="2451"/>
      <c r="ED142" s="2451"/>
      <c r="EE142" s="2451"/>
      <c r="EF142" s="2451"/>
      <c r="EG142" s="2451"/>
      <c r="EH142" s="2451"/>
      <c r="EI142" s="2451"/>
      <c r="EJ142" s="2451"/>
      <c r="EK142" s="2451"/>
      <c r="EL142" s="2451"/>
      <c r="EM142" s="2451"/>
      <c r="EN142" s="2451"/>
      <c r="EO142" s="2451"/>
      <c r="EP142" s="2451"/>
      <c r="EQ142" s="2451"/>
      <c r="ER142" s="2451"/>
      <c r="ES142" s="2451"/>
      <c r="ET142" s="2451"/>
      <c r="EU142" s="2451"/>
      <c r="EV142" s="2451"/>
      <c r="EW142" s="2451"/>
      <c r="EX142" s="2451"/>
      <c r="EY142" s="2451"/>
      <c r="EZ142" s="2452">
        <v>5000</v>
      </c>
      <c r="FA142" s="2451"/>
      <c r="FB142" s="2451"/>
      <c r="FC142" s="2451"/>
      <c r="FD142" s="2451"/>
      <c r="FE142" s="2451"/>
      <c r="FF142" s="2451"/>
      <c r="FG142" s="2451"/>
      <c r="FH142" s="2451"/>
      <c r="FI142" s="2451"/>
      <c r="FJ142" s="2451"/>
      <c r="FK142" s="2451"/>
      <c r="FL142" s="2452">
        <v>6500</v>
      </c>
      <c r="FM142" s="2451"/>
      <c r="FN142" s="2451"/>
      <c r="FO142" s="2451"/>
      <c r="FP142" s="2451"/>
      <c r="FQ142" s="2451"/>
      <c r="FR142" s="2451"/>
      <c r="FS142" s="2451"/>
      <c r="FT142" s="2450"/>
      <c r="FU142" s="2450"/>
      <c r="FV142" s="2450"/>
      <c r="FW142" s="2451"/>
      <c r="FX142" s="2451"/>
      <c r="FY142" s="2451"/>
      <c r="FZ142" s="2451"/>
      <c r="GA142" s="2451"/>
      <c r="GB142" s="2451"/>
      <c r="GC142" s="2451"/>
      <c r="GD142" s="2451"/>
      <c r="GE142" s="2451"/>
      <c r="GF142" s="2451"/>
      <c r="GG142" s="2451"/>
      <c r="GH142" s="2451"/>
      <c r="GI142" s="2451"/>
      <c r="GJ142" s="2451"/>
      <c r="GK142" s="2451"/>
      <c r="GL142" s="2451"/>
      <c r="GM142" s="2451"/>
      <c r="GN142" s="2451"/>
      <c r="GO142" s="2451"/>
      <c r="GP142" s="2451"/>
      <c r="GQ142" s="2451"/>
      <c r="GR142" s="2451"/>
      <c r="GS142" s="2451"/>
      <c r="GT142" s="2451"/>
      <c r="GU142" s="2451"/>
      <c r="GV142" s="2451"/>
      <c r="GW142" s="2451"/>
      <c r="GX142" s="2451"/>
      <c r="GY142" s="2451"/>
      <c r="GZ142" s="2451"/>
      <c r="HA142" s="2450"/>
      <c r="HB142" s="2451"/>
      <c r="HC142" s="2451"/>
      <c r="HD142" s="2450"/>
      <c r="HE142" s="2451"/>
      <c r="HF142" s="2450"/>
      <c r="HG142" s="2453">
        <v>21000</v>
      </c>
      <c r="HH142" s="2451"/>
      <c r="HI142" s="2450"/>
      <c r="HJ142" s="2450"/>
      <c r="HK142" s="2450"/>
      <c r="HL142" s="2450"/>
      <c r="HM142" s="2450"/>
      <c r="HN142" s="2450"/>
      <c r="HO142" s="2451"/>
      <c r="HP142" s="2450"/>
      <c r="HQ142" s="2451"/>
      <c r="HR142" s="2451"/>
      <c r="HS142" s="2451"/>
      <c r="HT142" s="2451"/>
      <c r="HU142" s="2450"/>
      <c r="HV142" s="2451"/>
      <c r="HW142" s="2451"/>
      <c r="HX142" s="2451"/>
      <c r="HY142" s="2451"/>
      <c r="HZ142" s="2451"/>
      <c r="IA142" s="2451"/>
      <c r="IB142" s="2451"/>
      <c r="IC142" s="2451"/>
      <c r="ID142" s="2451"/>
      <c r="IE142" s="2451"/>
      <c r="IF142" s="2451"/>
      <c r="IG142" s="2451"/>
      <c r="IH142" s="2451"/>
      <c r="II142" s="2451"/>
      <c r="IJ142" s="2451"/>
      <c r="IK142" s="2451"/>
      <c r="IL142" s="2451"/>
      <c r="IM142" s="2451"/>
      <c r="IN142" s="2451"/>
      <c r="IO142" s="2451"/>
      <c r="IP142" s="2451"/>
      <c r="IQ142" s="2451"/>
      <c r="IR142" s="2451"/>
      <c r="IS142" s="2451"/>
      <c r="IT142" s="2451"/>
      <c r="IU142" s="2451"/>
      <c r="IV142" s="2451"/>
      <c r="IW142" s="2451"/>
      <c r="IX142" s="2451"/>
      <c r="IY142" s="2451"/>
      <c r="IZ142" s="2451"/>
      <c r="JA142" s="2452">
        <v>2300</v>
      </c>
      <c r="JB142" s="2451"/>
      <c r="JC142" s="2451"/>
      <c r="JD142" s="2452">
        <v>3500</v>
      </c>
      <c r="JE142" s="2452">
        <v>5000</v>
      </c>
      <c r="JF142" s="2451"/>
      <c r="JG142" s="2451"/>
      <c r="JH142" s="2451"/>
      <c r="JI142" s="2451"/>
      <c r="JJ142" s="2451"/>
      <c r="JK142" s="2451"/>
      <c r="JL142" s="2452">
        <v>30000</v>
      </c>
      <c r="JM142" s="2452">
        <v>49000</v>
      </c>
      <c r="JN142" s="2451"/>
      <c r="JO142" s="2451"/>
      <c r="JP142" s="2451"/>
      <c r="JQ142" s="2454"/>
      <c r="JR142" s="312"/>
      <c r="JS142" s="315"/>
      <c r="JT142" s="357"/>
    </row>
    <row r="143" spans="1:280" ht="10.5" customHeight="1" x14ac:dyDescent="0.25">
      <c r="A143" s="1367">
        <v>56</v>
      </c>
      <c r="B143" s="1411" t="str">
        <f t="shared" si="13"/>
        <v/>
      </c>
      <c r="C143" s="2580" t="s">
        <v>4539</v>
      </c>
      <c r="D143" s="1743" t="s">
        <v>4542</v>
      </c>
      <c r="E143" s="2449"/>
      <c r="F143" s="2449"/>
      <c r="G143" s="2450"/>
      <c r="H143" s="2601"/>
      <c r="I143" s="2450"/>
      <c r="J143" s="2451"/>
      <c r="K143" s="2450"/>
      <c r="L143" s="2451"/>
      <c r="M143" s="2450"/>
      <c r="N143" s="2450"/>
      <c r="O143" s="2451"/>
      <c r="P143" s="2451"/>
      <c r="Q143" s="2451"/>
      <c r="R143" s="2451"/>
      <c r="S143" s="2451"/>
      <c r="T143" s="2451"/>
      <c r="U143" s="2451"/>
      <c r="V143" s="2451"/>
      <c r="W143" s="2451"/>
      <c r="X143" s="2451"/>
      <c r="Y143" s="2451"/>
      <c r="Z143" s="2451"/>
      <c r="AA143" s="2451"/>
      <c r="AB143" s="2451"/>
      <c r="AC143" s="2451"/>
      <c r="AD143" s="2451"/>
      <c r="AE143" s="2451"/>
      <c r="AF143" s="2451"/>
      <c r="AG143" s="2451"/>
      <c r="AH143" s="2451"/>
      <c r="AI143" s="2451"/>
      <c r="AJ143" s="2451"/>
      <c r="AK143" s="2451"/>
      <c r="AL143" s="2451"/>
      <c r="AM143" s="2451"/>
      <c r="AN143" s="2451"/>
      <c r="AO143" s="2451"/>
      <c r="AP143" s="2451"/>
      <c r="AQ143" s="2451"/>
      <c r="AR143" s="2451"/>
      <c r="AS143" s="2451"/>
      <c r="AT143" s="2451"/>
      <c r="AU143" s="2451"/>
      <c r="AV143" s="2451"/>
      <c r="AW143" s="2451"/>
      <c r="AX143" s="2450"/>
      <c r="AY143" s="2450"/>
      <c r="AZ143" s="2450"/>
      <c r="BA143" s="2451"/>
      <c r="BB143" s="2451"/>
      <c r="BC143" s="2451"/>
      <c r="BD143" s="2451"/>
      <c r="BE143" s="2451"/>
      <c r="BF143" s="2451"/>
      <c r="BG143" s="2451"/>
      <c r="BH143" s="2451"/>
      <c r="BI143" s="2451"/>
      <c r="BJ143" s="2451"/>
      <c r="BK143" s="2451"/>
      <c r="BL143" s="2451"/>
      <c r="BM143" s="2451"/>
      <c r="BN143" s="2451"/>
      <c r="BO143" s="2451"/>
      <c r="BP143" s="2451"/>
      <c r="BQ143" s="2451"/>
      <c r="BR143" s="2451"/>
      <c r="BS143" s="2451"/>
      <c r="BT143" s="2451"/>
      <c r="BU143" s="2451"/>
      <c r="BV143" s="2451"/>
      <c r="BW143" s="2451"/>
      <c r="BX143" s="2451"/>
      <c r="BY143" s="2451"/>
      <c r="BZ143" s="2451"/>
      <c r="CA143" s="2451"/>
      <c r="CB143" s="2451"/>
      <c r="CC143" s="2451"/>
      <c r="CD143" s="2451"/>
      <c r="CE143" s="2451"/>
      <c r="CF143" s="2451"/>
      <c r="CG143" s="2451"/>
      <c r="CH143" s="2451"/>
      <c r="CI143" s="2451"/>
      <c r="CJ143" s="2450"/>
      <c r="CK143" s="2451"/>
      <c r="CL143" s="2451"/>
      <c r="CM143" s="2451"/>
      <c r="CN143" s="2451"/>
      <c r="CO143" s="2451"/>
      <c r="CP143" s="2451"/>
      <c r="CQ143" s="2451"/>
      <c r="CR143" s="2451"/>
      <c r="CS143" s="2451"/>
      <c r="CT143" s="2451"/>
      <c r="CU143" s="2451"/>
      <c r="CV143" s="2451"/>
      <c r="CW143" s="2451"/>
      <c r="CX143" s="2451"/>
      <c r="CY143" s="2451"/>
      <c r="CZ143" s="2451"/>
      <c r="DA143" s="2451"/>
      <c r="DB143" s="2451"/>
      <c r="DC143" s="2451"/>
      <c r="DD143" s="2451"/>
      <c r="DE143" s="2451"/>
      <c r="DF143" s="2451"/>
      <c r="DG143" s="2451"/>
      <c r="DH143" s="2451"/>
      <c r="DI143" s="2451"/>
      <c r="DJ143" s="2451"/>
      <c r="DK143" s="2451"/>
      <c r="DL143" s="2451"/>
      <c r="DM143" s="2451"/>
      <c r="DN143" s="2451"/>
      <c r="DO143" s="2452">
        <v>16000</v>
      </c>
      <c r="DP143" s="2451"/>
      <c r="DQ143" s="2451"/>
      <c r="DR143" s="2451"/>
      <c r="DS143" s="2450"/>
      <c r="DT143" s="2450"/>
      <c r="DU143" s="2451"/>
      <c r="DV143" s="2451"/>
      <c r="DW143" s="2451"/>
      <c r="DX143" s="2451"/>
      <c r="DY143" s="2451"/>
      <c r="DZ143" s="2451"/>
      <c r="EA143" s="2451"/>
      <c r="EB143" s="2451"/>
      <c r="EC143" s="2451"/>
      <c r="ED143" s="2451"/>
      <c r="EE143" s="2451"/>
      <c r="EF143" s="2451"/>
      <c r="EG143" s="2451"/>
      <c r="EH143" s="2451"/>
      <c r="EI143" s="2451"/>
      <c r="EJ143" s="2451"/>
      <c r="EK143" s="2451"/>
      <c r="EL143" s="2451"/>
      <c r="EM143" s="2451"/>
      <c r="EN143" s="2451"/>
      <c r="EO143" s="2451"/>
      <c r="EP143" s="2451"/>
      <c r="EQ143" s="2451"/>
      <c r="ER143" s="2451"/>
      <c r="ES143" s="2451"/>
      <c r="ET143" s="2451"/>
      <c r="EU143" s="2451"/>
      <c r="EV143" s="2451"/>
      <c r="EW143" s="2451"/>
      <c r="EX143" s="2451"/>
      <c r="EY143" s="2451"/>
      <c r="EZ143" s="2451"/>
      <c r="FA143" s="2451"/>
      <c r="FB143" s="2451"/>
      <c r="FC143" s="2451"/>
      <c r="FD143" s="2451"/>
      <c r="FE143" s="2451"/>
      <c r="FF143" s="2451"/>
      <c r="FG143" s="2451"/>
      <c r="FH143" s="2451"/>
      <c r="FI143" s="2451"/>
      <c r="FJ143" s="2451"/>
      <c r="FK143" s="2451"/>
      <c r="FL143" s="2451"/>
      <c r="FM143" s="2451"/>
      <c r="FN143" s="2451"/>
      <c r="FO143" s="2451"/>
      <c r="FP143" s="2451"/>
      <c r="FQ143" s="2451"/>
      <c r="FR143" s="2451"/>
      <c r="FS143" s="2451"/>
      <c r="FT143" s="2450"/>
      <c r="FU143" s="2450"/>
      <c r="FV143" s="2450"/>
      <c r="FW143" s="2451"/>
      <c r="FX143" s="2451"/>
      <c r="FY143" s="2451"/>
      <c r="FZ143" s="2451"/>
      <c r="GA143" s="2451"/>
      <c r="GB143" s="2451"/>
      <c r="GC143" s="2451"/>
      <c r="GD143" s="2451"/>
      <c r="GE143" s="2451"/>
      <c r="GF143" s="2451"/>
      <c r="GG143" s="2451"/>
      <c r="GH143" s="2451"/>
      <c r="GI143" s="2451"/>
      <c r="GJ143" s="2451"/>
      <c r="GK143" s="2451"/>
      <c r="GL143" s="2451"/>
      <c r="GM143" s="2451"/>
      <c r="GN143" s="2451"/>
      <c r="GO143" s="2451"/>
      <c r="GP143" s="2451"/>
      <c r="GQ143" s="2451"/>
      <c r="GR143" s="2451"/>
      <c r="GS143" s="2451"/>
      <c r="GT143" s="2451"/>
      <c r="GU143" s="2451"/>
      <c r="GV143" s="2451"/>
      <c r="GW143" s="2451"/>
      <c r="GX143" s="2451"/>
      <c r="GY143" s="2451"/>
      <c r="GZ143" s="2451"/>
      <c r="HA143" s="2450"/>
      <c r="HB143" s="2451"/>
      <c r="HC143" s="2451"/>
      <c r="HD143" s="2450"/>
      <c r="HE143" s="2451"/>
      <c r="HF143" s="2450"/>
      <c r="HG143" s="2453">
        <v>3550</v>
      </c>
      <c r="HH143" s="2451"/>
      <c r="HI143" s="2450"/>
      <c r="HJ143" s="2450"/>
      <c r="HK143" s="2450"/>
      <c r="HL143" s="2450"/>
      <c r="HM143" s="2450"/>
      <c r="HN143" s="2450"/>
      <c r="HO143" s="2451"/>
      <c r="HP143" s="2450"/>
      <c r="HQ143" s="2451"/>
      <c r="HR143" s="2451"/>
      <c r="HS143" s="2451"/>
      <c r="HT143" s="2451"/>
      <c r="HU143" s="2450"/>
      <c r="HV143" s="2451"/>
      <c r="HW143" s="2451"/>
      <c r="HX143" s="2451"/>
      <c r="HY143" s="2451"/>
      <c r="HZ143" s="2451"/>
      <c r="IA143" s="2451"/>
      <c r="IB143" s="2451"/>
      <c r="IC143" s="2451"/>
      <c r="ID143" s="2451"/>
      <c r="IE143" s="2451"/>
      <c r="IF143" s="2451"/>
      <c r="IG143" s="2451"/>
      <c r="IH143" s="2451"/>
      <c r="II143" s="2451"/>
      <c r="IJ143" s="2451"/>
      <c r="IK143" s="2451"/>
      <c r="IL143" s="2451"/>
      <c r="IM143" s="2451"/>
      <c r="IN143" s="2451"/>
      <c r="IO143" s="2451"/>
      <c r="IP143" s="2451"/>
      <c r="IQ143" s="2451"/>
      <c r="IR143" s="2451"/>
      <c r="IS143" s="2451"/>
      <c r="IT143" s="2451"/>
      <c r="IU143" s="2451"/>
      <c r="IV143" s="2451"/>
      <c r="IW143" s="2451"/>
      <c r="IX143" s="2451"/>
      <c r="IY143" s="2451"/>
      <c r="IZ143" s="2451"/>
      <c r="JA143" s="2451"/>
      <c r="JB143" s="2451"/>
      <c r="JC143" s="2451"/>
      <c r="JD143" s="2451"/>
      <c r="JE143" s="2451"/>
      <c r="JF143" s="2451"/>
      <c r="JG143" s="2451"/>
      <c r="JH143" s="2451"/>
      <c r="JI143" s="2451"/>
      <c r="JJ143" s="2451"/>
      <c r="JK143" s="2451"/>
      <c r="JL143" s="2451"/>
      <c r="JM143" s="2451"/>
      <c r="JN143" s="2451"/>
      <c r="JO143" s="2451"/>
      <c r="JP143" s="2451"/>
      <c r="JQ143" s="2454"/>
      <c r="JR143" s="312"/>
      <c r="JS143" s="315"/>
      <c r="JT143" s="357"/>
    </row>
    <row r="144" spans="1:280" ht="10.5" customHeight="1" x14ac:dyDescent="0.25">
      <c r="A144" s="1367">
        <v>57</v>
      </c>
      <c r="B144" s="1411" t="str">
        <f t="shared" si="13"/>
        <v/>
      </c>
      <c r="C144" s="2580" t="s">
        <v>4541</v>
      </c>
      <c r="D144" s="1743" t="s">
        <v>4540</v>
      </c>
      <c r="E144" s="2449"/>
      <c r="F144" s="2449"/>
      <c r="G144" s="2450"/>
      <c r="H144" s="2450"/>
      <c r="I144" s="2450"/>
      <c r="J144" s="2451"/>
      <c r="K144" s="2450"/>
      <c r="L144" s="2451"/>
      <c r="M144" s="2450"/>
      <c r="N144" s="2450"/>
      <c r="O144" s="2451"/>
      <c r="P144" s="2451"/>
      <c r="Q144" s="2451"/>
      <c r="R144" s="2451"/>
      <c r="S144" s="2451"/>
      <c r="T144" s="2451"/>
      <c r="U144" s="2451"/>
      <c r="V144" s="2451"/>
      <c r="W144" s="2451"/>
      <c r="X144" s="2451"/>
      <c r="Y144" s="2451"/>
      <c r="Z144" s="2451"/>
      <c r="AA144" s="2451"/>
      <c r="AB144" s="2451"/>
      <c r="AC144" s="2451"/>
      <c r="AD144" s="2451"/>
      <c r="AE144" s="2451"/>
      <c r="AF144" s="2451"/>
      <c r="AG144" s="2451"/>
      <c r="AH144" s="2451"/>
      <c r="AI144" s="2451"/>
      <c r="AJ144" s="2451"/>
      <c r="AK144" s="2451"/>
      <c r="AL144" s="2451"/>
      <c r="AM144" s="2451"/>
      <c r="AN144" s="2451"/>
      <c r="AO144" s="2451"/>
      <c r="AP144" s="2451"/>
      <c r="AQ144" s="2451"/>
      <c r="AR144" s="2451"/>
      <c r="AS144" s="2451"/>
      <c r="AT144" s="2451"/>
      <c r="AU144" s="2451"/>
      <c r="AV144" s="2451"/>
      <c r="AW144" s="2451"/>
      <c r="AX144" s="2450"/>
      <c r="AY144" s="2450"/>
      <c r="AZ144" s="2450"/>
      <c r="BA144" s="2451"/>
      <c r="BB144" s="2451"/>
      <c r="BC144" s="2451"/>
      <c r="BD144" s="2451"/>
      <c r="BE144" s="2451"/>
      <c r="BF144" s="2451"/>
      <c r="BG144" s="2451"/>
      <c r="BH144" s="2451"/>
      <c r="BI144" s="2451"/>
      <c r="BJ144" s="2451"/>
      <c r="BK144" s="2451"/>
      <c r="BL144" s="2451"/>
      <c r="BM144" s="2451"/>
      <c r="BN144" s="2451"/>
      <c r="BO144" s="2451"/>
      <c r="BP144" s="2451"/>
      <c r="BQ144" s="2451"/>
      <c r="BR144" s="2451"/>
      <c r="BS144" s="2451"/>
      <c r="BT144" s="2451"/>
      <c r="BU144" s="2451"/>
      <c r="BV144" s="2451"/>
      <c r="BW144" s="2451"/>
      <c r="BX144" s="2451"/>
      <c r="BY144" s="2451"/>
      <c r="BZ144" s="2451"/>
      <c r="CA144" s="2451"/>
      <c r="CB144" s="2451"/>
      <c r="CC144" s="2451"/>
      <c r="CD144" s="2451"/>
      <c r="CE144" s="2451"/>
      <c r="CF144" s="2451"/>
      <c r="CG144" s="2451"/>
      <c r="CH144" s="2451"/>
      <c r="CI144" s="2451"/>
      <c r="CJ144" s="2450"/>
      <c r="CK144" s="2451"/>
      <c r="CL144" s="2451"/>
      <c r="CM144" s="2451"/>
      <c r="CN144" s="2451"/>
      <c r="CO144" s="2451"/>
      <c r="CP144" s="2451"/>
      <c r="CQ144" s="2451"/>
      <c r="CR144" s="2451"/>
      <c r="CS144" s="2451"/>
      <c r="CT144" s="2451"/>
      <c r="CU144" s="2451"/>
      <c r="CV144" s="2451"/>
      <c r="CW144" s="2451"/>
      <c r="CX144" s="2451"/>
      <c r="CY144" s="2451"/>
      <c r="CZ144" s="2451"/>
      <c r="DA144" s="2451"/>
      <c r="DB144" s="2451"/>
      <c r="DC144" s="2451"/>
      <c r="DD144" s="2451"/>
      <c r="DE144" s="2451"/>
      <c r="DF144" s="2451"/>
      <c r="DG144" s="2451"/>
      <c r="DH144" s="2451"/>
      <c r="DI144" s="2451"/>
      <c r="DJ144" s="2451"/>
      <c r="DK144" s="2451"/>
      <c r="DL144" s="2451"/>
      <c r="DM144" s="2451"/>
      <c r="DN144" s="2451"/>
      <c r="DO144" s="2452">
        <v>10000</v>
      </c>
      <c r="DP144" s="2451"/>
      <c r="DQ144" s="2451"/>
      <c r="DR144" s="2451"/>
      <c r="DS144" s="2450"/>
      <c r="DT144" s="2450"/>
      <c r="DU144" s="2451"/>
      <c r="DV144" s="2451"/>
      <c r="DW144" s="2451"/>
      <c r="DX144" s="2451"/>
      <c r="DY144" s="2451"/>
      <c r="DZ144" s="2451"/>
      <c r="EA144" s="2451"/>
      <c r="EB144" s="2451"/>
      <c r="EC144" s="2451"/>
      <c r="ED144" s="2451"/>
      <c r="EE144" s="2451"/>
      <c r="EF144" s="2451"/>
      <c r="EG144" s="2451"/>
      <c r="EH144" s="2451"/>
      <c r="EI144" s="2451"/>
      <c r="EJ144" s="2451"/>
      <c r="EK144" s="2451"/>
      <c r="EL144" s="2451"/>
      <c r="EM144" s="2451"/>
      <c r="EN144" s="2451"/>
      <c r="EO144" s="2451"/>
      <c r="EP144" s="2451"/>
      <c r="EQ144" s="2451"/>
      <c r="ER144" s="2451"/>
      <c r="ES144" s="2451"/>
      <c r="ET144" s="2451"/>
      <c r="EU144" s="2451"/>
      <c r="EV144" s="2451"/>
      <c r="EW144" s="2451"/>
      <c r="EX144" s="2451"/>
      <c r="EY144" s="2451"/>
      <c r="EZ144" s="2451"/>
      <c r="FA144" s="2451"/>
      <c r="FB144" s="2451"/>
      <c r="FC144" s="2451"/>
      <c r="FD144" s="2451"/>
      <c r="FE144" s="2451"/>
      <c r="FF144" s="2451"/>
      <c r="FG144" s="2451"/>
      <c r="FH144" s="2451"/>
      <c r="FI144" s="2451"/>
      <c r="FJ144" s="2451"/>
      <c r="FK144" s="2451"/>
      <c r="FL144" s="2451"/>
      <c r="FM144" s="2451"/>
      <c r="FN144" s="2451"/>
      <c r="FO144" s="2451"/>
      <c r="FP144" s="2451"/>
      <c r="FQ144" s="2451"/>
      <c r="FR144" s="2451"/>
      <c r="FS144" s="2451"/>
      <c r="FT144" s="2450"/>
      <c r="FU144" s="2450"/>
      <c r="FV144" s="2450"/>
      <c r="FW144" s="2451"/>
      <c r="FX144" s="2451"/>
      <c r="FY144" s="2451"/>
      <c r="FZ144" s="2451"/>
      <c r="GA144" s="2451"/>
      <c r="GB144" s="2451"/>
      <c r="GC144" s="2451"/>
      <c r="GD144" s="2451"/>
      <c r="GE144" s="2451"/>
      <c r="GF144" s="2451"/>
      <c r="GG144" s="2451"/>
      <c r="GH144" s="2451"/>
      <c r="GI144" s="2451"/>
      <c r="GJ144" s="2451"/>
      <c r="GK144" s="2451"/>
      <c r="GL144" s="2451"/>
      <c r="GM144" s="2451"/>
      <c r="GN144" s="2451"/>
      <c r="GO144" s="2451"/>
      <c r="GP144" s="2451"/>
      <c r="GQ144" s="2451"/>
      <c r="GR144" s="2451"/>
      <c r="GS144" s="2451"/>
      <c r="GT144" s="2451"/>
      <c r="GU144" s="2451"/>
      <c r="GV144" s="2451"/>
      <c r="GW144" s="2451"/>
      <c r="GX144" s="2451"/>
      <c r="GY144" s="2451"/>
      <c r="GZ144" s="2451"/>
      <c r="HA144" s="2450"/>
      <c r="HB144" s="2451"/>
      <c r="HC144" s="2451"/>
      <c r="HD144" s="2450"/>
      <c r="HE144" s="2451"/>
      <c r="HF144" s="2450"/>
      <c r="HG144" s="2450"/>
      <c r="HH144" s="2451"/>
      <c r="HI144" s="2450"/>
      <c r="HJ144" s="2450"/>
      <c r="HK144" s="2450"/>
      <c r="HL144" s="2450"/>
      <c r="HM144" s="2450"/>
      <c r="HN144" s="2450"/>
      <c r="HO144" s="2451"/>
      <c r="HP144" s="2450"/>
      <c r="HQ144" s="2451"/>
      <c r="HR144" s="2451"/>
      <c r="HS144" s="2451"/>
      <c r="HT144" s="2451"/>
      <c r="HU144" s="2450"/>
      <c r="HV144" s="2451"/>
      <c r="HW144" s="2451"/>
      <c r="HX144" s="2451"/>
      <c r="HY144" s="2451"/>
      <c r="HZ144" s="2451"/>
      <c r="IA144" s="2451"/>
      <c r="IB144" s="2451"/>
      <c r="IC144" s="2451"/>
      <c r="ID144" s="2451"/>
      <c r="IE144" s="2451"/>
      <c r="IF144" s="2451"/>
      <c r="IG144" s="2451"/>
      <c r="IH144" s="2451"/>
      <c r="II144" s="2451"/>
      <c r="IJ144" s="2451"/>
      <c r="IK144" s="2451"/>
      <c r="IL144" s="2451"/>
      <c r="IM144" s="2451"/>
      <c r="IN144" s="2451"/>
      <c r="IO144" s="2451"/>
      <c r="IP144" s="2451"/>
      <c r="IQ144" s="2451"/>
      <c r="IR144" s="2451"/>
      <c r="IS144" s="2451"/>
      <c r="IT144" s="2451"/>
      <c r="IU144" s="2451"/>
      <c r="IV144" s="2451"/>
      <c r="IW144" s="2451"/>
      <c r="IX144" s="2451"/>
      <c r="IY144" s="2451"/>
      <c r="IZ144" s="2451"/>
      <c r="JA144" s="2451"/>
      <c r="JB144" s="2451"/>
      <c r="JC144" s="2451"/>
      <c r="JD144" s="2451"/>
      <c r="JE144" s="2451"/>
      <c r="JF144" s="2451"/>
      <c r="JG144" s="2451"/>
      <c r="JH144" s="2451"/>
      <c r="JI144" s="2451"/>
      <c r="JJ144" s="2451"/>
      <c r="JK144" s="2451"/>
      <c r="JL144" s="2451"/>
      <c r="JM144" s="2451"/>
      <c r="JN144" s="2451"/>
      <c r="JO144" s="2451"/>
      <c r="JP144" s="2451"/>
      <c r="JQ144" s="2454"/>
      <c r="JR144" s="312"/>
      <c r="JS144" s="315"/>
      <c r="JT144" s="357"/>
    </row>
    <row r="145" spans="1:280" ht="10.5" customHeight="1" thickBot="1" x14ac:dyDescent="0.3">
      <c r="A145" s="1367">
        <v>58</v>
      </c>
      <c r="B145" s="1411" t="str">
        <f>IF(NRD_IND&gt;1,IF(HLOOKUP(NRD_IND-1,NRD_RANGE,A145)="","",HLOOKUP(NRD_IND-1,NRD_RANGE,A145)),"")</f>
        <v/>
      </c>
      <c r="C145" s="2581" t="s">
        <v>4543</v>
      </c>
      <c r="D145" s="1443" t="s">
        <v>3311</v>
      </c>
      <c r="E145" s="712"/>
      <c r="F145" s="712"/>
      <c r="G145" s="712"/>
      <c r="H145" s="712"/>
      <c r="I145" s="712"/>
      <c r="J145" s="718"/>
      <c r="K145" s="712"/>
      <c r="L145" s="718"/>
      <c r="M145" s="712"/>
      <c r="N145" s="712"/>
      <c r="O145" s="718"/>
      <c r="P145" s="718"/>
      <c r="Q145" s="718"/>
      <c r="R145" s="718"/>
      <c r="S145" s="718"/>
      <c r="T145" s="718"/>
      <c r="U145" s="718"/>
      <c r="V145" s="718"/>
      <c r="W145" s="718"/>
      <c r="X145" s="718"/>
      <c r="Y145" s="718"/>
      <c r="Z145" s="718"/>
      <c r="AA145" s="718"/>
      <c r="AB145" s="718"/>
      <c r="AC145" s="718"/>
      <c r="AD145" s="718"/>
      <c r="AE145" s="718"/>
      <c r="AF145" s="718"/>
      <c r="AG145" s="718"/>
      <c r="AH145" s="718"/>
      <c r="AI145" s="718"/>
      <c r="AJ145" s="718"/>
      <c r="AK145" s="718"/>
      <c r="AL145" s="718"/>
      <c r="AM145" s="718"/>
      <c r="AN145" s="718"/>
      <c r="AO145" s="718"/>
      <c r="AP145" s="718"/>
      <c r="AQ145" s="718"/>
      <c r="AR145" s="718"/>
      <c r="AS145" s="718"/>
      <c r="AT145" s="718"/>
      <c r="AU145" s="718"/>
      <c r="AV145" s="718"/>
      <c r="AW145" s="718"/>
      <c r="AX145" s="1005"/>
      <c r="AY145" s="1005"/>
      <c r="AZ145" s="1005"/>
      <c r="BA145" s="718"/>
      <c r="BB145" s="718"/>
      <c r="BC145" s="718"/>
      <c r="BD145" s="718"/>
      <c r="BE145" s="718"/>
      <c r="BF145" s="718"/>
      <c r="BG145" s="718"/>
      <c r="BH145" s="718"/>
      <c r="BI145" s="718"/>
      <c r="BJ145" s="718"/>
      <c r="BK145" s="718"/>
      <c r="BL145" s="718"/>
      <c r="BM145" s="718"/>
      <c r="BN145" s="718"/>
      <c r="BO145" s="718"/>
      <c r="BP145" s="718"/>
      <c r="BQ145" s="718"/>
      <c r="BR145" s="718"/>
      <c r="BS145" s="718"/>
      <c r="BT145" s="718"/>
      <c r="BU145" s="718"/>
      <c r="BV145" s="718"/>
      <c r="BW145" s="718"/>
      <c r="BX145" s="718"/>
      <c r="BY145" s="718"/>
      <c r="BZ145" s="718"/>
      <c r="CA145" s="718"/>
      <c r="CB145" s="718"/>
      <c r="CC145" s="718"/>
      <c r="CD145" s="718"/>
      <c r="CE145" s="718"/>
      <c r="CF145" s="718"/>
      <c r="CG145" s="718"/>
      <c r="CH145" s="718"/>
      <c r="CI145" s="718"/>
      <c r="CJ145" s="1005"/>
      <c r="CK145" s="718"/>
      <c r="CL145" s="718"/>
      <c r="CM145" s="718"/>
      <c r="CN145" s="718"/>
      <c r="CO145" s="718"/>
      <c r="CP145" s="718"/>
      <c r="CQ145" s="718"/>
      <c r="CR145" s="718"/>
      <c r="CS145" s="718"/>
      <c r="CT145" s="718"/>
      <c r="CU145" s="718"/>
      <c r="CV145" s="718"/>
      <c r="CW145" s="718"/>
      <c r="CX145" s="718"/>
      <c r="CY145" s="718"/>
      <c r="CZ145" s="718"/>
      <c r="DA145" s="718"/>
      <c r="DB145" s="718"/>
      <c r="DC145" s="718"/>
      <c r="DD145" s="718"/>
      <c r="DE145" s="718"/>
      <c r="DF145" s="718"/>
      <c r="DG145" s="718"/>
      <c r="DH145" s="718"/>
      <c r="DI145" s="718"/>
      <c r="DJ145" s="718"/>
      <c r="DK145" s="718"/>
      <c r="DL145" s="718"/>
      <c r="DM145" s="718"/>
      <c r="DN145" s="718"/>
      <c r="DO145" s="718"/>
      <c r="DP145" s="718"/>
      <c r="DQ145" s="718"/>
      <c r="DR145" s="718"/>
      <c r="DS145" s="1005"/>
      <c r="DT145" s="1005"/>
      <c r="DU145" s="718"/>
      <c r="DV145" s="718"/>
      <c r="DW145" s="718"/>
      <c r="DX145" s="718"/>
      <c r="DY145" s="718"/>
      <c r="DZ145" s="718"/>
      <c r="EA145" s="718"/>
      <c r="EB145" s="718"/>
      <c r="EC145" s="718"/>
      <c r="ED145" s="718"/>
      <c r="EE145" s="718"/>
      <c r="EF145" s="718"/>
      <c r="EG145" s="718"/>
      <c r="EH145" s="718"/>
      <c r="EI145" s="718"/>
      <c r="EJ145" s="718"/>
      <c r="EK145" s="718"/>
      <c r="EL145" s="718"/>
      <c r="EM145" s="718"/>
      <c r="EN145" s="718"/>
      <c r="EO145" s="718"/>
      <c r="EP145" s="718"/>
      <c r="EQ145" s="718"/>
      <c r="ER145" s="718"/>
      <c r="ES145" s="718"/>
      <c r="ET145" s="718"/>
      <c r="EU145" s="718"/>
      <c r="EV145" s="718"/>
      <c r="EW145" s="718"/>
      <c r="EX145" s="718"/>
      <c r="EY145" s="718"/>
      <c r="EZ145" s="718"/>
      <c r="FA145" s="718"/>
      <c r="FB145" s="718"/>
      <c r="FC145" s="718"/>
      <c r="FD145" s="718"/>
      <c r="FE145" s="718"/>
      <c r="FF145" s="718"/>
      <c r="FG145" s="718"/>
      <c r="FH145" s="718"/>
      <c r="FI145" s="718"/>
      <c r="FJ145" s="718"/>
      <c r="FK145" s="718"/>
      <c r="FL145" s="718"/>
      <c r="FM145" s="718"/>
      <c r="FN145" s="718"/>
      <c r="FO145" s="718"/>
      <c r="FP145" s="718"/>
      <c r="FQ145" s="718"/>
      <c r="FR145" s="718"/>
      <c r="FS145" s="718"/>
      <c r="FT145" s="1005"/>
      <c r="FU145" s="1005"/>
      <c r="FV145" s="1005"/>
      <c r="FW145" s="718"/>
      <c r="FX145" s="718"/>
      <c r="FY145" s="718"/>
      <c r="FZ145" s="718"/>
      <c r="GA145" s="718"/>
      <c r="GB145" s="718"/>
      <c r="GC145" s="718"/>
      <c r="GD145" s="718"/>
      <c r="GE145" s="718"/>
      <c r="GF145" s="718"/>
      <c r="GG145" s="718"/>
      <c r="GH145" s="718"/>
      <c r="GI145" s="718"/>
      <c r="GJ145" s="718"/>
      <c r="GK145" s="718"/>
      <c r="GL145" s="718"/>
      <c r="GM145" s="718"/>
      <c r="GN145" s="718"/>
      <c r="GO145" s="718"/>
      <c r="GP145" s="718"/>
      <c r="GQ145" s="718"/>
      <c r="GR145" s="718"/>
      <c r="GS145" s="718"/>
      <c r="GT145" s="718"/>
      <c r="GU145" s="718"/>
      <c r="GV145" s="718"/>
      <c r="GW145" s="718"/>
      <c r="GX145" s="718"/>
      <c r="GY145" s="718"/>
      <c r="GZ145" s="718"/>
      <c r="HA145" s="1005"/>
      <c r="HB145" s="718"/>
      <c r="HC145" s="718"/>
      <c r="HD145" s="1005"/>
      <c r="HE145" s="718"/>
      <c r="HF145" s="1005"/>
      <c r="HG145" s="1005"/>
      <c r="HH145" s="718"/>
      <c r="HI145" s="1005"/>
      <c r="HJ145" s="1005"/>
      <c r="HK145" s="1005"/>
      <c r="HL145" s="1005"/>
      <c r="HM145" s="1005"/>
      <c r="HN145" s="1005"/>
      <c r="HO145" s="718"/>
      <c r="HP145" s="712"/>
      <c r="HQ145" s="718"/>
      <c r="HR145" s="718"/>
      <c r="HS145" s="718"/>
      <c r="HT145" s="718"/>
      <c r="HU145" s="712"/>
      <c r="HV145" s="718"/>
      <c r="HW145" s="718"/>
      <c r="HX145" s="718"/>
      <c r="HY145" s="718"/>
      <c r="HZ145" s="718"/>
      <c r="IA145" s="718"/>
      <c r="IB145" s="718"/>
      <c r="IC145" s="718"/>
      <c r="ID145" s="718"/>
      <c r="IE145" s="718"/>
      <c r="IF145" s="718"/>
      <c r="IG145" s="718"/>
      <c r="IH145" s="718"/>
      <c r="II145" s="718"/>
      <c r="IJ145" s="718"/>
      <c r="IK145" s="718"/>
      <c r="IL145" s="718"/>
      <c r="IM145" s="718"/>
      <c r="IN145" s="718"/>
      <c r="IO145" s="718"/>
      <c r="IP145" s="718"/>
      <c r="IQ145" s="718"/>
      <c r="IR145" s="718"/>
      <c r="IS145" s="718"/>
      <c r="IT145" s="718"/>
      <c r="IU145" s="718"/>
      <c r="IV145" s="718"/>
      <c r="IW145" s="718"/>
      <c r="IX145" s="718"/>
      <c r="IY145" s="718"/>
      <c r="IZ145" s="718"/>
      <c r="JA145" s="718"/>
      <c r="JB145" s="718"/>
      <c r="JC145" s="718"/>
      <c r="JD145" s="718"/>
      <c r="JE145" s="718"/>
      <c r="JF145" s="718"/>
      <c r="JG145" s="718"/>
      <c r="JH145" s="718"/>
      <c r="JI145" s="718"/>
      <c r="JJ145" s="718"/>
      <c r="JK145" s="718"/>
      <c r="JL145" s="718"/>
      <c r="JM145" s="718"/>
      <c r="JN145" s="718"/>
      <c r="JO145" s="718"/>
      <c r="JP145" s="718"/>
      <c r="JQ145" s="719"/>
      <c r="JR145" s="312"/>
      <c r="JS145" s="315"/>
      <c r="JT145" s="1" t="s">
        <v>2291</v>
      </c>
    </row>
    <row r="146" spans="1:280" ht="12" thickBot="1" x14ac:dyDescent="0.3"/>
    <row r="147" spans="1:280" ht="12.5" x14ac:dyDescent="0.25">
      <c r="A147" s="1367" t="s">
        <v>2201</v>
      </c>
      <c r="B147" s="585" t="s">
        <v>2408</v>
      </c>
      <c r="C147" s="2534" t="s">
        <v>39</v>
      </c>
      <c r="D147" s="297"/>
      <c r="E147" s="418">
        <v>1</v>
      </c>
      <c r="F147" s="2539">
        <v>2</v>
      </c>
      <c r="G147" s="2539">
        <v>3</v>
      </c>
      <c r="H147" s="2539">
        <v>4</v>
      </c>
      <c r="I147" s="2539">
        <v>5</v>
      </c>
      <c r="J147" s="2539">
        <v>6</v>
      </c>
      <c r="K147" s="2539">
        <v>7</v>
      </c>
      <c r="L147" s="2539">
        <v>8</v>
      </c>
      <c r="M147" s="2539">
        <v>9</v>
      </c>
      <c r="N147" s="2539">
        <v>10</v>
      </c>
      <c r="O147" s="2539">
        <v>11</v>
      </c>
      <c r="P147" s="2539">
        <v>12</v>
      </c>
      <c r="Q147" s="2539">
        <v>13</v>
      </c>
      <c r="R147" s="2539">
        <v>14</v>
      </c>
      <c r="S147" s="2539">
        <v>15</v>
      </c>
      <c r="T147" s="2539">
        <v>16</v>
      </c>
      <c r="U147" s="2539">
        <v>17</v>
      </c>
      <c r="V147" s="2539">
        <v>18</v>
      </c>
      <c r="W147" s="2539">
        <v>19</v>
      </c>
      <c r="X147" s="2539">
        <v>20</v>
      </c>
      <c r="Y147" s="2539">
        <v>21</v>
      </c>
      <c r="Z147" s="2539">
        <v>22</v>
      </c>
      <c r="AA147" s="2539">
        <v>23</v>
      </c>
      <c r="AB147" s="2539">
        <v>24</v>
      </c>
      <c r="AC147" s="2539">
        <v>25</v>
      </c>
      <c r="AD147" s="2539">
        <v>26</v>
      </c>
      <c r="AE147" s="2539">
        <v>27</v>
      </c>
      <c r="AF147" s="2539">
        <v>28</v>
      </c>
      <c r="AG147" s="2539">
        <v>29</v>
      </c>
      <c r="AH147" s="2539">
        <v>30</v>
      </c>
      <c r="AI147" s="2539">
        <v>31</v>
      </c>
      <c r="AJ147" s="2539">
        <v>32</v>
      </c>
      <c r="AK147" s="2539">
        <v>33</v>
      </c>
      <c r="AL147" s="2539">
        <v>34</v>
      </c>
      <c r="AM147" s="2539">
        <v>35</v>
      </c>
      <c r="AN147" s="2539">
        <v>36</v>
      </c>
      <c r="AO147" s="2539">
        <v>37</v>
      </c>
      <c r="AP147" s="2539">
        <v>38</v>
      </c>
      <c r="AQ147" s="2539">
        <v>39</v>
      </c>
      <c r="AR147" s="2539">
        <v>40</v>
      </c>
      <c r="AS147" s="2539">
        <v>41</v>
      </c>
      <c r="AT147" s="2539">
        <v>42</v>
      </c>
      <c r="AU147" s="2539">
        <v>43</v>
      </c>
      <c r="AV147" s="2539">
        <v>44</v>
      </c>
      <c r="AW147" s="2539">
        <v>45</v>
      </c>
      <c r="AX147" s="2539">
        <v>46</v>
      </c>
      <c r="AY147" s="2539">
        <v>47</v>
      </c>
      <c r="AZ147" s="2539">
        <v>48</v>
      </c>
      <c r="BA147" s="2539">
        <v>49</v>
      </c>
      <c r="BB147" s="2539">
        <v>50</v>
      </c>
      <c r="BC147" s="2539">
        <v>51</v>
      </c>
      <c r="BD147" s="2539">
        <v>52</v>
      </c>
      <c r="BE147" s="2539">
        <v>53</v>
      </c>
      <c r="BF147" s="2539">
        <v>54</v>
      </c>
      <c r="BG147" s="2539">
        <v>55</v>
      </c>
      <c r="BH147" s="2539">
        <v>56</v>
      </c>
      <c r="BI147" s="2539">
        <v>57</v>
      </c>
      <c r="BJ147" s="2539">
        <v>58</v>
      </c>
      <c r="BK147" s="2539">
        <v>59</v>
      </c>
      <c r="BL147" s="2539">
        <v>60</v>
      </c>
      <c r="BM147" s="2539">
        <v>61</v>
      </c>
      <c r="BN147" s="2539">
        <v>62</v>
      </c>
      <c r="BO147" s="2539">
        <v>63</v>
      </c>
      <c r="BP147" s="2539">
        <v>64</v>
      </c>
      <c r="BQ147" s="2539">
        <v>65</v>
      </c>
      <c r="BR147" s="2539">
        <v>66</v>
      </c>
      <c r="BS147" s="2539">
        <v>67</v>
      </c>
      <c r="BT147" s="2539">
        <v>68</v>
      </c>
      <c r="BU147" s="2539">
        <v>69</v>
      </c>
      <c r="BV147" s="2539">
        <v>70</v>
      </c>
      <c r="BW147" s="2539">
        <v>71</v>
      </c>
      <c r="BX147" s="2539">
        <v>72</v>
      </c>
      <c r="BY147" s="2539">
        <v>73</v>
      </c>
      <c r="BZ147" s="2539">
        <v>74</v>
      </c>
      <c r="CA147" s="2539">
        <v>75</v>
      </c>
      <c r="CB147" s="2539">
        <v>76</v>
      </c>
      <c r="CC147" s="2539">
        <v>77</v>
      </c>
      <c r="CD147" s="2539">
        <v>78</v>
      </c>
      <c r="CE147" s="2539">
        <v>79</v>
      </c>
      <c r="CF147" s="2539">
        <v>80</v>
      </c>
      <c r="CG147" s="2539">
        <v>81</v>
      </c>
      <c r="CH147" s="2539">
        <v>82</v>
      </c>
      <c r="CI147" s="2539">
        <v>83</v>
      </c>
      <c r="CJ147" s="2539">
        <v>84</v>
      </c>
      <c r="CK147" s="2539">
        <v>85</v>
      </c>
      <c r="CL147" s="2539">
        <v>86</v>
      </c>
      <c r="CM147" s="2539">
        <v>87</v>
      </c>
      <c r="CN147" s="2539">
        <v>88</v>
      </c>
      <c r="CO147" s="2539">
        <v>89</v>
      </c>
      <c r="CP147" s="2539">
        <v>90</v>
      </c>
      <c r="CQ147" s="2539">
        <v>91</v>
      </c>
      <c r="CR147" s="2539">
        <v>92</v>
      </c>
      <c r="CS147" s="2539">
        <v>93</v>
      </c>
      <c r="CT147" s="2539">
        <v>94</v>
      </c>
      <c r="CU147" s="2539">
        <v>95</v>
      </c>
      <c r="CV147" s="2539">
        <v>96</v>
      </c>
      <c r="CW147" s="2539">
        <v>97</v>
      </c>
      <c r="CX147" s="2539">
        <v>98</v>
      </c>
      <c r="CY147" s="2539">
        <v>99</v>
      </c>
      <c r="CZ147" s="2539">
        <v>100</v>
      </c>
      <c r="DA147" s="2539">
        <v>101</v>
      </c>
      <c r="DB147" s="2539">
        <v>102</v>
      </c>
      <c r="DC147" s="2539">
        <v>103</v>
      </c>
      <c r="DD147" s="2539">
        <v>104</v>
      </c>
      <c r="DE147" s="2539">
        <v>105</v>
      </c>
      <c r="DF147" s="2539">
        <v>106</v>
      </c>
      <c r="DG147" s="2539">
        <v>107</v>
      </c>
      <c r="DH147" s="2539">
        <v>108</v>
      </c>
      <c r="DI147" s="2539">
        <v>109</v>
      </c>
      <c r="DJ147" s="2539">
        <v>110</v>
      </c>
      <c r="DK147" s="2539">
        <v>111</v>
      </c>
      <c r="DL147" s="2539">
        <v>112</v>
      </c>
      <c r="DM147" s="2539">
        <v>113</v>
      </c>
      <c r="DN147" s="2539">
        <v>114</v>
      </c>
      <c r="DO147" s="2539">
        <v>115</v>
      </c>
      <c r="DP147" s="2539">
        <v>116</v>
      </c>
      <c r="DQ147" s="2539">
        <v>117</v>
      </c>
      <c r="DR147" s="2539">
        <v>118</v>
      </c>
      <c r="DS147" s="2539">
        <v>119</v>
      </c>
      <c r="DT147" s="2539">
        <v>120</v>
      </c>
      <c r="DU147" s="2539">
        <v>121</v>
      </c>
      <c r="DV147" s="2539">
        <v>122</v>
      </c>
      <c r="DW147" s="2539">
        <v>123</v>
      </c>
      <c r="DX147" s="2539">
        <v>124</v>
      </c>
      <c r="DY147" s="2539">
        <v>125</v>
      </c>
      <c r="DZ147" s="2539">
        <v>126</v>
      </c>
      <c r="EA147" s="2539">
        <v>127</v>
      </c>
      <c r="EB147" s="2539">
        <v>128</v>
      </c>
      <c r="EC147" s="2539">
        <v>129</v>
      </c>
      <c r="ED147" s="2539">
        <v>130</v>
      </c>
      <c r="EE147" s="2539">
        <v>131</v>
      </c>
      <c r="EF147" s="2539">
        <v>132</v>
      </c>
      <c r="EG147" s="2539">
        <v>133</v>
      </c>
      <c r="EH147" s="2539">
        <v>134</v>
      </c>
      <c r="EI147" s="2539">
        <v>135</v>
      </c>
      <c r="EJ147" s="2539">
        <v>136</v>
      </c>
      <c r="EK147" s="2539">
        <v>137</v>
      </c>
      <c r="EL147" s="2539">
        <v>138</v>
      </c>
      <c r="EM147" s="2539">
        <v>139</v>
      </c>
      <c r="EN147" s="2539">
        <v>140</v>
      </c>
      <c r="EO147" s="2539">
        <v>141</v>
      </c>
      <c r="EP147" s="2539">
        <v>142</v>
      </c>
      <c r="EQ147" s="2539">
        <v>143</v>
      </c>
      <c r="ER147" s="2539">
        <v>144</v>
      </c>
      <c r="ES147" s="2539">
        <v>145</v>
      </c>
      <c r="ET147" s="2539">
        <v>146</v>
      </c>
      <c r="EU147" s="2539">
        <v>147</v>
      </c>
      <c r="EV147" s="2539">
        <v>148</v>
      </c>
      <c r="EW147" s="2539">
        <v>149</v>
      </c>
      <c r="EX147" s="2539">
        <v>150</v>
      </c>
      <c r="EY147" s="2539">
        <v>151</v>
      </c>
      <c r="EZ147" s="2539">
        <v>152</v>
      </c>
      <c r="FA147" s="2539">
        <v>153</v>
      </c>
      <c r="FB147" s="2539">
        <v>154</v>
      </c>
      <c r="FC147" s="2539">
        <v>155</v>
      </c>
      <c r="FD147" s="2539">
        <v>156</v>
      </c>
      <c r="FE147" s="2539">
        <v>157</v>
      </c>
      <c r="FF147" s="2539">
        <v>158</v>
      </c>
      <c r="FG147" s="2539">
        <v>159</v>
      </c>
      <c r="FH147" s="2539">
        <v>160</v>
      </c>
      <c r="FI147" s="2539">
        <v>161</v>
      </c>
      <c r="FJ147" s="2539">
        <v>162</v>
      </c>
      <c r="FK147" s="2539">
        <v>163</v>
      </c>
      <c r="FL147" s="2539">
        <v>164</v>
      </c>
      <c r="FM147" s="2539">
        <v>165</v>
      </c>
      <c r="FN147" s="2539">
        <v>166</v>
      </c>
      <c r="FO147" s="2539">
        <v>167</v>
      </c>
      <c r="FP147" s="2539">
        <v>168</v>
      </c>
      <c r="FQ147" s="2539">
        <v>169</v>
      </c>
      <c r="FR147" s="2539">
        <v>170</v>
      </c>
      <c r="FS147" s="2539">
        <v>171</v>
      </c>
      <c r="FT147" s="2539">
        <v>172</v>
      </c>
      <c r="FU147" s="2539">
        <v>173</v>
      </c>
      <c r="FV147" s="2539">
        <v>174</v>
      </c>
      <c r="FW147" s="2539">
        <v>175</v>
      </c>
      <c r="FX147" s="2539">
        <v>176</v>
      </c>
      <c r="FY147" s="2539">
        <v>177</v>
      </c>
      <c r="FZ147" s="2539">
        <v>178</v>
      </c>
      <c r="GA147" s="2539">
        <v>179</v>
      </c>
      <c r="GB147" s="2539">
        <v>180</v>
      </c>
      <c r="GC147" s="2539">
        <v>181</v>
      </c>
      <c r="GD147" s="2539">
        <v>182</v>
      </c>
      <c r="GE147" s="2539">
        <v>183</v>
      </c>
      <c r="GF147" s="2539">
        <v>184</v>
      </c>
      <c r="GG147" s="2539">
        <v>185</v>
      </c>
      <c r="GH147" s="2539">
        <v>186</v>
      </c>
      <c r="GI147" s="2539">
        <v>187</v>
      </c>
      <c r="GJ147" s="2539">
        <v>188</v>
      </c>
      <c r="GK147" s="2539">
        <v>189</v>
      </c>
      <c r="GL147" s="2539">
        <v>190</v>
      </c>
      <c r="GM147" s="2539">
        <v>191</v>
      </c>
      <c r="GN147" s="2539">
        <v>192</v>
      </c>
      <c r="GO147" s="2539">
        <v>193</v>
      </c>
      <c r="GP147" s="2539">
        <v>194</v>
      </c>
      <c r="GQ147" s="2539">
        <v>195</v>
      </c>
      <c r="GR147" s="2539">
        <v>196</v>
      </c>
      <c r="GS147" s="2539">
        <v>197</v>
      </c>
      <c r="GT147" s="2539">
        <v>198</v>
      </c>
      <c r="GU147" s="2539">
        <v>199</v>
      </c>
      <c r="GV147" s="2539">
        <v>200</v>
      </c>
      <c r="GW147" s="2539">
        <v>201</v>
      </c>
      <c r="GX147" s="2539">
        <v>202</v>
      </c>
      <c r="GY147" s="2539">
        <v>203</v>
      </c>
      <c r="GZ147" s="2539">
        <v>204</v>
      </c>
      <c r="HA147" s="2539">
        <v>205</v>
      </c>
      <c r="HB147" s="2539">
        <v>206</v>
      </c>
      <c r="HC147" s="2539">
        <v>207</v>
      </c>
      <c r="HD147" s="2539">
        <v>208</v>
      </c>
      <c r="HE147" s="2539">
        <v>209</v>
      </c>
      <c r="HF147" s="2539">
        <v>210</v>
      </c>
      <c r="HG147" s="2539">
        <v>211</v>
      </c>
      <c r="HH147" s="2539">
        <v>212</v>
      </c>
      <c r="HI147" s="2539">
        <v>213</v>
      </c>
      <c r="HJ147" s="2539">
        <v>214</v>
      </c>
      <c r="HK147" s="2539">
        <v>215</v>
      </c>
      <c r="HL147" s="2539">
        <v>216</v>
      </c>
      <c r="HM147" s="2539">
        <v>217</v>
      </c>
      <c r="HN147" s="2539">
        <v>218</v>
      </c>
      <c r="HO147" s="2539">
        <v>219</v>
      </c>
      <c r="HP147" s="2539">
        <v>220</v>
      </c>
      <c r="HQ147" s="2539">
        <v>221</v>
      </c>
      <c r="HR147" s="2539">
        <v>222</v>
      </c>
      <c r="HS147" s="2539">
        <v>223</v>
      </c>
      <c r="HT147" s="2539">
        <v>224</v>
      </c>
      <c r="HU147" s="2539">
        <v>225</v>
      </c>
      <c r="HV147" s="2539">
        <v>226</v>
      </c>
      <c r="HW147" s="2539">
        <v>227</v>
      </c>
      <c r="HX147" s="2539">
        <v>228</v>
      </c>
      <c r="HY147" s="2539">
        <v>229</v>
      </c>
      <c r="HZ147" s="2539">
        <v>230</v>
      </c>
      <c r="IA147" s="2539">
        <v>231</v>
      </c>
      <c r="IB147" s="2539">
        <v>232</v>
      </c>
      <c r="IC147" s="2539">
        <v>233</v>
      </c>
      <c r="ID147" s="2539">
        <v>234</v>
      </c>
      <c r="IE147" s="2539">
        <v>235</v>
      </c>
      <c r="IF147" s="2539">
        <v>236</v>
      </c>
      <c r="IG147" s="2539">
        <v>237</v>
      </c>
      <c r="IH147" s="2539">
        <v>238</v>
      </c>
      <c r="II147" s="2539">
        <v>239</v>
      </c>
      <c r="IJ147" s="2539">
        <v>240</v>
      </c>
      <c r="IK147" s="2539">
        <v>241</v>
      </c>
      <c r="IL147" s="2539">
        <v>242</v>
      </c>
      <c r="IM147" s="2539">
        <v>243</v>
      </c>
      <c r="IN147" s="2539">
        <v>244</v>
      </c>
      <c r="IO147" s="2539">
        <v>245</v>
      </c>
      <c r="IP147" s="2539">
        <v>246</v>
      </c>
      <c r="IQ147" s="2539">
        <v>247</v>
      </c>
      <c r="IR147" s="2539">
        <v>248</v>
      </c>
      <c r="IS147" s="2539">
        <v>249</v>
      </c>
      <c r="IT147" s="2539">
        <v>250</v>
      </c>
      <c r="IU147" s="2539">
        <v>251</v>
      </c>
      <c r="IV147" s="2539">
        <v>252</v>
      </c>
      <c r="IW147" s="2539">
        <v>253</v>
      </c>
      <c r="IX147" s="2539">
        <v>254</v>
      </c>
      <c r="IY147" s="2539">
        <v>255</v>
      </c>
      <c r="IZ147" s="2539">
        <v>256</v>
      </c>
      <c r="JA147" s="2539">
        <v>257</v>
      </c>
      <c r="JB147" s="2539">
        <v>258</v>
      </c>
      <c r="JC147" s="2539">
        <v>259</v>
      </c>
      <c r="JD147" s="2539">
        <v>260</v>
      </c>
      <c r="JE147" s="2539">
        <v>261</v>
      </c>
      <c r="JF147" s="2539">
        <v>262</v>
      </c>
      <c r="JG147" s="2539">
        <v>263</v>
      </c>
      <c r="JH147" s="2539">
        <v>264</v>
      </c>
      <c r="JI147" s="2539">
        <v>265</v>
      </c>
      <c r="JJ147" s="2539">
        <v>266</v>
      </c>
      <c r="JK147" s="2539">
        <v>267</v>
      </c>
      <c r="JL147" s="2539">
        <v>268</v>
      </c>
      <c r="JM147" s="2539">
        <v>269</v>
      </c>
      <c r="JN147" s="2539">
        <v>270</v>
      </c>
      <c r="JO147" s="2539">
        <v>271</v>
      </c>
      <c r="JP147" s="2539">
        <v>272</v>
      </c>
      <c r="JQ147" s="2539">
        <v>273</v>
      </c>
      <c r="JR147" s="593"/>
      <c r="JS147" s="1470" t="s">
        <v>2198</v>
      </c>
    </row>
    <row r="148" spans="1:280" x14ac:dyDescent="0.25">
      <c r="A148" s="1367">
        <v>2</v>
      </c>
      <c r="B148" s="1768" t="str">
        <f t="shared" ref="B148:B165" si="14">IF(CAL_IND&gt;1,IF(HLOOKUP(CAL_IND-1,CAL_range,A148)="","",HLOOKUP(CAL_IND-1,CAL_range,A148)),"")</f>
        <v/>
      </c>
      <c r="C148" s="1688" t="s">
        <v>4544</v>
      </c>
      <c r="D148" s="1360" t="s">
        <v>4545</v>
      </c>
      <c r="E148" s="1769"/>
      <c r="F148" s="1769"/>
      <c r="G148" s="1769"/>
      <c r="H148" s="1769"/>
      <c r="I148" s="1769"/>
      <c r="J148" s="1770"/>
      <c r="K148" s="1769"/>
      <c r="L148" s="1770"/>
      <c r="M148" s="1769"/>
      <c r="N148" s="1769"/>
      <c r="O148" s="1769"/>
      <c r="P148" s="1770"/>
      <c r="Q148" s="1770"/>
      <c r="R148" s="1769"/>
      <c r="S148" s="1770"/>
      <c r="T148" s="1770"/>
      <c r="U148" s="1769"/>
      <c r="V148" s="1769"/>
      <c r="W148" s="1770"/>
      <c r="X148" s="1770"/>
      <c r="Y148" s="1770"/>
      <c r="Z148" s="1770"/>
      <c r="AA148" s="1769"/>
      <c r="AB148" s="1770"/>
      <c r="AC148" s="1770"/>
      <c r="AD148" s="1770"/>
      <c r="AE148" s="1770"/>
      <c r="AF148" s="1770"/>
      <c r="AG148" s="1770"/>
      <c r="AH148" s="1770"/>
      <c r="AI148" s="1770"/>
      <c r="AJ148" s="1770"/>
      <c r="AK148" s="1770"/>
      <c r="AL148" s="1770"/>
      <c r="AM148" s="1770"/>
      <c r="AN148" s="1770"/>
      <c r="AO148" s="1770"/>
      <c r="AP148" s="1770"/>
      <c r="AQ148" s="1770"/>
      <c r="AR148" s="1770"/>
      <c r="AS148" s="1770"/>
      <c r="AT148" s="1770"/>
      <c r="AU148" s="1770"/>
      <c r="AV148" s="1770"/>
      <c r="AW148" s="1770"/>
      <c r="AX148" s="1770"/>
      <c r="AY148" s="1770"/>
      <c r="AZ148" s="1770"/>
      <c r="BA148" s="1769"/>
      <c r="BB148" s="1770"/>
      <c r="BC148" s="1770"/>
      <c r="BD148" s="1770"/>
      <c r="BE148" s="1770"/>
      <c r="BF148" s="1770"/>
      <c r="BG148" s="1770"/>
      <c r="BH148" s="1770"/>
      <c r="BI148" s="1770"/>
      <c r="BJ148" s="1770"/>
      <c r="BK148" s="1770"/>
      <c r="BL148" s="1770"/>
      <c r="BM148" s="1770"/>
      <c r="BN148" s="1770"/>
      <c r="BO148" s="1770"/>
      <c r="BP148" s="1770"/>
      <c r="BQ148" s="1770"/>
      <c r="BR148" s="1770"/>
      <c r="BS148" s="1770"/>
      <c r="BT148" s="1770"/>
      <c r="BU148" s="1770"/>
      <c r="BV148" s="1770"/>
      <c r="BW148" s="1770"/>
      <c r="BX148" s="1770"/>
      <c r="BY148" s="1770"/>
      <c r="BZ148" s="1770"/>
      <c r="CA148" s="1770"/>
      <c r="CB148" s="1770"/>
      <c r="CC148" s="1770"/>
      <c r="CD148" s="1770"/>
      <c r="CE148" s="1770"/>
      <c r="CF148" s="1770"/>
      <c r="CG148" s="1770"/>
      <c r="CH148" s="1770"/>
      <c r="CI148" s="1769"/>
      <c r="CJ148" s="1770"/>
      <c r="CK148" s="1770"/>
      <c r="CL148" s="1770"/>
      <c r="CM148" s="1770"/>
      <c r="CN148" s="1770"/>
      <c r="CO148" s="1770"/>
      <c r="CP148" s="1770"/>
      <c r="CQ148" s="1770"/>
      <c r="CR148" s="1770"/>
      <c r="CS148" s="1770"/>
      <c r="CT148" s="1769"/>
      <c r="CU148" s="1770"/>
      <c r="CV148" s="1770"/>
      <c r="CW148" s="1770"/>
      <c r="CX148" s="1770"/>
      <c r="CY148" s="1770"/>
      <c r="CZ148" s="1770"/>
      <c r="DA148" s="1770"/>
      <c r="DB148" s="1769"/>
      <c r="DC148" s="1770"/>
      <c r="DD148" s="1770"/>
      <c r="DE148" s="1770"/>
      <c r="DF148" s="1770"/>
      <c r="DG148" s="1770"/>
      <c r="DH148" s="1770"/>
      <c r="DI148" s="1770"/>
      <c r="DJ148" s="1770"/>
      <c r="DK148" s="1769"/>
      <c r="DL148" s="1769"/>
      <c r="DM148" s="1770"/>
      <c r="DN148" s="1770"/>
      <c r="DO148" s="1770"/>
      <c r="DP148" s="1770"/>
      <c r="DQ148" s="1770"/>
      <c r="DR148" s="1770"/>
      <c r="DS148" s="1770"/>
      <c r="DT148" s="1770"/>
      <c r="DU148" s="1770"/>
      <c r="DV148" s="1770"/>
      <c r="DW148" s="1770"/>
      <c r="DX148" s="1770"/>
      <c r="DY148" s="1770"/>
      <c r="DZ148" s="1770"/>
      <c r="EA148" s="1770"/>
      <c r="EB148" s="1770"/>
      <c r="EC148" s="1770"/>
      <c r="ED148" s="1770"/>
      <c r="EE148" s="1770"/>
      <c r="EF148" s="1770"/>
      <c r="EG148" s="1770"/>
      <c r="EH148" s="1770"/>
      <c r="EI148" s="1770"/>
      <c r="EJ148" s="1770"/>
      <c r="EK148" s="1770"/>
      <c r="EL148" s="1770"/>
      <c r="EM148" s="1770"/>
      <c r="EN148" s="1770"/>
      <c r="EO148" s="1770"/>
      <c r="EP148" s="1770"/>
      <c r="EQ148" s="1770"/>
      <c r="ER148" s="1770"/>
      <c r="ES148" s="1770"/>
      <c r="ET148" s="1770"/>
      <c r="EU148" s="1770"/>
      <c r="EV148" s="1770"/>
      <c r="EW148" s="1770"/>
      <c r="EX148" s="1770"/>
      <c r="EY148" s="1770"/>
      <c r="EZ148" s="1770"/>
      <c r="FA148" s="1770"/>
      <c r="FB148" s="1770"/>
      <c r="FC148" s="1770"/>
      <c r="FD148" s="1770"/>
      <c r="FE148" s="1770"/>
      <c r="FF148" s="1770"/>
      <c r="FG148" s="1770"/>
      <c r="FH148" s="1770"/>
      <c r="FI148" s="1770"/>
      <c r="FJ148" s="1770"/>
      <c r="FK148" s="1770"/>
      <c r="FL148" s="1770"/>
      <c r="FM148" s="1770"/>
      <c r="FN148" s="1770"/>
      <c r="FO148" s="1770"/>
      <c r="FP148" s="1770"/>
      <c r="FQ148" s="1770"/>
      <c r="FR148" s="1770"/>
      <c r="FS148" s="1770"/>
      <c r="FT148" s="1770"/>
      <c r="FU148" s="1770"/>
      <c r="FV148" s="1770"/>
      <c r="FW148" s="1770"/>
      <c r="FX148" s="1770"/>
      <c r="FY148" s="1770"/>
      <c r="FZ148" s="1770"/>
      <c r="GA148" s="1770"/>
      <c r="GB148" s="1770"/>
      <c r="GC148" s="1769"/>
      <c r="GD148" s="1770"/>
      <c r="GE148" s="1770"/>
      <c r="GF148" s="1770"/>
      <c r="GG148" s="1770"/>
      <c r="GH148" s="1770"/>
      <c r="GI148" s="1770"/>
      <c r="GJ148" s="1770"/>
      <c r="GK148" s="1769"/>
      <c r="GL148" s="1770"/>
      <c r="GM148" s="1770"/>
      <c r="GN148" s="1770"/>
      <c r="GO148" s="1770"/>
      <c r="GP148" s="1770"/>
      <c r="GQ148" s="1770"/>
      <c r="GR148" s="1770"/>
      <c r="GS148" s="1770"/>
      <c r="GT148" s="1770"/>
      <c r="GU148" s="1770"/>
      <c r="GV148" s="1770"/>
      <c r="GW148" s="1770"/>
      <c r="GX148" s="1770"/>
      <c r="GY148" s="1770"/>
      <c r="GZ148" s="1770"/>
      <c r="HA148" s="1770"/>
      <c r="HB148" s="1770"/>
      <c r="HC148" s="1769"/>
      <c r="HD148" s="1770"/>
      <c r="HE148" s="1770"/>
      <c r="HF148" s="1770"/>
      <c r="HG148" s="1770"/>
      <c r="HH148" s="1770"/>
      <c r="HI148" s="1770"/>
      <c r="HJ148" s="1770"/>
      <c r="HK148" s="1770"/>
      <c r="HL148" s="1770"/>
      <c r="HM148" s="1770"/>
      <c r="HN148" s="1770"/>
      <c r="HO148" s="1770"/>
      <c r="HP148" s="1770"/>
      <c r="HQ148" s="1770"/>
      <c r="HR148" s="1770"/>
      <c r="HS148" s="1770"/>
      <c r="HT148" s="1770"/>
      <c r="HU148" s="1770"/>
      <c r="HV148" s="1770"/>
      <c r="HW148" s="1770"/>
      <c r="HX148" s="1770"/>
      <c r="HY148" s="1770"/>
      <c r="HZ148" s="1770"/>
      <c r="IA148" s="1770"/>
      <c r="IB148" s="1770"/>
      <c r="IC148" s="1770"/>
      <c r="ID148" s="1770"/>
      <c r="IE148" s="1770"/>
      <c r="IF148" s="1770"/>
      <c r="IG148" s="1770"/>
      <c r="IH148" s="1770"/>
      <c r="II148" s="1770"/>
      <c r="IJ148" s="1770"/>
      <c r="IK148" s="1770"/>
      <c r="IL148" s="1770"/>
      <c r="IM148" s="1770"/>
      <c r="IN148" s="1770"/>
      <c r="IO148" s="1770"/>
      <c r="IP148" s="1770"/>
      <c r="IQ148" s="1770"/>
      <c r="IR148" s="1770"/>
      <c r="IS148" s="1770"/>
      <c r="IT148" s="1770"/>
      <c r="IU148" s="1770"/>
      <c r="IV148" s="1770"/>
      <c r="IW148" s="1770"/>
      <c r="IX148" s="1770"/>
      <c r="IY148" s="1770"/>
      <c r="IZ148" s="1770"/>
      <c r="JA148" s="1770"/>
      <c r="JB148" s="1770"/>
      <c r="JC148" s="1770"/>
      <c r="JD148" s="1770"/>
      <c r="JE148" s="1770"/>
      <c r="JF148" s="1770"/>
      <c r="JG148" s="1770"/>
      <c r="JH148" s="1770"/>
      <c r="JI148" s="1770"/>
      <c r="JJ148" s="1770"/>
      <c r="JK148" s="1770"/>
      <c r="JL148" s="1770"/>
      <c r="JM148" s="1770"/>
      <c r="JN148" s="1770"/>
      <c r="JO148" s="1770"/>
      <c r="JP148" s="1770"/>
      <c r="JQ148" s="1771"/>
      <c r="JR148" s="593"/>
      <c r="JS148" s="315"/>
    </row>
    <row r="149" spans="1:280" ht="30" x14ac:dyDescent="0.25">
      <c r="A149" s="1367">
        <v>3</v>
      </c>
      <c r="B149" s="1768" t="str">
        <f t="shared" si="14"/>
        <v/>
      </c>
      <c r="C149" s="1688" t="s">
        <v>4546</v>
      </c>
      <c r="D149" s="1360" t="s">
        <v>4547</v>
      </c>
      <c r="E149" s="1769"/>
      <c r="F149" s="1769"/>
      <c r="G149" s="1769"/>
      <c r="H149" s="1769"/>
      <c r="I149" s="1769"/>
      <c r="J149" s="1770"/>
      <c r="K149" s="1769"/>
      <c r="L149" s="1770"/>
      <c r="M149" s="1769"/>
      <c r="N149" s="1769"/>
      <c r="O149" s="1769"/>
      <c r="P149" s="1770"/>
      <c r="Q149" s="1770"/>
      <c r="R149" s="1769"/>
      <c r="S149" s="1770"/>
      <c r="T149" s="1770"/>
      <c r="U149" s="1769"/>
      <c r="V149" s="1769"/>
      <c r="W149" s="1770"/>
      <c r="X149" s="1770"/>
      <c r="Y149" s="1770"/>
      <c r="Z149" s="1770"/>
      <c r="AA149" s="1769"/>
      <c r="AB149" s="1770"/>
      <c r="AC149" s="1770"/>
      <c r="AD149" s="1770"/>
      <c r="AE149" s="1770"/>
      <c r="AF149" s="1770"/>
      <c r="AG149" s="1770"/>
      <c r="AH149" s="1770"/>
      <c r="AI149" s="1770"/>
      <c r="AJ149" s="1770"/>
      <c r="AK149" s="1770"/>
      <c r="AL149" s="1770"/>
      <c r="AM149" s="1770"/>
      <c r="AN149" s="1770"/>
      <c r="AO149" s="1770"/>
      <c r="AP149" s="1770"/>
      <c r="AQ149" s="1770"/>
      <c r="AR149" s="1770"/>
      <c r="AS149" s="1770"/>
      <c r="AT149" s="1770"/>
      <c r="AU149" s="1770"/>
      <c r="AV149" s="1770"/>
      <c r="AW149" s="1770"/>
      <c r="AX149" s="1770"/>
      <c r="AY149" s="1770"/>
      <c r="AZ149" s="1770"/>
      <c r="BA149" s="1769"/>
      <c r="BB149" s="1770"/>
      <c r="BC149" s="1770"/>
      <c r="BD149" s="1770"/>
      <c r="BE149" s="1770"/>
      <c r="BF149" s="1770"/>
      <c r="BG149" s="1770"/>
      <c r="BH149" s="1770"/>
      <c r="BI149" s="1770"/>
      <c r="BJ149" s="1770"/>
      <c r="BK149" s="1770"/>
      <c r="BL149" s="1770"/>
      <c r="BM149" s="1770"/>
      <c r="BN149" s="1770"/>
      <c r="BO149" s="1770"/>
      <c r="BP149" s="1770"/>
      <c r="BQ149" s="1770"/>
      <c r="BR149" s="1770"/>
      <c r="BS149" s="1770"/>
      <c r="BT149" s="1770"/>
      <c r="BU149" s="1770"/>
      <c r="BV149" s="1770"/>
      <c r="BW149" s="1770"/>
      <c r="BX149" s="1770"/>
      <c r="BY149" s="1770"/>
      <c r="BZ149" s="1770"/>
      <c r="CA149" s="1770"/>
      <c r="CB149" s="1770"/>
      <c r="CC149" s="1770"/>
      <c r="CD149" s="1770"/>
      <c r="CE149" s="1770"/>
      <c r="CF149" s="1770"/>
      <c r="CG149" s="1770"/>
      <c r="CH149" s="1770"/>
      <c r="CI149" s="1769"/>
      <c r="CJ149" s="1770"/>
      <c r="CK149" s="1770"/>
      <c r="CL149" s="1770"/>
      <c r="CM149" s="1770"/>
      <c r="CN149" s="1770"/>
      <c r="CO149" s="1770"/>
      <c r="CP149" s="1770"/>
      <c r="CQ149" s="1770"/>
      <c r="CR149" s="1770"/>
      <c r="CS149" s="1770"/>
      <c r="CT149" s="1769"/>
      <c r="CU149" s="1770"/>
      <c r="CV149" s="1770"/>
      <c r="CW149" s="1770"/>
      <c r="CX149" s="1770"/>
      <c r="CY149" s="1770"/>
      <c r="CZ149" s="1770"/>
      <c r="DA149" s="1770"/>
      <c r="DB149" s="1769"/>
      <c r="DC149" s="1770"/>
      <c r="DD149" s="1770"/>
      <c r="DE149" s="1770"/>
      <c r="DF149" s="1770"/>
      <c r="DG149" s="1770"/>
      <c r="DH149" s="1770"/>
      <c r="DI149" s="1770"/>
      <c r="DJ149" s="1770"/>
      <c r="DK149" s="1769"/>
      <c r="DL149" s="1769"/>
      <c r="DM149" s="1770"/>
      <c r="DN149" s="1770"/>
      <c r="DO149" s="1770"/>
      <c r="DP149" s="1770"/>
      <c r="DQ149" s="1770"/>
      <c r="DR149" s="1770"/>
      <c r="DS149" s="1770"/>
      <c r="DT149" s="1770"/>
      <c r="DU149" s="1770"/>
      <c r="DV149" s="1770"/>
      <c r="DW149" s="1770"/>
      <c r="DX149" s="1770"/>
      <c r="DY149" s="1770"/>
      <c r="DZ149" s="1770"/>
      <c r="EA149" s="1770"/>
      <c r="EB149" s="1770"/>
      <c r="EC149" s="1770"/>
      <c r="ED149" s="1770"/>
      <c r="EE149" s="1770"/>
      <c r="EF149" s="1770"/>
      <c r="EG149" s="1770"/>
      <c r="EH149" s="1770"/>
      <c r="EI149" s="1770"/>
      <c r="EJ149" s="1770"/>
      <c r="EK149" s="1770"/>
      <c r="EL149" s="1770"/>
      <c r="EM149" s="1770"/>
      <c r="EN149" s="1770"/>
      <c r="EO149" s="1770"/>
      <c r="EP149" s="1770"/>
      <c r="EQ149" s="1770"/>
      <c r="ER149" s="1770"/>
      <c r="ES149" s="1770"/>
      <c r="ET149" s="1770"/>
      <c r="EU149" s="1770"/>
      <c r="EV149" s="1770"/>
      <c r="EW149" s="1770"/>
      <c r="EX149" s="1770"/>
      <c r="EY149" s="1770"/>
      <c r="EZ149" s="1770"/>
      <c r="FA149" s="1770"/>
      <c r="FB149" s="1770"/>
      <c r="FC149" s="1770"/>
      <c r="FD149" s="1770"/>
      <c r="FE149" s="1770"/>
      <c r="FF149" s="1770"/>
      <c r="FG149" s="1770"/>
      <c r="FH149" s="1770"/>
      <c r="FI149" s="1770"/>
      <c r="FJ149" s="1770"/>
      <c r="FK149" s="1770"/>
      <c r="FL149" s="1770"/>
      <c r="FM149" s="1770"/>
      <c r="FN149" s="1770"/>
      <c r="FO149" s="1770"/>
      <c r="FP149" s="1770"/>
      <c r="FQ149" s="1770"/>
      <c r="FR149" s="1770"/>
      <c r="FS149" s="1770"/>
      <c r="FT149" s="1770"/>
      <c r="FU149" s="1770"/>
      <c r="FV149" s="1770"/>
      <c r="FW149" s="1770"/>
      <c r="FX149" s="1770"/>
      <c r="FY149" s="1770"/>
      <c r="FZ149" s="1770"/>
      <c r="GA149" s="1770"/>
      <c r="GB149" s="1770"/>
      <c r="GC149" s="1769"/>
      <c r="GD149" s="1770"/>
      <c r="GE149" s="1770"/>
      <c r="GF149" s="1770"/>
      <c r="GG149" s="1770"/>
      <c r="GH149" s="1770"/>
      <c r="GI149" s="1770"/>
      <c r="GJ149" s="1770"/>
      <c r="GK149" s="1769"/>
      <c r="GL149" s="1770"/>
      <c r="GM149" s="1770"/>
      <c r="GN149" s="1770"/>
      <c r="GO149" s="1770"/>
      <c r="GP149" s="1770"/>
      <c r="GQ149" s="1770"/>
      <c r="GR149" s="1770"/>
      <c r="GS149" s="1770"/>
      <c r="GT149" s="1770"/>
      <c r="GU149" s="1770"/>
      <c r="GV149" s="1770"/>
      <c r="GW149" s="1770"/>
      <c r="GX149" s="1770"/>
      <c r="GY149" s="1770"/>
      <c r="GZ149" s="1770"/>
      <c r="HA149" s="1770"/>
      <c r="HB149" s="1770"/>
      <c r="HC149" s="1769"/>
      <c r="HD149" s="1770"/>
      <c r="HE149" s="1770"/>
      <c r="HF149" s="1770"/>
      <c r="HG149" s="1770"/>
      <c r="HH149" s="1770"/>
      <c r="HI149" s="1770"/>
      <c r="HJ149" s="1770"/>
      <c r="HK149" s="1770"/>
      <c r="HL149" s="1770"/>
      <c r="HM149" s="1770"/>
      <c r="HN149" s="1770"/>
      <c r="HO149" s="1770"/>
      <c r="HP149" s="1770"/>
      <c r="HQ149" s="1770"/>
      <c r="HR149" s="1770"/>
      <c r="HS149" s="1770"/>
      <c r="HT149" s="1770"/>
      <c r="HU149" s="1770"/>
      <c r="HV149" s="1770"/>
      <c r="HW149" s="1770"/>
      <c r="HX149" s="1770"/>
      <c r="HY149" s="1770"/>
      <c r="HZ149" s="1770"/>
      <c r="IA149" s="1770"/>
      <c r="IB149" s="1770"/>
      <c r="IC149" s="1770"/>
      <c r="ID149" s="1770"/>
      <c r="IE149" s="1770"/>
      <c r="IF149" s="1770"/>
      <c r="IG149" s="1770"/>
      <c r="IH149" s="1770"/>
      <c r="II149" s="1770"/>
      <c r="IJ149" s="1770"/>
      <c r="IK149" s="1770"/>
      <c r="IL149" s="1770"/>
      <c r="IM149" s="1770"/>
      <c r="IN149" s="1770"/>
      <c r="IO149" s="1770"/>
      <c r="IP149" s="1770"/>
      <c r="IQ149" s="1770"/>
      <c r="IR149" s="1770"/>
      <c r="IS149" s="1770"/>
      <c r="IT149" s="1770"/>
      <c r="IU149" s="1770"/>
      <c r="IV149" s="1770"/>
      <c r="IW149" s="1770"/>
      <c r="IX149" s="1770"/>
      <c r="IY149" s="1770"/>
      <c r="IZ149" s="1770"/>
      <c r="JA149" s="1770"/>
      <c r="JB149" s="1770"/>
      <c r="JC149" s="1770"/>
      <c r="JD149" s="1770"/>
      <c r="JE149" s="1770"/>
      <c r="JF149" s="1770"/>
      <c r="JG149" s="1770"/>
      <c r="JH149" s="1770"/>
      <c r="JI149" s="1770"/>
      <c r="JJ149" s="1770"/>
      <c r="JK149" s="1770"/>
      <c r="JL149" s="1770"/>
      <c r="JM149" s="1770"/>
      <c r="JN149" s="1770"/>
      <c r="JO149" s="1770"/>
      <c r="JP149" s="1770"/>
      <c r="JQ149" s="1771"/>
      <c r="JR149" s="593"/>
      <c r="JS149" s="316" t="s">
        <v>4548</v>
      </c>
    </row>
    <row r="150" spans="1:280" x14ac:dyDescent="0.25">
      <c r="A150" s="1367">
        <v>4</v>
      </c>
      <c r="B150" s="1768" t="str">
        <f t="shared" si="14"/>
        <v/>
      </c>
      <c r="C150" s="1688" t="s">
        <v>4549</v>
      </c>
      <c r="D150" s="1360" t="s">
        <v>4550</v>
      </c>
      <c r="E150" s="1769"/>
      <c r="F150" s="1769"/>
      <c r="G150" s="1769"/>
      <c r="H150" s="1769"/>
      <c r="I150" s="1769"/>
      <c r="J150" s="1770"/>
      <c r="K150" s="1769"/>
      <c r="L150" s="1770"/>
      <c r="M150" s="1769"/>
      <c r="N150" s="1769"/>
      <c r="O150" s="1769"/>
      <c r="P150" s="1770"/>
      <c r="Q150" s="1770"/>
      <c r="R150" s="1769"/>
      <c r="S150" s="1770"/>
      <c r="T150" s="1770"/>
      <c r="U150" s="1769"/>
      <c r="V150" s="1769"/>
      <c r="W150" s="1770"/>
      <c r="X150" s="1770"/>
      <c r="Y150" s="1770"/>
      <c r="Z150" s="1770"/>
      <c r="AA150" s="1769"/>
      <c r="AB150" s="1770"/>
      <c r="AC150" s="1770"/>
      <c r="AD150" s="1770"/>
      <c r="AE150" s="1770"/>
      <c r="AF150" s="1770"/>
      <c r="AG150" s="1770"/>
      <c r="AH150" s="1770"/>
      <c r="AI150" s="1770"/>
      <c r="AJ150" s="1770"/>
      <c r="AK150" s="1770"/>
      <c r="AL150" s="1770"/>
      <c r="AM150" s="1770"/>
      <c r="AN150" s="1770"/>
      <c r="AO150" s="1770"/>
      <c r="AP150" s="1770"/>
      <c r="AQ150" s="1770"/>
      <c r="AR150" s="1770"/>
      <c r="AS150" s="1770"/>
      <c r="AT150" s="1770"/>
      <c r="AU150" s="1770"/>
      <c r="AV150" s="1770"/>
      <c r="AW150" s="1770"/>
      <c r="AX150" s="1770"/>
      <c r="AY150" s="1770"/>
      <c r="AZ150" s="1770"/>
      <c r="BA150" s="1769"/>
      <c r="BB150" s="1770"/>
      <c r="BC150" s="1770"/>
      <c r="BD150" s="1770"/>
      <c r="BE150" s="1770"/>
      <c r="BF150" s="1770"/>
      <c r="BG150" s="1770"/>
      <c r="BH150" s="1770"/>
      <c r="BI150" s="1770"/>
      <c r="BJ150" s="1770"/>
      <c r="BK150" s="1770"/>
      <c r="BL150" s="1770"/>
      <c r="BM150" s="1770"/>
      <c r="BN150" s="1770"/>
      <c r="BO150" s="1770"/>
      <c r="BP150" s="1770"/>
      <c r="BQ150" s="1770"/>
      <c r="BR150" s="1770"/>
      <c r="BS150" s="1770"/>
      <c r="BT150" s="1770"/>
      <c r="BU150" s="1770"/>
      <c r="BV150" s="1770"/>
      <c r="BW150" s="1770"/>
      <c r="BX150" s="1770"/>
      <c r="BY150" s="1770"/>
      <c r="BZ150" s="1770"/>
      <c r="CA150" s="1770"/>
      <c r="CB150" s="1770"/>
      <c r="CC150" s="1770"/>
      <c r="CD150" s="1770"/>
      <c r="CE150" s="1770"/>
      <c r="CF150" s="1770"/>
      <c r="CG150" s="1770"/>
      <c r="CH150" s="1770"/>
      <c r="CI150" s="1769"/>
      <c r="CJ150" s="1770"/>
      <c r="CK150" s="1770"/>
      <c r="CL150" s="1770"/>
      <c r="CM150" s="1770"/>
      <c r="CN150" s="1770"/>
      <c r="CO150" s="1770"/>
      <c r="CP150" s="1770"/>
      <c r="CQ150" s="1770"/>
      <c r="CR150" s="1770"/>
      <c r="CS150" s="1770"/>
      <c r="CT150" s="1769"/>
      <c r="CU150" s="1770"/>
      <c r="CV150" s="1770"/>
      <c r="CW150" s="1770"/>
      <c r="CX150" s="1770"/>
      <c r="CY150" s="1770"/>
      <c r="CZ150" s="1770"/>
      <c r="DA150" s="1770"/>
      <c r="DB150" s="1769"/>
      <c r="DC150" s="1770"/>
      <c r="DD150" s="1770"/>
      <c r="DE150" s="1770"/>
      <c r="DF150" s="1770"/>
      <c r="DG150" s="1770"/>
      <c r="DH150" s="1770"/>
      <c r="DI150" s="1770"/>
      <c r="DJ150" s="1770"/>
      <c r="DK150" s="1769"/>
      <c r="DL150" s="1769"/>
      <c r="DM150" s="1770"/>
      <c r="DN150" s="1770"/>
      <c r="DO150" s="1770"/>
      <c r="DP150" s="1770"/>
      <c r="DQ150" s="1770"/>
      <c r="DR150" s="1770"/>
      <c r="DS150" s="1770"/>
      <c r="DT150" s="1770"/>
      <c r="DU150" s="1770"/>
      <c r="DV150" s="1770"/>
      <c r="DW150" s="1770"/>
      <c r="DX150" s="1770"/>
      <c r="DY150" s="1770"/>
      <c r="DZ150" s="1770"/>
      <c r="EA150" s="1770"/>
      <c r="EB150" s="1770"/>
      <c r="EC150" s="1770"/>
      <c r="ED150" s="1770"/>
      <c r="EE150" s="1770"/>
      <c r="EF150" s="1770"/>
      <c r="EG150" s="1770"/>
      <c r="EH150" s="1770"/>
      <c r="EI150" s="1770"/>
      <c r="EJ150" s="1770"/>
      <c r="EK150" s="1770"/>
      <c r="EL150" s="1770"/>
      <c r="EM150" s="1770"/>
      <c r="EN150" s="1770"/>
      <c r="EO150" s="1770"/>
      <c r="EP150" s="1770"/>
      <c r="EQ150" s="1770"/>
      <c r="ER150" s="1770"/>
      <c r="ES150" s="1770"/>
      <c r="ET150" s="1770"/>
      <c r="EU150" s="1770"/>
      <c r="EV150" s="1770"/>
      <c r="EW150" s="1770"/>
      <c r="EX150" s="1770"/>
      <c r="EY150" s="1770"/>
      <c r="EZ150" s="1770"/>
      <c r="FA150" s="1770"/>
      <c r="FB150" s="1770"/>
      <c r="FC150" s="1770"/>
      <c r="FD150" s="1770"/>
      <c r="FE150" s="1770"/>
      <c r="FF150" s="1770"/>
      <c r="FG150" s="1770"/>
      <c r="FH150" s="1770"/>
      <c r="FI150" s="1770"/>
      <c r="FJ150" s="1770"/>
      <c r="FK150" s="1770"/>
      <c r="FL150" s="1770"/>
      <c r="FM150" s="1770"/>
      <c r="FN150" s="1770"/>
      <c r="FO150" s="1770"/>
      <c r="FP150" s="1770"/>
      <c r="FQ150" s="1770"/>
      <c r="FR150" s="1770"/>
      <c r="FS150" s="1770"/>
      <c r="FT150" s="1770"/>
      <c r="FU150" s="1770"/>
      <c r="FV150" s="1770"/>
      <c r="FW150" s="1770"/>
      <c r="FX150" s="1770"/>
      <c r="FY150" s="1770"/>
      <c r="FZ150" s="1770"/>
      <c r="GA150" s="1770"/>
      <c r="GB150" s="1770"/>
      <c r="GC150" s="1769"/>
      <c r="GD150" s="1770"/>
      <c r="GE150" s="1770"/>
      <c r="GF150" s="1770"/>
      <c r="GG150" s="1770"/>
      <c r="GH150" s="1770"/>
      <c r="GI150" s="1770"/>
      <c r="GJ150" s="1770"/>
      <c r="GK150" s="1769"/>
      <c r="GL150" s="1770"/>
      <c r="GM150" s="1770"/>
      <c r="GN150" s="1770"/>
      <c r="GO150" s="1770"/>
      <c r="GP150" s="1770"/>
      <c r="GQ150" s="1770"/>
      <c r="GR150" s="1770"/>
      <c r="GS150" s="1770"/>
      <c r="GT150" s="1770"/>
      <c r="GU150" s="1770"/>
      <c r="GV150" s="1770"/>
      <c r="GW150" s="1770"/>
      <c r="GX150" s="1770"/>
      <c r="GY150" s="1770"/>
      <c r="GZ150" s="1770"/>
      <c r="HA150" s="1770"/>
      <c r="HB150" s="1770"/>
      <c r="HC150" s="1769"/>
      <c r="HD150" s="1770"/>
      <c r="HE150" s="1770"/>
      <c r="HF150" s="1770"/>
      <c r="HG150" s="1770"/>
      <c r="HH150" s="1770"/>
      <c r="HI150" s="1770"/>
      <c r="HJ150" s="1770"/>
      <c r="HK150" s="1770"/>
      <c r="HL150" s="1770"/>
      <c r="HM150" s="1770"/>
      <c r="HN150" s="1770"/>
      <c r="HO150" s="1770"/>
      <c r="HP150" s="1770"/>
      <c r="HQ150" s="1770"/>
      <c r="HR150" s="1770"/>
      <c r="HS150" s="1770"/>
      <c r="HT150" s="1770"/>
      <c r="HU150" s="1770"/>
      <c r="HV150" s="1770"/>
      <c r="HW150" s="1770"/>
      <c r="HX150" s="1770"/>
      <c r="HY150" s="1770"/>
      <c r="HZ150" s="1770"/>
      <c r="IA150" s="1770"/>
      <c r="IB150" s="1770"/>
      <c r="IC150" s="1770"/>
      <c r="ID150" s="1770"/>
      <c r="IE150" s="1770"/>
      <c r="IF150" s="1770"/>
      <c r="IG150" s="1770"/>
      <c r="IH150" s="1770"/>
      <c r="II150" s="1770"/>
      <c r="IJ150" s="1770"/>
      <c r="IK150" s="1770"/>
      <c r="IL150" s="1770"/>
      <c r="IM150" s="1770"/>
      <c r="IN150" s="1770"/>
      <c r="IO150" s="1770"/>
      <c r="IP150" s="1770"/>
      <c r="IQ150" s="1770"/>
      <c r="IR150" s="1770"/>
      <c r="IS150" s="1770"/>
      <c r="IT150" s="1770"/>
      <c r="IU150" s="1770"/>
      <c r="IV150" s="1770"/>
      <c r="IW150" s="1770"/>
      <c r="IX150" s="1770"/>
      <c r="IY150" s="1770"/>
      <c r="IZ150" s="1770"/>
      <c r="JA150" s="1770"/>
      <c r="JB150" s="1770"/>
      <c r="JC150" s="1770"/>
      <c r="JD150" s="1770"/>
      <c r="JE150" s="1770"/>
      <c r="JF150" s="1770"/>
      <c r="JG150" s="1770"/>
      <c r="JH150" s="1770"/>
      <c r="JI150" s="1770"/>
      <c r="JJ150" s="1770"/>
      <c r="JK150" s="1770"/>
      <c r="JL150" s="1770"/>
      <c r="JM150" s="1770"/>
      <c r="JN150" s="1770"/>
      <c r="JO150" s="1770"/>
      <c r="JP150" s="1770"/>
      <c r="JQ150" s="1771"/>
      <c r="JR150" s="593"/>
      <c r="JS150" s="315"/>
    </row>
    <row r="151" spans="1:280" x14ac:dyDescent="0.25">
      <c r="A151" s="1367">
        <v>5</v>
      </c>
      <c r="B151" s="1768" t="str">
        <f t="shared" si="14"/>
        <v/>
      </c>
      <c r="C151" s="1688" t="s">
        <v>4551</v>
      </c>
      <c r="D151" s="1360" t="s">
        <v>4552</v>
      </c>
      <c r="E151" s="1769"/>
      <c r="F151" s="1769"/>
      <c r="G151" s="1769"/>
      <c r="H151" s="1769"/>
      <c r="I151" s="1769"/>
      <c r="J151" s="1770"/>
      <c r="K151" s="1769"/>
      <c r="L151" s="1770"/>
      <c r="M151" s="1769"/>
      <c r="N151" s="1769"/>
      <c r="O151" s="1769"/>
      <c r="P151" s="1770"/>
      <c r="Q151" s="1770"/>
      <c r="R151" s="1769"/>
      <c r="S151" s="1770"/>
      <c r="T151" s="1770"/>
      <c r="U151" s="1769"/>
      <c r="V151" s="1769"/>
      <c r="W151" s="1770"/>
      <c r="X151" s="1770"/>
      <c r="Y151" s="1770"/>
      <c r="Z151" s="1770"/>
      <c r="AA151" s="1769"/>
      <c r="AB151" s="1770"/>
      <c r="AC151" s="1770"/>
      <c r="AD151" s="1770"/>
      <c r="AE151" s="1770"/>
      <c r="AF151" s="1770"/>
      <c r="AG151" s="1770"/>
      <c r="AH151" s="1770"/>
      <c r="AI151" s="1770"/>
      <c r="AJ151" s="1770"/>
      <c r="AK151" s="1770"/>
      <c r="AL151" s="1770"/>
      <c r="AM151" s="1770"/>
      <c r="AN151" s="1770"/>
      <c r="AO151" s="1770"/>
      <c r="AP151" s="1770"/>
      <c r="AQ151" s="1770"/>
      <c r="AR151" s="1770"/>
      <c r="AS151" s="1770"/>
      <c r="AT151" s="1770"/>
      <c r="AU151" s="1770"/>
      <c r="AV151" s="1770"/>
      <c r="AW151" s="1770"/>
      <c r="AX151" s="1770"/>
      <c r="AY151" s="1770"/>
      <c r="AZ151" s="1770"/>
      <c r="BA151" s="1769"/>
      <c r="BB151" s="1770"/>
      <c r="BC151" s="1770"/>
      <c r="BD151" s="1770"/>
      <c r="BE151" s="1770"/>
      <c r="BF151" s="1770"/>
      <c r="BG151" s="1770"/>
      <c r="BH151" s="1770"/>
      <c r="BI151" s="1770"/>
      <c r="BJ151" s="1770"/>
      <c r="BK151" s="1770"/>
      <c r="BL151" s="1770"/>
      <c r="BM151" s="1770"/>
      <c r="BN151" s="1770"/>
      <c r="BO151" s="1770"/>
      <c r="BP151" s="1770"/>
      <c r="BQ151" s="1770"/>
      <c r="BR151" s="1770"/>
      <c r="BS151" s="1770"/>
      <c r="BT151" s="1770"/>
      <c r="BU151" s="1770"/>
      <c r="BV151" s="1770"/>
      <c r="BW151" s="1770"/>
      <c r="BX151" s="1770"/>
      <c r="BY151" s="1770"/>
      <c r="BZ151" s="1770"/>
      <c r="CA151" s="1770"/>
      <c r="CB151" s="1770"/>
      <c r="CC151" s="1770"/>
      <c r="CD151" s="1770"/>
      <c r="CE151" s="1770"/>
      <c r="CF151" s="1770"/>
      <c r="CG151" s="1770"/>
      <c r="CH151" s="1770"/>
      <c r="CI151" s="1769"/>
      <c r="CJ151" s="1770"/>
      <c r="CK151" s="1770"/>
      <c r="CL151" s="1770"/>
      <c r="CM151" s="1770"/>
      <c r="CN151" s="1770"/>
      <c r="CO151" s="1770"/>
      <c r="CP151" s="1770"/>
      <c r="CQ151" s="1770"/>
      <c r="CR151" s="1770"/>
      <c r="CS151" s="1770"/>
      <c r="CT151" s="1769"/>
      <c r="CU151" s="1770"/>
      <c r="CV151" s="1770"/>
      <c r="CW151" s="1770"/>
      <c r="CX151" s="1770"/>
      <c r="CY151" s="1770"/>
      <c r="CZ151" s="1770"/>
      <c r="DA151" s="1770"/>
      <c r="DB151" s="1769"/>
      <c r="DC151" s="1770"/>
      <c r="DD151" s="1770"/>
      <c r="DE151" s="1770"/>
      <c r="DF151" s="1770"/>
      <c r="DG151" s="1770"/>
      <c r="DH151" s="1770"/>
      <c r="DI151" s="1770"/>
      <c r="DJ151" s="1770"/>
      <c r="DK151" s="1769"/>
      <c r="DL151" s="1769"/>
      <c r="DM151" s="1770"/>
      <c r="DN151" s="1770"/>
      <c r="DO151" s="1770"/>
      <c r="DP151" s="1770"/>
      <c r="DQ151" s="1770"/>
      <c r="DR151" s="1770"/>
      <c r="DS151" s="1770"/>
      <c r="DT151" s="1770"/>
      <c r="DU151" s="1770"/>
      <c r="DV151" s="1770"/>
      <c r="DW151" s="1770"/>
      <c r="DX151" s="1770"/>
      <c r="DY151" s="1770"/>
      <c r="DZ151" s="1770"/>
      <c r="EA151" s="1770"/>
      <c r="EB151" s="1770"/>
      <c r="EC151" s="1770"/>
      <c r="ED151" s="1770"/>
      <c r="EE151" s="1770"/>
      <c r="EF151" s="1770"/>
      <c r="EG151" s="1770"/>
      <c r="EH151" s="1770"/>
      <c r="EI151" s="1770"/>
      <c r="EJ151" s="1770"/>
      <c r="EK151" s="1770"/>
      <c r="EL151" s="1770"/>
      <c r="EM151" s="1770"/>
      <c r="EN151" s="1770"/>
      <c r="EO151" s="1770"/>
      <c r="EP151" s="1770"/>
      <c r="EQ151" s="1770"/>
      <c r="ER151" s="1770"/>
      <c r="ES151" s="1770"/>
      <c r="ET151" s="1770"/>
      <c r="EU151" s="1770"/>
      <c r="EV151" s="1770"/>
      <c r="EW151" s="1770"/>
      <c r="EX151" s="1770"/>
      <c r="EY151" s="1770"/>
      <c r="EZ151" s="1770"/>
      <c r="FA151" s="1770"/>
      <c r="FB151" s="1770"/>
      <c r="FC151" s="1770"/>
      <c r="FD151" s="1770"/>
      <c r="FE151" s="1770"/>
      <c r="FF151" s="1770"/>
      <c r="FG151" s="1770"/>
      <c r="FH151" s="1770"/>
      <c r="FI151" s="1770"/>
      <c r="FJ151" s="1770"/>
      <c r="FK151" s="1770"/>
      <c r="FL151" s="1770"/>
      <c r="FM151" s="1770"/>
      <c r="FN151" s="1770"/>
      <c r="FO151" s="1770"/>
      <c r="FP151" s="1770"/>
      <c r="FQ151" s="1770"/>
      <c r="FR151" s="1770"/>
      <c r="FS151" s="1770"/>
      <c r="FT151" s="1770"/>
      <c r="FU151" s="1770"/>
      <c r="FV151" s="1770"/>
      <c r="FW151" s="1770"/>
      <c r="FX151" s="1770"/>
      <c r="FY151" s="1770"/>
      <c r="FZ151" s="1770"/>
      <c r="GA151" s="1770"/>
      <c r="GB151" s="1770"/>
      <c r="GC151" s="1769"/>
      <c r="GD151" s="1770"/>
      <c r="GE151" s="1770"/>
      <c r="GF151" s="1770"/>
      <c r="GG151" s="1770"/>
      <c r="GH151" s="1770"/>
      <c r="GI151" s="1770"/>
      <c r="GJ151" s="1770"/>
      <c r="GK151" s="1769"/>
      <c r="GL151" s="1770"/>
      <c r="GM151" s="1770"/>
      <c r="GN151" s="1770"/>
      <c r="GO151" s="1770"/>
      <c r="GP151" s="1770"/>
      <c r="GQ151" s="1770"/>
      <c r="GR151" s="1770"/>
      <c r="GS151" s="1770"/>
      <c r="GT151" s="1770"/>
      <c r="GU151" s="1770"/>
      <c r="GV151" s="1770"/>
      <c r="GW151" s="1770"/>
      <c r="GX151" s="1770"/>
      <c r="GY151" s="1770"/>
      <c r="GZ151" s="1770"/>
      <c r="HA151" s="1770"/>
      <c r="HB151" s="1770"/>
      <c r="HC151" s="1769"/>
      <c r="HD151" s="1770"/>
      <c r="HE151" s="1770"/>
      <c r="HF151" s="1770"/>
      <c r="HG151" s="1770"/>
      <c r="HH151" s="1770"/>
      <c r="HI151" s="1770"/>
      <c r="HJ151" s="1770"/>
      <c r="HK151" s="1770"/>
      <c r="HL151" s="1770"/>
      <c r="HM151" s="1770"/>
      <c r="HN151" s="1770"/>
      <c r="HO151" s="1770"/>
      <c r="HP151" s="1770"/>
      <c r="HQ151" s="1770"/>
      <c r="HR151" s="1770"/>
      <c r="HS151" s="1770"/>
      <c r="HT151" s="1770"/>
      <c r="HU151" s="1770"/>
      <c r="HV151" s="1770"/>
      <c r="HW151" s="1770"/>
      <c r="HX151" s="1770"/>
      <c r="HY151" s="1770"/>
      <c r="HZ151" s="1770"/>
      <c r="IA151" s="1770"/>
      <c r="IB151" s="1770"/>
      <c r="IC151" s="1770"/>
      <c r="ID151" s="1770"/>
      <c r="IE151" s="1770"/>
      <c r="IF151" s="1770"/>
      <c r="IG151" s="1770"/>
      <c r="IH151" s="1770"/>
      <c r="II151" s="1770"/>
      <c r="IJ151" s="1770"/>
      <c r="IK151" s="1770"/>
      <c r="IL151" s="1770"/>
      <c r="IM151" s="1770"/>
      <c r="IN151" s="1770"/>
      <c r="IO151" s="1770"/>
      <c r="IP151" s="1770"/>
      <c r="IQ151" s="1770"/>
      <c r="IR151" s="1770"/>
      <c r="IS151" s="1770"/>
      <c r="IT151" s="1770"/>
      <c r="IU151" s="1770"/>
      <c r="IV151" s="1770"/>
      <c r="IW151" s="1770"/>
      <c r="IX151" s="1770"/>
      <c r="IY151" s="1770"/>
      <c r="IZ151" s="1770"/>
      <c r="JA151" s="1770"/>
      <c r="JB151" s="1770"/>
      <c r="JC151" s="1770"/>
      <c r="JD151" s="1770"/>
      <c r="JE151" s="1770"/>
      <c r="JF151" s="1770"/>
      <c r="JG151" s="1770"/>
      <c r="JH151" s="1770"/>
      <c r="JI151" s="1770"/>
      <c r="JJ151" s="1770"/>
      <c r="JK151" s="1770"/>
      <c r="JL151" s="1770"/>
      <c r="JM151" s="1770"/>
      <c r="JN151" s="1770"/>
      <c r="JO151" s="1770"/>
      <c r="JP151" s="1770"/>
      <c r="JQ151" s="1771"/>
      <c r="JR151" s="593"/>
      <c r="JS151" s="315"/>
    </row>
    <row r="152" spans="1:280" x14ac:dyDescent="0.25">
      <c r="A152" s="1367">
        <v>6</v>
      </c>
      <c r="B152" s="1768" t="str">
        <f t="shared" si="14"/>
        <v/>
      </c>
      <c r="C152" s="1688" t="s">
        <v>4553</v>
      </c>
      <c r="D152" s="1360" t="s">
        <v>4554</v>
      </c>
      <c r="E152" s="1769"/>
      <c r="F152" s="1769"/>
      <c r="G152" s="1769"/>
      <c r="H152" s="1769"/>
      <c r="I152" s="1769"/>
      <c r="J152" s="1770"/>
      <c r="K152" s="1769"/>
      <c r="L152" s="1770"/>
      <c r="M152" s="1769"/>
      <c r="N152" s="1769"/>
      <c r="O152" s="1769"/>
      <c r="P152" s="1770"/>
      <c r="Q152" s="1770"/>
      <c r="R152" s="1769"/>
      <c r="S152" s="1770"/>
      <c r="T152" s="1770"/>
      <c r="U152" s="1769"/>
      <c r="V152" s="1769"/>
      <c r="W152" s="1770"/>
      <c r="X152" s="1770"/>
      <c r="Y152" s="1770"/>
      <c r="Z152" s="1770"/>
      <c r="AA152" s="1769"/>
      <c r="AB152" s="1770"/>
      <c r="AC152" s="1770"/>
      <c r="AD152" s="1770"/>
      <c r="AE152" s="1770"/>
      <c r="AF152" s="1770"/>
      <c r="AG152" s="1770"/>
      <c r="AH152" s="1770"/>
      <c r="AI152" s="1770"/>
      <c r="AJ152" s="1770"/>
      <c r="AK152" s="1770"/>
      <c r="AL152" s="1770"/>
      <c r="AM152" s="1770"/>
      <c r="AN152" s="1770"/>
      <c r="AO152" s="1770"/>
      <c r="AP152" s="1770"/>
      <c r="AQ152" s="1770"/>
      <c r="AR152" s="1770"/>
      <c r="AS152" s="1770"/>
      <c r="AT152" s="1770"/>
      <c r="AU152" s="1770"/>
      <c r="AV152" s="1770"/>
      <c r="AW152" s="1770"/>
      <c r="AX152" s="1770"/>
      <c r="AY152" s="1770"/>
      <c r="AZ152" s="1770"/>
      <c r="BA152" s="1769"/>
      <c r="BB152" s="1770"/>
      <c r="BC152" s="1770"/>
      <c r="BD152" s="1770"/>
      <c r="BE152" s="1770"/>
      <c r="BF152" s="1770"/>
      <c r="BG152" s="1770"/>
      <c r="BH152" s="1770"/>
      <c r="BI152" s="1770"/>
      <c r="BJ152" s="1770"/>
      <c r="BK152" s="1770"/>
      <c r="BL152" s="1770"/>
      <c r="BM152" s="1770"/>
      <c r="BN152" s="1770"/>
      <c r="BO152" s="1770"/>
      <c r="BP152" s="1770"/>
      <c r="BQ152" s="1770"/>
      <c r="BR152" s="1770"/>
      <c r="BS152" s="1770"/>
      <c r="BT152" s="1770"/>
      <c r="BU152" s="1770"/>
      <c r="BV152" s="1770"/>
      <c r="BW152" s="1770"/>
      <c r="BX152" s="1770"/>
      <c r="BY152" s="1770"/>
      <c r="BZ152" s="1770"/>
      <c r="CA152" s="1770"/>
      <c r="CB152" s="1770"/>
      <c r="CC152" s="1770"/>
      <c r="CD152" s="1770"/>
      <c r="CE152" s="1770"/>
      <c r="CF152" s="1770"/>
      <c r="CG152" s="1770"/>
      <c r="CH152" s="1770"/>
      <c r="CI152" s="1769"/>
      <c r="CJ152" s="1770"/>
      <c r="CK152" s="1770"/>
      <c r="CL152" s="1770"/>
      <c r="CM152" s="1770"/>
      <c r="CN152" s="1770"/>
      <c r="CO152" s="1770"/>
      <c r="CP152" s="1770"/>
      <c r="CQ152" s="1770"/>
      <c r="CR152" s="1770"/>
      <c r="CS152" s="1770"/>
      <c r="CT152" s="1769"/>
      <c r="CU152" s="1770"/>
      <c r="CV152" s="1770"/>
      <c r="CW152" s="1770"/>
      <c r="CX152" s="1770"/>
      <c r="CY152" s="1770"/>
      <c r="CZ152" s="1770"/>
      <c r="DA152" s="1770"/>
      <c r="DB152" s="1769"/>
      <c r="DC152" s="1770"/>
      <c r="DD152" s="1770"/>
      <c r="DE152" s="1770"/>
      <c r="DF152" s="1770"/>
      <c r="DG152" s="1770"/>
      <c r="DH152" s="1770"/>
      <c r="DI152" s="1770"/>
      <c r="DJ152" s="1770"/>
      <c r="DK152" s="1769"/>
      <c r="DL152" s="1769"/>
      <c r="DM152" s="1770"/>
      <c r="DN152" s="1770"/>
      <c r="DO152" s="1770"/>
      <c r="DP152" s="1770"/>
      <c r="DQ152" s="1770"/>
      <c r="DR152" s="1770"/>
      <c r="DS152" s="1770"/>
      <c r="DT152" s="1770"/>
      <c r="DU152" s="1770"/>
      <c r="DV152" s="1770"/>
      <c r="DW152" s="1770"/>
      <c r="DX152" s="1770"/>
      <c r="DY152" s="1770"/>
      <c r="DZ152" s="1770"/>
      <c r="EA152" s="1770"/>
      <c r="EB152" s="1770"/>
      <c r="EC152" s="1770"/>
      <c r="ED152" s="1770"/>
      <c r="EE152" s="1770"/>
      <c r="EF152" s="1770"/>
      <c r="EG152" s="1770"/>
      <c r="EH152" s="1770"/>
      <c r="EI152" s="1770"/>
      <c r="EJ152" s="1770"/>
      <c r="EK152" s="1770"/>
      <c r="EL152" s="1770"/>
      <c r="EM152" s="1770"/>
      <c r="EN152" s="1770"/>
      <c r="EO152" s="1770"/>
      <c r="EP152" s="1770"/>
      <c r="EQ152" s="1770"/>
      <c r="ER152" s="1770"/>
      <c r="ES152" s="1770"/>
      <c r="ET152" s="1770"/>
      <c r="EU152" s="1770"/>
      <c r="EV152" s="1770"/>
      <c r="EW152" s="1770"/>
      <c r="EX152" s="1770"/>
      <c r="EY152" s="1770"/>
      <c r="EZ152" s="1770"/>
      <c r="FA152" s="1770"/>
      <c r="FB152" s="1770"/>
      <c r="FC152" s="1770"/>
      <c r="FD152" s="1770"/>
      <c r="FE152" s="1770"/>
      <c r="FF152" s="1770"/>
      <c r="FG152" s="1770"/>
      <c r="FH152" s="1770"/>
      <c r="FI152" s="1770"/>
      <c r="FJ152" s="1770"/>
      <c r="FK152" s="1770"/>
      <c r="FL152" s="1770"/>
      <c r="FM152" s="1770"/>
      <c r="FN152" s="1770"/>
      <c r="FO152" s="1770"/>
      <c r="FP152" s="1770"/>
      <c r="FQ152" s="1770"/>
      <c r="FR152" s="1770"/>
      <c r="FS152" s="1770"/>
      <c r="FT152" s="1770"/>
      <c r="FU152" s="1770"/>
      <c r="FV152" s="1770"/>
      <c r="FW152" s="1770"/>
      <c r="FX152" s="1770"/>
      <c r="FY152" s="1770"/>
      <c r="FZ152" s="1770"/>
      <c r="GA152" s="1770"/>
      <c r="GB152" s="1770"/>
      <c r="GC152" s="1769"/>
      <c r="GD152" s="1770"/>
      <c r="GE152" s="1770"/>
      <c r="GF152" s="1770"/>
      <c r="GG152" s="1770"/>
      <c r="GH152" s="1770"/>
      <c r="GI152" s="1770"/>
      <c r="GJ152" s="1770"/>
      <c r="GK152" s="1769"/>
      <c r="GL152" s="1770"/>
      <c r="GM152" s="1770"/>
      <c r="GN152" s="1770"/>
      <c r="GO152" s="1770"/>
      <c r="GP152" s="1770"/>
      <c r="GQ152" s="1770"/>
      <c r="GR152" s="1770"/>
      <c r="GS152" s="1770"/>
      <c r="GT152" s="1770"/>
      <c r="GU152" s="1770"/>
      <c r="GV152" s="1770"/>
      <c r="GW152" s="1770"/>
      <c r="GX152" s="1770"/>
      <c r="GY152" s="1770"/>
      <c r="GZ152" s="1770"/>
      <c r="HA152" s="1770"/>
      <c r="HB152" s="1770"/>
      <c r="HC152" s="1769"/>
      <c r="HD152" s="1770"/>
      <c r="HE152" s="1770"/>
      <c r="HF152" s="1770"/>
      <c r="HG152" s="1770"/>
      <c r="HH152" s="1770"/>
      <c r="HI152" s="1770"/>
      <c r="HJ152" s="1770"/>
      <c r="HK152" s="1770"/>
      <c r="HL152" s="1770"/>
      <c r="HM152" s="1770"/>
      <c r="HN152" s="1770"/>
      <c r="HO152" s="1770"/>
      <c r="HP152" s="1770"/>
      <c r="HQ152" s="1770"/>
      <c r="HR152" s="1770"/>
      <c r="HS152" s="1770"/>
      <c r="HT152" s="1770"/>
      <c r="HU152" s="1770"/>
      <c r="HV152" s="1770"/>
      <c r="HW152" s="1770"/>
      <c r="HX152" s="1770"/>
      <c r="HY152" s="1770"/>
      <c r="HZ152" s="1770"/>
      <c r="IA152" s="1770"/>
      <c r="IB152" s="1770"/>
      <c r="IC152" s="1770"/>
      <c r="ID152" s="1770"/>
      <c r="IE152" s="1770"/>
      <c r="IF152" s="1770"/>
      <c r="IG152" s="1770"/>
      <c r="IH152" s="1770"/>
      <c r="II152" s="1770"/>
      <c r="IJ152" s="1770"/>
      <c r="IK152" s="1770"/>
      <c r="IL152" s="1770"/>
      <c r="IM152" s="1770"/>
      <c r="IN152" s="1770"/>
      <c r="IO152" s="1770"/>
      <c r="IP152" s="1770"/>
      <c r="IQ152" s="1770"/>
      <c r="IR152" s="1770"/>
      <c r="IS152" s="1770"/>
      <c r="IT152" s="1770"/>
      <c r="IU152" s="1770"/>
      <c r="IV152" s="1770"/>
      <c r="IW152" s="1770"/>
      <c r="IX152" s="1770"/>
      <c r="IY152" s="1770"/>
      <c r="IZ152" s="1770"/>
      <c r="JA152" s="1770"/>
      <c r="JB152" s="1770"/>
      <c r="JC152" s="1770"/>
      <c r="JD152" s="1770"/>
      <c r="JE152" s="1770"/>
      <c r="JF152" s="1770"/>
      <c r="JG152" s="1770"/>
      <c r="JH152" s="1770"/>
      <c r="JI152" s="1770"/>
      <c r="JJ152" s="1770"/>
      <c r="JK152" s="1770"/>
      <c r="JL152" s="1770"/>
      <c r="JM152" s="1770"/>
      <c r="JN152" s="1770"/>
      <c r="JO152" s="1770"/>
      <c r="JP152" s="1770"/>
      <c r="JQ152" s="1771"/>
      <c r="JR152" s="593"/>
      <c r="JS152" s="315"/>
    </row>
    <row r="153" spans="1:280" x14ac:dyDescent="0.25">
      <c r="A153" s="1367">
        <v>7</v>
      </c>
      <c r="B153" s="1768" t="str">
        <f t="shared" si="14"/>
        <v/>
      </c>
      <c r="C153" s="1688" t="s">
        <v>4555</v>
      </c>
      <c r="D153" s="1360" t="s">
        <v>4556</v>
      </c>
      <c r="E153" s="1769"/>
      <c r="F153" s="1769"/>
      <c r="G153" s="1769"/>
      <c r="H153" s="1769"/>
      <c r="I153" s="1769"/>
      <c r="J153" s="1770"/>
      <c r="K153" s="1769"/>
      <c r="L153" s="1770"/>
      <c r="M153" s="1769"/>
      <c r="N153" s="1769"/>
      <c r="O153" s="1769"/>
      <c r="P153" s="1770"/>
      <c r="Q153" s="1770"/>
      <c r="R153" s="1769"/>
      <c r="S153" s="1770"/>
      <c r="T153" s="1770"/>
      <c r="U153" s="1769"/>
      <c r="V153" s="1769"/>
      <c r="W153" s="1770"/>
      <c r="X153" s="1770"/>
      <c r="Y153" s="1770"/>
      <c r="Z153" s="1770"/>
      <c r="AA153" s="1769"/>
      <c r="AB153" s="1770"/>
      <c r="AC153" s="1770"/>
      <c r="AD153" s="1770"/>
      <c r="AE153" s="1770"/>
      <c r="AF153" s="1770"/>
      <c r="AG153" s="1770"/>
      <c r="AH153" s="1770"/>
      <c r="AI153" s="1770"/>
      <c r="AJ153" s="1770"/>
      <c r="AK153" s="1770"/>
      <c r="AL153" s="1770"/>
      <c r="AM153" s="1770"/>
      <c r="AN153" s="1770"/>
      <c r="AO153" s="1770"/>
      <c r="AP153" s="1770"/>
      <c r="AQ153" s="1770"/>
      <c r="AR153" s="1770"/>
      <c r="AS153" s="1770"/>
      <c r="AT153" s="1770"/>
      <c r="AU153" s="1770"/>
      <c r="AV153" s="1770"/>
      <c r="AW153" s="1770"/>
      <c r="AX153" s="1770"/>
      <c r="AY153" s="1770"/>
      <c r="AZ153" s="1770"/>
      <c r="BA153" s="1769"/>
      <c r="BB153" s="1770"/>
      <c r="BC153" s="1770"/>
      <c r="BD153" s="1770"/>
      <c r="BE153" s="1770"/>
      <c r="BF153" s="1770"/>
      <c r="BG153" s="1770"/>
      <c r="BH153" s="1770"/>
      <c r="BI153" s="1770"/>
      <c r="BJ153" s="1770"/>
      <c r="BK153" s="1770"/>
      <c r="BL153" s="1770"/>
      <c r="BM153" s="1770"/>
      <c r="BN153" s="1770"/>
      <c r="BO153" s="1770"/>
      <c r="BP153" s="1770"/>
      <c r="BQ153" s="1770"/>
      <c r="BR153" s="1770"/>
      <c r="BS153" s="1770"/>
      <c r="BT153" s="1770"/>
      <c r="BU153" s="1770"/>
      <c r="BV153" s="1770"/>
      <c r="BW153" s="1770"/>
      <c r="BX153" s="1770"/>
      <c r="BY153" s="1770"/>
      <c r="BZ153" s="1770"/>
      <c r="CA153" s="1770"/>
      <c r="CB153" s="1770"/>
      <c r="CC153" s="1770"/>
      <c r="CD153" s="1770"/>
      <c r="CE153" s="1770"/>
      <c r="CF153" s="1770"/>
      <c r="CG153" s="1770"/>
      <c r="CH153" s="1770"/>
      <c r="CI153" s="1769"/>
      <c r="CJ153" s="1770"/>
      <c r="CK153" s="1770"/>
      <c r="CL153" s="1770"/>
      <c r="CM153" s="1770"/>
      <c r="CN153" s="1770"/>
      <c r="CO153" s="1770"/>
      <c r="CP153" s="1770"/>
      <c r="CQ153" s="1770"/>
      <c r="CR153" s="1770"/>
      <c r="CS153" s="1770"/>
      <c r="CT153" s="1769"/>
      <c r="CU153" s="1770"/>
      <c r="CV153" s="1770"/>
      <c r="CW153" s="1770"/>
      <c r="CX153" s="1770"/>
      <c r="CY153" s="1770"/>
      <c r="CZ153" s="1770"/>
      <c r="DA153" s="1770"/>
      <c r="DB153" s="1769"/>
      <c r="DC153" s="1770"/>
      <c r="DD153" s="1770"/>
      <c r="DE153" s="1770"/>
      <c r="DF153" s="1770"/>
      <c r="DG153" s="1770"/>
      <c r="DH153" s="1770"/>
      <c r="DI153" s="1770"/>
      <c r="DJ153" s="1770"/>
      <c r="DK153" s="1769"/>
      <c r="DL153" s="1769"/>
      <c r="DM153" s="1770"/>
      <c r="DN153" s="1770"/>
      <c r="DO153" s="1770"/>
      <c r="DP153" s="1770"/>
      <c r="DQ153" s="1770"/>
      <c r="DR153" s="1770"/>
      <c r="DS153" s="1770"/>
      <c r="DT153" s="1770"/>
      <c r="DU153" s="1770"/>
      <c r="DV153" s="1770"/>
      <c r="DW153" s="1770"/>
      <c r="DX153" s="1770"/>
      <c r="DY153" s="1770"/>
      <c r="DZ153" s="1770"/>
      <c r="EA153" s="1770"/>
      <c r="EB153" s="1770"/>
      <c r="EC153" s="1770"/>
      <c r="ED153" s="1770"/>
      <c r="EE153" s="1770"/>
      <c r="EF153" s="1770"/>
      <c r="EG153" s="1770"/>
      <c r="EH153" s="1770"/>
      <c r="EI153" s="1770"/>
      <c r="EJ153" s="1770"/>
      <c r="EK153" s="1770"/>
      <c r="EL153" s="1770"/>
      <c r="EM153" s="1770"/>
      <c r="EN153" s="1770"/>
      <c r="EO153" s="1770"/>
      <c r="EP153" s="1770"/>
      <c r="EQ153" s="1770"/>
      <c r="ER153" s="1770"/>
      <c r="ES153" s="1770"/>
      <c r="ET153" s="1770"/>
      <c r="EU153" s="1770"/>
      <c r="EV153" s="1770"/>
      <c r="EW153" s="1770"/>
      <c r="EX153" s="1770"/>
      <c r="EY153" s="1770"/>
      <c r="EZ153" s="1770"/>
      <c r="FA153" s="1770"/>
      <c r="FB153" s="1770"/>
      <c r="FC153" s="1770"/>
      <c r="FD153" s="1770"/>
      <c r="FE153" s="1770"/>
      <c r="FF153" s="1770"/>
      <c r="FG153" s="1770"/>
      <c r="FH153" s="1770"/>
      <c r="FI153" s="1770"/>
      <c r="FJ153" s="1770"/>
      <c r="FK153" s="1770"/>
      <c r="FL153" s="1770"/>
      <c r="FM153" s="1770"/>
      <c r="FN153" s="1770"/>
      <c r="FO153" s="1770"/>
      <c r="FP153" s="1770"/>
      <c r="FQ153" s="1770"/>
      <c r="FR153" s="1770"/>
      <c r="FS153" s="1770"/>
      <c r="FT153" s="1770"/>
      <c r="FU153" s="1770"/>
      <c r="FV153" s="1770"/>
      <c r="FW153" s="1770"/>
      <c r="FX153" s="1770"/>
      <c r="FY153" s="1770"/>
      <c r="FZ153" s="1770"/>
      <c r="GA153" s="1770"/>
      <c r="GB153" s="1770"/>
      <c r="GC153" s="1769"/>
      <c r="GD153" s="1770"/>
      <c r="GE153" s="1770"/>
      <c r="GF153" s="1770"/>
      <c r="GG153" s="1770"/>
      <c r="GH153" s="1770"/>
      <c r="GI153" s="1770"/>
      <c r="GJ153" s="1770"/>
      <c r="GK153" s="1769"/>
      <c r="GL153" s="1770"/>
      <c r="GM153" s="1770"/>
      <c r="GN153" s="1770"/>
      <c r="GO153" s="1770"/>
      <c r="GP153" s="1770"/>
      <c r="GQ153" s="1770"/>
      <c r="GR153" s="1770"/>
      <c r="GS153" s="1770"/>
      <c r="GT153" s="1770"/>
      <c r="GU153" s="1770"/>
      <c r="GV153" s="1770"/>
      <c r="GW153" s="1770"/>
      <c r="GX153" s="1770"/>
      <c r="GY153" s="1770"/>
      <c r="GZ153" s="1770"/>
      <c r="HA153" s="1770"/>
      <c r="HB153" s="1770"/>
      <c r="HC153" s="1769"/>
      <c r="HD153" s="1770"/>
      <c r="HE153" s="1770"/>
      <c r="HF153" s="1770"/>
      <c r="HG153" s="1770"/>
      <c r="HH153" s="1770"/>
      <c r="HI153" s="1770"/>
      <c r="HJ153" s="1770"/>
      <c r="HK153" s="1770"/>
      <c r="HL153" s="1770"/>
      <c r="HM153" s="1770"/>
      <c r="HN153" s="1770"/>
      <c r="HO153" s="1770"/>
      <c r="HP153" s="1770"/>
      <c r="HQ153" s="1770"/>
      <c r="HR153" s="1770"/>
      <c r="HS153" s="1770"/>
      <c r="HT153" s="1770"/>
      <c r="HU153" s="1770"/>
      <c r="HV153" s="1770"/>
      <c r="HW153" s="1770"/>
      <c r="HX153" s="1770"/>
      <c r="HY153" s="1770"/>
      <c r="HZ153" s="1770"/>
      <c r="IA153" s="1770"/>
      <c r="IB153" s="1770"/>
      <c r="IC153" s="1770"/>
      <c r="ID153" s="1770"/>
      <c r="IE153" s="1770"/>
      <c r="IF153" s="1770"/>
      <c r="IG153" s="1770"/>
      <c r="IH153" s="1770"/>
      <c r="II153" s="1770"/>
      <c r="IJ153" s="1770"/>
      <c r="IK153" s="1770"/>
      <c r="IL153" s="1770"/>
      <c r="IM153" s="1770"/>
      <c r="IN153" s="1770"/>
      <c r="IO153" s="1770"/>
      <c r="IP153" s="1770"/>
      <c r="IQ153" s="1770"/>
      <c r="IR153" s="1770"/>
      <c r="IS153" s="1770"/>
      <c r="IT153" s="1770"/>
      <c r="IU153" s="1770"/>
      <c r="IV153" s="1770"/>
      <c r="IW153" s="1770"/>
      <c r="IX153" s="1770"/>
      <c r="IY153" s="1770"/>
      <c r="IZ153" s="1770"/>
      <c r="JA153" s="1770"/>
      <c r="JB153" s="1770"/>
      <c r="JC153" s="1770"/>
      <c r="JD153" s="1770"/>
      <c r="JE153" s="1770"/>
      <c r="JF153" s="1770"/>
      <c r="JG153" s="1770"/>
      <c r="JH153" s="1770"/>
      <c r="JI153" s="1770"/>
      <c r="JJ153" s="1770"/>
      <c r="JK153" s="1770"/>
      <c r="JL153" s="1770"/>
      <c r="JM153" s="1770"/>
      <c r="JN153" s="1770"/>
      <c r="JO153" s="1770"/>
      <c r="JP153" s="1770"/>
      <c r="JQ153" s="1771"/>
      <c r="JR153" s="593"/>
      <c r="JS153" s="316" t="s">
        <v>4557</v>
      </c>
    </row>
    <row r="154" spans="1:280" x14ac:dyDescent="0.25">
      <c r="A154" s="1367">
        <v>8</v>
      </c>
      <c r="B154" s="1768" t="str">
        <f t="shared" si="14"/>
        <v/>
      </c>
      <c r="C154" s="1688" t="s">
        <v>4558</v>
      </c>
      <c r="D154" s="1360" t="s">
        <v>4559</v>
      </c>
      <c r="E154" s="1769"/>
      <c r="F154" s="1769"/>
      <c r="G154" s="1769"/>
      <c r="H154" s="1769"/>
      <c r="I154" s="1769"/>
      <c r="J154" s="1770"/>
      <c r="K154" s="1769"/>
      <c r="L154" s="1770"/>
      <c r="M154" s="1769"/>
      <c r="N154" s="1769"/>
      <c r="O154" s="1769"/>
      <c r="P154" s="1770"/>
      <c r="Q154" s="1770"/>
      <c r="R154" s="1769"/>
      <c r="S154" s="1770"/>
      <c r="T154" s="1770"/>
      <c r="U154" s="1769"/>
      <c r="V154" s="1769"/>
      <c r="W154" s="1770"/>
      <c r="X154" s="1770"/>
      <c r="Y154" s="1770"/>
      <c r="Z154" s="1770"/>
      <c r="AA154" s="1769"/>
      <c r="AB154" s="1770"/>
      <c r="AC154" s="1770"/>
      <c r="AD154" s="1770"/>
      <c r="AE154" s="1770"/>
      <c r="AF154" s="1770"/>
      <c r="AG154" s="1770"/>
      <c r="AH154" s="1770"/>
      <c r="AI154" s="1770"/>
      <c r="AJ154" s="1770"/>
      <c r="AK154" s="1770"/>
      <c r="AL154" s="1770"/>
      <c r="AM154" s="1770"/>
      <c r="AN154" s="1770"/>
      <c r="AO154" s="1770"/>
      <c r="AP154" s="1770"/>
      <c r="AQ154" s="1770"/>
      <c r="AR154" s="1770"/>
      <c r="AS154" s="1770"/>
      <c r="AT154" s="1770"/>
      <c r="AU154" s="1770"/>
      <c r="AV154" s="1770"/>
      <c r="AW154" s="1770"/>
      <c r="AX154" s="1770"/>
      <c r="AY154" s="1770"/>
      <c r="AZ154" s="1770"/>
      <c r="BA154" s="1769"/>
      <c r="BB154" s="1770"/>
      <c r="BC154" s="1770"/>
      <c r="BD154" s="1770"/>
      <c r="BE154" s="1770"/>
      <c r="BF154" s="1770"/>
      <c r="BG154" s="1770"/>
      <c r="BH154" s="1770"/>
      <c r="BI154" s="1770"/>
      <c r="BJ154" s="1770"/>
      <c r="BK154" s="1770"/>
      <c r="BL154" s="1770"/>
      <c r="BM154" s="1770"/>
      <c r="BN154" s="1770"/>
      <c r="BO154" s="1770"/>
      <c r="BP154" s="1770"/>
      <c r="BQ154" s="1770"/>
      <c r="BR154" s="1770"/>
      <c r="BS154" s="1770"/>
      <c r="BT154" s="1770"/>
      <c r="BU154" s="1770"/>
      <c r="BV154" s="1770"/>
      <c r="BW154" s="1770"/>
      <c r="BX154" s="1770"/>
      <c r="BY154" s="1770"/>
      <c r="BZ154" s="1770"/>
      <c r="CA154" s="1770"/>
      <c r="CB154" s="1770"/>
      <c r="CC154" s="1770"/>
      <c r="CD154" s="1770"/>
      <c r="CE154" s="1770"/>
      <c r="CF154" s="1770"/>
      <c r="CG154" s="1770"/>
      <c r="CH154" s="1770"/>
      <c r="CI154" s="1769"/>
      <c r="CJ154" s="1770"/>
      <c r="CK154" s="1770"/>
      <c r="CL154" s="1770"/>
      <c r="CM154" s="1770"/>
      <c r="CN154" s="1770"/>
      <c r="CO154" s="1770"/>
      <c r="CP154" s="1770"/>
      <c r="CQ154" s="1770"/>
      <c r="CR154" s="1770"/>
      <c r="CS154" s="1770"/>
      <c r="CT154" s="1769"/>
      <c r="CU154" s="1770"/>
      <c r="CV154" s="1770"/>
      <c r="CW154" s="1770"/>
      <c r="CX154" s="1770"/>
      <c r="CY154" s="1770"/>
      <c r="CZ154" s="1770"/>
      <c r="DA154" s="1770"/>
      <c r="DB154" s="1769"/>
      <c r="DC154" s="1770"/>
      <c r="DD154" s="1770"/>
      <c r="DE154" s="1770"/>
      <c r="DF154" s="1770"/>
      <c r="DG154" s="1770"/>
      <c r="DH154" s="1770"/>
      <c r="DI154" s="1770"/>
      <c r="DJ154" s="1770"/>
      <c r="DK154" s="1769"/>
      <c r="DL154" s="1769"/>
      <c r="DM154" s="1770"/>
      <c r="DN154" s="1770"/>
      <c r="DO154" s="1770"/>
      <c r="DP154" s="1770"/>
      <c r="DQ154" s="1770"/>
      <c r="DR154" s="1770"/>
      <c r="DS154" s="1770"/>
      <c r="DT154" s="1770"/>
      <c r="DU154" s="1770"/>
      <c r="DV154" s="1770"/>
      <c r="DW154" s="1770"/>
      <c r="DX154" s="1770"/>
      <c r="DY154" s="1770"/>
      <c r="DZ154" s="1770"/>
      <c r="EA154" s="1770"/>
      <c r="EB154" s="1770"/>
      <c r="EC154" s="1770"/>
      <c r="ED154" s="1770"/>
      <c r="EE154" s="1770"/>
      <c r="EF154" s="1770"/>
      <c r="EG154" s="1770"/>
      <c r="EH154" s="1770"/>
      <c r="EI154" s="1770"/>
      <c r="EJ154" s="1770"/>
      <c r="EK154" s="1770"/>
      <c r="EL154" s="1770"/>
      <c r="EM154" s="1770"/>
      <c r="EN154" s="1770"/>
      <c r="EO154" s="1770"/>
      <c r="EP154" s="1770"/>
      <c r="EQ154" s="1770"/>
      <c r="ER154" s="1770"/>
      <c r="ES154" s="1770"/>
      <c r="ET154" s="1770"/>
      <c r="EU154" s="1770"/>
      <c r="EV154" s="1770"/>
      <c r="EW154" s="1770"/>
      <c r="EX154" s="1770"/>
      <c r="EY154" s="1770"/>
      <c r="EZ154" s="1770"/>
      <c r="FA154" s="1770"/>
      <c r="FB154" s="1770"/>
      <c r="FC154" s="1770"/>
      <c r="FD154" s="1770"/>
      <c r="FE154" s="1770"/>
      <c r="FF154" s="1770"/>
      <c r="FG154" s="1770"/>
      <c r="FH154" s="1770"/>
      <c r="FI154" s="1770"/>
      <c r="FJ154" s="1770"/>
      <c r="FK154" s="1770"/>
      <c r="FL154" s="1770"/>
      <c r="FM154" s="1770"/>
      <c r="FN154" s="1770"/>
      <c r="FO154" s="1770"/>
      <c r="FP154" s="1770"/>
      <c r="FQ154" s="1770"/>
      <c r="FR154" s="1770"/>
      <c r="FS154" s="1770"/>
      <c r="FT154" s="1770"/>
      <c r="FU154" s="1770"/>
      <c r="FV154" s="1770"/>
      <c r="FW154" s="1770"/>
      <c r="FX154" s="1770"/>
      <c r="FY154" s="1770"/>
      <c r="FZ154" s="1770"/>
      <c r="GA154" s="1770"/>
      <c r="GB154" s="1770"/>
      <c r="GC154" s="1769"/>
      <c r="GD154" s="1770"/>
      <c r="GE154" s="1770"/>
      <c r="GF154" s="1770"/>
      <c r="GG154" s="1770"/>
      <c r="GH154" s="1770"/>
      <c r="GI154" s="1770"/>
      <c r="GJ154" s="1770"/>
      <c r="GK154" s="1769"/>
      <c r="GL154" s="1770"/>
      <c r="GM154" s="1770"/>
      <c r="GN154" s="1770"/>
      <c r="GO154" s="1770"/>
      <c r="GP154" s="1770"/>
      <c r="GQ154" s="1770"/>
      <c r="GR154" s="1770"/>
      <c r="GS154" s="1770"/>
      <c r="GT154" s="1770"/>
      <c r="GU154" s="1770"/>
      <c r="GV154" s="1770"/>
      <c r="GW154" s="1770"/>
      <c r="GX154" s="1770"/>
      <c r="GY154" s="1770"/>
      <c r="GZ154" s="1770"/>
      <c r="HA154" s="1770"/>
      <c r="HB154" s="1770"/>
      <c r="HC154" s="1769"/>
      <c r="HD154" s="1770"/>
      <c r="HE154" s="1770"/>
      <c r="HF154" s="1770"/>
      <c r="HG154" s="1770"/>
      <c r="HH154" s="1770"/>
      <c r="HI154" s="1770"/>
      <c r="HJ154" s="1770"/>
      <c r="HK154" s="1770"/>
      <c r="HL154" s="1770"/>
      <c r="HM154" s="1770"/>
      <c r="HN154" s="1770"/>
      <c r="HO154" s="1770"/>
      <c r="HP154" s="1770"/>
      <c r="HQ154" s="1770"/>
      <c r="HR154" s="1770"/>
      <c r="HS154" s="1770"/>
      <c r="HT154" s="1770"/>
      <c r="HU154" s="1770"/>
      <c r="HV154" s="1770"/>
      <c r="HW154" s="1770"/>
      <c r="HX154" s="1770"/>
      <c r="HY154" s="1770"/>
      <c r="HZ154" s="1770"/>
      <c r="IA154" s="1770"/>
      <c r="IB154" s="1770"/>
      <c r="IC154" s="1770"/>
      <c r="ID154" s="1770"/>
      <c r="IE154" s="1770"/>
      <c r="IF154" s="1770"/>
      <c r="IG154" s="1770"/>
      <c r="IH154" s="1770"/>
      <c r="II154" s="1770"/>
      <c r="IJ154" s="1770"/>
      <c r="IK154" s="1770"/>
      <c r="IL154" s="1770"/>
      <c r="IM154" s="1770"/>
      <c r="IN154" s="1770"/>
      <c r="IO154" s="1770"/>
      <c r="IP154" s="1770"/>
      <c r="IQ154" s="1770"/>
      <c r="IR154" s="1770"/>
      <c r="IS154" s="1770"/>
      <c r="IT154" s="1770"/>
      <c r="IU154" s="1770"/>
      <c r="IV154" s="1770"/>
      <c r="IW154" s="1770"/>
      <c r="IX154" s="1770"/>
      <c r="IY154" s="1770"/>
      <c r="IZ154" s="1770"/>
      <c r="JA154" s="1770"/>
      <c r="JB154" s="1770"/>
      <c r="JC154" s="1770"/>
      <c r="JD154" s="1770"/>
      <c r="JE154" s="1770"/>
      <c r="JF154" s="1770"/>
      <c r="JG154" s="1770"/>
      <c r="JH154" s="1770"/>
      <c r="JI154" s="1770"/>
      <c r="JJ154" s="1770"/>
      <c r="JK154" s="1770"/>
      <c r="JL154" s="1770"/>
      <c r="JM154" s="1770"/>
      <c r="JN154" s="1770"/>
      <c r="JO154" s="1770"/>
      <c r="JP154" s="1770"/>
      <c r="JQ154" s="1771"/>
      <c r="JR154" s="593"/>
      <c r="JS154" s="315"/>
    </row>
    <row r="155" spans="1:280" x14ac:dyDescent="0.25">
      <c r="A155" s="1367">
        <v>9</v>
      </c>
      <c r="B155" s="1768" t="str">
        <f t="shared" si="14"/>
        <v/>
      </c>
      <c r="C155" s="1688" t="s">
        <v>4560</v>
      </c>
      <c r="D155" s="1360" t="s">
        <v>4561</v>
      </c>
      <c r="E155" s="1769"/>
      <c r="F155" s="1769"/>
      <c r="G155" s="1769"/>
      <c r="H155" s="1769"/>
      <c r="I155" s="1769"/>
      <c r="J155" s="1770"/>
      <c r="K155" s="1769"/>
      <c r="L155" s="1770"/>
      <c r="M155" s="1769"/>
      <c r="N155" s="1769"/>
      <c r="O155" s="1769"/>
      <c r="P155" s="1770"/>
      <c r="Q155" s="1770"/>
      <c r="R155" s="1769"/>
      <c r="S155" s="1770"/>
      <c r="T155" s="1770"/>
      <c r="U155" s="1769"/>
      <c r="V155" s="1769"/>
      <c r="W155" s="1770"/>
      <c r="X155" s="1770"/>
      <c r="Y155" s="1770"/>
      <c r="Z155" s="1770"/>
      <c r="AA155" s="1769"/>
      <c r="AB155" s="1770"/>
      <c r="AC155" s="1770"/>
      <c r="AD155" s="1770"/>
      <c r="AE155" s="1770"/>
      <c r="AF155" s="1770"/>
      <c r="AG155" s="1770"/>
      <c r="AH155" s="1770"/>
      <c r="AI155" s="1770"/>
      <c r="AJ155" s="1770"/>
      <c r="AK155" s="1770"/>
      <c r="AL155" s="1770"/>
      <c r="AM155" s="1770"/>
      <c r="AN155" s="1770"/>
      <c r="AO155" s="1770"/>
      <c r="AP155" s="1770"/>
      <c r="AQ155" s="1770"/>
      <c r="AR155" s="1770"/>
      <c r="AS155" s="1770"/>
      <c r="AT155" s="1770"/>
      <c r="AU155" s="1770"/>
      <c r="AV155" s="1770"/>
      <c r="AW155" s="1770"/>
      <c r="AX155" s="1770"/>
      <c r="AY155" s="1770"/>
      <c r="AZ155" s="1770"/>
      <c r="BA155" s="1769"/>
      <c r="BB155" s="1770"/>
      <c r="BC155" s="1770"/>
      <c r="BD155" s="1770"/>
      <c r="BE155" s="1770"/>
      <c r="BF155" s="1770"/>
      <c r="BG155" s="1770"/>
      <c r="BH155" s="1770"/>
      <c r="BI155" s="1770"/>
      <c r="BJ155" s="1770"/>
      <c r="BK155" s="1770"/>
      <c r="BL155" s="1770"/>
      <c r="BM155" s="1770"/>
      <c r="BN155" s="1770"/>
      <c r="BO155" s="1770"/>
      <c r="BP155" s="1770"/>
      <c r="BQ155" s="1770"/>
      <c r="BR155" s="1770"/>
      <c r="BS155" s="1770"/>
      <c r="BT155" s="1770"/>
      <c r="BU155" s="1770"/>
      <c r="BV155" s="1770"/>
      <c r="BW155" s="1770"/>
      <c r="BX155" s="1770"/>
      <c r="BY155" s="1770"/>
      <c r="BZ155" s="1770"/>
      <c r="CA155" s="1770"/>
      <c r="CB155" s="1770"/>
      <c r="CC155" s="1770"/>
      <c r="CD155" s="1770"/>
      <c r="CE155" s="1770"/>
      <c r="CF155" s="1770"/>
      <c r="CG155" s="1770"/>
      <c r="CH155" s="1770"/>
      <c r="CI155" s="1769"/>
      <c r="CJ155" s="1770"/>
      <c r="CK155" s="1770"/>
      <c r="CL155" s="1770"/>
      <c r="CM155" s="1770"/>
      <c r="CN155" s="1770"/>
      <c r="CO155" s="1770"/>
      <c r="CP155" s="1770"/>
      <c r="CQ155" s="1770"/>
      <c r="CR155" s="1770"/>
      <c r="CS155" s="1770"/>
      <c r="CT155" s="1769"/>
      <c r="CU155" s="1770"/>
      <c r="CV155" s="1770"/>
      <c r="CW155" s="1770"/>
      <c r="CX155" s="1770"/>
      <c r="CY155" s="1770"/>
      <c r="CZ155" s="1770"/>
      <c r="DA155" s="1770"/>
      <c r="DB155" s="1769"/>
      <c r="DC155" s="1770"/>
      <c r="DD155" s="1770"/>
      <c r="DE155" s="1770"/>
      <c r="DF155" s="1770"/>
      <c r="DG155" s="1770"/>
      <c r="DH155" s="1770"/>
      <c r="DI155" s="1770"/>
      <c r="DJ155" s="1770"/>
      <c r="DK155" s="1769"/>
      <c r="DL155" s="1769"/>
      <c r="DM155" s="1770"/>
      <c r="DN155" s="1770"/>
      <c r="DO155" s="1770"/>
      <c r="DP155" s="1770"/>
      <c r="DQ155" s="1770"/>
      <c r="DR155" s="1770"/>
      <c r="DS155" s="1770"/>
      <c r="DT155" s="1770"/>
      <c r="DU155" s="1770"/>
      <c r="DV155" s="1770"/>
      <c r="DW155" s="1770"/>
      <c r="DX155" s="1770"/>
      <c r="DY155" s="1770"/>
      <c r="DZ155" s="1770"/>
      <c r="EA155" s="1770"/>
      <c r="EB155" s="1770"/>
      <c r="EC155" s="1770"/>
      <c r="ED155" s="1770"/>
      <c r="EE155" s="1770"/>
      <c r="EF155" s="1770"/>
      <c r="EG155" s="1770"/>
      <c r="EH155" s="1770"/>
      <c r="EI155" s="1770"/>
      <c r="EJ155" s="1770"/>
      <c r="EK155" s="1770"/>
      <c r="EL155" s="1770"/>
      <c r="EM155" s="1770"/>
      <c r="EN155" s="1770"/>
      <c r="EO155" s="1770"/>
      <c r="EP155" s="1770"/>
      <c r="EQ155" s="1770"/>
      <c r="ER155" s="1770"/>
      <c r="ES155" s="1770"/>
      <c r="ET155" s="1770"/>
      <c r="EU155" s="1770"/>
      <c r="EV155" s="1770"/>
      <c r="EW155" s="1770"/>
      <c r="EX155" s="1770"/>
      <c r="EY155" s="1770"/>
      <c r="EZ155" s="1770"/>
      <c r="FA155" s="1770"/>
      <c r="FB155" s="1770"/>
      <c r="FC155" s="1770"/>
      <c r="FD155" s="1770"/>
      <c r="FE155" s="1770"/>
      <c r="FF155" s="1770"/>
      <c r="FG155" s="1770"/>
      <c r="FH155" s="1770"/>
      <c r="FI155" s="1770"/>
      <c r="FJ155" s="1770"/>
      <c r="FK155" s="1770"/>
      <c r="FL155" s="1770"/>
      <c r="FM155" s="1770"/>
      <c r="FN155" s="1770"/>
      <c r="FO155" s="1770"/>
      <c r="FP155" s="1770"/>
      <c r="FQ155" s="1770"/>
      <c r="FR155" s="1770"/>
      <c r="FS155" s="1770"/>
      <c r="FT155" s="1770"/>
      <c r="FU155" s="1770"/>
      <c r="FV155" s="1770"/>
      <c r="FW155" s="1770"/>
      <c r="FX155" s="1770"/>
      <c r="FY155" s="1770"/>
      <c r="FZ155" s="1770"/>
      <c r="GA155" s="1770"/>
      <c r="GB155" s="1770"/>
      <c r="GC155" s="1769"/>
      <c r="GD155" s="1770"/>
      <c r="GE155" s="1770"/>
      <c r="GF155" s="1770"/>
      <c r="GG155" s="1770"/>
      <c r="GH155" s="1770"/>
      <c r="GI155" s="1770"/>
      <c r="GJ155" s="1770"/>
      <c r="GK155" s="1769"/>
      <c r="GL155" s="1770"/>
      <c r="GM155" s="1770"/>
      <c r="GN155" s="1770"/>
      <c r="GO155" s="1770"/>
      <c r="GP155" s="1770"/>
      <c r="GQ155" s="1770"/>
      <c r="GR155" s="1770"/>
      <c r="GS155" s="1770"/>
      <c r="GT155" s="1770"/>
      <c r="GU155" s="1770"/>
      <c r="GV155" s="1770"/>
      <c r="GW155" s="1770"/>
      <c r="GX155" s="1770"/>
      <c r="GY155" s="1770"/>
      <c r="GZ155" s="1770"/>
      <c r="HA155" s="1770"/>
      <c r="HB155" s="1770"/>
      <c r="HC155" s="1769"/>
      <c r="HD155" s="1770"/>
      <c r="HE155" s="1770"/>
      <c r="HF155" s="1770"/>
      <c r="HG155" s="1770"/>
      <c r="HH155" s="1770"/>
      <c r="HI155" s="1770"/>
      <c r="HJ155" s="1770"/>
      <c r="HK155" s="1770"/>
      <c r="HL155" s="1770"/>
      <c r="HM155" s="1770"/>
      <c r="HN155" s="1770"/>
      <c r="HO155" s="1770"/>
      <c r="HP155" s="1770"/>
      <c r="HQ155" s="1770"/>
      <c r="HR155" s="1770"/>
      <c r="HS155" s="1770"/>
      <c r="HT155" s="1770"/>
      <c r="HU155" s="1770"/>
      <c r="HV155" s="1770"/>
      <c r="HW155" s="1770"/>
      <c r="HX155" s="1770"/>
      <c r="HY155" s="1770"/>
      <c r="HZ155" s="1770"/>
      <c r="IA155" s="1770"/>
      <c r="IB155" s="1770"/>
      <c r="IC155" s="1770"/>
      <c r="ID155" s="1770"/>
      <c r="IE155" s="1770"/>
      <c r="IF155" s="1770"/>
      <c r="IG155" s="1770"/>
      <c r="IH155" s="1770"/>
      <c r="II155" s="1770"/>
      <c r="IJ155" s="1770"/>
      <c r="IK155" s="1770"/>
      <c r="IL155" s="1770"/>
      <c r="IM155" s="1770"/>
      <c r="IN155" s="1770"/>
      <c r="IO155" s="1770"/>
      <c r="IP155" s="1770"/>
      <c r="IQ155" s="1770"/>
      <c r="IR155" s="1770"/>
      <c r="IS155" s="1770"/>
      <c r="IT155" s="1770"/>
      <c r="IU155" s="1770"/>
      <c r="IV155" s="1770"/>
      <c r="IW155" s="1770"/>
      <c r="IX155" s="1770"/>
      <c r="IY155" s="1770"/>
      <c r="IZ155" s="1770"/>
      <c r="JA155" s="1770"/>
      <c r="JB155" s="1770"/>
      <c r="JC155" s="1770"/>
      <c r="JD155" s="1770"/>
      <c r="JE155" s="1770"/>
      <c r="JF155" s="1770"/>
      <c r="JG155" s="1770"/>
      <c r="JH155" s="1770"/>
      <c r="JI155" s="1770"/>
      <c r="JJ155" s="1770"/>
      <c r="JK155" s="1770"/>
      <c r="JL155" s="1770"/>
      <c r="JM155" s="1770"/>
      <c r="JN155" s="1770"/>
      <c r="JO155" s="1770"/>
      <c r="JP155" s="1770"/>
      <c r="JQ155" s="1771"/>
      <c r="JR155" s="593"/>
      <c r="JS155" s="315"/>
    </row>
    <row r="156" spans="1:280" x14ac:dyDescent="0.25">
      <c r="A156" s="1367">
        <v>10</v>
      </c>
      <c r="B156" s="1768" t="str">
        <f t="shared" si="14"/>
        <v/>
      </c>
      <c r="C156" s="1688" t="s">
        <v>4562</v>
      </c>
      <c r="D156" s="1360" t="s">
        <v>4563</v>
      </c>
      <c r="E156" s="1769"/>
      <c r="F156" s="1769"/>
      <c r="G156" s="1769">
        <v>2999</v>
      </c>
      <c r="H156" s="1769"/>
      <c r="I156" s="1769"/>
      <c r="J156" s="1770"/>
      <c r="K156" s="1769"/>
      <c r="L156" s="1770"/>
      <c r="M156" s="1769"/>
      <c r="N156" s="1769"/>
      <c r="O156" s="1769"/>
      <c r="P156" s="1770"/>
      <c r="Q156" s="1770"/>
      <c r="R156" s="1769"/>
      <c r="S156" s="1770"/>
      <c r="T156" s="1770"/>
      <c r="U156" s="1769"/>
      <c r="V156" s="1769">
        <v>245</v>
      </c>
      <c r="W156" s="1770"/>
      <c r="X156" s="1770"/>
      <c r="Y156" s="1770"/>
      <c r="Z156" s="1770"/>
      <c r="AA156" s="1769"/>
      <c r="AB156" s="1770"/>
      <c r="AC156" s="1770"/>
      <c r="AD156" s="1770"/>
      <c r="AE156" s="1770"/>
      <c r="AF156" s="1770"/>
      <c r="AG156" s="1770"/>
      <c r="AH156" s="1770"/>
      <c r="AI156" s="1770"/>
      <c r="AJ156" s="1770"/>
      <c r="AK156" s="1770"/>
      <c r="AL156" s="1770"/>
      <c r="AM156" s="1770"/>
      <c r="AN156" s="1770"/>
      <c r="AO156" s="1770"/>
      <c r="AP156" s="1770"/>
      <c r="AQ156" s="1770"/>
      <c r="AR156" s="1770"/>
      <c r="AS156" s="1770"/>
      <c r="AT156" s="1770"/>
      <c r="AU156" s="1770"/>
      <c r="AV156" s="1770"/>
      <c r="AW156" s="1770"/>
      <c r="AX156" s="1770"/>
      <c r="AY156" s="1770"/>
      <c r="AZ156" s="1770"/>
      <c r="BA156" s="1769">
        <v>221</v>
      </c>
      <c r="BB156" s="1770"/>
      <c r="BC156" s="1770"/>
      <c r="BD156" s="1770"/>
      <c r="BE156" s="1770"/>
      <c r="BF156" s="1770"/>
      <c r="BG156" s="1770"/>
      <c r="BH156" s="1770"/>
      <c r="BI156" s="1770"/>
      <c r="BJ156" s="1770"/>
      <c r="BK156" s="1770"/>
      <c r="BL156" s="1770"/>
      <c r="BM156" s="1770"/>
      <c r="BN156" s="1770"/>
      <c r="BO156" s="1770"/>
      <c r="BP156" s="1770"/>
      <c r="BQ156" s="1770"/>
      <c r="BR156" s="1770"/>
      <c r="BS156" s="1770"/>
      <c r="BT156" s="1770"/>
      <c r="BU156" s="1770"/>
      <c r="BV156" s="1770"/>
      <c r="BW156" s="1770"/>
      <c r="BX156" s="1770"/>
      <c r="BY156" s="1770"/>
      <c r="BZ156" s="1770"/>
      <c r="CA156" s="1770"/>
      <c r="CB156" s="1770"/>
      <c r="CC156" s="1770"/>
      <c r="CD156" s="1770"/>
      <c r="CE156" s="1770"/>
      <c r="CF156" s="1770"/>
      <c r="CG156" s="1770"/>
      <c r="CH156" s="1770"/>
      <c r="CI156" s="1772"/>
      <c r="CJ156" s="1770"/>
      <c r="CK156" s="1770"/>
      <c r="CL156" s="1770"/>
      <c r="CM156" s="1770"/>
      <c r="CN156" s="1770"/>
      <c r="CO156" s="1770"/>
      <c r="CP156" s="1770"/>
      <c r="CQ156" s="1770"/>
      <c r="CR156" s="1770"/>
      <c r="CS156" s="1770"/>
      <c r="CT156" s="1769">
        <v>215</v>
      </c>
      <c r="CU156" s="1770"/>
      <c r="CV156" s="1770"/>
      <c r="CW156" s="1770"/>
      <c r="CX156" s="1770"/>
      <c r="CY156" s="1770"/>
      <c r="CZ156" s="1770"/>
      <c r="DA156" s="1770"/>
      <c r="DB156" s="1769">
        <v>221</v>
      </c>
      <c r="DC156" s="1770"/>
      <c r="DD156" s="1770"/>
      <c r="DE156" s="1770"/>
      <c r="DF156" s="1773">
        <v>1527.89</v>
      </c>
      <c r="DG156" s="1770"/>
      <c r="DH156" s="1770"/>
      <c r="DI156" s="1770"/>
      <c r="DJ156" s="1770"/>
      <c r="DK156" s="1769">
        <v>2999.99</v>
      </c>
      <c r="DL156" s="1769">
        <v>2999.99</v>
      </c>
      <c r="DM156" s="1770"/>
      <c r="DN156" s="1770"/>
      <c r="DO156" s="1770"/>
      <c r="DP156" s="1770"/>
      <c r="DQ156" s="1770"/>
      <c r="DR156" s="1770"/>
      <c r="DS156" s="1770"/>
      <c r="DT156" s="1770"/>
      <c r="DU156" s="1770"/>
      <c r="DV156" s="1770"/>
      <c r="DW156" s="1770"/>
      <c r="DX156" s="1770"/>
      <c r="DY156" s="1770"/>
      <c r="DZ156" s="1770"/>
      <c r="EA156" s="1770"/>
      <c r="EB156" s="1770"/>
      <c r="EC156" s="1770"/>
      <c r="ED156" s="1770"/>
      <c r="EE156" s="1770"/>
      <c r="EF156" s="1770"/>
      <c r="EG156" s="1770"/>
      <c r="EH156" s="1770"/>
      <c r="EI156" s="1770"/>
      <c r="EJ156" s="1770"/>
      <c r="EK156" s="1770"/>
      <c r="EL156" s="1770"/>
      <c r="EM156" s="1770"/>
      <c r="EN156" s="1770"/>
      <c r="EO156" s="1770"/>
      <c r="EP156" s="1770"/>
      <c r="EQ156" s="1770"/>
      <c r="ER156" s="1770"/>
      <c r="ES156" s="1770"/>
      <c r="ET156" s="1770"/>
      <c r="EU156" s="1770"/>
      <c r="EV156" s="1770"/>
      <c r="EW156" s="1770"/>
      <c r="EX156" s="1770"/>
      <c r="EY156" s="1770"/>
      <c r="EZ156" s="1770"/>
      <c r="FA156" s="1770"/>
      <c r="FB156" s="1770"/>
      <c r="FC156" s="1770"/>
      <c r="FD156" s="1770"/>
      <c r="FE156" s="1770"/>
      <c r="FF156" s="1770"/>
      <c r="FG156" s="1770"/>
      <c r="FH156" s="1770"/>
      <c r="FI156" s="1770"/>
      <c r="FJ156" s="1770"/>
      <c r="FK156" s="1770"/>
      <c r="FL156" s="1770"/>
      <c r="FM156" s="1770"/>
      <c r="FN156" s="1770"/>
      <c r="FO156" s="1770"/>
      <c r="FP156" s="1770"/>
      <c r="FQ156" s="1770"/>
      <c r="FR156" s="1770"/>
      <c r="FS156" s="1770"/>
      <c r="FT156" s="1770"/>
      <c r="FU156" s="1770"/>
      <c r="FV156" s="1770"/>
      <c r="FW156" s="1770"/>
      <c r="FX156" s="1770"/>
      <c r="FY156" s="1770"/>
      <c r="FZ156" s="1770"/>
      <c r="GA156" s="1770"/>
      <c r="GB156" s="1770"/>
      <c r="GC156" s="1769">
        <v>2999.99</v>
      </c>
      <c r="GD156" s="1770"/>
      <c r="GE156" s="1770"/>
      <c r="GF156" s="1770"/>
      <c r="GG156" s="1770"/>
      <c r="GH156" s="1770"/>
      <c r="GI156" s="1770"/>
      <c r="GJ156" s="1770"/>
      <c r="GK156" s="1769"/>
      <c r="GL156" s="1770"/>
      <c r="GM156" s="1770"/>
      <c r="GN156" s="1770"/>
      <c r="GO156" s="1770"/>
      <c r="GP156" s="1770"/>
      <c r="GQ156" s="1770"/>
      <c r="GR156" s="1770"/>
      <c r="GS156" s="1770"/>
      <c r="GT156" s="1770"/>
      <c r="GU156" s="1770"/>
      <c r="GV156" s="1770"/>
      <c r="GW156" s="1770"/>
      <c r="GX156" s="1770"/>
      <c r="GY156" s="1770"/>
      <c r="GZ156" s="1770"/>
      <c r="HA156" s="1770"/>
      <c r="HB156" s="1770"/>
      <c r="HC156" s="1769"/>
      <c r="HD156" s="1770"/>
      <c r="HE156" s="1770"/>
      <c r="HF156" s="1770"/>
      <c r="HG156" s="1770"/>
      <c r="HH156" s="1770"/>
      <c r="HI156" s="1770"/>
      <c r="HJ156" s="1770"/>
      <c r="HK156" s="1770"/>
      <c r="HL156" s="1770"/>
      <c r="HM156" s="1770"/>
      <c r="HN156" s="1770"/>
      <c r="HO156" s="1770"/>
      <c r="HP156" s="1770"/>
      <c r="HQ156" s="1770"/>
      <c r="HR156" s="1770"/>
      <c r="HS156" s="1770"/>
      <c r="HT156" s="1770"/>
      <c r="HU156" s="1770"/>
      <c r="HV156" s="1770"/>
      <c r="HW156" s="1770"/>
      <c r="HX156" s="1770"/>
      <c r="HY156" s="1770"/>
      <c r="HZ156" s="1770"/>
      <c r="IA156" s="1770"/>
      <c r="IB156" s="1770"/>
      <c r="IC156" s="1770"/>
      <c r="ID156" s="1770"/>
      <c r="IE156" s="1770"/>
      <c r="IF156" s="1770"/>
      <c r="IG156" s="1770"/>
      <c r="IH156" s="1770"/>
      <c r="II156" s="1770"/>
      <c r="IJ156" s="1770"/>
      <c r="IK156" s="1770"/>
      <c r="IL156" s="1770"/>
      <c r="IM156" s="1770"/>
      <c r="IN156" s="1770"/>
      <c r="IO156" s="1770"/>
      <c r="IP156" s="1770"/>
      <c r="IQ156" s="1770"/>
      <c r="IR156" s="1770"/>
      <c r="IS156" s="1770"/>
      <c r="IT156" s="1770"/>
      <c r="IU156" s="1770"/>
      <c r="IV156" s="1770"/>
      <c r="IW156" s="1770"/>
      <c r="IX156" s="1770"/>
      <c r="IY156" s="1770"/>
      <c r="IZ156" s="1770"/>
      <c r="JA156" s="1770"/>
      <c r="JB156" s="1770"/>
      <c r="JC156" s="1770"/>
      <c r="JD156" s="1770"/>
      <c r="JE156" s="1770"/>
      <c r="JF156" s="1770"/>
      <c r="JG156" s="1770"/>
      <c r="JH156" s="1770"/>
      <c r="JI156" s="1770"/>
      <c r="JJ156" s="1770"/>
      <c r="JK156" s="1770"/>
      <c r="JL156" s="1770"/>
      <c r="JM156" s="1770"/>
      <c r="JN156" s="1770"/>
      <c r="JO156" s="1770"/>
      <c r="JP156" s="1770"/>
      <c r="JQ156" s="1771"/>
      <c r="JR156" s="593"/>
      <c r="JS156" s="315"/>
    </row>
    <row r="157" spans="1:280" x14ac:dyDescent="0.25">
      <c r="A157" s="1367">
        <v>11</v>
      </c>
      <c r="B157" s="1768" t="str">
        <f t="shared" si="14"/>
        <v/>
      </c>
      <c r="C157" s="1688" t="s">
        <v>4564</v>
      </c>
      <c r="D157" s="1360" t="s">
        <v>4565</v>
      </c>
      <c r="E157" s="1769"/>
      <c r="F157" s="1769"/>
      <c r="G157" s="1769"/>
      <c r="H157" s="1769"/>
      <c r="I157" s="1769"/>
      <c r="J157" s="1770"/>
      <c r="K157" s="1769"/>
      <c r="L157" s="1770"/>
      <c r="M157" s="1769"/>
      <c r="N157" s="1769"/>
      <c r="O157" s="1769"/>
      <c r="P157" s="1770"/>
      <c r="Q157" s="1770"/>
      <c r="R157" s="1769"/>
      <c r="S157" s="1770"/>
      <c r="T157" s="1770"/>
      <c r="U157" s="1769"/>
      <c r="V157" s="1769">
        <v>400</v>
      </c>
      <c r="W157" s="1770"/>
      <c r="X157" s="1770"/>
      <c r="Y157" s="1770"/>
      <c r="Z157" s="1770"/>
      <c r="AA157" s="1769"/>
      <c r="AB157" s="1770"/>
      <c r="AC157" s="1770"/>
      <c r="AD157" s="1770"/>
      <c r="AE157" s="1770"/>
      <c r="AF157" s="1770"/>
      <c r="AG157" s="1770"/>
      <c r="AH157" s="1770"/>
      <c r="AI157" s="1770"/>
      <c r="AJ157" s="1770"/>
      <c r="AK157" s="1770"/>
      <c r="AL157" s="1770"/>
      <c r="AM157" s="1770"/>
      <c r="AN157" s="1770"/>
      <c r="AO157" s="1770"/>
      <c r="AP157" s="1770"/>
      <c r="AQ157" s="1770"/>
      <c r="AR157" s="1770"/>
      <c r="AS157" s="1770"/>
      <c r="AT157" s="1770"/>
      <c r="AU157" s="1770"/>
      <c r="AV157" s="1770"/>
      <c r="AW157" s="1770"/>
      <c r="AX157" s="1770"/>
      <c r="AY157" s="1770"/>
      <c r="AZ157" s="1770"/>
      <c r="BA157" s="1769">
        <v>378</v>
      </c>
      <c r="BB157" s="1770"/>
      <c r="BC157" s="1770"/>
      <c r="BD157" s="1770"/>
      <c r="BE157" s="1770"/>
      <c r="BF157" s="1770"/>
      <c r="BG157" s="1770"/>
      <c r="BH157" s="1770"/>
      <c r="BI157" s="1770"/>
      <c r="BJ157" s="1770"/>
      <c r="BK157" s="1770"/>
      <c r="BL157" s="1770"/>
      <c r="BM157" s="1770"/>
      <c r="BN157" s="1770"/>
      <c r="BO157" s="1770"/>
      <c r="BP157" s="1770"/>
      <c r="BQ157" s="1770"/>
      <c r="BR157" s="1770"/>
      <c r="BS157" s="1770"/>
      <c r="BT157" s="1770"/>
      <c r="BU157" s="1770"/>
      <c r="BV157" s="1770"/>
      <c r="BW157" s="1770"/>
      <c r="BX157" s="1770"/>
      <c r="BY157" s="1770"/>
      <c r="BZ157" s="1770"/>
      <c r="CA157" s="1770"/>
      <c r="CB157" s="1770"/>
      <c r="CC157" s="1770"/>
      <c r="CD157" s="1770"/>
      <c r="CE157" s="1770"/>
      <c r="CF157" s="1770"/>
      <c r="CG157" s="1770"/>
      <c r="CH157" s="1770"/>
      <c r="CI157" s="1769"/>
      <c r="CJ157" s="1770"/>
      <c r="CK157" s="1770"/>
      <c r="CL157" s="1770"/>
      <c r="CM157" s="1770"/>
      <c r="CN157" s="1770"/>
      <c r="CO157" s="1770"/>
      <c r="CP157" s="1770"/>
      <c r="CQ157" s="1770"/>
      <c r="CR157" s="1770"/>
      <c r="CS157" s="1770"/>
      <c r="CT157" s="1769"/>
      <c r="CU157" s="1770"/>
      <c r="CV157" s="1770"/>
      <c r="CW157" s="1770"/>
      <c r="CX157" s="1770"/>
      <c r="CY157" s="1770"/>
      <c r="CZ157" s="1770"/>
      <c r="DA157" s="1770"/>
      <c r="DB157" s="1769">
        <v>378</v>
      </c>
      <c r="DC157" s="1770"/>
      <c r="DD157" s="1770"/>
      <c r="DE157" s="1770"/>
      <c r="DF157" s="1770"/>
      <c r="DG157" s="1770"/>
      <c r="DH157" s="1770"/>
      <c r="DI157" s="1770"/>
      <c r="DJ157" s="1770"/>
      <c r="DK157" s="1769">
        <v>2999.99</v>
      </c>
      <c r="DL157" s="1769">
        <v>2999.99</v>
      </c>
      <c r="DM157" s="1770"/>
      <c r="DN157" s="1770"/>
      <c r="DO157" s="1770"/>
      <c r="DP157" s="1770"/>
      <c r="DQ157" s="1770"/>
      <c r="DR157" s="1770"/>
      <c r="DS157" s="1770"/>
      <c r="DT157" s="1770"/>
      <c r="DU157" s="1770"/>
      <c r="DV157" s="1770"/>
      <c r="DW157" s="1770"/>
      <c r="DX157" s="1770"/>
      <c r="DY157" s="1770"/>
      <c r="DZ157" s="1770"/>
      <c r="EA157" s="1770"/>
      <c r="EB157" s="1770"/>
      <c r="EC157" s="1770"/>
      <c r="ED157" s="1770"/>
      <c r="EE157" s="1770"/>
      <c r="EF157" s="1770"/>
      <c r="EG157" s="1770"/>
      <c r="EH157" s="1770"/>
      <c r="EI157" s="1770"/>
      <c r="EJ157" s="1770"/>
      <c r="EK157" s="1770"/>
      <c r="EL157" s="1770"/>
      <c r="EM157" s="1770"/>
      <c r="EN157" s="1770"/>
      <c r="EO157" s="1770"/>
      <c r="EP157" s="1770"/>
      <c r="EQ157" s="1770"/>
      <c r="ER157" s="1770"/>
      <c r="ES157" s="1770"/>
      <c r="ET157" s="1770"/>
      <c r="EU157" s="1770"/>
      <c r="EV157" s="1770"/>
      <c r="EW157" s="1770"/>
      <c r="EX157" s="1770"/>
      <c r="EY157" s="1770"/>
      <c r="EZ157" s="1770"/>
      <c r="FA157" s="1770"/>
      <c r="FB157" s="1770"/>
      <c r="FC157" s="1770"/>
      <c r="FD157" s="1770"/>
      <c r="FE157" s="1770"/>
      <c r="FF157" s="1770"/>
      <c r="FG157" s="1770"/>
      <c r="FH157" s="1770"/>
      <c r="FI157" s="1770"/>
      <c r="FJ157" s="1770"/>
      <c r="FK157" s="1770"/>
      <c r="FL157" s="1770"/>
      <c r="FM157" s="1770"/>
      <c r="FN157" s="1770"/>
      <c r="FO157" s="1770"/>
      <c r="FP157" s="1770"/>
      <c r="FQ157" s="1770"/>
      <c r="FR157" s="1770"/>
      <c r="FS157" s="1770"/>
      <c r="FT157" s="1770"/>
      <c r="FU157" s="1770"/>
      <c r="FV157" s="1770"/>
      <c r="FW157" s="1770"/>
      <c r="FX157" s="1770"/>
      <c r="FY157" s="1770"/>
      <c r="FZ157" s="1770"/>
      <c r="GA157" s="1770"/>
      <c r="GB157" s="1770"/>
      <c r="GC157" s="1769">
        <v>2999.99</v>
      </c>
      <c r="GD157" s="1770"/>
      <c r="GE157" s="1770"/>
      <c r="GF157" s="1770"/>
      <c r="GG157" s="1770"/>
      <c r="GH157" s="1770"/>
      <c r="GI157" s="1770"/>
      <c r="GJ157" s="1770"/>
      <c r="GK157" s="1769"/>
      <c r="GL157" s="1770"/>
      <c r="GM157" s="1770"/>
      <c r="GN157" s="1770"/>
      <c r="GO157" s="1770"/>
      <c r="GP157" s="1770"/>
      <c r="GQ157" s="1770"/>
      <c r="GR157" s="1770"/>
      <c r="GS157" s="1770"/>
      <c r="GT157" s="1770"/>
      <c r="GU157" s="1770"/>
      <c r="GV157" s="1770"/>
      <c r="GW157" s="1770"/>
      <c r="GX157" s="1770"/>
      <c r="GY157" s="1770"/>
      <c r="GZ157" s="1770"/>
      <c r="HA157" s="1770"/>
      <c r="HB157" s="1770"/>
      <c r="HC157" s="1769"/>
      <c r="HD157" s="1770"/>
      <c r="HE157" s="1770"/>
      <c r="HF157" s="1770"/>
      <c r="HG157" s="1770"/>
      <c r="HH157" s="1770"/>
      <c r="HI157" s="1770"/>
      <c r="HJ157" s="1770"/>
      <c r="HK157" s="1770"/>
      <c r="HL157" s="1770"/>
      <c r="HM157" s="1770"/>
      <c r="HN157" s="1770"/>
      <c r="HO157" s="1770"/>
      <c r="HP157" s="1770"/>
      <c r="HQ157" s="1770"/>
      <c r="HR157" s="1770"/>
      <c r="HS157" s="1770"/>
      <c r="HT157" s="1770"/>
      <c r="HU157" s="1770"/>
      <c r="HV157" s="1770"/>
      <c r="HW157" s="1770"/>
      <c r="HX157" s="1770"/>
      <c r="HY157" s="1770"/>
      <c r="HZ157" s="1770"/>
      <c r="IA157" s="1770"/>
      <c r="IB157" s="1770"/>
      <c r="IC157" s="1770"/>
      <c r="ID157" s="1770"/>
      <c r="IE157" s="1770"/>
      <c r="IF157" s="1770"/>
      <c r="IG157" s="1770"/>
      <c r="IH157" s="1770"/>
      <c r="II157" s="1770"/>
      <c r="IJ157" s="1770"/>
      <c r="IK157" s="1770"/>
      <c r="IL157" s="1770"/>
      <c r="IM157" s="1770"/>
      <c r="IN157" s="1770"/>
      <c r="IO157" s="1770"/>
      <c r="IP157" s="1770"/>
      <c r="IQ157" s="1770"/>
      <c r="IR157" s="1770"/>
      <c r="IS157" s="1770"/>
      <c r="IT157" s="1770"/>
      <c r="IU157" s="1770"/>
      <c r="IV157" s="1770"/>
      <c r="IW157" s="1770"/>
      <c r="IX157" s="1770"/>
      <c r="IY157" s="1770"/>
      <c r="IZ157" s="1770"/>
      <c r="JA157" s="1770"/>
      <c r="JB157" s="1770"/>
      <c r="JC157" s="1770"/>
      <c r="JD157" s="1770"/>
      <c r="JE157" s="1770"/>
      <c r="JF157" s="1770"/>
      <c r="JG157" s="1770"/>
      <c r="JH157" s="1770"/>
      <c r="JI157" s="1770"/>
      <c r="JJ157" s="1770"/>
      <c r="JK157" s="1770"/>
      <c r="JL157" s="1770"/>
      <c r="JM157" s="1770"/>
      <c r="JN157" s="1770"/>
      <c r="JO157" s="1770"/>
      <c r="JP157" s="1770"/>
      <c r="JQ157" s="1771"/>
      <c r="JR157" s="593"/>
      <c r="JS157" s="316" t="s">
        <v>4566</v>
      </c>
    </row>
    <row r="158" spans="1:280" x14ac:dyDescent="0.25">
      <c r="A158" s="1367">
        <v>12</v>
      </c>
      <c r="B158" s="1768" t="str">
        <f t="shared" si="14"/>
        <v/>
      </c>
      <c r="C158" s="1688" t="s">
        <v>4567</v>
      </c>
      <c r="D158" s="1360" t="s">
        <v>4568</v>
      </c>
      <c r="E158" s="1769"/>
      <c r="F158" s="1769">
        <v>2300</v>
      </c>
      <c r="G158" s="1769"/>
      <c r="H158" s="1769"/>
      <c r="I158" s="1769"/>
      <c r="J158" s="1770"/>
      <c r="K158" s="1769"/>
      <c r="L158" s="1770"/>
      <c r="M158" s="1769"/>
      <c r="N158" s="1769"/>
      <c r="O158" s="1769"/>
      <c r="P158" s="1770"/>
      <c r="Q158" s="1770">
        <v>2800</v>
      </c>
      <c r="R158" s="1769"/>
      <c r="S158" s="1770"/>
      <c r="T158" s="1770"/>
      <c r="U158" s="1769">
        <v>2800</v>
      </c>
      <c r="V158" s="1769"/>
      <c r="W158" s="1770"/>
      <c r="X158" s="1770"/>
      <c r="Y158" s="1770"/>
      <c r="Z158" s="1770"/>
      <c r="AA158" s="1769">
        <v>2000</v>
      </c>
      <c r="AB158" s="1770"/>
      <c r="AC158" s="1770"/>
      <c r="AD158" s="1770"/>
      <c r="AE158" s="1770"/>
      <c r="AF158" s="1770"/>
      <c r="AG158" s="1770"/>
      <c r="AH158" s="1770">
        <v>500</v>
      </c>
      <c r="AI158" s="1770"/>
      <c r="AJ158" s="1770"/>
      <c r="AK158" s="1770"/>
      <c r="AL158" s="1770">
        <v>1750</v>
      </c>
      <c r="AM158" s="1770"/>
      <c r="AN158" s="1770"/>
      <c r="AO158" s="1770"/>
      <c r="AP158" s="1770"/>
      <c r="AQ158" s="1770"/>
      <c r="AR158" s="1770"/>
      <c r="AS158" s="1770"/>
      <c r="AT158" s="1770"/>
      <c r="AU158" s="1770"/>
      <c r="AV158" s="1770"/>
      <c r="AW158" s="1770"/>
      <c r="AX158" s="1770"/>
      <c r="AY158" s="1770"/>
      <c r="AZ158" s="1770"/>
      <c r="BA158" s="1769"/>
      <c r="BB158" s="1770"/>
      <c r="BC158" s="1770"/>
      <c r="BD158" s="1770"/>
      <c r="BE158" s="1770"/>
      <c r="BF158" s="1770"/>
      <c r="BG158" s="1770"/>
      <c r="BH158" s="1770"/>
      <c r="BI158" s="1770"/>
      <c r="BJ158" s="1770"/>
      <c r="BK158" s="1770"/>
      <c r="BL158" s="1770"/>
      <c r="BM158" s="1770"/>
      <c r="BN158" s="1770"/>
      <c r="BO158" s="1770"/>
      <c r="BP158" s="1770"/>
      <c r="BQ158" s="1770"/>
      <c r="BR158" s="1770"/>
      <c r="BS158" s="1770"/>
      <c r="BT158" s="1770"/>
      <c r="BU158" s="1770"/>
      <c r="BV158" s="1770"/>
      <c r="BW158" s="1770"/>
      <c r="BX158" s="1770"/>
      <c r="BY158" s="1770"/>
      <c r="BZ158" s="1770"/>
      <c r="CA158" s="1770"/>
      <c r="CB158" s="1770"/>
      <c r="CC158" s="1770"/>
      <c r="CD158" s="1770"/>
      <c r="CE158" s="1770"/>
      <c r="CF158" s="1770"/>
      <c r="CG158" s="1770"/>
      <c r="CH158" s="1770"/>
      <c r="CI158" s="1769"/>
      <c r="CJ158" s="1770"/>
      <c r="CK158" s="1770"/>
      <c r="CL158" s="1770"/>
      <c r="CM158" s="1770"/>
      <c r="CN158" s="1770"/>
      <c r="CO158" s="1770"/>
      <c r="CP158" s="1770"/>
      <c r="CQ158" s="1770"/>
      <c r="CR158" s="1770"/>
      <c r="CS158" s="1770"/>
      <c r="CT158" s="1769"/>
      <c r="CU158" s="1770"/>
      <c r="CV158" s="1770"/>
      <c r="CW158" s="1770"/>
      <c r="CX158" s="1770"/>
      <c r="CY158" s="1770"/>
      <c r="CZ158" s="1770"/>
      <c r="DA158" s="1770"/>
      <c r="DB158" s="1769"/>
      <c r="DC158" s="1770"/>
      <c r="DD158" s="1770"/>
      <c r="DE158" s="1770"/>
      <c r="DF158" s="1770"/>
      <c r="DG158" s="1770"/>
      <c r="DH158" s="1770"/>
      <c r="DI158" s="1770"/>
      <c r="DJ158" s="1770"/>
      <c r="DK158" s="1769"/>
      <c r="DL158" s="1769"/>
      <c r="DM158" s="1770"/>
      <c r="DN158" s="1770"/>
      <c r="DO158" s="1770"/>
      <c r="DP158" s="1770"/>
      <c r="DQ158" s="1770"/>
      <c r="DR158" s="1770"/>
      <c r="DS158" s="1770"/>
      <c r="DT158" s="1770"/>
      <c r="DU158" s="1770"/>
      <c r="DV158" s="1770"/>
      <c r="DW158" s="1770"/>
      <c r="DX158" s="1770"/>
      <c r="DY158" s="1770"/>
      <c r="DZ158" s="1770"/>
      <c r="EA158" s="1770"/>
      <c r="EB158" s="1770"/>
      <c r="EC158" s="1770"/>
      <c r="ED158" s="1770"/>
      <c r="EE158" s="1770"/>
      <c r="EF158" s="1770"/>
      <c r="EG158" s="1770"/>
      <c r="EH158" s="1770"/>
      <c r="EI158" s="1770"/>
      <c r="EJ158" s="1770"/>
      <c r="EK158" s="1770"/>
      <c r="EL158" s="1770"/>
      <c r="EM158" s="1770"/>
      <c r="EN158" s="1770"/>
      <c r="EO158" s="1770"/>
      <c r="EP158" s="1770"/>
      <c r="EQ158" s="1770"/>
      <c r="ER158" s="1770"/>
      <c r="ES158" s="1770"/>
      <c r="ET158" s="1770"/>
      <c r="EU158" s="1770"/>
      <c r="EV158" s="1770"/>
      <c r="EW158" s="1770"/>
      <c r="EX158" s="1770"/>
      <c r="EY158" s="1770"/>
      <c r="EZ158" s="1770"/>
      <c r="FA158" s="1770"/>
      <c r="FB158" s="1770"/>
      <c r="FC158" s="1770"/>
      <c r="FD158" s="1770"/>
      <c r="FE158" s="1770"/>
      <c r="FF158" s="1770"/>
      <c r="FG158" s="1770"/>
      <c r="FH158" s="1770"/>
      <c r="FI158" s="1770"/>
      <c r="FJ158" s="1770"/>
      <c r="FK158" s="1770"/>
      <c r="FL158" s="1770"/>
      <c r="FM158" s="1770"/>
      <c r="FN158" s="1770"/>
      <c r="FO158" s="1770"/>
      <c r="FP158" s="1770"/>
      <c r="FQ158" s="1770"/>
      <c r="FR158" s="1773">
        <v>100</v>
      </c>
      <c r="FS158" s="1770"/>
      <c r="FT158" s="1770"/>
      <c r="FU158" s="1770"/>
      <c r="FV158" s="1770"/>
      <c r="FW158" s="1770"/>
      <c r="FX158" s="1770"/>
      <c r="FY158" s="1770"/>
      <c r="FZ158" s="1770"/>
      <c r="GA158" s="1770"/>
      <c r="GB158" s="1770"/>
      <c r="GC158" s="1769"/>
      <c r="GD158" s="1770"/>
      <c r="GE158" s="1770"/>
      <c r="GF158" s="1770"/>
      <c r="GG158" s="1770"/>
      <c r="GH158" s="1770"/>
      <c r="GI158" s="1770"/>
      <c r="GJ158" s="1770"/>
      <c r="GK158" s="1769">
        <v>2800</v>
      </c>
      <c r="GL158" s="1770"/>
      <c r="GM158" s="1770"/>
      <c r="GN158" s="1770"/>
      <c r="GO158" s="1770"/>
      <c r="GP158" s="1770"/>
      <c r="GQ158" s="1770"/>
      <c r="GR158" s="1770"/>
      <c r="GS158" s="1770"/>
      <c r="GT158" s="1770"/>
      <c r="GU158" s="1770"/>
      <c r="GV158" s="1770"/>
      <c r="GW158" s="1770"/>
      <c r="GX158" s="1770"/>
      <c r="GY158" s="1770"/>
      <c r="GZ158" s="1770"/>
      <c r="HA158" s="1770"/>
      <c r="HB158" s="1770"/>
      <c r="HC158" s="1769"/>
      <c r="HD158" s="1770"/>
      <c r="HE158" s="1770"/>
      <c r="HF158" s="1770"/>
      <c r="HG158" s="1770"/>
      <c r="HH158" s="1770"/>
      <c r="HI158" s="1770"/>
      <c r="HJ158" s="1770"/>
      <c r="HK158" s="1770"/>
      <c r="HL158" s="1770"/>
      <c r="HM158" s="1770"/>
      <c r="HN158" s="1770"/>
      <c r="HO158" s="1770"/>
      <c r="HP158" s="1770"/>
      <c r="HQ158" s="1770"/>
      <c r="HR158" s="1770"/>
      <c r="HS158" s="1770"/>
      <c r="HT158" s="1770"/>
      <c r="HU158" s="1770"/>
      <c r="HV158" s="1770"/>
      <c r="HW158" s="1770"/>
      <c r="HX158" s="1770"/>
      <c r="HY158" s="1770"/>
      <c r="HZ158" s="1770"/>
      <c r="IA158" s="1770"/>
      <c r="IB158" s="1770"/>
      <c r="IC158" s="1770"/>
      <c r="ID158" s="1770"/>
      <c r="IE158" s="1770"/>
      <c r="IF158" s="1770"/>
      <c r="IG158" s="1770"/>
      <c r="IH158" s="1770"/>
      <c r="II158" s="1770"/>
      <c r="IJ158" s="1770"/>
      <c r="IK158" s="1770"/>
      <c r="IL158" s="1770"/>
      <c r="IM158" s="1770"/>
      <c r="IN158" s="1770"/>
      <c r="IO158" s="1770"/>
      <c r="IP158" s="1770"/>
      <c r="IQ158" s="1770"/>
      <c r="IR158" s="1770"/>
      <c r="IS158" s="1770"/>
      <c r="IT158" s="1770"/>
      <c r="IU158" s="1770"/>
      <c r="IV158" s="1770"/>
      <c r="IW158" s="1770"/>
      <c r="IX158" s="1770"/>
      <c r="IY158" s="1770"/>
      <c r="IZ158" s="1770"/>
      <c r="JA158" s="1770"/>
      <c r="JB158" s="1770"/>
      <c r="JC158" s="1770"/>
      <c r="JD158" s="1770"/>
      <c r="JE158" s="1770"/>
      <c r="JF158" s="1770"/>
      <c r="JG158" s="1770"/>
      <c r="JH158" s="1770"/>
      <c r="JI158" s="1770"/>
      <c r="JJ158" s="1770"/>
      <c r="JK158" s="1770"/>
      <c r="JL158" s="1770"/>
      <c r="JM158" s="1770"/>
      <c r="JN158" s="1770"/>
      <c r="JO158" s="1770"/>
      <c r="JP158" s="1770"/>
      <c r="JQ158" s="1771"/>
      <c r="JR158" s="593"/>
      <c r="JS158" s="315"/>
    </row>
    <row r="159" spans="1:280" x14ac:dyDescent="0.25">
      <c r="A159" s="1367">
        <v>13</v>
      </c>
      <c r="B159" s="1768" t="str">
        <f t="shared" si="14"/>
        <v/>
      </c>
      <c r="C159" s="1688" t="s">
        <v>4569</v>
      </c>
      <c r="D159" s="1360" t="s">
        <v>4570</v>
      </c>
      <c r="E159" s="1769"/>
      <c r="F159" s="1769"/>
      <c r="G159" s="1769"/>
      <c r="H159" s="1769"/>
      <c r="I159" s="1769"/>
      <c r="J159" s="1770"/>
      <c r="K159" s="1769"/>
      <c r="L159" s="1770"/>
      <c r="M159" s="1769"/>
      <c r="N159" s="1769"/>
      <c r="O159" s="1769"/>
      <c r="P159" s="1770"/>
      <c r="Q159" s="1770"/>
      <c r="R159" s="1769"/>
      <c r="S159" s="1770"/>
      <c r="T159" s="1770"/>
      <c r="U159" s="1769"/>
      <c r="V159" s="1769"/>
      <c r="W159" s="1770"/>
      <c r="X159" s="1770"/>
      <c r="Y159" s="1770"/>
      <c r="Z159" s="1770"/>
      <c r="AA159" s="1769"/>
      <c r="AB159" s="1770"/>
      <c r="AC159" s="1770"/>
      <c r="AD159" s="1770"/>
      <c r="AE159" s="1770"/>
      <c r="AF159" s="1770"/>
      <c r="AG159" s="1770"/>
      <c r="AH159" s="1770"/>
      <c r="AI159" s="1770"/>
      <c r="AJ159" s="1770"/>
      <c r="AK159" s="1770"/>
      <c r="AL159" s="1770"/>
      <c r="AM159" s="1770"/>
      <c r="AN159" s="1770"/>
      <c r="AO159" s="1770"/>
      <c r="AP159" s="1770"/>
      <c r="AQ159" s="1770"/>
      <c r="AR159" s="1770"/>
      <c r="AS159" s="1770"/>
      <c r="AT159" s="1770"/>
      <c r="AU159" s="1770"/>
      <c r="AV159" s="1770"/>
      <c r="AW159" s="1770"/>
      <c r="AX159" s="1770"/>
      <c r="AY159" s="1770"/>
      <c r="AZ159" s="1770"/>
      <c r="BA159" s="1769"/>
      <c r="BB159" s="1770"/>
      <c r="BC159" s="1770"/>
      <c r="BD159" s="1770"/>
      <c r="BE159" s="1770"/>
      <c r="BF159" s="1770"/>
      <c r="BG159" s="1770"/>
      <c r="BH159" s="1770"/>
      <c r="BI159" s="1770"/>
      <c r="BJ159" s="1770"/>
      <c r="BK159" s="1770"/>
      <c r="BL159" s="1770"/>
      <c r="BM159" s="1770"/>
      <c r="BN159" s="1770"/>
      <c r="BO159" s="1770"/>
      <c r="BP159" s="1770"/>
      <c r="BQ159" s="1770"/>
      <c r="BR159" s="1770"/>
      <c r="BS159" s="1770"/>
      <c r="BT159" s="1770"/>
      <c r="BU159" s="1770"/>
      <c r="BV159" s="1770"/>
      <c r="BW159" s="1770"/>
      <c r="BX159" s="1770"/>
      <c r="BY159" s="1770"/>
      <c r="BZ159" s="1770"/>
      <c r="CA159" s="1770"/>
      <c r="CB159" s="1770"/>
      <c r="CC159" s="1770"/>
      <c r="CD159" s="1770"/>
      <c r="CE159" s="1770"/>
      <c r="CF159" s="1770"/>
      <c r="CG159" s="1770"/>
      <c r="CH159" s="1770"/>
      <c r="CI159" s="1769"/>
      <c r="CJ159" s="1770"/>
      <c r="CK159" s="1770"/>
      <c r="CL159" s="1770"/>
      <c r="CM159" s="1770"/>
      <c r="CN159" s="1770"/>
      <c r="CO159" s="1770"/>
      <c r="CP159" s="1770"/>
      <c r="CQ159" s="1770"/>
      <c r="CR159" s="1770"/>
      <c r="CS159" s="1770"/>
      <c r="CT159" s="1769"/>
      <c r="CU159" s="1770"/>
      <c r="CV159" s="1770"/>
      <c r="CW159" s="1770"/>
      <c r="CX159" s="1770"/>
      <c r="CY159" s="1770"/>
      <c r="CZ159" s="1770"/>
      <c r="DA159" s="1770"/>
      <c r="DB159" s="1769"/>
      <c r="DC159" s="1770"/>
      <c r="DD159" s="1770"/>
      <c r="DE159" s="1770"/>
      <c r="DF159" s="1770"/>
      <c r="DG159" s="1770"/>
      <c r="DH159" s="1770"/>
      <c r="DI159" s="1770"/>
      <c r="DJ159" s="1770"/>
      <c r="DK159" s="1769"/>
      <c r="DL159" s="1769"/>
      <c r="DM159" s="1770"/>
      <c r="DN159" s="1770"/>
      <c r="DO159" s="1770"/>
      <c r="DP159" s="1770"/>
      <c r="DQ159" s="1770"/>
      <c r="DR159" s="1770"/>
      <c r="DS159" s="1770"/>
      <c r="DT159" s="1770"/>
      <c r="DU159" s="1770"/>
      <c r="DV159" s="1770"/>
      <c r="DW159" s="1770"/>
      <c r="DX159" s="1770"/>
      <c r="DY159" s="1770"/>
      <c r="DZ159" s="1770"/>
      <c r="EA159" s="1770"/>
      <c r="EB159" s="1770"/>
      <c r="EC159" s="1770"/>
      <c r="ED159" s="1770"/>
      <c r="EE159" s="1770"/>
      <c r="EF159" s="1770"/>
      <c r="EG159" s="1770"/>
      <c r="EH159" s="1770"/>
      <c r="EI159" s="1770"/>
      <c r="EJ159" s="1770"/>
      <c r="EK159" s="1770"/>
      <c r="EL159" s="1770"/>
      <c r="EM159" s="1770"/>
      <c r="EN159" s="1770"/>
      <c r="EO159" s="1770"/>
      <c r="EP159" s="1770"/>
      <c r="EQ159" s="1770"/>
      <c r="ER159" s="1770"/>
      <c r="ES159" s="1770"/>
      <c r="ET159" s="1770"/>
      <c r="EU159" s="1770"/>
      <c r="EV159" s="1770"/>
      <c r="EW159" s="1770"/>
      <c r="EX159" s="1770"/>
      <c r="EY159" s="1770"/>
      <c r="EZ159" s="1770"/>
      <c r="FA159" s="1770"/>
      <c r="FB159" s="1770"/>
      <c r="FC159" s="1770"/>
      <c r="FD159" s="1770"/>
      <c r="FE159" s="1770"/>
      <c r="FF159" s="1770"/>
      <c r="FG159" s="1770"/>
      <c r="FH159" s="1770"/>
      <c r="FI159" s="1770"/>
      <c r="FJ159" s="1770"/>
      <c r="FK159" s="1770"/>
      <c r="FL159" s="1770"/>
      <c r="FM159" s="1770"/>
      <c r="FN159" s="1770"/>
      <c r="FO159" s="1770"/>
      <c r="FP159" s="1770"/>
      <c r="FQ159" s="1770"/>
      <c r="FR159" s="1770"/>
      <c r="FS159" s="1770"/>
      <c r="FT159" s="1770"/>
      <c r="FU159" s="1770"/>
      <c r="FV159" s="1770"/>
      <c r="FW159" s="1770"/>
      <c r="FX159" s="1770"/>
      <c r="FY159" s="1770"/>
      <c r="FZ159" s="1770"/>
      <c r="GA159" s="1770"/>
      <c r="GB159" s="1770"/>
      <c r="GC159" s="1769"/>
      <c r="GD159" s="1770"/>
      <c r="GE159" s="1770"/>
      <c r="GF159" s="1770"/>
      <c r="GG159" s="1770"/>
      <c r="GH159" s="1770"/>
      <c r="GI159" s="1770"/>
      <c r="GJ159" s="1770"/>
      <c r="GK159" s="1769"/>
      <c r="GL159" s="1770"/>
      <c r="GM159" s="1770"/>
      <c r="GN159" s="1770"/>
      <c r="GO159" s="1770"/>
      <c r="GP159" s="1770"/>
      <c r="GQ159" s="1770"/>
      <c r="GR159" s="1770"/>
      <c r="GS159" s="1770"/>
      <c r="GT159" s="1770"/>
      <c r="GU159" s="1770"/>
      <c r="GV159" s="1770"/>
      <c r="GW159" s="1770"/>
      <c r="GX159" s="1770"/>
      <c r="GY159" s="1770"/>
      <c r="GZ159" s="1770"/>
      <c r="HA159" s="1770"/>
      <c r="HB159" s="1770"/>
      <c r="HC159" s="1769"/>
      <c r="HD159" s="1770"/>
      <c r="HE159" s="1770"/>
      <c r="HF159" s="1770"/>
      <c r="HG159" s="1770"/>
      <c r="HH159" s="1770"/>
      <c r="HI159" s="1770"/>
      <c r="HJ159" s="1770"/>
      <c r="HK159" s="1770"/>
      <c r="HL159" s="1770"/>
      <c r="HM159" s="1770"/>
      <c r="HN159" s="1770"/>
      <c r="HO159" s="1770"/>
      <c r="HP159" s="1770"/>
      <c r="HQ159" s="1770"/>
      <c r="HR159" s="1770"/>
      <c r="HS159" s="1770"/>
      <c r="HT159" s="1770"/>
      <c r="HU159" s="1770"/>
      <c r="HV159" s="1770"/>
      <c r="HW159" s="1770"/>
      <c r="HX159" s="1770"/>
      <c r="HY159" s="1770"/>
      <c r="HZ159" s="1770"/>
      <c r="IA159" s="1770"/>
      <c r="IB159" s="1770"/>
      <c r="IC159" s="1770"/>
      <c r="ID159" s="1770"/>
      <c r="IE159" s="1770"/>
      <c r="IF159" s="1770"/>
      <c r="IG159" s="1770"/>
      <c r="IH159" s="1770"/>
      <c r="II159" s="1770"/>
      <c r="IJ159" s="1770"/>
      <c r="IK159" s="1770"/>
      <c r="IL159" s="1770"/>
      <c r="IM159" s="1770"/>
      <c r="IN159" s="1770"/>
      <c r="IO159" s="1770"/>
      <c r="IP159" s="1770"/>
      <c r="IQ159" s="1770"/>
      <c r="IR159" s="1770"/>
      <c r="IS159" s="1770"/>
      <c r="IT159" s="1770"/>
      <c r="IU159" s="1770"/>
      <c r="IV159" s="1770"/>
      <c r="IW159" s="1770"/>
      <c r="IX159" s="1770"/>
      <c r="IY159" s="1770"/>
      <c r="IZ159" s="1770"/>
      <c r="JA159" s="1770"/>
      <c r="JB159" s="1770"/>
      <c r="JC159" s="1770"/>
      <c r="JD159" s="1770"/>
      <c r="JE159" s="1770"/>
      <c r="JF159" s="1770"/>
      <c r="JG159" s="1770"/>
      <c r="JH159" s="1770"/>
      <c r="JI159" s="1770"/>
      <c r="JJ159" s="1770"/>
      <c r="JK159" s="1770"/>
      <c r="JL159" s="1770"/>
      <c r="JM159" s="1770"/>
      <c r="JN159" s="1770"/>
      <c r="JO159" s="1770"/>
      <c r="JP159" s="1770"/>
      <c r="JQ159" s="1771"/>
      <c r="JR159" s="593"/>
      <c r="JS159" s="315"/>
    </row>
    <row r="160" spans="1:280" ht="20" x14ac:dyDescent="0.25">
      <c r="A160" s="1367">
        <v>14</v>
      </c>
      <c r="B160" s="1768" t="str">
        <f t="shared" si="14"/>
        <v/>
      </c>
      <c r="C160" s="1688" t="s">
        <v>4571</v>
      </c>
      <c r="D160" s="1360" t="s">
        <v>4572</v>
      </c>
      <c r="E160" s="1769"/>
      <c r="F160" s="1769"/>
      <c r="G160" s="1769"/>
      <c r="H160" s="1769"/>
      <c r="I160" s="1769"/>
      <c r="J160" s="1770"/>
      <c r="K160" s="1769"/>
      <c r="L160" s="1770"/>
      <c r="M160" s="1769"/>
      <c r="N160" s="1769"/>
      <c r="O160" s="1769"/>
      <c r="P160" s="1770"/>
      <c r="Q160" s="1770"/>
      <c r="R160" s="1769"/>
      <c r="S160" s="1770"/>
      <c r="T160" s="1770"/>
      <c r="U160" s="1769"/>
      <c r="V160" s="1769"/>
      <c r="W160" s="1770"/>
      <c r="X160" s="1770"/>
      <c r="Y160" s="1770"/>
      <c r="Z160" s="1770"/>
      <c r="AA160" s="1769"/>
      <c r="AB160" s="1770"/>
      <c r="AC160" s="1770"/>
      <c r="AD160" s="1770"/>
      <c r="AE160" s="1770"/>
      <c r="AF160" s="1770"/>
      <c r="AG160" s="1770"/>
      <c r="AH160" s="1770"/>
      <c r="AI160" s="1770"/>
      <c r="AJ160" s="1770"/>
      <c r="AK160" s="1770"/>
      <c r="AL160" s="1770"/>
      <c r="AM160" s="1770"/>
      <c r="AN160" s="1770"/>
      <c r="AO160" s="1770"/>
      <c r="AP160" s="1770"/>
      <c r="AQ160" s="1770"/>
      <c r="AR160" s="1770"/>
      <c r="AS160" s="1770"/>
      <c r="AT160" s="1770"/>
      <c r="AU160" s="1770"/>
      <c r="AV160" s="1770"/>
      <c r="AW160" s="1770"/>
      <c r="AX160" s="1770"/>
      <c r="AY160" s="1770"/>
      <c r="AZ160" s="1770"/>
      <c r="BA160" s="1769"/>
      <c r="BB160" s="1770"/>
      <c r="BC160" s="1770"/>
      <c r="BD160" s="1770"/>
      <c r="BE160" s="1770"/>
      <c r="BF160" s="1770"/>
      <c r="BG160" s="1770"/>
      <c r="BH160" s="1770"/>
      <c r="BI160" s="1770"/>
      <c r="BJ160" s="1770"/>
      <c r="BK160" s="1770"/>
      <c r="BL160" s="1770"/>
      <c r="BM160" s="1770"/>
      <c r="BN160" s="1770"/>
      <c r="BO160" s="1770"/>
      <c r="BP160" s="1770"/>
      <c r="BQ160" s="1770"/>
      <c r="BR160" s="1770"/>
      <c r="BS160" s="1770"/>
      <c r="BT160" s="1770"/>
      <c r="BU160" s="1770"/>
      <c r="BV160" s="1770"/>
      <c r="BW160" s="1770"/>
      <c r="BX160" s="1770"/>
      <c r="BY160" s="1770"/>
      <c r="BZ160" s="1770"/>
      <c r="CA160" s="1770"/>
      <c r="CB160" s="1770"/>
      <c r="CC160" s="1770"/>
      <c r="CD160" s="1770"/>
      <c r="CE160" s="1770"/>
      <c r="CF160" s="1770"/>
      <c r="CG160" s="1770"/>
      <c r="CH160" s="1770"/>
      <c r="CI160" s="1769"/>
      <c r="CJ160" s="1770"/>
      <c r="CK160" s="1770"/>
      <c r="CL160" s="1770"/>
      <c r="CM160" s="1770"/>
      <c r="CN160" s="1770"/>
      <c r="CO160" s="1770"/>
      <c r="CP160" s="1770"/>
      <c r="CQ160" s="1770"/>
      <c r="CR160" s="1770"/>
      <c r="CS160" s="1770"/>
      <c r="CT160" s="1769"/>
      <c r="CU160" s="1770"/>
      <c r="CV160" s="1770"/>
      <c r="CW160" s="1770"/>
      <c r="CX160" s="1770"/>
      <c r="CY160" s="1770"/>
      <c r="CZ160" s="1770"/>
      <c r="DA160" s="1770"/>
      <c r="DB160" s="1769"/>
      <c r="DC160" s="1770"/>
      <c r="DD160" s="1770"/>
      <c r="DE160" s="1770"/>
      <c r="DF160" s="1770"/>
      <c r="DG160" s="1770"/>
      <c r="DH160" s="1770"/>
      <c r="DI160" s="1770"/>
      <c r="DJ160" s="1770"/>
      <c r="DK160" s="1769"/>
      <c r="DL160" s="1769"/>
      <c r="DM160" s="1770"/>
      <c r="DN160" s="1770"/>
      <c r="DO160" s="1770"/>
      <c r="DP160" s="1770"/>
      <c r="DQ160" s="1770"/>
      <c r="DR160" s="1770"/>
      <c r="DS160" s="1770"/>
      <c r="DT160" s="1770"/>
      <c r="DU160" s="1770"/>
      <c r="DV160" s="1770"/>
      <c r="DW160" s="1770"/>
      <c r="DX160" s="1770"/>
      <c r="DY160" s="1770"/>
      <c r="DZ160" s="1770"/>
      <c r="EA160" s="1770"/>
      <c r="EB160" s="1770"/>
      <c r="EC160" s="1770"/>
      <c r="ED160" s="1770"/>
      <c r="EE160" s="1770"/>
      <c r="EF160" s="1770"/>
      <c r="EG160" s="1770"/>
      <c r="EH160" s="1770"/>
      <c r="EI160" s="1770"/>
      <c r="EJ160" s="1770"/>
      <c r="EK160" s="1770"/>
      <c r="EL160" s="1770"/>
      <c r="EM160" s="1770"/>
      <c r="EN160" s="1770"/>
      <c r="EO160" s="1770"/>
      <c r="EP160" s="1770"/>
      <c r="EQ160" s="1770"/>
      <c r="ER160" s="1770"/>
      <c r="ES160" s="1770"/>
      <c r="ET160" s="1770"/>
      <c r="EU160" s="1770"/>
      <c r="EV160" s="1770"/>
      <c r="EW160" s="1770"/>
      <c r="EX160" s="1770"/>
      <c r="EY160" s="1770"/>
      <c r="EZ160" s="1770"/>
      <c r="FA160" s="1770"/>
      <c r="FB160" s="1770"/>
      <c r="FC160" s="1770"/>
      <c r="FD160" s="1770"/>
      <c r="FE160" s="1770"/>
      <c r="FF160" s="1770"/>
      <c r="FG160" s="1770"/>
      <c r="FH160" s="1770"/>
      <c r="FI160" s="1770"/>
      <c r="FJ160" s="1770"/>
      <c r="FK160" s="1770"/>
      <c r="FL160" s="1770"/>
      <c r="FM160" s="1770"/>
      <c r="FN160" s="1770"/>
      <c r="FO160" s="1770"/>
      <c r="FP160" s="1770"/>
      <c r="FQ160" s="1770"/>
      <c r="FR160" s="1770"/>
      <c r="FS160" s="1770"/>
      <c r="FT160" s="1770"/>
      <c r="FU160" s="1770"/>
      <c r="FV160" s="1770"/>
      <c r="FW160" s="1770"/>
      <c r="FX160" s="1770"/>
      <c r="FY160" s="1770"/>
      <c r="FZ160" s="1770"/>
      <c r="GA160" s="1770"/>
      <c r="GB160" s="1770"/>
      <c r="GC160" s="1769"/>
      <c r="GD160" s="1770"/>
      <c r="GE160" s="1770"/>
      <c r="GF160" s="1770"/>
      <c r="GG160" s="1770"/>
      <c r="GH160" s="1770"/>
      <c r="GI160" s="1770"/>
      <c r="GJ160" s="1770"/>
      <c r="GK160" s="1769"/>
      <c r="GL160" s="1770"/>
      <c r="GM160" s="1770"/>
      <c r="GN160" s="1770"/>
      <c r="GO160" s="1770"/>
      <c r="GP160" s="1770"/>
      <c r="GQ160" s="1770"/>
      <c r="GR160" s="1770"/>
      <c r="GS160" s="1770"/>
      <c r="GT160" s="1770"/>
      <c r="GU160" s="1770"/>
      <c r="GV160" s="1770"/>
      <c r="GW160" s="1770"/>
      <c r="GX160" s="1770"/>
      <c r="GY160" s="1770"/>
      <c r="GZ160" s="1770"/>
      <c r="HA160" s="1770"/>
      <c r="HB160" s="1770"/>
      <c r="HC160" s="1769"/>
      <c r="HD160" s="1770"/>
      <c r="HE160" s="1770"/>
      <c r="HF160" s="1770"/>
      <c r="HG160" s="1770"/>
      <c r="HH160" s="1770"/>
      <c r="HI160" s="1770"/>
      <c r="HJ160" s="1770"/>
      <c r="HK160" s="1770"/>
      <c r="HL160" s="1770"/>
      <c r="HM160" s="1770"/>
      <c r="HN160" s="1770"/>
      <c r="HO160" s="1770"/>
      <c r="HP160" s="1770"/>
      <c r="HQ160" s="1770"/>
      <c r="HR160" s="1770"/>
      <c r="HS160" s="1770"/>
      <c r="HT160" s="1770"/>
      <c r="HU160" s="1770"/>
      <c r="HV160" s="1770"/>
      <c r="HW160" s="1770"/>
      <c r="HX160" s="1770"/>
      <c r="HY160" s="1770"/>
      <c r="HZ160" s="1770"/>
      <c r="IA160" s="1770"/>
      <c r="IB160" s="1770"/>
      <c r="IC160" s="1770"/>
      <c r="ID160" s="1770"/>
      <c r="IE160" s="1770"/>
      <c r="IF160" s="1770"/>
      <c r="IG160" s="1770"/>
      <c r="IH160" s="1770"/>
      <c r="II160" s="1770"/>
      <c r="IJ160" s="1770"/>
      <c r="IK160" s="1770"/>
      <c r="IL160" s="1770"/>
      <c r="IM160" s="1770"/>
      <c r="IN160" s="1770"/>
      <c r="IO160" s="1770"/>
      <c r="IP160" s="1770"/>
      <c r="IQ160" s="1770"/>
      <c r="IR160" s="1770"/>
      <c r="IS160" s="1770"/>
      <c r="IT160" s="1770"/>
      <c r="IU160" s="1770"/>
      <c r="IV160" s="1770"/>
      <c r="IW160" s="1770"/>
      <c r="IX160" s="1770"/>
      <c r="IY160" s="1770"/>
      <c r="IZ160" s="1770"/>
      <c r="JA160" s="1770"/>
      <c r="JB160" s="1770"/>
      <c r="JC160" s="1770"/>
      <c r="JD160" s="1770"/>
      <c r="JE160" s="1770"/>
      <c r="JF160" s="1770"/>
      <c r="JG160" s="1770"/>
      <c r="JH160" s="1770"/>
      <c r="JI160" s="1770"/>
      <c r="JJ160" s="1770"/>
      <c r="JK160" s="1770"/>
      <c r="JL160" s="1770"/>
      <c r="JM160" s="1770"/>
      <c r="JN160" s="1770"/>
      <c r="JO160" s="1770"/>
      <c r="JP160" s="1770"/>
      <c r="JQ160" s="1771"/>
      <c r="JR160" s="593"/>
      <c r="JS160" s="316" t="s">
        <v>4573</v>
      </c>
    </row>
    <row r="161" spans="1:280" x14ac:dyDescent="0.25">
      <c r="A161" s="1367">
        <v>15</v>
      </c>
      <c r="B161" s="1768" t="str">
        <f t="shared" si="14"/>
        <v/>
      </c>
      <c r="C161" s="1688" t="s">
        <v>4574</v>
      </c>
      <c r="D161" s="1360" t="s">
        <v>4575</v>
      </c>
      <c r="E161" s="1769"/>
      <c r="F161" s="1769"/>
      <c r="G161" s="1769"/>
      <c r="H161" s="1769"/>
      <c r="I161" s="1769"/>
      <c r="J161" s="1770"/>
      <c r="K161" s="1769"/>
      <c r="L161" s="1770"/>
      <c r="M161" s="1769"/>
      <c r="N161" s="1769"/>
      <c r="O161" s="1769"/>
      <c r="P161" s="1770"/>
      <c r="Q161" s="1770"/>
      <c r="R161" s="1769"/>
      <c r="S161" s="1770"/>
      <c r="T161" s="1770"/>
      <c r="U161" s="1769"/>
      <c r="V161" s="1769"/>
      <c r="W161" s="1770"/>
      <c r="X161" s="1770"/>
      <c r="Y161" s="1770"/>
      <c r="Z161" s="1770"/>
      <c r="AA161" s="1769"/>
      <c r="AB161" s="1770"/>
      <c r="AC161" s="1770"/>
      <c r="AD161" s="1770"/>
      <c r="AE161" s="1770"/>
      <c r="AF161" s="1770"/>
      <c r="AG161" s="1770"/>
      <c r="AH161" s="1770"/>
      <c r="AI161" s="1770"/>
      <c r="AJ161" s="1770"/>
      <c r="AK161" s="1770"/>
      <c r="AL161" s="1770"/>
      <c r="AM161" s="1770"/>
      <c r="AN161" s="1770"/>
      <c r="AO161" s="1770"/>
      <c r="AP161" s="1770"/>
      <c r="AQ161" s="1770"/>
      <c r="AR161" s="1770"/>
      <c r="AS161" s="1770"/>
      <c r="AT161" s="1770"/>
      <c r="AU161" s="1770"/>
      <c r="AV161" s="1770"/>
      <c r="AW161" s="1770"/>
      <c r="AX161" s="1770"/>
      <c r="AY161" s="1770"/>
      <c r="AZ161" s="1770"/>
      <c r="BA161" s="1769"/>
      <c r="BB161" s="1770"/>
      <c r="BC161" s="1770"/>
      <c r="BD161" s="1770"/>
      <c r="BE161" s="1770"/>
      <c r="BF161" s="1770"/>
      <c r="BG161" s="1770"/>
      <c r="BH161" s="1770"/>
      <c r="BI161" s="1770"/>
      <c r="BJ161" s="1770"/>
      <c r="BK161" s="1770"/>
      <c r="BL161" s="1770"/>
      <c r="BM161" s="1770"/>
      <c r="BN161" s="1770"/>
      <c r="BO161" s="1770"/>
      <c r="BP161" s="1773"/>
      <c r="BQ161" s="1770"/>
      <c r="BR161" s="1770"/>
      <c r="BS161" s="1770"/>
      <c r="BT161" s="1770"/>
      <c r="BU161" s="1770"/>
      <c r="BV161" s="1770"/>
      <c r="BW161" s="1770"/>
      <c r="BX161" s="1770"/>
      <c r="BY161" s="1770"/>
      <c r="BZ161" s="1770"/>
      <c r="CA161" s="1770"/>
      <c r="CB161" s="1773"/>
      <c r="CC161" s="1770"/>
      <c r="CD161" s="1770"/>
      <c r="CE161" s="1770"/>
      <c r="CF161" s="1770"/>
      <c r="CG161" s="1770"/>
      <c r="CH161" s="1770"/>
      <c r="CI161" s="1769"/>
      <c r="CJ161" s="1770"/>
      <c r="CK161" s="1770"/>
      <c r="CL161" s="1770"/>
      <c r="CM161" s="1770"/>
      <c r="CN161" s="1770"/>
      <c r="CO161" s="1770"/>
      <c r="CP161" s="1770"/>
      <c r="CQ161" s="1770"/>
      <c r="CR161" s="1770"/>
      <c r="CS161" s="1770"/>
      <c r="CT161" s="1769"/>
      <c r="CU161" s="1770"/>
      <c r="CV161" s="1770"/>
      <c r="CW161" s="1770"/>
      <c r="CX161" s="1770"/>
      <c r="CY161" s="1770"/>
      <c r="CZ161" s="1770"/>
      <c r="DA161" s="1770"/>
      <c r="DB161" s="1769"/>
      <c r="DC161" s="1770"/>
      <c r="DD161" s="1770"/>
      <c r="DE161" s="1770"/>
      <c r="DF161" s="1770"/>
      <c r="DG161" s="1770"/>
      <c r="DH161" s="1770"/>
      <c r="DI161" s="1770"/>
      <c r="DJ161" s="1773"/>
      <c r="DK161" s="1769"/>
      <c r="DL161" s="1769"/>
      <c r="DM161" s="1770"/>
      <c r="DN161" s="1770"/>
      <c r="DO161" s="1770"/>
      <c r="DP161" s="1770"/>
      <c r="DQ161" s="1770"/>
      <c r="DR161" s="1770"/>
      <c r="DS161" s="1770"/>
      <c r="DT161" s="1770"/>
      <c r="DU161" s="1770"/>
      <c r="DV161" s="1770"/>
      <c r="DW161" s="1773"/>
      <c r="DX161" s="1770"/>
      <c r="DY161" s="1770"/>
      <c r="DZ161" s="1770"/>
      <c r="EA161" s="1770"/>
      <c r="EB161" s="1770"/>
      <c r="EC161" s="1770"/>
      <c r="ED161" s="1770"/>
      <c r="EE161" s="1770"/>
      <c r="EF161" s="1770"/>
      <c r="EG161" s="1770"/>
      <c r="EH161" s="1770"/>
      <c r="EI161" s="1770"/>
      <c r="EJ161" s="1770"/>
      <c r="EK161" s="1770"/>
      <c r="EL161" s="1773"/>
      <c r="EM161" s="1773"/>
      <c r="EN161" s="1773"/>
      <c r="EO161" s="1770"/>
      <c r="EP161" s="1770"/>
      <c r="EQ161" s="1770"/>
      <c r="ER161" s="1770"/>
      <c r="ES161" s="1770"/>
      <c r="ET161" s="1773"/>
      <c r="EU161" s="1770"/>
      <c r="EV161" s="1770"/>
      <c r="EW161" s="1770"/>
      <c r="EX161" s="1770"/>
      <c r="EY161" s="1770"/>
      <c r="EZ161" s="1773"/>
      <c r="FA161" s="1770"/>
      <c r="FB161" s="1773"/>
      <c r="FC161" s="1770"/>
      <c r="FD161" s="1773"/>
      <c r="FE161" s="1773"/>
      <c r="FF161" s="1773"/>
      <c r="FG161" s="1770"/>
      <c r="FH161" s="1773"/>
      <c r="FI161" s="1773"/>
      <c r="FJ161" s="1773"/>
      <c r="FK161" s="1770"/>
      <c r="FL161" s="1770"/>
      <c r="FM161" s="1770"/>
      <c r="FN161" s="1770"/>
      <c r="FO161" s="1773"/>
      <c r="FP161" s="1773"/>
      <c r="FQ161" s="1770"/>
      <c r="FR161" s="1770"/>
      <c r="FS161" s="1770"/>
      <c r="FT161" s="1770"/>
      <c r="FU161" s="1770"/>
      <c r="FV161" s="1770"/>
      <c r="FW161" s="1770"/>
      <c r="FX161" s="1770"/>
      <c r="FY161" s="1770"/>
      <c r="FZ161" s="1770"/>
      <c r="GA161" s="1770"/>
      <c r="GB161" s="1770"/>
      <c r="GC161" s="1769"/>
      <c r="GD161" s="1770"/>
      <c r="GE161" s="1770"/>
      <c r="GF161" s="1773"/>
      <c r="GG161" s="1770"/>
      <c r="GH161" s="1770"/>
      <c r="GI161" s="1770"/>
      <c r="GJ161" s="1770"/>
      <c r="GK161" s="1769"/>
      <c r="GL161" s="1770"/>
      <c r="GM161" s="1770"/>
      <c r="GN161" s="1770"/>
      <c r="GO161" s="1770"/>
      <c r="GP161" s="1770"/>
      <c r="GQ161" s="1770"/>
      <c r="GR161" s="1770"/>
      <c r="GS161" s="1770"/>
      <c r="GT161" s="1770"/>
      <c r="GU161" s="1770"/>
      <c r="GV161" s="1770"/>
      <c r="GW161" s="1770"/>
      <c r="GX161" s="1770"/>
      <c r="GY161" s="1770"/>
      <c r="GZ161" s="1770"/>
      <c r="HA161" s="1770"/>
      <c r="HB161" s="1770"/>
      <c r="HC161" s="1769">
        <f>BPA</f>
        <v>3130</v>
      </c>
      <c r="HD161" s="1770"/>
      <c r="HE161" s="1770"/>
      <c r="HF161" s="1770"/>
      <c r="HG161" s="1770"/>
      <c r="HH161" s="1770"/>
      <c r="HI161" s="1770"/>
      <c r="HJ161" s="1773"/>
      <c r="HK161" s="1770"/>
      <c r="HL161" s="1770"/>
      <c r="HM161" s="1770"/>
      <c r="HN161" s="1770"/>
      <c r="HO161" s="1770"/>
      <c r="HP161" s="1770"/>
      <c r="HQ161" s="1770"/>
      <c r="HR161" s="1770"/>
      <c r="HS161" s="1770"/>
      <c r="HT161" s="1770"/>
      <c r="HU161" s="1770"/>
      <c r="HV161" s="1770"/>
      <c r="HW161" s="1770"/>
      <c r="HX161" s="1770"/>
      <c r="HY161" s="1770"/>
      <c r="HZ161" s="1770"/>
      <c r="IA161" s="1770"/>
      <c r="IB161" s="1770"/>
      <c r="IC161" s="1770"/>
      <c r="ID161" s="1770"/>
      <c r="IE161" s="1770"/>
      <c r="IF161" s="1770"/>
      <c r="IG161" s="1770"/>
      <c r="IH161" s="1770"/>
      <c r="II161" s="1770"/>
      <c r="IJ161" s="1770"/>
      <c r="IK161" s="1770"/>
      <c r="IL161" s="1770"/>
      <c r="IM161" s="1770"/>
      <c r="IN161" s="1770"/>
      <c r="IO161" s="1770"/>
      <c r="IP161" s="1770"/>
      <c r="IQ161" s="1770"/>
      <c r="IR161" s="1770"/>
      <c r="IS161" s="1770"/>
      <c r="IT161" s="1770"/>
      <c r="IU161" s="1770"/>
      <c r="IV161" s="1770"/>
      <c r="IW161" s="1773"/>
      <c r="IX161" s="1770"/>
      <c r="IY161" s="1770"/>
      <c r="IZ161" s="1770"/>
      <c r="JA161" s="1770"/>
      <c r="JB161" s="1770"/>
      <c r="JC161" s="1770"/>
      <c r="JD161" s="1770"/>
      <c r="JE161" s="1770"/>
      <c r="JF161" s="1770"/>
      <c r="JG161" s="1770"/>
      <c r="JH161" s="1770"/>
      <c r="JI161" s="1770"/>
      <c r="JJ161" s="1770"/>
      <c r="JK161" s="1770"/>
      <c r="JL161" s="1770"/>
      <c r="JM161" s="1770"/>
      <c r="JN161" s="1770"/>
      <c r="JO161" s="1770"/>
      <c r="JP161" s="1770"/>
      <c r="JQ161" s="1771"/>
      <c r="JR161" s="593"/>
      <c r="JS161" s="316" t="s">
        <v>4576</v>
      </c>
    </row>
    <row r="162" spans="1:280" x14ac:dyDescent="0.25">
      <c r="A162" s="1367">
        <v>16</v>
      </c>
      <c r="B162" s="1482" t="str">
        <f t="shared" si="14"/>
        <v/>
      </c>
      <c r="C162" s="1688" t="s">
        <v>4577</v>
      </c>
      <c r="D162" s="1360" t="s">
        <v>4578</v>
      </c>
      <c r="E162" s="1769"/>
      <c r="F162" s="1769"/>
      <c r="G162" s="1769"/>
      <c r="H162" s="1769"/>
      <c r="I162" s="1769"/>
      <c r="J162" s="1770"/>
      <c r="K162" s="1769"/>
      <c r="L162" s="1770"/>
      <c r="M162" s="1769"/>
      <c r="N162" s="1769"/>
      <c r="O162" s="1769"/>
      <c r="P162" s="1770"/>
      <c r="Q162" s="1770"/>
      <c r="R162" s="1769"/>
      <c r="S162" s="1770"/>
      <c r="T162" s="1770"/>
      <c r="U162" s="1769"/>
      <c r="V162" s="1769"/>
      <c r="W162" s="1770"/>
      <c r="X162" s="1770"/>
      <c r="Y162" s="1770"/>
      <c r="Z162" s="1770"/>
      <c r="AA162" s="1769"/>
      <c r="AB162" s="1770"/>
      <c r="AC162" s="1770"/>
      <c r="AD162" s="1770"/>
      <c r="AE162" s="1770"/>
      <c r="AF162" s="1770"/>
      <c r="AG162" s="1770"/>
      <c r="AH162" s="1770"/>
      <c r="AI162" s="1770"/>
      <c r="AJ162" s="1770"/>
      <c r="AK162" s="1770"/>
      <c r="AL162" s="1770"/>
      <c r="AM162" s="1770"/>
      <c r="AN162" s="1770"/>
      <c r="AO162" s="1770"/>
      <c r="AP162" s="1770"/>
      <c r="AQ162" s="1770"/>
      <c r="AR162" s="1770"/>
      <c r="AS162" s="1770"/>
      <c r="AT162" s="1770"/>
      <c r="AU162" s="1770"/>
      <c r="AV162" s="1770"/>
      <c r="AW162" s="1770"/>
      <c r="AX162" s="1770"/>
      <c r="AY162" s="1770"/>
      <c r="AZ162" s="1770"/>
      <c r="BA162" s="1769"/>
      <c r="BB162" s="1770"/>
      <c r="BC162" s="1770"/>
      <c r="BD162" s="1770"/>
      <c r="BE162" s="1770"/>
      <c r="BF162" s="1770"/>
      <c r="BG162" s="1770"/>
      <c r="BH162" s="1770"/>
      <c r="BI162" s="1770"/>
      <c r="BJ162" s="1770"/>
      <c r="BK162" s="1770"/>
      <c r="BL162" s="1770"/>
      <c r="BM162" s="1770"/>
      <c r="BN162" s="1770"/>
      <c r="BO162" s="1770"/>
      <c r="BP162" s="1770"/>
      <c r="BQ162" s="1770"/>
      <c r="BR162" s="1770"/>
      <c r="BS162" s="1770"/>
      <c r="BT162" s="1770"/>
      <c r="BU162" s="1770"/>
      <c r="BV162" s="1770"/>
      <c r="BW162" s="1770"/>
      <c r="BX162" s="1770"/>
      <c r="BY162" s="1770"/>
      <c r="BZ162" s="1770"/>
      <c r="CA162" s="1770"/>
      <c r="CB162" s="1770"/>
      <c r="CC162" s="1770"/>
      <c r="CD162" s="1770"/>
      <c r="CE162" s="1770"/>
      <c r="CF162" s="1770"/>
      <c r="CG162" s="1770"/>
      <c r="CH162" s="1770"/>
      <c r="CI162" s="1769"/>
      <c r="CJ162" s="1770"/>
      <c r="CK162" s="1770"/>
      <c r="CL162" s="1770"/>
      <c r="CM162" s="1770"/>
      <c r="CN162" s="1770"/>
      <c r="CO162" s="1770"/>
      <c r="CP162" s="1770"/>
      <c r="CQ162" s="1770"/>
      <c r="CR162" s="1770"/>
      <c r="CS162" s="1770"/>
      <c r="CT162" s="1769"/>
      <c r="CU162" s="1770"/>
      <c r="CV162" s="1770"/>
      <c r="CW162" s="1770"/>
      <c r="CX162" s="1770"/>
      <c r="CY162" s="1770"/>
      <c r="CZ162" s="1770"/>
      <c r="DA162" s="1770"/>
      <c r="DB162" s="1769"/>
      <c r="DC162" s="1770"/>
      <c r="DD162" s="1770"/>
      <c r="DE162" s="1770"/>
      <c r="DF162" s="1770"/>
      <c r="DG162" s="1770"/>
      <c r="DH162" s="1770"/>
      <c r="DI162" s="1770"/>
      <c r="DJ162" s="1770"/>
      <c r="DK162" s="1769"/>
      <c r="DL162" s="1769"/>
      <c r="DM162" s="1770"/>
      <c r="DN162" s="1770"/>
      <c r="DO162" s="1770"/>
      <c r="DP162" s="1770"/>
      <c r="DQ162" s="1770"/>
      <c r="DR162" s="1770"/>
      <c r="DS162" s="1770"/>
      <c r="DT162" s="1770"/>
      <c r="DU162" s="1770">
        <v>890</v>
      </c>
      <c r="DV162" s="1770"/>
      <c r="DW162" s="1770"/>
      <c r="DX162" s="1770"/>
      <c r="DY162" s="1770"/>
      <c r="DZ162" s="1770"/>
      <c r="EA162" s="1770"/>
      <c r="EB162" s="1770"/>
      <c r="EC162" s="1770"/>
      <c r="ED162" s="1770"/>
      <c r="EE162" s="1770"/>
      <c r="EF162" s="1770"/>
      <c r="EG162" s="1770"/>
      <c r="EH162" s="1770"/>
      <c r="EI162" s="1770"/>
      <c r="EJ162" s="1770"/>
      <c r="EK162" s="1770"/>
      <c r="EL162" s="1770"/>
      <c r="EM162" s="1770"/>
      <c r="EN162" s="1770"/>
      <c r="EO162" s="1770"/>
      <c r="EP162" s="1770"/>
      <c r="EQ162" s="1770"/>
      <c r="ER162" s="1770"/>
      <c r="ES162" s="1770"/>
      <c r="ET162" s="1770"/>
      <c r="EU162" s="1770"/>
      <c r="EV162" s="1770"/>
      <c r="EW162" s="1770"/>
      <c r="EX162" s="1770"/>
      <c r="EY162" s="1770"/>
      <c r="EZ162" s="1770"/>
      <c r="FA162" s="1770"/>
      <c r="FB162" s="1770"/>
      <c r="FC162" s="1770"/>
      <c r="FD162" s="1770"/>
      <c r="FE162" s="1770"/>
      <c r="FF162" s="1770"/>
      <c r="FG162" s="1770"/>
      <c r="FH162" s="1770"/>
      <c r="FI162" s="1770"/>
      <c r="FJ162" s="1770"/>
      <c r="FK162" s="1770"/>
      <c r="FL162" s="1770"/>
      <c r="FM162" s="1770"/>
      <c r="FN162" s="1770"/>
      <c r="FO162" s="1770"/>
      <c r="FP162" s="1770"/>
      <c r="FQ162" s="1770"/>
      <c r="FR162" s="1770"/>
      <c r="FS162" s="1770"/>
      <c r="FT162" s="1770"/>
      <c r="FU162" s="1770"/>
      <c r="FV162" s="1770"/>
      <c r="FW162" s="1770"/>
      <c r="FX162" s="1770"/>
      <c r="FY162" s="1770"/>
      <c r="FZ162" s="1770"/>
      <c r="GA162" s="1770"/>
      <c r="GB162" s="1770"/>
      <c r="GC162" s="1769"/>
      <c r="GD162" s="1770"/>
      <c r="GE162" s="1770"/>
      <c r="GF162" s="1770"/>
      <c r="GG162" s="1770"/>
      <c r="GH162" s="1770"/>
      <c r="GI162" s="1770"/>
      <c r="GJ162" s="1770"/>
      <c r="GK162" s="1769"/>
      <c r="GL162" s="1770"/>
      <c r="GM162" s="1770"/>
      <c r="GN162" s="1770"/>
      <c r="GO162" s="1770"/>
      <c r="GP162" s="1770"/>
      <c r="GQ162" s="1770"/>
      <c r="GR162" s="1770"/>
      <c r="GS162" s="1770"/>
      <c r="GT162" s="1770"/>
      <c r="GU162" s="1770"/>
      <c r="GV162" s="1770"/>
      <c r="GW162" s="1770"/>
      <c r="GX162" s="1770"/>
      <c r="GY162" s="1770"/>
      <c r="GZ162" s="1770"/>
      <c r="HA162" s="1770"/>
      <c r="HB162" s="1770"/>
      <c r="HC162" s="1769"/>
      <c r="HD162" s="1770"/>
      <c r="HE162" s="1770"/>
      <c r="HF162" s="1770"/>
      <c r="HG162" s="1770"/>
      <c r="HH162" s="1770"/>
      <c r="HI162" s="1770"/>
      <c r="HJ162" s="1770"/>
      <c r="HK162" s="1770"/>
      <c r="HL162" s="1770"/>
      <c r="HM162" s="1770"/>
      <c r="HN162" s="1770"/>
      <c r="HO162" s="1770"/>
      <c r="HP162" s="1770"/>
      <c r="HQ162" s="1770"/>
      <c r="HR162" s="1770"/>
      <c r="HS162" s="1770"/>
      <c r="HT162" s="1770"/>
      <c r="HU162" s="1770"/>
      <c r="HV162" s="1770"/>
      <c r="HW162" s="1770"/>
      <c r="HX162" s="1770"/>
      <c r="HY162" s="1770"/>
      <c r="HZ162" s="1770"/>
      <c r="IA162" s="1770"/>
      <c r="IB162" s="1770"/>
      <c r="IC162" s="1770"/>
      <c r="ID162" s="1770"/>
      <c r="IE162" s="1770"/>
      <c r="IF162" s="1770"/>
      <c r="IG162" s="1770"/>
      <c r="IH162" s="1770"/>
      <c r="II162" s="1770"/>
      <c r="IJ162" s="1770"/>
      <c r="IK162" s="1770"/>
      <c r="IL162" s="1770"/>
      <c r="IM162" s="1770"/>
      <c r="IN162" s="1770"/>
      <c r="IO162" s="1770"/>
      <c r="IP162" s="1770"/>
      <c r="IQ162" s="1770"/>
      <c r="IR162" s="1770"/>
      <c r="IS162" s="1770"/>
      <c r="IT162" s="1770"/>
      <c r="IU162" s="1770"/>
      <c r="IV162" s="1770"/>
      <c r="IW162" s="1770"/>
      <c r="IX162" s="1770"/>
      <c r="IY162" s="1770"/>
      <c r="IZ162" s="1770"/>
      <c r="JA162" s="1770"/>
      <c r="JB162" s="1770"/>
      <c r="JC162" s="1770"/>
      <c r="JD162" s="1770"/>
      <c r="JE162" s="1770"/>
      <c r="JF162" s="1770"/>
      <c r="JG162" s="1770"/>
      <c r="JH162" s="1770"/>
      <c r="JI162" s="1770"/>
      <c r="JJ162" s="1770"/>
      <c r="JK162" s="1770"/>
      <c r="JL162" s="1770"/>
      <c r="JM162" s="1770"/>
      <c r="JN162" s="1770"/>
      <c r="JO162" s="1770"/>
      <c r="JP162" s="1770"/>
      <c r="JQ162" s="1771"/>
      <c r="JR162" s="593"/>
      <c r="JS162" s="316" t="s">
        <v>4579</v>
      </c>
    </row>
    <row r="163" spans="1:280" x14ac:dyDescent="0.25">
      <c r="A163" s="1367">
        <v>17</v>
      </c>
      <c r="B163" s="1768" t="str">
        <f t="shared" si="14"/>
        <v/>
      </c>
      <c r="C163" s="1688" t="s">
        <v>4580</v>
      </c>
      <c r="D163" s="1360" t="s">
        <v>4581</v>
      </c>
      <c r="E163" s="1769"/>
      <c r="F163" s="1769"/>
      <c r="G163" s="1769"/>
      <c r="H163" s="1769"/>
      <c r="I163" s="1769"/>
      <c r="J163" s="1770"/>
      <c r="K163" s="1769"/>
      <c r="L163" s="1770"/>
      <c r="M163" s="1769"/>
      <c r="N163" s="1769"/>
      <c r="O163" s="1769"/>
      <c r="P163" s="1770"/>
      <c r="Q163" s="1770"/>
      <c r="R163" s="1769"/>
      <c r="S163" s="1770"/>
      <c r="T163" s="1770"/>
      <c r="U163" s="1769"/>
      <c r="V163" s="1769"/>
      <c r="W163" s="1770"/>
      <c r="X163" s="1770"/>
      <c r="Y163" s="1770"/>
      <c r="Z163" s="1770"/>
      <c r="AA163" s="1769"/>
      <c r="AB163" s="1770"/>
      <c r="AC163" s="1770"/>
      <c r="AD163" s="1770"/>
      <c r="AE163" s="1770"/>
      <c r="AF163" s="1770"/>
      <c r="AG163" s="1770"/>
      <c r="AH163" s="1770"/>
      <c r="AI163" s="1770"/>
      <c r="AJ163" s="1770"/>
      <c r="AK163" s="1770"/>
      <c r="AL163" s="1770"/>
      <c r="AM163" s="1770"/>
      <c r="AN163" s="1770"/>
      <c r="AO163" s="1770"/>
      <c r="AP163" s="1770"/>
      <c r="AQ163" s="1770"/>
      <c r="AR163" s="1770"/>
      <c r="AS163" s="1770"/>
      <c r="AT163" s="1770"/>
      <c r="AU163" s="1770"/>
      <c r="AV163" s="1770"/>
      <c r="AW163" s="1770"/>
      <c r="AX163" s="1770"/>
      <c r="AY163" s="1770"/>
      <c r="AZ163" s="1770"/>
      <c r="BA163" s="1769"/>
      <c r="BB163" s="1770"/>
      <c r="BC163" s="1770"/>
      <c r="BD163" s="1770"/>
      <c r="BE163" s="1770"/>
      <c r="BF163" s="1770"/>
      <c r="BG163" s="1770"/>
      <c r="BH163" s="1770"/>
      <c r="BI163" s="1770"/>
      <c r="BJ163" s="1770"/>
      <c r="BK163" s="1770"/>
      <c r="BL163" s="1770"/>
      <c r="BM163" s="1770"/>
      <c r="BN163" s="1770"/>
      <c r="BO163" s="1770"/>
      <c r="BP163" s="1770"/>
      <c r="BQ163" s="1770"/>
      <c r="BR163" s="1770"/>
      <c r="BS163" s="1770"/>
      <c r="BT163" s="1770"/>
      <c r="BU163" s="1770"/>
      <c r="BV163" s="1770"/>
      <c r="BW163" s="1770"/>
      <c r="BX163" s="1770"/>
      <c r="BY163" s="1770"/>
      <c r="BZ163" s="1770"/>
      <c r="CA163" s="1770"/>
      <c r="CB163" s="1770"/>
      <c r="CC163" s="1770"/>
      <c r="CD163" s="1770"/>
      <c r="CE163" s="1770"/>
      <c r="CF163" s="1770"/>
      <c r="CG163" s="1770"/>
      <c r="CH163" s="1770"/>
      <c r="CI163" s="1769"/>
      <c r="CJ163" s="1770"/>
      <c r="CK163" s="1770"/>
      <c r="CL163" s="1770"/>
      <c r="CM163" s="1770"/>
      <c r="CN163" s="1770"/>
      <c r="CO163" s="1770"/>
      <c r="CP163" s="1770"/>
      <c r="CQ163" s="1770"/>
      <c r="CR163" s="1770"/>
      <c r="CS163" s="1770"/>
      <c r="CT163" s="1769"/>
      <c r="CU163" s="1770"/>
      <c r="CV163" s="1770"/>
      <c r="CW163" s="1770"/>
      <c r="CX163" s="1770"/>
      <c r="CY163" s="1770"/>
      <c r="CZ163" s="1770"/>
      <c r="DA163" s="1770"/>
      <c r="DB163" s="1769"/>
      <c r="DC163" s="1770"/>
      <c r="DD163" s="1770"/>
      <c r="DE163" s="1770"/>
      <c r="DF163" s="1770"/>
      <c r="DG163" s="1770"/>
      <c r="DH163" s="1770"/>
      <c r="DI163" s="1770"/>
      <c r="DJ163" s="1770"/>
      <c r="DK163" s="1769"/>
      <c r="DL163" s="1769"/>
      <c r="DM163" s="1770"/>
      <c r="DN163" s="1770"/>
      <c r="DO163" s="1770"/>
      <c r="DP163" s="1770"/>
      <c r="DQ163" s="1770"/>
      <c r="DR163" s="1770"/>
      <c r="DS163" s="1770"/>
      <c r="DT163" s="1770"/>
      <c r="DU163" s="1770"/>
      <c r="DV163" s="1770"/>
      <c r="DW163" s="1770"/>
      <c r="DX163" s="1770"/>
      <c r="DY163" s="1770"/>
      <c r="DZ163" s="1770"/>
      <c r="EA163" s="1770"/>
      <c r="EB163" s="1770"/>
      <c r="EC163" s="1770"/>
      <c r="ED163" s="1770"/>
      <c r="EE163" s="1770"/>
      <c r="EF163" s="1770"/>
      <c r="EG163" s="1770"/>
      <c r="EH163" s="1770"/>
      <c r="EI163" s="1770"/>
      <c r="EJ163" s="1770"/>
      <c r="EK163" s="1770"/>
      <c r="EL163" s="1770"/>
      <c r="EM163" s="1770"/>
      <c r="EN163" s="1770"/>
      <c r="EO163" s="1770"/>
      <c r="EP163" s="1770"/>
      <c r="EQ163" s="1770"/>
      <c r="ER163" s="1770"/>
      <c r="ES163" s="1773">
        <v>20</v>
      </c>
      <c r="ET163" s="1773">
        <v>746.55</v>
      </c>
      <c r="EU163" s="1770"/>
      <c r="EV163" s="1770"/>
      <c r="EW163" s="1770"/>
      <c r="EX163" s="1770"/>
      <c r="EY163" s="1770"/>
      <c r="EZ163" s="1770"/>
      <c r="FA163" s="1770"/>
      <c r="FB163" s="1770"/>
      <c r="FC163" s="1770"/>
      <c r="FD163" s="1770"/>
      <c r="FE163" s="1770"/>
      <c r="FF163" s="1770"/>
      <c r="FG163" s="1770"/>
      <c r="FH163" s="1770"/>
      <c r="FI163" s="1770"/>
      <c r="FJ163" s="1770"/>
      <c r="FK163" s="1770"/>
      <c r="FL163" s="1770"/>
      <c r="FM163" s="1770"/>
      <c r="FN163" s="1770"/>
      <c r="FO163" s="1770"/>
      <c r="FP163" s="1770"/>
      <c r="FQ163" s="1770"/>
      <c r="FR163" s="1770"/>
      <c r="FS163" s="1770"/>
      <c r="FT163" s="1770"/>
      <c r="FU163" s="1770"/>
      <c r="FV163" s="1770"/>
      <c r="FW163" s="1770"/>
      <c r="FX163" s="1770"/>
      <c r="FY163" s="1770">
        <v>500</v>
      </c>
      <c r="FZ163" s="1770"/>
      <c r="GA163" s="1770"/>
      <c r="GB163" s="1770"/>
      <c r="GC163" s="1769"/>
      <c r="GD163" s="1770"/>
      <c r="GE163" s="1770"/>
      <c r="GF163" s="1770"/>
      <c r="GG163" s="1770"/>
      <c r="GH163" s="1770"/>
      <c r="GI163" s="1770"/>
      <c r="GJ163" s="1770"/>
      <c r="GK163" s="1769"/>
      <c r="GL163" s="1770"/>
      <c r="GM163" s="1770"/>
      <c r="GN163" s="1770"/>
      <c r="GO163" s="1770"/>
      <c r="GP163" s="1770"/>
      <c r="GQ163" s="1770"/>
      <c r="GR163" s="1770">
        <v>750</v>
      </c>
      <c r="GS163" s="1770"/>
      <c r="GT163" s="1770"/>
      <c r="GU163" s="1770"/>
      <c r="GV163" s="1770"/>
      <c r="GW163" s="1770"/>
      <c r="GX163" s="1770"/>
      <c r="GY163" s="1770"/>
      <c r="GZ163" s="1770"/>
      <c r="HA163" s="1770"/>
      <c r="HB163" s="1770"/>
      <c r="HC163" s="1769"/>
      <c r="HD163" s="1770"/>
      <c r="HE163" s="1770"/>
      <c r="HF163" s="1770"/>
      <c r="HG163" s="1773">
        <v>300</v>
      </c>
      <c r="HH163" s="1770"/>
      <c r="HI163" s="1770"/>
      <c r="HJ163" s="1770"/>
      <c r="HK163" s="1770"/>
      <c r="HL163" s="1770"/>
      <c r="HM163" s="1770"/>
      <c r="HN163" s="1770"/>
      <c r="HO163" s="1770"/>
      <c r="HP163" s="1770"/>
      <c r="HQ163" s="1770"/>
      <c r="HR163" s="1770"/>
      <c r="HS163" s="1770"/>
      <c r="HT163" s="1770"/>
      <c r="HU163" s="1770"/>
      <c r="HV163" s="1770"/>
      <c r="HW163" s="1770"/>
      <c r="HX163" s="1770"/>
      <c r="HY163" s="1770"/>
      <c r="HZ163" s="1770"/>
      <c r="IA163" s="1770"/>
      <c r="IB163" s="1770"/>
      <c r="IC163" s="1770"/>
      <c r="ID163" s="1770"/>
      <c r="IE163" s="1770"/>
      <c r="IF163" s="1770"/>
      <c r="IG163" s="1770"/>
      <c r="IH163" s="1770"/>
      <c r="II163" s="1770"/>
      <c r="IJ163" s="1770"/>
      <c r="IK163" s="1770"/>
      <c r="IL163" s="1770"/>
      <c r="IM163" s="1770"/>
      <c r="IN163" s="1770"/>
      <c r="IO163" s="1770"/>
      <c r="IP163" s="1770"/>
      <c r="IQ163" s="1770"/>
      <c r="IR163" s="1770"/>
      <c r="IS163" s="1770"/>
      <c r="IT163" s="1770"/>
      <c r="IU163" s="1770"/>
      <c r="IV163" s="1770"/>
      <c r="IW163" s="1770"/>
      <c r="IX163" s="1770"/>
      <c r="IY163" s="1770"/>
      <c r="IZ163" s="1770"/>
      <c r="JA163" s="1773">
        <v>750</v>
      </c>
      <c r="JB163" s="1770"/>
      <c r="JC163" s="1770"/>
      <c r="JD163" s="1770"/>
      <c r="JE163" s="1770"/>
      <c r="JF163" s="1770"/>
      <c r="JG163" s="1770"/>
      <c r="JH163" s="1770"/>
      <c r="JI163" s="1770"/>
      <c r="JJ163" s="1770"/>
      <c r="JK163" s="1770"/>
      <c r="JL163" s="1770"/>
      <c r="JM163" s="1770"/>
      <c r="JN163" s="1770"/>
      <c r="JO163" s="1770"/>
      <c r="JP163" s="1770"/>
      <c r="JQ163" s="1771"/>
      <c r="JR163" s="593"/>
      <c r="JS163" s="315"/>
    </row>
    <row r="164" spans="1:280" x14ac:dyDescent="0.25">
      <c r="A164" s="1367">
        <v>18</v>
      </c>
      <c r="B164" s="1768" t="str">
        <f t="shared" si="14"/>
        <v/>
      </c>
      <c r="C164" s="1688" t="s">
        <v>4582</v>
      </c>
      <c r="D164" s="1360" t="s">
        <v>4583</v>
      </c>
      <c r="E164" s="1769"/>
      <c r="F164" s="1769"/>
      <c r="G164" s="1769"/>
      <c r="H164" s="1769"/>
      <c r="I164" s="1769"/>
      <c r="J164" s="1770"/>
      <c r="K164" s="1769"/>
      <c r="L164" s="1770"/>
      <c r="M164" s="1769"/>
      <c r="N164" s="1769"/>
      <c r="O164" s="1769"/>
      <c r="P164" s="1770"/>
      <c r="Q164" s="1770"/>
      <c r="R164" s="1769"/>
      <c r="S164" s="1770"/>
      <c r="T164" s="1770"/>
      <c r="U164" s="1769"/>
      <c r="V164" s="1769"/>
      <c r="W164" s="1770"/>
      <c r="X164" s="1770"/>
      <c r="Y164" s="1770"/>
      <c r="Z164" s="1770"/>
      <c r="AA164" s="1769"/>
      <c r="AB164" s="1770"/>
      <c r="AC164" s="1770"/>
      <c r="AD164" s="1770"/>
      <c r="AE164" s="1770"/>
      <c r="AF164" s="1770"/>
      <c r="AG164" s="1770"/>
      <c r="AH164" s="1770"/>
      <c r="AI164" s="1770"/>
      <c r="AJ164" s="1770"/>
      <c r="AK164" s="1770"/>
      <c r="AL164" s="1770"/>
      <c r="AM164" s="1770"/>
      <c r="AN164" s="1770"/>
      <c r="AO164" s="1770"/>
      <c r="AP164" s="1770"/>
      <c r="AQ164" s="1770"/>
      <c r="AR164" s="1770"/>
      <c r="AS164" s="1770"/>
      <c r="AT164" s="1770"/>
      <c r="AU164" s="1770"/>
      <c r="AV164" s="1770"/>
      <c r="AW164" s="1770"/>
      <c r="AX164" s="1770"/>
      <c r="AY164" s="1770"/>
      <c r="AZ164" s="1770"/>
      <c r="BA164" s="1769"/>
      <c r="BB164" s="1770"/>
      <c r="BC164" s="1770"/>
      <c r="BD164" s="1770"/>
      <c r="BE164" s="1770"/>
      <c r="BF164" s="1770"/>
      <c r="BG164" s="1770"/>
      <c r="BH164" s="1770"/>
      <c r="BI164" s="1770"/>
      <c r="BJ164" s="1770"/>
      <c r="BK164" s="1770"/>
      <c r="BL164" s="1770"/>
      <c r="BM164" s="1770"/>
      <c r="BN164" s="1770"/>
      <c r="BO164" s="1770"/>
      <c r="BP164" s="1770"/>
      <c r="BQ164" s="1770"/>
      <c r="BR164" s="1770"/>
      <c r="BS164" s="1770"/>
      <c r="BT164" s="1770"/>
      <c r="BU164" s="1770"/>
      <c r="BV164" s="1770"/>
      <c r="BW164" s="1770"/>
      <c r="BX164" s="1770"/>
      <c r="BY164" s="1770"/>
      <c r="BZ164" s="1770"/>
      <c r="CA164" s="1770"/>
      <c r="CB164" s="1770"/>
      <c r="CC164" s="1770"/>
      <c r="CD164" s="1770"/>
      <c r="CE164" s="1770"/>
      <c r="CF164" s="1770"/>
      <c r="CG164" s="1770"/>
      <c r="CH164" s="1770"/>
      <c r="CI164" s="1772"/>
      <c r="CJ164" s="1770"/>
      <c r="CK164" s="1770"/>
      <c r="CL164" s="1770"/>
      <c r="CM164" s="1770"/>
      <c r="CN164" s="1770"/>
      <c r="CO164" s="1770"/>
      <c r="CP164" s="1770"/>
      <c r="CQ164" s="1770"/>
      <c r="CR164" s="1770"/>
      <c r="CS164" s="1770"/>
      <c r="CT164" s="1769"/>
      <c r="CU164" s="1770"/>
      <c r="CV164" s="1770"/>
      <c r="CW164" s="1770"/>
      <c r="CX164" s="1770"/>
      <c r="CY164" s="1770"/>
      <c r="CZ164" s="1770"/>
      <c r="DA164" s="1770"/>
      <c r="DB164" s="1769"/>
      <c r="DC164" s="1770"/>
      <c r="DD164" s="1770"/>
      <c r="DE164" s="1770"/>
      <c r="DF164" s="1770"/>
      <c r="DG164" s="1770"/>
      <c r="DH164" s="1770"/>
      <c r="DI164" s="1770"/>
      <c r="DJ164" s="1770"/>
      <c r="DK164" s="1769"/>
      <c r="DL164" s="1769"/>
      <c r="DM164" s="1770"/>
      <c r="DN164" s="1770"/>
      <c r="DO164" s="1770"/>
      <c r="DP164" s="1770"/>
      <c r="DQ164" s="1770"/>
      <c r="DR164" s="1770"/>
      <c r="DS164" s="1770"/>
      <c r="DT164" s="1770"/>
      <c r="DU164" s="1770"/>
      <c r="DV164" s="1770"/>
      <c r="DW164" s="1770"/>
      <c r="DX164" s="1770"/>
      <c r="DY164" s="1770"/>
      <c r="DZ164" s="1770"/>
      <c r="EA164" s="1770"/>
      <c r="EB164" s="1770"/>
      <c r="EC164" s="1770"/>
      <c r="ED164" s="1770"/>
      <c r="EE164" s="1770"/>
      <c r="EF164" s="1770"/>
      <c r="EG164" s="1770"/>
      <c r="EH164" s="1770"/>
      <c r="EI164" s="1770"/>
      <c r="EJ164" s="1770"/>
      <c r="EK164" s="1770"/>
      <c r="EL164" s="1770"/>
      <c r="EM164" s="1770"/>
      <c r="EN164" s="1770"/>
      <c r="EO164" s="1770"/>
      <c r="EP164" s="1770"/>
      <c r="EQ164" s="1770"/>
      <c r="ER164" s="1770"/>
      <c r="ES164" s="1770"/>
      <c r="ET164" s="1770"/>
      <c r="EU164" s="1773">
        <v>1127.8599999999999</v>
      </c>
      <c r="EV164" s="1770"/>
      <c r="EW164" s="1770"/>
      <c r="EX164" s="1770"/>
      <c r="EY164" s="1770"/>
      <c r="EZ164" s="1770"/>
      <c r="FA164" s="1770"/>
      <c r="FB164" s="1770"/>
      <c r="FC164" s="1770"/>
      <c r="FD164" s="1770"/>
      <c r="FE164" s="1770"/>
      <c r="FF164" s="1770"/>
      <c r="FG164" s="1770"/>
      <c r="FH164" s="1770"/>
      <c r="FI164" s="1770"/>
      <c r="FJ164" s="1770"/>
      <c r="FK164" s="1770"/>
      <c r="FL164" s="1770"/>
      <c r="FM164" s="1770"/>
      <c r="FN164" s="1770"/>
      <c r="FO164" s="1770"/>
      <c r="FP164" s="1770"/>
      <c r="FQ164" s="1770"/>
      <c r="FR164" s="1770"/>
      <c r="FS164" s="1770"/>
      <c r="FT164" s="1770"/>
      <c r="FU164" s="1770"/>
      <c r="FV164" s="1770"/>
      <c r="FW164" s="1770"/>
      <c r="FX164" s="1770"/>
      <c r="FY164" s="1770"/>
      <c r="FZ164" s="1770"/>
      <c r="GA164" s="1770"/>
      <c r="GB164" s="1770"/>
      <c r="GC164" s="1769"/>
      <c r="GD164" s="1770"/>
      <c r="GE164" s="1770"/>
      <c r="GF164" s="1770"/>
      <c r="GG164" s="1770"/>
      <c r="GH164" s="1770"/>
      <c r="GI164" s="1770"/>
      <c r="GJ164" s="1770"/>
      <c r="GK164" s="1769"/>
      <c r="GL164" s="1770"/>
      <c r="GM164" s="1770"/>
      <c r="GN164" s="1770"/>
      <c r="GO164" s="1770"/>
      <c r="GP164" s="1770"/>
      <c r="GQ164" s="1770"/>
      <c r="GR164" s="1770"/>
      <c r="GS164" s="1770"/>
      <c r="GT164" s="1770"/>
      <c r="GU164" s="1770"/>
      <c r="GV164" s="1770"/>
      <c r="GW164" s="1770"/>
      <c r="GX164" s="1770"/>
      <c r="GY164" s="1770"/>
      <c r="GZ164" s="1770"/>
      <c r="HA164" s="1770"/>
      <c r="HB164" s="1770"/>
      <c r="HC164" s="1769"/>
      <c r="HD164" s="1770"/>
      <c r="HE164" s="1770"/>
      <c r="HF164" s="1770"/>
      <c r="HG164" s="1770"/>
      <c r="HH164" s="1770"/>
      <c r="HI164" s="1770"/>
      <c r="HJ164" s="1770"/>
      <c r="HK164" s="1770"/>
      <c r="HL164" s="1770"/>
      <c r="HM164" s="1770"/>
      <c r="HN164" s="1770"/>
      <c r="HO164" s="1770"/>
      <c r="HP164" s="1770"/>
      <c r="HQ164" s="1770"/>
      <c r="HR164" s="1770"/>
      <c r="HS164" s="1770"/>
      <c r="HT164" s="1770"/>
      <c r="HU164" s="1770"/>
      <c r="HV164" s="1770"/>
      <c r="HW164" s="1770"/>
      <c r="HX164" s="1770"/>
      <c r="HY164" s="1770"/>
      <c r="HZ164" s="1770"/>
      <c r="IA164" s="1770"/>
      <c r="IB164" s="1770"/>
      <c r="IC164" s="1770"/>
      <c r="ID164" s="1770"/>
      <c r="IE164" s="1770"/>
      <c r="IF164" s="1770"/>
      <c r="IG164" s="1770"/>
      <c r="IH164" s="1770"/>
      <c r="II164" s="1770"/>
      <c r="IJ164" s="1770"/>
      <c r="IK164" s="1770"/>
      <c r="IL164" s="1770"/>
      <c r="IM164" s="1770"/>
      <c r="IN164" s="1770"/>
      <c r="IO164" s="1770"/>
      <c r="IP164" s="1770"/>
      <c r="IQ164" s="1770"/>
      <c r="IR164" s="1770"/>
      <c r="IS164" s="1770"/>
      <c r="IT164" s="1770"/>
      <c r="IU164" s="1770"/>
      <c r="IV164" s="1770"/>
      <c r="IW164" s="1770"/>
      <c r="IX164" s="1770"/>
      <c r="IY164" s="1770"/>
      <c r="IZ164" s="1770"/>
      <c r="JA164" s="1770"/>
      <c r="JB164" s="1770"/>
      <c r="JC164" s="1770"/>
      <c r="JD164" s="1770"/>
      <c r="JE164" s="1770"/>
      <c r="JF164" s="1770"/>
      <c r="JG164" s="1770"/>
      <c r="JH164" s="1770"/>
      <c r="JI164" s="1770"/>
      <c r="JJ164" s="1770"/>
      <c r="JK164" s="1770"/>
      <c r="JL164" s="1770"/>
      <c r="JM164" s="1770"/>
      <c r="JN164" s="1770"/>
      <c r="JO164" s="1770"/>
      <c r="JP164" s="1770"/>
      <c r="JQ164" s="1771"/>
      <c r="JR164" s="593"/>
      <c r="JS164" s="315"/>
    </row>
    <row r="165" spans="1:280" x14ac:dyDescent="0.25">
      <c r="A165" s="1367">
        <v>19</v>
      </c>
      <c r="B165" s="1768" t="str">
        <f t="shared" si="14"/>
        <v/>
      </c>
      <c r="C165" s="1688" t="s">
        <v>4584</v>
      </c>
      <c r="D165" s="1360" t="s">
        <v>4585</v>
      </c>
      <c r="E165" s="1769"/>
      <c r="F165" s="1769"/>
      <c r="G165" s="1769"/>
      <c r="H165" s="1769"/>
      <c r="I165" s="1769"/>
      <c r="J165" s="1770"/>
      <c r="K165" s="1769"/>
      <c r="L165" s="1770"/>
      <c r="M165" s="1769"/>
      <c r="N165" s="1769"/>
      <c r="O165" s="1769"/>
      <c r="P165" s="1770"/>
      <c r="Q165" s="1770"/>
      <c r="R165" s="1769"/>
      <c r="S165" s="1770"/>
      <c r="T165" s="1770"/>
      <c r="U165" s="1769"/>
      <c r="V165" s="1769"/>
      <c r="W165" s="1770"/>
      <c r="X165" s="1770"/>
      <c r="Y165" s="1770"/>
      <c r="Z165" s="1770"/>
      <c r="AA165" s="1769"/>
      <c r="AB165" s="1770"/>
      <c r="AC165" s="1770"/>
      <c r="AD165" s="1770"/>
      <c r="AE165" s="1770"/>
      <c r="AF165" s="1770"/>
      <c r="AG165" s="1770"/>
      <c r="AH165" s="1770"/>
      <c r="AI165" s="1770"/>
      <c r="AJ165" s="1770"/>
      <c r="AK165" s="1770"/>
      <c r="AL165" s="1770"/>
      <c r="AM165" s="1770"/>
      <c r="AN165" s="1770"/>
      <c r="AO165" s="1770"/>
      <c r="AP165" s="1770"/>
      <c r="AQ165" s="1770"/>
      <c r="AR165" s="1770"/>
      <c r="AS165" s="1770"/>
      <c r="AT165" s="1770"/>
      <c r="AU165" s="1770"/>
      <c r="AV165" s="1770"/>
      <c r="AW165" s="1770"/>
      <c r="AX165" s="1770"/>
      <c r="AY165" s="1770"/>
      <c r="AZ165" s="1770"/>
      <c r="BA165" s="1769"/>
      <c r="BB165" s="1770"/>
      <c r="BC165" s="1770"/>
      <c r="BD165" s="1770"/>
      <c r="BE165" s="1770"/>
      <c r="BF165" s="1770"/>
      <c r="BG165" s="1770"/>
      <c r="BH165" s="1770"/>
      <c r="BI165" s="1770"/>
      <c r="BJ165" s="1770"/>
      <c r="BK165" s="1770"/>
      <c r="BL165" s="1770"/>
      <c r="BM165" s="1770"/>
      <c r="BN165" s="1770"/>
      <c r="BO165" s="1770"/>
      <c r="BP165" s="1770"/>
      <c r="BQ165" s="1770"/>
      <c r="BR165" s="1770"/>
      <c r="BS165" s="1770"/>
      <c r="BT165" s="1770"/>
      <c r="BU165" s="1770"/>
      <c r="BV165" s="1770"/>
      <c r="BW165" s="1770"/>
      <c r="BX165" s="1770"/>
      <c r="BY165" s="1770"/>
      <c r="BZ165" s="1770"/>
      <c r="CA165" s="1770"/>
      <c r="CB165" s="1770"/>
      <c r="CC165" s="1770"/>
      <c r="CD165" s="1770"/>
      <c r="CE165" s="1770"/>
      <c r="CF165" s="1770"/>
      <c r="CG165" s="1770"/>
      <c r="CH165" s="1770"/>
      <c r="CI165" s="1769"/>
      <c r="CJ165" s="1770"/>
      <c r="CK165" s="1770"/>
      <c r="CL165" s="1770"/>
      <c r="CM165" s="1770"/>
      <c r="CN165" s="1770"/>
      <c r="CO165" s="1770"/>
      <c r="CP165" s="1770"/>
      <c r="CQ165" s="1770"/>
      <c r="CR165" s="1770"/>
      <c r="CS165" s="1770"/>
      <c r="CT165" s="1769"/>
      <c r="CU165" s="1770"/>
      <c r="CV165" s="1770"/>
      <c r="CW165" s="1770"/>
      <c r="CX165" s="1770"/>
      <c r="CY165" s="1770"/>
      <c r="CZ165" s="1770"/>
      <c r="DA165" s="1770"/>
      <c r="DB165" s="1769"/>
      <c r="DC165" s="1770"/>
      <c r="DD165" s="1770"/>
      <c r="DE165" s="1770"/>
      <c r="DF165" s="1770"/>
      <c r="DG165" s="1770"/>
      <c r="DH165" s="1770"/>
      <c r="DI165" s="1770"/>
      <c r="DJ165" s="1770"/>
      <c r="DK165" s="1769"/>
      <c r="DL165" s="1769"/>
      <c r="DM165" s="1770"/>
      <c r="DN165" s="1770"/>
      <c r="DO165" s="1770"/>
      <c r="DP165" s="1770"/>
      <c r="DQ165" s="1770"/>
      <c r="DR165" s="1770"/>
      <c r="DS165" s="1770"/>
      <c r="DT165" s="1770"/>
      <c r="DU165" s="1770"/>
      <c r="DV165" s="1770"/>
      <c r="DW165" s="1770"/>
      <c r="DX165" s="1770"/>
      <c r="DY165" s="1770"/>
      <c r="DZ165" s="1770"/>
      <c r="EA165" s="1770"/>
      <c r="EB165" s="1770"/>
      <c r="EC165" s="1770"/>
      <c r="ED165" s="1770"/>
      <c r="EE165" s="1770"/>
      <c r="EF165" s="1770"/>
      <c r="EG165" s="1770"/>
      <c r="EH165" s="1770"/>
      <c r="EI165" s="1770"/>
      <c r="EJ165" s="1770"/>
      <c r="EK165" s="1770"/>
      <c r="EL165" s="1770"/>
      <c r="EM165" s="1770"/>
      <c r="EN165" s="1770"/>
      <c r="EO165" s="1770"/>
      <c r="EP165" s="1770"/>
      <c r="EQ165" s="1770"/>
      <c r="ER165" s="1770"/>
      <c r="ES165" s="1770"/>
      <c r="ET165" s="1770"/>
      <c r="EU165" s="1770"/>
      <c r="EV165" s="1770"/>
      <c r="EW165" s="1770"/>
      <c r="EX165" s="1770"/>
      <c r="EY165" s="1770"/>
      <c r="EZ165" s="1770"/>
      <c r="FA165" s="1770"/>
      <c r="FB165" s="1770"/>
      <c r="FC165" s="1770"/>
      <c r="FD165" s="1770"/>
      <c r="FE165" s="1770"/>
      <c r="FF165" s="1770"/>
      <c r="FG165" s="1770"/>
      <c r="FH165" s="1770"/>
      <c r="FI165" s="1770"/>
      <c r="FJ165" s="1770"/>
      <c r="FK165" s="1770"/>
      <c r="FL165" s="1770"/>
      <c r="FM165" s="1770"/>
      <c r="FN165" s="1770"/>
      <c r="FO165" s="1770"/>
      <c r="FP165" s="1770"/>
      <c r="FQ165" s="1770"/>
      <c r="FR165" s="1770"/>
      <c r="FS165" s="1770"/>
      <c r="FT165" s="1770"/>
      <c r="FU165" s="1770"/>
      <c r="FV165" s="1770"/>
      <c r="FW165" s="1770"/>
      <c r="FX165" s="1770"/>
      <c r="FY165" s="1770"/>
      <c r="FZ165" s="1770"/>
      <c r="GA165" s="1770"/>
      <c r="GB165" s="1770"/>
      <c r="GC165" s="1769"/>
      <c r="GD165" s="1770"/>
      <c r="GE165" s="1770"/>
      <c r="GF165" s="1770"/>
      <c r="GG165" s="1770"/>
      <c r="GH165" s="1770"/>
      <c r="GI165" s="1770"/>
      <c r="GJ165" s="1770"/>
      <c r="GK165" s="1769"/>
      <c r="GL165" s="1770"/>
      <c r="GM165" s="1770"/>
      <c r="GN165" s="1770"/>
      <c r="GO165" s="1770"/>
      <c r="GP165" s="1770"/>
      <c r="GQ165" s="1770"/>
      <c r="GR165" s="1770"/>
      <c r="GS165" s="1770"/>
      <c r="GT165" s="1770"/>
      <c r="GU165" s="1770"/>
      <c r="GV165" s="1770"/>
      <c r="GW165" s="1770"/>
      <c r="GX165" s="1770"/>
      <c r="GY165" s="1770"/>
      <c r="GZ165" s="1770"/>
      <c r="HA165" s="1770"/>
      <c r="HB165" s="1770"/>
      <c r="HC165" s="1769"/>
      <c r="HD165" s="1770"/>
      <c r="HE165" s="1770"/>
      <c r="HF165" s="1770"/>
      <c r="HG165" s="1770"/>
      <c r="HH165" s="1770"/>
      <c r="HI165" s="1770"/>
      <c r="HJ165" s="1770"/>
      <c r="HK165" s="1770"/>
      <c r="HL165" s="1770"/>
      <c r="HM165" s="1770"/>
      <c r="HN165" s="1770"/>
      <c r="HO165" s="1770"/>
      <c r="HP165" s="1770"/>
      <c r="HQ165" s="1770"/>
      <c r="HR165" s="1770"/>
      <c r="HS165" s="1770"/>
      <c r="HT165" s="1770"/>
      <c r="HU165" s="1770"/>
      <c r="HV165" s="1770"/>
      <c r="HW165" s="1770"/>
      <c r="HX165" s="1770"/>
      <c r="HY165" s="1770"/>
      <c r="HZ165" s="1770"/>
      <c r="IA165" s="1770"/>
      <c r="IB165" s="1770"/>
      <c r="IC165" s="1770"/>
      <c r="ID165" s="1770"/>
      <c r="IE165" s="1770"/>
      <c r="IF165" s="1770"/>
      <c r="IG165" s="1770"/>
      <c r="IH165" s="1770"/>
      <c r="II165" s="1770"/>
      <c r="IJ165" s="1770"/>
      <c r="IK165" s="1770"/>
      <c r="IL165" s="1770"/>
      <c r="IM165" s="1770"/>
      <c r="IN165" s="1770"/>
      <c r="IO165" s="1770"/>
      <c r="IP165" s="1770"/>
      <c r="IQ165" s="1770"/>
      <c r="IR165" s="1770"/>
      <c r="IS165" s="1770"/>
      <c r="IT165" s="1770"/>
      <c r="IU165" s="1770"/>
      <c r="IV165" s="1770"/>
      <c r="IW165" s="1770"/>
      <c r="IX165" s="1770"/>
      <c r="IY165" s="1770"/>
      <c r="IZ165" s="1770"/>
      <c r="JA165" s="1770"/>
      <c r="JB165" s="1770"/>
      <c r="JC165" s="1770"/>
      <c r="JD165" s="1770"/>
      <c r="JE165" s="1770"/>
      <c r="JF165" s="1770"/>
      <c r="JG165" s="1770"/>
      <c r="JH165" s="1770"/>
      <c r="JI165" s="1770"/>
      <c r="JJ165" s="1770"/>
      <c r="JK165" s="1770"/>
      <c r="JL165" s="1770"/>
      <c r="JM165" s="1770"/>
      <c r="JN165" s="1770"/>
      <c r="JO165" s="1770"/>
      <c r="JP165" s="1770"/>
      <c r="JQ165" s="1771"/>
      <c r="JS165" s="315"/>
    </row>
    <row r="166" spans="1:280" ht="12" thickBot="1" x14ac:dyDescent="0.3">
      <c r="A166" s="1367">
        <v>20</v>
      </c>
      <c r="B166" s="1482"/>
      <c r="C166" s="2535" t="s">
        <v>4586</v>
      </c>
      <c r="D166" s="698" t="s">
        <v>1482</v>
      </c>
      <c r="E166" s="748"/>
      <c r="F166" s="748"/>
      <c r="G166" s="748"/>
      <c r="H166" s="748"/>
      <c r="I166" s="748"/>
      <c r="J166" s="749"/>
      <c r="K166" s="748"/>
      <c r="L166" s="749"/>
      <c r="M166" s="748"/>
      <c r="N166" s="748"/>
      <c r="O166" s="748"/>
      <c r="P166" s="749"/>
      <c r="Q166" s="749"/>
      <c r="R166" s="748"/>
      <c r="S166" s="749"/>
      <c r="T166" s="749"/>
      <c r="U166" s="748"/>
      <c r="V166" s="748"/>
      <c r="W166" s="749"/>
      <c r="X166" s="749"/>
      <c r="Y166" s="749"/>
      <c r="Z166" s="749"/>
      <c r="AA166" s="748"/>
      <c r="AB166" s="749"/>
      <c r="AC166" s="749"/>
      <c r="AD166" s="749"/>
      <c r="AE166" s="749"/>
      <c r="AF166" s="749"/>
      <c r="AG166" s="749"/>
      <c r="AH166" s="749"/>
      <c r="AI166" s="749"/>
      <c r="AJ166" s="749"/>
      <c r="AK166" s="749"/>
      <c r="AL166" s="749"/>
      <c r="AM166" s="749"/>
      <c r="AN166" s="749"/>
      <c r="AO166" s="749"/>
      <c r="AP166" s="749"/>
      <c r="AQ166" s="749"/>
      <c r="AR166" s="749"/>
      <c r="AS166" s="749"/>
      <c r="AT166" s="749"/>
      <c r="AU166" s="749"/>
      <c r="AV166" s="749"/>
      <c r="AW166" s="749"/>
      <c r="AX166" s="749"/>
      <c r="AY166" s="749"/>
      <c r="AZ166" s="749"/>
      <c r="BA166" s="748"/>
      <c r="BB166" s="749"/>
      <c r="BC166" s="749"/>
      <c r="BD166" s="749"/>
      <c r="BE166" s="749"/>
      <c r="BF166" s="749"/>
      <c r="BG166" s="749"/>
      <c r="BH166" s="749"/>
      <c r="BI166" s="749"/>
      <c r="BJ166" s="749"/>
      <c r="BK166" s="749"/>
      <c r="BL166" s="749"/>
      <c r="BM166" s="749"/>
      <c r="BN166" s="749"/>
      <c r="BO166" s="749"/>
      <c r="BP166" s="749"/>
      <c r="BQ166" s="749"/>
      <c r="BR166" s="749"/>
      <c r="BS166" s="749"/>
      <c r="BT166" s="749"/>
      <c r="BU166" s="749"/>
      <c r="BV166" s="749"/>
      <c r="BW166" s="749"/>
      <c r="BX166" s="749"/>
      <c r="BY166" s="749"/>
      <c r="BZ166" s="749"/>
      <c r="CA166" s="749"/>
      <c r="CB166" s="749"/>
      <c r="CC166" s="749"/>
      <c r="CD166" s="749"/>
      <c r="CE166" s="749"/>
      <c r="CF166" s="749"/>
      <c r="CG166" s="749"/>
      <c r="CH166" s="749"/>
      <c r="CI166" s="748"/>
      <c r="CJ166" s="749"/>
      <c r="CK166" s="749"/>
      <c r="CL166" s="749"/>
      <c r="CM166" s="749"/>
      <c r="CN166" s="749"/>
      <c r="CO166" s="749"/>
      <c r="CP166" s="749"/>
      <c r="CQ166" s="749"/>
      <c r="CR166" s="749"/>
      <c r="CS166" s="749"/>
      <c r="CT166" s="748"/>
      <c r="CU166" s="749"/>
      <c r="CV166" s="749"/>
      <c r="CW166" s="749"/>
      <c r="CX166" s="749"/>
      <c r="CY166" s="749"/>
      <c r="CZ166" s="749"/>
      <c r="DA166" s="749"/>
      <c r="DB166" s="748"/>
      <c r="DC166" s="749"/>
      <c r="DD166" s="749"/>
      <c r="DE166" s="749"/>
      <c r="DF166" s="749"/>
      <c r="DG166" s="749"/>
      <c r="DH166" s="749"/>
      <c r="DI166" s="749"/>
      <c r="DJ166" s="749"/>
      <c r="DK166" s="748"/>
      <c r="DL166" s="748"/>
      <c r="DM166" s="749"/>
      <c r="DN166" s="749"/>
      <c r="DO166" s="749"/>
      <c r="DP166" s="749"/>
      <c r="DQ166" s="749"/>
      <c r="DR166" s="749"/>
      <c r="DS166" s="749"/>
      <c r="DT166" s="749"/>
      <c r="DU166" s="749"/>
      <c r="DV166" s="749"/>
      <c r="DW166" s="749"/>
      <c r="DX166" s="749"/>
      <c r="DY166" s="749"/>
      <c r="DZ166" s="749"/>
      <c r="EA166" s="749"/>
      <c r="EB166" s="749"/>
      <c r="EC166" s="749"/>
      <c r="ED166" s="749"/>
      <c r="EE166" s="749"/>
      <c r="EF166" s="749"/>
      <c r="EG166" s="749"/>
      <c r="EH166" s="749"/>
      <c r="EI166" s="749"/>
      <c r="EJ166" s="749"/>
      <c r="EK166" s="749"/>
      <c r="EL166" s="749"/>
      <c r="EM166" s="749"/>
      <c r="EN166" s="749"/>
      <c r="EO166" s="749"/>
      <c r="EP166" s="749"/>
      <c r="EQ166" s="749"/>
      <c r="ER166" s="749"/>
      <c r="ES166" s="749"/>
      <c r="ET166" s="749"/>
      <c r="EU166" s="749"/>
      <c r="EV166" s="749"/>
      <c r="EW166" s="749"/>
      <c r="EX166" s="749"/>
      <c r="EY166" s="749"/>
      <c r="EZ166" s="749"/>
      <c r="FA166" s="749"/>
      <c r="FB166" s="749"/>
      <c r="FC166" s="749"/>
      <c r="FD166" s="749"/>
      <c r="FE166" s="749"/>
      <c r="FF166" s="749"/>
      <c r="FG166" s="749"/>
      <c r="FH166" s="749"/>
      <c r="FI166" s="749"/>
      <c r="FJ166" s="749"/>
      <c r="FK166" s="749"/>
      <c r="FL166" s="749"/>
      <c r="FM166" s="749"/>
      <c r="FN166" s="749"/>
      <c r="FO166" s="749"/>
      <c r="FP166" s="749"/>
      <c r="FQ166" s="749"/>
      <c r="FR166" s="749"/>
      <c r="FS166" s="749"/>
      <c r="FT166" s="749"/>
      <c r="FU166" s="749"/>
      <c r="FV166" s="749"/>
      <c r="FW166" s="749"/>
      <c r="FX166" s="749"/>
      <c r="FY166" s="749"/>
      <c r="FZ166" s="749"/>
      <c r="GA166" s="749"/>
      <c r="GB166" s="749"/>
      <c r="GC166" s="748"/>
      <c r="GD166" s="749"/>
      <c r="GE166" s="749"/>
      <c r="GF166" s="749"/>
      <c r="GG166" s="749"/>
      <c r="GH166" s="749"/>
      <c r="GI166" s="749"/>
      <c r="GJ166" s="749"/>
      <c r="GK166" s="748"/>
      <c r="GL166" s="749"/>
      <c r="GM166" s="749"/>
      <c r="GN166" s="749"/>
      <c r="GO166" s="749"/>
      <c r="GP166" s="749"/>
      <c r="GQ166" s="749"/>
      <c r="GR166" s="749"/>
      <c r="GS166" s="749"/>
      <c r="GT166" s="749"/>
      <c r="GU166" s="749"/>
      <c r="GV166" s="749"/>
      <c r="GW166" s="749"/>
      <c r="GX166" s="749"/>
      <c r="GY166" s="749"/>
      <c r="GZ166" s="749"/>
      <c r="HA166" s="749"/>
      <c r="HB166" s="749"/>
      <c r="HC166" s="748"/>
      <c r="HD166" s="749"/>
      <c r="HE166" s="749"/>
      <c r="HF166" s="749"/>
      <c r="HG166" s="749"/>
      <c r="HH166" s="749"/>
      <c r="HI166" s="749"/>
      <c r="HJ166" s="749"/>
      <c r="HK166" s="749"/>
      <c r="HL166" s="749"/>
      <c r="HM166" s="749"/>
      <c r="HN166" s="749"/>
      <c r="HO166" s="749"/>
      <c r="HP166" s="749"/>
      <c r="HQ166" s="749"/>
      <c r="HR166" s="749"/>
      <c r="HS166" s="749"/>
      <c r="HT166" s="749"/>
      <c r="HU166" s="749"/>
      <c r="HV166" s="749"/>
      <c r="HW166" s="749"/>
      <c r="HX166" s="749"/>
      <c r="HY166" s="749"/>
      <c r="HZ166" s="749"/>
      <c r="IA166" s="749"/>
      <c r="IB166" s="749"/>
      <c r="IC166" s="749"/>
      <c r="ID166" s="749"/>
      <c r="IE166" s="749"/>
      <c r="IF166" s="749"/>
      <c r="IG166" s="749"/>
      <c r="IH166" s="749"/>
      <c r="II166" s="749"/>
      <c r="IJ166" s="749"/>
      <c r="IK166" s="749"/>
      <c r="IL166" s="749"/>
      <c r="IM166" s="749"/>
      <c r="IN166" s="749"/>
      <c r="IO166" s="749"/>
      <c r="IP166" s="749"/>
      <c r="IQ166" s="749"/>
      <c r="IR166" s="749"/>
      <c r="IS166" s="749"/>
      <c r="IT166" s="749"/>
      <c r="IU166" s="749"/>
      <c r="IV166" s="749"/>
      <c r="IW166" s="749"/>
      <c r="IX166" s="749"/>
      <c r="IY166" s="749"/>
      <c r="IZ166" s="749"/>
      <c r="JA166" s="749"/>
      <c r="JB166" s="749"/>
      <c r="JC166" s="749"/>
      <c r="JD166" s="749"/>
      <c r="JE166" s="749"/>
      <c r="JF166" s="749"/>
      <c r="JG166" s="749"/>
      <c r="JH166" s="749"/>
      <c r="JI166" s="749"/>
      <c r="JJ166" s="749"/>
      <c r="JK166" s="749"/>
      <c r="JL166" s="749"/>
      <c r="JM166" s="749"/>
      <c r="JN166" s="749"/>
      <c r="JO166" s="749"/>
      <c r="JP166" s="749"/>
      <c r="JQ166" s="750"/>
      <c r="JR166" s="593"/>
      <c r="JS166" s="315"/>
    </row>
    <row r="167" spans="1:280" ht="12" thickBot="1" x14ac:dyDescent="0.3"/>
    <row r="168" spans="1:280" x14ac:dyDescent="0.25">
      <c r="A168" s="1367" t="s">
        <v>2201</v>
      </c>
      <c r="B168" s="1427" t="str">
        <f>"selected "&amp;NI2_IND-1</f>
        <v>selected 0</v>
      </c>
      <c r="C168" s="2582" t="s">
        <v>29</v>
      </c>
      <c r="D168" s="1774"/>
      <c r="E168" s="1355">
        <v>1</v>
      </c>
      <c r="F168" s="1355">
        <v>2</v>
      </c>
      <c r="G168" s="1355">
        <v>3</v>
      </c>
      <c r="H168" s="1355">
        <v>4</v>
      </c>
      <c r="I168" s="1355">
        <v>5</v>
      </c>
      <c r="J168" s="1355">
        <v>6</v>
      </c>
      <c r="K168" s="1355">
        <v>7</v>
      </c>
      <c r="L168" s="1355">
        <v>8</v>
      </c>
      <c r="M168" s="1355">
        <v>9</v>
      </c>
      <c r="N168" s="1355">
        <v>10</v>
      </c>
      <c r="O168" s="1355">
        <v>11</v>
      </c>
      <c r="P168" s="1355">
        <v>12</v>
      </c>
      <c r="Q168" s="1355">
        <v>13</v>
      </c>
      <c r="R168" s="1355">
        <v>14</v>
      </c>
      <c r="S168" s="1355">
        <v>15</v>
      </c>
      <c r="T168" s="1355">
        <v>16</v>
      </c>
      <c r="U168" s="1355">
        <v>17</v>
      </c>
      <c r="V168" s="1355">
        <v>18</v>
      </c>
      <c r="W168" s="1355">
        <v>19</v>
      </c>
      <c r="X168" s="1355">
        <v>20</v>
      </c>
      <c r="Y168" s="1355">
        <v>21</v>
      </c>
      <c r="Z168" s="1355">
        <v>22</v>
      </c>
      <c r="AA168" s="1355">
        <v>23</v>
      </c>
      <c r="AB168" s="1355">
        <v>24</v>
      </c>
      <c r="AC168" s="1355">
        <v>25</v>
      </c>
      <c r="AD168" s="1355">
        <v>26</v>
      </c>
      <c r="AE168" s="1355">
        <v>27</v>
      </c>
      <c r="AF168" s="1355">
        <v>28</v>
      </c>
      <c r="AG168" s="1355">
        <v>29</v>
      </c>
      <c r="AH168" s="1355">
        <v>30</v>
      </c>
      <c r="AI168" s="1355">
        <v>31</v>
      </c>
      <c r="AJ168" s="1355">
        <v>32</v>
      </c>
      <c r="AK168" s="1355">
        <v>33</v>
      </c>
      <c r="AL168" s="1355">
        <v>34</v>
      </c>
      <c r="AM168" s="1355">
        <v>35</v>
      </c>
      <c r="AN168" s="1355">
        <v>36</v>
      </c>
      <c r="AO168" s="1355">
        <v>37</v>
      </c>
      <c r="AP168" s="1355">
        <v>38</v>
      </c>
      <c r="AQ168" s="1355">
        <v>39</v>
      </c>
      <c r="AR168" s="1355">
        <v>40</v>
      </c>
      <c r="AS168" s="1355">
        <v>41</v>
      </c>
      <c r="AT168" s="1355">
        <v>42</v>
      </c>
      <c r="AU168" s="1355">
        <v>43</v>
      </c>
      <c r="AV168" s="1355">
        <v>44</v>
      </c>
      <c r="AW168" s="1355">
        <v>45</v>
      </c>
      <c r="AX168" s="1355">
        <v>46</v>
      </c>
      <c r="AY168" s="1355">
        <v>47</v>
      </c>
      <c r="AZ168" s="1355">
        <v>48</v>
      </c>
      <c r="BA168" s="1355">
        <v>49</v>
      </c>
      <c r="BB168" s="1355">
        <v>50</v>
      </c>
      <c r="BC168" s="1355">
        <v>51</v>
      </c>
      <c r="BD168" s="1355">
        <v>52</v>
      </c>
      <c r="BE168" s="1355">
        <v>53</v>
      </c>
      <c r="BF168" s="1355">
        <v>54</v>
      </c>
      <c r="BG168" s="1355">
        <v>55</v>
      </c>
      <c r="BH168" s="1355">
        <v>56</v>
      </c>
      <c r="BI168" s="1355">
        <v>57</v>
      </c>
      <c r="BJ168" s="1355">
        <v>58</v>
      </c>
      <c r="BK168" s="1355">
        <v>59</v>
      </c>
      <c r="BL168" s="1355">
        <v>60</v>
      </c>
      <c r="BM168" s="1355">
        <v>61</v>
      </c>
      <c r="BN168" s="1355">
        <v>62</v>
      </c>
      <c r="BO168" s="1355">
        <v>63</v>
      </c>
      <c r="BP168" s="1355">
        <v>64</v>
      </c>
      <c r="BQ168" s="1355">
        <v>65</v>
      </c>
      <c r="BR168" s="1355">
        <v>66</v>
      </c>
      <c r="BS168" s="1355">
        <v>67</v>
      </c>
      <c r="BT168" s="1355">
        <v>68</v>
      </c>
      <c r="BU168" s="1355">
        <v>69</v>
      </c>
      <c r="BV168" s="1355">
        <v>70</v>
      </c>
      <c r="BW168" s="1355">
        <v>71</v>
      </c>
      <c r="BX168" s="1355">
        <v>72</v>
      </c>
      <c r="BY168" s="1355">
        <v>73</v>
      </c>
      <c r="BZ168" s="1355">
        <v>74</v>
      </c>
      <c r="CA168" s="1355">
        <v>75</v>
      </c>
      <c r="CB168" s="1355">
        <v>76</v>
      </c>
      <c r="CC168" s="1355">
        <v>77</v>
      </c>
      <c r="CD168" s="1355">
        <v>78</v>
      </c>
      <c r="CE168" s="1355">
        <v>79</v>
      </c>
      <c r="CF168" s="1355">
        <v>80</v>
      </c>
      <c r="CG168" s="1355">
        <v>81</v>
      </c>
      <c r="CH168" s="1355">
        <v>82</v>
      </c>
      <c r="CI168" s="1355">
        <v>83</v>
      </c>
      <c r="CJ168" s="1355">
        <v>84</v>
      </c>
      <c r="CK168" s="1355">
        <v>85</v>
      </c>
      <c r="CL168" s="1355">
        <v>86</v>
      </c>
      <c r="CM168" s="1355">
        <v>87</v>
      </c>
      <c r="CN168" s="1355">
        <v>88</v>
      </c>
      <c r="CO168" s="1355">
        <v>89</v>
      </c>
      <c r="CP168" s="1355">
        <v>90</v>
      </c>
      <c r="CQ168" s="1355">
        <v>91</v>
      </c>
      <c r="CR168" s="1355">
        <v>92</v>
      </c>
      <c r="CS168" s="1355">
        <v>93</v>
      </c>
      <c r="CT168" s="1355">
        <v>94</v>
      </c>
      <c r="CU168" s="1355">
        <v>95</v>
      </c>
      <c r="CV168" s="1355">
        <v>96</v>
      </c>
      <c r="CW168" s="1355">
        <v>97</v>
      </c>
      <c r="CX168" s="1355">
        <v>98</v>
      </c>
      <c r="CY168" s="1355">
        <v>99</v>
      </c>
      <c r="CZ168" s="1355">
        <v>100</v>
      </c>
      <c r="DA168" s="1355">
        <v>101</v>
      </c>
      <c r="DB168" s="1355">
        <v>102</v>
      </c>
      <c r="DC168" s="1355">
        <v>103</v>
      </c>
      <c r="DD168" s="1355">
        <v>104</v>
      </c>
      <c r="DE168" s="1355">
        <v>105</v>
      </c>
      <c r="DF168" s="1355">
        <v>106</v>
      </c>
      <c r="DG168" s="1355">
        <v>107</v>
      </c>
      <c r="DH168" s="1355">
        <v>108</v>
      </c>
      <c r="DI168" s="1355">
        <v>109</v>
      </c>
      <c r="DJ168" s="1355">
        <v>110</v>
      </c>
      <c r="DK168" s="1355">
        <v>111</v>
      </c>
      <c r="DL168" s="1355">
        <v>112</v>
      </c>
      <c r="DM168" s="1355">
        <v>113</v>
      </c>
      <c r="DN168" s="1355">
        <v>114</v>
      </c>
      <c r="DO168" s="1355">
        <v>115</v>
      </c>
      <c r="DP168" s="1355">
        <v>116</v>
      </c>
      <c r="DQ168" s="1355">
        <v>117</v>
      </c>
      <c r="DR168" s="1355">
        <v>118</v>
      </c>
      <c r="DS168" s="1355">
        <v>119</v>
      </c>
      <c r="DT168" s="1355">
        <v>120</v>
      </c>
      <c r="DU168" s="1355">
        <v>121</v>
      </c>
      <c r="DV168" s="1355">
        <v>122</v>
      </c>
      <c r="DW168" s="1355">
        <v>123</v>
      </c>
      <c r="DX168" s="1355">
        <v>124</v>
      </c>
      <c r="DY168" s="1355">
        <v>125</v>
      </c>
      <c r="DZ168" s="1355">
        <v>126</v>
      </c>
      <c r="EA168" s="1355">
        <v>127</v>
      </c>
      <c r="EB168" s="1355">
        <v>128</v>
      </c>
      <c r="EC168" s="1355">
        <v>129</v>
      </c>
      <c r="ED168" s="1355">
        <v>130</v>
      </c>
      <c r="EE168" s="1355">
        <v>131</v>
      </c>
      <c r="EF168" s="1355">
        <v>132</v>
      </c>
      <c r="EG168" s="1355">
        <v>133</v>
      </c>
      <c r="EH168" s="1355">
        <v>134</v>
      </c>
      <c r="EI168" s="1355">
        <v>135</v>
      </c>
      <c r="EJ168" s="1355">
        <v>136</v>
      </c>
      <c r="EK168" s="1355">
        <v>137</v>
      </c>
      <c r="EL168" s="1355">
        <v>138</v>
      </c>
      <c r="EM168" s="1355">
        <v>139</v>
      </c>
      <c r="EN168" s="1355">
        <v>140</v>
      </c>
      <c r="EO168" s="1355">
        <v>141</v>
      </c>
      <c r="EP168" s="1355">
        <v>142</v>
      </c>
      <c r="EQ168" s="1355">
        <v>143</v>
      </c>
      <c r="ER168" s="1355">
        <v>144</v>
      </c>
      <c r="ES168" s="1355">
        <v>145</v>
      </c>
      <c r="ET168" s="1355">
        <v>146</v>
      </c>
      <c r="EU168" s="1355">
        <v>147</v>
      </c>
      <c r="EV168" s="1355">
        <v>148</v>
      </c>
      <c r="EW168" s="1355">
        <v>149</v>
      </c>
      <c r="EX168" s="1355">
        <v>150</v>
      </c>
      <c r="EY168" s="1355">
        <v>151</v>
      </c>
      <c r="EZ168" s="1355">
        <v>152</v>
      </c>
      <c r="FA168" s="1355">
        <v>153</v>
      </c>
      <c r="FB168" s="1355">
        <v>154</v>
      </c>
      <c r="FC168" s="1355">
        <v>155</v>
      </c>
      <c r="FD168" s="1355">
        <v>156</v>
      </c>
      <c r="FE168" s="1355">
        <v>157</v>
      </c>
      <c r="FF168" s="1355">
        <v>158</v>
      </c>
      <c r="FG168" s="1355">
        <v>159</v>
      </c>
      <c r="FH168" s="1355">
        <v>160</v>
      </c>
      <c r="FI168" s="1355">
        <v>161</v>
      </c>
      <c r="FJ168" s="1355">
        <v>162</v>
      </c>
      <c r="FK168" s="1355">
        <v>163</v>
      </c>
      <c r="FL168" s="1355">
        <v>164</v>
      </c>
      <c r="FM168" s="1355">
        <v>165</v>
      </c>
      <c r="FN168" s="1355">
        <v>166</v>
      </c>
      <c r="FO168" s="1355">
        <v>167</v>
      </c>
      <c r="FP168" s="1355">
        <v>168</v>
      </c>
      <c r="FQ168" s="1355">
        <v>169</v>
      </c>
      <c r="FR168" s="1355">
        <v>170</v>
      </c>
      <c r="FS168" s="1355">
        <v>171</v>
      </c>
      <c r="FT168" s="1355">
        <v>172</v>
      </c>
      <c r="FU168" s="1355">
        <v>173</v>
      </c>
      <c r="FV168" s="1355">
        <v>174</v>
      </c>
      <c r="FW168" s="1355">
        <v>175</v>
      </c>
      <c r="FX168" s="1355">
        <v>176</v>
      </c>
      <c r="FY168" s="1355">
        <v>177</v>
      </c>
      <c r="FZ168" s="1355">
        <v>178</v>
      </c>
      <c r="GA168" s="1355">
        <v>179</v>
      </c>
      <c r="GB168" s="1355">
        <v>180</v>
      </c>
      <c r="GC168" s="1355">
        <v>181</v>
      </c>
      <c r="GD168" s="1355">
        <v>182</v>
      </c>
      <c r="GE168" s="1355">
        <v>183</v>
      </c>
      <c r="GF168" s="1355">
        <v>184</v>
      </c>
      <c r="GG168" s="1355">
        <v>185</v>
      </c>
      <c r="GH168" s="1355">
        <v>186</v>
      </c>
      <c r="GI168" s="1355">
        <v>187</v>
      </c>
      <c r="GJ168" s="1355">
        <v>188</v>
      </c>
      <c r="GK168" s="1355">
        <v>189</v>
      </c>
      <c r="GL168" s="1355">
        <v>190</v>
      </c>
      <c r="GM168" s="1355">
        <v>191</v>
      </c>
      <c r="GN168" s="1355">
        <v>192</v>
      </c>
      <c r="GO168" s="1355">
        <v>193</v>
      </c>
      <c r="GP168" s="1355">
        <v>194</v>
      </c>
      <c r="GQ168" s="1355">
        <v>195</v>
      </c>
      <c r="GR168" s="1355">
        <v>196</v>
      </c>
      <c r="GS168" s="1355">
        <v>197</v>
      </c>
      <c r="GT168" s="1355">
        <v>198</v>
      </c>
      <c r="GU168" s="1355">
        <v>199</v>
      </c>
      <c r="GV168" s="1355">
        <v>200</v>
      </c>
      <c r="GW168" s="1355">
        <v>201</v>
      </c>
      <c r="GX168" s="1355">
        <v>202</v>
      </c>
      <c r="GY168" s="1355">
        <v>203</v>
      </c>
      <c r="GZ168" s="1355">
        <v>204</v>
      </c>
      <c r="HA168" s="1355">
        <v>205</v>
      </c>
      <c r="HB168" s="1355">
        <v>206</v>
      </c>
      <c r="HC168" s="1355">
        <v>207</v>
      </c>
      <c r="HD168" s="1355">
        <v>208</v>
      </c>
      <c r="HE168" s="1355">
        <v>209</v>
      </c>
      <c r="HF168" s="1355">
        <v>210</v>
      </c>
      <c r="HG168" s="1355">
        <v>211</v>
      </c>
      <c r="HH168" s="1355">
        <v>212</v>
      </c>
      <c r="HI168" s="1355">
        <v>213</v>
      </c>
      <c r="HJ168" s="1355">
        <v>214</v>
      </c>
      <c r="HK168" s="1355">
        <v>215</v>
      </c>
      <c r="HL168" s="1355">
        <v>216</v>
      </c>
      <c r="HM168" s="1355">
        <v>217</v>
      </c>
      <c r="HN168" s="1355">
        <v>218</v>
      </c>
      <c r="HO168" s="1355">
        <v>219</v>
      </c>
      <c r="HP168" s="1355">
        <v>220</v>
      </c>
      <c r="HQ168" s="1355">
        <v>221</v>
      </c>
      <c r="HR168" s="1355">
        <v>222</v>
      </c>
      <c r="HS168" s="1355">
        <v>223</v>
      </c>
      <c r="HT168" s="1355">
        <v>224</v>
      </c>
      <c r="HU168" s="1355">
        <v>225</v>
      </c>
      <c r="HV168" s="1355">
        <v>226</v>
      </c>
      <c r="HW168" s="1355">
        <v>227</v>
      </c>
      <c r="HX168" s="1355">
        <v>228</v>
      </c>
      <c r="HY168" s="1355">
        <v>229</v>
      </c>
      <c r="HZ168" s="1355">
        <v>230</v>
      </c>
      <c r="IA168" s="1355">
        <v>231</v>
      </c>
      <c r="IB168" s="1355">
        <v>232</v>
      </c>
      <c r="IC168" s="1355">
        <v>233</v>
      </c>
      <c r="ID168" s="1355">
        <v>234</v>
      </c>
      <c r="IE168" s="1355">
        <v>235</v>
      </c>
      <c r="IF168" s="1355">
        <v>236</v>
      </c>
      <c r="IG168" s="1355">
        <v>237</v>
      </c>
      <c r="IH168" s="1355">
        <v>238</v>
      </c>
      <c r="II168" s="1355">
        <v>239</v>
      </c>
      <c r="IJ168" s="1355">
        <v>240</v>
      </c>
      <c r="IK168" s="1355">
        <v>241</v>
      </c>
      <c r="IL168" s="1355">
        <v>242</v>
      </c>
      <c r="IM168" s="1355">
        <v>243</v>
      </c>
      <c r="IN168" s="1355">
        <v>244</v>
      </c>
      <c r="IO168" s="1355">
        <v>245</v>
      </c>
      <c r="IP168" s="418">
        <v>246</v>
      </c>
      <c r="IQ168" s="418">
        <v>247</v>
      </c>
      <c r="IR168" s="418">
        <v>248</v>
      </c>
      <c r="IS168" s="1433">
        <v>249</v>
      </c>
      <c r="IT168" s="418">
        <v>250</v>
      </c>
      <c r="IU168" s="1433">
        <v>251</v>
      </c>
      <c r="IV168" s="1433">
        <v>252</v>
      </c>
      <c r="IW168" s="418">
        <v>253</v>
      </c>
      <c r="IX168" s="1433">
        <v>254</v>
      </c>
      <c r="IY168" s="418">
        <v>255</v>
      </c>
      <c r="IZ168" s="1433">
        <v>256</v>
      </c>
      <c r="JA168" s="418">
        <v>257</v>
      </c>
      <c r="JB168" s="1433">
        <v>258</v>
      </c>
      <c r="JC168" s="418">
        <v>259</v>
      </c>
      <c r="JD168" s="1433">
        <v>260</v>
      </c>
      <c r="JE168" s="418">
        <v>261</v>
      </c>
      <c r="JF168" s="1433">
        <v>262</v>
      </c>
      <c r="JG168" s="418">
        <v>263</v>
      </c>
      <c r="JH168" s="1433">
        <v>264</v>
      </c>
      <c r="JI168" s="418">
        <v>265</v>
      </c>
      <c r="JJ168" s="1433">
        <v>266</v>
      </c>
      <c r="JK168" s="418">
        <v>267</v>
      </c>
      <c r="JL168" s="1433">
        <v>268</v>
      </c>
      <c r="JM168" s="418">
        <v>269</v>
      </c>
      <c r="JN168" s="1433">
        <v>270</v>
      </c>
      <c r="JO168" s="418">
        <v>271</v>
      </c>
      <c r="JP168" s="1433">
        <v>272</v>
      </c>
      <c r="JQ168" s="418">
        <v>273</v>
      </c>
      <c r="JR168" s="593"/>
      <c r="JT168" s="2585" t="s">
        <v>2199</v>
      </c>
    </row>
    <row r="169" spans="1:280" s="458" customFormat="1" ht="12" thickBot="1" x14ac:dyDescent="0.3">
      <c r="A169" s="1367">
        <v>2</v>
      </c>
      <c r="B169" s="1775"/>
      <c r="C169" s="2583" t="s">
        <v>1634</v>
      </c>
      <c r="D169" s="1776" t="s">
        <v>4587</v>
      </c>
      <c r="E169" s="749"/>
      <c r="F169" s="749"/>
      <c r="G169" s="749" t="str">
        <f>IF(OR('C3'!G45="Y",'C3'!G153="Y",'C3'!G218="Y",'C4'!G24="Y",'C4'!G57="Y"),"Y","N")</f>
        <v>N</v>
      </c>
      <c r="H169" s="749"/>
      <c r="I169" s="749" t="str">
        <f>IF(OR('C3'!I45="Y",'C3'!I153="Y",'C3'!I218="Y",'C4'!I24="Y",'C4'!I57="Y"),"Y","N")</f>
        <v>N</v>
      </c>
      <c r="J169" s="749"/>
      <c r="K169" s="749"/>
      <c r="L169" s="749" t="str">
        <f>IF(OR('C3'!L45="Y",'C3'!L153="Y",'C3'!L218="Y",'C4'!L24="Y",'C4'!L57="Y"),"Y","N")</f>
        <v>Y</v>
      </c>
      <c r="M169" s="749" t="str">
        <f>IF(OR('C3'!M45="Y",'C3'!M153="Y",'C3'!M218="Y",'C4'!M24="Y",'C4'!M57="Y"),"Y","N")</f>
        <v>N</v>
      </c>
      <c r="N169" s="749"/>
      <c r="O169" s="749"/>
      <c r="P169" s="749"/>
      <c r="Q169" s="749" t="str">
        <f>IF(OR('C3'!Q45="Y",'C3'!Q153="Y",'C3'!Q218="Y",'C4'!Q24="Y",'C4'!Q57="Y"),"Y","N")</f>
        <v>Y</v>
      </c>
      <c r="R169" s="749"/>
      <c r="S169" s="749" t="str">
        <f>IF(OR('C3'!S45="Y",'C3'!S153="Y",'C3'!S218="Y",'C4'!S24="Y",'C4'!S57="Y"),"Y","N")</f>
        <v>N</v>
      </c>
      <c r="T169" s="749"/>
      <c r="U169" s="749"/>
      <c r="V169" s="749"/>
      <c r="W169" s="749"/>
      <c r="X169" s="749"/>
      <c r="Y169" s="749"/>
      <c r="Z169" s="749" t="str">
        <f>IF(OR('C3'!Z45="Y",'C3'!Z153="Y",'C3'!Z218="Y",'C4'!Z24="Y",'C4'!Z57="Y"),"Y","N")</f>
        <v>N</v>
      </c>
      <c r="AA169" s="749" t="str">
        <f>IF(OR('C3'!AA45="Y",'C3'!AA153="Y",'C3'!AA218="Y",'C4'!AA24="Y",'C4'!AA57="Y"),"Y","N")</f>
        <v>N</v>
      </c>
      <c r="AB169" s="749"/>
      <c r="AC169" s="749" t="str">
        <f>IF(OR('C3'!AC45="Y",'C3'!AC153="Y",'C3'!AC218="Y",'C4'!AC24="Y",'C4'!AC57="Y"),"Y","N")</f>
        <v>N</v>
      </c>
      <c r="AD169" s="749"/>
      <c r="AE169" s="749" t="str">
        <f>IF(OR('C3'!AE45="Y",'C3'!AE153="Y",'C3'!AE218="Y",'C4'!AE24="Y",'C4'!AE57="Y"),"Y","N")</f>
        <v>N</v>
      </c>
      <c r="AF169" s="749"/>
      <c r="AG169" s="749"/>
      <c r="AH169" s="749" t="str">
        <f>IF(OR('C3'!AH45="Y",'C3'!AH153="Y",'C3'!AH218="Y",'C4'!AH24="Y",'C4'!AH57="Y"),"Y","N")</f>
        <v>N</v>
      </c>
      <c r="AI169" s="749" t="str">
        <f>IF(OR('C3'!AI45="Y",'C3'!AI153="Y",'C3'!AI218="Y",'C4'!AI24="Y",'C4'!AI57="Y"),"Y","N")</f>
        <v>N</v>
      </c>
      <c r="AJ169" s="749"/>
      <c r="AK169" s="749" t="str">
        <f>IF(OR('C3'!AK45="Y",'C3'!AK153="Y",'C3'!AK218="Y",'C4'!AK24="Y",'C4'!AK57="Y"),"Y","N")</f>
        <v>N</v>
      </c>
      <c r="AL169" s="749"/>
      <c r="AM169" s="749" t="str">
        <f>IF(OR('C3'!AM45="Y",'C3'!AM153="Y",'C3'!AM218="Y",'C4'!AM24="Y",'C4'!AM57="Y"),"Y","N")</f>
        <v>N</v>
      </c>
      <c r="AN169" s="749" t="str">
        <f>IF(OR('C3'!AN45="Y",'C3'!AN153="Y",'C3'!AN218="Y",'C4'!AN24="Y",'C4'!AN57="Y"),"Y","N")</f>
        <v>Y</v>
      </c>
      <c r="AO169" s="749"/>
      <c r="AP169" s="749" t="str">
        <f>IF(OR('C3'!AP45="Y",'C3'!AP153="Y",'C3'!AP218="Y",'C4'!AP24="Y",'C4'!AP57="Y"),"Y","N")</f>
        <v>N</v>
      </c>
      <c r="AQ169" s="749"/>
      <c r="AR169" s="749"/>
      <c r="AS169" s="749"/>
      <c r="AT169" s="749" t="str">
        <f>IF(OR('C3'!AT45="Y",'C3'!AT153="Y",'C3'!AT218="Y",'C4'!AT24="Y",'C4'!AT57="Y"),"Y","N")</f>
        <v>N</v>
      </c>
      <c r="AU169" s="749"/>
      <c r="AV169" s="749" t="str">
        <f>IF(OR('C3'!AV45="Y",'C3'!AV153="Y",'C3'!AV218="Y",'C4'!AV24="Y",'C4'!AV57="Y"),"Y","N")</f>
        <v>N</v>
      </c>
      <c r="AW169" s="749"/>
      <c r="AX169" s="749"/>
      <c r="AY169" s="749"/>
      <c r="AZ169" s="749"/>
      <c r="BA169" s="749"/>
      <c r="BB169" s="749" t="str">
        <f>IF(OR('C3'!BB45="Y",'C3'!BB153="Y",'C3'!BB218="Y",'C4'!BB24="Y",'C4'!BB57="Y"),"Y","N")</f>
        <v>N</v>
      </c>
      <c r="BC169" s="749" t="str">
        <f>IF(OR('C3'!BC45="Y",'C3'!BC153="Y",'C3'!BC218="Y",'C4'!BC24="Y",'C4'!BC57="Y"),"Y","N")</f>
        <v>N</v>
      </c>
      <c r="BD169" s="749" t="str">
        <f>IF(OR('C3'!BD45="Y",'C3'!BD153="Y",'C3'!BD218="Y",'C4'!BD24="Y",'C4'!BD57="Y"),"Y","N")</f>
        <v>N</v>
      </c>
      <c r="BE169" s="749" t="str">
        <f>IF(OR('C3'!BE45="Y",'C3'!BE153="Y",'C3'!BE218="Y",'C4'!BE24="Y",'C4'!BE57="Y"),"Y","N")</f>
        <v>N</v>
      </c>
      <c r="BF169" s="749"/>
      <c r="BG169" s="749"/>
      <c r="BH169" s="749"/>
      <c r="BI169" s="749" t="str">
        <f>IF(OR('C3'!BI45="Y",'C3'!BI153="Y",'C3'!BI218="Y",'C4'!BI24="Y",'C4'!BI57="Y"),"Y","N")</f>
        <v>N</v>
      </c>
      <c r="BJ169" s="749" t="str">
        <f>IF(OR('C3'!BJ45="Y",'C3'!BJ153="Y",'C3'!BJ218="Y",'C4'!BJ24="Y",'C4'!BJ57="Y"),"Y","N")</f>
        <v>N</v>
      </c>
      <c r="BK169" s="749"/>
      <c r="BL169" s="749"/>
      <c r="BM169" s="749"/>
      <c r="BN169" s="749"/>
      <c r="BO169" s="749"/>
      <c r="BP169" s="749"/>
      <c r="BQ169" s="749"/>
      <c r="BR169" s="749"/>
      <c r="BS169" s="749"/>
      <c r="BT169" s="749"/>
      <c r="BU169" s="749"/>
      <c r="BV169" s="749"/>
      <c r="BW169" s="749"/>
      <c r="BX169" s="749"/>
      <c r="BY169" s="749"/>
      <c r="BZ169" s="749"/>
      <c r="CA169" s="749"/>
      <c r="CB169" s="749" t="str">
        <f>IF(OR('C3'!CB45="Y",'C3'!CB153="Y",'C3'!CB218="Y",'C4'!CB24="Y",'C4'!CB57="Y"),"Y","N")</f>
        <v>N</v>
      </c>
      <c r="CC169" s="749"/>
      <c r="CD169" s="749"/>
      <c r="CE169" s="749"/>
      <c r="CF169" s="749"/>
      <c r="CG169" s="749"/>
      <c r="CH169" s="749"/>
      <c r="CI169" s="749"/>
      <c r="CJ169" s="749"/>
      <c r="CK169" s="749" t="str">
        <f>IF(OR('C3'!CK45="Y",'C3'!CK153="Y",'C3'!CK218="Y",'C4'!CK24="Y",'C4'!CK57="Y"),"Y","N")</f>
        <v>Y</v>
      </c>
      <c r="CL169" s="749" t="str">
        <f>IF(OR('C3'!CL45="Y",'C3'!CL153="Y",'C3'!CL218="Y",'C4'!CL24="Y",'C4'!CL57="Y"),"Y","N")</f>
        <v>N</v>
      </c>
      <c r="CM169" s="749"/>
      <c r="CN169" s="749"/>
      <c r="CO169" s="749" t="str">
        <f>IF(OR('C3'!CO45="Y",'C3'!CO153="Y",'C3'!CO218="Y",'C4'!CO24="Y",'C4'!CO57="Y"),"Y","N")</f>
        <v>N</v>
      </c>
      <c r="CP169" s="749"/>
      <c r="CQ169" s="749" t="str">
        <f>IF(OR('C3'!CQ45="Y",'C3'!CQ153="Y",'C3'!CQ218="Y",'C4'!CQ24="Y",'C4'!CQ57="Y"),"Y","N")</f>
        <v>N</v>
      </c>
      <c r="CR169" s="749" t="str">
        <f>IF(OR('C3'!CR45="Y",'C3'!CR153="Y",'C3'!CR218="Y",'C4'!CR24="Y",'C4'!CR57="Y"),"Y","N")</f>
        <v>N</v>
      </c>
      <c r="CS169" s="749" t="str">
        <f>IF(OR('C3'!CS45="Y",'C3'!CS153="Y",'C3'!CS218="Y",'C4'!CS24="Y",'C4'!CS57="Y"),"Y","N")</f>
        <v>N</v>
      </c>
      <c r="CT169" s="749"/>
      <c r="CU169" s="749" t="str">
        <f>IF(OR('C3'!CU45="Y",'C3'!CU153="Y",'C3'!CU218="Y",'C4'!CU24="Y",'C4'!CU57="Y"),"Y","N")</f>
        <v>N</v>
      </c>
      <c r="CV169" s="749" t="str">
        <f>IF(OR('C3'!CV45="Y",'C3'!CV153="Y",'C3'!CV218="Y",'C4'!CV24="Y",'C4'!CV57="Y"),"Y","N")</f>
        <v>N</v>
      </c>
      <c r="CW169" s="749" t="str">
        <f>IF(OR('C3'!CW45="Y",'C3'!CW153="Y",'C3'!CW218="Y",'C4'!CW24="Y",'C4'!CW57="Y"),"Y","N")</f>
        <v>N</v>
      </c>
      <c r="CX169" s="749" t="str">
        <f>IF(OR('C3'!CX45="Y",'C3'!CX153="Y",'C3'!CX218="Y",'C4'!CX24="Y",'C4'!CX57="Y"),"Y","N")</f>
        <v>N</v>
      </c>
      <c r="CY169" s="749" t="str">
        <f>IF(OR('C3'!CY45="Y",'C3'!CY153="Y",'C3'!CY218="Y",'C4'!CY24="Y",'C4'!CY57="Y"),"Y","N")</f>
        <v>N</v>
      </c>
      <c r="CZ169" s="749" t="str">
        <f>IF(OR('C3'!CZ45="Y",'C3'!CZ153="Y",'C3'!CZ218="Y",'C4'!CZ24="Y",'C4'!CZ57="Y"),"Y","N")</f>
        <v>N</v>
      </c>
      <c r="DA169" s="749" t="str">
        <f>IF(OR('C3'!DA45="Y",'C3'!DA153="Y",'C3'!DA218="Y",'C4'!DA24="Y",'C4'!DA57="Y"),"Y","N")</f>
        <v>N</v>
      </c>
      <c r="DB169" s="749"/>
      <c r="DC169" s="749" t="str">
        <f>IF(OR('C3'!DC45="Y",'C3'!DC153="Y",'C3'!DC218="Y",'C4'!DC24="Y",'C4'!DC57="Y"),"Y","N")</f>
        <v>N</v>
      </c>
      <c r="DD169" s="749" t="str">
        <f>IF(OR('C3'!DD45="Y",'C3'!DD153="Y",'C3'!DD218="Y",'C4'!DD24="Y",'C4'!DD57="Y"),"Y","N")</f>
        <v>N</v>
      </c>
      <c r="DE169" s="749"/>
      <c r="DF169" s="749"/>
      <c r="DG169" s="749" t="str">
        <f>IF(OR('C3'!DG45="Y",'C3'!DG153="Y",'C3'!DG218="Y",'C4'!DG24="Y",'C4'!DG57="Y"),"Y","N")</f>
        <v>N</v>
      </c>
      <c r="DH169" s="749"/>
      <c r="DI169" s="749"/>
      <c r="DJ169" s="749" t="str">
        <f>IF(OR('C3'!DJ45="Y",'C3'!DJ153="Y",'C3'!DJ218="Y",'C4'!DJ24="Y",'C4'!DJ57="Y"),"Y","N")</f>
        <v>N</v>
      </c>
      <c r="DK169" s="749"/>
      <c r="DL169" s="749"/>
      <c r="DM169" s="749" t="str">
        <f>IF(OR('C3'!DM45="Y",'C3'!DM153="Y",'C3'!DM218="Y",'C4'!DM24="Y",'C4'!DM57="Y"),"Y","N")</f>
        <v>N</v>
      </c>
      <c r="DN169" s="749" t="str">
        <f>IF(OR('C3'!DN45="Y",'C3'!DN153="Y",'C3'!DN218="Y",'C4'!DN24="Y",'C4'!DN57="Y"),"Y","N")</f>
        <v>N</v>
      </c>
      <c r="DO169" s="749" t="str">
        <f>IF(OR('C3'!DO45="Y",'C3'!DO153="Y",'C3'!DO218="Y",'C4'!DO24="Y",'C4'!DO57="Y"),"Y","N")</f>
        <v>N</v>
      </c>
      <c r="DP169" s="749"/>
      <c r="DQ169" s="749"/>
      <c r="DR169" s="749"/>
      <c r="DS169" s="749" t="s">
        <v>1615</v>
      </c>
      <c r="DT169" s="749"/>
      <c r="DU169" s="749" t="str">
        <f>IF(OR('C3'!DU45="Y",'C3'!DU153="Y",'C3'!DU218="Y",'C4'!DU24="Y",'C4'!DU57="Y"),"Y","N")</f>
        <v>N</v>
      </c>
      <c r="DV169" s="749"/>
      <c r="DW169" s="749"/>
      <c r="DX169" s="749"/>
      <c r="DY169" s="749"/>
      <c r="DZ169" s="749" t="s">
        <v>1615</v>
      </c>
      <c r="EA169" s="749"/>
      <c r="EB169" s="749"/>
      <c r="EC169" s="749"/>
      <c r="ED169" s="749"/>
      <c r="EE169" s="749" t="str">
        <f>IF(OR('C3'!EE45="Y",'C3'!EE153="Y",'C3'!EE218="Y",'C4'!EE24="Y",'C4'!EE57="Y"),"Y","N")</f>
        <v>N</v>
      </c>
      <c r="EF169" s="749" t="str">
        <f>IF(OR('C3'!EF45="Y",'C3'!EF153="Y",'C3'!EF218="Y",'C4'!EF24="Y",'C4'!EF57="Y"),"Y","N")</f>
        <v>N</v>
      </c>
      <c r="EG169" s="749" t="str">
        <f>IF(OR('C3'!EG45="Y",'C3'!EG153="Y",'C3'!EG218="Y",'C4'!EG24="Y",'C4'!EG57="Y"),"Y","N")</f>
        <v>N</v>
      </c>
      <c r="EH169" s="749" t="str">
        <f>IF(OR('C3'!EH45="Y",'C3'!EH153="Y",'C3'!EH218="Y",'C4'!EH24="Y",'C4'!EH57="Y"),"Y","N")</f>
        <v>N</v>
      </c>
      <c r="EI169" s="749"/>
      <c r="EJ169" s="749"/>
      <c r="EK169" s="749"/>
      <c r="EL169" s="749"/>
      <c r="EM169" s="749" t="str">
        <f>IF(OR('C3'!EM45="Y",'C3'!EM153="Y",'C3'!EM218="Y",'C4'!EM24="Y",'C4'!EM57="Y"),"Y","N")</f>
        <v>N</v>
      </c>
      <c r="EN169" s="749" t="str">
        <f>IF(OR('C3'!EN45="Y",'C3'!EN153="Y",'C3'!EN218="Y",'C4'!EN24="Y",'C4'!EN57="Y"),"Y","N")</f>
        <v>N</v>
      </c>
      <c r="EO169" s="749"/>
      <c r="EP169" s="749"/>
      <c r="EQ169" s="749" t="str">
        <f>IF(OR('C3'!EQ45="Y",'C3'!EQ153="Y",'C3'!EQ218="Y",'C4'!EQ24="Y",'C4'!EQ57="Y"),"Y","N")</f>
        <v>N</v>
      </c>
      <c r="ER169" s="749" t="str">
        <f>IF(OR('C3'!ER45="Y",'C3'!ER153="Y",'C3'!ER218="Y",'C4'!ER24="Y",'C4'!ER57="Y"),"Y","N")</f>
        <v>Y</v>
      </c>
      <c r="ES169" s="749"/>
      <c r="ET169" s="749"/>
      <c r="EU169" s="749" t="str">
        <f>IF(OR('C3'!EU45="Y",'C3'!EU153="Y",'C3'!EU218="Y",'C4'!EU24="Y",'C4'!EU57="Y"),"Y","N")</f>
        <v>Y</v>
      </c>
      <c r="EV169" s="749"/>
      <c r="EW169" s="749" t="str">
        <f>IF(OR('C3'!EW45="Y",'C3'!EW153="Y",'C3'!EW218="Y",'C4'!EW24="Y",'C4'!EW57="Y"),"Y","N")</f>
        <v>N</v>
      </c>
      <c r="EX169" s="749" t="str">
        <f>IF(OR('C3'!EX45="Y",'C3'!EX153="Y",'C3'!EX218="Y",'C4'!EX24="Y",'C4'!EX57="Y"),"Y","N")</f>
        <v>N</v>
      </c>
      <c r="EY169" s="749" t="str">
        <f>IF(OR('C3'!EY45="Y",'C3'!EY153="Y",'C3'!EY218="Y",'C4'!EY24="Y",'C4'!EY57="Y"),"Y","N")</f>
        <v>N</v>
      </c>
      <c r="EZ169" s="749" t="str">
        <f>IF(OR('C3'!EZ45="Y",'C3'!EZ153="Y",'C3'!EZ218="Y",'C4'!EZ24="Y",'C4'!EZ57="Y"),"Y","N")</f>
        <v>Y</v>
      </c>
      <c r="FA169" s="749" t="str">
        <f>IF(OR('C3'!FA45="Y",'C3'!FA153="Y",'C3'!FA218="Y",'C4'!FA24="Y",'C4'!FA57="Y"),"Y","N")</f>
        <v>N</v>
      </c>
      <c r="FB169" s="749"/>
      <c r="FC169" s="749"/>
      <c r="FD169" s="749" t="str">
        <f>IF(OR('C3'!FD45="Y",'C3'!FD153="Y",'C3'!FD218="Y",'C4'!FD24="Y",'C4'!FD57="Y"),"Y","N")</f>
        <v>N</v>
      </c>
      <c r="FE169" s="749" t="str">
        <f>IF(OR('C3'!FE45="Y",'C3'!FE153="Y",'C3'!FE218="Y",'C4'!FE24="Y",'C4'!FE57="Y"),"Y","N")</f>
        <v>N</v>
      </c>
      <c r="FF169" s="749" t="str">
        <f>IF(OR('C3'!FF45="Y",'C3'!FF153="Y",'C3'!FF218="Y",'C4'!FF24="Y",'C4'!FF57="Y"),"Y","N")</f>
        <v>N</v>
      </c>
      <c r="FG169" s="749" t="str">
        <f>IF(OR('C3'!FG45="Y",'C3'!FG153="Y",'C3'!FG218="Y",'C4'!FG24="Y",'C4'!FG57="Y"),"Y","N")</f>
        <v>N</v>
      </c>
      <c r="FH169" s="749" t="str">
        <f>IF(OR('C3'!FH45="Y",'C3'!FH153="Y",'C3'!FH218="Y",'C4'!FH24="Y",'C4'!FH57="Y"),"Y","N")</f>
        <v>N</v>
      </c>
      <c r="FI169" s="749" t="str">
        <f>IF(OR('C3'!FI45="Y",'C3'!FI153="Y",'C3'!FI218="Y",'C4'!FI24="Y",'C4'!FI57="Y"),"Y","N")</f>
        <v>N</v>
      </c>
      <c r="FJ169" s="749"/>
      <c r="FK169" s="749" t="str">
        <f>IF(OR('C3'!FK45="Y",'C3'!FK153="Y",'C3'!FK218="Y",'C4'!FK24="Y",'C4'!FK57="Y"),"Y","N")</f>
        <v>N</v>
      </c>
      <c r="FL169" s="749"/>
      <c r="FM169" s="749"/>
      <c r="FN169" s="749"/>
      <c r="FO169" s="749"/>
      <c r="FP169" s="749"/>
      <c r="FQ169" s="749"/>
      <c r="FR169" s="749"/>
      <c r="FS169" s="749"/>
      <c r="FT169" s="749"/>
      <c r="FU169" s="749"/>
      <c r="FV169" s="749"/>
      <c r="FW169" s="749"/>
      <c r="FX169" s="749"/>
      <c r="FY169" s="749"/>
      <c r="FZ169" s="749"/>
      <c r="GA169" s="749"/>
      <c r="GB169" s="749"/>
      <c r="GC169" s="749"/>
      <c r="GD169" s="749"/>
      <c r="GE169" s="749"/>
      <c r="GF169" s="749"/>
      <c r="GG169" s="749"/>
      <c r="GH169" s="749"/>
      <c r="GI169" s="749"/>
      <c r="GJ169" s="749"/>
      <c r="GK169" s="749"/>
      <c r="GL169" s="749" t="str">
        <f>IF(OR('C3'!GL45="Y",'C3'!GL153="Y",'C3'!GL218="Y",'C4'!GL24="Y",'C4'!GL57="Y"),"Y","N")</f>
        <v>N</v>
      </c>
      <c r="GM169" s="749" t="str">
        <f>IF(OR('C3'!GM45="Y",'C3'!GM153="Y",'C3'!GM218="Y",'C4'!GM24="Y",'C4'!GM57="Y"),"Y","N")</f>
        <v>N</v>
      </c>
      <c r="GN169" s="749" t="str">
        <f>IF(OR('C3'!GN45="Y",'C3'!GN153="Y",'C3'!GN218="Y",'C4'!GN24="Y",'C4'!GN57="Y"),"Y","N")</f>
        <v>N</v>
      </c>
      <c r="GO169" s="749" t="str">
        <f>IF(OR('C3'!GO45="Y",'C3'!GO153="Y",'C3'!GO218="Y",'C4'!GO24="Y",'C4'!GO57="Y"),"Y","N")</f>
        <v>N</v>
      </c>
      <c r="GP169" s="749"/>
      <c r="GQ169" s="749" t="str">
        <f>IF(OR('C3'!GQ45="Y",'C3'!GQ153="Y",'C3'!GQ218="Y",'C4'!GQ24="Y",'C4'!GQ57="Y"),"Y","N")</f>
        <v>N</v>
      </c>
      <c r="GR169" s="749"/>
      <c r="GS169" s="749"/>
      <c r="GT169" s="749"/>
      <c r="GU169" s="749"/>
      <c r="GV169" s="749"/>
      <c r="GW169" s="749" t="str">
        <f>IF(OR('C3'!GW45="Y",'C3'!GW153="Y",'C3'!GW218="Y",'C4'!GW24="Y",'C4'!GW57="Y"),"Y","N")</f>
        <v>N</v>
      </c>
      <c r="GX169" s="749"/>
      <c r="GY169" s="749" t="str">
        <f>IF(OR('C3'!GY45="Y",'C3'!GY153="Y",'C3'!GY218="Y",'C4'!GY24="Y",'C4'!GY57="Y"),"Y","N")</f>
        <v>N</v>
      </c>
      <c r="GZ169" s="749" t="str">
        <f>IF(OR('C3'!GZ45="Y",'C3'!GZ153="Y",'C3'!GZ218="Y",'C4'!GZ24="Y",'C4'!GZ57="Y"),"Y","N")</f>
        <v>N</v>
      </c>
      <c r="HA169" s="749" t="str">
        <f>IF(OR('C3'!HA45="Y",'C3'!HA153="Y",'C3'!HA218="Y",'C4'!HA24="Y",'C4'!HA57="Y"),"Y","N")</f>
        <v>N</v>
      </c>
      <c r="HB169" s="749" t="str">
        <f>IF(OR('C3'!HB45="Y",'C3'!HB153="Y",'C3'!HB218="Y",'C4'!HB24="Y",'C4'!HB57="Y"),"Y","N")</f>
        <v>N</v>
      </c>
      <c r="HC169" s="749" t="str">
        <f>IF(OR('C3'!HC45="Y",'C3'!HC153="Y",'C3'!HC218="Y",'C4'!HC24="Y",'C4'!HC57="Y"),"Y","N")</f>
        <v>N</v>
      </c>
      <c r="HD169" s="749"/>
      <c r="HE169" s="749" t="str">
        <f>IF(OR('C3'!HE45="Y",'C3'!HE153="Y",'C3'!HE218="Y",'C4'!HE24="Y",'C4'!HE57="Y"),"Y","N")</f>
        <v>N</v>
      </c>
      <c r="HF169" s="749"/>
      <c r="HG169" s="749"/>
      <c r="HH169" s="749"/>
      <c r="HI169" s="749"/>
      <c r="HJ169" s="749"/>
      <c r="HK169" s="749"/>
      <c r="HL169" s="749"/>
      <c r="HM169" s="749"/>
      <c r="HN169" s="749"/>
      <c r="HO169" s="749" t="str">
        <f>IF(OR('C3'!HO45="Y",'C3'!HO153="Y",'C3'!HO218="Y",'C4'!HO24="Y",'C4'!HO57="Y"),"Y","N")</f>
        <v>N</v>
      </c>
      <c r="HP169" s="749"/>
      <c r="HQ169" s="749"/>
      <c r="HR169" s="749"/>
      <c r="HS169" s="749"/>
      <c r="HT169" s="749"/>
      <c r="HU169" s="749"/>
      <c r="HV169" s="749"/>
      <c r="HW169" s="749" t="str">
        <f>IF(OR('C3'!HW45="Y",'C3'!HW153="Y",'C3'!HW218="Y",'C4'!HW24="Y",'C4'!HW57="Y"),"Y","N")</f>
        <v>N</v>
      </c>
      <c r="HX169" s="749"/>
      <c r="HY169" s="749"/>
      <c r="HZ169" s="749"/>
      <c r="IA169" s="749"/>
      <c r="IB169" s="749"/>
      <c r="IC169" s="749"/>
      <c r="ID169" s="749"/>
      <c r="IE169" s="749"/>
      <c r="IF169" s="749"/>
      <c r="IG169" s="749"/>
      <c r="IH169" s="749"/>
      <c r="II169" s="749"/>
      <c r="IJ169" s="749"/>
      <c r="IK169" s="749"/>
      <c r="IL169" s="749"/>
      <c r="IM169" s="749"/>
      <c r="IN169" s="749"/>
      <c r="IO169" s="749" t="str">
        <f>IF(OR('C3'!IO45="Y",'C3'!IO153="Y",'C3'!IO218="Y",'C4'!IO24="Y",'C4'!IO57="Y"),"Y","N")</f>
        <v>N</v>
      </c>
      <c r="IP169" s="749"/>
      <c r="IQ169" s="749" t="str">
        <f>IF(OR('C3'!IQ45="Y",'C3'!IQ153="Y",'C3'!IQ218="Y",'C4'!IQ24="Y",'C4'!IQ57="Y"),"Y","N")</f>
        <v>Y</v>
      </c>
      <c r="IR169" s="749"/>
      <c r="IS169" s="749"/>
      <c r="IT169" s="749" t="str">
        <f>IF(OR('C3'!IT45="Y",'C3'!IT153="Y",'C3'!IT218="Y",'C4'!IT24="Y",'C4'!IT57="Y"),"Y","N")</f>
        <v>Y</v>
      </c>
      <c r="IU169" s="749"/>
      <c r="IV169" s="749"/>
      <c r="IW169" s="749"/>
      <c r="IX169" s="749"/>
      <c r="IY169" s="749" t="str">
        <f>IF(OR('C3'!IY45="Y",'C3'!IY153="Y",'C3'!IY218="Y",'C4'!IY24="Y",'C4'!IY57="Y"),"Y","N")</f>
        <v>N</v>
      </c>
      <c r="IZ169" s="749"/>
      <c r="JA169" s="749" t="str">
        <f>IF(OR('C3'!JA45="Y",'C3'!JA153="Y",'C3'!JA218="Y",'C4'!JA24="Y",'C4'!JA57="Y"),"Y","N")</f>
        <v>N</v>
      </c>
      <c r="JB169" s="749" t="s">
        <v>1615</v>
      </c>
      <c r="JC169" s="749"/>
      <c r="JD169" s="749"/>
      <c r="JE169" s="749"/>
      <c r="JF169" s="749"/>
      <c r="JG169" s="749"/>
      <c r="JH169" s="749"/>
      <c r="JI169" s="749" t="str">
        <f>IF(OR('C3'!JH45="Y",'C3'!JH153="Y",'C3'!JI218="Y",'C4'!JI24="Y",'C4'!JI57="Y"),"Y","N")</f>
        <v>Y</v>
      </c>
      <c r="JJ169" s="749"/>
      <c r="JK169" s="749"/>
      <c r="JL169" s="749" t="str">
        <f>IF(OR('C3'!JL45="Y",'C3'!JL153="Y",'C3'!JL218="Y",'C4'!JL24="Y",'C4'!JL57="Y"),"Y","N")</f>
        <v>N</v>
      </c>
      <c r="JM169" s="749" t="str">
        <f>IF(OR('C3'!JM45="Y",'C3'!JM153="Y",'C3'!JM218="Y",'C4'!JM24="Y",'C4'!JM57="Y"),"Y","N")</f>
        <v>N</v>
      </c>
      <c r="JN169" s="749"/>
      <c r="JO169" s="749"/>
      <c r="JP169" s="749"/>
      <c r="JQ169" s="749"/>
      <c r="JR169" s="577"/>
      <c r="JT169" s="578"/>
    </row>
    <row r="170" spans="1:280" x14ac:dyDescent="0.25">
      <c r="A170" s="1367">
        <v>3</v>
      </c>
      <c r="B170" s="1777" t="str">
        <f>IF(NI2_IND&gt;1,IF(HLOOKUP(NI2_IND-1,NI2_RANGE,A170)="","",HLOOKUP(NI2_IND-1,NI2_RANGE,A170)),"")</f>
        <v/>
      </c>
      <c r="C170" s="2542" t="s">
        <v>1634</v>
      </c>
      <c r="D170" s="1360" t="s">
        <v>4588</v>
      </c>
      <c r="E170" s="1306"/>
      <c r="F170" s="1778"/>
      <c r="G170" s="1778">
        <v>185.5</v>
      </c>
      <c r="H170" s="1778"/>
      <c r="I170" s="1778">
        <v>185.5</v>
      </c>
      <c r="J170" s="1778"/>
      <c r="K170" s="1778"/>
      <c r="L170" s="1778"/>
      <c r="M170" s="1778">
        <v>185.5</v>
      </c>
      <c r="N170" s="1778"/>
      <c r="O170" s="1778"/>
      <c r="P170" s="1778"/>
      <c r="Q170" s="1778"/>
      <c r="R170" s="1778"/>
      <c r="S170" s="1778">
        <v>136.5</v>
      </c>
      <c r="T170" s="1778"/>
      <c r="U170" s="1778"/>
      <c r="V170" s="1778"/>
      <c r="W170" s="1778"/>
      <c r="X170" s="1778"/>
      <c r="Y170" s="1778"/>
      <c r="Z170" s="1778">
        <v>185.5</v>
      </c>
      <c r="AA170" s="1778">
        <v>185.5</v>
      </c>
      <c r="AB170" s="1778"/>
      <c r="AC170" s="1778">
        <v>185.5</v>
      </c>
      <c r="AD170" s="1778"/>
      <c r="AE170" s="1778">
        <v>185.5</v>
      </c>
      <c r="AF170" s="1778"/>
      <c r="AG170" s="1778"/>
      <c r="AH170" s="1778">
        <v>70</v>
      </c>
      <c r="AI170" s="1778">
        <v>185.5</v>
      </c>
      <c r="AJ170" s="1778">
        <v>185.5</v>
      </c>
      <c r="AK170" s="1778">
        <v>89.75</v>
      </c>
      <c r="AL170" s="1778"/>
      <c r="AM170" s="1778">
        <v>129.5</v>
      </c>
      <c r="AN170" s="1778"/>
      <c r="AO170" s="1778"/>
      <c r="AP170" s="1778">
        <v>185.5</v>
      </c>
      <c r="AQ170" s="1778"/>
      <c r="AR170" s="1778"/>
      <c r="AS170" s="1778"/>
      <c r="AT170" s="1778">
        <v>185.5</v>
      </c>
      <c r="AU170" s="1778"/>
      <c r="AV170" s="1778">
        <v>185.5</v>
      </c>
      <c r="AW170" s="1778"/>
      <c r="AX170" s="1778"/>
      <c r="AY170" s="1778"/>
      <c r="AZ170" s="1778"/>
      <c r="BA170" s="1778"/>
      <c r="BB170" s="1778">
        <v>185.5</v>
      </c>
      <c r="BC170" s="1778">
        <v>80.5</v>
      </c>
      <c r="BD170" s="1778">
        <v>185.5</v>
      </c>
      <c r="BE170" s="1778">
        <v>185.5</v>
      </c>
      <c r="BF170" s="1778"/>
      <c r="BG170" s="1778"/>
      <c r="BH170" s="1778"/>
      <c r="BI170" s="1778">
        <v>185.5</v>
      </c>
      <c r="BJ170" s="1778">
        <v>185.5</v>
      </c>
      <c r="BK170" s="1778"/>
      <c r="BL170" s="1778"/>
      <c r="BM170" s="1778"/>
      <c r="BN170" s="1778"/>
      <c r="BO170" s="1778"/>
      <c r="BP170" s="1778"/>
      <c r="BQ170" s="1778"/>
      <c r="BR170" s="1778"/>
      <c r="BS170" s="1778"/>
      <c r="BT170" s="1778"/>
      <c r="BU170" s="1778"/>
      <c r="BV170" s="1778"/>
      <c r="BW170" s="1778"/>
      <c r="BX170" s="1778"/>
      <c r="BY170" s="1778"/>
      <c r="BZ170" s="1778"/>
      <c r="CA170" s="1778"/>
      <c r="CB170" s="1778">
        <v>185.5</v>
      </c>
      <c r="CC170" s="1778"/>
      <c r="CD170" s="1778"/>
      <c r="CE170" s="1778"/>
      <c r="CF170" s="1778"/>
      <c r="CG170" s="1778"/>
      <c r="CH170" s="1778"/>
      <c r="CI170" s="1778"/>
      <c r="CJ170" s="1778"/>
      <c r="CK170" s="1778"/>
      <c r="CL170" s="1778">
        <v>185.5</v>
      </c>
      <c r="CM170" s="1778"/>
      <c r="CN170" s="1778"/>
      <c r="CO170" s="1778">
        <v>161</v>
      </c>
      <c r="CP170" s="1778"/>
      <c r="CQ170" s="1778">
        <v>185.5</v>
      </c>
      <c r="CR170" s="1778">
        <v>185.5</v>
      </c>
      <c r="CS170" s="1778">
        <v>185.5</v>
      </c>
      <c r="CT170" s="1778"/>
      <c r="CU170" s="1778">
        <v>185.5</v>
      </c>
      <c r="CV170" s="1778">
        <v>185.5</v>
      </c>
      <c r="CW170" s="1778">
        <v>185.5</v>
      </c>
      <c r="CX170" s="1778">
        <v>185.5</v>
      </c>
      <c r="CY170" s="1778">
        <v>91</v>
      </c>
      <c r="CZ170" s="1778">
        <v>161</v>
      </c>
      <c r="DA170" s="1778">
        <v>161</v>
      </c>
      <c r="DB170" s="1778"/>
      <c r="DC170" s="1778">
        <v>185.5</v>
      </c>
      <c r="DD170" s="1778">
        <v>185.5</v>
      </c>
      <c r="DE170" s="1778"/>
      <c r="DF170" s="1778"/>
      <c r="DG170" s="1778">
        <v>185.5</v>
      </c>
      <c r="DH170" s="1778"/>
      <c r="DI170" s="1778"/>
      <c r="DJ170" s="1778">
        <v>91</v>
      </c>
      <c r="DK170" s="1778"/>
      <c r="DL170" s="1778"/>
      <c r="DM170" s="1778">
        <v>91</v>
      </c>
      <c r="DN170" s="1778">
        <v>185.5</v>
      </c>
      <c r="DO170" s="1778">
        <v>185.5</v>
      </c>
      <c r="DP170" s="1778"/>
      <c r="DQ170" s="1778"/>
      <c r="DR170" s="1778"/>
      <c r="DS170" s="1779">
        <v>185.5</v>
      </c>
      <c r="DT170" s="1778"/>
      <c r="DU170" s="1778">
        <v>161</v>
      </c>
      <c r="DV170" s="1778"/>
      <c r="DW170" s="1778"/>
      <c r="DX170" s="1778"/>
      <c r="DY170" s="1778"/>
      <c r="DZ170" s="1778">
        <v>80.5</v>
      </c>
      <c r="EA170" s="1778"/>
      <c r="EB170" s="1778"/>
      <c r="EC170" s="1778"/>
      <c r="ED170" s="1778"/>
      <c r="EE170" s="1778">
        <v>185.5</v>
      </c>
      <c r="EF170" s="1778">
        <v>185.5</v>
      </c>
      <c r="EG170" s="1778">
        <v>185.5</v>
      </c>
      <c r="EH170" s="1778">
        <v>185.5</v>
      </c>
      <c r="EI170" s="1778"/>
      <c r="EJ170" s="1778"/>
      <c r="EK170" s="1778"/>
      <c r="EL170" s="1778"/>
      <c r="EM170" s="1778">
        <v>185.5</v>
      </c>
      <c r="EN170" s="1779"/>
      <c r="EO170" s="1778" t="s">
        <v>2927</v>
      </c>
      <c r="EP170" s="1778"/>
      <c r="EQ170" s="1778">
        <v>164.5</v>
      </c>
      <c r="ER170" s="1778">
        <v>185.5</v>
      </c>
      <c r="ES170" s="1778"/>
      <c r="ET170" s="1778"/>
      <c r="EU170" s="1778">
        <v>185.5</v>
      </c>
      <c r="EV170" s="1778"/>
      <c r="EW170" s="1778">
        <v>164.5</v>
      </c>
      <c r="EX170" s="1778">
        <v>185.5</v>
      </c>
      <c r="EY170" s="1778">
        <v>185.5</v>
      </c>
      <c r="EZ170" s="1778">
        <v>185.5</v>
      </c>
      <c r="FA170" s="1778">
        <v>81</v>
      </c>
      <c r="FB170" s="1778"/>
      <c r="FC170" s="1778"/>
      <c r="FD170" s="1778">
        <v>80.5</v>
      </c>
      <c r="FE170" s="1778">
        <v>164.5</v>
      </c>
      <c r="FF170" s="1778">
        <v>80.5</v>
      </c>
      <c r="FG170" s="1778">
        <v>164.5</v>
      </c>
      <c r="FH170" s="1778">
        <v>164.5</v>
      </c>
      <c r="FI170" s="1778">
        <v>80.5</v>
      </c>
      <c r="FJ170" s="1778"/>
      <c r="FK170" s="1778">
        <v>161</v>
      </c>
      <c r="FL170" s="1778"/>
      <c r="FM170" s="1778"/>
      <c r="FN170" s="1778"/>
      <c r="FO170" s="1778"/>
      <c r="FP170" s="1778"/>
      <c r="FQ170" s="1778"/>
      <c r="FR170" s="1778"/>
      <c r="FS170" s="1778"/>
      <c r="FT170" s="1778"/>
      <c r="FU170" s="1778"/>
      <c r="FV170" s="1778"/>
      <c r="FW170" s="1778"/>
      <c r="FX170" s="1778"/>
      <c r="FY170" s="1778"/>
      <c r="FZ170" s="1778"/>
      <c r="GA170" s="1778"/>
      <c r="GB170" s="1778"/>
      <c r="GC170" s="1778"/>
      <c r="GD170" s="1778"/>
      <c r="GE170" s="1778"/>
      <c r="GF170" s="1778"/>
      <c r="GG170" s="1778"/>
      <c r="GH170" s="1778"/>
      <c r="GI170" s="1778"/>
      <c r="GJ170" s="1778"/>
      <c r="GK170" s="1778"/>
      <c r="GL170" s="1778">
        <v>185.5</v>
      </c>
      <c r="GM170" s="1778">
        <v>185.5</v>
      </c>
      <c r="GN170" s="1778">
        <v>185.5</v>
      </c>
      <c r="GO170" s="1778">
        <v>185.5</v>
      </c>
      <c r="GP170" s="1778"/>
      <c r="GQ170" s="1778">
        <v>185.5</v>
      </c>
      <c r="GR170" s="1778"/>
      <c r="GS170" s="1778"/>
      <c r="GT170" s="1778"/>
      <c r="GU170" s="1778"/>
      <c r="GV170" s="1778"/>
      <c r="GW170" s="1778">
        <v>185.5</v>
      </c>
      <c r="GX170" s="1779"/>
      <c r="GY170" s="1778">
        <v>185.5</v>
      </c>
      <c r="GZ170" s="1778">
        <v>185.5</v>
      </c>
      <c r="HA170" s="1778">
        <v>185.5</v>
      </c>
      <c r="HB170" s="1778">
        <v>98</v>
      </c>
      <c r="HC170" s="1778">
        <v>185.5</v>
      </c>
      <c r="HD170" s="1778"/>
      <c r="HE170" s="1778">
        <v>185.5</v>
      </c>
      <c r="HF170" s="1778"/>
      <c r="HG170" s="1778"/>
      <c r="HH170" s="1778"/>
      <c r="HI170" s="1778"/>
      <c r="HJ170" s="1778"/>
      <c r="HK170" s="1778"/>
      <c r="HL170" s="1778"/>
      <c r="HM170" s="1778"/>
      <c r="HN170" s="1778"/>
      <c r="HO170" s="1778">
        <v>126</v>
      </c>
      <c r="HP170" s="1778"/>
      <c r="HQ170" s="1778"/>
      <c r="HR170" s="1778"/>
      <c r="HS170" s="1778"/>
      <c r="HT170" s="1778"/>
      <c r="HU170" s="1778"/>
      <c r="HV170" s="1778"/>
      <c r="HW170" s="1778">
        <v>185.5</v>
      </c>
      <c r="HX170" s="1778"/>
      <c r="HY170" s="1778"/>
      <c r="HZ170" s="1778"/>
      <c r="IA170" s="1778"/>
      <c r="IB170" s="1778"/>
      <c r="IC170" s="1778"/>
      <c r="ID170" s="1778"/>
      <c r="IE170" s="1778"/>
      <c r="IF170" s="1778"/>
      <c r="IG170" s="1778"/>
      <c r="IH170" s="1778"/>
      <c r="II170" s="1778"/>
      <c r="IJ170" s="1778"/>
      <c r="IK170" s="1778"/>
      <c r="IL170" s="1778"/>
      <c r="IM170" s="1778"/>
      <c r="IN170" s="1778"/>
      <c r="IO170" s="1778">
        <v>185.5</v>
      </c>
      <c r="IP170" s="1778"/>
      <c r="IQ170" s="1778">
        <v>185.5</v>
      </c>
      <c r="IR170" s="1778"/>
      <c r="IS170" s="1778"/>
      <c r="IT170" s="1778"/>
      <c r="IU170" s="1778"/>
      <c r="IV170" s="1778"/>
      <c r="IW170" s="1778"/>
      <c r="IX170" s="1778"/>
      <c r="IY170" s="1778">
        <v>185.5</v>
      </c>
      <c r="IZ170" s="1778"/>
      <c r="JA170" s="1778">
        <v>185.5</v>
      </c>
      <c r="JB170" s="1778">
        <v>185.5</v>
      </c>
      <c r="JC170" s="1778"/>
      <c r="JD170" s="1779">
        <v>185.5</v>
      </c>
      <c r="JE170" s="1778"/>
      <c r="JF170" s="1778"/>
      <c r="JG170" s="1778">
        <v>185.5</v>
      </c>
      <c r="JH170" s="1778"/>
      <c r="JI170" s="1778">
        <v>185.5</v>
      </c>
      <c r="JJ170" s="1778"/>
      <c r="JK170" s="1778"/>
      <c r="JL170" s="1778">
        <v>185.5</v>
      </c>
      <c r="JM170" s="1778">
        <v>185.5</v>
      </c>
      <c r="JN170" s="1778"/>
      <c r="JO170" s="1778"/>
      <c r="JP170" s="1778"/>
      <c r="JQ170" s="1778"/>
      <c r="JR170" s="593"/>
      <c r="JT170" s="360" t="s">
        <v>2242</v>
      </c>
    </row>
    <row r="171" spans="1:280" x14ac:dyDescent="0.25">
      <c r="A171" s="1367">
        <v>4</v>
      </c>
      <c r="B171" s="1780" t="str">
        <f>IF(NI2_IND&gt;1,IF(HLOOKUP(NI2_IND-1,NI2_RANGE,A171)="","",HLOOKUP(NI2_IND-1,NI2_RANGE,A171)),"")</f>
        <v/>
      </c>
      <c r="C171" s="2584" t="s">
        <v>1918</v>
      </c>
      <c r="D171" s="1361"/>
      <c r="E171" s="1361"/>
      <c r="F171" s="1656"/>
      <c r="G171" s="1656">
        <v>2</v>
      </c>
      <c r="H171" s="1656"/>
      <c r="I171" s="1656">
        <v>2</v>
      </c>
      <c r="J171" s="1656"/>
      <c r="K171" s="1656"/>
      <c r="L171" s="1656"/>
      <c r="M171" s="1656">
        <v>2</v>
      </c>
      <c r="N171" s="1656"/>
      <c r="O171" s="1656"/>
      <c r="P171" s="1656"/>
      <c r="Q171" s="1656"/>
      <c r="R171" s="1656"/>
      <c r="S171" s="1656">
        <v>2</v>
      </c>
      <c r="T171" s="1656"/>
      <c r="U171" s="1656"/>
      <c r="V171" s="1656"/>
      <c r="W171" s="1656"/>
      <c r="X171" s="1656"/>
      <c r="Y171" s="1656"/>
      <c r="Z171" s="1656">
        <v>2</v>
      </c>
      <c r="AA171" s="1656">
        <v>2</v>
      </c>
      <c r="AB171" s="1656"/>
      <c r="AC171" s="1656">
        <v>2</v>
      </c>
      <c r="AD171" s="1656"/>
      <c r="AE171" s="1656">
        <v>2</v>
      </c>
      <c r="AF171" s="1656"/>
      <c r="AG171" s="1656"/>
      <c r="AH171" s="1656">
        <v>2</v>
      </c>
      <c r="AI171" s="1656">
        <v>2</v>
      </c>
      <c r="AJ171" s="1656">
        <v>2</v>
      </c>
      <c r="AK171" s="1656">
        <v>2</v>
      </c>
      <c r="AL171" s="1656"/>
      <c r="AM171" s="1656">
        <v>2</v>
      </c>
      <c r="AN171" s="1656"/>
      <c r="AO171" s="1656"/>
      <c r="AP171" s="1656">
        <v>2</v>
      </c>
      <c r="AQ171" s="1656"/>
      <c r="AR171" s="1656"/>
      <c r="AS171" s="1656"/>
      <c r="AT171" s="1656">
        <v>2</v>
      </c>
      <c r="AU171" s="1656"/>
      <c r="AV171" s="1656">
        <v>2</v>
      </c>
      <c r="AW171" s="1656"/>
      <c r="AX171" s="1656"/>
      <c r="AY171" s="1656"/>
      <c r="AZ171" s="1656"/>
      <c r="BA171" s="1656"/>
      <c r="BB171" s="1656">
        <v>2</v>
      </c>
      <c r="BC171" s="1656">
        <v>2</v>
      </c>
      <c r="BD171" s="1656">
        <v>2</v>
      </c>
      <c r="BE171" s="1656">
        <v>2</v>
      </c>
      <c r="BF171" s="1656"/>
      <c r="BG171" s="1656"/>
      <c r="BH171" s="1656"/>
      <c r="BI171" s="1656">
        <v>2</v>
      </c>
      <c r="BJ171" s="1656">
        <v>2</v>
      </c>
      <c r="BK171" s="1656"/>
      <c r="BL171" s="1656"/>
      <c r="BM171" s="1656"/>
      <c r="BN171" s="1656"/>
      <c r="BO171" s="1656"/>
      <c r="BP171" s="1656"/>
      <c r="BQ171" s="1656"/>
      <c r="BR171" s="1656"/>
      <c r="BS171" s="1656"/>
      <c r="BT171" s="1656"/>
      <c r="BU171" s="1656"/>
      <c r="BV171" s="1656"/>
      <c r="BW171" s="1656"/>
      <c r="BX171" s="1656"/>
      <c r="BY171" s="1656"/>
      <c r="BZ171" s="1656"/>
      <c r="CA171" s="1656"/>
      <c r="CB171" s="1656">
        <v>2</v>
      </c>
      <c r="CC171" s="1656"/>
      <c r="CD171" s="1656"/>
      <c r="CE171" s="1656"/>
      <c r="CF171" s="1656"/>
      <c r="CG171" s="1656"/>
      <c r="CH171" s="1656"/>
      <c r="CI171" s="1656"/>
      <c r="CJ171" s="1656"/>
      <c r="CK171" s="1656"/>
      <c r="CL171" s="1656">
        <v>2</v>
      </c>
      <c r="CM171" s="1656"/>
      <c r="CN171" s="1656"/>
      <c r="CO171" s="1656">
        <v>2</v>
      </c>
      <c r="CP171" s="1656"/>
      <c r="CQ171" s="1656">
        <v>2</v>
      </c>
      <c r="CR171" s="1656">
        <v>2</v>
      </c>
      <c r="CS171" s="1656">
        <v>2</v>
      </c>
      <c r="CT171" s="1656"/>
      <c r="CU171" s="1656">
        <v>2</v>
      </c>
      <c r="CV171" s="1656">
        <v>2</v>
      </c>
      <c r="CW171" s="1656">
        <v>2</v>
      </c>
      <c r="CX171" s="1656">
        <v>2</v>
      </c>
      <c r="CY171" s="1656">
        <v>2</v>
      </c>
      <c r="CZ171" s="1656">
        <v>2</v>
      </c>
      <c r="DA171" s="1656">
        <v>2</v>
      </c>
      <c r="DB171" s="1656"/>
      <c r="DC171" s="1656">
        <v>2</v>
      </c>
      <c r="DD171" s="1656">
        <v>2</v>
      </c>
      <c r="DE171" s="1656"/>
      <c r="DF171" s="1656"/>
      <c r="DG171" s="1656">
        <v>2</v>
      </c>
      <c r="DH171" s="1656"/>
      <c r="DI171" s="1656"/>
      <c r="DJ171" s="1656">
        <v>2</v>
      </c>
      <c r="DK171" s="1656"/>
      <c r="DL171" s="1656"/>
      <c r="DM171" s="1656">
        <v>2</v>
      </c>
      <c r="DN171" s="1656">
        <v>2</v>
      </c>
      <c r="DO171" s="1656">
        <v>2</v>
      </c>
      <c r="DP171" s="1656"/>
      <c r="DQ171" s="1656"/>
      <c r="DR171" s="1656"/>
      <c r="DS171" s="1781">
        <v>2</v>
      </c>
      <c r="DT171" s="1656"/>
      <c r="DU171" s="1782">
        <v>2</v>
      </c>
      <c r="DV171" s="1656"/>
      <c r="DW171" s="1656"/>
      <c r="DX171" s="1656"/>
      <c r="DY171" s="1656"/>
      <c r="DZ171" s="1656">
        <v>2</v>
      </c>
      <c r="EA171" s="1656"/>
      <c r="EB171" s="1656"/>
      <c r="EC171" s="1656"/>
      <c r="ED171" s="1656"/>
      <c r="EE171" s="1656">
        <v>2</v>
      </c>
      <c r="EF171" s="1656">
        <v>2</v>
      </c>
      <c r="EG171" s="1656">
        <v>2</v>
      </c>
      <c r="EH171" s="1656">
        <v>2</v>
      </c>
      <c r="EI171" s="1656"/>
      <c r="EJ171" s="1656"/>
      <c r="EK171" s="1656"/>
      <c r="EL171" s="1656"/>
      <c r="EM171" s="1656">
        <v>2</v>
      </c>
      <c r="EN171" s="1656"/>
      <c r="EO171" s="1656"/>
      <c r="EP171" s="1656"/>
      <c r="EQ171" s="1656">
        <v>2</v>
      </c>
      <c r="ER171" s="1656">
        <v>2</v>
      </c>
      <c r="ES171" s="1656"/>
      <c r="ET171" s="1656"/>
      <c r="EU171" s="1656">
        <v>2</v>
      </c>
      <c r="EV171" s="1656"/>
      <c r="EW171" s="1656">
        <v>2</v>
      </c>
      <c r="EX171" s="1656">
        <v>2</v>
      </c>
      <c r="EY171" s="1656">
        <v>2</v>
      </c>
      <c r="EZ171" s="1656">
        <v>2</v>
      </c>
      <c r="FA171" s="1656">
        <v>2</v>
      </c>
      <c r="FB171" s="1656"/>
      <c r="FC171" s="1656"/>
      <c r="FD171" s="1656">
        <v>2</v>
      </c>
      <c r="FE171" s="1656">
        <v>2</v>
      </c>
      <c r="FF171" s="1656">
        <v>2</v>
      </c>
      <c r="FG171" s="1656">
        <v>2</v>
      </c>
      <c r="FH171" s="1656">
        <v>2</v>
      </c>
      <c r="FI171" s="1656">
        <v>2</v>
      </c>
      <c r="FJ171" s="1656"/>
      <c r="FK171" s="1656">
        <v>2</v>
      </c>
      <c r="FL171" s="1656"/>
      <c r="FM171" s="1656"/>
      <c r="FN171" s="1656"/>
      <c r="FO171" s="1656"/>
      <c r="FP171" s="1656"/>
      <c r="FQ171" s="1656"/>
      <c r="FR171" s="1656"/>
      <c r="FS171" s="1656"/>
      <c r="FT171" s="1656"/>
      <c r="FU171" s="1656"/>
      <c r="FV171" s="1656"/>
      <c r="FW171" s="1656"/>
      <c r="FX171" s="1656"/>
      <c r="FY171" s="1656"/>
      <c r="FZ171" s="1656"/>
      <c r="GA171" s="1656"/>
      <c r="GB171" s="1656"/>
      <c r="GC171" s="1656"/>
      <c r="GD171" s="1656"/>
      <c r="GE171" s="1656"/>
      <c r="GF171" s="1656"/>
      <c r="GG171" s="1656"/>
      <c r="GH171" s="1656"/>
      <c r="GI171" s="1656"/>
      <c r="GJ171" s="1656"/>
      <c r="GK171" s="1656"/>
      <c r="GL171" s="1656">
        <v>2</v>
      </c>
      <c r="GM171" s="1656">
        <v>2</v>
      </c>
      <c r="GN171" s="1656">
        <v>2</v>
      </c>
      <c r="GO171" s="1656">
        <v>2</v>
      </c>
      <c r="GP171" s="1656"/>
      <c r="GQ171" s="1656">
        <v>2</v>
      </c>
      <c r="GR171" s="1656"/>
      <c r="GS171" s="1656"/>
      <c r="GT171" s="1656"/>
      <c r="GU171" s="1656"/>
      <c r="GV171" s="1656"/>
      <c r="GW171" s="1656">
        <v>2</v>
      </c>
      <c r="GX171" s="1783"/>
      <c r="GY171" s="1656">
        <v>2</v>
      </c>
      <c r="GZ171" s="1656">
        <v>2</v>
      </c>
      <c r="HA171" s="1656">
        <v>2</v>
      </c>
      <c r="HB171" s="1656">
        <v>2</v>
      </c>
      <c r="HC171" s="1656">
        <v>2</v>
      </c>
      <c r="HD171" s="1656"/>
      <c r="HE171" s="1656">
        <v>2</v>
      </c>
      <c r="HF171" s="1656"/>
      <c r="HG171" s="1656"/>
      <c r="HH171" s="1656"/>
      <c r="HI171" s="1656"/>
      <c r="HJ171" s="1656"/>
      <c r="HK171" s="1656"/>
      <c r="HL171" s="1656"/>
      <c r="HM171" s="1656"/>
      <c r="HN171" s="1656"/>
      <c r="HO171" s="1656">
        <v>2</v>
      </c>
      <c r="HP171" s="1656"/>
      <c r="HQ171" s="1656"/>
      <c r="HR171" s="1656"/>
      <c r="HS171" s="1656"/>
      <c r="HT171" s="1656"/>
      <c r="HU171" s="1656"/>
      <c r="HV171" s="1656"/>
      <c r="HW171" s="1656">
        <v>2</v>
      </c>
      <c r="HX171" s="1656"/>
      <c r="HY171" s="1656"/>
      <c r="HZ171" s="1656"/>
      <c r="IA171" s="1656"/>
      <c r="IB171" s="1656"/>
      <c r="IC171" s="1656"/>
      <c r="ID171" s="1656"/>
      <c r="IE171" s="1656"/>
      <c r="IF171" s="1656"/>
      <c r="IG171" s="1656"/>
      <c r="IH171" s="1656"/>
      <c r="II171" s="1656"/>
      <c r="IJ171" s="1656"/>
      <c r="IK171" s="1656"/>
      <c r="IL171" s="1656"/>
      <c r="IM171" s="1656"/>
      <c r="IN171" s="1656"/>
      <c r="IO171" s="1656">
        <v>2</v>
      </c>
      <c r="IP171" s="1656"/>
      <c r="IQ171" s="1656">
        <v>2</v>
      </c>
      <c r="IR171" s="1656"/>
      <c r="IS171" s="1656"/>
      <c r="IT171" s="1656"/>
      <c r="IU171" s="1656"/>
      <c r="IV171" s="1656"/>
      <c r="IW171" s="1656"/>
      <c r="IX171" s="1656"/>
      <c r="IY171" s="1656">
        <v>2</v>
      </c>
      <c r="IZ171" s="1656"/>
      <c r="JA171" s="1656">
        <v>2</v>
      </c>
      <c r="JB171" s="1656">
        <v>2</v>
      </c>
      <c r="JC171" s="1656"/>
      <c r="JD171" s="1783">
        <v>2</v>
      </c>
      <c r="JE171" s="1656"/>
      <c r="JF171" s="1656"/>
      <c r="JG171" s="1656">
        <v>2</v>
      </c>
      <c r="JH171" s="1656"/>
      <c r="JI171" s="1656">
        <v>2</v>
      </c>
      <c r="JJ171" s="1656"/>
      <c r="JK171" s="1656"/>
      <c r="JL171" s="1656">
        <v>2</v>
      </c>
      <c r="JM171" s="1656">
        <v>2</v>
      </c>
      <c r="JN171" s="1656"/>
      <c r="JO171" s="1656"/>
      <c r="JP171" s="1656"/>
      <c r="JQ171" s="1656"/>
      <c r="JR171" s="593"/>
    </row>
    <row r="172" spans="1:280" ht="12" thickBot="1" x14ac:dyDescent="0.3"/>
    <row r="173" spans="1:280" x14ac:dyDescent="0.25">
      <c r="A173" s="1367" t="s">
        <v>2201</v>
      </c>
      <c r="B173" s="1427" t="str">
        <f>"selected "&amp;NI2Vol_IND-1</f>
        <v>selected 0</v>
      </c>
      <c r="C173" s="2582" t="s">
        <v>1506</v>
      </c>
      <c r="D173" s="1774"/>
      <c r="E173" s="1355">
        <v>1</v>
      </c>
      <c r="F173" s="1355">
        <v>2</v>
      </c>
      <c r="G173" s="1355">
        <v>3</v>
      </c>
      <c r="H173" s="1355">
        <v>4</v>
      </c>
      <c r="I173" s="1355">
        <v>5</v>
      </c>
      <c r="J173" s="1355">
        <v>6</v>
      </c>
      <c r="K173" s="1355">
        <v>7</v>
      </c>
      <c r="L173" s="1355">
        <v>8</v>
      </c>
      <c r="M173" s="1355">
        <v>9</v>
      </c>
      <c r="N173" s="1355">
        <v>10</v>
      </c>
      <c r="O173" s="1355">
        <v>11</v>
      </c>
      <c r="P173" s="1355">
        <v>12</v>
      </c>
      <c r="Q173" s="1355">
        <v>13</v>
      </c>
      <c r="R173" s="1355">
        <v>14</v>
      </c>
      <c r="S173" s="1355">
        <v>15</v>
      </c>
      <c r="T173" s="1355">
        <v>16</v>
      </c>
      <c r="U173" s="1355">
        <v>17</v>
      </c>
      <c r="V173" s="1355">
        <v>18</v>
      </c>
      <c r="W173" s="1355">
        <v>19</v>
      </c>
      <c r="X173" s="1355">
        <v>20</v>
      </c>
      <c r="Y173" s="1355">
        <v>21</v>
      </c>
      <c r="Z173" s="1355">
        <v>22</v>
      </c>
      <c r="AA173" s="1355">
        <v>23</v>
      </c>
      <c r="AB173" s="1355">
        <v>24</v>
      </c>
      <c r="AC173" s="1355">
        <v>25</v>
      </c>
      <c r="AD173" s="1355">
        <v>26</v>
      </c>
      <c r="AE173" s="1355">
        <v>27</v>
      </c>
      <c r="AF173" s="1355">
        <v>28</v>
      </c>
      <c r="AG173" s="1355">
        <v>29</v>
      </c>
      <c r="AH173" s="1355">
        <v>30</v>
      </c>
      <c r="AI173" s="1355">
        <v>31</v>
      </c>
      <c r="AJ173" s="1355">
        <v>32</v>
      </c>
      <c r="AK173" s="1355">
        <v>33</v>
      </c>
      <c r="AL173" s="1355">
        <v>34</v>
      </c>
      <c r="AM173" s="1355">
        <v>35</v>
      </c>
      <c r="AN173" s="1355">
        <v>36</v>
      </c>
      <c r="AO173" s="1355">
        <v>37</v>
      </c>
      <c r="AP173" s="1355">
        <v>38</v>
      </c>
      <c r="AQ173" s="1355">
        <v>39</v>
      </c>
      <c r="AR173" s="1355">
        <v>40</v>
      </c>
      <c r="AS173" s="1355">
        <v>41</v>
      </c>
      <c r="AT173" s="1355">
        <v>42</v>
      </c>
      <c r="AU173" s="1355">
        <v>43</v>
      </c>
      <c r="AV173" s="1355">
        <v>44</v>
      </c>
      <c r="AW173" s="1355">
        <v>45</v>
      </c>
      <c r="AX173" s="1355">
        <v>46</v>
      </c>
      <c r="AY173" s="1355">
        <v>47</v>
      </c>
      <c r="AZ173" s="1355">
        <v>48</v>
      </c>
      <c r="BA173" s="1355">
        <v>49</v>
      </c>
      <c r="BB173" s="1355">
        <v>50</v>
      </c>
      <c r="BC173" s="1355">
        <v>51</v>
      </c>
      <c r="BD173" s="1355">
        <v>52</v>
      </c>
      <c r="BE173" s="1355">
        <v>53</v>
      </c>
      <c r="BF173" s="1355">
        <v>54</v>
      </c>
      <c r="BG173" s="1355">
        <v>55</v>
      </c>
      <c r="BH173" s="1355">
        <v>56</v>
      </c>
      <c r="BI173" s="1355">
        <v>57</v>
      </c>
      <c r="BJ173" s="1355">
        <v>58</v>
      </c>
      <c r="BK173" s="1355">
        <v>59</v>
      </c>
      <c r="BL173" s="1355">
        <v>60</v>
      </c>
      <c r="BM173" s="1355">
        <v>61</v>
      </c>
      <c r="BN173" s="1355">
        <v>62</v>
      </c>
      <c r="BO173" s="1355">
        <v>63</v>
      </c>
      <c r="BP173" s="1355">
        <v>64</v>
      </c>
      <c r="BQ173" s="1355">
        <v>65</v>
      </c>
      <c r="BR173" s="1355">
        <v>66</v>
      </c>
      <c r="BS173" s="1355">
        <v>67</v>
      </c>
      <c r="BT173" s="1355">
        <v>68</v>
      </c>
      <c r="BU173" s="1355">
        <v>69</v>
      </c>
      <c r="BV173" s="1355">
        <v>70</v>
      </c>
      <c r="BW173" s="1355">
        <v>71</v>
      </c>
      <c r="BX173" s="1355">
        <v>72</v>
      </c>
      <c r="BY173" s="1355">
        <v>73</v>
      </c>
      <c r="BZ173" s="1355">
        <v>74</v>
      </c>
      <c r="CA173" s="1355">
        <v>75</v>
      </c>
      <c r="CB173" s="1355">
        <v>76</v>
      </c>
      <c r="CC173" s="1355">
        <v>77</v>
      </c>
      <c r="CD173" s="1355">
        <v>78</v>
      </c>
      <c r="CE173" s="1355">
        <v>79</v>
      </c>
      <c r="CF173" s="1355">
        <v>80</v>
      </c>
      <c r="CG173" s="1355">
        <v>81</v>
      </c>
      <c r="CH173" s="1355">
        <v>82</v>
      </c>
      <c r="CI173" s="1355">
        <v>83</v>
      </c>
      <c r="CJ173" s="1355">
        <v>84</v>
      </c>
      <c r="CK173" s="1355">
        <v>85</v>
      </c>
      <c r="CL173" s="1355">
        <v>86</v>
      </c>
      <c r="CM173" s="1355">
        <v>87</v>
      </c>
      <c r="CN173" s="1355">
        <v>88</v>
      </c>
      <c r="CO173" s="1355">
        <v>89</v>
      </c>
      <c r="CP173" s="1355">
        <v>90</v>
      </c>
      <c r="CQ173" s="1355">
        <v>91</v>
      </c>
      <c r="CR173" s="1355">
        <v>92</v>
      </c>
      <c r="CS173" s="1355">
        <v>93</v>
      </c>
      <c r="CT173" s="1355">
        <v>94</v>
      </c>
      <c r="CU173" s="1355">
        <v>95</v>
      </c>
      <c r="CV173" s="1355">
        <v>96</v>
      </c>
      <c r="CW173" s="1355">
        <v>97</v>
      </c>
      <c r="CX173" s="1355">
        <v>98</v>
      </c>
      <c r="CY173" s="1355">
        <v>99</v>
      </c>
      <c r="CZ173" s="1355">
        <v>100</v>
      </c>
      <c r="DA173" s="1355">
        <v>101</v>
      </c>
      <c r="DB173" s="1355">
        <v>102</v>
      </c>
      <c r="DC173" s="1355">
        <v>103</v>
      </c>
      <c r="DD173" s="1355">
        <v>104</v>
      </c>
      <c r="DE173" s="1355">
        <v>105</v>
      </c>
      <c r="DF173" s="1355">
        <v>106</v>
      </c>
      <c r="DG173" s="1355">
        <v>107</v>
      </c>
      <c r="DH173" s="1355">
        <v>108</v>
      </c>
      <c r="DI173" s="1355">
        <v>109</v>
      </c>
      <c r="DJ173" s="1355">
        <v>110</v>
      </c>
      <c r="DK173" s="1355">
        <v>111</v>
      </c>
      <c r="DL173" s="1355">
        <v>112</v>
      </c>
      <c r="DM173" s="1355">
        <v>113</v>
      </c>
      <c r="DN173" s="1355">
        <v>114</v>
      </c>
      <c r="DO173" s="1355">
        <v>115</v>
      </c>
      <c r="DP173" s="1355">
        <v>116</v>
      </c>
      <c r="DQ173" s="1355">
        <v>117</v>
      </c>
      <c r="DR173" s="1355">
        <v>118</v>
      </c>
      <c r="DS173" s="1355">
        <v>119</v>
      </c>
      <c r="DT173" s="1355">
        <v>120</v>
      </c>
      <c r="DU173" s="1355">
        <v>121</v>
      </c>
      <c r="DV173" s="1355">
        <v>122</v>
      </c>
      <c r="DW173" s="1355">
        <v>123</v>
      </c>
      <c r="DX173" s="1355">
        <v>124</v>
      </c>
      <c r="DY173" s="1355">
        <v>125</v>
      </c>
      <c r="DZ173" s="1355">
        <v>126</v>
      </c>
      <c r="EA173" s="1355">
        <v>127</v>
      </c>
      <c r="EB173" s="1355">
        <v>128</v>
      </c>
      <c r="EC173" s="1355">
        <v>129</v>
      </c>
      <c r="ED173" s="1355">
        <v>130</v>
      </c>
      <c r="EE173" s="1355">
        <v>131</v>
      </c>
      <c r="EF173" s="1355">
        <v>132</v>
      </c>
      <c r="EG173" s="1355">
        <v>133</v>
      </c>
      <c r="EH173" s="1355">
        <v>134</v>
      </c>
      <c r="EI173" s="1355">
        <v>135</v>
      </c>
      <c r="EJ173" s="1355">
        <v>136</v>
      </c>
      <c r="EK173" s="1355">
        <v>137</v>
      </c>
      <c r="EL173" s="1355">
        <v>138</v>
      </c>
      <c r="EM173" s="1355">
        <v>139</v>
      </c>
      <c r="EN173" s="1355">
        <v>140</v>
      </c>
      <c r="EO173" s="1355">
        <v>141</v>
      </c>
      <c r="EP173" s="1355">
        <v>142</v>
      </c>
      <c r="EQ173" s="1355">
        <v>143</v>
      </c>
      <c r="ER173" s="1355">
        <v>144</v>
      </c>
      <c r="ES173" s="1355">
        <v>145</v>
      </c>
      <c r="ET173" s="1355">
        <v>146</v>
      </c>
      <c r="EU173" s="1355">
        <v>147</v>
      </c>
      <c r="EV173" s="1355">
        <v>148</v>
      </c>
      <c r="EW173" s="1355">
        <v>149</v>
      </c>
      <c r="EX173" s="1355">
        <v>150</v>
      </c>
      <c r="EY173" s="1355">
        <v>151</v>
      </c>
      <c r="EZ173" s="1355">
        <v>152</v>
      </c>
      <c r="FA173" s="1355">
        <v>153</v>
      </c>
      <c r="FB173" s="1355">
        <v>154</v>
      </c>
      <c r="FC173" s="1355">
        <v>155</v>
      </c>
      <c r="FD173" s="1355">
        <v>156</v>
      </c>
      <c r="FE173" s="1355">
        <v>157</v>
      </c>
      <c r="FF173" s="1355">
        <v>158</v>
      </c>
      <c r="FG173" s="1355">
        <v>159</v>
      </c>
      <c r="FH173" s="1355">
        <v>160</v>
      </c>
      <c r="FI173" s="1355">
        <v>161</v>
      </c>
      <c r="FJ173" s="1355">
        <v>162</v>
      </c>
      <c r="FK173" s="1355">
        <v>163</v>
      </c>
      <c r="FL173" s="1355">
        <v>164</v>
      </c>
      <c r="FM173" s="1355">
        <v>165</v>
      </c>
      <c r="FN173" s="1355">
        <v>166</v>
      </c>
      <c r="FO173" s="1355">
        <v>167</v>
      </c>
      <c r="FP173" s="1355">
        <v>168</v>
      </c>
      <c r="FQ173" s="1355">
        <v>169</v>
      </c>
      <c r="FR173" s="1355">
        <v>170</v>
      </c>
      <c r="FS173" s="1355">
        <v>171</v>
      </c>
      <c r="FT173" s="1355">
        <v>172</v>
      </c>
      <c r="FU173" s="1355">
        <v>173</v>
      </c>
      <c r="FV173" s="1355">
        <v>174</v>
      </c>
      <c r="FW173" s="1355">
        <v>175</v>
      </c>
      <c r="FX173" s="1355">
        <v>176</v>
      </c>
      <c r="FY173" s="1355">
        <v>177</v>
      </c>
      <c r="FZ173" s="1355">
        <v>178</v>
      </c>
      <c r="GA173" s="1355">
        <v>179</v>
      </c>
      <c r="GB173" s="1355">
        <v>180</v>
      </c>
      <c r="GC173" s="1355">
        <v>181</v>
      </c>
      <c r="GD173" s="1355">
        <v>182</v>
      </c>
      <c r="GE173" s="1355">
        <v>183</v>
      </c>
      <c r="GF173" s="1355">
        <v>184</v>
      </c>
      <c r="GG173" s="1355">
        <v>185</v>
      </c>
      <c r="GH173" s="1355">
        <v>186</v>
      </c>
      <c r="GI173" s="1355">
        <v>187</v>
      </c>
      <c r="GJ173" s="1355">
        <v>188</v>
      </c>
      <c r="GK173" s="1355">
        <v>189</v>
      </c>
      <c r="GL173" s="1355">
        <v>190</v>
      </c>
      <c r="GM173" s="1355">
        <v>191</v>
      </c>
      <c r="GN173" s="1355">
        <v>192</v>
      </c>
      <c r="GO173" s="1355">
        <v>193</v>
      </c>
      <c r="GP173" s="1355">
        <v>194</v>
      </c>
      <c r="GQ173" s="1355">
        <v>195</v>
      </c>
      <c r="GR173" s="1355">
        <v>196</v>
      </c>
      <c r="GS173" s="1355">
        <v>197</v>
      </c>
      <c r="GT173" s="1355">
        <v>198</v>
      </c>
      <c r="GU173" s="1355">
        <v>199</v>
      </c>
      <c r="GV173" s="1355">
        <v>200</v>
      </c>
      <c r="GW173" s="1355">
        <v>201</v>
      </c>
      <c r="GX173" s="1355">
        <v>202</v>
      </c>
      <c r="GY173" s="1355">
        <v>203</v>
      </c>
      <c r="GZ173" s="1355">
        <v>204</v>
      </c>
      <c r="HA173" s="1355">
        <v>205</v>
      </c>
      <c r="HB173" s="1355">
        <v>206</v>
      </c>
      <c r="HC173" s="1355">
        <v>207</v>
      </c>
      <c r="HD173" s="1355">
        <v>208</v>
      </c>
      <c r="HE173" s="1355">
        <v>209</v>
      </c>
      <c r="HF173" s="1355">
        <v>210</v>
      </c>
      <c r="HG173" s="1355">
        <v>211</v>
      </c>
      <c r="HH173" s="1355">
        <v>212</v>
      </c>
      <c r="HI173" s="1355">
        <v>213</v>
      </c>
      <c r="HJ173" s="1355">
        <v>214</v>
      </c>
      <c r="HK173" s="1355">
        <v>215</v>
      </c>
      <c r="HL173" s="1355">
        <v>216</v>
      </c>
      <c r="HM173" s="1355">
        <v>217</v>
      </c>
      <c r="HN173" s="1355">
        <v>218</v>
      </c>
      <c r="HO173" s="1355">
        <v>219</v>
      </c>
      <c r="HP173" s="1355">
        <v>220</v>
      </c>
      <c r="HQ173" s="1355">
        <v>221</v>
      </c>
      <c r="HR173" s="1355">
        <v>222</v>
      </c>
      <c r="HS173" s="1355">
        <v>223</v>
      </c>
      <c r="HT173" s="1355">
        <v>224</v>
      </c>
      <c r="HU173" s="1355">
        <v>225</v>
      </c>
      <c r="HV173" s="1355">
        <v>226</v>
      </c>
      <c r="HW173" s="1355">
        <v>227</v>
      </c>
      <c r="HX173" s="1355">
        <v>228</v>
      </c>
      <c r="HY173" s="1355">
        <v>229</v>
      </c>
      <c r="HZ173" s="1355">
        <v>230</v>
      </c>
      <c r="IA173" s="1355">
        <v>231</v>
      </c>
      <c r="IB173" s="1355">
        <v>232</v>
      </c>
      <c r="IC173" s="1355">
        <v>233</v>
      </c>
      <c r="ID173" s="1355">
        <v>234</v>
      </c>
      <c r="IE173" s="1355">
        <v>235</v>
      </c>
      <c r="IF173" s="1355">
        <v>236</v>
      </c>
      <c r="IG173" s="1355">
        <v>237</v>
      </c>
      <c r="IH173" s="1355">
        <v>238</v>
      </c>
      <c r="II173" s="1355">
        <v>239</v>
      </c>
      <c r="IJ173" s="1355">
        <v>240</v>
      </c>
      <c r="IK173" s="1355">
        <v>241</v>
      </c>
      <c r="IL173" s="1355">
        <v>242</v>
      </c>
      <c r="IM173" s="1355">
        <v>243</v>
      </c>
      <c r="IN173" s="1355">
        <v>244</v>
      </c>
      <c r="IO173" s="1355">
        <v>245</v>
      </c>
      <c r="IP173" s="418">
        <v>246</v>
      </c>
      <c r="IQ173" s="418">
        <v>247</v>
      </c>
      <c r="IR173" s="418">
        <v>248</v>
      </c>
      <c r="IS173" s="1433">
        <v>249</v>
      </c>
      <c r="IT173" s="418">
        <v>250</v>
      </c>
      <c r="IU173" s="1433">
        <v>251</v>
      </c>
      <c r="IV173" s="1433">
        <v>252</v>
      </c>
      <c r="IW173" s="418">
        <v>253</v>
      </c>
      <c r="IX173" s="1433">
        <v>254</v>
      </c>
      <c r="IY173" s="418">
        <v>255</v>
      </c>
      <c r="IZ173" s="1433">
        <v>256</v>
      </c>
      <c r="JA173" s="418">
        <v>257</v>
      </c>
      <c r="JB173" s="1433">
        <v>258</v>
      </c>
      <c r="JC173" s="418">
        <v>259</v>
      </c>
      <c r="JD173" s="1433">
        <v>260</v>
      </c>
      <c r="JE173" s="418">
        <v>261</v>
      </c>
      <c r="JF173" s="1433">
        <v>262</v>
      </c>
      <c r="JG173" s="418">
        <v>263</v>
      </c>
      <c r="JH173" s="1433">
        <v>264</v>
      </c>
      <c r="JI173" s="418">
        <v>265</v>
      </c>
      <c r="JJ173" s="1433">
        <v>266</v>
      </c>
      <c r="JK173" s="418">
        <v>267</v>
      </c>
      <c r="JL173" s="1433">
        <v>268</v>
      </c>
      <c r="JM173" s="418">
        <v>269</v>
      </c>
      <c r="JN173" s="1433">
        <v>270</v>
      </c>
      <c r="JO173" s="418">
        <v>271</v>
      </c>
      <c r="JP173" s="1433">
        <v>272</v>
      </c>
      <c r="JQ173" s="418">
        <v>273</v>
      </c>
      <c r="JR173" s="593"/>
      <c r="JT173" s="2585" t="s">
        <v>2199</v>
      </c>
    </row>
    <row r="174" spans="1:280" x14ac:dyDescent="0.25">
      <c r="A174" s="1367">
        <v>2</v>
      </c>
      <c r="B174" s="1777" t="str">
        <f>IF(NI2Vol_IND&gt;1,IF(HLOOKUP(NI2Vol_IND-1,NI2Vol_RANGE,A174)="","",HLOOKUP(NI2Vol_IND-1,NI2Vol_RANGE,A174)),"")</f>
        <v/>
      </c>
      <c r="C174" s="2542" t="s">
        <v>1506</v>
      </c>
      <c r="D174" s="1360" t="s">
        <v>4589</v>
      </c>
      <c r="E174" s="1272" t="s">
        <v>1615</v>
      </c>
      <c r="F174" s="1272" t="s">
        <v>1615</v>
      </c>
      <c r="G174" s="1272" t="s">
        <v>1615</v>
      </c>
      <c r="H174" s="1272" t="s">
        <v>1615</v>
      </c>
      <c r="I174" s="1272" t="s">
        <v>1615</v>
      </c>
      <c r="J174" s="1272" t="s">
        <v>1615</v>
      </c>
      <c r="K174" s="1272" t="s">
        <v>1615</v>
      </c>
      <c r="L174" s="1272" t="s">
        <v>1615</v>
      </c>
      <c r="M174" s="1272" t="s">
        <v>1707</v>
      </c>
      <c r="N174" s="1272" t="s">
        <v>1615</v>
      </c>
      <c r="O174" s="1272" t="s">
        <v>1615</v>
      </c>
      <c r="P174" s="1272" t="s">
        <v>1615</v>
      </c>
      <c r="Q174" s="1272" t="s">
        <v>1615</v>
      </c>
      <c r="R174" s="1272" t="s">
        <v>1615</v>
      </c>
      <c r="S174" s="1272" t="s">
        <v>1615</v>
      </c>
      <c r="T174" s="1272" t="s">
        <v>1615</v>
      </c>
      <c r="U174" s="1272" t="s">
        <v>1615</v>
      </c>
      <c r="V174" s="1272" t="s">
        <v>1615</v>
      </c>
      <c r="W174" s="1272" t="s">
        <v>1615</v>
      </c>
      <c r="X174" s="1272" t="s">
        <v>1615</v>
      </c>
      <c r="Y174" s="1272" t="s">
        <v>1615</v>
      </c>
      <c r="Z174" s="1272" t="s">
        <v>1615</v>
      </c>
      <c r="AA174" s="1272" t="s">
        <v>1615</v>
      </c>
      <c r="AB174" s="1272" t="s">
        <v>1615</v>
      </c>
      <c r="AC174" s="1272" t="s">
        <v>1615</v>
      </c>
      <c r="AD174" s="1272" t="s">
        <v>1615</v>
      </c>
      <c r="AE174" s="1272" t="s">
        <v>1615</v>
      </c>
      <c r="AF174" s="1272" t="s">
        <v>1615</v>
      </c>
      <c r="AG174" s="1272" t="s">
        <v>1615</v>
      </c>
      <c r="AH174" s="1272" t="s">
        <v>1615</v>
      </c>
      <c r="AI174" s="1272" t="s">
        <v>1615</v>
      </c>
      <c r="AJ174" s="1272" t="s">
        <v>1615</v>
      </c>
      <c r="AK174" s="1272" t="s">
        <v>1615</v>
      </c>
      <c r="AL174" s="1272" t="s">
        <v>1615</v>
      </c>
      <c r="AM174" s="1272" t="s">
        <v>1615</v>
      </c>
      <c r="AN174" s="1272" t="s">
        <v>1615</v>
      </c>
      <c r="AO174" s="1272" t="s">
        <v>1615</v>
      </c>
      <c r="AP174" s="1272" t="s">
        <v>1615</v>
      </c>
      <c r="AQ174" s="1272" t="s">
        <v>1615</v>
      </c>
      <c r="AR174" s="1272" t="s">
        <v>1615</v>
      </c>
      <c r="AS174" s="1272" t="s">
        <v>1615</v>
      </c>
      <c r="AT174" s="1272" t="s">
        <v>1707</v>
      </c>
      <c r="AU174" s="1272" t="s">
        <v>1615</v>
      </c>
      <c r="AV174" s="1272" t="s">
        <v>1615</v>
      </c>
      <c r="AW174" s="1272" t="s">
        <v>1615</v>
      </c>
      <c r="AX174" s="1272" t="s">
        <v>1615</v>
      </c>
      <c r="AY174" s="1272" t="s">
        <v>1615</v>
      </c>
      <c r="AZ174" s="1272" t="s">
        <v>1615</v>
      </c>
      <c r="BA174" s="1272" t="s">
        <v>1615</v>
      </c>
      <c r="BB174" s="1272" t="s">
        <v>1707</v>
      </c>
      <c r="BC174" s="1272" t="s">
        <v>1615</v>
      </c>
      <c r="BD174" s="1272" t="s">
        <v>1707</v>
      </c>
      <c r="BE174" s="1272" t="s">
        <v>1615</v>
      </c>
      <c r="BF174" s="1272" t="s">
        <v>1615</v>
      </c>
      <c r="BG174" s="1272" t="s">
        <v>1615</v>
      </c>
      <c r="BH174" s="1272" t="s">
        <v>1615</v>
      </c>
      <c r="BI174" s="1272" t="s">
        <v>1615</v>
      </c>
      <c r="BJ174" s="1272" t="s">
        <v>1615</v>
      </c>
      <c r="BK174" s="1272" t="s">
        <v>1615</v>
      </c>
      <c r="BL174" s="1272" t="s">
        <v>1615</v>
      </c>
      <c r="BM174" s="1272" t="s">
        <v>1615</v>
      </c>
      <c r="BN174" s="1272" t="s">
        <v>1615</v>
      </c>
      <c r="BO174" s="1272" t="s">
        <v>1615</v>
      </c>
      <c r="BP174" s="1272" t="s">
        <v>1615</v>
      </c>
      <c r="BQ174" s="1272" t="s">
        <v>1615</v>
      </c>
      <c r="BR174" s="1272" t="s">
        <v>1615</v>
      </c>
      <c r="BS174" s="1272" t="s">
        <v>1615</v>
      </c>
      <c r="BT174" s="1272" t="s">
        <v>1615</v>
      </c>
      <c r="BU174" s="1272" t="s">
        <v>1615</v>
      </c>
      <c r="BV174" s="1272" t="s">
        <v>1615</v>
      </c>
      <c r="BW174" s="1272" t="s">
        <v>1615</v>
      </c>
      <c r="BX174" s="1272" t="s">
        <v>1615</v>
      </c>
      <c r="BY174" s="1272" t="s">
        <v>1615</v>
      </c>
      <c r="BZ174" s="1272" t="s">
        <v>1615</v>
      </c>
      <c r="CA174" s="1272" t="s">
        <v>1615</v>
      </c>
      <c r="CB174" s="1272" t="s">
        <v>1615</v>
      </c>
      <c r="CC174" s="1272" t="s">
        <v>1615</v>
      </c>
      <c r="CD174" s="1272" t="s">
        <v>1615</v>
      </c>
      <c r="CE174" s="1272" t="s">
        <v>1615</v>
      </c>
      <c r="CF174" s="1272" t="s">
        <v>1615</v>
      </c>
      <c r="CG174" s="1272" t="s">
        <v>1615</v>
      </c>
      <c r="CH174" s="1272" t="s">
        <v>1615</v>
      </c>
      <c r="CI174" s="1272" t="s">
        <v>1615</v>
      </c>
      <c r="CJ174" s="1272" t="s">
        <v>1615</v>
      </c>
      <c r="CK174" s="1272" t="s">
        <v>1615</v>
      </c>
      <c r="CL174" s="1272" t="s">
        <v>1615</v>
      </c>
      <c r="CM174" s="1272" t="s">
        <v>1615</v>
      </c>
      <c r="CN174" s="1272" t="s">
        <v>1615</v>
      </c>
      <c r="CO174" s="1272" t="s">
        <v>1707</v>
      </c>
      <c r="CP174" s="1272" t="s">
        <v>1615</v>
      </c>
      <c r="CQ174" s="1272" t="s">
        <v>1615</v>
      </c>
      <c r="CR174" s="1272" t="s">
        <v>1615</v>
      </c>
      <c r="CS174" s="1272" t="s">
        <v>1615</v>
      </c>
      <c r="CT174" s="1272" t="s">
        <v>1615</v>
      </c>
      <c r="CU174" s="1272" t="s">
        <v>1615</v>
      </c>
      <c r="CV174" s="1272" t="s">
        <v>1615</v>
      </c>
      <c r="CW174" s="1272" t="s">
        <v>1615</v>
      </c>
      <c r="CX174" s="1272" t="s">
        <v>1707</v>
      </c>
      <c r="CY174" s="1272" t="s">
        <v>1615</v>
      </c>
      <c r="CZ174" s="1272" t="s">
        <v>1615</v>
      </c>
      <c r="DA174" s="1272" t="s">
        <v>1615</v>
      </c>
      <c r="DB174" s="1272" t="s">
        <v>1615</v>
      </c>
      <c r="DC174" s="1272" t="s">
        <v>1615</v>
      </c>
      <c r="DD174" s="1272" t="s">
        <v>1615</v>
      </c>
      <c r="DE174" s="1272" t="s">
        <v>1615</v>
      </c>
      <c r="DF174" s="1272" t="s">
        <v>1615</v>
      </c>
      <c r="DG174" s="1272" t="s">
        <v>1615</v>
      </c>
      <c r="DH174" s="1272" t="s">
        <v>1615</v>
      </c>
      <c r="DI174" s="1272" t="s">
        <v>1615</v>
      </c>
      <c r="DJ174" s="1272" t="s">
        <v>1615</v>
      </c>
      <c r="DK174" s="1272" t="s">
        <v>1615</v>
      </c>
      <c r="DL174" s="1272" t="s">
        <v>1615</v>
      </c>
      <c r="DM174" s="1272" t="s">
        <v>1615</v>
      </c>
      <c r="DN174" s="1272" t="s">
        <v>1615</v>
      </c>
      <c r="DO174" s="1272" t="s">
        <v>1615</v>
      </c>
      <c r="DP174" s="1272" t="s">
        <v>1615</v>
      </c>
      <c r="DQ174" s="1272" t="s">
        <v>1615</v>
      </c>
      <c r="DR174" s="1272" t="s">
        <v>1615</v>
      </c>
      <c r="DS174" s="1272" t="s">
        <v>1615</v>
      </c>
      <c r="DT174" s="1272" t="s">
        <v>1615</v>
      </c>
      <c r="DU174" s="1272" t="s">
        <v>1615</v>
      </c>
      <c r="DV174" s="1272" t="s">
        <v>1615</v>
      </c>
      <c r="DW174" s="1272" t="s">
        <v>1615</v>
      </c>
      <c r="DX174" s="1272" t="s">
        <v>1615</v>
      </c>
      <c r="DY174" s="1272" t="s">
        <v>1615</v>
      </c>
      <c r="DZ174" s="1272" t="s">
        <v>1615</v>
      </c>
      <c r="EA174" s="1272" t="s">
        <v>1615</v>
      </c>
      <c r="EB174" s="1272" t="s">
        <v>1615</v>
      </c>
      <c r="EC174" s="1272" t="s">
        <v>1615</v>
      </c>
      <c r="ED174" s="1272" t="s">
        <v>1615</v>
      </c>
      <c r="EE174" s="1272" t="s">
        <v>1707</v>
      </c>
      <c r="EF174" s="1272" t="s">
        <v>1615</v>
      </c>
      <c r="EG174" s="1272" t="s">
        <v>1707</v>
      </c>
      <c r="EH174" s="1272" t="s">
        <v>1615</v>
      </c>
      <c r="EI174" s="1272" t="s">
        <v>1615</v>
      </c>
      <c r="EJ174" s="1272" t="s">
        <v>1615</v>
      </c>
      <c r="EK174" s="1272" t="s">
        <v>1615</v>
      </c>
      <c r="EL174" s="1272" t="s">
        <v>1615</v>
      </c>
      <c r="EM174" s="1272" t="s">
        <v>1615</v>
      </c>
      <c r="EN174" s="1366" t="s">
        <v>1615</v>
      </c>
      <c r="EO174" s="1272" t="s">
        <v>1615</v>
      </c>
      <c r="EP174" s="1272" t="s">
        <v>1615</v>
      </c>
      <c r="EQ174" s="1272" t="s">
        <v>1615</v>
      </c>
      <c r="ER174" s="1272" t="s">
        <v>1615</v>
      </c>
      <c r="ES174" s="1272" t="s">
        <v>1615</v>
      </c>
      <c r="ET174" s="1272" t="s">
        <v>1615</v>
      </c>
      <c r="EU174" s="1272" t="s">
        <v>1707</v>
      </c>
      <c r="EV174" s="1272" t="s">
        <v>1615</v>
      </c>
      <c r="EW174" s="1272" t="s">
        <v>1615</v>
      </c>
      <c r="EX174" s="1272" t="s">
        <v>1615</v>
      </c>
      <c r="EY174" s="1272" t="s">
        <v>1615</v>
      </c>
      <c r="EZ174" s="1272" t="s">
        <v>1615</v>
      </c>
      <c r="FA174" s="1272" t="s">
        <v>1615</v>
      </c>
      <c r="FB174" s="1272" t="s">
        <v>1615</v>
      </c>
      <c r="FC174" s="1272" t="s">
        <v>1615</v>
      </c>
      <c r="FD174" s="1366" t="s">
        <v>1615</v>
      </c>
      <c r="FE174" s="1272" t="s">
        <v>1707</v>
      </c>
      <c r="FF174" s="1272" t="s">
        <v>1615</v>
      </c>
      <c r="FG174" s="1272" t="s">
        <v>1707</v>
      </c>
      <c r="FH174" s="1272" t="s">
        <v>1615</v>
      </c>
      <c r="FI174" s="1272" t="s">
        <v>1707</v>
      </c>
      <c r="FJ174" s="1272" t="s">
        <v>1615</v>
      </c>
      <c r="FK174" s="1272" t="s">
        <v>1615</v>
      </c>
      <c r="FL174" s="1272" t="s">
        <v>1615</v>
      </c>
      <c r="FM174" s="1272" t="s">
        <v>1615</v>
      </c>
      <c r="FN174" s="1272" t="s">
        <v>1615</v>
      </c>
      <c r="FO174" s="1272" t="s">
        <v>1615</v>
      </c>
      <c r="FP174" s="1272" t="s">
        <v>1615</v>
      </c>
      <c r="FQ174" s="1272" t="s">
        <v>1615</v>
      </c>
      <c r="FR174" s="1272" t="s">
        <v>1615</v>
      </c>
      <c r="FS174" s="1272" t="s">
        <v>1615</v>
      </c>
      <c r="FT174" s="1272" t="s">
        <v>1615</v>
      </c>
      <c r="FU174" s="1272" t="s">
        <v>1615</v>
      </c>
      <c r="FV174" s="1272" t="s">
        <v>1615</v>
      </c>
      <c r="FW174" s="1272" t="s">
        <v>1615</v>
      </c>
      <c r="FX174" s="1272" t="s">
        <v>1615</v>
      </c>
      <c r="FY174" s="1272" t="s">
        <v>1615</v>
      </c>
      <c r="FZ174" s="1272" t="s">
        <v>1615</v>
      </c>
      <c r="GA174" s="1272" t="s">
        <v>1615</v>
      </c>
      <c r="GB174" s="1272" t="s">
        <v>1615</v>
      </c>
      <c r="GC174" s="1272" t="s">
        <v>1615</v>
      </c>
      <c r="GD174" s="1272" t="s">
        <v>1615</v>
      </c>
      <c r="GE174" s="1272" t="s">
        <v>1615</v>
      </c>
      <c r="GF174" s="1272" t="s">
        <v>1615</v>
      </c>
      <c r="GG174" s="1272" t="s">
        <v>1615</v>
      </c>
      <c r="GH174" s="1272" t="s">
        <v>1615</v>
      </c>
      <c r="GI174" s="1272" t="s">
        <v>1615</v>
      </c>
      <c r="GJ174" s="1272" t="s">
        <v>1615</v>
      </c>
      <c r="GK174" s="1272" t="s">
        <v>1615</v>
      </c>
      <c r="GL174" s="1272" t="s">
        <v>1615</v>
      </c>
      <c r="GM174" s="1272" t="s">
        <v>1615</v>
      </c>
      <c r="GN174" s="1272" t="s">
        <v>1615</v>
      </c>
      <c r="GO174" s="1272" t="s">
        <v>1615</v>
      </c>
      <c r="GP174" s="1272" t="s">
        <v>1615</v>
      </c>
      <c r="GQ174" s="1272" t="s">
        <v>1615</v>
      </c>
      <c r="GR174" s="1272" t="s">
        <v>1615</v>
      </c>
      <c r="GS174" s="1272" t="s">
        <v>1615</v>
      </c>
      <c r="GT174" s="1272" t="s">
        <v>1615</v>
      </c>
      <c r="GU174" s="1272" t="s">
        <v>1615</v>
      </c>
      <c r="GV174" s="1272" t="s">
        <v>1615</v>
      </c>
      <c r="GW174" s="1272" t="s">
        <v>1615</v>
      </c>
      <c r="GX174" s="1366" t="s">
        <v>1615</v>
      </c>
      <c r="GY174" s="1272" t="s">
        <v>1707</v>
      </c>
      <c r="GZ174" s="1272" t="s">
        <v>1707</v>
      </c>
      <c r="HA174" s="1272" t="s">
        <v>1707</v>
      </c>
      <c r="HB174" s="1272" t="s">
        <v>1615</v>
      </c>
      <c r="HC174" s="1272" t="s">
        <v>1615</v>
      </c>
      <c r="HD174" s="1272" t="s">
        <v>1615</v>
      </c>
      <c r="HE174" s="1272" t="s">
        <v>1615</v>
      </c>
      <c r="HF174" s="1272" t="s">
        <v>1615</v>
      </c>
      <c r="HG174" s="1272" t="s">
        <v>1615</v>
      </c>
      <c r="HH174" s="1272" t="s">
        <v>1615</v>
      </c>
      <c r="HI174" s="1272" t="s">
        <v>1615</v>
      </c>
      <c r="HJ174" s="1272" t="s">
        <v>1615</v>
      </c>
      <c r="HK174" s="1272" t="s">
        <v>1615</v>
      </c>
      <c r="HL174" s="1272" t="s">
        <v>1615</v>
      </c>
      <c r="HM174" s="1272" t="s">
        <v>1615</v>
      </c>
      <c r="HN174" s="1272" t="s">
        <v>1615</v>
      </c>
      <c r="HO174" s="1272" t="s">
        <v>1615</v>
      </c>
      <c r="HP174" s="1272" t="s">
        <v>1615</v>
      </c>
      <c r="HQ174" s="1272" t="s">
        <v>1615</v>
      </c>
      <c r="HR174" s="1272" t="s">
        <v>1615</v>
      </c>
      <c r="HS174" s="1272" t="s">
        <v>1615</v>
      </c>
      <c r="HT174" s="1272" t="s">
        <v>1615</v>
      </c>
      <c r="HU174" s="1272" t="s">
        <v>1615</v>
      </c>
      <c r="HV174" s="1272" t="s">
        <v>1615</v>
      </c>
      <c r="HW174" s="1272" t="s">
        <v>1615</v>
      </c>
      <c r="HX174" s="1272" t="s">
        <v>1615</v>
      </c>
      <c r="HY174" s="1272" t="s">
        <v>1615</v>
      </c>
      <c r="HZ174" s="1272" t="s">
        <v>1615</v>
      </c>
      <c r="IA174" s="1272" t="s">
        <v>1615</v>
      </c>
      <c r="IB174" s="1272" t="s">
        <v>1615</v>
      </c>
      <c r="IC174" s="1272" t="s">
        <v>1615</v>
      </c>
      <c r="ID174" s="1272" t="s">
        <v>1615</v>
      </c>
      <c r="IE174" s="1272" t="s">
        <v>1615</v>
      </c>
      <c r="IF174" s="1272" t="s">
        <v>1615</v>
      </c>
      <c r="IG174" s="1272" t="s">
        <v>1615</v>
      </c>
      <c r="IH174" s="1272" t="s">
        <v>1615</v>
      </c>
      <c r="II174" s="1272" t="s">
        <v>1615</v>
      </c>
      <c r="IJ174" s="1272" t="s">
        <v>1615</v>
      </c>
      <c r="IK174" s="1272" t="s">
        <v>1615</v>
      </c>
      <c r="IL174" s="1272" t="s">
        <v>1615</v>
      </c>
      <c r="IM174" s="1272" t="s">
        <v>1615</v>
      </c>
      <c r="IN174" s="1272" t="s">
        <v>1615</v>
      </c>
      <c r="IO174" s="1272" t="s">
        <v>1707</v>
      </c>
      <c r="IP174" s="1272" t="s">
        <v>1615</v>
      </c>
      <c r="IQ174" s="1272" t="s">
        <v>1615</v>
      </c>
      <c r="IR174" s="1272" t="s">
        <v>1615</v>
      </c>
      <c r="IS174" s="1272" t="s">
        <v>1615</v>
      </c>
      <c r="IT174" s="1272" t="s">
        <v>1615</v>
      </c>
      <c r="IU174" s="1272" t="s">
        <v>1615</v>
      </c>
      <c r="IV174" s="1272" t="s">
        <v>1615</v>
      </c>
      <c r="IW174" s="1272" t="s">
        <v>1615</v>
      </c>
      <c r="IX174" s="1272"/>
      <c r="IY174" s="1272"/>
      <c r="IZ174" s="1272"/>
      <c r="JA174" s="1272"/>
      <c r="JB174" s="1272"/>
      <c r="JC174" s="1272"/>
      <c r="JD174" s="1366" t="s">
        <v>1707</v>
      </c>
      <c r="JE174" s="1272"/>
      <c r="JF174" s="1272"/>
      <c r="JG174" s="1272" t="s">
        <v>1707</v>
      </c>
      <c r="JH174" s="1272" t="s">
        <v>1615</v>
      </c>
      <c r="JI174" s="1272" t="s">
        <v>1615</v>
      </c>
      <c r="JJ174" s="1272" t="s">
        <v>1615</v>
      </c>
      <c r="JK174" s="1272" t="s">
        <v>1615</v>
      </c>
      <c r="JL174" s="1272" t="s">
        <v>1615</v>
      </c>
      <c r="JM174" s="1366" t="s">
        <v>1707</v>
      </c>
      <c r="JN174" s="1272" t="s">
        <v>1615</v>
      </c>
      <c r="JO174" s="1272" t="s">
        <v>1615</v>
      </c>
      <c r="JP174" s="1272" t="s">
        <v>1615</v>
      </c>
      <c r="JQ174" s="1778"/>
      <c r="JR174" s="593"/>
      <c r="JT174" s="360" t="s">
        <v>2242</v>
      </c>
    </row>
    <row r="175" spans="1:280" ht="12" thickBot="1" x14ac:dyDescent="0.3"/>
    <row r="176" spans="1:280" x14ac:dyDescent="0.25">
      <c r="A176" s="1367" t="s">
        <v>2201</v>
      </c>
      <c r="B176" s="1427" t="str">
        <f>"selected "&amp;NI4Ex_IND-1</f>
        <v>selected 0</v>
      </c>
      <c r="C176" s="2582" t="s">
        <v>4590</v>
      </c>
      <c r="D176" s="1774"/>
      <c r="E176" s="1355">
        <v>1</v>
      </c>
      <c r="F176" s="1355">
        <v>2</v>
      </c>
      <c r="G176" s="1355">
        <v>3</v>
      </c>
      <c r="H176" s="1355">
        <v>4</v>
      </c>
      <c r="I176" s="1355">
        <v>5</v>
      </c>
      <c r="J176" s="1355">
        <v>6</v>
      </c>
      <c r="K176" s="1355">
        <v>7</v>
      </c>
      <c r="L176" s="1355">
        <v>8</v>
      </c>
      <c r="M176" s="1355">
        <v>9</v>
      </c>
      <c r="N176" s="1355">
        <v>10</v>
      </c>
      <c r="O176" s="1355">
        <v>11</v>
      </c>
      <c r="P176" s="1355">
        <v>12</v>
      </c>
      <c r="Q176" s="1355">
        <v>13</v>
      </c>
      <c r="R176" s="1355">
        <v>14</v>
      </c>
      <c r="S176" s="1355">
        <v>15</v>
      </c>
      <c r="T176" s="1355">
        <v>16</v>
      </c>
      <c r="U176" s="1355">
        <v>17</v>
      </c>
      <c r="V176" s="1355">
        <v>18</v>
      </c>
      <c r="W176" s="1355">
        <v>19</v>
      </c>
      <c r="X176" s="1355">
        <v>20</v>
      </c>
      <c r="Y176" s="1355">
        <v>21</v>
      </c>
      <c r="Z176" s="1355">
        <v>22</v>
      </c>
      <c r="AA176" s="1355">
        <v>23</v>
      </c>
      <c r="AB176" s="1355">
        <v>24</v>
      </c>
      <c r="AC176" s="1355">
        <v>25</v>
      </c>
      <c r="AD176" s="1355">
        <v>26</v>
      </c>
      <c r="AE176" s="1355">
        <v>27</v>
      </c>
      <c r="AF176" s="1355">
        <v>28</v>
      </c>
      <c r="AG176" s="1355">
        <v>29</v>
      </c>
      <c r="AH176" s="1355">
        <v>30</v>
      </c>
      <c r="AI176" s="1355">
        <v>31</v>
      </c>
      <c r="AJ176" s="1355">
        <v>32</v>
      </c>
      <c r="AK176" s="1355">
        <v>33</v>
      </c>
      <c r="AL176" s="1355">
        <v>34</v>
      </c>
      <c r="AM176" s="1355">
        <v>35</v>
      </c>
      <c r="AN176" s="1355">
        <v>36</v>
      </c>
      <c r="AO176" s="1355">
        <v>37</v>
      </c>
      <c r="AP176" s="1355">
        <v>38</v>
      </c>
      <c r="AQ176" s="1355">
        <v>39</v>
      </c>
      <c r="AR176" s="1355">
        <v>40</v>
      </c>
      <c r="AS176" s="1355">
        <v>41</v>
      </c>
      <c r="AT176" s="1355">
        <v>42</v>
      </c>
      <c r="AU176" s="1355">
        <v>43</v>
      </c>
      <c r="AV176" s="1355">
        <v>44</v>
      </c>
      <c r="AW176" s="1355">
        <v>45</v>
      </c>
      <c r="AX176" s="1355">
        <v>46</v>
      </c>
      <c r="AY176" s="1355">
        <v>47</v>
      </c>
      <c r="AZ176" s="1355">
        <v>48</v>
      </c>
      <c r="BA176" s="1355">
        <v>49</v>
      </c>
      <c r="BB176" s="1355">
        <v>50</v>
      </c>
      <c r="BC176" s="1355">
        <v>51</v>
      </c>
      <c r="BD176" s="1355">
        <v>52</v>
      </c>
      <c r="BE176" s="1355">
        <v>53</v>
      </c>
      <c r="BF176" s="1355">
        <v>54</v>
      </c>
      <c r="BG176" s="1355">
        <v>55</v>
      </c>
      <c r="BH176" s="1355">
        <v>56</v>
      </c>
      <c r="BI176" s="1355">
        <v>57</v>
      </c>
      <c r="BJ176" s="1355">
        <v>58</v>
      </c>
      <c r="BK176" s="1355">
        <v>59</v>
      </c>
      <c r="BL176" s="1355">
        <v>60</v>
      </c>
      <c r="BM176" s="1355">
        <v>61</v>
      </c>
      <c r="BN176" s="1355">
        <v>62</v>
      </c>
      <c r="BO176" s="1355">
        <v>63</v>
      </c>
      <c r="BP176" s="1355">
        <v>64</v>
      </c>
      <c r="BQ176" s="1355">
        <v>65</v>
      </c>
      <c r="BR176" s="1355">
        <v>66</v>
      </c>
      <c r="BS176" s="1355">
        <v>67</v>
      </c>
      <c r="BT176" s="1355">
        <v>68</v>
      </c>
      <c r="BU176" s="1355">
        <v>69</v>
      </c>
      <c r="BV176" s="1355">
        <v>70</v>
      </c>
      <c r="BW176" s="1355">
        <v>71</v>
      </c>
      <c r="BX176" s="1355">
        <v>72</v>
      </c>
      <c r="BY176" s="1355">
        <v>73</v>
      </c>
      <c r="BZ176" s="1355">
        <v>74</v>
      </c>
      <c r="CA176" s="1355">
        <v>75</v>
      </c>
      <c r="CB176" s="1355">
        <v>76</v>
      </c>
      <c r="CC176" s="1355">
        <v>77</v>
      </c>
      <c r="CD176" s="1355">
        <v>78</v>
      </c>
      <c r="CE176" s="1355">
        <v>79</v>
      </c>
      <c r="CF176" s="1355">
        <v>80</v>
      </c>
      <c r="CG176" s="1355">
        <v>81</v>
      </c>
      <c r="CH176" s="1355">
        <v>82</v>
      </c>
      <c r="CI176" s="1355">
        <v>83</v>
      </c>
      <c r="CJ176" s="1355">
        <v>84</v>
      </c>
      <c r="CK176" s="1355">
        <v>85</v>
      </c>
      <c r="CL176" s="1355">
        <v>86</v>
      </c>
      <c r="CM176" s="1355">
        <v>87</v>
      </c>
      <c r="CN176" s="1355">
        <v>88</v>
      </c>
      <c r="CO176" s="1355">
        <v>89</v>
      </c>
      <c r="CP176" s="1355">
        <v>90</v>
      </c>
      <c r="CQ176" s="1355">
        <v>91</v>
      </c>
      <c r="CR176" s="1355">
        <v>92</v>
      </c>
      <c r="CS176" s="1355">
        <v>93</v>
      </c>
      <c r="CT176" s="1355">
        <v>94</v>
      </c>
      <c r="CU176" s="1355">
        <v>95</v>
      </c>
      <c r="CV176" s="1355">
        <v>96</v>
      </c>
      <c r="CW176" s="1355">
        <v>97</v>
      </c>
      <c r="CX176" s="1355">
        <v>98</v>
      </c>
      <c r="CY176" s="1355">
        <v>99</v>
      </c>
      <c r="CZ176" s="1355">
        <v>100</v>
      </c>
      <c r="DA176" s="1355">
        <v>101</v>
      </c>
      <c r="DB176" s="1355">
        <v>102</v>
      </c>
      <c r="DC176" s="1355">
        <v>103</v>
      </c>
      <c r="DD176" s="1355">
        <v>104</v>
      </c>
      <c r="DE176" s="1355">
        <v>105</v>
      </c>
      <c r="DF176" s="1355">
        <v>106</v>
      </c>
      <c r="DG176" s="1355">
        <v>107</v>
      </c>
      <c r="DH176" s="1355">
        <v>108</v>
      </c>
      <c r="DI176" s="1355">
        <v>109</v>
      </c>
      <c r="DJ176" s="1355">
        <v>110</v>
      </c>
      <c r="DK176" s="1355">
        <v>111</v>
      </c>
      <c r="DL176" s="1355">
        <v>112</v>
      </c>
      <c r="DM176" s="1355">
        <v>113</v>
      </c>
      <c r="DN176" s="1355">
        <v>114</v>
      </c>
      <c r="DO176" s="1355">
        <v>115</v>
      </c>
      <c r="DP176" s="1355">
        <v>116</v>
      </c>
      <c r="DQ176" s="1355">
        <v>117</v>
      </c>
      <c r="DR176" s="1355">
        <v>118</v>
      </c>
      <c r="DS176" s="1355">
        <v>119</v>
      </c>
      <c r="DT176" s="1355">
        <v>120</v>
      </c>
      <c r="DU176" s="1355">
        <v>121</v>
      </c>
      <c r="DV176" s="1355">
        <v>122</v>
      </c>
      <c r="DW176" s="1355">
        <v>123</v>
      </c>
      <c r="DX176" s="1355">
        <v>124</v>
      </c>
      <c r="DY176" s="1355">
        <v>125</v>
      </c>
      <c r="DZ176" s="1355">
        <v>126</v>
      </c>
      <c r="EA176" s="1355">
        <v>127</v>
      </c>
      <c r="EB176" s="1355">
        <v>128</v>
      </c>
      <c r="EC176" s="1355">
        <v>129</v>
      </c>
      <c r="ED176" s="1355">
        <v>130</v>
      </c>
      <c r="EE176" s="1355">
        <v>131</v>
      </c>
      <c r="EF176" s="1355">
        <v>132</v>
      </c>
      <c r="EG176" s="1355">
        <v>133</v>
      </c>
      <c r="EH176" s="1355">
        <v>134</v>
      </c>
      <c r="EI176" s="1355">
        <v>135</v>
      </c>
      <c r="EJ176" s="1355">
        <v>136</v>
      </c>
      <c r="EK176" s="1355">
        <v>137</v>
      </c>
      <c r="EL176" s="1355">
        <v>138</v>
      </c>
      <c r="EM176" s="1355">
        <v>139</v>
      </c>
      <c r="EN176" s="1355">
        <v>140</v>
      </c>
      <c r="EO176" s="1355">
        <v>141</v>
      </c>
      <c r="EP176" s="1355">
        <v>142</v>
      </c>
      <c r="EQ176" s="1355">
        <v>143</v>
      </c>
      <c r="ER176" s="1355">
        <v>144</v>
      </c>
      <c r="ES176" s="1355">
        <v>145</v>
      </c>
      <c r="ET176" s="1355">
        <v>146</v>
      </c>
      <c r="EU176" s="1355">
        <v>147</v>
      </c>
      <c r="EV176" s="1355">
        <v>148</v>
      </c>
      <c r="EW176" s="1355">
        <v>149</v>
      </c>
      <c r="EX176" s="1355">
        <v>150</v>
      </c>
      <c r="EY176" s="1355">
        <v>151</v>
      </c>
      <c r="EZ176" s="1355">
        <v>152</v>
      </c>
      <c r="FA176" s="1355">
        <v>153</v>
      </c>
      <c r="FB176" s="1355">
        <v>154</v>
      </c>
      <c r="FC176" s="1355">
        <v>155</v>
      </c>
      <c r="FD176" s="1355">
        <v>156</v>
      </c>
      <c r="FE176" s="1355">
        <v>157</v>
      </c>
      <c r="FF176" s="1355">
        <v>158</v>
      </c>
      <c r="FG176" s="1355">
        <v>159</v>
      </c>
      <c r="FH176" s="1355">
        <v>160</v>
      </c>
      <c r="FI176" s="1355">
        <v>161</v>
      </c>
      <c r="FJ176" s="1355">
        <v>162</v>
      </c>
      <c r="FK176" s="1355">
        <v>163</v>
      </c>
      <c r="FL176" s="1355">
        <v>164</v>
      </c>
      <c r="FM176" s="1355">
        <v>165</v>
      </c>
      <c r="FN176" s="1355">
        <v>166</v>
      </c>
      <c r="FO176" s="1355">
        <v>167</v>
      </c>
      <c r="FP176" s="1355">
        <v>168</v>
      </c>
      <c r="FQ176" s="1355">
        <v>169</v>
      </c>
      <c r="FR176" s="1355">
        <v>170</v>
      </c>
      <c r="FS176" s="1355">
        <v>171</v>
      </c>
      <c r="FT176" s="1355">
        <v>172</v>
      </c>
      <c r="FU176" s="1355">
        <v>173</v>
      </c>
      <c r="FV176" s="1355">
        <v>174</v>
      </c>
      <c r="FW176" s="1355">
        <v>175</v>
      </c>
      <c r="FX176" s="1355">
        <v>176</v>
      </c>
      <c r="FY176" s="1355">
        <v>177</v>
      </c>
      <c r="FZ176" s="1355">
        <v>178</v>
      </c>
      <c r="GA176" s="1355">
        <v>179</v>
      </c>
      <c r="GB176" s="1355">
        <v>180</v>
      </c>
      <c r="GC176" s="1355">
        <v>181</v>
      </c>
      <c r="GD176" s="1355">
        <v>182</v>
      </c>
      <c r="GE176" s="1355">
        <v>183</v>
      </c>
      <c r="GF176" s="1355">
        <v>184</v>
      </c>
      <c r="GG176" s="1355">
        <v>185</v>
      </c>
      <c r="GH176" s="1355">
        <v>186</v>
      </c>
      <c r="GI176" s="1355">
        <v>187</v>
      </c>
      <c r="GJ176" s="1355">
        <v>188</v>
      </c>
      <c r="GK176" s="1355">
        <v>189</v>
      </c>
      <c r="GL176" s="1355">
        <v>190</v>
      </c>
      <c r="GM176" s="1355">
        <v>191</v>
      </c>
      <c r="GN176" s="1355">
        <v>192</v>
      </c>
      <c r="GO176" s="1355">
        <v>193</v>
      </c>
      <c r="GP176" s="1355">
        <v>194</v>
      </c>
      <c r="GQ176" s="1355">
        <v>195</v>
      </c>
      <c r="GR176" s="1355">
        <v>196</v>
      </c>
      <c r="GS176" s="1355">
        <v>197</v>
      </c>
      <c r="GT176" s="1355">
        <v>198</v>
      </c>
      <c r="GU176" s="1355">
        <v>199</v>
      </c>
      <c r="GV176" s="1355">
        <v>200</v>
      </c>
      <c r="GW176" s="1355">
        <v>201</v>
      </c>
      <c r="GX176" s="1355">
        <v>202</v>
      </c>
      <c r="GY176" s="1355">
        <v>203</v>
      </c>
      <c r="GZ176" s="1355">
        <v>204</v>
      </c>
      <c r="HA176" s="1355">
        <v>205</v>
      </c>
      <c r="HB176" s="1355">
        <v>206</v>
      </c>
      <c r="HC176" s="1355">
        <v>207</v>
      </c>
      <c r="HD176" s="1355">
        <v>208</v>
      </c>
      <c r="HE176" s="1355">
        <v>209</v>
      </c>
      <c r="HF176" s="1355">
        <v>210</v>
      </c>
      <c r="HG176" s="1355">
        <v>211</v>
      </c>
      <c r="HH176" s="1355">
        <v>212</v>
      </c>
      <c r="HI176" s="1355">
        <v>213</v>
      </c>
      <c r="HJ176" s="1355">
        <v>214</v>
      </c>
      <c r="HK176" s="1355">
        <v>215</v>
      </c>
      <c r="HL176" s="1355">
        <v>216</v>
      </c>
      <c r="HM176" s="1355">
        <v>217</v>
      </c>
      <c r="HN176" s="1355">
        <v>218</v>
      </c>
      <c r="HO176" s="1355">
        <v>219</v>
      </c>
      <c r="HP176" s="1355">
        <v>220</v>
      </c>
      <c r="HQ176" s="1355">
        <v>221</v>
      </c>
      <c r="HR176" s="1355">
        <v>222</v>
      </c>
      <c r="HS176" s="1355">
        <v>223</v>
      </c>
      <c r="HT176" s="1355">
        <v>224</v>
      </c>
      <c r="HU176" s="1355">
        <v>225</v>
      </c>
      <c r="HV176" s="1355">
        <v>226</v>
      </c>
      <c r="HW176" s="1355">
        <v>227</v>
      </c>
      <c r="HX176" s="1355">
        <v>228</v>
      </c>
      <c r="HY176" s="1355">
        <v>229</v>
      </c>
      <c r="HZ176" s="1355">
        <v>230</v>
      </c>
      <c r="IA176" s="1355">
        <v>231</v>
      </c>
      <c r="IB176" s="1355">
        <v>232</v>
      </c>
      <c r="IC176" s="1355">
        <v>233</v>
      </c>
      <c r="ID176" s="1355">
        <v>234</v>
      </c>
      <c r="IE176" s="1355">
        <v>235</v>
      </c>
      <c r="IF176" s="1355">
        <v>236</v>
      </c>
      <c r="IG176" s="1355">
        <v>237</v>
      </c>
      <c r="IH176" s="1355">
        <v>238</v>
      </c>
      <c r="II176" s="1355">
        <v>239</v>
      </c>
      <c r="IJ176" s="1355">
        <v>240</v>
      </c>
      <c r="IK176" s="1355">
        <v>241</v>
      </c>
      <c r="IL176" s="1355">
        <v>242</v>
      </c>
      <c r="IM176" s="1355">
        <v>243</v>
      </c>
      <c r="IN176" s="1355">
        <v>244</v>
      </c>
      <c r="IO176" s="1355">
        <v>245</v>
      </c>
      <c r="IP176" s="418">
        <v>246</v>
      </c>
      <c r="IQ176" s="418">
        <v>247</v>
      </c>
      <c r="IR176" s="418">
        <v>248</v>
      </c>
      <c r="IS176" s="1433">
        <v>249</v>
      </c>
      <c r="IT176" s="418">
        <v>250</v>
      </c>
      <c r="IU176" s="1433">
        <v>251</v>
      </c>
      <c r="IV176" s="1433">
        <v>252</v>
      </c>
      <c r="IW176" s="418">
        <v>253</v>
      </c>
      <c r="IX176" s="1433">
        <v>254</v>
      </c>
      <c r="IY176" s="418">
        <v>255</v>
      </c>
      <c r="IZ176" s="1433">
        <v>256</v>
      </c>
      <c r="JA176" s="418">
        <v>257</v>
      </c>
      <c r="JB176" s="1433">
        <v>258</v>
      </c>
      <c r="JC176" s="418">
        <v>259</v>
      </c>
      <c r="JD176" s="1433">
        <v>260</v>
      </c>
      <c r="JE176" s="418">
        <v>261</v>
      </c>
      <c r="JF176" s="1433">
        <v>262</v>
      </c>
      <c r="JG176" s="418">
        <v>263</v>
      </c>
      <c r="JH176" s="1433">
        <v>254</v>
      </c>
      <c r="JI176" s="1433">
        <v>255</v>
      </c>
      <c r="JJ176" s="418">
        <v>256</v>
      </c>
      <c r="JK176" s="418">
        <v>257</v>
      </c>
      <c r="JL176" s="418">
        <v>258</v>
      </c>
      <c r="JM176" s="418">
        <v>259</v>
      </c>
      <c r="JN176" s="418">
        <v>260</v>
      </c>
      <c r="JO176" s="418">
        <v>261</v>
      </c>
      <c r="JP176" s="418">
        <v>262</v>
      </c>
      <c r="JQ176" s="453">
        <v>263</v>
      </c>
      <c r="JR176" s="593"/>
      <c r="JT176" s="2585" t="s">
        <v>2199</v>
      </c>
    </row>
    <row r="177" spans="1:280" x14ac:dyDescent="0.25">
      <c r="A177" s="1367">
        <v>2</v>
      </c>
      <c r="B177" s="1777" t="str">
        <f>IF(NI4Ex_IND&gt;1,IF(HLOOKUP(NI4Ex_IND-1,NI4Ex_RANGE,A177)="","",HLOOKUP(NI4Ex_IND-1,NI4Ex_RANGE,A177)),"")</f>
        <v/>
      </c>
      <c r="C177" s="2542" t="s">
        <v>4590</v>
      </c>
      <c r="D177" s="1360" t="s">
        <v>4591</v>
      </c>
      <c r="E177" s="1272" t="s">
        <v>1615</v>
      </c>
      <c r="F177" s="1272" t="s">
        <v>1615</v>
      </c>
      <c r="G177" s="1272" t="s">
        <v>1615</v>
      </c>
      <c r="H177" s="1272" t="s">
        <v>1615</v>
      </c>
      <c r="I177" s="1272" t="s">
        <v>1615</v>
      </c>
      <c r="J177" s="1272" t="s">
        <v>1707</v>
      </c>
      <c r="K177" s="1272" t="s">
        <v>1707</v>
      </c>
      <c r="L177" s="1272" t="s">
        <v>1707</v>
      </c>
      <c r="M177" s="1272" t="s">
        <v>1615</v>
      </c>
      <c r="N177" s="1272" t="s">
        <v>1615</v>
      </c>
      <c r="O177" s="1272" t="s">
        <v>1707</v>
      </c>
      <c r="P177" s="1272" t="s">
        <v>1615</v>
      </c>
      <c r="Q177" s="1272" t="s">
        <v>1707</v>
      </c>
      <c r="R177" s="1272" t="s">
        <v>1615</v>
      </c>
      <c r="S177" s="1272" t="s">
        <v>1615</v>
      </c>
      <c r="T177" s="1272" t="s">
        <v>1615</v>
      </c>
      <c r="U177" s="1272" t="s">
        <v>1615</v>
      </c>
      <c r="V177" s="1272" t="s">
        <v>1615</v>
      </c>
      <c r="W177" s="1272" t="s">
        <v>1615</v>
      </c>
      <c r="X177" s="1272" t="s">
        <v>1615</v>
      </c>
      <c r="Y177" s="1272" t="s">
        <v>1615</v>
      </c>
      <c r="Z177" s="1272" t="s">
        <v>1615</v>
      </c>
      <c r="AA177" s="1272" t="s">
        <v>1615</v>
      </c>
      <c r="AB177" s="1272" t="s">
        <v>1615</v>
      </c>
      <c r="AC177" s="1272" t="s">
        <v>1615</v>
      </c>
      <c r="AD177" s="1272" t="s">
        <v>1615</v>
      </c>
      <c r="AE177" s="1272" t="s">
        <v>1615</v>
      </c>
      <c r="AF177" s="1272" t="s">
        <v>1615</v>
      </c>
      <c r="AG177" s="1272" t="s">
        <v>1615</v>
      </c>
      <c r="AH177" s="1272" t="s">
        <v>1615</v>
      </c>
      <c r="AI177" s="1272" t="s">
        <v>1615</v>
      </c>
      <c r="AJ177" s="1272" t="s">
        <v>1615</v>
      </c>
      <c r="AK177" s="1272" t="s">
        <v>1615</v>
      </c>
      <c r="AL177" s="1272" t="s">
        <v>1615</v>
      </c>
      <c r="AM177" s="1272" t="s">
        <v>1615</v>
      </c>
      <c r="AN177" s="1272" t="s">
        <v>1615</v>
      </c>
      <c r="AO177" s="1272" t="s">
        <v>1615</v>
      </c>
      <c r="AP177" s="1272" t="s">
        <v>1615</v>
      </c>
      <c r="AQ177" s="1272" t="s">
        <v>1615</v>
      </c>
      <c r="AR177" s="1272" t="s">
        <v>1615</v>
      </c>
      <c r="AS177" s="1272" t="s">
        <v>1615</v>
      </c>
      <c r="AT177" s="1272" t="s">
        <v>1615</v>
      </c>
      <c r="AU177" s="1272" t="s">
        <v>1615</v>
      </c>
      <c r="AV177" s="1272" t="s">
        <v>1615</v>
      </c>
      <c r="AW177" s="1272" t="s">
        <v>1707</v>
      </c>
      <c r="AX177" s="1272" t="s">
        <v>1707</v>
      </c>
      <c r="AY177" s="1272" t="s">
        <v>1707</v>
      </c>
      <c r="AZ177" s="1272" t="s">
        <v>1707</v>
      </c>
      <c r="BA177" s="1272" t="s">
        <v>1615</v>
      </c>
      <c r="BB177" s="1272" t="s">
        <v>1615</v>
      </c>
      <c r="BC177" s="1272" t="s">
        <v>1615</v>
      </c>
      <c r="BD177" s="1272" t="s">
        <v>1615</v>
      </c>
      <c r="BE177" s="1272" t="s">
        <v>1615</v>
      </c>
      <c r="BF177" s="1272" t="s">
        <v>1615</v>
      </c>
      <c r="BG177" s="1272" t="s">
        <v>1615</v>
      </c>
      <c r="BH177" s="1272" t="s">
        <v>1707</v>
      </c>
      <c r="BI177" s="1272" t="s">
        <v>1615</v>
      </c>
      <c r="BJ177" s="1272" t="s">
        <v>1615</v>
      </c>
      <c r="BK177" s="1272" t="s">
        <v>1707</v>
      </c>
      <c r="BL177" s="1272" t="s">
        <v>1615</v>
      </c>
      <c r="BM177" s="1272" t="s">
        <v>1707</v>
      </c>
      <c r="BN177" s="1272" t="s">
        <v>1707</v>
      </c>
      <c r="BO177" s="1272" t="s">
        <v>1615</v>
      </c>
      <c r="BP177" s="1272" t="s">
        <v>1707</v>
      </c>
      <c r="BQ177" s="1272" t="s">
        <v>1707</v>
      </c>
      <c r="BR177" s="1272" t="s">
        <v>1707</v>
      </c>
      <c r="BS177" s="1272" t="s">
        <v>1707</v>
      </c>
      <c r="BT177" s="1272" t="s">
        <v>1707</v>
      </c>
      <c r="BU177" s="1272" t="s">
        <v>1707</v>
      </c>
      <c r="BV177" s="1272" t="s">
        <v>1707</v>
      </c>
      <c r="BW177" s="1272" t="s">
        <v>1707</v>
      </c>
      <c r="BX177" s="1272" t="s">
        <v>1707</v>
      </c>
      <c r="BY177" s="1272" t="s">
        <v>1707</v>
      </c>
      <c r="BZ177" s="1272" t="s">
        <v>1707</v>
      </c>
      <c r="CA177" s="1272" t="s">
        <v>1707</v>
      </c>
      <c r="CB177" s="1272" t="s">
        <v>1615</v>
      </c>
      <c r="CC177" s="1272" t="s">
        <v>1615</v>
      </c>
      <c r="CD177" s="1272" t="s">
        <v>1707</v>
      </c>
      <c r="CE177" s="1272" t="s">
        <v>1615</v>
      </c>
      <c r="CF177" s="1272" t="s">
        <v>1707</v>
      </c>
      <c r="CG177" s="1272" t="s">
        <v>1615</v>
      </c>
      <c r="CH177" s="1272" t="s">
        <v>1707</v>
      </c>
      <c r="CI177" s="1272" t="s">
        <v>1707</v>
      </c>
      <c r="CJ177" s="1272" t="s">
        <v>1615</v>
      </c>
      <c r="CK177" s="1272" t="s">
        <v>1707</v>
      </c>
      <c r="CL177" s="1272" t="s">
        <v>1615</v>
      </c>
      <c r="CM177" s="1272" t="s">
        <v>1707</v>
      </c>
      <c r="CN177" s="1272" t="s">
        <v>1615</v>
      </c>
      <c r="CO177" s="1272" t="s">
        <v>1615</v>
      </c>
      <c r="CP177" s="1272" t="s">
        <v>1707</v>
      </c>
      <c r="CQ177" s="1272" t="s">
        <v>1615</v>
      </c>
      <c r="CR177" s="1272" t="s">
        <v>1615</v>
      </c>
      <c r="CS177" s="1272" t="s">
        <v>1615</v>
      </c>
      <c r="CT177" s="1272" t="s">
        <v>1615</v>
      </c>
      <c r="CU177" s="1272" t="s">
        <v>1615</v>
      </c>
      <c r="CV177" s="1272" t="s">
        <v>1615</v>
      </c>
      <c r="CW177" s="1272" t="s">
        <v>1615</v>
      </c>
      <c r="CX177" s="1272" t="s">
        <v>1615</v>
      </c>
      <c r="CY177" s="1272" t="s">
        <v>1615</v>
      </c>
      <c r="CZ177" s="1272" t="s">
        <v>1615</v>
      </c>
      <c r="DA177" s="1272" t="s">
        <v>1615</v>
      </c>
      <c r="DB177" s="1272" t="s">
        <v>1615</v>
      </c>
      <c r="DC177" s="1272" t="s">
        <v>1615</v>
      </c>
      <c r="DD177" s="1272" t="s">
        <v>1615</v>
      </c>
      <c r="DE177" s="1272" t="s">
        <v>1615</v>
      </c>
      <c r="DF177" s="1272" t="s">
        <v>1615</v>
      </c>
      <c r="DG177" s="1272" t="s">
        <v>1615</v>
      </c>
      <c r="DH177" s="1272" t="s">
        <v>1707</v>
      </c>
      <c r="DI177" s="1272" t="s">
        <v>1707</v>
      </c>
      <c r="DJ177" s="1272" t="s">
        <v>1615</v>
      </c>
      <c r="DK177" s="1272" t="s">
        <v>1615</v>
      </c>
      <c r="DL177" s="1272" t="s">
        <v>1615</v>
      </c>
      <c r="DM177" s="1272" t="s">
        <v>1615</v>
      </c>
      <c r="DN177" s="1272" t="s">
        <v>1615</v>
      </c>
      <c r="DO177" s="1272" t="s">
        <v>1615</v>
      </c>
      <c r="DP177" s="1272" t="s">
        <v>1615</v>
      </c>
      <c r="DQ177" s="1272" t="s">
        <v>1615</v>
      </c>
      <c r="DR177" s="1272" t="s">
        <v>1615</v>
      </c>
      <c r="DS177" s="1366" t="s">
        <v>1615</v>
      </c>
      <c r="DT177" s="1272" t="s">
        <v>1615</v>
      </c>
      <c r="DU177" s="1272" t="s">
        <v>1615</v>
      </c>
      <c r="DV177" s="1272" t="s">
        <v>1615</v>
      </c>
      <c r="DW177" s="1272" t="s">
        <v>1615</v>
      </c>
      <c r="DX177" s="1272" t="s">
        <v>1707</v>
      </c>
      <c r="DY177" s="1272" t="s">
        <v>1707</v>
      </c>
      <c r="DZ177" s="1272" t="s">
        <v>1615</v>
      </c>
      <c r="EA177" s="1272" t="s">
        <v>1615</v>
      </c>
      <c r="EB177" s="1272" t="s">
        <v>1615</v>
      </c>
      <c r="EC177" s="1272" t="s">
        <v>1615</v>
      </c>
      <c r="ED177" s="1272" t="s">
        <v>1707</v>
      </c>
      <c r="EE177" s="1272" t="s">
        <v>1615</v>
      </c>
      <c r="EF177" s="1272" t="s">
        <v>1615</v>
      </c>
      <c r="EG177" s="1272" t="s">
        <v>1615</v>
      </c>
      <c r="EH177" s="1272" t="s">
        <v>1615</v>
      </c>
      <c r="EI177" s="1272" t="s">
        <v>1707</v>
      </c>
      <c r="EJ177" s="1272" t="s">
        <v>1615</v>
      </c>
      <c r="EK177" s="1272" t="s">
        <v>1615</v>
      </c>
      <c r="EL177" s="1272" t="s">
        <v>1615</v>
      </c>
      <c r="EM177" s="1272" t="s">
        <v>1615</v>
      </c>
      <c r="EN177" s="1272" t="s">
        <v>1615</v>
      </c>
      <c r="EO177" s="1272" t="s">
        <v>1615</v>
      </c>
      <c r="EP177" s="1272" t="s">
        <v>1615</v>
      </c>
      <c r="EQ177" s="1272" t="s">
        <v>1615</v>
      </c>
      <c r="ER177" s="1272" t="s">
        <v>1615</v>
      </c>
      <c r="ES177" s="1272" t="s">
        <v>1707</v>
      </c>
      <c r="ET177" s="1272" t="s">
        <v>1707</v>
      </c>
      <c r="EU177" s="1272" t="s">
        <v>1615</v>
      </c>
      <c r="EV177" s="1272" t="s">
        <v>1707</v>
      </c>
      <c r="EW177" s="1272" t="s">
        <v>1615</v>
      </c>
      <c r="EX177" s="1272" t="s">
        <v>1615</v>
      </c>
      <c r="EY177" s="1272" t="s">
        <v>1615</v>
      </c>
      <c r="EZ177" s="1272" t="s">
        <v>1615</v>
      </c>
      <c r="FA177" s="1272" t="s">
        <v>1615</v>
      </c>
      <c r="FB177" s="1272" t="s">
        <v>1615</v>
      </c>
      <c r="FC177" s="1272" t="s">
        <v>1615</v>
      </c>
      <c r="FD177" s="1272" t="s">
        <v>1615</v>
      </c>
      <c r="FE177" s="1272" t="s">
        <v>1615</v>
      </c>
      <c r="FF177" s="1272" t="s">
        <v>1615</v>
      </c>
      <c r="FG177" s="1272" t="s">
        <v>1615</v>
      </c>
      <c r="FH177" s="1272" t="s">
        <v>1615</v>
      </c>
      <c r="FI177" s="1272" t="s">
        <v>1615</v>
      </c>
      <c r="FJ177" s="1272" t="s">
        <v>1707</v>
      </c>
      <c r="FK177" s="1272" t="s">
        <v>1615</v>
      </c>
      <c r="FL177" s="1272" t="s">
        <v>1615</v>
      </c>
      <c r="FM177" s="1272" t="s">
        <v>1615</v>
      </c>
      <c r="FN177" s="1272" t="s">
        <v>1615</v>
      </c>
      <c r="FO177" s="1272" t="s">
        <v>1615</v>
      </c>
      <c r="FP177" s="1272" t="s">
        <v>1615</v>
      </c>
      <c r="FQ177" s="1272" t="s">
        <v>1615</v>
      </c>
      <c r="FR177" s="1272" t="s">
        <v>1615</v>
      </c>
      <c r="FS177" s="1272" t="s">
        <v>1615</v>
      </c>
      <c r="FT177" s="1272" t="s">
        <v>1707</v>
      </c>
      <c r="FU177" s="1272" t="s">
        <v>1707</v>
      </c>
      <c r="FV177" s="1272" t="s">
        <v>1707</v>
      </c>
      <c r="FW177" s="1272" t="s">
        <v>1615</v>
      </c>
      <c r="FX177" s="1272" t="s">
        <v>1615</v>
      </c>
      <c r="FY177" s="1272" t="s">
        <v>1615</v>
      </c>
      <c r="FZ177" s="1272" t="s">
        <v>1615</v>
      </c>
      <c r="GA177" s="1272" t="s">
        <v>1615</v>
      </c>
      <c r="GB177" s="1272" t="s">
        <v>1615</v>
      </c>
      <c r="GC177" s="1272" t="s">
        <v>1615</v>
      </c>
      <c r="GD177" s="1272" t="s">
        <v>1615</v>
      </c>
      <c r="GE177" s="1272" t="s">
        <v>1615</v>
      </c>
      <c r="GF177" s="1272" t="s">
        <v>1615</v>
      </c>
      <c r="GG177" s="1272" t="s">
        <v>1615</v>
      </c>
      <c r="GH177" s="1272" t="s">
        <v>1615</v>
      </c>
      <c r="GI177" s="1272" t="s">
        <v>1707</v>
      </c>
      <c r="GJ177" s="1272" t="s">
        <v>1707</v>
      </c>
      <c r="GK177" s="1272" t="s">
        <v>1615</v>
      </c>
      <c r="GL177" s="1272" t="s">
        <v>1615</v>
      </c>
      <c r="GM177" s="1272" t="s">
        <v>1615</v>
      </c>
      <c r="GN177" s="1272" t="s">
        <v>1615</v>
      </c>
      <c r="GO177" s="1272" t="s">
        <v>1615</v>
      </c>
      <c r="GP177" s="1272" t="s">
        <v>1615</v>
      </c>
      <c r="GQ177" s="1272" t="s">
        <v>1615</v>
      </c>
      <c r="GR177" s="1272" t="s">
        <v>1615</v>
      </c>
      <c r="GS177" s="1272" t="s">
        <v>1615</v>
      </c>
      <c r="GT177" s="1272" t="s">
        <v>1615</v>
      </c>
      <c r="GU177" s="1272" t="s">
        <v>1615</v>
      </c>
      <c r="GV177" s="1272" t="s">
        <v>1707</v>
      </c>
      <c r="GW177" s="1272" t="s">
        <v>1615</v>
      </c>
      <c r="GX177" s="1272" t="s">
        <v>1615</v>
      </c>
      <c r="GY177" s="1272" t="s">
        <v>1615</v>
      </c>
      <c r="GZ177" s="1272" t="s">
        <v>1615</v>
      </c>
      <c r="HA177" s="1272" t="s">
        <v>1615</v>
      </c>
      <c r="HB177" s="1272" t="s">
        <v>1615</v>
      </c>
      <c r="HC177" s="1272" t="s">
        <v>1615</v>
      </c>
      <c r="HD177" s="1272" t="s">
        <v>1707</v>
      </c>
      <c r="HE177" s="1272" t="s">
        <v>1615</v>
      </c>
      <c r="HF177" s="1272" t="s">
        <v>1707</v>
      </c>
      <c r="HG177" s="1272" t="s">
        <v>1707</v>
      </c>
      <c r="HH177" s="1272" t="s">
        <v>1615</v>
      </c>
      <c r="HI177" s="1272" t="s">
        <v>1615</v>
      </c>
      <c r="HJ177" s="1272" t="s">
        <v>1615</v>
      </c>
      <c r="HK177" s="1272" t="s">
        <v>1615</v>
      </c>
      <c r="HL177" s="1272" t="s">
        <v>1615</v>
      </c>
      <c r="HM177" s="1272" t="s">
        <v>1615</v>
      </c>
      <c r="HN177" s="1272" t="s">
        <v>1615</v>
      </c>
      <c r="HO177" s="1272" t="s">
        <v>1615</v>
      </c>
      <c r="HP177" s="1272" t="s">
        <v>1707</v>
      </c>
      <c r="HQ177" s="1272" t="s">
        <v>1615</v>
      </c>
      <c r="HR177" s="1272" t="s">
        <v>1615</v>
      </c>
      <c r="HS177" s="1272" t="s">
        <v>1615</v>
      </c>
      <c r="HT177" s="1272" t="s">
        <v>1615</v>
      </c>
      <c r="HU177" s="1272" t="s">
        <v>1615</v>
      </c>
      <c r="HV177" s="1272" t="s">
        <v>1615</v>
      </c>
      <c r="HW177" s="1272" t="s">
        <v>1615</v>
      </c>
      <c r="HX177" s="1272" t="s">
        <v>1615</v>
      </c>
      <c r="HY177" s="1272" t="s">
        <v>1615</v>
      </c>
      <c r="HZ177" s="1272" t="s">
        <v>1615</v>
      </c>
      <c r="IA177" s="1272" t="s">
        <v>1615</v>
      </c>
      <c r="IB177" s="1272" t="s">
        <v>1615</v>
      </c>
      <c r="IC177" s="1272" t="s">
        <v>1615</v>
      </c>
      <c r="ID177" s="1272" t="s">
        <v>1615</v>
      </c>
      <c r="IE177" s="1272" t="s">
        <v>1615</v>
      </c>
      <c r="IF177" s="1272" t="s">
        <v>1615</v>
      </c>
      <c r="IG177" s="1272" t="s">
        <v>1615</v>
      </c>
      <c r="IH177" s="1272" t="s">
        <v>1615</v>
      </c>
      <c r="II177" s="1272" t="s">
        <v>1615</v>
      </c>
      <c r="IJ177" s="1272" t="s">
        <v>1615</v>
      </c>
      <c r="IK177" s="1272" t="s">
        <v>1615</v>
      </c>
      <c r="IL177" s="1272" t="s">
        <v>1615</v>
      </c>
      <c r="IM177" s="1272" t="s">
        <v>1615</v>
      </c>
      <c r="IN177" s="1272" t="s">
        <v>1615</v>
      </c>
      <c r="IO177" s="1272" t="s">
        <v>1615</v>
      </c>
      <c r="IP177" s="1272" t="s">
        <v>1615</v>
      </c>
      <c r="IQ177" s="1272" t="s">
        <v>1707</v>
      </c>
      <c r="IR177" s="1272" t="s">
        <v>1615</v>
      </c>
      <c r="IS177" s="1272" t="s">
        <v>1615</v>
      </c>
      <c r="IT177" s="1272" t="s">
        <v>1615</v>
      </c>
      <c r="IU177" s="1272" t="s">
        <v>1615</v>
      </c>
      <c r="IV177" s="1272" t="s">
        <v>1615</v>
      </c>
      <c r="IW177" s="1272" t="s">
        <v>1615</v>
      </c>
      <c r="IX177" s="1272"/>
      <c r="IY177" s="1272"/>
      <c r="IZ177" s="1272"/>
      <c r="JA177" s="1272"/>
      <c r="JB177" s="1272"/>
      <c r="JC177" s="1272"/>
      <c r="JD177" s="1272"/>
      <c r="JE177" s="1272"/>
      <c r="JF177" s="1272"/>
      <c r="JG177" s="1272"/>
      <c r="JH177" s="1272" t="s">
        <v>1615</v>
      </c>
      <c r="JI177" s="1272" t="s">
        <v>1615</v>
      </c>
      <c r="JJ177" s="1272" t="s">
        <v>1615</v>
      </c>
      <c r="JK177" s="1272" t="s">
        <v>1615</v>
      </c>
      <c r="JL177" s="1272" t="s">
        <v>1615</v>
      </c>
      <c r="JM177" s="1366" t="s">
        <v>1615</v>
      </c>
      <c r="JN177" s="1272" t="s">
        <v>1707</v>
      </c>
      <c r="JO177" s="1272" t="s">
        <v>1615</v>
      </c>
      <c r="JP177" s="1272" t="s">
        <v>1615</v>
      </c>
      <c r="JQ177" s="1778"/>
      <c r="JR177" s="593"/>
      <c r="JT177" s="360" t="s">
        <v>2242</v>
      </c>
    </row>
  </sheetData>
  <phoneticPr fontId="58" type="noConversion"/>
  <conditionalFormatting sqref="HD100:HD101">
    <cfRule type="cellIs" dxfId="74" priority="89" operator="equal">
      <formula>"Y"</formula>
    </cfRule>
  </conditionalFormatting>
  <conditionalFormatting sqref="HJ128:HJ129">
    <cfRule type="cellIs" dxfId="73" priority="96" operator="equal">
      <formula>"Y"</formula>
    </cfRule>
  </conditionalFormatting>
  <conditionalFormatting sqref="JN102:JN107 JN89:JN99">
    <cfRule type="cellIs" dxfId="72" priority="69" operator="equal">
      <formula>"Y"</formula>
    </cfRule>
  </conditionalFormatting>
  <conditionalFormatting sqref="JN100:JN101">
    <cfRule type="cellIs" dxfId="71" priority="68" operator="equal">
      <formula>"Y"</formula>
    </cfRule>
  </conditionalFormatting>
  <conditionalFormatting sqref="JL102:JL107 JL89:JL99">
    <cfRule type="cellIs" dxfId="70" priority="61" operator="equal">
      <formula>"Y"</formula>
    </cfRule>
  </conditionalFormatting>
  <conditionalFormatting sqref="JL100:JL101">
    <cfRule type="cellIs" dxfId="69" priority="60" operator="equal">
      <formula>"Y"</formula>
    </cfRule>
  </conditionalFormatting>
  <conditionalFormatting sqref="JM100:JM101">
    <cfRule type="cellIs" dxfId="68" priority="64" operator="equal">
      <formula>"Y"</formula>
    </cfRule>
  </conditionalFormatting>
  <conditionalFormatting sqref="JM102:JM107 JM89:JM99">
    <cfRule type="cellIs" dxfId="67" priority="65" operator="equal">
      <formula>"Y"</formula>
    </cfRule>
  </conditionalFormatting>
  <conditionalFormatting sqref="AX100:AZ101">
    <cfRule type="cellIs" dxfId="66" priority="111" operator="equal">
      <formula>"Y"</formula>
    </cfRule>
  </conditionalFormatting>
  <conditionalFormatting sqref="FT100:FV101">
    <cfRule type="cellIs" dxfId="65" priority="109" operator="equal">
      <formula>"Y"</formula>
    </cfRule>
  </conditionalFormatting>
  <conditionalFormatting sqref="CJ100:CJ101">
    <cfRule type="cellIs" dxfId="64" priority="105" operator="equal">
      <formula>"Y"</formula>
    </cfRule>
  </conditionalFormatting>
  <conditionalFormatting sqref="DS100:DS101">
    <cfRule type="cellIs" dxfId="63" priority="103" operator="equal">
      <formula>"Y"</formula>
    </cfRule>
  </conditionalFormatting>
  <conditionalFormatting sqref="HA100:HA101">
    <cfRule type="cellIs" dxfId="62" priority="101" operator="equal">
      <formula>"Y"</formula>
    </cfRule>
  </conditionalFormatting>
  <conditionalFormatting sqref="HI100:HI101">
    <cfRule type="cellIs" dxfId="61" priority="99" operator="equal">
      <formula>"Y"</formula>
    </cfRule>
  </conditionalFormatting>
  <conditionalFormatting sqref="HJ100:HJ101">
    <cfRule type="cellIs" dxfId="60" priority="97" operator="equal">
      <formula>"Y"</formula>
    </cfRule>
  </conditionalFormatting>
  <conditionalFormatting sqref="DT100:DT101">
    <cfRule type="cellIs" dxfId="59" priority="94" operator="equal">
      <formula>"Y"</formula>
    </cfRule>
  </conditionalFormatting>
  <conditionalFormatting sqref="DT128:DT129">
    <cfRule type="cellIs" dxfId="58" priority="93" operator="equal">
      <formula>"Y"</formula>
    </cfRule>
  </conditionalFormatting>
  <conditionalFormatting sqref="HD120">
    <cfRule type="cellIs" dxfId="57" priority="91" operator="equal">
      <formula>"Y"</formula>
    </cfRule>
    <cfRule type="cellIs" dxfId="56" priority="92" operator="equal">
      <formula>100000</formula>
    </cfRule>
  </conditionalFormatting>
  <conditionalFormatting sqref="HD128:HD129">
    <cfRule type="cellIs" dxfId="55" priority="88" operator="equal">
      <formula>"Y"</formula>
    </cfRule>
  </conditionalFormatting>
  <conditionalFormatting sqref="HF120:HG120">
    <cfRule type="cellIs" dxfId="54" priority="86" operator="equal">
      <formula>"Y"</formula>
    </cfRule>
    <cfRule type="cellIs" dxfId="53" priority="87" operator="equal">
      <formula>100000</formula>
    </cfRule>
  </conditionalFormatting>
  <conditionalFormatting sqref="HF100:HG101">
    <cfRule type="cellIs" dxfId="52" priority="84" operator="equal">
      <formula>"Y"</formula>
    </cfRule>
  </conditionalFormatting>
  <conditionalFormatting sqref="HF128:HG129">
    <cfRule type="cellIs" dxfId="51" priority="83" operator="equal">
      <formula>"Y"</formula>
    </cfRule>
  </conditionalFormatting>
  <conditionalFormatting sqref="HN100:HN101">
    <cfRule type="cellIs" dxfId="50" priority="76" operator="equal">
      <formula>"Y"</formula>
    </cfRule>
  </conditionalFormatting>
  <conditionalFormatting sqref="HN128:HN129">
    <cfRule type="cellIs" dxfId="49" priority="75" operator="equal">
      <formula>"Y"</formula>
    </cfRule>
  </conditionalFormatting>
  <conditionalFormatting sqref="HK100:HM101">
    <cfRule type="cellIs" dxfId="48" priority="73" operator="equal">
      <formula>"Y"</formula>
    </cfRule>
  </conditionalFormatting>
  <conditionalFormatting sqref="HK128:HM129">
    <cfRule type="cellIs" dxfId="47" priority="72" operator="equal">
      <formula>"Y"</formula>
    </cfRule>
  </conditionalFormatting>
  <conditionalFormatting sqref="JK102:JK107 JK89:JK99">
    <cfRule type="cellIs" dxfId="46" priority="57" operator="equal">
      <formula>"Y"</formula>
    </cfRule>
  </conditionalFormatting>
  <conditionalFormatting sqref="JK100:JK101">
    <cfRule type="cellIs" dxfId="45" priority="56" operator="equal">
      <formula>"Y"</formula>
    </cfRule>
  </conditionalFormatting>
  <conditionalFormatting sqref="JJ102:JJ107 JJ89:JJ99">
    <cfRule type="cellIs" dxfId="44" priority="53" operator="equal">
      <formula>"Y"</formula>
    </cfRule>
  </conditionalFormatting>
  <conditionalFormatting sqref="JJ100:JJ101">
    <cfRule type="cellIs" dxfId="43" priority="52" operator="equal">
      <formula>"Y"</formula>
    </cfRule>
  </conditionalFormatting>
  <conditionalFormatting sqref="IW88 IY88 JA88 JC88 JE88 JG88 JI88 JK88 JM88 JO88 JQ88">
    <cfRule type="cellIs" dxfId="42" priority="51" operator="equal">
      <formula>"Y"</formula>
    </cfRule>
  </conditionalFormatting>
  <conditionalFormatting sqref="IW102:JG107 IW89:JG99">
    <cfRule type="cellIs" dxfId="41" priority="49" operator="equal">
      <formula>"Y"</formula>
    </cfRule>
  </conditionalFormatting>
  <conditionalFormatting sqref="IW100:JG101">
    <cfRule type="cellIs" dxfId="40" priority="48" operator="equal">
      <formula>"Y"</formula>
    </cfRule>
  </conditionalFormatting>
  <conditionalFormatting sqref="IT88">
    <cfRule type="cellIs" dxfId="39" priority="47" operator="equal">
      <formula>"Y"</formula>
    </cfRule>
  </conditionalFormatting>
  <conditionalFormatting sqref="IT102:IT107 IT89:IT99">
    <cfRule type="cellIs" dxfId="38" priority="45" operator="equal">
      <formula>"Y"</formula>
    </cfRule>
  </conditionalFormatting>
  <conditionalFormatting sqref="IT100:IT101">
    <cfRule type="cellIs" dxfId="37" priority="44" operator="equal">
      <formula>"Y"</formula>
    </cfRule>
  </conditionalFormatting>
  <conditionalFormatting sqref="IR88">
    <cfRule type="cellIs" dxfId="36" priority="43" operator="equal">
      <formula>"Y"</formula>
    </cfRule>
  </conditionalFormatting>
  <conditionalFormatting sqref="IR102:IR107 IR89:IR99">
    <cfRule type="cellIs" dxfId="35" priority="41" operator="equal">
      <formula>"Y"</formula>
    </cfRule>
  </conditionalFormatting>
  <conditionalFormatting sqref="IR100:IR101">
    <cfRule type="cellIs" dxfId="34" priority="40" operator="equal">
      <formula>"Y"</formula>
    </cfRule>
  </conditionalFormatting>
  <conditionalFormatting sqref="IQ88">
    <cfRule type="cellIs" dxfId="33" priority="39" operator="equal">
      <formula>"Y"</formula>
    </cfRule>
  </conditionalFormatting>
  <conditionalFormatting sqref="IQ102:IQ107 IQ89:IQ99">
    <cfRule type="cellIs" dxfId="32" priority="37" operator="equal">
      <formula>"Y"</formula>
    </cfRule>
  </conditionalFormatting>
  <conditionalFormatting sqref="IQ100:IQ101">
    <cfRule type="cellIs" dxfId="31" priority="36" operator="equal">
      <formula>"Y"</formula>
    </cfRule>
  </conditionalFormatting>
  <conditionalFormatting sqref="IP88">
    <cfRule type="cellIs" dxfId="30" priority="35" operator="equal">
      <formula>"Y"</formula>
    </cfRule>
  </conditionalFormatting>
  <conditionalFormatting sqref="IP102:IP107 IP89:IP99">
    <cfRule type="cellIs" dxfId="29" priority="33" operator="equal">
      <formula>"Y"</formula>
    </cfRule>
  </conditionalFormatting>
  <conditionalFormatting sqref="IP100:IP101">
    <cfRule type="cellIs" dxfId="28" priority="32" operator="equal">
      <formula>"Y"</formula>
    </cfRule>
  </conditionalFormatting>
  <conditionalFormatting sqref="BK100:BK101">
    <cfRule type="cellIs" dxfId="27" priority="30" operator="equal">
      <formula>"Y"</formula>
    </cfRule>
  </conditionalFormatting>
  <conditionalFormatting sqref="AD100:AD101">
    <cfRule type="cellIs" dxfId="26" priority="28" operator="equal">
      <formula>"Y"</formula>
    </cfRule>
  </conditionalFormatting>
  <conditionalFormatting sqref="AE100:AE101">
    <cfRule type="cellIs" dxfId="25" priority="26" operator="equal">
      <formula>"Y"</formula>
    </cfRule>
  </conditionalFormatting>
  <conditionalFormatting sqref="AF100:AF101">
    <cfRule type="cellIs" dxfId="24" priority="24" operator="equal">
      <formula>"Y"</formula>
    </cfRule>
  </conditionalFormatting>
  <conditionalFormatting sqref="AG100:AG101">
    <cfRule type="cellIs" dxfId="23" priority="22" operator="equal">
      <formula>"Y"</formula>
    </cfRule>
  </conditionalFormatting>
  <conditionalFormatting sqref="AH100:AH101">
    <cfRule type="cellIs" dxfId="22" priority="20" operator="equal">
      <formula>"Y"</formula>
    </cfRule>
  </conditionalFormatting>
  <conditionalFormatting sqref="Q100:Q101">
    <cfRule type="cellIs" dxfId="21" priority="17" operator="equal">
      <formula>"Y"</formula>
    </cfRule>
  </conditionalFormatting>
  <conditionalFormatting sqref="Q102:Q109 Q89:Q99">
    <cfRule type="cellIs" dxfId="20" priority="18" operator="equal">
      <formula>"Y"</formula>
    </cfRule>
  </conditionalFormatting>
  <conditionalFormatting sqref="L100:L101">
    <cfRule type="cellIs" dxfId="19" priority="14" operator="equal">
      <formula>"Y"</formula>
    </cfRule>
  </conditionalFormatting>
  <conditionalFormatting sqref="L102:L109 L89:L99">
    <cfRule type="cellIs" dxfId="18" priority="15" operator="equal">
      <formula>"Y"</formula>
    </cfRule>
  </conditionalFormatting>
  <conditionalFormatting sqref="J100:J101">
    <cfRule type="cellIs" dxfId="17" priority="11" operator="equal">
      <formula>"Y"</formula>
    </cfRule>
  </conditionalFormatting>
  <conditionalFormatting sqref="J102:J109 J89:J99">
    <cfRule type="cellIs" dxfId="16" priority="12" operator="equal">
      <formula>"Y"</formula>
    </cfRule>
  </conditionalFormatting>
  <conditionalFormatting sqref="E100:I101 R100:AC101 BL100:CI101 BA100:BJ101 FW100:GZ101 CK100:DR101 DU100:FS101 HB100:HC101 HE100:HE101 HH100:HH101 HV100:IO101 HO100:HO101 AI100:AW101 M100:N101 K100:K101">
    <cfRule type="cellIs" dxfId="15" priority="122" operator="equal">
      <formula>"Y"</formula>
    </cfRule>
  </conditionalFormatting>
  <conditionalFormatting sqref="H128:I129 M128:N129 K128:K129">
    <cfRule type="cellIs" dxfId="14" priority="121" operator="equal">
      <formula>"Y"</formula>
    </cfRule>
  </conditionalFormatting>
  <conditionalFormatting sqref="O100:P101">
    <cfRule type="cellIs" dxfId="13" priority="117" operator="equal">
      <formula>"Y"</formula>
    </cfRule>
  </conditionalFormatting>
  <conditionalFormatting sqref="JO100:JO101">
    <cfRule type="cellIs" dxfId="12" priority="113" operator="equal">
      <formula>"Y"</formula>
    </cfRule>
  </conditionalFormatting>
  <conditionalFormatting sqref="IS100:IS101 JH100:JI101 JP100:JP101 IU100:IU101">
    <cfRule type="cellIs" dxfId="11" priority="119" operator="equal">
      <formula>"Y"</formula>
    </cfRule>
  </conditionalFormatting>
  <conditionalFormatting sqref="O102:P109 O89:P99">
    <cfRule type="cellIs" dxfId="10" priority="118" operator="equal">
      <formula>"Y"</formula>
    </cfRule>
  </conditionalFormatting>
  <conditionalFormatting sqref="IV100:IV101">
    <cfRule type="cellIs" dxfId="9" priority="115" operator="equal">
      <formula>"Y"</formula>
    </cfRule>
  </conditionalFormatting>
  <conditionalFormatting sqref="JO102:JO107 JO89:JO99">
    <cfRule type="cellIs" dxfId="8" priority="114" operator="equal">
      <formula>"Y"</formula>
    </cfRule>
  </conditionalFormatting>
  <conditionalFormatting sqref="HP100:HP101">
    <cfRule type="cellIs" dxfId="7" priority="9" operator="equal">
      <formula>"Y"</formula>
    </cfRule>
  </conditionalFormatting>
  <conditionalFormatting sqref="HQ100:HT101">
    <cfRule type="cellIs" dxfId="6" priority="10" operator="equal">
      <formula>"Y"</formula>
    </cfRule>
  </conditionalFormatting>
  <conditionalFormatting sqref="HU100:HU101">
    <cfRule type="cellIs" dxfId="5" priority="6" operator="equal">
      <formula>"Y"</formula>
    </cfRule>
  </conditionalFormatting>
  <conditionalFormatting sqref="IK98">
    <cfRule type="cellIs" dxfId="4" priority="5" operator="equal">
      <formula>"Y"</formula>
    </cfRule>
  </conditionalFormatting>
  <conditionalFormatting sqref="IK93">
    <cfRule type="cellIs" dxfId="3" priority="4" operator="equal">
      <formula>"Y"</formula>
    </cfRule>
  </conditionalFormatting>
  <conditionalFormatting sqref="IK91">
    <cfRule type="cellIs" dxfId="2" priority="3" operator="equal">
      <formula>"Y"</formula>
    </cfRule>
  </conditionalFormatting>
  <conditionalFormatting sqref="IK113">
    <cfRule type="cellIs" dxfId="1" priority="2" operator="equal">
      <formula>"Y"</formula>
    </cfRule>
  </conditionalFormatting>
  <conditionalFormatting sqref="IK121:IK122">
    <cfRule type="cellIs" dxfId="0" priority="1" operator="equal">
      <formula>"Y"</formula>
    </cfRule>
  </conditionalFormatting>
  <dataValidations disablePrompts="1" count="1">
    <dataValidation type="list" allowBlank="1" showInputMessage="1" showErrorMessage="1" sqref="JT3:JT86 JT170 JT174 JT177" xr:uid="{00000000-0002-0000-1100-000000000000}">
      <formula1>allowedTypes</formula1>
    </dataValidation>
  </dataValidations>
  <pageMargins left="0.75" right="0.75" top="1" bottom="1" header="0.5" footer="0.5"/>
  <pageSetup paperSize="9" orientation="portrait" horizontalDpi="1200" verticalDpi="1200" r:id="rId1"/>
  <headerFooter alignWithMargins="0">
    <oddFooter>&amp;C&amp;1#&amp;"Calibri"&amp;10&amp;K000000OFFICIAL-SENSITIVE</oddFooter>
  </headerFooter>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J120"/>
  <sheetViews>
    <sheetView showGridLines="0" topLeftCell="X3" zoomScaleNormal="100" workbookViewId="0"/>
  </sheetViews>
  <sheetFormatPr defaultColWidth="9.1796875" defaultRowHeight="11.5" x14ac:dyDescent="0.25"/>
  <cols>
    <col min="1" max="1" width="4.1796875" style="107" customWidth="1"/>
    <col min="2" max="2" width="11.453125" style="11" customWidth="1"/>
    <col min="3" max="3" width="2.453125" style="11" customWidth="1"/>
    <col min="4" max="4" width="5.54296875" style="11" customWidth="1"/>
    <col min="5" max="5" width="11.81640625" style="11" customWidth="1"/>
    <col min="6" max="6" width="2.54296875" style="11" customWidth="1"/>
    <col min="7" max="7" width="5.1796875" style="11" customWidth="1"/>
    <col min="8" max="8" width="12" style="11" customWidth="1"/>
    <col min="9" max="9" width="2.453125" style="11" customWidth="1"/>
    <col min="10" max="10" width="4.81640625" style="11" customWidth="1"/>
    <col min="11" max="11" width="12.54296875" style="11" customWidth="1"/>
    <col min="12" max="12" width="2.1796875" style="11" customWidth="1"/>
    <col min="13" max="13" width="6.54296875" style="107" customWidth="1"/>
    <col min="14" max="14" width="12.54296875" style="11" customWidth="1"/>
    <col min="15" max="15" width="2.453125" style="11" customWidth="1"/>
    <col min="16" max="16" width="5.1796875" style="11" customWidth="1"/>
    <col min="17" max="17" width="11.54296875" style="11" customWidth="1"/>
    <col min="18" max="18" width="2.54296875" style="11" customWidth="1"/>
    <col min="19" max="19" width="4.54296875" style="11" customWidth="1"/>
    <col min="20" max="20" width="11" style="11" customWidth="1"/>
    <col min="21" max="21" width="3.1796875" style="11" customWidth="1"/>
    <col min="22" max="22" width="4.54296875" style="11" customWidth="1"/>
    <col min="23" max="23" width="11.81640625" style="11" customWidth="1"/>
    <col min="24" max="24" width="2.81640625" style="11" customWidth="1"/>
    <col min="25" max="25" width="5.1796875" style="11" customWidth="1"/>
    <col min="26" max="26" width="12.81640625" style="11" customWidth="1"/>
    <col min="27" max="27" width="3.453125" style="11" customWidth="1"/>
    <col min="28" max="28" width="4.1796875" style="8" customWidth="1"/>
    <col min="29" max="29" width="11" style="8" customWidth="1"/>
    <col min="30" max="30" width="2.54296875" style="8" customWidth="1"/>
    <col min="31" max="31" width="4.1796875" style="8" customWidth="1"/>
    <col min="32" max="32" width="12" style="8" customWidth="1"/>
    <col min="33" max="33" width="2.54296875" style="8" customWidth="1"/>
    <col min="34" max="34" width="4.54296875" style="8" customWidth="1"/>
    <col min="35" max="35" width="11.81640625" style="8" customWidth="1"/>
    <col min="36" max="36" width="2.54296875" style="8" customWidth="1"/>
    <col min="37" max="37" width="4.1796875" style="8" customWidth="1"/>
    <col min="38" max="38" width="13.54296875" style="8" customWidth="1"/>
    <col min="39" max="39" width="1.54296875" style="8" customWidth="1"/>
    <col min="40" max="40" width="4.54296875" style="8" customWidth="1"/>
    <col min="41" max="41" width="12.1796875" style="8" customWidth="1"/>
    <col min="42" max="42" width="2.54296875" style="8" customWidth="1"/>
    <col min="43" max="43" width="4.1796875" style="8" customWidth="1"/>
    <col min="44" max="44" width="11.81640625" style="8" customWidth="1"/>
    <col min="45" max="45" width="2.54296875" style="8" customWidth="1"/>
    <col min="46" max="46" width="4.1796875" style="8" customWidth="1"/>
    <col min="47" max="47" width="11.1796875" style="8" customWidth="1"/>
    <col min="48" max="48" width="2.1796875" style="8" customWidth="1"/>
    <col min="49" max="49" width="5.1796875" style="8" bestFit="1" customWidth="1"/>
    <col min="50" max="50" width="11" style="8" customWidth="1"/>
    <col min="51" max="51" width="2.1796875" style="8" customWidth="1"/>
    <col min="52" max="52" width="4.1796875" style="8" customWidth="1"/>
    <col min="53" max="53" width="12.1796875" style="8" customWidth="1"/>
    <col min="54" max="54" width="2.54296875" style="8" customWidth="1"/>
    <col min="55" max="55" width="4.453125" style="8" customWidth="1"/>
    <col min="56" max="56" width="10.1796875" style="8" customWidth="1"/>
    <col min="57" max="57" width="2.54296875" style="8" customWidth="1"/>
    <col min="58" max="58" width="5.1796875" style="8" customWidth="1"/>
    <col min="59" max="59" width="11.54296875" style="8" customWidth="1"/>
    <col min="60" max="60" width="2" style="8" customWidth="1"/>
    <col min="61" max="61" width="4.54296875" style="107" customWidth="1"/>
    <col min="62" max="62" width="13.54296875" style="8" customWidth="1"/>
    <col min="63" max="63" width="3.54296875" style="8" customWidth="1"/>
    <col min="64" max="64" width="6.54296875" style="8" customWidth="1"/>
    <col min="65" max="65" width="13.1796875" style="8" customWidth="1"/>
    <col min="66" max="16384" width="9.1796875" style="8"/>
  </cols>
  <sheetData>
    <row r="1" spans="1:62" x14ac:dyDescent="0.25">
      <c r="A1" s="108"/>
      <c r="B1" s="8" t="s">
        <v>9770</v>
      </c>
      <c r="C1" s="8"/>
      <c r="D1" s="8"/>
      <c r="E1" s="8"/>
      <c r="F1" s="8"/>
      <c r="G1" s="108"/>
      <c r="H1" s="8"/>
      <c r="I1" s="8"/>
      <c r="J1" s="108"/>
      <c r="K1" s="8"/>
      <c r="L1" s="8"/>
      <c r="M1" s="108"/>
      <c r="N1" s="8"/>
      <c r="O1" s="8"/>
      <c r="P1" s="8"/>
      <c r="Q1" s="8"/>
      <c r="R1" s="8"/>
      <c r="S1" s="8"/>
      <c r="T1" s="8"/>
      <c r="U1" s="8"/>
      <c r="V1" s="108"/>
      <c r="W1" s="8"/>
      <c r="X1" s="8"/>
      <c r="Y1" s="8"/>
      <c r="Z1" s="8"/>
      <c r="AA1" s="8"/>
      <c r="AQ1" s="108"/>
      <c r="BI1" s="108"/>
    </row>
    <row r="2" spans="1:62" x14ac:dyDescent="0.25">
      <c r="A2" s="1273"/>
      <c r="B2" s="1274"/>
      <c r="C2" s="1275" t="s">
        <v>1508</v>
      </c>
      <c r="D2" s="1276"/>
      <c r="E2" s="1277"/>
      <c r="F2" s="8"/>
      <c r="G2" s="1273"/>
      <c r="H2" s="1274"/>
      <c r="I2" s="1275" t="s">
        <v>1509</v>
      </c>
      <c r="J2" s="1276"/>
      <c r="K2" s="1277"/>
      <c r="L2" s="8"/>
      <c r="M2" s="1273"/>
      <c r="N2" s="1278" t="s">
        <v>1510</v>
      </c>
      <c r="O2" s="8"/>
      <c r="P2" s="1273"/>
      <c r="Q2" s="1278" t="s">
        <v>1511</v>
      </c>
      <c r="R2" s="8"/>
      <c r="S2" s="1273"/>
      <c r="T2" s="1278" t="s">
        <v>1512</v>
      </c>
      <c r="U2" s="8"/>
      <c r="V2" s="1273"/>
      <c r="W2" s="1274"/>
      <c r="X2" s="1279" t="s">
        <v>1513</v>
      </c>
      <c r="Y2" s="1275"/>
      <c r="Z2" s="1280"/>
      <c r="AA2" s="8"/>
      <c r="AB2" s="1273"/>
      <c r="AC2" s="1274"/>
      <c r="AD2" s="1275" t="s">
        <v>1514</v>
      </c>
      <c r="AE2" s="1274"/>
      <c r="AF2" s="1277"/>
      <c r="AH2" s="1273"/>
      <c r="AI2" s="1278" t="s">
        <v>1515</v>
      </c>
      <c r="AK2" s="1273"/>
      <c r="AL2" s="1276"/>
      <c r="AM2" s="1275" t="s">
        <v>1516</v>
      </c>
      <c r="AN2" s="1276"/>
      <c r="AO2" s="1278"/>
      <c r="AQ2" s="1273"/>
      <c r="AR2" s="1278" t="s">
        <v>1517</v>
      </c>
      <c r="AT2" s="1273"/>
      <c r="AU2" s="1274"/>
      <c r="AV2" s="1278" t="s">
        <v>1518</v>
      </c>
      <c r="AW2" s="1273"/>
      <c r="AX2" s="1278"/>
      <c r="AZ2" s="1273"/>
      <c r="BA2" s="1278" t="s">
        <v>1519</v>
      </c>
      <c r="BC2" s="1273"/>
      <c r="BD2" s="1278" t="s">
        <v>1520</v>
      </c>
      <c r="BF2" s="1273"/>
      <c r="BG2" s="1278" t="s">
        <v>1521</v>
      </c>
      <c r="BI2" s="1273"/>
      <c r="BJ2" s="1278" t="s">
        <v>1522</v>
      </c>
    </row>
    <row r="3" spans="1:62" ht="12" thickBot="1" x14ac:dyDescent="0.3">
      <c r="A3" s="108" t="s">
        <v>0</v>
      </c>
      <c r="B3" s="8"/>
      <c r="C3" s="8"/>
      <c r="D3" s="839" t="s">
        <v>1523</v>
      </c>
      <c r="E3" s="840" t="s">
        <v>9635</v>
      </c>
      <c r="F3" s="8"/>
      <c r="G3" s="108" t="s">
        <v>86</v>
      </c>
      <c r="H3" s="840" t="s">
        <v>9635</v>
      </c>
      <c r="I3" s="8"/>
      <c r="J3" s="108" t="s">
        <v>19</v>
      </c>
      <c r="K3" s="840" t="s">
        <v>9636</v>
      </c>
      <c r="L3" s="8"/>
      <c r="M3" s="108" t="s">
        <v>1524</v>
      </c>
      <c r="N3" s="112" t="s">
        <v>9771</v>
      </c>
      <c r="O3" s="8"/>
      <c r="P3" s="108" t="s">
        <v>23</v>
      </c>
      <c r="Q3" s="112" t="s">
        <v>9636</v>
      </c>
      <c r="R3" s="8"/>
      <c r="S3" s="108" t="s">
        <v>24</v>
      </c>
      <c r="T3" s="112" t="s">
        <v>9771</v>
      </c>
      <c r="U3" s="8"/>
      <c r="V3" s="108" t="s">
        <v>25</v>
      </c>
      <c r="W3" s="112" t="s">
        <v>9636</v>
      </c>
      <c r="X3" s="8"/>
      <c r="Y3" s="108" t="s">
        <v>25</v>
      </c>
      <c r="Z3" s="112" t="s">
        <v>9636</v>
      </c>
      <c r="AA3" s="8"/>
      <c r="AB3" s="108" t="s">
        <v>26</v>
      </c>
      <c r="AC3" s="112" t="s">
        <v>9636</v>
      </c>
      <c r="AE3" s="108" t="s">
        <v>26</v>
      </c>
      <c r="AF3" s="112" t="s">
        <v>9636</v>
      </c>
      <c r="AH3" s="108" t="s">
        <v>27</v>
      </c>
      <c r="AI3" s="112" t="s">
        <v>9771</v>
      </c>
      <c r="AK3" s="108" t="s">
        <v>28</v>
      </c>
      <c r="AL3" s="112" t="s">
        <v>9636</v>
      </c>
      <c r="AM3" s="112"/>
      <c r="AN3" s="108" t="s">
        <v>28</v>
      </c>
      <c r="AO3" s="112" t="s">
        <v>9636</v>
      </c>
      <c r="AQ3" s="108" t="s">
        <v>33</v>
      </c>
      <c r="AR3" s="112" t="s">
        <v>9636</v>
      </c>
      <c r="AT3" s="108" t="s">
        <v>34</v>
      </c>
      <c r="AU3" s="112" t="s">
        <v>9771</v>
      </c>
      <c r="AW3" s="108" t="s">
        <v>34</v>
      </c>
      <c r="AX3" s="112" t="s">
        <v>9771</v>
      </c>
      <c r="AZ3" s="108" t="s">
        <v>36</v>
      </c>
      <c r="BA3" s="112" t="s">
        <v>9636</v>
      </c>
      <c r="BC3" s="108" t="s">
        <v>37</v>
      </c>
      <c r="BD3" s="112" t="s">
        <v>9771</v>
      </c>
      <c r="BF3" s="108" t="s">
        <v>38</v>
      </c>
      <c r="BG3" s="112" t="s">
        <v>9636</v>
      </c>
      <c r="BI3" s="108" t="s">
        <v>39</v>
      </c>
      <c r="BJ3" s="112" t="s">
        <v>9636</v>
      </c>
    </row>
    <row r="4" spans="1:62" ht="12" thickBot="1" x14ac:dyDescent="0.3">
      <c r="A4" s="1281" t="s">
        <v>1525</v>
      </c>
      <c r="B4" s="1282" t="s">
        <v>9772</v>
      </c>
      <c r="C4" s="8"/>
      <c r="D4" s="109" t="s">
        <v>1525</v>
      </c>
      <c r="E4" s="1283" t="s">
        <v>3492</v>
      </c>
      <c r="F4" s="8"/>
      <c r="G4" s="109" t="s">
        <v>1525</v>
      </c>
      <c r="H4" s="1284" t="s">
        <v>3492</v>
      </c>
      <c r="I4" s="8"/>
      <c r="J4" s="109" t="s">
        <v>1525</v>
      </c>
      <c r="K4" s="1284" t="s">
        <v>3492</v>
      </c>
      <c r="L4" s="8"/>
      <c r="M4" s="109" t="s">
        <v>1525</v>
      </c>
      <c r="N4" s="1284">
        <v>89201</v>
      </c>
      <c r="O4" s="8"/>
      <c r="P4" s="109" t="s">
        <v>1525</v>
      </c>
      <c r="Q4" s="1284" t="s">
        <v>3492</v>
      </c>
      <c r="R4" s="8"/>
      <c r="S4" s="109" t="s">
        <v>1525</v>
      </c>
      <c r="T4" s="1284" t="s">
        <v>2905</v>
      </c>
      <c r="U4" s="8"/>
      <c r="V4" s="109" t="s">
        <v>1525</v>
      </c>
      <c r="W4" s="1284" t="s">
        <v>3492</v>
      </c>
      <c r="X4" s="8"/>
      <c r="Y4" s="1285" t="s">
        <v>1526</v>
      </c>
      <c r="Z4" s="1284" t="s">
        <v>3492</v>
      </c>
      <c r="AA4" s="8"/>
      <c r="AB4" s="109" t="s">
        <v>1525</v>
      </c>
      <c r="AC4" s="1284" t="s">
        <v>3492</v>
      </c>
      <c r="AE4" s="109" t="s">
        <v>1527</v>
      </c>
      <c r="AF4" s="1284" t="s">
        <v>3492</v>
      </c>
      <c r="AH4" s="109" t="s">
        <v>1525</v>
      </c>
      <c r="AI4" s="1286">
        <v>1000050020</v>
      </c>
      <c r="AK4" s="109" t="s">
        <v>1525</v>
      </c>
      <c r="AL4" s="1287" t="s">
        <v>3492</v>
      </c>
      <c r="AM4" s="11"/>
      <c r="AN4" s="109" t="s">
        <v>1528</v>
      </c>
      <c r="AO4" s="1283" t="s">
        <v>3492</v>
      </c>
      <c r="AQ4" s="109" t="s">
        <v>1525</v>
      </c>
      <c r="AR4" s="1292" t="s">
        <v>3492</v>
      </c>
      <c r="AT4" s="841">
        <v>1</v>
      </c>
      <c r="AU4" s="1284" t="s">
        <v>3492</v>
      </c>
      <c r="AW4" s="694">
        <v>13.1</v>
      </c>
      <c r="AX4" s="1284" t="s">
        <v>3492</v>
      </c>
      <c r="AZ4" s="109" t="s">
        <v>1525</v>
      </c>
      <c r="BA4" s="1284" t="s">
        <v>3492</v>
      </c>
      <c r="BC4" s="109" t="s">
        <v>1525</v>
      </c>
      <c r="BD4" s="1284" t="s">
        <v>3492</v>
      </c>
      <c r="BF4" s="109" t="s">
        <v>1525</v>
      </c>
      <c r="BG4" s="1286" t="s">
        <v>3492</v>
      </c>
      <c r="BI4" s="109" t="s">
        <v>1525</v>
      </c>
      <c r="BJ4" s="1284">
        <v>21373.83</v>
      </c>
    </row>
    <row r="5" spans="1:62" ht="12" thickBot="1" x14ac:dyDescent="0.3">
      <c r="A5" s="1281" t="s">
        <v>1529</v>
      </c>
      <c r="B5" s="1282"/>
      <c r="C5" s="8"/>
      <c r="D5" s="109" t="s">
        <v>1530</v>
      </c>
      <c r="E5" s="1283" t="s">
        <v>3492</v>
      </c>
      <c r="F5" s="8"/>
      <c r="G5" s="1285" t="s">
        <v>1529</v>
      </c>
      <c r="H5" s="1284" t="s">
        <v>3492</v>
      </c>
      <c r="I5" s="8"/>
      <c r="J5" s="1285" t="s">
        <v>1529</v>
      </c>
      <c r="K5" s="1282" t="s">
        <v>3492</v>
      </c>
      <c r="L5" s="8"/>
      <c r="M5" s="1285" t="s">
        <v>1530</v>
      </c>
      <c r="N5" s="1284" t="s">
        <v>3492</v>
      </c>
      <c r="O5" s="8"/>
      <c r="P5" s="1285" t="s">
        <v>1529</v>
      </c>
      <c r="Q5" s="1284" t="s">
        <v>3492</v>
      </c>
      <c r="R5" s="8"/>
      <c r="S5" s="1285" t="s">
        <v>1529</v>
      </c>
      <c r="T5" s="1284" t="s">
        <v>3492</v>
      </c>
      <c r="U5" s="8"/>
      <c r="V5" s="1285" t="s">
        <v>1529</v>
      </c>
      <c r="W5" s="1284" t="s">
        <v>3492</v>
      </c>
      <c r="X5" s="8"/>
      <c r="Y5" s="1285" t="s">
        <v>1531</v>
      </c>
      <c r="Z5" s="1284" t="s">
        <v>3492</v>
      </c>
      <c r="AA5" s="8"/>
      <c r="AB5" s="1285" t="s">
        <v>1529</v>
      </c>
      <c r="AC5" s="1284" t="s">
        <v>3492</v>
      </c>
      <c r="AE5" s="1285" t="s">
        <v>1528</v>
      </c>
      <c r="AF5" s="1284" t="s">
        <v>3492</v>
      </c>
      <c r="AH5" s="1285" t="s">
        <v>1529</v>
      </c>
      <c r="AI5" s="1286" t="s">
        <v>3048</v>
      </c>
      <c r="AK5" s="1285" t="s">
        <v>1529</v>
      </c>
      <c r="AL5" s="1287" t="s">
        <v>3492</v>
      </c>
      <c r="AM5" s="11"/>
      <c r="AN5" s="1285" t="s">
        <v>1526</v>
      </c>
      <c r="AO5" s="1283" t="s">
        <v>3492</v>
      </c>
      <c r="AQ5" s="1285" t="s">
        <v>1529</v>
      </c>
      <c r="AR5" s="1283" t="s">
        <v>3492</v>
      </c>
      <c r="AT5" s="1288">
        <v>2</v>
      </c>
      <c r="AU5" s="1284" t="s">
        <v>3492</v>
      </c>
      <c r="AW5" s="694">
        <v>13.2</v>
      </c>
      <c r="AX5" s="1284" t="s">
        <v>3492</v>
      </c>
      <c r="AZ5" s="1285" t="s">
        <v>1529</v>
      </c>
      <c r="BA5" s="1284" t="s">
        <v>3492</v>
      </c>
      <c r="BC5" s="1285" t="s">
        <v>1529</v>
      </c>
      <c r="BD5" s="1284" t="s">
        <v>3492</v>
      </c>
      <c r="BF5" s="1285" t="s">
        <v>1529</v>
      </c>
      <c r="BG5" s="1289" t="s">
        <v>1532</v>
      </c>
      <c r="BI5" s="1285" t="s">
        <v>1529</v>
      </c>
      <c r="BJ5" s="1284" t="s">
        <v>3492</v>
      </c>
    </row>
    <row r="6" spans="1:62" ht="12" thickBot="1" x14ac:dyDescent="0.3">
      <c r="A6" s="1281" t="s">
        <v>1533</v>
      </c>
      <c r="B6" s="1290"/>
      <c r="C6" s="8"/>
      <c r="D6" s="1285" t="s">
        <v>1529</v>
      </c>
      <c r="E6" s="1283" t="s">
        <v>3492</v>
      </c>
      <c r="F6" s="8"/>
      <c r="G6" s="695" t="s">
        <v>1533</v>
      </c>
      <c r="H6" s="1284" t="s">
        <v>3492</v>
      </c>
      <c r="I6" s="8"/>
      <c r="J6" s="1285" t="s">
        <v>1533</v>
      </c>
      <c r="K6" s="1284" t="s">
        <v>3492</v>
      </c>
      <c r="L6" s="8"/>
      <c r="M6" s="1285" t="s">
        <v>1529</v>
      </c>
      <c r="N6" s="1284">
        <v>14056</v>
      </c>
      <c r="O6" s="8"/>
      <c r="P6" s="1285" t="s">
        <v>1534</v>
      </c>
      <c r="Q6" s="1284" t="s">
        <v>3492</v>
      </c>
      <c r="R6" s="8"/>
      <c r="S6" s="1285" t="s">
        <v>1533</v>
      </c>
      <c r="T6" s="1284" t="s">
        <v>3492</v>
      </c>
      <c r="U6" s="8"/>
      <c r="V6" s="1285" t="s">
        <v>1533</v>
      </c>
      <c r="W6" s="1284" t="s">
        <v>3492</v>
      </c>
      <c r="X6" s="8"/>
      <c r="Y6" s="1285" t="s">
        <v>1535</v>
      </c>
      <c r="Z6" s="1284" t="s">
        <v>3492</v>
      </c>
      <c r="AA6" s="8"/>
      <c r="AB6" s="1285" t="s">
        <v>1534</v>
      </c>
      <c r="AC6" s="1284" t="s">
        <v>1532</v>
      </c>
      <c r="AE6" s="1285" t="s">
        <v>1526</v>
      </c>
      <c r="AF6" s="1284" t="s">
        <v>3492</v>
      </c>
      <c r="AH6" s="1291" t="s">
        <v>1536</v>
      </c>
      <c r="AI6" s="1286" t="s">
        <v>1615</v>
      </c>
      <c r="AK6" s="1291" t="s">
        <v>1536</v>
      </c>
      <c r="AL6" s="1287" t="s">
        <v>3492</v>
      </c>
      <c r="AM6" s="842"/>
      <c r="AN6" s="1285" t="s">
        <v>1535</v>
      </c>
      <c r="AO6" s="1283" t="s">
        <v>3492</v>
      </c>
      <c r="AQ6" s="1285" t="s">
        <v>1533</v>
      </c>
      <c r="AR6" s="1283" t="s">
        <v>3492</v>
      </c>
      <c r="AT6" s="1288" t="s">
        <v>1537</v>
      </c>
      <c r="AU6" s="1284" t="s">
        <v>3857</v>
      </c>
      <c r="AW6" s="841">
        <v>14</v>
      </c>
      <c r="AX6" s="1284" t="s">
        <v>3492</v>
      </c>
      <c r="AZ6" s="1285" t="s">
        <v>1533</v>
      </c>
      <c r="BA6" s="1284" t="s">
        <v>3492</v>
      </c>
      <c r="BC6" s="1285" t="s">
        <v>1533</v>
      </c>
      <c r="BD6" s="1292">
        <v>1</v>
      </c>
      <c r="BF6" s="1285" t="s">
        <v>1533</v>
      </c>
      <c r="BG6" s="1286" t="s">
        <v>3492</v>
      </c>
      <c r="BI6" s="1285" t="s">
        <v>1533</v>
      </c>
      <c r="BJ6" s="1283" t="s">
        <v>3492</v>
      </c>
    </row>
    <row r="7" spans="1:62" x14ac:dyDescent="0.25">
      <c r="A7" s="1281" t="s">
        <v>1538</v>
      </c>
      <c r="B7" s="1290"/>
      <c r="C7" s="8"/>
      <c r="D7" s="1285" t="s">
        <v>1533</v>
      </c>
      <c r="E7" s="1283" t="s">
        <v>3492</v>
      </c>
      <c r="F7" s="8"/>
      <c r="G7" s="109" t="s">
        <v>1538</v>
      </c>
      <c r="H7" s="1284" t="s">
        <v>3492</v>
      </c>
      <c r="I7" s="8"/>
      <c r="J7" s="1285" t="s">
        <v>1538</v>
      </c>
      <c r="K7" s="1284" t="s">
        <v>3492</v>
      </c>
      <c r="L7" s="8"/>
      <c r="M7" s="1285" t="s">
        <v>1533</v>
      </c>
      <c r="N7" s="1284" t="s">
        <v>3492</v>
      </c>
      <c r="O7" s="8"/>
      <c r="P7" s="1285" t="s">
        <v>1533</v>
      </c>
      <c r="Q7" s="1284" t="s">
        <v>3492</v>
      </c>
      <c r="R7" s="8"/>
      <c r="S7" s="1285" t="s">
        <v>1538</v>
      </c>
      <c r="T7" s="1284" t="s">
        <v>3492</v>
      </c>
      <c r="U7" s="8"/>
      <c r="V7" s="1285" t="s">
        <v>1538</v>
      </c>
      <c r="W7" s="1284" t="s">
        <v>3492</v>
      </c>
      <c r="X7" s="8"/>
      <c r="Y7" s="1285" t="s">
        <v>1539</v>
      </c>
      <c r="Z7" s="1284" t="s">
        <v>3492</v>
      </c>
      <c r="AA7" s="8"/>
      <c r="AB7" s="1285" t="s">
        <v>1533</v>
      </c>
      <c r="AC7" s="1284" t="s">
        <v>3492</v>
      </c>
      <c r="AE7" s="1285" t="s">
        <v>1535</v>
      </c>
      <c r="AF7" s="1284" t="s">
        <v>3492</v>
      </c>
      <c r="AH7" s="1285" t="s">
        <v>1533</v>
      </c>
      <c r="AI7" s="1283" t="s">
        <v>3492</v>
      </c>
      <c r="AK7" s="1285" t="s">
        <v>1533</v>
      </c>
      <c r="AL7" s="1287" t="s">
        <v>3492</v>
      </c>
      <c r="AM7" s="842"/>
      <c r="AN7" s="1285" t="s">
        <v>1539</v>
      </c>
      <c r="AO7" s="1283" t="s">
        <v>3492</v>
      </c>
      <c r="AQ7" s="1285" t="s">
        <v>1538</v>
      </c>
      <c r="AR7" s="1283" t="s">
        <v>3492</v>
      </c>
      <c r="AT7" s="1288" t="s">
        <v>1540</v>
      </c>
      <c r="AU7" s="1284">
        <v>698</v>
      </c>
      <c r="AW7" s="1288">
        <v>14.1</v>
      </c>
      <c r="AX7" s="1284" t="s">
        <v>3492</v>
      </c>
      <c r="AZ7" s="1285" t="s">
        <v>1538</v>
      </c>
      <c r="BA7" s="1284" t="s">
        <v>3492</v>
      </c>
      <c r="BC7" s="1285" t="s">
        <v>1538</v>
      </c>
      <c r="BD7" s="1284" t="s">
        <v>3492</v>
      </c>
      <c r="BF7" s="1285" t="s">
        <v>1541</v>
      </c>
      <c r="BG7" s="1286" t="s">
        <v>3492</v>
      </c>
      <c r="BI7" s="1285" t="s">
        <v>1541</v>
      </c>
      <c r="BJ7" s="1283" t="s">
        <v>3492</v>
      </c>
    </row>
    <row r="8" spans="1:62" ht="12" thickBot="1" x14ac:dyDescent="0.3">
      <c r="A8" s="696" t="s">
        <v>1542</v>
      </c>
      <c r="B8" s="1290">
        <v>2</v>
      </c>
      <c r="C8" s="8"/>
      <c r="D8" s="695" t="s">
        <v>1538</v>
      </c>
      <c r="E8" s="1283" t="s">
        <v>3492</v>
      </c>
      <c r="F8" s="8"/>
      <c r="G8" s="1285" t="s">
        <v>1543</v>
      </c>
      <c r="H8" s="1292" t="s">
        <v>3492</v>
      </c>
      <c r="I8" s="8"/>
      <c r="J8" s="1285" t="s">
        <v>1543</v>
      </c>
      <c r="K8" s="1282" t="s">
        <v>3492</v>
      </c>
      <c r="L8" s="8"/>
      <c r="M8" s="1285" t="s">
        <v>1541</v>
      </c>
      <c r="N8" s="2395" t="s">
        <v>1532</v>
      </c>
      <c r="O8" s="8"/>
      <c r="P8" s="1285" t="s">
        <v>1538</v>
      </c>
      <c r="Q8" s="1284" t="s">
        <v>3492</v>
      </c>
      <c r="R8" s="8"/>
      <c r="S8" s="1291" t="s">
        <v>1544</v>
      </c>
      <c r="T8" s="1284" t="s">
        <v>1707</v>
      </c>
      <c r="U8" s="8"/>
      <c r="V8" s="1285" t="s">
        <v>1543</v>
      </c>
      <c r="W8" s="1284" t="s">
        <v>3492</v>
      </c>
      <c r="X8" s="8"/>
      <c r="Y8" s="1285" t="s">
        <v>1545</v>
      </c>
      <c r="Z8" s="1284" t="s">
        <v>3492</v>
      </c>
      <c r="AA8" s="8"/>
      <c r="AB8" s="1285" t="s">
        <v>1541</v>
      </c>
      <c r="AC8" s="1284" t="s">
        <v>1532</v>
      </c>
      <c r="AE8" s="1285" t="s">
        <v>1539</v>
      </c>
      <c r="AF8" s="1284" t="s">
        <v>3492</v>
      </c>
      <c r="AH8" s="1291" t="s">
        <v>1546</v>
      </c>
      <c r="AI8" s="1283" t="s">
        <v>1707</v>
      </c>
      <c r="AK8" s="1291" t="s">
        <v>1546</v>
      </c>
      <c r="AL8" s="1287" t="s">
        <v>3492</v>
      </c>
      <c r="AM8" s="842"/>
      <c r="AN8" s="1293" t="s">
        <v>1547</v>
      </c>
      <c r="AO8" s="1283" t="s">
        <v>3492</v>
      </c>
      <c r="AQ8" s="1291" t="s">
        <v>1543</v>
      </c>
      <c r="AR8" s="1294" t="s">
        <v>1532</v>
      </c>
      <c r="AT8" s="1288" t="s">
        <v>1548</v>
      </c>
      <c r="AU8" s="1284" t="s">
        <v>3492</v>
      </c>
      <c r="AW8" s="1288">
        <v>14.2</v>
      </c>
      <c r="AX8" s="1284" t="s">
        <v>3492</v>
      </c>
      <c r="AZ8" s="1285" t="s">
        <v>1543</v>
      </c>
      <c r="BA8" s="1284" t="s">
        <v>3492</v>
      </c>
      <c r="BC8" s="1285" t="s">
        <v>1543</v>
      </c>
      <c r="BD8" s="1284" t="s">
        <v>3492</v>
      </c>
      <c r="BF8" s="1285" t="s">
        <v>1538</v>
      </c>
      <c r="BG8" s="1286" t="s">
        <v>3492</v>
      </c>
      <c r="BI8" s="1285" t="s">
        <v>1538</v>
      </c>
      <c r="BJ8" s="1284">
        <v>0</v>
      </c>
    </row>
    <row r="9" spans="1:62" x14ac:dyDescent="0.25">
      <c r="C9" s="8"/>
      <c r="D9" s="109" t="s">
        <v>1543</v>
      </c>
      <c r="E9" s="1283" t="s">
        <v>3492</v>
      </c>
      <c r="F9" s="8"/>
      <c r="G9" s="1285" t="s">
        <v>1549</v>
      </c>
      <c r="H9" s="1284" t="s">
        <v>3492</v>
      </c>
      <c r="I9" s="8"/>
      <c r="J9" s="1285" t="s">
        <v>1549</v>
      </c>
      <c r="K9" s="1284" t="s">
        <v>3492</v>
      </c>
      <c r="L9" s="8"/>
      <c r="M9" s="1285" t="s">
        <v>1538</v>
      </c>
      <c r="N9" s="1284" t="s">
        <v>2629</v>
      </c>
      <c r="O9" s="8"/>
      <c r="P9" s="1285" t="s">
        <v>1550</v>
      </c>
      <c r="Q9" s="2395" t="s">
        <v>1532</v>
      </c>
      <c r="R9" s="8"/>
      <c r="S9" s="1285" t="s">
        <v>1543</v>
      </c>
      <c r="T9" s="1284" t="s">
        <v>9773</v>
      </c>
      <c r="U9" s="8"/>
      <c r="V9" s="1291" t="s">
        <v>1551</v>
      </c>
      <c r="W9" s="1284" t="s">
        <v>3492</v>
      </c>
      <c r="X9" s="8"/>
      <c r="Y9" s="1285" t="s">
        <v>1552</v>
      </c>
      <c r="Z9" s="1284" t="s">
        <v>3492</v>
      </c>
      <c r="AA9" s="8"/>
      <c r="AB9" s="1285" t="s">
        <v>1538</v>
      </c>
      <c r="AC9" s="1284" t="s">
        <v>3492</v>
      </c>
      <c r="AE9" s="1285" t="s">
        <v>1545</v>
      </c>
      <c r="AF9" s="1284" t="s">
        <v>3492</v>
      </c>
      <c r="AH9" s="1285" t="s">
        <v>1538</v>
      </c>
      <c r="AI9" s="1283" t="s">
        <v>9769</v>
      </c>
      <c r="AK9" s="1285" t="s">
        <v>1538</v>
      </c>
      <c r="AL9" s="1287" t="s">
        <v>3492</v>
      </c>
      <c r="AN9" s="1285" t="s">
        <v>1545</v>
      </c>
      <c r="AO9" s="1283" t="s">
        <v>3492</v>
      </c>
      <c r="AQ9" s="1291" t="s">
        <v>1553</v>
      </c>
      <c r="AR9" s="1294" t="s">
        <v>1532</v>
      </c>
      <c r="AT9" s="1288" t="s">
        <v>1554</v>
      </c>
      <c r="AU9" s="1284" t="s">
        <v>3492</v>
      </c>
      <c r="AW9" s="1288">
        <v>15</v>
      </c>
      <c r="AX9" s="1292" t="s">
        <v>3492</v>
      </c>
      <c r="AZ9" s="1285" t="s">
        <v>1549</v>
      </c>
      <c r="BA9" s="1284" t="s">
        <v>3492</v>
      </c>
      <c r="BC9" s="1285" t="s">
        <v>1549</v>
      </c>
      <c r="BD9" s="1284">
        <v>29077</v>
      </c>
      <c r="BF9" s="1285" t="s">
        <v>1543</v>
      </c>
      <c r="BG9" s="1289" t="s">
        <v>1532</v>
      </c>
      <c r="BI9" s="1285" t="s">
        <v>1550</v>
      </c>
      <c r="BJ9" s="1284">
        <v>0</v>
      </c>
    </row>
    <row r="10" spans="1:62" ht="12" thickBot="1" x14ac:dyDescent="0.3">
      <c r="A10" s="843" t="s">
        <v>1555</v>
      </c>
      <c r="B10" s="840" t="s">
        <v>9774</v>
      </c>
      <c r="C10" s="8"/>
      <c r="D10" s="1285" t="s">
        <v>1549</v>
      </c>
      <c r="E10" s="1283" t="s">
        <v>3492</v>
      </c>
      <c r="F10" s="8"/>
      <c r="G10" s="1285" t="s">
        <v>1556</v>
      </c>
      <c r="H10" s="1292" t="s">
        <v>3492</v>
      </c>
      <c r="I10" s="8"/>
      <c r="J10" s="1285" t="s">
        <v>1556</v>
      </c>
      <c r="K10" s="1284" t="s">
        <v>3492</v>
      </c>
      <c r="L10" s="8"/>
      <c r="M10" s="1285" t="s">
        <v>1543</v>
      </c>
      <c r="N10" s="1284" t="s">
        <v>3492</v>
      </c>
      <c r="O10" s="8"/>
      <c r="P10" s="1285" t="s">
        <v>1543</v>
      </c>
      <c r="Q10" s="1284" t="s">
        <v>3492</v>
      </c>
      <c r="R10" s="8"/>
      <c r="S10" s="1291" t="s">
        <v>1551</v>
      </c>
      <c r="T10" s="1284" t="s">
        <v>1707</v>
      </c>
      <c r="U10" s="8"/>
      <c r="V10" s="1285" t="s">
        <v>1549</v>
      </c>
      <c r="W10" s="1284" t="s">
        <v>3492</v>
      </c>
      <c r="X10" s="8"/>
      <c r="Y10" s="1285" t="s">
        <v>1557</v>
      </c>
      <c r="Z10" s="1284" t="s">
        <v>1532</v>
      </c>
      <c r="AA10" s="8"/>
      <c r="AB10" s="1285" t="s">
        <v>1543</v>
      </c>
      <c r="AC10" s="1284" t="s">
        <v>3492</v>
      </c>
      <c r="AE10" s="1285" t="s">
        <v>1552</v>
      </c>
      <c r="AF10" s="1284" t="s">
        <v>3492</v>
      </c>
      <c r="AH10" s="1285" t="s">
        <v>1543</v>
      </c>
      <c r="AI10" s="1283" t="s">
        <v>1532</v>
      </c>
      <c r="AK10" s="1285" t="s">
        <v>1543</v>
      </c>
      <c r="AL10" s="1283" t="s">
        <v>1532</v>
      </c>
      <c r="AN10" s="1285" t="s">
        <v>1552</v>
      </c>
      <c r="AO10" s="1283" t="s">
        <v>3492</v>
      </c>
      <c r="AQ10" s="1291" t="s">
        <v>1558</v>
      </c>
      <c r="AR10" s="1294" t="s">
        <v>1532</v>
      </c>
      <c r="AT10" s="1288" t="s">
        <v>1559</v>
      </c>
      <c r="AU10" s="1284" t="s">
        <v>3492</v>
      </c>
      <c r="AW10" s="1288">
        <v>16</v>
      </c>
      <c r="AX10" s="1284" t="s">
        <v>3492</v>
      </c>
      <c r="AZ10" s="1285" t="s">
        <v>1556</v>
      </c>
      <c r="BA10" s="1284" t="s">
        <v>3492</v>
      </c>
      <c r="BC10" s="1293" t="s">
        <v>1560</v>
      </c>
      <c r="BD10" s="1284" t="s">
        <v>3492</v>
      </c>
      <c r="BF10" s="1285" t="s">
        <v>1549</v>
      </c>
      <c r="BG10" s="1295" t="s">
        <v>3492</v>
      </c>
      <c r="BI10" s="1285" t="s">
        <v>1543</v>
      </c>
      <c r="BJ10" s="1284">
        <v>8036.6399999999994</v>
      </c>
    </row>
    <row r="11" spans="1:62" x14ac:dyDescent="0.25">
      <c r="A11" s="109" t="s">
        <v>1525</v>
      </c>
      <c r="B11" s="1284" t="s">
        <v>3492</v>
      </c>
      <c r="C11" s="8"/>
      <c r="D11" s="1285" t="s">
        <v>1556</v>
      </c>
      <c r="E11" s="1283" t="s">
        <v>3492</v>
      </c>
      <c r="F11" s="8"/>
      <c r="G11" s="1285" t="s">
        <v>1561</v>
      </c>
      <c r="H11" s="1284" t="s">
        <v>3492</v>
      </c>
      <c r="I11" s="8"/>
      <c r="J11" s="1285" t="s">
        <v>1561</v>
      </c>
      <c r="K11" s="1284" t="s">
        <v>3492</v>
      </c>
      <c r="L11" s="8"/>
      <c r="M11" s="1285" t="s">
        <v>1549</v>
      </c>
      <c r="N11" s="1284" t="s">
        <v>1707</v>
      </c>
      <c r="O11" s="8"/>
      <c r="P11" s="1285" t="s">
        <v>1549</v>
      </c>
      <c r="Q11" s="1284" t="s">
        <v>3492</v>
      </c>
      <c r="R11" s="8"/>
      <c r="S11" s="1285" t="s">
        <v>1549</v>
      </c>
      <c r="T11" s="1284" t="s">
        <v>2926</v>
      </c>
      <c r="U11" s="8"/>
      <c r="V11" s="1291" t="s">
        <v>1562</v>
      </c>
      <c r="W11" s="1284" t="s">
        <v>3492</v>
      </c>
      <c r="X11" s="8"/>
      <c r="Y11" s="1285" t="s">
        <v>1563</v>
      </c>
      <c r="Z11" s="1284" t="s">
        <v>3492</v>
      </c>
      <c r="AA11" s="8"/>
      <c r="AB11" s="1285" t="s">
        <v>1549</v>
      </c>
      <c r="AC11" s="1284" t="s">
        <v>3492</v>
      </c>
      <c r="AE11" s="1285" t="s">
        <v>1557</v>
      </c>
      <c r="AF11" s="1284" t="s">
        <v>3492</v>
      </c>
      <c r="AH11" s="1285" t="s">
        <v>1549</v>
      </c>
      <c r="AI11" s="1283" t="s">
        <v>1532</v>
      </c>
      <c r="AK11" s="1285" t="s">
        <v>1549</v>
      </c>
      <c r="AL11" s="1283" t="s">
        <v>1532</v>
      </c>
      <c r="AN11" s="1285" t="s">
        <v>1557</v>
      </c>
      <c r="AO11" s="1283" t="s">
        <v>3492</v>
      </c>
      <c r="AQ11" s="1291" t="s">
        <v>1549</v>
      </c>
      <c r="AR11" s="1294" t="s">
        <v>1532</v>
      </c>
      <c r="AT11" s="1288" t="s">
        <v>1564</v>
      </c>
      <c r="AU11" s="1284">
        <v>698</v>
      </c>
      <c r="AW11" s="1288">
        <v>17</v>
      </c>
      <c r="AX11" s="1284" t="s">
        <v>3492</v>
      </c>
      <c r="AZ11" s="1285" t="s">
        <v>1561</v>
      </c>
      <c r="BA11" s="1284" t="s">
        <v>3492</v>
      </c>
      <c r="BC11" s="1285" t="s">
        <v>1556</v>
      </c>
      <c r="BD11" s="1284" t="s">
        <v>3492</v>
      </c>
      <c r="BF11" s="1285" t="s">
        <v>1556</v>
      </c>
      <c r="BG11" s="1286" t="s">
        <v>3492</v>
      </c>
      <c r="BI11" s="1285" t="s">
        <v>1549</v>
      </c>
      <c r="BJ11" s="1284" t="s">
        <v>3492</v>
      </c>
    </row>
    <row r="12" spans="1:62" x14ac:dyDescent="0.25">
      <c r="A12" s="1285" t="s">
        <v>1529</v>
      </c>
      <c r="B12" s="1284" t="s">
        <v>3492</v>
      </c>
      <c r="C12" s="8"/>
      <c r="D12" s="1285" t="s">
        <v>1561</v>
      </c>
      <c r="E12" s="1283" t="s">
        <v>3492</v>
      </c>
      <c r="F12" s="8"/>
      <c r="G12" s="1285" t="s">
        <v>1565</v>
      </c>
      <c r="H12" s="1292" t="s">
        <v>3492</v>
      </c>
      <c r="I12" s="8"/>
      <c r="J12" s="1285" t="s">
        <v>1565</v>
      </c>
      <c r="K12" s="1282" t="s">
        <v>3492</v>
      </c>
      <c r="L12" s="8"/>
      <c r="M12" s="1285" t="s">
        <v>1560</v>
      </c>
      <c r="N12" s="1295" t="s">
        <v>3492</v>
      </c>
      <c r="O12" s="8"/>
      <c r="P12" s="1285" t="s">
        <v>1556</v>
      </c>
      <c r="Q12" s="1284" t="s">
        <v>3492</v>
      </c>
      <c r="R12" s="8"/>
      <c r="S12" s="1285" t="s">
        <v>1556</v>
      </c>
      <c r="T12" s="1284" t="s">
        <v>2926</v>
      </c>
      <c r="U12" s="8"/>
      <c r="V12" s="1285" t="s">
        <v>1556</v>
      </c>
      <c r="W12" s="1284" t="s">
        <v>3492</v>
      </c>
      <c r="X12" s="8"/>
      <c r="Y12" s="1285" t="s">
        <v>1566</v>
      </c>
      <c r="Z12" s="1284" t="s">
        <v>3492</v>
      </c>
      <c r="AA12" s="8"/>
      <c r="AB12" s="1296" t="s">
        <v>1556</v>
      </c>
      <c r="AC12" s="1297"/>
      <c r="AE12" s="1285" t="s">
        <v>1563</v>
      </c>
      <c r="AF12" s="1284" t="s">
        <v>3492</v>
      </c>
      <c r="AH12" s="1285" t="s">
        <v>1556</v>
      </c>
      <c r="AI12" s="1283" t="s">
        <v>1532</v>
      </c>
      <c r="AK12" s="1285" t="s">
        <v>1556</v>
      </c>
      <c r="AL12" s="1283" t="s">
        <v>1532</v>
      </c>
      <c r="AN12" s="1285" t="s">
        <v>1563</v>
      </c>
      <c r="AO12" s="1283" t="s">
        <v>3492</v>
      </c>
      <c r="AQ12" s="1291" t="s">
        <v>1556</v>
      </c>
      <c r="AR12" s="1294" t="s">
        <v>1532</v>
      </c>
      <c r="AT12" s="1288" t="s">
        <v>1567</v>
      </c>
      <c r="AU12" s="1284" t="s">
        <v>3862</v>
      </c>
      <c r="AW12" s="1288">
        <v>18</v>
      </c>
      <c r="AX12" s="1284" t="s">
        <v>3492</v>
      </c>
      <c r="AZ12" s="1285" t="s">
        <v>1565</v>
      </c>
      <c r="BA12" s="1284" t="s">
        <v>3492</v>
      </c>
      <c r="BC12" s="1285" t="s">
        <v>1561</v>
      </c>
      <c r="BD12" s="1286" t="s">
        <v>3492</v>
      </c>
      <c r="BF12" s="1285" t="s">
        <v>1561</v>
      </c>
      <c r="BG12" s="1286" t="s">
        <v>3492</v>
      </c>
      <c r="BI12" s="1285" t="s">
        <v>1556</v>
      </c>
      <c r="BJ12" s="1284" t="s">
        <v>3492</v>
      </c>
    </row>
    <row r="13" spans="1:62" ht="12" thickBot="1" x14ac:dyDescent="0.3">
      <c r="A13" s="1285" t="s">
        <v>1533</v>
      </c>
      <c r="B13" s="1284" t="s">
        <v>3492</v>
      </c>
      <c r="C13" s="8"/>
      <c r="D13" s="1285" t="s">
        <v>1565</v>
      </c>
      <c r="E13" s="1283" t="s">
        <v>3492</v>
      </c>
      <c r="F13" s="8"/>
      <c r="G13" s="1285" t="s">
        <v>1568</v>
      </c>
      <c r="H13" s="1284" t="s">
        <v>3492</v>
      </c>
      <c r="I13" s="8"/>
      <c r="J13" s="1285" t="s">
        <v>1568</v>
      </c>
      <c r="K13" s="1284" t="s">
        <v>3492</v>
      </c>
      <c r="L13" s="8"/>
      <c r="M13" s="1298" t="s">
        <v>1556</v>
      </c>
      <c r="N13" s="1284" t="s">
        <v>3492</v>
      </c>
      <c r="O13" s="8"/>
      <c r="P13" s="1285" t="s">
        <v>1561</v>
      </c>
      <c r="Q13" s="1284" t="s">
        <v>3492</v>
      </c>
      <c r="R13" s="8"/>
      <c r="S13" s="1285" t="s">
        <v>1561</v>
      </c>
      <c r="T13" s="1284" t="s">
        <v>1615</v>
      </c>
      <c r="U13" s="8"/>
      <c r="V13" s="1285" t="s">
        <v>1561</v>
      </c>
      <c r="W13" s="1284" t="s">
        <v>3492</v>
      </c>
      <c r="X13" s="8"/>
      <c r="Y13" s="1285" t="s">
        <v>1569</v>
      </c>
      <c r="Z13" s="1284" t="s">
        <v>3492</v>
      </c>
      <c r="AA13" s="8"/>
      <c r="AB13" s="1285" t="s">
        <v>1561</v>
      </c>
      <c r="AC13" s="1284" t="s">
        <v>3492</v>
      </c>
      <c r="AE13" s="1285" t="s">
        <v>1566</v>
      </c>
      <c r="AF13" s="1284" t="s">
        <v>3492</v>
      </c>
      <c r="AH13" s="1285" t="s">
        <v>1561</v>
      </c>
      <c r="AI13" s="1283">
        <v>-1840</v>
      </c>
      <c r="AK13" s="1285" t="s">
        <v>1561</v>
      </c>
      <c r="AL13" s="1299" t="s">
        <v>3492</v>
      </c>
      <c r="AN13" s="1285" t="s">
        <v>1566</v>
      </c>
      <c r="AO13" s="1283" t="s">
        <v>3492</v>
      </c>
      <c r="AQ13" s="1291" t="s">
        <v>1561</v>
      </c>
      <c r="AR13" s="1294" t="s">
        <v>1532</v>
      </c>
      <c r="AT13" s="1288" t="s">
        <v>1570</v>
      </c>
      <c r="AU13" s="1284">
        <v>14265</v>
      </c>
      <c r="AW13" s="1288">
        <v>19</v>
      </c>
      <c r="AX13" s="1284" t="s">
        <v>3492</v>
      </c>
      <c r="AZ13" s="1285" t="s">
        <v>1568</v>
      </c>
      <c r="BA13" s="1284" t="s">
        <v>3492</v>
      </c>
      <c r="BC13" s="1285" t="s">
        <v>1565</v>
      </c>
      <c r="BD13" s="1286" t="s">
        <v>3492</v>
      </c>
      <c r="BF13" s="1285" t="s">
        <v>1565</v>
      </c>
      <c r="BG13" s="1286" t="s">
        <v>3492</v>
      </c>
      <c r="BI13" s="1285" t="s">
        <v>1561</v>
      </c>
      <c r="BJ13" s="1284" t="s">
        <v>3492</v>
      </c>
    </row>
    <row r="14" spans="1:62" ht="12" thickBot="1" x14ac:dyDescent="0.3">
      <c r="A14" s="109" t="s">
        <v>1538</v>
      </c>
      <c r="B14" s="1284">
        <v>40000</v>
      </c>
      <c r="C14" s="8"/>
      <c r="D14" s="1285" t="s">
        <v>1568</v>
      </c>
      <c r="E14" s="1283" t="s">
        <v>3492</v>
      </c>
      <c r="F14" s="8"/>
      <c r="G14" s="695" t="s">
        <v>1571</v>
      </c>
      <c r="H14" s="1284" t="s">
        <v>3492</v>
      </c>
      <c r="I14" s="8"/>
      <c r="J14" s="695" t="s">
        <v>1571</v>
      </c>
      <c r="K14" s="1284" t="s">
        <v>3492</v>
      </c>
      <c r="L14" s="8"/>
      <c r="M14" s="1298" t="s">
        <v>1572</v>
      </c>
      <c r="N14" s="1284" t="s">
        <v>3492</v>
      </c>
      <c r="O14" s="8"/>
      <c r="P14" s="1285" t="s">
        <v>1565</v>
      </c>
      <c r="Q14" s="1284" t="s">
        <v>3492</v>
      </c>
      <c r="R14" s="8"/>
      <c r="S14" s="1285" t="s">
        <v>1565</v>
      </c>
      <c r="T14" s="1284">
        <v>27643</v>
      </c>
      <c r="U14" s="8"/>
      <c r="V14" s="1285" t="s">
        <v>1565</v>
      </c>
      <c r="W14" s="1284" t="s">
        <v>3492</v>
      </c>
      <c r="X14" s="8"/>
      <c r="Y14" s="1285" t="s">
        <v>1573</v>
      </c>
      <c r="Z14" s="1284" t="s">
        <v>3492</v>
      </c>
      <c r="AA14" s="8"/>
      <c r="AB14" s="1285" t="s">
        <v>1565</v>
      </c>
      <c r="AC14" s="1284" t="s">
        <v>3492</v>
      </c>
      <c r="AE14" s="1285" t="s">
        <v>1569</v>
      </c>
      <c r="AF14" s="1284" t="s">
        <v>3492</v>
      </c>
      <c r="AH14" s="1285" t="s">
        <v>1565</v>
      </c>
      <c r="AI14" s="1283" t="s">
        <v>3492</v>
      </c>
      <c r="AK14" s="1285" t="s">
        <v>1565</v>
      </c>
      <c r="AL14" s="1299" t="s">
        <v>3492</v>
      </c>
      <c r="AN14" s="1293" t="s">
        <v>1574</v>
      </c>
      <c r="AO14" s="1283" t="s">
        <v>3492</v>
      </c>
      <c r="AQ14" s="1291" t="s">
        <v>1565</v>
      </c>
      <c r="AR14" s="1294" t="s">
        <v>1532</v>
      </c>
      <c r="AT14" s="1288" t="s">
        <v>1575</v>
      </c>
      <c r="AU14" s="1284" t="s">
        <v>3492</v>
      </c>
      <c r="AW14" s="1288">
        <v>20</v>
      </c>
      <c r="AX14" s="1284" t="s">
        <v>3492</v>
      </c>
      <c r="AZ14" s="1285" t="s">
        <v>1571</v>
      </c>
      <c r="BA14" s="1284" t="s">
        <v>3492</v>
      </c>
      <c r="BC14" s="1285" t="s">
        <v>1568</v>
      </c>
      <c r="BD14" s="1284" t="s">
        <v>3492</v>
      </c>
      <c r="BF14" s="1285" t="s">
        <v>1568</v>
      </c>
      <c r="BG14" s="1292" t="s">
        <v>3492</v>
      </c>
      <c r="BI14" s="1285" t="s">
        <v>1565</v>
      </c>
      <c r="BJ14" s="1284" t="s">
        <v>3492</v>
      </c>
    </row>
    <row r="15" spans="1:62" x14ac:dyDescent="0.25">
      <c r="A15" s="1285" t="s">
        <v>1543</v>
      </c>
      <c r="B15" s="1284" t="s">
        <v>3492</v>
      </c>
      <c r="C15" s="8"/>
      <c r="D15" s="1296" t="s">
        <v>1571</v>
      </c>
      <c r="E15" s="1283" t="s">
        <v>1532</v>
      </c>
      <c r="F15" s="8"/>
      <c r="G15" s="109" t="s">
        <v>1576</v>
      </c>
      <c r="H15" s="1284" t="s">
        <v>3492</v>
      </c>
      <c r="I15" s="8"/>
      <c r="J15" s="8"/>
      <c r="K15" s="8"/>
      <c r="L15" s="8"/>
      <c r="M15" s="1298" t="s">
        <v>1577</v>
      </c>
      <c r="N15" s="1292" t="s">
        <v>3492</v>
      </c>
      <c r="O15" s="8"/>
      <c r="P15" s="1285" t="s">
        <v>1568</v>
      </c>
      <c r="Q15" s="1284" t="s">
        <v>3492</v>
      </c>
      <c r="R15" s="8"/>
      <c r="S15" s="1285" t="s">
        <v>1568</v>
      </c>
      <c r="T15" s="1284" t="s">
        <v>3492</v>
      </c>
      <c r="U15" s="8"/>
      <c r="V15" s="1285" t="s">
        <v>1568</v>
      </c>
      <c r="W15" s="1284" t="s">
        <v>3492</v>
      </c>
      <c r="X15" s="8"/>
      <c r="Y15" s="1285" t="s">
        <v>1578</v>
      </c>
      <c r="Z15" s="1284" t="s">
        <v>3492</v>
      </c>
      <c r="AA15" s="8"/>
      <c r="AB15" s="1285" t="s">
        <v>1568</v>
      </c>
      <c r="AC15" s="1284" t="s">
        <v>1532</v>
      </c>
      <c r="AE15" s="1285" t="s">
        <v>1573</v>
      </c>
      <c r="AF15" s="1284" t="s">
        <v>3492</v>
      </c>
      <c r="AH15" s="1285" t="s">
        <v>1579</v>
      </c>
      <c r="AI15" s="1283" t="s">
        <v>1532</v>
      </c>
      <c r="AK15" s="1285" t="s">
        <v>1579</v>
      </c>
      <c r="AL15" s="1283" t="s">
        <v>1532</v>
      </c>
      <c r="AN15" s="1285" t="s">
        <v>1569</v>
      </c>
      <c r="AO15" s="1283" t="s">
        <v>3492</v>
      </c>
      <c r="AQ15" s="1291" t="s">
        <v>1568</v>
      </c>
      <c r="AR15" s="1294" t="s">
        <v>1532</v>
      </c>
      <c r="AT15" s="1288" t="s">
        <v>1580</v>
      </c>
      <c r="AU15" s="1284" t="s">
        <v>3492</v>
      </c>
      <c r="AW15" s="1288">
        <v>21</v>
      </c>
      <c r="AX15" s="1284" t="s">
        <v>3492</v>
      </c>
      <c r="AZ15" s="1285" t="s">
        <v>1576</v>
      </c>
      <c r="BA15" s="1284" t="s">
        <v>3492</v>
      </c>
      <c r="BC15" s="1285" t="s">
        <v>1571</v>
      </c>
      <c r="BD15" s="1284" t="s">
        <v>3492</v>
      </c>
      <c r="BF15" s="1285" t="s">
        <v>1571</v>
      </c>
      <c r="BG15" s="1292" t="s">
        <v>3492</v>
      </c>
      <c r="BI15" s="1285" t="s">
        <v>1568</v>
      </c>
      <c r="BJ15" s="1284" t="s">
        <v>3492</v>
      </c>
    </row>
    <row r="16" spans="1:62" ht="12" thickBot="1" x14ac:dyDescent="0.3">
      <c r="A16" s="1285" t="s">
        <v>1549</v>
      </c>
      <c r="B16" s="1284" t="s">
        <v>3492</v>
      </c>
      <c r="C16" s="8"/>
      <c r="D16" s="844" t="s">
        <v>1576</v>
      </c>
      <c r="E16" s="1283" t="s">
        <v>1532</v>
      </c>
      <c r="F16" s="8"/>
      <c r="G16" s="1285" t="s">
        <v>1581</v>
      </c>
      <c r="H16" s="1284" t="s">
        <v>3492</v>
      </c>
      <c r="I16" s="8"/>
      <c r="J16" s="108" t="s">
        <v>20</v>
      </c>
      <c r="K16" s="840" t="s">
        <v>9636</v>
      </c>
      <c r="L16" s="8"/>
      <c r="M16" s="1298" t="s">
        <v>1582</v>
      </c>
      <c r="N16" s="1284" t="s">
        <v>3492</v>
      </c>
      <c r="O16" s="8"/>
      <c r="P16" s="1285" t="s">
        <v>1571</v>
      </c>
      <c r="Q16" s="1284" t="s">
        <v>3492</v>
      </c>
      <c r="R16" s="8"/>
      <c r="S16" s="1285" t="s">
        <v>1583</v>
      </c>
      <c r="T16" s="1284" t="s">
        <v>3492</v>
      </c>
      <c r="U16" s="8"/>
      <c r="V16" s="1285" t="s">
        <v>1571</v>
      </c>
      <c r="W16" s="1284" t="s">
        <v>3492</v>
      </c>
      <c r="X16" s="8"/>
      <c r="Y16" s="1285" t="s">
        <v>1584</v>
      </c>
      <c r="Z16" s="1284" t="s">
        <v>3492</v>
      </c>
      <c r="AA16" s="8"/>
      <c r="AB16" s="1285" t="s">
        <v>1571</v>
      </c>
      <c r="AC16" s="1284" t="s">
        <v>3492</v>
      </c>
      <c r="AE16" s="1285" t="s">
        <v>1578</v>
      </c>
      <c r="AF16" s="1284" t="s">
        <v>3492</v>
      </c>
      <c r="AH16" s="1285" t="s">
        <v>1568</v>
      </c>
      <c r="AI16" s="1283" t="s">
        <v>3492</v>
      </c>
      <c r="AK16" s="1285" t="s">
        <v>1568</v>
      </c>
      <c r="AL16" s="1299" t="s">
        <v>3492</v>
      </c>
      <c r="AN16" s="1285" t="s">
        <v>1573</v>
      </c>
      <c r="AO16" s="1283" t="s">
        <v>3492</v>
      </c>
      <c r="AQ16" s="1291" t="s">
        <v>1571</v>
      </c>
      <c r="AR16" s="1294" t="s">
        <v>1532</v>
      </c>
      <c r="AT16" s="1288" t="s">
        <v>1585</v>
      </c>
      <c r="AU16" s="1284" t="s">
        <v>3492</v>
      </c>
      <c r="AW16" s="1288">
        <v>21.1</v>
      </c>
      <c r="AX16" s="1284" t="s">
        <v>3492</v>
      </c>
      <c r="AZ16" s="1285" t="s">
        <v>1581</v>
      </c>
      <c r="BA16" s="1284" t="s">
        <v>3492</v>
      </c>
      <c r="BC16" s="1285" t="s">
        <v>1576</v>
      </c>
      <c r="BD16" s="1284" t="s">
        <v>3492</v>
      </c>
      <c r="BF16" s="1285" t="s">
        <v>1586</v>
      </c>
      <c r="BG16" s="1292" t="s">
        <v>3492</v>
      </c>
      <c r="BI16" s="1285" t="s">
        <v>1571</v>
      </c>
      <c r="BJ16" s="1284" t="s">
        <v>3492</v>
      </c>
    </row>
    <row r="17" spans="1:62" x14ac:dyDescent="0.25">
      <c r="A17" s="109" t="s">
        <v>1556</v>
      </c>
      <c r="B17" s="1284" t="s">
        <v>3492</v>
      </c>
      <c r="C17" s="8"/>
      <c r="D17" s="109" t="s">
        <v>1581</v>
      </c>
      <c r="E17" s="1286" t="s">
        <v>3492</v>
      </c>
      <c r="F17" s="8"/>
      <c r="G17" s="1285" t="s">
        <v>1587</v>
      </c>
      <c r="H17" s="1284" t="s">
        <v>3492</v>
      </c>
      <c r="I17" s="8"/>
      <c r="J17" s="109" t="s">
        <v>1525</v>
      </c>
      <c r="K17" s="1284" t="s">
        <v>3492</v>
      </c>
      <c r="L17" s="8"/>
      <c r="M17" s="1298" t="s">
        <v>1588</v>
      </c>
      <c r="N17" s="1292" t="s">
        <v>3492</v>
      </c>
      <c r="O17" s="8"/>
      <c r="P17" s="1285" t="s">
        <v>1576</v>
      </c>
      <c r="Q17" s="1284" t="s">
        <v>3492</v>
      </c>
      <c r="R17" s="8"/>
      <c r="S17" s="1285" t="s">
        <v>1571</v>
      </c>
      <c r="T17" s="1284">
        <v>1200</v>
      </c>
      <c r="U17" s="8"/>
      <c r="V17" s="1285" t="s">
        <v>1576</v>
      </c>
      <c r="W17" s="1284" t="s">
        <v>3492</v>
      </c>
      <c r="X17" s="8"/>
      <c r="Y17" s="1285" t="s">
        <v>1589</v>
      </c>
      <c r="Z17" s="1284" t="s">
        <v>3492</v>
      </c>
      <c r="AA17" s="8"/>
      <c r="AB17" s="1285" t="s">
        <v>1576</v>
      </c>
      <c r="AC17" s="1284" t="s">
        <v>3492</v>
      </c>
      <c r="AE17" s="1285" t="s">
        <v>1584</v>
      </c>
      <c r="AF17" s="1284" t="s">
        <v>3492</v>
      </c>
      <c r="AH17" s="1285" t="s">
        <v>1571</v>
      </c>
      <c r="AI17" s="1283" t="s">
        <v>3492</v>
      </c>
      <c r="AK17" s="1285" t="s">
        <v>1571</v>
      </c>
      <c r="AL17" s="1299" t="s">
        <v>3492</v>
      </c>
      <c r="AN17" s="1285" t="s">
        <v>1578</v>
      </c>
      <c r="AO17" s="1283" t="s">
        <v>3492</v>
      </c>
      <c r="AQ17" s="1291" t="s">
        <v>1586</v>
      </c>
      <c r="AR17" s="1294" t="s">
        <v>1532</v>
      </c>
      <c r="AT17" s="1288" t="s">
        <v>1590</v>
      </c>
      <c r="AU17" s="1284">
        <v>14265</v>
      </c>
      <c r="AW17" s="1300">
        <v>22</v>
      </c>
      <c r="AX17" s="1301" t="s">
        <v>1532</v>
      </c>
      <c r="AZ17" s="1285" t="s">
        <v>1591</v>
      </c>
      <c r="BA17" s="1284" t="s">
        <v>3492</v>
      </c>
      <c r="BC17" s="1285" t="s">
        <v>1581</v>
      </c>
      <c r="BD17" s="1284" t="s">
        <v>3492</v>
      </c>
      <c r="BF17" s="1285" t="s">
        <v>1576</v>
      </c>
      <c r="BG17" s="1292" t="s">
        <v>3492</v>
      </c>
      <c r="BI17" s="1285" t="s">
        <v>1576</v>
      </c>
      <c r="BJ17" s="1284" t="s">
        <v>3492</v>
      </c>
    </row>
    <row r="18" spans="1:62" x14ac:dyDescent="0.25">
      <c r="A18" s="1285" t="s">
        <v>1561</v>
      </c>
      <c r="B18" s="1284" t="s">
        <v>3492</v>
      </c>
      <c r="C18" s="8"/>
      <c r="D18" s="1285" t="s">
        <v>1591</v>
      </c>
      <c r="E18" s="1286" t="s">
        <v>3492</v>
      </c>
      <c r="F18" s="8"/>
      <c r="G18" s="1285" t="s">
        <v>1591</v>
      </c>
      <c r="H18" s="1284" t="s">
        <v>3492</v>
      </c>
      <c r="I18" s="8"/>
      <c r="J18" s="1285" t="s">
        <v>1529</v>
      </c>
      <c r="K18" s="1284" t="s">
        <v>3492</v>
      </c>
      <c r="L18" s="8"/>
      <c r="M18" s="1302" t="s">
        <v>1561</v>
      </c>
      <c r="N18" s="1284" t="s">
        <v>3492</v>
      </c>
      <c r="O18" s="8"/>
      <c r="P18" s="1285" t="s">
        <v>1581</v>
      </c>
      <c r="Q18" s="1284" t="s">
        <v>3492</v>
      </c>
      <c r="R18" s="8"/>
      <c r="S18" s="1285" t="s">
        <v>1576</v>
      </c>
      <c r="T18" s="1284">
        <v>9200</v>
      </c>
      <c r="U18" s="8"/>
      <c r="V18" s="1285" t="s">
        <v>1581</v>
      </c>
      <c r="W18" s="1284" t="s">
        <v>3492</v>
      </c>
      <c r="X18" s="8"/>
      <c r="Y18" s="1285" t="s">
        <v>1592</v>
      </c>
      <c r="Z18" s="1284" t="s">
        <v>1532</v>
      </c>
      <c r="AA18" s="8"/>
      <c r="AB18" s="1285" t="s">
        <v>1581</v>
      </c>
      <c r="AC18" s="1284" t="s">
        <v>3492</v>
      </c>
      <c r="AE18" s="1285" t="s">
        <v>1589</v>
      </c>
      <c r="AF18" s="1284" t="s">
        <v>3492</v>
      </c>
      <c r="AH18" s="1285" t="s">
        <v>1576</v>
      </c>
      <c r="AI18" s="1283" t="s">
        <v>3492</v>
      </c>
      <c r="AK18" s="1285" t="s">
        <v>1576</v>
      </c>
      <c r="AL18" s="1299" t="s">
        <v>3492</v>
      </c>
      <c r="AN18" s="1285" t="s">
        <v>1593</v>
      </c>
      <c r="AO18" s="1283" t="s">
        <v>3492</v>
      </c>
      <c r="AQ18" s="1291" t="s">
        <v>1594</v>
      </c>
      <c r="AR18" s="1294" t="s">
        <v>1532</v>
      </c>
      <c r="AT18" s="1288">
        <v>3</v>
      </c>
      <c r="AU18" s="1284" t="s">
        <v>3492</v>
      </c>
      <c r="AW18" s="1288">
        <v>22.1</v>
      </c>
      <c r="AX18" s="1284" t="s">
        <v>3492</v>
      </c>
      <c r="AZ18" s="1285" t="s">
        <v>1595</v>
      </c>
      <c r="BA18" s="1284" t="s">
        <v>3492</v>
      </c>
      <c r="BC18" s="1285" t="s">
        <v>1596</v>
      </c>
      <c r="BD18" s="1284" t="s">
        <v>3492</v>
      </c>
      <c r="BF18" s="1285" t="s">
        <v>1581</v>
      </c>
      <c r="BG18" s="1292" t="s">
        <v>3492</v>
      </c>
      <c r="BI18" s="1285" t="s">
        <v>1581</v>
      </c>
      <c r="BJ18" s="1284" t="s">
        <v>3492</v>
      </c>
    </row>
    <row r="19" spans="1:62" ht="12" thickBot="1" x14ac:dyDescent="0.3">
      <c r="A19" s="1285" t="s">
        <v>1565</v>
      </c>
      <c r="B19" s="1284" t="s">
        <v>3492</v>
      </c>
      <c r="C19" s="8"/>
      <c r="D19" s="1285" t="s">
        <v>1595</v>
      </c>
      <c r="E19" s="1286" t="s">
        <v>3492</v>
      </c>
      <c r="F19" s="8"/>
      <c r="G19" s="695" t="s">
        <v>1595</v>
      </c>
      <c r="H19" s="1284" t="s">
        <v>3492</v>
      </c>
      <c r="I19" s="8"/>
      <c r="J19" s="1285" t="s">
        <v>1533</v>
      </c>
      <c r="K19" s="1284" t="s">
        <v>3492</v>
      </c>
      <c r="L19" s="8"/>
      <c r="M19" s="1302" t="s">
        <v>1597</v>
      </c>
      <c r="N19" s="1284" t="s">
        <v>1532</v>
      </c>
      <c r="O19" s="8"/>
      <c r="P19" s="1285" t="s">
        <v>1591</v>
      </c>
      <c r="Q19" s="1284" t="s">
        <v>3492</v>
      </c>
      <c r="R19" s="8"/>
      <c r="S19" s="1285" t="s">
        <v>1581</v>
      </c>
      <c r="T19" s="1284">
        <v>12500</v>
      </c>
      <c r="U19" s="8"/>
      <c r="V19" s="1285" t="s">
        <v>1591</v>
      </c>
      <c r="W19" s="1284" t="s">
        <v>3492</v>
      </c>
      <c r="X19" s="8"/>
      <c r="Y19" s="1285" t="s">
        <v>1598</v>
      </c>
      <c r="Z19" s="1284" t="s">
        <v>1532</v>
      </c>
      <c r="AA19" s="8"/>
      <c r="AB19" s="1285" t="s">
        <v>1591</v>
      </c>
      <c r="AC19" s="1284" t="s">
        <v>3492</v>
      </c>
      <c r="AE19" s="695" t="s">
        <v>1592</v>
      </c>
      <c r="AF19" s="1284" t="s">
        <v>3492</v>
      </c>
      <c r="AH19" s="1285" t="s">
        <v>1581</v>
      </c>
      <c r="AI19" s="1283" t="s">
        <v>1532</v>
      </c>
      <c r="AK19" s="1285" t="s">
        <v>1581</v>
      </c>
      <c r="AL19" s="1283" t="s">
        <v>1532</v>
      </c>
      <c r="AN19" s="1285" t="s">
        <v>1599</v>
      </c>
      <c r="AO19" s="1283" t="s">
        <v>3492</v>
      </c>
      <c r="AQ19" s="1291" t="s">
        <v>1576</v>
      </c>
      <c r="AR19" s="1294" t="s">
        <v>1532</v>
      </c>
      <c r="AT19" s="1288">
        <v>4</v>
      </c>
      <c r="AU19" s="1284">
        <v>14963</v>
      </c>
      <c r="AW19" s="1303">
        <v>22.2</v>
      </c>
      <c r="AX19" s="1304" t="s">
        <v>3492</v>
      </c>
      <c r="AZ19" s="1285" t="s">
        <v>1600</v>
      </c>
      <c r="BA19" s="1284" t="s">
        <v>3492</v>
      </c>
      <c r="BC19" s="1285" t="s">
        <v>1601</v>
      </c>
      <c r="BD19" s="1284" t="s">
        <v>3492</v>
      </c>
      <c r="BF19" s="1285" t="s">
        <v>1591</v>
      </c>
      <c r="BG19" s="1292" t="s">
        <v>3492</v>
      </c>
      <c r="BI19" s="1285" t="s">
        <v>1591</v>
      </c>
      <c r="BJ19" s="1284" t="s">
        <v>3492</v>
      </c>
    </row>
    <row r="20" spans="1:62" ht="12" thickBot="1" x14ac:dyDescent="0.3">
      <c r="A20" s="109" t="s">
        <v>1568</v>
      </c>
      <c r="B20" s="1284" t="s">
        <v>3492</v>
      </c>
      <c r="C20" s="8"/>
      <c r="D20" s="695" t="s">
        <v>1600</v>
      </c>
      <c r="E20" s="1286" t="s">
        <v>3492</v>
      </c>
      <c r="F20" s="8"/>
      <c r="G20" s="108"/>
      <c r="H20" s="8"/>
      <c r="I20" s="8"/>
      <c r="J20" s="1285" t="s">
        <v>1538</v>
      </c>
      <c r="K20" s="1284" t="s">
        <v>3492</v>
      </c>
      <c r="L20" s="8"/>
      <c r="M20" s="1285" t="s">
        <v>1565</v>
      </c>
      <c r="N20" s="1284" t="s">
        <v>3492</v>
      </c>
      <c r="O20" s="8"/>
      <c r="P20" s="1285" t="s">
        <v>1595</v>
      </c>
      <c r="Q20" s="1284" t="s">
        <v>3492</v>
      </c>
      <c r="R20" s="8"/>
      <c r="S20" s="1285" t="s">
        <v>1591</v>
      </c>
      <c r="T20" s="1284">
        <v>17320</v>
      </c>
      <c r="U20" s="8"/>
      <c r="V20" s="1285" t="s">
        <v>1595</v>
      </c>
      <c r="W20" s="1284" t="s">
        <v>3492</v>
      </c>
      <c r="X20" s="8"/>
      <c r="Y20" s="1285" t="s">
        <v>1602</v>
      </c>
      <c r="Z20" s="1284" t="s">
        <v>3492</v>
      </c>
      <c r="AA20" s="8"/>
      <c r="AB20" s="1285" t="s">
        <v>1595</v>
      </c>
      <c r="AC20" s="1284" t="s">
        <v>3492</v>
      </c>
      <c r="AH20" s="1285" t="s">
        <v>1591</v>
      </c>
      <c r="AI20" s="1283" t="s">
        <v>1532</v>
      </c>
      <c r="AK20" s="1285" t="s">
        <v>1591</v>
      </c>
      <c r="AL20" s="1283" t="s">
        <v>1532</v>
      </c>
      <c r="AN20" s="695" t="s">
        <v>1603</v>
      </c>
      <c r="AO20" s="1283" t="s">
        <v>3492</v>
      </c>
      <c r="AQ20" s="1291" t="s">
        <v>1581</v>
      </c>
      <c r="AR20" s="1294" t="s">
        <v>1532</v>
      </c>
      <c r="AT20" s="1305">
        <v>4.0999999999999996</v>
      </c>
      <c r="AU20" s="1284" t="s">
        <v>3492</v>
      </c>
      <c r="AW20" s="1288">
        <v>23</v>
      </c>
      <c r="AX20" s="1284" t="s">
        <v>3492</v>
      </c>
      <c r="AZ20" s="1285" t="s">
        <v>1604</v>
      </c>
      <c r="BA20" s="1284" t="s">
        <v>3492</v>
      </c>
      <c r="BC20" s="1293" t="s">
        <v>1605</v>
      </c>
      <c r="BD20" s="1284" t="s">
        <v>3492</v>
      </c>
      <c r="BF20" s="1285" t="s">
        <v>1595</v>
      </c>
      <c r="BG20" s="1286" t="s">
        <v>3492</v>
      </c>
      <c r="BI20" s="1285" t="s">
        <v>1595</v>
      </c>
      <c r="BJ20" s="1284" t="s">
        <v>3492</v>
      </c>
    </row>
    <row r="21" spans="1:62" ht="12" thickBot="1" x14ac:dyDescent="0.3">
      <c r="A21" s="1285" t="s">
        <v>1571</v>
      </c>
      <c r="B21" s="1284" t="s">
        <v>3492</v>
      </c>
      <c r="C21" s="8"/>
      <c r="F21" s="8"/>
      <c r="G21" s="108" t="s">
        <v>88</v>
      </c>
      <c r="H21" s="840" t="s">
        <v>9635</v>
      </c>
      <c r="I21" s="8"/>
      <c r="J21" s="1285" t="s">
        <v>1543</v>
      </c>
      <c r="K21" s="1284" t="s">
        <v>3492</v>
      </c>
      <c r="L21" s="8"/>
      <c r="M21" s="1285" t="s">
        <v>1568</v>
      </c>
      <c r="N21" s="1284" t="s">
        <v>3492</v>
      </c>
      <c r="O21" s="8"/>
      <c r="P21" s="1285" t="s">
        <v>1600</v>
      </c>
      <c r="Q21" s="1284" t="s">
        <v>3492</v>
      </c>
      <c r="R21" s="8"/>
      <c r="S21" s="1285" t="s">
        <v>1595</v>
      </c>
      <c r="T21" s="1284">
        <v>11109</v>
      </c>
      <c r="U21" s="8"/>
      <c r="V21" s="1285" t="s">
        <v>1600</v>
      </c>
      <c r="W21" s="1284" t="s">
        <v>3492</v>
      </c>
      <c r="X21" s="8"/>
      <c r="Y21" s="1285" t="s">
        <v>1606</v>
      </c>
      <c r="Z21" s="1284" t="s">
        <v>1532</v>
      </c>
      <c r="AA21" s="8"/>
      <c r="AB21" s="1285" t="s">
        <v>1600</v>
      </c>
      <c r="AC21" s="1284" t="s">
        <v>3492</v>
      </c>
      <c r="AH21" s="1285" t="s">
        <v>1595</v>
      </c>
      <c r="AI21" s="1283" t="s">
        <v>1532</v>
      </c>
      <c r="AK21" s="1285" t="s">
        <v>1595</v>
      </c>
      <c r="AL21" s="1283" t="s">
        <v>1532</v>
      </c>
      <c r="AN21" s="1285" t="s">
        <v>1584</v>
      </c>
      <c r="AO21" s="1283" t="s">
        <v>1532</v>
      </c>
      <c r="AQ21" s="1291" t="s">
        <v>1591</v>
      </c>
      <c r="AR21" s="1294" t="s">
        <v>1532</v>
      </c>
      <c r="AT21" s="1288" t="s">
        <v>1537</v>
      </c>
      <c r="AU21" s="1284" t="s">
        <v>3492</v>
      </c>
      <c r="AW21" s="1288">
        <v>24</v>
      </c>
      <c r="AX21" s="1284" t="s">
        <v>3492</v>
      </c>
      <c r="AZ21" s="1285" t="s">
        <v>1607</v>
      </c>
      <c r="BA21" s="1284" t="s">
        <v>3492</v>
      </c>
      <c r="BC21" s="1285" t="s">
        <v>1587</v>
      </c>
      <c r="BD21" s="1292" t="s">
        <v>3492</v>
      </c>
      <c r="BF21" s="1285" t="s">
        <v>1600</v>
      </c>
      <c r="BG21" s="1286" t="s">
        <v>3492</v>
      </c>
      <c r="BI21" s="1285" t="s">
        <v>1600</v>
      </c>
      <c r="BJ21" s="1284" t="s">
        <v>3492</v>
      </c>
    </row>
    <row r="22" spans="1:62" ht="12" thickBot="1" x14ac:dyDescent="0.3">
      <c r="A22" s="1285" t="s">
        <v>1576</v>
      </c>
      <c r="B22" s="1284" t="s">
        <v>3492</v>
      </c>
      <c r="C22" s="8"/>
      <c r="D22" s="108" t="s">
        <v>11</v>
      </c>
      <c r="E22" s="840"/>
      <c r="F22" s="8"/>
      <c r="G22" s="109" t="s">
        <v>1525</v>
      </c>
      <c r="H22" s="1284" t="s">
        <v>3492</v>
      </c>
      <c r="I22" s="8"/>
      <c r="J22" s="1285" t="s">
        <v>1549</v>
      </c>
      <c r="K22" s="1284" t="s">
        <v>3492</v>
      </c>
      <c r="L22" s="8"/>
      <c r="M22" s="1285" t="s">
        <v>1571</v>
      </c>
      <c r="N22" s="1284">
        <v>8303</v>
      </c>
      <c r="O22" s="8"/>
      <c r="P22" s="1285" t="s">
        <v>1604</v>
      </c>
      <c r="Q22" s="1284" t="s">
        <v>3492</v>
      </c>
      <c r="R22" s="8"/>
      <c r="S22" s="1285" t="s">
        <v>1600</v>
      </c>
      <c r="T22" s="1284">
        <v>4200</v>
      </c>
      <c r="U22" s="8"/>
      <c r="V22" s="1285" t="s">
        <v>1608</v>
      </c>
      <c r="W22" s="1284" t="s">
        <v>3492</v>
      </c>
      <c r="X22" s="8"/>
      <c r="Y22" s="1285" t="s">
        <v>1609</v>
      </c>
      <c r="Z22" s="1284" t="s">
        <v>1532</v>
      </c>
      <c r="AA22" s="8"/>
      <c r="AB22" s="1285" t="s">
        <v>1604</v>
      </c>
      <c r="AC22" s="1284" t="s">
        <v>3492</v>
      </c>
      <c r="AH22" s="1285" t="s">
        <v>1600</v>
      </c>
      <c r="AI22" s="1283" t="s">
        <v>3492</v>
      </c>
      <c r="AK22" s="1285" t="s">
        <v>1600</v>
      </c>
      <c r="AL22" s="1299" t="s">
        <v>3492</v>
      </c>
      <c r="AN22" s="1285" t="s">
        <v>1589</v>
      </c>
      <c r="AO22" s="1283" t="s">
        <v>1532</v>
      </c>
      <c r="AQ22" s="1291" t="s">
        <v>1595</v>
      </c>
      <c r="AR22" s="1294" t="s">
        <v>1532</v>
      </c>
      <c r="AT22" s="1288" t="s">
        <v>1540</v>
      </c>
      <c r="AU22" s="1284" t="s">
        <v>3492</v>
      </c>
      <c r="AW22" s="1288">
        <v>24.1</v>
      </c>
      <c r="AX22" s="1284" t="s">
        <v>3492</v>
      </c>
      <c r="AZ22" s="1285" t="s">
        <v>1610</v>
      </c>
      <c r="BA22" s="1284" t="s">
        <v>3492</v>
      </c>
      <c r="BC22" s="1285" t="s">
        <v>1611</v>
      </c>
      <c r="BD22" s="1284" t="s">
        <v>3492</v>
      </c>
      <c r="BF22" s="1285" t="s">
        <v>1604</v>
      </c>
      <c r="BG22" s="1286" t="s">
        <v>3492</v>
      </c>
      <c r="BI22" s="695" t="s">
        <v>1604</v>
      </c>
      <c r="BJ22" s="1284"/>
    </row>
    <row r="23" spans="1:62" ht="12" thickBot="1" x14ac:dyDescent="0.3">
      <c r="A23" s="109" t="s">
        <v>1581</v>
      </c>
      <c r="B23" s="1284" t="s">
        <v>3492</v>
      </c>
      <c r="C23" s="8"/>
      <c r="D23" s="1281" t="s">
        <v>1525</v>
      </c>
      <c r="E23" s="1306" t="s">
        <v>3492</v>
      </c>
      <c r="F23" s="8"/>
      <c r="G23" s="1296" t="s">
        <v>1529</v>
      </c>
      <c r="H23" s="1284"/>
      <c r="I23" s="8"/>
      <c r="J23" s="1296" t="s">
        <v>1556</v>
      </c>
      <c r="K23" s="1284" t="s">
        <v>1532</v>
      </c>
      <c r="L23" s="8"/>
      <c r="M23" s="1285" t="s">
        <v>1576</v>
      </c>
      <c r="N23" s="1284" t="s">
        <v>3492</v>
      </c>
      <c r="O23" s="8"/>
      <c r="P23" s="1285" t="s">
        <v>1607</v>
      </c>
      <c r="Q23" s="1284" t="s">
        <v>3492</v>
      </c>
      <c r="R23" s="8"/>
      <c r="S23" s="1285" t="s">
        <v>1604</v>
      </c>
      <c r="T23" s="1284">
        <v>13642</v>
      </c>
      <c r="U23" s="8"/>
      <c r="V23" s="1285" t="s">
        <v>1604</v>
      </c>
      <c r="W23" s="1284" t="s">
        <v>3492</v>
      </c>
      <c r="X23" s="8"/>
      <c r="Y23" s="1285" t="s">
        <v>1612</v>
      </c>
      <c r="Z23" s="1284" t="s">
        <v>1532</v>
      </c>
      <c r="AA23" s="8"/>
      <c r="AB23" s="1285" t="s">
        <v>1607</v>
      </c>
      <c r="AC23" s="1284" t="s">
        <v>3492</v>
      </c>
      <c r="AH23" s="1285" t="s">
        <v>1604</v>
      </c>
      <c r="AI23" s="1283" t="s">
        <v>3492</v>
      </c>
      <c r="AK23" s="1285" t="s">
        <v>1608</v>
      </c>
      <c r="AL23" s="1283" t="s">
        <v>1532</v>
      </c>
      <c r="AN23" s="1285" t="s">
        <v>1592</v>
      </c>
      <c r="AO23" s="1283" t="s">
        <v>1532</v>
      </c>
      <c r="AQ23" s="1291" t="s">
        <v>1600</v>
      </c>
      <c r="AR23" s="1294" t="s">
        <v>1532</v>
      </c>
      <c r="AT23" s="1288" t="s">
        <v>1548</v>
      </c>
      <c r="AU23" s="1284" t="s">
        <v>3492</v>
      </c>
      <c r="AW23" s="1288">
        <v>24.2</v>
      </c>
      <c r="AX23" s="1284" t="s">
        <v>3492</v>
      </c>
      <c r="AZ23" s="1285" t="s">
        <v>1613</v>
      </c>
      <c r="BA23" s="1284" t="s">
        <v>3492</v>
      </c>
      <c r="BC23" s="1285" t="s">
        <v>1614</v>
      </c>
      <c r="BD23" s="1284" t="s">
        <v>3492</v>
      </c>
      <c r="BF23" s="1285" t="s">
        <v>1607</v>
      </c>
      <c r="BG23" s="1286" t="s">
        <v>3492</v>
      </c>
      <c r="BI23" s="108"/>
    </row>
    <row r="24" spans="1:62" x14ac:dyDescent="0.25">
      <c r="A24" s="1285" t="s">
        <v>1591</v>
      </c>
      <c r="B24" s="1284" t="s">
        <v>3492</v>
      </c>
      <c r="C24" s="8"/>
      <c r="D24" s="1281" t="s">
        <v>1529</v>
      </c>
      <c r="E24" s="1307" t="s">
        <v>1615</v>
      </c>
      <c r="F24" s="8"/>
      <c r="G24" s="109" t="s">
        <v>1533</v>
      </c>
      <c r="H24" s="1284" t="s">
        <v>3492</v>
      </c>
      <c r="I24" s="8"/>
      <c r="J24" s="1296" t="s">
        <v>1561</v>
      </c>
      <c r="K24" s="1284" t="s">
        <v>1532</v>
      </c>
      <c r="L24" s="8"/>
      <c r="M24" s="1285" t="s">
        <v>1581</v>
      </c>
      <c r="N24" s="1284" t="s">
        <v>3492</v>
      </c>
      <c r="O24" s="8"/>
      <c r="P24" s="1285" t="s">
        <v>1613</v>
      </c>
      <c r="Q24" s="1284" t="s">
        <v>3492</v>
      </c>
      <c r="R24" s="8"/>
      <c r="S24" s="1285" t="s">
        <v>1607</v>
      </c>
      <c r="T24" s="1284">
        <v>1602</v>
      </c>
      <c r="U24" s="8"/>
      <c r="V24" s="1285" t="s">
        <v>1607</v>
      </c>
      <c r="W24" s="1284" t="s">
        <v>3492</v>
      </c>
      <c r="X24" s="8"/>
      <c r="Y24" s="1285" t="s">
        <v>1616</v>
      </c>
      <c r="Z24" s="1284" t="s">
        <v>3492</v>
      </c>
      <c r="AA24" s="8"/>
      <c r="AB24" s="1285" t="s">
        <v>1613</v>
      </c>
      <c r="AC24" s="1297"/>
      <c r="AH24" s="1285" t="s">
        <v>1607</v>
      </c>
      <c r="AI24" s="1283" t="s">
        <v>3492</v>
      </c>
      <c r="AK24" s="1285" t="s">
        <v>1617</v>
      </c>
      <c r="AL24" s="1283" t="s">
        <v>1532</v>
      </c>
      <c r="AN24" s="1285" t="s">
        <v>1598</v>
      </c>
      <c r="AO24" s="1283" t="s">
        <v>3492</v>
      </c>
      <c r="AQ24" s="1291" t="s">
        <v>1604</v>
      </c>
      <c r="AR24" s="1294" t="s">
        <v>1532</v>
      </c>
      <c r="AT24" s="1288" t="s">
        <v>1618</v>
      </c>
      <c r="AU24" s="1284" t="s">
        <v>3492</v>
      </c>
      <c r="AW24" s="1288" t="s">
        <v>1537</v>
      </c>
      <c r="AX24" s="1284" t="s">
        <v>3492</v>
      </c>
      <c r="AZ24" s="1285" t="s">
        <v>1619</v>
      </c>
      <c r="BA24" s="1284" t="s">
        <v>3492</v>
      </c>
      <c r="BC24" s="1285" t="s">
        <v>1620</v>
      </c>
      <c r="BD24" s="1284" t="s">
        <v>3492</v>
      </c>
      <c r="BF24" s="1285" t="s">
        <v>1613</v>
      </c>
      <c r="BG24" s="1286" t="s">
        <v>3492</v>
      </c>
      <c r="BI24" s="1273"/>
      <c r="BJ24" s="1278" t="s">
        <v>83</v>
      </c>
    </row>
    <row r="25" spans="1:62" ht="12" thickBot="1" x14ac:dyDescent="0.3">
      <c r="A25" s="1285" t="s">
        <v>1595</v>
      </c>
      <c r="B25" s="1284" t="s">
        <v>3492</v>
      </c>
      <c r="C25" s="8"/>
      <c r="D25" s="1281" t="s">
        <v>1533</v>
      </c>
      <c r="E25" s="1307" t="s">
        <v>1615</v>
      </c>
      <c r="F25" s="8"/>
      <c r="G25" s="1285" t="s">
        <v>1538</v>
      </c>
      <c r="H25" s="1284" t="s">
        <v>3492</v>
      </c>
      <c r="I25" s="8"/>
      <c r="J25" s="1296" t="s">
        <v>1565</v>
      </c>
      <c r="K25" s="1284" t="s">
        <v>1532</v>
      </c>
      <c r="L25" s="8"/>
      <c r="M25" s="1285" t="s">
        <v>1591</v>
      </c>
      <c r="N25" s="1284" t="s">
        <v>3492</v>
      </c>
      <c r="O25" s="8"/>
      <c r="P25" s="1285" t="s">
        <v>1621</v>
      </c>
      <c r="Q25" s="1284" t="s">
        <v>3492</v>
      </c>
      <c r="S25" s="1285" t="s">
        <v>1613</v>
      </c>
      <c r="T25" s="1284">
        <v>777</v>
      </c>
      <c r="U25" s="8"/>
      <c r="V25" s="1285" t="s">
        <v>1613</v>
      </c>
      <c r="W25" s="1284" t="s">
        <v>3492</v>
      </c>
      <c r="X25" s="8"/>
      <c r="Y25" s="1285" t="s">
        <v>1622</v>
      </c>
      <c r="Z25" s="1284" t="s">
        <v>3492</v>
      </c>
      <c r="AA25" s="8"/>
      <c r="AB25" s="1285" t="s">
        <v>1621</v>
      </c>
      <c r="AC25" s="1284" t="s">
        <v>3492</v>
      </c>
      <c r="AH25" s="1285" t="s">
        <v>1613</v>
      </c>
      <c r="AI25" s="1283" t="s">
        <v>3492</v>
      </c>
      <c r="AK25" s="1285" t="s">
        <v>1623</v>
      </c>
      <c r="AL25" s="1299" t="s">
        <v>3492</v>
      </c>
      <c r="AN25" s="1285" t="s">
        <v>1602</v>
      </c>
      <c r="AO25" s="1283" t="s">
        <v>3492</v>
      </c>
      <c r="AQ25" s="1291" t="s">
        <v>1607</v>
      </c>
      <c r="AR25" s="1294" t="s">
        <v>1532</v>
      </c>
      <c r="AT25" s="1288" t="s">
        <v>1559</v>
      </c>
      <c r="AU25" s="1284" t="s">
        <v>3492</v>
      </c>
      <c r="AW25" s="1288" t="s">
        <v>1624</v>
      </c>
      <c r="AX25" s="1284" t="s">
        <v>3492</v>
      </c>
      <c r="AZ25" s="1293" t="s">
        <v>1625</v>
      </c>
      <c r="BA25" s="1284" t="s">
        <v>3492</v>
      </c>
      <c r="BC25" s="1285" t="s">
        <v>1626</v>
      </c>
      <c r="BD25" s="1284" t="s">
        <v>3492</v>
      </c>
      <c r="BF25" s="1285" t="s">
        <v>1621</v>
      </c>
      <c r="BG25" s="1283" t="s">
        <v>3492</v>
      </c>
      <c r="BI25" s="107" t="s">
        <v>444</v>
      </c>
      <c r="BJ25" s="8" t="s">
        <v>9636</v>
      </c>
    </row>
    <row r="26" spans="1:62" x14ac:dyDescent="0.25">
      <c r="A26" s="109" t="s">
        <v>1600</v>
      </c>
      <c r="B26" s="1284" t="s">
        <v>3492</v>
      </c>
      <c r="C26" s="8"/>
      <c r="D26" s="1281" t="s">
        <v>1538</v>
      </c>
      <c r="E26" s="1284"/>
      <c r="F26" s="8"/>
      <c r="G26" s="1285" t="s">
        <v>1543</v>
      </c>
      <c r="H26" s="1284" t="s">
        <v>3492</v>
      </c>
      <c r="I26" s="8"/>
      <c r="J26" s="1285" t="s">
        <v>1568</v>
      </c>
      <c r="K26" s="1284" t="s">
        <v>3492</v>
      </c>
      <c r="L26" s="8"/>
      <c r="M26" s="1285" t="s">
        <v>1595</v>
      </c>
      <c r="N26" s="1284" t="s">
        <v>3492</v>
      </c>
      <c r="O26" s="8"/>
      <c r="P26" s="1285" t="s">
        <v>1627</v>
      </c>
      <c r="Q26" s="1284" t="s">
        <v>3492</v>
      </c>
      <c r="S26" s="1285" t="s">
        <v>1621</v>
      </c>
      <c r="T26" s="1284">
        <v>71550</v>
      </c>
      <c r="U26" s="8"/>
      <c r="V26" s="1285" t="s">
        <v>1621</v>
      </c>
      <c r="W26" s="1284" t="s">
        <v>3492</v>
      </c>
      <c r="X26" s="8"/>
      <c r="Y26" s="1285" t="s">
        <v>1628</v>
      </c>
      <c r="Z26" s="1284" t="s">
        <v>3492</v>
      </c>
      <c r="AA26" s="8"/>
      <c r="AB26" s="1285" t="s">
        <v>1627</v>
      </c>
      <c r="AC26" s="1284" t="s">
        <v>3492</v>
      </c>
      <c r="AH26" s="1285" t="s">
        <v>1621</v>
      </c>
      <c r="AI26" s="1283" t="s">
        <v>3492</v>
      </c>
      <c r="AK26" s="1285" t="s">
        <v>1629</v>
      </c>
      <c r="AL26" s="1299" t="s">
        <v>3492</v>
      </c>
      <c r="AN26" s="1285" t="s">
        <v>1606</v>
      </c>
      <c r="AO26" s="1283" t="s">
        <v>3492</v>
      </c>
      <c r="AQ26" s="1291" t="s">
        <v>1613</v>
      </c>
      <c r="AR26" s="1294" t="s">
        <v>1532</v>
      </c>
      <c r="AT26" s="1288" t="s">
        <v>1630</v>
      </c>
      <c r="AU26" s="1284" t="s">
        <v>3492</v>
      </c>
      <c r="AW26" s="1288" t="s">
        <v>1631</v>
      </c>
      <c r="AX26" s="1284" t="s">
        <v>3492</v>
      </c>
      <c r="AZ26" s="1285" t="s">
        <v>1632</v>
      </c>
      <c r="BA26" s="1284" t="s">
        <v>3492</v>
      </c>
      <c r="BC26" s="1285" t="s">
        <v>1633</v>
      </c>
      <c r="BD26" s="1284" t="s">
        <v>3492</v>
      </c>
      <c r="BF26" s="1285" t="s">
        <v>1627</v>
      </c>
      <c r="BG26" s="1283" t="s">
        <v>3492</v>
      </c>
      <c r="BI26" s="109" t="s">
        <v>1634</v>
      </c>
      <c r="BJ26" s="1284" t="s">
        <v>3492</v>
      </c>
    </row>
    <row r="27" spans="1:62" ht="12" thickBot="1" x14ac:dyDescent="0.3">
      <c r="A27" s="1285" t="s">
        <v>1604</v>
      </c>
      <c r="B27" s="1284" t="s">
        <v>3492</v>
      </c>
      <c r="C27" s="8"/>
      <c r="D27" s="1281" t="s">
        <v>1543</v>
      </c>
      <c r="E27" s="1284"/>
      <c r="F27" s="8"/>
      <c r="G27" s="1285" t="s">
        <v>1549</v>
      </c>
      <c r="H27" s="1284" t="s">
        <v>3492</v>
      </c>
      <c r="I27" s="8"/>
      <c r="J27" s="1285" t="s">
        <v>1571</v>
      </c>
      <c r="K27" s="1284" t="s">
        <v>3492</v>
      </c>
      <c r="L27" s="8"/>
      <c r="M27" s="1285" t="s">
        <v>1600</v>
      </c>
      <c r="N27" s="1284" t="s">
        <v>3492</v>
      </c>
      <c r="O27" s="8"/>
      <c r="P27" s="1285" t="s">
        <v>1619</v>
      </c>
      <c r="Q27" s="1284" t="s">
        <v>3492</v>
      </c>
      <c r="R27" s="8"/>
      <c r="S27" s="1285" t="s">
        <v>1627</v>
      </c>
      <c r="T27" s="1284" t="s">
        <v>3492</v>
      </c>
      <c r="U27" s="8"/>
      <c r="V27" s="1285" t="s">
        <v>1627</v>
      </c>
      <c r="W27" s="1284" t="s">
        <v>3492</v>
      </c>
      <c r="X27" s="8"/>
      <c r="Y27" s="1285" t="s">
        <v>1635</v>
      </c>
      <c r="Z27" s="1284" t="s">
        <v>1532</v>
      </c>
      <c r="AA27" s="8"/>
      <c r="AB27" s="1285" t="s">
        <v>1619</v>
      </c>
      <c r="AC27" s="1284" t="s">
        <v>3492</v>
      </c>
      <c r="AH27" s="1285" t="s">
        <v>1627</v>
      </c>
      <c r="AI27" s="1283">
        <v>1844</v>
      </c>
      <c r="AK27" s="1285" t="s">
        <v>1604</v>
      </c>
      <c r="AL27" s="1299" t="s">
        <v>3492</v>
      </c>
      <c r="AN27" s="1285" t="s">
        <v>1609</v>
      </c>
      <c r="AO27" s="1283" t="s">
        <v>3492</v>
      </c>
      <c r="AQ27" s="1291" t="s">
        <v>1543</v>
      </c>
      <c r="AR27" s="1294" t="s">
        <v>1532</v>
      </c>
      <c r="AT27" s="1288" t="s">
        <v>1567</v>
      </c>
      <c r="AU27" s="1284" t="s">
        <v>3492</v>
      </c>
      <c r="AW27" s="1288" t="s">
        <v>1636</v>
      </c>
      <c r="AX27" s="1284" t="s">
        <v>3492</v>
      </c>
      <c r="AZ27" s="1285" t="s">
        <v>1637</v>
      </c>
      <c r="BA27" s="1284" t="s">
        <v>3492</v>
      </c>
      <c r="BC27" s="1285" t="s">
        <v>1638</v>
      </c>
      <c r="BD27" s="1284" t="s">
        <v>3492</v>
      </c>
      <c r="BF27" s="1285" t="s">
        <v>1619</v>
      </c>
      <c r="BG27" s="1283" t="s">
        <v>3492</v>
      </c>
      <c r="BI27" s="695" t="s">
        <v>1639</v>
      </c>
      <c r="BJ27" s="1292" t="s">
        <v>3492</v>
      </c>
    </row>
    <row r="28" spans="1:62" ht="12" thickBot="1" x14ac:dyDescent="0.3">
      <c r="A28" s="1285" t="s">
        <v>1607</v>
      </c>
      <c r="B28" s="1284" t="s">
        <v>3492</v>
      </c>
      <c r="C28" s="8"/>
      <c r="D28" s="1281" t="s">
        <v>1549</v>
      </c>
      <c r="E28" s="1284"/>
      <c r="F28" s="8"/>
      <c r="G28" s="1285" t="s">
        <v>1556</v>
      </c>
      <c r="H28" s="1284" t="s">
        <v>3492</v>
      </c>
      <c r="I28" s="8"/>
      <c r="J28" s="1285" t="s">
        <v>1586</v>
      </c>
      <c r="K28" s="1284" t="s">
        <v>3492</v>
      </c>
      <c r="L28" s="8"/>
      <c r="M28" s="1285" t="s">
        <v>1604</v>
      </c>
      <c r="N28" s="1284" t="s">
        <v>3492</v>
      </c>
      <c r="O28" s="8"/>
      <c r="P28" s="1285" t="s">
        <v>1632</v>
      </c>
      <c r="Q28" s="1284" t="s">
        <v>3492</v>
      </c>
      <c r="R28" s="8"/>
      <c r="S28" s="1285" t="s">
        <v>1619</v>
      </c>
      <c r="T28" s="1284">
        <v>43907</v>
      </c>
      <c r="U28" s="8"/>
      <c r="V28" s="1285" t="s">
        <v>1619</v>
      </c>
      <c r="W28" s="1284" t="s">
        <v>3492</v>
      </c>
      <c r="X28" s="8"/>
      <c r="Y28" s="1285" t="s">
        <v>1640</v>
      </c>
      <c r="Z28" s="1284" t="s">
        <v>1532</v>
      </c>
      <c r="AA28" s="8"/>
      <c r="AB28" s="1285" t="s">
        <v>1632</v>
      </c>
      <c r="AC28" s="1284" t="s">
        <v>3492</v>
      </c>
      <c r="AH28" s="1285" t="s">
        <v>1619</v>
      </c>
      <c r="AI28" s="1283">
        <v>1844</v>
      </c>
      <c r="AK28" s="1285" t="s">
        <v>1607</v>
      </c>
      <c r="AL28" s="1299" t="s">
        <v>3492</v>
      </c>
      <c r="AN28" s="1293" t="s">
        <v>1612</v>
      </c>
      <c r="AO28" s="1283" t="s">
        <v>3492</v>
      </c>
      <c r="AQ28" s="1291" t="s">
        <v>1553</v>
      </c>
      <c r="AR28" s="1294" t="s">
        <v>1532</v>
      </c>
      <c r="AT28" s="1288" t="s">
        <v>1570</v>
      </c>
      <c r="AU28" s="1284" t="s">
        <v>3492</v>
      </c>
      <c r="AW28" s="1288" t="s">
        <v>1559</v>
      </c>
      <c r="AX28" s="1284" t="s">
        <v>3492</v>
      </c>
      <c r="AZ28" s="695" t="s">
        <v>1641</v>
      </c>
      <c r="BA28" s="1284" t="s">
        <v>3492</v>
      </c>
      <c r="BC28" s="1285" t="s">
        <v>1642</v>
      </c>
      <c r="BD28" s="1284" t="s">
        <v>3492</v>
      </c>
      <c r="BF28" s="1285" t="s">
        <v>1632</v>
      </c>
      <c r="BG28" s="1295" t="s">
        <v>3492</v>
      </c>
    </row>
    <row r="29" spans="1:62" ht="12" thickBot="1" x14ac:dyDescent="0.3">
      <c r="A29" s="109" t="s">
        <v>1613</v>
      </c>
      <c r="B29" s="1284" t="s">
        <v>3492</v>
      </c>
      <c r="C29" s="8"/>
      <c r="D29" s="1281" t="s">
        <v>1556</v>
      </c>
      <c r="E29" s="1284"/>
      <c r="F29" s="8"/>
      <c r="G29" s="1285" t="s">
        <v>1561</v>
      </c>
      <c r="H29" s="1284" t="s">
        <v>3492</v>
      </c>
      <c r="I29" s="8"/>
      <c r="J29" s="1285" t="s">
        <v>1594</v>
      </c>
      <c r="K29" s="1284" t="s">
        <v>3492</v>
      </c>
      <c r="L29" s="8"/>
      <c r="M29" s="1285" t="s">
        <v>1607</v>
      </c>
      <c r="N29" s="1284" t="s">
        <v>3492</v>
      </c>
      <c r="O29" s="8"/>
      <c r="P29" s="1285" t="s">
        <v>1637</v>
      </c>
      <c r="Q29" s="1284" t="s">
        <v>3492</v>
      </c>
      <c r="R29" s="8"/>
      <c r="S29" s="1285" t="s">
        <v>1632</v>
      </c>
      <c r="T29" s="1284" t="s">
        <v>3492</v>
      </c>
      <c r="U29" s="8"/>
      <c r="V29" s="1285" t="s">
        <v>1632</v>
      </c>
      <c r="W29" s="1284" t="s">
        <v>3492</v>
      </c>
      <c r="X29" s="8"/>
      <c r="Y29" s="1285" t="s">
        <v>1643</v>
      </c>
      <c r="Z29" s="1284" t="s">
        <v>3492</v>
      </c>
      <c r="AA29" s="8"/>
      <c r="AB29" s="1285" t="s">
        <v>1637</v>
      </c>
      <c r="AC29" s="1284" t="s">
        <v>3492</v>
      </c>
      <c r="AH29" s="1285" t="s">
        <v>1632</v>
      </c>
      <c r="AI29" s="1283" t="s">
        <v>3492</v>
      </c>
      <c r="AK29" s="1285" t="s">
        <v>1613</v>
      </c>
      <c r="AL29" s="1299" t="s">
        <v>3492</v>
      </c>
      <c r="AN29" s="1285" t="s">
        <v>1616</v>
      </c>
      <c r="AO29" s="1283" t="s">
        <v>3492</v>
      </c>
      <c r="AQ29" s="1291" t="s">
        <v>1558</v>
      </c>
      <c r="AR29" s="1294" t="s">
        <v>1532</v>
      </c>
      <c r="AT29" s="1288" t="s">
        <v>1575</v>
      </c>
      <c r="AU29" s="1284" t="s">
        <v>3492</v>
      </c>
      <c r="AW29" s="1288" t="s">
        <v>1644</v>
      </c>
      <c r="AX29" s="1284" t="s">
        <v>3492</v>
      </c>
      <c r="AZ29" s="695" t="s">
        <v>1645</v>
      </c>
      <c r="BA29" s="1284" t="s">
        <v>3492</v>
      </c>
      <c r="BC29" s="1285" t="s">
        <v>1591</v>
      </c>
      <c r="BD29" s="1292" t="s">
        <v>3492</v>
      </c>
      <c r="BF29" s="1285" t="s">
        <v>1646</v>
      </c>
      <c r="BG29" s="1289" t="s">
        <v>1532</v>
      </c>
      <c r="BI29" s="1273"/>
      <c r="BJ29" s="1278" t="s">
        <v>83</v>
      </c>
    </row>
    <row r="30" spans="1:62" ht="12" thickBot="1" x14ac:dyDescent="0.3">
      <c r="A30" s="1285" t="s">
        <v>1621</v>
      </c>
      <c r="B30" s="1284" t="s">
        <v>3492</v>
      </c>
      <c r="C30" s="8"/>
      <c r="D30" s="1281" t="s">
        <v>1561</v>
      </c>
      <c r="E30" s="1284"/>
      <c r="F30" s="8"/>
      <c r="G30" s="1285" t="s">
        <v>1565</v>
      </c>
      <c r="H30" s="1284" t="s">
        <v>3492</v>
      </c>
      <c r="I30" s="8"/>
      <c r="J30" s="1285" t="s">
        <v>1576</v>
      </c>
      <c r="K30" s="1286" t="s">
        <v>3492</v>
      </c>
      <c r="L30" s="8"/>
      <c r="M30" s="1285" t="s">
        <v>1613</v>
      </c>
      <c r="N30" s="1284" t="s">
        <v>3492</v>
      </c>
      <c r="O30" s="8"/>
      <c r="P30" s="1285" t="s">
        <v>1641</v>
      </c>
      <c r="Q30" s="1284" t="s">
        <v>3492</v>
      </c>
      <c r="R30" s="8"/>
      <c r="S30" s="1285" t="s">
        <v>1637</v>
      </c>
      <c r="T30" s="1284" t="s">
        <v>3492</v>
      </c>
      <c r="U30" s="8"/>
      <c r="V30" s="1285" t="s">
        <v>1637</v>
      </c>
      <c r="W30" s="1284" t="s">
        <v>3492</v>
      </c>
      <c r="X30" s="8"/>
      <c r="Y30" s="1285" t="s">
        <v>1647</v>
      </c>
      <c r="Z30" s="1284" t="s">
        <v>3492</v>
      </c>
      <c r="AA30" s="8"/>
      <c r="AB30" s="1285" t="s">
        <v>1641</v>
      </c>
      <c r="AC30" s="1284" t="s">
        <v>3492</v>
      </c>
      <c r="AH30" s="1285" t="s">
        <v>1637</v>
      </c>
      <c r="AI30" s="1283" t="s">
        <v>3492</v>
      </c>
      <c r="AK30" s="1285" t="s">
        <v>1621</v>
      </c>
      <c r="AL30" s="1299" t="s">
        <v>3492</v>
      </c>
      <c r="AN30" s="1285" t="s">
        <v>1622</v>
      </c>
      <c r="AO30" s="1283" t="s">
        <v>3492</v>
      </c>
      <c r="AQ30" s="1291" t="s">
        <v>1549</v>
      </c>
      <c r="AR30" s="1294" t="s">
        <v>1532</v>
      </c>
      <c r="AT30" s="1288" t="s">
        <v>1648</v>
      </c>
      <c r="AU30" s="1284" t="s">
        <v>3492</v>
      </c>
      <c r="AW30" s="1288">
        <v>25</v>
      </c>
      <c r="AX30" s="1284" t="s">
        <v>3492</v>
      </c>
      <c r="BC30" s="1285" t="s">
        <v>1595</v>
      </c>
      <c r="BD30" s="1284" t="s">
        <v>3492</v>
      </c>
      <c r="BF30" s="1285" t="s">
        <v>1649</v>
      </c>
      <c r="BG30" s="1289" t="s">
        <v>1532</v>
      </c>
      <c r="BI30" s="107" t="s">
        <v>1650</v>
      </c>
      <c r="BJ30" s="8" t="s">
        <v>9771</v>
      </c>
    </row>
    <row r="31" spans="1:62" ht="12" thickBot="1" x14ac:dyDescent="0.3">
      <c r="A31" s="1285" t="s">
        <v>1627</v>
      </c>
      <c r="B31" s="1286" t="s">
        <v>3492</v>
      </c>
      <c r="C31" s="8"/>
      <c r="D31" s="1281" t="s">
        <v>1565</v>
      </c>
      <c r="E31" s="1307" t="s">
        <v>1615</v>
      </c>
      <c r="F31" s="8"/>
      <c r="G31" s="695" t="s">
        <v>1568</v>
      </c>
      <c r="H31" s="1284" t="s">
        <v>3492</v>
      </c>
      <c r="I31" s="8"/>
      <c r="J31" s="1285" t="s">
        <v>1581</v>
      </c>
      <c r="K31" s="1284" t="s">
        <v>3492</v>
      </c>
      <c r="L31" s="8"/>
      <c r="M31" s="695" t="s">
        <v>1621</v>
      </c>
      <c r="N31" s="1284" t="s">
        <v>3492</v>
      </c>
      <c r="O31" s="8"/>
      <c r="P31" s="1285" t="s">
        <v>1651</v>
      </c>
      <c r="Q31" s="1284" t="s">
        <v>3492</v>
      </c>
      <c r="R31" s="8"/>
      <c r="S31" s="1285" t="s">
        <v>1652</v>
      </c>
      <c r="T31" s="1284" t="s">
        <v>3492</v>
      </c>
      <c r="U31" s="8"/>
      <c r="V31" s="1285" t="s">
        <v>1641</v>
      </c>
      <c r="W31" s="1284" t="s">
        <v>3492</v>
      </c>
      <c r="X31" s="8"/>
      <c r="Y31" s="1285" t="s">
        <v>1653</v>
      </c>
      <c r="Z31" s="1284" t="s">
        <v>3492</v>
      </c>
      <c r="AA31" s="8"/>
      <c r="AB31" s="1285" t="s">
        <v>1651</v>
      </c>
      <c r="AC31" s="1284" t="s">
        <v>3492</v>
      </c>
      <c r="AH31" s="1285" t="s">
        <v>1641</v>
      </c>
      <c r="AI31" s="1283" t="s">
        <v>3492</v>
      </c>
      <c r="AK31" s="1293" t="s">
        <v>1654</v>
      </c>
      <c r="AL31" s="1299" t="s">
        <v>3492</v>
      </c>
      <c r="AN31" s="1285" t="s">
        <v>1628</v>
      </c>
      <c r="AO31" s="1283" t="s">
        <v>3492</v>
      </c>
      <c r="AQ31" s="1291" t="s">
        <v>1556</v>
      </c>
      <c r="AR31" s="1294" t="s">
        <v>1532</v>
      </c>
      <c r="AT31" s="1288" t="s">
        <v>1585</v>
      </c>
      <c r="AU31" s="1284" t="s">
        <v>3492</v>
      </c>
      <c r="AW31" s="1288">
        <v>26</v>
      </c>
      <c r="AX31" s="1284" t="s">
        <v>3492</v>
      </c>
      <c r="BC31" s="1285" t="s">
        <v>1600</v>
      </c>
      <c r="BD31" s="1284" t="s">
        <v>3492</v>
      </c>
      <c r="BF31" s="1285" t="s">
        <v>1655</v>
      </c>
      <c r="BG31" s="1289" t="s">
        <v>1532</v>
      </c>
      <c r="BI31" s="388" t="s">
        <v>1656</v>
      </c>
      <c r="BJ31" s="1284">
        <v>37700</v>
      </c>
    </row>
    <row r="32" spans="1:62" ht="12" thickBot="1" x14ac:dyDescent="0.3">
      <c r="C32" s="8"/>
      <c r="D32" s="1281" t="s">
        <v>1568</v>
      </c>
      <c r="E32" s="1307" t="s">
        <v>1615</v>
      </c>
      <c r="F32" s="8"/>
      <c r="G32" s="109" t="s">
        <v>1571</v>
      </c>
      <c r="H32" s="1284" t="s">
        <v>3492</v>
      </c>
      <c r="I32" s="8"/>
      <c r="J32" s="1285" t="s">
        <v>1591</v>
      </c>
      <c r="K32" s="1284" t="s">
        <v>3492</v>
      </c>
      <c r="L32" s="8"/>
      <c r="O32" s="8"/>
      <c r="P32" s="1285" t="s">
        <v>1657</v>
      </c>
      <c r="Q32" s="1284" t="s">
        <v>3492</v>
      </c>
      <c r="R32" s="8"/>
      <c r="S32" s="1285" t="s">
        <v>1641</v>
      </c>
      <c r="T32" s="1284">
        <v>11260</v>
      </c>
      <c r="U32" s="8"/>
      <c r="V32" s="1285" t="s">
        <v>1651</v>
      </c>
      <c r="W32" s="1284" t="s">
        <v>3492</v>
      </c>
      <c r="X32" s="8"/>
      <c r="Y32" s="1285" t="s">
        <v>1658</v>
      </c>
      <c r="Z32" s="1284" t="s">
        <v>3492</v>
      </c>
      <c r="AA32" s="8"/>
      <c r="AB32" s="1285" t="s">
        <v>1657</v>
      </c>
      <c r="AC32" s="1284" t="s">
        <v>3492</v>
      </c>
      <c r="AH32" s="1285" t="s">
        <v>1651</v>
      </c>
      <c r="AI32" s="1283" t="s">
        <v>3492</v>
      </c>
      <c r="AK32" s="1285" t="s">
        <v>1627</v>
      </c>
      <c r="AL32" s="1299" t="s">
        <v>3492</v>
      </c>
      <c r="AN32" s="1285" t="s">
        <v>1653</v>
      </c>
      <c r="AO32" s="1283" t="s">
        <v>3492</v>
      </c>
      <c r="AQ32" s="1291" t="s">
        <v>1561</v>
      </c>
      <c r="AR32" s="1294" t="s">
        <v>1532</v>
      </c>
      <c r="AT32" s="1288" t="s">
        <v>1659</v>
      </c>
      <c r="AU32" s="1284" t="s">
        <v>3492</v>
      </c>
      <c r="AW32" s="1288">
        <v>27</v>
      </c>
      <c r="AX32" s="1284" t="s">
        <v>3492</v>
      </c>
      <c r="BC32" s="1285" t="s">
        <v>1604</v>
      </c>
      <c r="BD32" s="2430" t="s">
        <v>3492</v>
      </c>
      <c r="BF32" s="1285" t="s">
        <v>1637</v>
      </c>
      <c r="BG32" s="1286" t="s">
        <v>3492</v>
      </c>
      <c r="BI32" s="697"/>
      <c r="BJ32" s="1284"/>
    </row>
    <row r="33" spans="1:61" x14ac:dyDescent="0.25">
      <c r="A33" s="108" t="s">
        <v>7</v>
      </c>
      <c r="B33" s="840" t="s">
        <v>9636</v>
      </c>
      <c r="C33" s="8"/>
      <c r="D33" s="1281" t="s">
        <v>1571</v>
      </c>
      <c r="E33" s="1307" t="s">
        <v>1615</v>
      </c>
      <c r="F33" s="8"/>
      <c r="G33" s="1285" t="s">
        <v>1576</v>
      </c>
      <c r="H33" s="1284" t="s">
        <v>3492</v>
      </c>
      <c r="I33" s="8"/>
      <c r="J33" s="1285" t="s">
        <v>1595</v>
      </c>
      <c r="K33" s="1284" t="s">
        <v>3492</v>
      </c>
      <c r="L33" s="8"/>
      <c r="M33" s="1308"/>
      <c r="N33" s="1309" t="s">
        <v>1510</v>
      </c>
      <c r="O33" s="8"/>
      <c r="P33" s="1285" t="s">
        <v>1660</v>
      </c>
      <c r="Q33" s="1284" t="s">
        <v>3492</v>
      </c>
      <c r="R33" s="8"/>
      <c r="S33" s="1285" t="s">
        <v>1645</v>
      </c>
      <c r="T33" s="1284" t="s">
        <v>3492</v>
      </c>
      <c r="U33" s="8"/>
      <c r="V33" s="1285" t="s">
        <v>1657</v>
      </c>
      <c r="W33" s="1284" t="s">
        <v>3492</v>
      </c>
      <c r="X33" s="8"/>
      <c r="Y33" s="1285" t="s">
        <v>1661</v>
      </c>
      <c r="Z33" s="1284" t="s">
        <v>1532</v>
      </c>
      <c r="AA33" s="8"/>
      <c r="AB33" s="1285" t="s">
        <v>1660</v>
      </c>
      <c r="AC33" s="1284" t="s">
        <v>3492</v>
      </c>
      <c r="AH33" s="1285" t="s">
        <v>1657</v>
      </c>
      <c r="AI33" s="1283" t="s">
        <v>3492</v>
      </c>
      <c r="AK33" s="1293" t="s">
        <v>1662</v>
      </c>
      <c r="AL33" s="1299" t="s">
        <v>3492</v>
      </c>
      <c r="AN33" s="1285" t="s">
        <v>1658</v>
      </c>
      <c r="AO33" s="1283" t="s">
        <v>3492</v>
      </c>
      <c r="AQ33" s="1291" t="s">
        <v>1565</v>
      </c>
      <c r="AR33" s="1294" t="s">
        <v>1532</v>
      </c>
      <c r="AT33" s="1288" t="s">
        <v>1663</v>
      </c>
      <c r="AU33" s="1284" t="s">
        <v>3492</v>
      </c>
      <c r="AW33" s="1288">
        <v>28</v>
      </c>
      <c r="AX33" s="1284" t="s">
        <v>3492</v>
      </c>
      <c r="BC33" s="1293" t="s">
        <v>1664</v>
      </c>
      <c r="BD33" s="2430" t="s">
        <v>3492</v>
      </c>
      <c r="BF33" s="1285" t="s">
        <v>1641</v>
      </c>
      <c r="BG33" s="1289" t="s">
        <v>1532</v>
      </c>
      <c r="BI33" s="221"/>
    </row>
    <row r="34" spans="1:61" ht="12" thickBot="1" x14ac:dyDescent="0.3">
      <c r="A34" s="1281" t="s">
        <v>1525</v>
      </c>
      <c r="B34" s="1292" t="s">
        <v>3492</v>
      </c>
      <c r="C34" s="8"/>
      <c r="D34" s="1281" t="s">
        <v>1576</v>
      </c>
      <c r="E34" s="1284"/>
      <c r="F34" s="8"/>
      <c r="G34" s="1285" t="s">
        <v>1581</v>
      </c>
      <c r="H34" s="1284" t="s">
        <v>3492</v>
      </c>
      <c r="I34" s="8"/>
      <c r="J34" s="1285" t="s">
        <v>1600</v>
      </c>
      <c r="K34" s="1284" t="s">
        <v>3492</v>
      </c>
      <c r="L34" s="8"/>
      <c r="M34" s="108" t="s">
        <v>1493</v>
      </c>
      <c r="N34" s="112" t="s">
        <v>9636</v>
      </c>
      <c r="O34" s="8"/>
      <c r="P34" s="1285" t="s">
        <v>1665</v>
      </c>
      <c r="Q34" s="1284" t="s">
        <v>3492</v>
      </c>
      <c r="R34" s="8"/>
      <c r="S34" s="1285" t="s">
        <v>1666</v>
      </c>
      <c r="T34" s="1284" t="s">
        <v>3492</v>
      </c>
      <c r="U34" s="8"/>
      <c r="V34" s="1285" t="s">
        <v>1660</v>
      </c>
      <c r="W34" s="1284" t="s">
        <v>3492</v>
      </c>
      <c r="X34" s="8"/>
      <c r="Y34" s="1285" t="s">
        <v>1667</v>
      </c>
      <c r="Z34" s="1284" t="s">
        <v>3492</v>
      </c>
      <c r="AA34" s="8"/>
      <c r="AB34" s="1285" t="s">
        <v>1665</v>
      </c>
      <c r="AC34" s="1284" t="s">
        <v>3492</v>
      </c>
      <c r="AH34" s="1285" t="s">
        <v>1660</v>
      </c>
      <c r="AI34" s="1283" t="s">
        <v>3492</v>
      </c>
      <c r="AK34" s="1285" t="s">
        <v>1619</v>
      </c>
      <c r="AL34" s="1299" t="s">
        <v>3492</v>
      </c>
      <c r="AN34" s="1293" t="s">
        <v>1661</v>
      </c>
      <c r="AO34" s="1283" t="s">
        <v>3492</v>
      </c>
      <c r="AQ34" s="1291" t="s">
        <v>1568</v>
      </c>
      <c r="AR34" s="1294" t="s">
        <v>1532</v>
      </c>
      <c r="AT34" s="1288" t="s">
        <v>1668</v>
      </c>
      <c r="AU34" s="1284" t="s">
        <v>3492</v>
      </c>
      <c r="AW34" s="1288">
        <v>29</v>
      </c>
      <c r="AX34" s="1284" t="s">
        <v>3492</v>
      </c>
      <c r="BC34" s="1285" t="s">
        <v>1669</v>
      </c>
      <c r="BD34" s="1284" t="s">
        <v>3492</v>
      </c>
      <c r="BF34" s="1285" t="s">
        <v>1651</v>
      </c>
      <c r="BG34" s="1289" t="s">
        <v>1532</v>
      </c>
      <c r="BI34" s="221"/>
    </row>
    <row r="35" spans="1:61" ht="12" thickBot="1" x14ac:dyDescent="0.3">
      <c r="A35" s="1310" t="s">
        <v>1670</v>
      </c>
      <c r="B35" s="1292" t="s">
        <v>3492</v>
      </c>
      <c r="C35" s="8"/>
      <c r="D35" s="1281" t="s">
        <v>1581</v>
      </c>
      <c r="E35" s="1284"/>
      <c r="F35" s="8"/>
      <c r="G35" s="695" t="s">
        <v>1591</v>
      </c>
      <c r="H35" s="1284" t="s">
        <v>3492</v>
      </c>
      <c r="I35" s="8"/>
      <c r="J35" s="1285" t="s">
        <v>1604</v>
      </c>
      <c r="K35" s="1284" t="s">
        <v>1532</v>
      </c>
      <c r="L35" s="8"/>
      <c r="M35" s="109" t="s">
        <v>1525</v>
      </c>
      <c r="N35" s="1284" t="s">
        <v>3492</v>
      </c>
      <c r="O35" s="8"/>
      <c r="P35" s="1285" t="s">
        <v>1671</v>
      </c>
      <c r="Q35" s="1284" t="s">
        <v>3492</v>
      </c>
      <c r="R35" s="8"/>
      <c r="S35" s="1285" t="s">
        <v>1651</v>
      </c>
      <c r="T35" s="1284">
        <v>1340</v>
      </c>
      <c r="U35" s="8"/>
      <c r="V35" s="1285" t="s">
        <v>1665</v>
      </c>
      <c r="W35" s="1284" t="s">
        <v>3492</v>
      </c>
      <c r="X35" s="8"/>
      <c r="Y35" s="1293" t="s">
        <v>1672</v>
      </c>
      <c r="Z35" s="1284" t="s">
        <v>3492</v>
      </c>
      <c r="AA35" s="8"/>
      <c r="AB35" s="1285" t="s">
        <v>1671</v>
      </c>
      <c r="AC35" s="1284" t="s">
        <v>3492</v>
      </c>
      <c r="AH35" s="1285" t="s">
        <v>1665</v>
      </c>
      <c r="AI35" s="1283" t="s">
        <v>1532</v>
      </c>
      <c r="AK35" s="1285" t="s">
        <v>1632</v>
      </c>
      <c r="AL35" s="1299" t="s">
        <v>3492</v>
      </c>
      <c r="AN35" s="1285" t="s">
        <v>1667</v>
      </c>
      <c r="AO35" s="1283" t="s">
        <v>3492</v>
      </c>
      <c r="AQ35" s="1291" t="s">
        <v>1571</v>
      </c>
      <c r="AR35" s="1294" t="s">
        <v>1532</v>
      </c>
      <c r="AT35" s="1288" t="s">
        <v>1673</v>
      </c>
      <c r="AU35" s="1284" t="s">
        <v>3492</v>
      </c>
      <c r="AW35" s="1288">
        <v>30</v>
      </c>
      <c r="AX35" s="1284" t="s">
        <v>3492</v>
      </c>
      <c r="BC35" s="1285" t="s">
        <v>1674</v>
      </c>
      <c r="BD35" s="1284" t="s">
        <v>3492</v>
      </c>
      <c r="BF35" s="1285" t="s">
        <v>1657</v>
      </c>
      <c r="BG35" s="1289" t="s">
        <v>1532</v>
      </c>
      <c r="BI35" s="108"/>
    </row>
    <row r="36" spans="1:61" ht="12" thickBot="1" x14ac:dyDescent="0.3">
      <c r="A36" s="1311" t="s">
        <v>1670</v>
      </c>
      <c r="B36" s="1292" t="s">
        <v>3492</v>
      </c>
      <c r="C36" s="8"/>
      <c r="D36" s="1281" t="s">
        <v>1591</v>
      </c>
      <c r="E36" s="1284"/>
      <c r="F36" s="8"/>
      <c r="G36" s="695" t="s">
        <v>1595</v>
      </c>
      <c r="H36" s="1284" t="s">
        <v>3492</v>
      </c>
      <c r="I36" s="8"/>
      <c r="J36" s="1285" t="s">
        <v>1607</v>
      </c>
      <c r="K36" s="1284" t="s">
        <v>3492</v>
      </c>
      <c r="L36" s="8"/>
      <c r="M36" s="1285" t="s">
        <v>1530</v>
      </c>
      <c r="N36" s="1284" t="s">
        <v>3492</v>
      </c>
      <c r="O36" s="8"/>
      <c r="P36" s="1285" t="s">
        <v>1675</v>
      </c>
      <c r="Q36" s="1284" t="s">
        <v>3492</v>
      </c>
      <c r="R36" s="8"/>
      <c r="S36" s="1285" t="s">
        <v>1657</v>
      </c>
      <c r="T36" s="1284" t="s">
        <v>3492</v>
      </c>
      <c r="U36" s="8"/>
      <c r="V36" s="1285" t="s">
        <v>1671</v>
      </c>
      <c r="W36" s="1284" t="s">
        <v>3492</v>
      </c>
      <c r="X36" s="8"/>
      <c r="Y36" s="1285" t="s">
        <v>1676</v>
      </c>
      <c r="Z36" s="1284" t="s">
        <v>3492</v>
      </c>
      <c r="AA36" s="8"/>
      <c r="AB36" s="1285" t="s">
        <v>1675</v>
      </c>
      <c r="AC36" s="1284" t="s">
        <v>3492</v>
      </c>
      <c r="AH36" s="1285" t="s">
        <v>1671</v>
      </c>
      <c r="AI36" s="1283" t="s">
        <v>3492</v>
      </c>
      <c r="AK36" s="1285" t="s">
        <v>1637</v>
      </c>
      <c r="AL36" s="1299" t="s">
        <v>3492</v>
      </c>
      <c r="AN36" s="1293" t="s">
        <v>1672</v>
      </c>
      <c r="AO36" s="1283" t="s">
        <v>3492</v>
      </c>
      <c r="AQ36" s="1291" t="s">
        <v>1586</v>
      </c>
      <c r="AR36" s="1294" t="s">
        <v>1532</v>
      </c>
      <c r="AT36" s="1288" t="s">
        <v>1677</v>
      </c>
      <c r="AU36" s="1284" t="s">
        <v>3492</v>
      </c>
      <c r="AW36" s="1305">
        <v>30.1</v>
      </c>
      <c r="AX36" s="1284" t="s">
        <v>3492</v>
      </c>
      <c r="BC36" s="1285" t="s">
        <v>1678</v>
      </c>
      <c r="BD36" s="1284" t="s">
        <v>3492</v>
      </c>
      <c r="BF36" s="1285" t="s">
        <v>1660</v>
      </c>
      <c r="BG36" s="1286" t="s">
        <v>3492</v>
      </c>
      <c r="BI36" s="108"/>
    </row>
    <row r="37" spans="1:61" x14ac:dyDescent="0.25">
      <c r="A37" s="1281" t="s">
        <v>1529</v>
      </c>
      <c r="B37" s="1283" t="s">
        <v>3492</v>
      </c>
      <c r="C37" s="8"/>
      <c r="D37" s="1281" t="s">
        <v>1595</v>
      </c>
      <c r="E37" s="1284"/>
      <c r="F37" s="8"/>
      <c r="I37" s="8"/>
      <c r="J37" s="1285" t="s">
        <v>1613</v>
      </c>
      <c r="K37" s="1284" t="s">
        <v>3492</v>
      </c>
      <c r="L37" s="8"/>
      <c r="M37" s="1285" t="s">
        <v>1529</v>
      </c>
      <c r="N37" s="1284" t="s">
        <v>3492</v>
      </c>
      <c r="O37" s="8"/>
      <c r="P37" s="1285" t="s">
        <v>1679</v>
      </c>
      <c r="Q37" s="1284" t="s">
        <v>3492</v>
      </c>
      <c r="R37" s="8"/>
      <c r="S37" s="1285" t="s">
        <v>1680</v>
      </c>
      <c r="T37" s="1284" t="s">
        <v>1532</v>
      </c>
      <c r="U37" s="8"/>
      <c r="V37" s="1285" t="s">
        <v>1675</v>
      </c>
      <c r="W37" s="1284" t="s">
        <v>3492</v>
      </c>
      <c r="X37" s="8"/>
      <c r="Y37" s="1293" t="s">
        <v>1681</v>
      </c>
      <c r="Z37" s="1284" t="s">
        <v>3492</v>
      </c>
      <c r="AA37" s="8"/>
      <c r="AB37" s="1285" t="s">
        <v>1679</v>
      </c>
      <c r="AC37" s="1284" t="s">
        <v>3492</v>
      </c>
      <c r="AH37" s="1285" t="s">
        <v>1675</v>
      </c>
      <c r="AI37" s="1283" t="s">
        <v>3492</v>
      </c>
      <c r="AK37" s="1285" t="s">
        <v>1641</v>
      </c>
      <c r="AL37" s="1287" t="s">
        <v>3492</v>
      </c>
      <c r="AN37" s="1285" t="s">
        <v>1676</v>
      </c>
      <c r="AO37" s="1283" t="s">
        <v>3492</v>
      </c>
      <c r="AQ37" s="1291" t="s">
        <v>1594</v>
      </c>
      <c r="AR37" s="1294" t="s">
        <v>1532</v>
      </c>
      <c r="AT37" s="1288" t="s">
        <v>1682</v>
      </c>
      <c r="AU37" s="1284" t="s">
        <v>3492</v>
      </c>
      <c r="AW37" s="1288">
        <v>31</v>
      </c>
      <c r="AX37" s="1284" t="s">
        <v>3492</v>
      </c>
      <c r="BC37" s="1285" t="s">
        <v>1683</v>
      </c>
      <c r="BD37" s="1284" t="s">
        <v>3492</v>
      </c>
      <c r="BF37" s="1285" t="s">
        <v>1665</v>
      </c>
      <c r="BG37" s="1286" t="s">
        <v>3492</v>
      </c>
      <c r="BI37" s="108"/>
    </row>
    <row r="38" spans="1:61" ht="12" thickBot="1" x14ac:dyDescent="0.3">
      <c r="A38" s="1281" t="s">
        <v>1533</v>
      </c>
      <c r="B38" s="1286" t="s">
        <v>3492</v>
      </c>
      <c r="C38" s="8"/>
      <c r="D38" s="1281" t="s">
        <v>1600</v>
      </c>
      <c r="E38" s="1284"/>
      <c r="F38" s="8"/>
      <c r="G38" s="108" t="s">
        <v>18</v>
      </c>
      <c r="H38" s="840" t="s">
        <v>9636</v>
      </c>
      <c r="I38" s="8"/>
      <c r="J38" s="1285" t="s">
        <v>1621</v>
      </c>
      <c r="K38" s="1284" t="s">
        <v>3492</v>
      </c>
      <c r="L38" s="8"/>
      <c r="M38" s="1285" t="s">
        <v>1533</v>
      </c>
      <c r="N38" s="1284" t="s">
        <v>3492</v>
      </c>
      <c r="O38" s="8"/>
      <c r="P38" s="1285" t="s">
        <v>1684</v>
      </c>
      <c r="Q38" s="1284" t="s">
        <v>3492</v>
      </c>
      <c r="R38" s="8"/>
      <c r="S38" s="1285" t="s">
        <v>1660</v>
      </c>
      <c r="T38" s="1284" t="s">
        <v>3492</v>
      </c>
      <c r="U38" s="8"/>
      <c r="V38" s="1285" t="s">
        <v>1679</v>
      </c>
      <c r="W38" s="1284" t="s">
        <v>3492</v>
      </c>
      <c r="X38" s="8"/>
      <c r="Y38" s="1285" t="s">
        <v>1685</v>
      </c>
      <c r="Z38" s="1284" t="s">
        <v>3492</v>
      </c>
      <c r="AA38" s="8"/>
      <c r="AB38" s="1285" t="s">
        <v>1684</v>
      </c>
      <c r="AC38" s="1284" t="s">
        <v>3492</v>
      </c>
      <c r="AH38" s="695" t="s">
        <v>1679</v>
      </c>
      <c r="AI38" s="1283" t="s">
        <v>3492</v>
      </c>
      <c r="AK38" s="1285" t="s">
        <v>1651</v>
      </c>
      <c r="AL38" s="1287" t="s">
        <v>3492</v>
      </c>
      <c r="AN38" s="1285" t="s">
        <v>1685</v>
      </c>
      <c r="AO38" s="1283" t="s">
        <v>3492</v>
      </c>
      <c r="AQ38" s="1291" t="s">
        <v>1576</v>
      </c>
      <c r="AR38" s="1294" t="s">
        <v>1532</v>
      </c>
      <c r="AT38" s="1288" t="s">
        <v>1686</v>
      </c>
      <c r="AU38" s="1284" t="s">
        <v>3492</v>
      </c>
      <c r="AW38" s="1288">
        <v>32</v>
      </c>
      <c r="AX38" s="1284" t="s">
        <v>3492</v>
      </c>
      <c r="BC38" s="1285" t="s">
        <v>1607</v>
      </c>
      <c r="BD38" s="1312" t="s">
        <v>1532</v>
      </c>
      <c r="BF38" s="1285" t="s">
        <v>1671</v>
      </c>
      <c r="BG38" s="1286" t="s">
        <v>3492</v>
      </c>
      <c r="BI38" s="108"/>
    </row>
    <row r="39" spans="1:61" x14ac:dyDescent="0.25">
      <c r="C39" s="8"/>
      <c r="D39" s="1281" t="s">
        <v>1604</v>
      </c>
      <c r="E39" s="1284"/>
      <c r="F39" s="8"/>
      <c r="G39" s="109" t="s">
        <v>1525</v>
      </c>
      <c r="H39" s="1284" t="s">
        <v>3492</v>
      </c>
      <c r="I39" s="8"/>
      <c r="J39" s="1285" t="s">
        <v>1627</v>
      </c>
      <c r="K39" s="1284" t="s">
        <v>1532</v>
      </c>
      <c r="L39" s="8"/>
      <c r="M39" s="1285" t="s">
        <v>1541</v>
      </c>
      <c r="N39" s="2395" t="s">
        <v>1532</v>
      </c>
      <c r="O39" s="8"/>
      <c r="P39" s="1285" t="s">
        <v>1687</v>
      </c>
      <c r="Q39" s="1284" t="s">
        <v>3492</v>
      </c>
      <c r="R39" s="8"/>
      <c r="S39" s="1285" t="s">
        <v>1665</v>
      </c>
      <c r="T39" s="1284" t="s">
        <v>3492</v>
      </c>
      <c r="U39" s="8"/>
      <c r="V39" s="1285" t="s">
        <v>1684</v>
      </c>
      <c r="W39" s="1284" t="s">
        <v>3492</v>
      </c>
      <c r="X39" s="8"/>
      <c r="Y39" s="1285" t="s">
        <v>1688</v>
      </c>
      <c r="Z39" s="1284" t="s">
        <v>3492</v>
      </c>
      <c r="AA39" s="8"/>
      <c r="AB39" s="1285" t="s">
        <v>1687</v>
      </c>
      <c r="AC39" s="1284" t="s">
        <v>3492</v>
      </c>
      <c r="AK39" s="1285" t="s">
        <v>1657</v>
      </c>
      <c r="AL39" s="1299" t="s">
        <v>3492</v>
      </c>
      <c r="AN39" s="1285" t="s">
        <v>1688</v>
      </c>
      <c r="AO39" s="1283" t="s">
        <v>3492</v>
      </c>
      <c r="AQ39" s="1291" t="s">
        <v>1581</v>
      </c>
      <c r="AR39" s="1294" t="s">
        <v>1532</v>
      </c>
      <c r="AT39" s="1288" t="s">
        <v>1689</v>
      </c>
      <c r="AU39" s="1284" t="s">
        <v>3492</v>
      </c>
      <c r="AW39" s="1288" t="s">
        <v>1537</v>
      </c>
      <c r="AX39" s="1284" t="s">
        <v>3492</v>
      </c>
      <c r="BC39" s="1285" t="s">
        <v>1613</v>
      </c>
      <c r="BD39" s="1284" t="s">
        <v>3492</v>
      </c>
      <c r="BF39" s="1285" t="s">
        <v>1675</v>
      </c>
      <c r="BG39" s="1289" t="s">
        <v>1532</v>
      </c>
      <c r="BI39" s="108"/>
    </row>
    <row r="40" spans="1:61" ht="12" thickBot="1" x14ac:dyDescent="0.3">
      <c r="A40" s="108" t="s">
        <v>8</v>
      </c>
      <c r="B40" s="840" t="s">
        <v>9636</v>
      </c>
      <c r="C40" s="8"/>
      <c r="D40" s="1281" t="s">
        <v>1607</v>
      </c>
      <c r="E40" s="1284"/>
      <c r="F40" s="8"/>
      <c r="G40" s="1285" t="s">
        <v>1529</v>
      </c>
      <c r="H40" s="1284" t="s">
        <v>3492</v>
      </c>
      <c r="I40" s="8"/>
      <c r="J40" s="1285" t="s">
        <v>1619</v>
      </c>
      <c r="K40" s="1284" t="s">
        <v>1532</v>
      </c>
      <c r="L40" s="8"/>
      <c r="M40" s="1285" t="s">
        <v>1538</v>
      </c>
      <c r="N40" s="1284" t="s">
        <v>3492</v>
      </c>
      <c r="O40" s="8"/>
      <c r="P40" s="1285" t="s">
        <v>1690</v>
      </c>
      <c r="Q40" s="1284" t="s">
        <v>3492</v>
      </c>
      <c r="R40" s="8"/>
      <c r="S40" s="1285" t="s">
        <v>1671</v>
      </c>
      <c r="T40" s="1284" t="s">
        <v>3492</v>
      </c>
      <c r="U40" s="8"/>
      <c r="V40" s="1285" t="s">
        <v>1687</v>
      </c>
      <c r="W40" s="1284" t="s">
        <v>3492</v>
      </c>
      <c r="X40" s="8"/>
      <c r="Y40" s="1285" t="s">
        <v>1691</v>
      </c>
      <c r="Z40" s="1284" t="s">
        <v>3492</v>
      </c>
      <c r="AA40" s="8"/>
      <c r="AB40" s="1285" t="s">
        <v>1690</v>
      </c>
      <c r="AC40" s="1284" t="s">
        <v>3492</v>
      </c>
      <c r="AK40" s="1285" t="s">
        <v>1660</v>
      </c>
      <c r="AL40" s="1299" t="s">
        <v>3492</v>
      </c>
      <c r="AN40" s="695" t="s">
        <v>1691</v>
      </c>
      <c r="AO40" s="1283" t="s">
        <v>3492</v>
      </c>
      <c r="AQ40" s="1291" t="s">
        <v>1591</v>
      </c>
      <c r="AR40" s="1294" t="s">
        <v>1532</v>
      </c>
      <c r="AT40" s="1288" t="s">
        <v>1692</v>
      </c>
      <c r="AU40" s="1284" t="s">
        <v>3492</v>
      </c>
      <c r="AW40" s="1288" t="s">
        <v>1548</v>
      </c>
      <c r="AX40" s="1284" t="s">
        <v>3492</v>
      </c>
      <c r="BC40" s="1285" t="s">
        <v>1621</v>
      </c>
      <c r="BD40" s="1284" t="s">
        <v>3492</v>
      </c>
      <c r="BF40" s="1285" t="s">
        <v>1679</v>
      </c>
      <c r="BG40" s="1289" t="s">
        <v>1532</v>
      </c>
      <c r="BI40" s="108"/>
    </row>
    <row r="41" spans="1:61" x14ac:dyDescent="0.25">
      <c r="A41" s="1281" t="s">
        <v>1525</v>
      </c>
      <c r="B41" s="1283" t="s">
        <v>3492</v>
      </c>
      <c r="C41" s="8"/>
      <c r="D41" s="1281" t="s">
        <v>1613</v>
      </c>
      <c r="E41" s="1284" t="s">
        <v>1693</v>
      </c>
      <c r="F41" s="8"/>
      <c r="G41" s="1285" t="s">
        <v>1533</v>
      </c>
      <c r="H41" s="1284" t="s">
        <v>3492</v>
      </c>
      <c r="I41" s="8"/>
      <c r="J41" s="1285" t="s">
        <v>1632</v>
      </c>
      <c r="K41" s="1292" t="s">
        <v>1532</v>
      </c>
      <c r="L41" s="8"/>
      <c r="M41" s="1285" t="s">
        <v>1543</v>
      </c>
      <c r="N41" s="1284" t="s">
        <v>3492</v>
      </c>
      <c r="O41" s="8"/>
      <c r="P41" s="1285" t="s">
        <v>1694</v>
      </c>
      <c r="Q41" s="1284" t="s">
        <v>3492</v>
      </c>
      <c r="R41" s="8"/>
      <c r="S41" s="1285" t="s">
        <v>1675</v>
      </c>
      <c r="T41" s="1284" t="s">
        <v>3492</v>
      </c>
      <c r="U41" s="8"/>
      <c r="V41" s="1285" t="s">
        <v>1690</v>
      </c>
      <c r="W41" s="1284" t="s">
        <v>3492</v>
      </c>
      <c r="X41" s="8"/>
      <c r="Y41" s="1285" t="s">
        <v>1695</v>
      </c>
      <c r="Z41" s="1284" t="s">
        <v>3492</v>
      </c>
      <c r="AA41" s="8"/>
      <c r="AB41" s="1285" t="s">
        <v>1694</v>
      </c>
      <c r="AC41" s="1284" t="s">
        <v>3492</v>
      </c>
      <c r="AK41" s="1285" t="s">
        <v>1665</v>
      </c>
      <c r="AL41" s="1299" t="s">
        <v>3492</v>
      </c>
      <c r="AQ41" s="1291" t="s">
        <v>1595</v>
      </c>
      <c r="AR41" s="1294" t="s">
        <v>1532</v>
      </c>
      <c r="AT41" s="1288" t="s">
        <v>1696</v>
      </c>
      <c r="AU41" s="1284" t="s">
        <v>3492</v>
      </c>
      <c r="AW41" s="1288" t="s">
        <v>1559</v>
      </c>
      <c r="AX41" s="1284" t="s">
        <v>3492</v>
      </c>
      <c r="BC41" s="1285" t="s">
        <v>1627</v>
      </c>
      <c r="BD41" s="1284" t="s">
        <v>3492</v>
      </c>
      <c r="BF41" s="1285" t="s">
        <v>1684</v>
      </c>
      <c r="BG41" s="1289" t="s">
        <v>1532</v>
      </c>
      <c r="BI41" s="108"/>
    </row>
    <row r="42" spans="1:61" ht="12" thickBot="1" x14ac:dyDescent="0.3">
      <c r="A42" s="1281" t="s">
        <v>1529</v>
      </c>
      <c r="B42" s="1292" t="s">
        <v>3492</v>
      </c>
      <c r="C42" s="8"/>
      <c r="D42" s="1281" t="s">
        <v>1621</v>
      </c>
      <c r="E42" s="1284"/>
      <c r="F42" s="8"/>
      <c r="G42" s="1285" t="s">
        <v>1538</v>
      </c>
      <c r="H42" s="1284" t="s">
        <v>3492</v>
      </c>
      <c r="I42" s="8"/>
      <c r="J42" s="695" t="s">
        <v>1637</v>
      </c>
      <c r="K42" s="1292" t="s">
        <v>1532</v>
      </c>
      <c r="L42" s="8"/>
      <c r="M42" s="1285" t="s">
        <v>1549</v>
      </c>
      <c r="N42" s="1284" t="s">
        <v>3492</v>
      </c>
      <c r="O42" s="8"/>
      <c r="P42" s="1285" t="s">
        <v>1697</v>
      </c>
      <c r="Q42" s="1284" t="s">
        <v>3492</v>
      </c>
      <c r="R42" s="8"/>
      <c r="S42" s="1285" t="s">
        <v>1679</v>
      </c>
      <c r="T42" s="1284">
        <v>53827</v>
      </c>
      <c r="U42" s="8"/>
      <c r="V42" s="1285" t="s">
        <v>1694</v>
      </c>
      <c r="W42" s="1284" t="s">
        <v>3492</v>
      </c>
      <c r="X42" s="8"/>
      <c r="Y42" s="1285" t="s">
        <v>1698</v>
      </c>
      <c r="Z42" s="1284" t="s">
        <v>3492</v>
      </c>
      <c r="AA42" s="8"/>
      <c r="AB42" s="1285" t="s">
        <v>1697</v>
      </c>
      <c r="AC42" s="1284" t="s">
        <v>3492</v>
      </c>
      <c r="AK42" s="1285" t="s">
        <v>1671</v>
      </c>
      <c r="AL42" s="1299" t="s">
        <v>3492</v>
      </c>
      <c r="AQ42" s="1291" t="s">
        <v>1600</v>
      </c>
      <c r="AR42" s="1294" t="s">
        <v>1532</v>
      </c>
      <c r="AT42" s="1288" t="s">
        <v>1699</v>
      </c>
      <c r="AU42" s="1284" t="s">
        <v>3492</v>
      </c>
      <c r="AW42" s="1288" t="s">
        <v>1700</v>
      </c>
      <c r="AX42" s="1284" t="s">
        <v>3492</v>
      </c>
      <c r="BC42" s="1285" t="s">
        <v>1619</v>
      </c>
      <c r="BD42" s="1284" t="s">
        <v>3492</v>
      </c>
      <c r="BF42" s="1285" t="s">
        <v>1687</v>
      </c>
      <c r="BG42" s="1289" t="s">
        <v>1532</v>
      </c>
      <c r="BI42" s="108"/>
    </row>
    <row r="43" spans="1:61" x14ac:dyDescent="0.25">
      <c r="A43" s="1281" t="s">
        <v>1533</v>
      </c>
      <c r="B43" s="1295" t="s">
        <v>3492</v>
      </c>
      <c r="C43" s="8"/>
      <c r="D43" s="1281" t="s">
        <v>1654</v>
      </c>
      <c r="E43" s="1284" t="s">
        <v>1532</v>
      </c>
      <c r="F43" s="8"/>
      <c r="G43" s="1285" t="s">
        <v>1543</v>
      </c>
      <c r="H43" s="1284" t="s">
        <v>3492</v>
      </c>
      <c r="I43" s="8"/>
      <c r="J43" s="8"/>
      <c r="K43" s="8"/>
      <c r="L43" s="8"/>
      <c r="M43" s="1285" t="s">
        <v>1560</v>
      </c>
      <c r="N43" s="1295" t="s">
        <v>3492</v>
      </c>
      <c r="O43" s="8"/>
      <c r="P43" s="1285" t="s">
        <v>1701</v>
      </c>
      <c r="Q43" s="1284" t="s">
        <v>3492</v>
      </c>
      <c r="R43" s="8"/>
      <c r="S43" s="1285" t="s">
        <v>1684</v>
      </c>
      <c r="T43" s="1284">
        <v>53827</v>
      </c>
      <c r="U43" s="8"/>
      <c r="V43" s="1285" t="s">
        <v>1697</v>
      </c>
      <c r="W43" s="1284" t="s">
        <v>3492</v>
      </c>
      <c r="X43" s="8"/>
      <c r="Y43" s="1285" t="s">
        <v>1702</v>
      </c>
      <c r="Z43" s="1284" t="s">
        <v>3492</v>
      </c>
      <c r="AA43" s="8"/>
      <c r="AB43" s="1285" t="s">
        <v>1701</v>
      </c>
      <c r="AC43" s="1284" t="s">
        <v>3492</v>
      </c>
      <c r="AK43" s="1285" t="s">
        <v>1675</v>
      </c>
      <c r="AL43" s="1299" t="s">
        <v>3492</v>
      </c>
      <c r="AQ43" s="1291" t="s">
        <v>1604</v>
      </c>
      <c r="AR43" s="1294" t="s">
        <v>1532</v>
      </c>
      <c r="AT43" s="1288" t="s">
        <v>1703</v>
      </c>
      <c r="AU43" s="1284" t="s">
        <v>3492</v>
      </c>
      <c r="AW43" s="1288" t="s">
        <v>1567</v>
      </c>
      <c r="AX43" s="1284" t="s">
        <v>3492</v>
      </c>
      <c r="BC43" s="1285" t="s">
        <v>1632</v>
      </c>
      <c r="BD43" s="1292" t="s">
        <v>3492</v>
      </c>
      <c r="BF43" s="1285" t="s">
        <v>1690</v>
      </c>
      <c r="BG43" s="1289" t="s">
        <v>1532</v>
      </c>
      <c r="BI43" s="108"/>
    </row>
    <row r="44" spans="1:61" ht="12" thickBot="1" x14ac:dyDescent="0.3">
      <c r="C44" s="8"/>
      <c r="D44" s="1281" t="s">
        <v>1627</v>
      </c>
      <c r="E44" s="1284"/>
      <c r="F44" s="8"/>
      <c r="G44" s="1285" t="s">
        <v>1549</v>
      </c>
      <c r="H44" s="1284" t="s">
        <v>3492</v>
      </c>
      <c r="I44" s="8"/>
      <c r="J44" s="8"/>
      <c r="K44" s="8"/>
      <c r="L44" s="8"/>
      <c r="M44" s="1285" t="s">
        <v>1556</v>
      </c>
      <c r="N44" s="1284" t="s">
        <v>3492</v>
      </c>
      <c r="O44" s="8"/>
      <c r="P44" s="695" t="s">
        <v>1704</v>
      </c>
      <c r="Q44" s="1284" t="s">
        <v>3492</v>
      </c>
      <c r="R44" s="8"/>
      <c r="S44" s="1285" t="s">
        <v>1687</v>
      </c>
      <c r="T44" s="1284" t="s">
        <v>3492</v>
      </c>
      <c r="U44" s="8"/>
      <c r="V44" s="1285" t="s">
        <v>1701</v>
      </c>
      <c r="W44" s="1284" t="s">
        <v>3492</v>
      </c>
      <c r="X44" s="8"/>
      <c r="Y44" s="1285" t="s">
        <v>1705</v>
      </c>
      <c r="Z44" s="1284" t="s">
        <v>3492</v>
      </c>
      <c r="AA44" s="8"/>
      <c r="AB44" s="1285" t="s">
        <v>1704</v>
      </c>
      <c r="AC44" s="1284" t="s">
        <v>3492</v>
      </c>
      <c r="AK44" s="1285" t="s">
        <v>1679</v>
      </c>
      <c r="AL44" s="1299" t="s">
        <v>3492</v>
      </c>
      <c r="AQ44" s="1291" t="s">
        <v>1607</v>
      </c>
      <c r="AR44" s="1294" t="s">
        <v>1532</v>
      </c>
      <c r="AT44" s="1288" t="s">
        <v>1706</v>
      </c>
      <c r="AU44" s="1284" t="s">
        <v>3492</v>
      </c>
      <c r="AW44" s="1288" t="s">
        <v>1575</v>
      </c>
      <c r="AX44" s="1284" t="s">
        <v>3492</v>
      </c>
      <c r="BC44" s="1285" t="s">
        <v>1637</v>
      </c>
      <c r="BD44" s="1283">
        <v>34228</v>
      </c>
      <c r="BF44" s="1285" t="s">
        <v>1694</v>
      </c>
      <c r="BG44" s="1289" t="s">
        <v>1532</v>
      </c>
      <c r="BI44" s="108"/>
    </row>
    <row r="45" spans="1:61" ht="12" thickBot="1" x14ac:dyDescent="0.3">
      <c r="A45" s="108" t="s">
        <v>9624</v>
      </c>
      <c r="B45" s="840" t="s">
        <v>9636</v>
      </c>
      <c r="C45" s="8"/>
      <c r="D45" s="1281" t="s">
        <v>1619</v>
      </c>
      <c r="E45" s="1307" t="s">
        <v>1707</v>
      </c>
      <c r="F45" s="8"/>
      <c r="G45" s="1285">
        <v>6.1</v>
      </c>
      <c r="H45" s="1284" t="s">
        <v>3492</v>
      </c>
      <c r="I45" s="8"/>
      <c r="J45" s="8"/>
      <c r="K45" s="8"/>
      <c r="L45" s="8"/>
      <c r="M45" s="1285" t="s">
        <v>1572</v>
      </c>
      <c r="N45" s="1284" t="s">
        <v>3492</v>
      </c>
      <c r="O45" s="8"/>
      <c r="P45" s="695" t="s">
        <v>1708</v>
      </c>
      <c r="Q45" s="1284">
        <v>0</v>
      </c>
      <c r="R45" s="8"/>
      <c r="S45" s="1285" t="s">
        <v>1690</v>
      </c>
      <c r="T45" s="1284" t="s">
        <v>3492</v>
      </c>
      <c r="U45" s="8"/>
      <c r="V45" s="1285" t="s">
        <v>1704</v>
      </c>
      <c r="W45" s="1284" t="s">
        <v>3492</v>
      </c>
      <c r="X45" s="8"/>
      <c r="Y45" s="1285" t="s">
        <v>1709</v>
      </c>
      <c r="Z45" s="1284" t="s">
        <v>3492</v>
      </c>
      <c r="AA45" s="8"/>
      <c r="AB45" s="1285" t="s">
        <v>1710</v>
      </c>
      <c r="AC45" s="1284" t="s">
        <v>3492</v>
      </c>
      <c r="AK45" s="1285" t="s">
        <v>1684</v>
      </c>
      <c r="AL45" s="1299" t="s">
        <v>3492</v>
      </c>
      <c r="AQ45" s="1291" t="s">
        <v>1613</v>
      </c>
      <c r="AR45" s="1294" t="s">
        <v>1532</v>
      </c>
      <c r="AT45" s="1288" t="s">
        <v>1711</v>
      </c>
      <c r="AU45" s="1284" t="s">
        <v>3492</v>
      </c>
      <c r="AW45" s="1288" t="s">
        <v>1585</v>
      </c>
      <c r="AX45" s="1284" t="s">
        <v>3492</v>
      </c>
      <c r="BC45" s="1285" t="s">
        <v>1641</v>
      </c>
      <c r="BD45" s="1284">
        <v>26819</v>
      </c>
      <c r="BF45" s="1285" t="s">
        <v>1697</v>
      </c>
      <c r="BG45" s="1286" t="s">
        <v>3492</v>
      </c>
      <c r="BI45" s="108"/>
    </row>
    <row r="46" spans="1:61" x14ac:dyDescent="0.25">
      <c r="A46" s="1281" t="s">
        <v>1525</v>
      </c>
      <c r="B46" s="1284" t="s">
        <v>3492</v>
      </c>
      <c r="C46" s="8"/>
      <c r="D46" s="1281" t="s">
        <v>1632</v>
      </c>
      <c r="E46" s="1284"/>
      <c r="F46" s="8"/>
      <c r="G46" s="1285" t="s">
        <v>1556</v>
      </c>
      <c r="H46" s="1284" t="s">
        <v>3492</v>
      </c>
      <c r="I46" s="8"/>
      <c r="J46" s="108"/>
      <c r="K46" s="8"/>
      <c r="L46" s="8"/>
      <c r="M46" s="1285" t="s">
        <v>1577</v>
      </c>
      <c r="N46" s="1292" t="s">
        <v>3492</v>
      </c>
      <c r="O46" s="8"/>
      <c r="P46" s="8"/>
      <c r="Q46" s="8"/>
      <c r="R46" s="8"/>
      <c r="S46" s="1285" t="s">
        <v>1694</v>
      </c>
      <c r="T46" s="1284" t="s">
        <v>3492</v>
      </c>
      <c r="U46" s="8"/>
      <c r="V46" s="1285" t="s">
        <v>1710</v>
      </c>
      <c r="W46" s="1284" t="s">
        <v>3492</v>
      </c>
      <c r="X46" s="8"/>
      <c r="Y46" s="1285" t="s">
        <v>1712</v>
      </c>
      <c r="Z46" s="1284" t="s">
        <v>3492</v>
      </c>
      <c r="AA46" s="8"/>
      <c r="AB46" s="1285" t="s">
        <v>1713</v>
      </c>
      <c r="AC46" s="1284" t="s">
        <v>3492</v>
      </c>
      <c r="AK46" s="1285" t="s">
        <v>1687</v>
      </c>
      <c r="AL46" s="1299" t="s">
        <v>3492</v>
      </c>
      <c r="AQ46" s="1285" t="s">
        <v>1621</v>
      </c>
      <c r="AR46" s="1283" t="s">
        <v>3492</v>
      </c>
      <c r="AT46" s="1288" t="s">
        <v>1714</v>
      </c>
      <c r="AU46" s="1284" t="s">
        <v>3492</v>
      </c>
      <c r="AW46" s="1288" t="s">
        <v>1715</v>
      </c>
      <c r="AX46" s="1284" t="s">
        <v>3492</v>
      </c>
      <c r="BC46" s="1285" t="s">
        <v>1651</v>
      </c>
      <c r="BD46" s="1284">
        <v>7409</v>
      </c>
      <c r="BF46" s="1285" t="s">
        <v>1701</v>
      </c>
      <c r="BG46" s="1283" t="s">
        <v>3492</v>
      </c>
      <c r="BI46" s="108"/>
    </row>
    <row r="47" spans="1:61" x14ac:dyDescent="0.25">
      <c r="C47" s="8"/>
      <c r="D47" s="1281" t="s">
        <v>1637</v>
      </c>
      <c r="E47" s="1284"/>
      <c r="F47" s="8"/>
      <c r="G47" s="1285" t="s">
        <v>1561</v>
      </c>
      <c r="H47" s="1284" t="s">
        <v>3492</v>
      </c>
      <c r="I47" s="8"/>
      <c r="J47" s="108"/>
      <c r="K47" s="8"/>
      <c r="L47" s="8"/>
      <c r="M47" s="1285" t="s">
        <v>1582</v>
      </c>
      <c r="N47" s="1284" t="s">
        <v>3492</v>
      </c>
      <c r="O47" s="8"/>
      <c r="P47" s="8"/>
      <c r="Q47" s="8"/>
      <c r="R47" s="8"/>
      <c r="S47" s="1285" t="s">
        <v>1697</v>
      </c>
      <c r="T47" s="1284" t="s">
        <v>1615</v>
      </c>
      <c r="U47" s="8"/>
      <c r="V47" s="1285" t="s">
        <v>1713</v>
      </c>
      <c r="W47" s="1284" t="s">
        <v>3492</v>
      </c>
      <c r="X47" s="8"/>
      <c r="Y47" s="1285" t="s">
        <v>1716</v>
      </c>
      <c r="Z47" s="1284" t="s">
        <v>3492</v>
      </c>
      <c r="AA47" s="8"/>
      <c r="AB47" s="1285" t="s">
        <v>1717</v>
      </c>
      <c r="AC47" s="1284" t="s">
        <v>3492</v>
      </c>
      <c r="AK47" s="1285" t="s">
        <v>1718</v>
      </c>
      <c r="AL47" s="1283" t="s">
        <v>1532</v>
      </c>
      <c r="AQ47" s="1285" t="s">
        <v>1654</v>
      </c>
      <c r="AR47" s="1299" t="s">
        <v>3492</v>
      </c>
      <c r="AT47" s="1288" t="s">
        <v>1719</v>
      </c>
      <c r="AU47" s="1284" t="s">
        <v>3492</v>
      </c>
      <c r="AW47" s="1288" t="s">
        <v>1663</v>
      </c>
      <c r="AX47" s="1284" t="s">
        <v>3492</v>
      </c>
      <c r="BC47" s="1293" t="s">
        <v>1720</v>
      </c>
      <c r="BD47" s="1284" t="s">
        <v>3492</v>
      </c>
      <c r="BF47" s="1285" t="s">
        <v>1704</v>
      </c>
      <c r="BG47" s="1286" t="s">
        <v>3492</v>
      </c>
      <c r="BI47" s="108"/>
    </row>
    <row r="48" spans="1:61" ht="12" thickBot="1" x14ac:dyDescent="0.3">
      <c r="A48" s="108" t="s">
        <v>10</v>
      </c>
      <c r="B48" s="840"/>
      <c r="D48" s="1281" t="s">
        <v>1641</v>
      </c>
      <c r="E48" s="1284"/>
      <c r="G48" s="1285" t="s">
        <v>1565</v>
      </c>
      <c r="H48" s="1284" t="s">
        <v>3492</v>
      </c>
      <c r="M48" s="1285" t="s">
        <v>1588</v>
      </c>
      <c r="N48" s="1292" t="s">
        <v>3492</v>
      </c>
      <c r="S48" s="695" t="s">
        <v>1701</v>
      </c>
      <c r="T48" s="1284" t="s">
        <v>3492</v>
      </c>
      <c r="V48" s="1285" t="s">
        <v>1717</v>
      </c>
      <c r="W48" s="1284" t="s">
        <v>3492</v>
      </c>
      <c r="X48" s="8"/>
      <c r="Y48" s="1285" t="s">
        <v>1721</v>
      </c>
      <c r="Z48" s="1284" t="s">
        <v>3492</v>
      </c>
      <c r="AB48" s="1285" t="s">
        <v>1722</v>
      </c>
      <c r="AC48" s="1284" t="s">
        <v>3492</v>
      </c>
      <c r="AK48" s="1285" t="s">
        <v>1690</v>
      </c>
      <c r="AL48" s="1299" t="s">
        <v>3492</v>
      </c>
      <c r="AQ48" s="1285" t="s">
        <v>1723</v>
      </c>
      <c r="AR48" s="1299" t="s">
        <v>3492</v>
      </c>
      <c r="AT48" s="1288" t="s">
        <v>1724</v>
      </c>
      <c r="AU48" s="1284" t="s">
        <v>3492</v>
      </c>
      <c r="AW48" s="1288" t="s">
        <v>1673</v>
      </c>
      <c r="AX48" s="1284" t="s">
        <v>3492</v>
      </c>
      <c r="BC48" s="1285" t="s">
        <v>1657</v>
      </c>
      <c r="BD48" s="1284" t="s">
        <v>3492</v>
      </c>
      <c r="BF48" s="695" t="s">
        <v>1710</v>
      </c>
      <c r="BG48" s="1286" t="s">
        <v>3492</v>
      </c>
    </row>
    <row r="49" spans="1:59" ht="12" thickBot="1" x14ac:dyDescent="0.3">
      <c r="A49" s="109" t="s">
        <v>1725</v>
      </c>
      <c r="B49" s="1286" t="s">
        <v>3492</v>
      </c>
      <c r="D49" s="1281" t="s">
        <v>1651</v>
      </c>
      <c r="E49" s="1284"/>
      <c r="G49" s="1285" t="s">
        <v>1568</v>
      </c>
      <c r="H49" s="1284" t="s">
        <v>3492</v>
      </c>
      <c r="M49" s="1302" t="s">
        <v>1561</v>
      </c>
      <c r="N49" s="1284" t="s">
        <v>3492</v>
      </c>
      <c r="V49" s="1285" t="s">
        <v>1722</v>
      </c>
      <c r="W49" s="1284" t="s">
        <v>3492</v>
      </c>
      <c r="X49" s="8"/>
      <c r="Y49" s="1285" t="s">
        <v>1726</v>
      </c>
      <c r="Z49" s="1284" t="s">
        <v>3492</v>
      </c>
      <c r="AB49" s="1285" t="s">
        <v>1727</v>
      </c>
      <c r="AC49" s="1284" t="s">
        <v>3492</v>
      </c>
      <c r="AK49" s="1293" t="s">
        <v>1728</v>
      </c>
      <c r="AL49" s="1299" t="s">
        <v>3492</v>
      </c>
      <c r="AQ49" s="1285" t="s">
        <v>1627</v>
      </c>
      <c r="AR49" s="1283" t="s">
        <v>3492</v>
      </c>
      <c r="AT49" s="1288" t="s">
        <v>1729</v>
      </c>
      <c r="AU49" s="1284" t="s">
        <v>3492</v>
      </c>
      <c r="AW49" s="1288" t="s">
        <v>1682</v>
      </c>
      <c r="AX49" s="1284" t="s">
        <v>3492</v>
      </c>
      <c r="BC49" s="1285" t="s">
        <v>1660</v>
      </c>
      <c r="BD49" s="1286" t="s">
        <v>3492</v>
      </c>
      <c r="BF49" s="1064" t="s">
        <v>1713</v>
      </c>
      <c r="BG49" s="1286" t="s">
        <v>3492</v>
      </c>
    </row>
    <row r="50" spans="1:59" ht="12" thickBot="1" x14ac:dyDescent="0.3">
      <c r="A50" s="1285" t="s">
        <v>1525</v>
      </c>
      <c r="B50" s="1286" t="s">
        <v>3492</v>
      </c>
      <c r="G50" s="1285" t="s">
        <v>1571</v>
      </c>
      <c r="H50" s="1284" t="s">
        <v>1532</v>
      </c>
      <c r="M50" s="1285" t="s">
        <v>1597</v>
      </c>
      <c r="N50" s="1284" t="s">
        <v>1532</v>
      </c>
      <c r="V50" s="1285" t="s">
        <v>1727</v>
      </c>
      <c r="W50" s="1284" t="s">
        <v>3492</v>
      </c>
      <c r="X50" s="8"/>
      <c r="Y50" s="1285" t="s">
        <v>1730</v>
      </c>
      <c r="Z50" s="1284" t="s">
        <v>3492</v>
      </c>
      <c r="AB50" s="1285" t="s">
        <v>1731</v>
      </c>
      <c r="AC50" s="1284" t="s">
        <v>3492</v>
      </c>
      <c r="AK50" s="1285" t="s">
        <v>1694</v>
      </c>
      <c r="AL50" s="1299" t="s">
        <v>3492</v>
      </c>
      <c r="AQ50" s="1285" t="s">
        <v>1619</v>
      </c>
      <c r="AR50" s="1283" t="s">
        <v>3492</v>
      </c>
      <c r="AT50" s="1288" t="s">
        <v>1732</v>
      </c>
      <c r="AU50" s="1284" t="s">
        <v>3492</v>
      </c>
      <c r="AW50" s="1288" t="s">
        <v>1733</v>
      </c>
      <c r="AX50" s="1284" t="s">
        <v>3492</v>
      </c>
      <c r="BC50" s="1285" t="s">
        <v>1665</v>
      </c>
      <c r="BD50" s="1284" t="s">
        <v>3492</v>
      </c>
      <c r="BF50" s="1064" t="s">
        <v>1722</v>
      </c>
      <c r="BG50" s="1286" t="s">
        <v>3492</v>
      </c>
    </row>
    <row r="51" spans="1:59" ht="12" thickBot="1" x14ac:dyDescent="0.3">
      <c r="A51" s="1285" t="s">
        <v>1529</v>
      </c>
      <c r="B51" s="1286" t="s">
        <v>3492</v>
      </c>
      <c r="G51" s="695" t="s">
        <v>1576</v>
      </c>
      <c r="H51" s="1284" t="s">
        <v>3492</v>
      </c>
      <c r="M51" s="1285" t="s">
        <v>1565</v>
      </c>
      <c r="N51" s="1284" t="s">
        <v>3492</v>
      </c>
      <c r="V51" s="1285" t="s">
        <v>1731</v>
      </c>
      <c r="W51" s="1284" t="s">
        <v>3492</v>
      </c>
      <c r="X51" s="8"/>
      <c r="Y51" s="1285" t="s">
        <v>1734</v>
      </c>
      <c r="Z51" s="1284" t="s">
        <v>3492</v>
      </c>
      <c r="AB51" s="1285" t="s">
        <v>1735</v>
      </c>
      <c r="AC51" s="1284" t="s">
        <v>3492</v>
      </c>
      <c r="AK51" s="1285" t="s">
        <v>1697</v>
      </c>
      <c r="AL51" s="1299" t="s">
        <v>3492</v>
      </c>
      <c r="AQ51" s="1285" t="s">
        <v>1632</v>
      </c>
      <c r="AR51" s="1283" t="s">
        <v>3492</v>
      </c>
      <c r="AT51" s="1288">
        <v>5</v>
      </c>
      <c r="AU51" s="1284" t="s">
        <v>3492</v>
      </c>
      <c r="AW51" s="1288" t="s">
        <v>1689</v>
      </c>
      <c r="AX51" s="1284" t="s">
        <v>3492</v>
      </c>
      <c r="BC51" s="1285" t="s">
        <v>1671</v>
      </c>
      <c r="BD51" s="1284" t="s">
        <v>3492</v>
      </c>
      <c r="BF51" s="1064" t="s">
        <v>1727</v>
      </c>
      <c r="BG51" s="1284" t="s">
        <v>3492</v>
      </c>
    </row>
    <row r="52" spans="1:59" ht="12" thickBot="1" x14ac:dyDescent="0.3">
      <c r="A52" s="1285" t="s">
        <v>1533</v>
      </c>
      <c r="B52" s="1286" t="s">
        <v>3492</v>
      </c>
      <c r="M52" s="1285" t="s">
        <v>1568</v>
      </c>
      <c r="N52" s="1284" t="s">
        <v>3492</v>
      </c>
      <c r="V52" s="1285" t="s">
        <v>1735</v>
      </c>
      <c r="W52" s="1284" t="s">
        <v>3492</v>
      </c>
      <c r="X52" s="8"/>
      <c r="Y52" s="1285" t="s">
        <v>1736</v>
      </c>
      <c r="Z52" s="1284" t="s">
        <v>3492</v>
      </c>
      <c r="AB52" s="1285" t="s">
        <v>1737</v>
      </c>
      <c r="AC52" s="1284" t="s">
        <v>3492</v>
      </c>
      <c r="AK52" s="1285" t="s">
        <v>1701</v>
      </c>
      <c r="AL52" s="1299" t="s">
        <v>3492</v>
      </c>
      <c r="AQ52" s="1285" t="s">
        <v>1637</v>
      </c>
      <c r="AR52" s="1283" t="s">
        <v>3492</v>
      </c>
      <c r="AT52" s="1288">
        <v>6</v>
      </c>
      <c r="AU52" s="1284" t="s">
        <v>3492</v>
      </c>
      <c r="AW52" s="1288" t="s">
        <v>1696</v>
      </c>
      <c r="AX52" s="1284" t="s">
        <v>3492</v>
      </c>
      <c r="BC52" s="1285" t="s">
        <v>1675</v>
      </c>
      <c r="BD52" s="1292" t="s">
        <v>3492</v>
      </c>
      <c r="BF52" s="1064" t="s">
        <v>1735</v>
      </c>
      <c r="BG52" s="1284" t="s">
        <v>3492</v>
      </c>
    </row>
    <row r="53" spans="1:59" ht="12" thickBot="1" x14ac:dyDescent="0.3">
      <c r="A53" s="1285" t="s">
        <v>1538</v>
      </c>
      <c r="B53" s="1295" t="s">
        <v>3492</v>
      </c>
      <c r="M53" s="1285" t="s">
        <v>1571</v>
      </c>
      <c r="N53" s="1284" t="s">
        <v>3492</v>
      </c>
      <c r="V53" s="1285" t="s">
        <v>1737</v>
      </c>
      <c r="W53" s="1284" t="s">
        <v>3492</v>
      </c>
      <c r="X53" s="8"/>
      <c r="Y53" s="1285" t="s">
        <v>1738</v>
      </c>
      <c r="Z53" s="1284" t="s">
        <v>3492</v>
      </c>
      <c r="AB53" s="1285" t="s">
        <v>1739</v>
      </c>
      <c r="AC53" s="1284" t="s">
        <v>3492</v>
      </c>
      <c r="AK53" s="1285" t="s">
        <v>1704</v>
      </c>
      <c r="AL53" s="1299" t="s">
        <v>3492</v>
      </c>
      <c r="AQ53" s="1285" t="s">
        <v>1641</v>
      </c>
      <c r="AR53" s="1283" t="s">
        <v>3492</v>
      </c>
      <c r="AT53" s="1305">
        <v>6.1</v>
      </c>
      <c r="AU53" s="1284" t="s">
        <v>3492</v>
      </c>
      <c r="AW53" s="1288" t="s">
        <v>1703</v>
      </c>
      <c r="AX53" s="1284" t="s">
        <v>3492</v>
      </c>
      <c r="BC53" s="1285" t="s">
        <v>1679</v>
      </c>
      <c r="BD53" s="1284" t="s">
        <v>3492</v>
      </c>
      <c r="BF53" s="1064" t="s">
        <v>1737</v>
      </c>
      <c r="BG53" s="1284" t="s">
        <v>3492</v>
      </c>
    </row>
    <row r="54" spans="1:59" ht="12" thickBot="1" x14ac:dyDescent="0.3">
      <c r="A54" s="1285" t="s">
        <v>1543</v>
      </c>
      <c r="B54" s="1295" t="s">
        <v>3492</v>
      </c>
      <c r="M54" s="1285" t="s">
        <v>1576</v>
      </c>
      <c r="N54" s="1284" t="s">
        <v>3492</v>
      </c>
      <c r="V54" s="1285" t="s">
        <v>1739</v>
      </c>
      <c r="W54" s="1284" t="s">
        <v>3492</v>
      </c>
      <c r="X54" s="8"/>
      <c r="Y54" s="1285" t="s">
        <v>1740</v>
      </c>
      <c r="Z54" s="1284" t="s">
        <v>3492</v>
      </c>
      <c r="AB54" s="1285" t="s">
        <v>1741</v>
      </c>
      <c r="AC54" s="1284" t="s">
        <v>3492</v>
      </c>
      <c r="AK54" s="1285" t="s">
        <v>1710</v>
      </c>
      <c r="AL54" s="1299" t="s">
        <v>3492</v>
      </c>
      <c r="AQ54" s="1285" t="s">
        <v>1651</v>
      </c>
      <c r="AR54" s="1283" t="s">
        <v>3492</v>
      </c>
      <c r="AT54" s="1288" t="s">
        <v>1537</v>
      </c>
      <c r="AU54" s="1284" t="s">
        <v>3492</v>
      </c>
      <c r="AW54" s="1288" t="s">
        <v>1742</v>
      </c>
      <c r="AX54" s="1284" t="s">
        <v>3492</v>
      </c>
      <c r="BC54" s="1285" t="s">
        <v>1684</v>
      </c>
      <c r="BD54" s="1284" t="s">
        <v>3492</v>
      </c>
      <c r="BF54" s="1064" t="s">
        <v>1739</v>
      </c>
      <c r="BG54" s="1284" t="s">
        <v>3492</v>
      </c>
    </row>
    <row r="55" spans="1:59" ht="12" thickBot="1" x14ac:dyDescent="0.3">
      <c r="A55" s="1313" t="s">
        <v>1743</v>
      </c>
      <c r="B55" s="1286" t="s">
        <v>3492</v>
      </c>
      <c r="M55" s="1285" t="s">
        <v>1581</v>
      </c>
      <c r="N55" s="1284" t="s">
        <v>3492</v>
      </c>
      <c r="V55" s="1285" t="s">
        <v>1741</v>
      </c>
      <c r="W55" s="1284" t="s">
        <v>3492</v>
      </c>
      <c r="X55" s="8"/>
      <c r="Y55" s="1285" t="s">
        <v>1744</v>
      </c>
      <c r="Z55" s="1284" t="s">
        <v>3492</v>
      </c>
      <c r="AB55" s="695" t="s">
        <v>1745</v>
      </c>
      <c r="AC55" s="1284" t="s">
        <v>3492</v>
      </c>
      <c r="AK55" s="1285" t="s">
        <v>1713</v>
      </c>
      <c r="AL55" s="1299" t="s">
        <v>3492</v>
      </c>
      <c r="AQ55" s="1285" t="s">
        <v>1657</v>
      </c>
      <c r="AR55" s="1283" t="s">
        <v>3492</v>
      </c>
      <c r="AT55" s="1288" t="s">
        <v>1540</v>
      </c>
      <c r="AU55" s="1284" t="s">
        <v>3492</v>
      </c>
      <c r="AW55" s="1288">
        <v>33</v>
      </c>
      <c r="AX55" s="1284" t="s">
        <v>3492</v>
      </c>
      <c r="BC55" s="1285" t="s">
        <v>1687</v>
      </c>
      <c r="BD55" s="1284" t="s">
        <v>3492</v>
      </c>
      <c r="BF55" s="1064" t="s">
        <v>1741</v>
      </c>
      <c r="BG55" s="1284" t="s">
        <v>3492</v>
      </c>
    </row>
    <row r="56" spans="1:59" ht="12" thickBot="1" x14ac:dyDescent="0.3">
      <c r="A56" s="845" t="s">
        <v>1746</v>
      </c>
      <c r="B56" s="1286" t="s">
        <v>3492</v>
      </c>
      <c r="M56" s="1285" t="s">
        <v>1591</v>
      </c>
      <c r="N56" s="1284" t="s">
        <v>3492</v>
      </c>
      <c r="V56" s="1285" t="s">
        <v>1745</v>
      </c>
      <c r="W56" s="1284" t="s">
        <v>3492</v>
      </c>
      <c r="X56" s="8"/>
      <c r="Y56" s="1285" t="s">
        <v>1747</v>
      </c>
      <c r="Z56" s="1284" t="s">
        <v>3492</v>
      </c>
      <c r="AK56" s="1285" t="s">
        <v>1748</v>
      </c>
      <c r="AL56" s="1299" t="s">
        <v>3492</v>
      </c>
      <c r="AQ56" s="1285" t="s">
        <v>1660</v>
      </c>
      <c r="AR56" s="1283" t="s">
        <v>3492</v>
      </c>
      <c r="AT56" s="1288" t="s">
        <v>1548</v>
      </c>
      <c r="AU56" s="1284" t="s">
        <v>3492</v>
      </c>
      <c r="AW56" s="1288">
        <v>34</v>
      </c>
      <c r="AX56" s="1284" t="s">
        <v>3492</v>
      </c>
      <c r="BC56" s="1293" t="s">
        <v>1718</v>
      </c>
      <c r="BD56" s="1284" t="s">
        <v>3492</v>
      </c>
      <c r="BF56" s="1064" t="s">
        <v>1745</v>
      </c>
      <c r="BG56" s="1286" t="s">
        <v>3492</v>
      </c>
    </row>
    <row r="57" spans="1:59" ht="12" thickBot="1" x14ac:dyDescent="0.3">
      <c r="A57" s="1314"/>
      <c r="B57" s="1283"/>
      <c r="M57" s="1285" t="s">
        <v>1595</v>
      </c>
      <c r="N57" s="1284" t="s">
        <v>3492</v>
      </c>
      <c r="V57" s="1285" t="s">
        <v>1527</v>
      </c>
      <c r="W57" s="1284" t="s">
        <v>3492</v>
      </c>
      <c r="X57" s="8"/>
      <c r="Y57" s="1285" t="s">
        <v>1749</v>
      </c>
      <c r="Z57" s="1284" t="s">
        <v>3492</v>
      </c>
      <c r="AA57" s="8"/>
      <c r="AK57" s="1285" t="s">
        <v>1750</v>
      </c>
      <c r="AL57" s="1299" t="s">
        <v>3492</v>
      </c>
      <c r="AQ57" s="1285" t="s">
        <v>1665</v>
      </c>
      <c r="AR57" s="1283" t="s">
        <v>3492</v>
      </c>
      <c r="AT57" s="1288" t="s">
        <v>1751</v>
      </c>
      <c r="AU57" s="1284" t="s">
        <v>3492</v>
      </c>
      <c r="AW57" s="1288">
        <v>35</v>
      </c>
      <c r="AX57" s="1284" t="s">
        <v>3492</v>
      </c>
      <c r="BC57" s="1285" t="s">
        <v>1690</v>
      </c>
      <c r="BD57" s="1284" t="s">
        <v>3492</v>
      </c>
      <c r="BF57" s="1064" t="s">
        <v>1527</v>
      </c>
      <c r="BG57" s="1284" t="s">
        <v>3492</v>
      </c>
    </row>
    <row r="58" spans="1:59" ht="12" thickBot="1" x14ac:dyDescent="0.3">
      <c r="M58" s="1285" t="s">
        <v>1600</v>
      </c>
      <c r="N58" s="1284" t="s">
        <v>3492</v>
      </c>
      <c r="V58" s="695" t="s">
        <v>1528</v>
      </c>
      <c r="W58" s="1284" t="s">
        <v>3492</v>
      </c>
      <c r="X58" s="8"/>
      <c r="Y58" s="1285" t="s">
        <v>1752</v>
      </c>
      <c r="Z58" s="1284" t="s">
        <v>3492</v>
      </c>
      <c r="AK58" s="695" t="s">
        <v>1753</v>
      </c>
      <c r="AL58" s="1283" t="s">
        <v>3492</v>
      </c>
      <c r="AQ58" s="1285" t="s">
        <v>1671</v>
      </c>
      <c r="AR58" s="1283" t="s">
        <v>3492</v>
      </c>
      <c r="AT58" s="1288" t="s">
        <v>1559</v>
      </c>
      <c r="AU58" s="1284" t="s">
        <v>3492</v>
      </c>
      <c r="AW58" s="1288">
        <v>36</v>
      </c>
      <c r="AX58" s="1284" t="s">
        <v>3492</v>
      </c>
      <c r="BC58" s="1285" t="s">
        <v>1694</v>
      </c>
      <c r="BD58" s="1286" t="s">
        <v>3492</v>
      </c>
      <c r="BF58" s="1064" t="s">
        <v>1528</v>
      </c>
      <c r="BG58" s="1284" t="s">
        <v>3492</v>
      </c>
    </row>
    <row r="59" spans="1:59" ht="12" thickBot="1" x14ac:dyDescent="0.3">
      <c r="M59" s="1285" t="s">
        <v>1604</v>
      </c>
      <c r="N59" s="1284" t="s">
        <v>3492</v>
      </c>
      <c r="V59" s="695" t="s">
        <v>1754</v>
      </c>
      <c r="W59" s="1284" t="s">
        <v>3492</v>
      </c>
      <c r="X59" s="8"/>
      <c r="Y59" s="1285" t="s">
        <v>1755</v>
      </c>
      <c r="Z59" s="1284" t="s">
        <v>3492</v>
      </c>
      <c r="AK59" s="1291" t="s">
        <v>1717</v>
      </c>
      <c r="AL59" s="1294" t="s">
        <v>1532</v>
      </c>
      <c r="AQ59" s="1285" t="s">
        <v>1675</v>
      </c>
      <c r="AR59" s="1283" t="s">
        <v>3492</v>
      </c>
      <c r="AT59" s="1288" t="s">
        <v>1700</v>
      </c>
      <c r="AU59" s="1284" t="s">
        <v>3492</v>
      </c>
      <c r="AW59" s="1288">
        <v>37</v>
      </c>
      <c r="AX59" s="1284" t="s">
        <v>3492</v>
      </c>
      <c r="BC59" s="1285" t="s">
        <v>1697</v>
      </c>
      <c r="BD59" s="1284" t="s">
        <v>3492</v>
      </c>
      <c r="BF59" s="1064" t="s">
        <v>1526</v>
      </c>
      <c r="BG59" s="1284" t="s">
        <v>3492</v>
      </c>
    </row>
    <row r="60" spans="1:59" ht="12" thickBot="1" x14ac:dyDescent="0.3">
      <c r="M60" s="1285" t="s">
        <v>1607</v>
      </c>
      <c r="N60" s="1284" t="s">
        <v>3492</v>
      </c>
      <c r="Y60" s="1285" t="s">
        <v>1756</v>
      </c>
      <c r="Z60" s="1284" t="s">
        <v>3492</v>
      </c>
      <c r="AK60" s="1291" t="s">
        <v>1722</v>
      </c>
      <c r="AL60" s="1294" t="s">
        <v>1532</v>
      </c>
      <c r="AQ60" s="1285" t="s">
        <v>1679</v>
      </c>
      <c r="AR60" s="1283" t="s">
        <v>3492</v>
      </c>
      <c r="AT60" s="1288">
        <v>7.1</v>
      </c>
      <c r="AU60" s="1284" t="s">
        <v>3492</v>
      </c>
      <c r="AW60" s="1288">
        <v>38</v>
      </c>
      <c r="AX60" s="1284" t="s">
        <v>3492</v>
      </c>
      <c r="BC60" s="1285" t="s">
        <v>1701</v>
      </c>
      <c r="BD60" s="1284" t="s">
        <v>3492</v>
      </c>
      <c r="BF60" s="1064" t="s">
        <v>1535</v>
      </c>
      <c r="BG60" s="1286" t="s">
        <v>3492</v>
      </c>
    </row>
    <row r="61" spans="1:59" x14ac:dyDescent="0.25">
      <c r="M61" s="1285" t="s">
        <v>1613</v>
      </c>
      <c r="N61" s="1284" t="s">
        <v>3492</v>
      </c>
      <c r="Y61" s="1285" t="s">
        <v>1757</v>
      </c>
      <c r="Z61" s="1284" t="s">
        <v>3492</v>
      </c>
      <c r="AK61" s="1291" t="s">
        <v>1727</v>
      </c>
      <c r="AL61" s="1294" t="s">
        <v>1532</v>
      </c>
      <c r="AQ61" s="1285" t="s">
        <v>1684</v>
      </c>
      <c r="AR61" s="1283" t="s">
        <v>3492</v>
      </c>
      <c r="AT61" s="1288">
        <v>7.2</v>
      </c>
      <c r="AU61" s="1284" t="s">
        <v>3492</v>
      </c>
      <c r="AW61" s="1288">
        <v>39</v>
      </c>
      <c r="AX61" s="1284" t="s">
        <v>3492</v>
      </c>
      <c r="BC61" s="1285" t="s">
        <v>1704</v>
      </c>
      <c r="BD61" s="1284" t="s">
        <v>3492</v>
      </c>
    </row>
    <row r="62" spans="1:59" ht="12" thickBot="1" x14ac:dyDescent="0.3">
      <c r="M62" s="695" t="s">
        <v>1621</v>
      </c>
      <c r="N62" s="1284" t="s">
        <v>3492</v>
      </c>
      <c r="Y62" s="1285" t="s">
        <v>1758</v>
      </c>
      <c r="Z62" s="1284" t="s">
        <v>3492</v>
      </c>
      <c r="AK62" s="1285" t="s">
        <v>1731</v>
      </c>
      <c r="AL62" s="1299" t="s">
        <v>3492</v>
      </c>
      <c r="AQ62" s="1285" t="s">
        <v>1759</v>
      </c>
      <c r="AR62" s="1283" t="s">
        <v>3492</v>
      </c>
      <c r="AT62" s="1288" t="s">
        <v>1537</v>
      </c>
      <c r="AU62" s="1284" t="s">
        <v>3492</v>
      </c>
      <c r="AW62" s="1288">
        <v>40</v>
      </c>
      <c r="AX62" s="1284" t="s">
        <v>3492</v>
      </c>
      <c r="BC62" s="1285" t="s">
        <v>1710</v>
      </c>
      <c r="BD62" s="1284" t="s">
        <v>3492</v>
      </c>
    </row>
    <row r="63" spans="1:59" ht="12" thickBot="1" x14ac:dyDescent="0.3">
      <c r="M63" s="695" t="s">
        <v>1708</v>
      </c>
      <c r="N63" s="1284">
        <v>37700</v>
      </c>
      <c r="Y63" s="695" t="s">
        <v>1760</v>
      </c>
      <c r="Z63" s="1284" t="s">
        <v>3492</v>
      </c>
      <c r="AK63" s="1285" t="s">
        <v>1735</v>
      </c>
      <c r="AL63" s="1299" t="s">
        <v>3492</v>
      </c>
      <c r="AQ63" s="1285" t="s">
        <v>1761</v>
      </c>
      <c r="AR63" s="1283" t="s">
        <v>3492</v>
      </c>
      <c r="AT63" s="1288" t="s">
        <v>1540</v>
      </c>
      <c r="AU63" s="1284" t="s">
        <v>3492</v>
      </c>
      <c r="AW63" s="1288">
        <v>41</v>
      </c>
      <c r="AX63" s="1315" t="s">
        <v>1532</v>
      </c>
      <c r="BC63" s="1285" t="s">
        <v>1713</v>
      </c>
      <c r="BD63" s="1284" t="s">
        <v>3492</v>
      </c>
    </row>
    <row r="64" spans="1:59" x14ac:dyDescent="0.25">
      <c r="AK64" s="1285" t="s">
        <v>1737</v>
      </c>
      <c r="AL64" s="1299" t="s">
        <v>3492</v>
      </c>
      <c r="AQ64" s="1316" t="s">
        <v>1687</v>
      </c>
      <c r="AR64" s="1317" t="s">
        <v>1532</v>
      </c>
      <c r="AT64" s="1288" t="s">
        <v>1548</v>
      </c>
      <c r="AU64" s="1284" t="s">
        <v>3492</v>
      </c>
      <c r="AW64" s="1288">
        <v>42</v>
      </c>
      <c r="AX64" s="1315" t="s">
        <v>1532</v>
      </c>
      <c r="BC64" s="1285" t="s">
        <v>1717</v>
      </c>
      <c r="BD64" s="1284" t="s">
        <v>3492</v>
      </c>
    </row>
    <row r="65" spans="37:56" x14ac:dyDescent="0.25">
      <c r="AK65" s="1285" t="s">
        <v>1739</v>
      </c>
      <c r="AL65" s="1299" t="s">
        <v>3492</v>
      </c>
      <c r="AQ65" s="1285" t="s">
        <v>1718</v>
      </c>
      <c r="AR65" s="1283" t="s">
        <v>3492</v>
      </c>
      <c r="AT65" s="1288" t="s">
        <v>1751</v>
      </c>
      <c r="AU65" s="1284" t="s">
        <v>3492</v>
      </c>
      <c r="AW65" s="1288">
        <v>43</v>
      </c>
      <c r="AX65" s="1284" t="s">
        <v>3492</v>
      </c>
      <c r="BC65" s="1285" t="s">
        <v>1722</v>
      </c>
      <c r="BD65" s="1284" t="s">
        <v>3492</v>
      </c>
    </row>
    <row r="66" spans="37:56" x14ac:dyDescent="0.25">
      <c r="AK66" s="1285" t="s">
        <v>1741</v>
      </c>
      <c r="AL66" s="1299" t="s">
        <v>3492</v>
      </c>
      <c r="AQ66" s="1285" t="s">
        <v>1690</v>
      </c>
      <c r="AR66" s="1283" t="s">
        <v>3492</v>
      </c>
      <c r="AT66" s="1288" t="s">
        <v>1559</v>
      </c>
      <c r="AU66" s="1284" t="s">
        <v>3492</v>
      </c>
      <c r="AW66" s="1288">
        <v>44</v>
      </c>
      <c r="AX66" s="1292" t="s">
        <v>3492</v>
      </c>
      <c r="BC66" s="1285" t="s">
        <v>1727</v>
      </c>
      <c r="BD66" s="1284" t="s">
        <v>3492</v>
      </c>
    </row>
    <row r="67" spans="37:56" x14ac:dyDescent="0.25">
      <c r="AK67" s="1285" t="s">
        <v>1745</v>
      </c>
      <c r="AL67" s="1299" t="s">
        <v>3492</v>
      </c>
      <c r="AQ67" s="1285" t="s">
        <v>1694</v>
      </c>
      <c r="AR67" s="1283" t="s">
        <v>3492</v>
      </c>
      <c r="AT67" s="1288" t="s">
        <v>1700</v>
      </c>
      <c r="AU67" s="1284" t="s">
        <v>3492</v>
      </c>
      <c r="AW67" s="1288">
        <v>45</v>
      </c>
      <c r="AX67" s="1284" t="s">
        <v>3492</v>
      </c>
      <c r="BC67" s="1285" t="s">
        <v>1731</v>
      </c>
      <c r="BD67" s="1284" t="s">
        <v>3492</v>
      </c>
    </row>
    <row r="68" spans="37:56" ht="12" thickBot="1" x14ac:dyDescent="0.3">
      <c r="AK68" s="695" t="s">
        <v>1527</v>
      </c>
      <c r="AL68" s="1299" t="s">
        <v>3492</v>
      </c>
      <c r="AQ68" s="1285" t="s">
        <v>1697</v>
      </c>
      <c r="AR68" s="1283" t="s">
        <v>3492</v>
      </c>
      <c r="AT68" s="1288">
        <v>7.3</v>
      </c>
      <c r="AU68" s="1284" t="s">
        <v>3492</v>
      </c>
      <c r="AW68" s="694">
        <v>46</v>
      </c>
      <c r="AX68" s="1284" t="s">
        <v>3492</v>
      </c>
      <c r="BC68" s="1285" t="s">
        <v>1735</v>
      </c>
      <c r="BD68" s="1284" t="s">
        <v>3492</v>
      </c>
    </row>
    <row r="69" spans="37:56" ht="12" thickBot="1" x14ac:dyDescent="0.3">
      <c r="AQ69" s="1285" t="s">
        <v>1701</v>
      </c>
      <c r="AR69" s="1283" t="s">
        <v>3492</v>
      </c>
      <c r="AT69" s="1288">
        <v>7.4</v>
      </c>
      <c r="AU69" s="1284" t="s">
        <v>3492</v>
      </c>
      <c r="AW69" s="1052" t="s">
        <v>1537</v>
      </c>
      <c r="AX69" s="1284" t="s">
        <v>3492</v>
      </c>
      <c r="BC69" s="1285" t="s">
        <v>1737</v>
      </c>
      <c r="BD69" s="1284" t="s">
        <v>3492</v>
      </c>
    </row>
    <row r="70" spans="37:56" ht="12" thickBot="1" x14ac:dyDescent="0.3">
      <c r="AQ70" s="1285" t="s">
        <v>1704</v>
      </c>
      <c r="AR70" s="1283" t="s">
        <v>3492</v>
      </c>
      <c r="AT70" s="1288">
        <v>7.5</v>
      </c>
      <c r="AU70" s="1284" t="s">
        <v>3492</v>
      </c>
      <c r="AW70" s="1052" t="s">
        <v>1540</v>
      </c>
      <c r="AX70" s="1284" t="s">
        <v>3492</v>
      </c>
      <c r="BC70" s="1285" t="s">
        <v>1739</v>
      </c>
      <c r="BD70" s="1284" t="s">
        <v>3492</v>
      </c>
    </row>
    <row r="71" spans="37:56" ht="12" thickBot="1" x14ac:dyDescent="0.3">
      <c r="AQ71" s="1285" t="s">
        <v>1710</v>
      </c>
      <c r="AR71" s="1283" t="s">
        <v>3492</v>
      </c>
      <c r="AT71" s="1288" t="s">
        <v>1537</v>
      </c>
      <c r="AU71" s="1284" t="s">
        <v>3492</v>
      </c>
      <c r="AW71" s="1052" t="s">
        <v>1548</v>
      </c>
      <c r="AX71" s="1284" t="s">
        <v>3492</v>
      </c>
      <c r="BC71" s="1285" t="s">
        <v>1741</v>
      </c>
      <c r="BD71" s="1284" t="s">
        <v>3492</v>
      </c>
    </row>
    <row r="72" spans="37:56" ht="12" thickBot="1" x14ac:dyDescent="0.3">
      <c r="AQ72" s="1285" t="s">
        <v>1713</v>
      </c>
      <c r="AR72" s="1283" t="s">
        <v>3492</v>
      </c>
      <c r="AT72" s="1288" t="s">
        <v>1540</v>
      </c>
      <c r="AU72" s="1284" t="s">
        <v>3492</v>
      </c>
      <c r="AW72" s="1052" t="s">
        <v>1751</v>
      </c>
      <c r="AX72" s="1284" t="s">
        <v>3492</v>
      </c>
      <c r="BC72" s="1285" t="s">
        <v>1745</v>
      </c>
      <c r="BD72" s="1284" t="s">
        <v>3492</v>
      </c>
    </row>
    <row r="73" spans="37:56" ht="12" thickBot="1" x14ac:dyDescent="0.3">
      <c r="AQ73" s="1285" t="s">
        <v>1717</v>
      </c>
      <c r="AR73" s="1283" t="s">
        <v>3492</v>
      </c>
      <c r="AT73" s="1288" t="s">
        <v>1548</v>
      </c>
      <c r="AU73" s="1284" t="s">
        <v>3492</v>
      </c>
      <c r="AW73" s="1052" t="s">
        <v>1559</v>
      </c>
      <c r="AX73" s="1284" t="s">
        <v>3492</v>
      </c>
      <c r="BC73" s="1285" t="s">
        <v>1762</v>
      </c>
      <c r="BD73" s="1284" t="s">
        <v>3492</v>
      </c>
    </row>
    <row r="74" spans="37:56" ht="12" thickBot="1" x14ac:dyDescent="0.3">
      <c r="AQ74" s="695" t="s">
        <v>1722</v>
      </c>
      <c r="AR74" s="1283" t="s">
        <v>3492</v>
      </c>
      <c r="AT74" s="1288" t="s">
        <v>1763</v>
      </c>
      <c r="AU74" s="1284" t="s">
        <v>3492</v>
      </c>
      <c r="AW74" s="1052" t="s">
        <v>1700</v>
      </c>
      <c r="AX74" s="1284" t="s">
        <v>3492</v>
      </c>
      <c r="BC74" s="1285" t="s">
        <v>1527</v>
      </c>
      <c r="BD74" s="1284" t="s">
        <v>3492</v>
      </c>
    </row>
    <row r="75" spans="37:56" ht="12" thickBot="1" x14ac:dyDescent="0.3">
      <c r="AQ75" s="695" t="s">
        <v>1727</v>
      </c>
      <c r="AR75" s="1283" t="s">
        <v>3492</v>
      </c>
      <c r="AT75" s="1288" t="s">
        <v>1559</v>
      </c>
      <c r="AU75" s="1284" t="s">
        <v>3492</v>
      </c>
      <c r="AW75" s="1052">
        <v>47</v>
      </c>
      <c r="AX75" s="1284" t="s">
        <v>3492</v>
      </c>
      <c r="BC75" s="1285" t="s">
        <v>1528</v>
      </c>
      <c r="BD75" s="1284" t="s">
        <v>3492</v>
      </c>
    </row>
    <row r="76" spans="37:56" ht="12" thickBot="1" x14ac:dyDescent="0.3">
      <c r="AQ76" s="695" t="s">
        <v>1731</v>
      </c>
      <c r="AR76" s="1299" t="s">
        <v>3492</v>
      </c>
      <c r="AT76" s="1288" t="s">
        <v>1764</v>
      </c>
      <c r="AU76" s="1284" t="s">
        <v>3492</v>
      </c>
      <c r="AW76" s="1052">
        <v>48</v>
      </c>
      <c r="AX76" s="1284" t="s">
        <v>3492</v>
      </c>
      <c r="BC76" s="1285" t="s">
        <v>1754</v>
      </c>
      <c r="BD76" s="1284" t="s">
        <v>3492</v>
      </c>
    </row>
    <row r="77" spans="37:56" ht="12" thickBot="1" x14ac:dyDescent="0.3">
      <c r="AT77" s="1288">
        <v>8</v>
      </c>
      <c r="AU77" s="1284" t="s">
        <v>3492</v>
      </c>
      <c r="AW77" s="1052">
        <v>48.1</v>
      </c>
      <c r="AX77" s="1284" t="s">
        <v>3492</v>
      </c>
      <c r="BC77" s="1285" t="s">
        <v>1765</v>
      </c>
      <c r="BD77" s="1284" t="s">
        <v>3492</v>
      </c>
    </row>
    <row r="78" spans="37:56" ht="12" thickBot="1" x14ac:dyDescent="0.3">
      <c r="AT78" s="1288">
        <v>9</v>
      </c>
      <c r="AU78" s="1284" t="s">
        <v>3492</v>
      </c>
      <c r="AW78" s="1052">
        <v>49</v>
      </c>
      <c r="AX78" s="1284" t="s">
        <v>3492</v>
      </c>
      <c r="BC78" s="1285" t="s">
        <v>1766</v>
      </c>
      <c r="BD78" s="1284" t="s">
        <v>3492</v>
      </c>
    </row>
    <row r="79" spans="37:56" ht="12" thickBot="1" x14ac:dyDescent="0.3">
      <c r="AT79" s="1305">
        <v>9.1</v>
      </c>
      <c r="AU79" s="1284" t="s">
        <v>3492</v>
      </c>
      <c r="AW79" s="1052">
        <v>49.1</v>
      </c>
      <c r="AX79" s="1284" t="s">
        <v>3492</v>
      </c>
      <c r="BC79" s="1285" t="s">
        <v>1767</v>
      </c>
      <c r="BD79" s="1284" t="s">
        <v>3492</v>
      </c>
    </row>
    <row r="80" spans="37:56" ht="12" thickBot="1" x14ac:dyDescent="0.3">
      <c r="AT80" s="1288" t="s">
        <v>1537</v>
      </c>
      <c r="AU80" s="1284" t="s">
        <v>3492</v>
      </c>
      <c r="AW80" s="1052" t="s">
        <v>1537</v>
      </c>
      <c r="AX80" s="1284" t="s">
        <v>3492</v>
      </c>
      <c r="BC80" s="1285" t="s">
        <v>1768</v>
      </c>
      <c r="BD80" s="1284" t="s">
        <v>3492</v>
      </c>
    </row>
    <row r="81" spans="46:56" ht="12" thickBot="1" x14ac:dyDescent="0.3">
      <c r="AT81" s="1288" t="s">
        <v>1540</v>
      </c>
      <c r="AU81" s="1284" t="s">
        <v>3492</v>
      </c>
      <c r="AW81" s="1052" t="s">
        <v>1540</v>
      </c>
      <c r="AX81" s="1284" t="s">
        <v>3492</v>
      </c>
      <c r="BC81" s="1285" t="s">
        <v>1769</v>
      </c>
      <c r="BD81" s="1284" t="s">
        <v>3492</v>
      </c>
    </row>
    <row r="82" spans="46:56" ht="12" thickBot="1" x14ac:dyDescent="0.3">
      <c r="AT82" s="1288" t="s">
        <v>1548</v>
      </c>
      <c r="AU82" s="1284" t="s">
        <v>3492</v>
      </c>
      <c r="AW82" s="1052" t="s">
        <v>1548</v>
      </c>
      <c r="AX82" s="1284" t="s">
        <v>3492</v>
      </c>
      <c r="BC82" s="1293" t="s">
        <v>1770</v>
      </c>
      <c r="BD82" s="1284" t="s">
        <v>3492</v>
      </c>
    </row>
    <row r="83" spans="46:56" ht="12" thickBot="1" x14ac:dyDescent="0.3">
      <c r="AT83" s="1288" t="s">
        <v>1771</v>
      </c>
      <c r="AU83" s="1284" t="s">
        <v>3492</v>
      </c>
      <c r="AW83" s="1052" t="s">
        <v>1751</v>
      </c>
      <c r="AX83" s="1284" t="s">
        <v>3492</v>
      </c>
      <c r="BC83" s="1285" t="s">
        <v>1772</v>
      </c>
      <c r="BD83" s="1284" t="s">
        <v>3492</v>
      </c>
    </row>
    <row r="84" spans="46:56" ht="12" thickBot="1" x14ac:dyDescent="0.3">
      <c r="AT84" s="1288" t="s">
        <v>1559</v>
      </c>
      <c r="AU84" s="1284" t="s">
        <v>3492</v>
      </c>
      <c r="AW84" s="1052" t="s">
        <v>1559</v>
      </c>
      <c r="AX84" s="1284" t="s">
        <v>3492</v>
      </c>
      <c r="BC84" s="1293" t="s">
        <v>1773</v>
      </c>
      <c r="BD84" s="1284" t="s">
        <v>3492</v>
      </c>
    </row>
    <row r="85" spans="46:56" ht="12" thickBot="1" x14ac:dyDescent="0.3">
      <c r="AT85" s="1288" t="s">
        <v>1774</v>
      </c>
      <c r="AU85" s="1284" t="s">
        <v>3492</v>
      </c>
      <c r="AW85" s="1052" t="s">
        <v>1700</v>
      </c>
      <c r="AX85" s="1284" t="s">
        <v>3492</v>
      </c>
      <c r="BC85" s="1285" t="s">
        <v>1775</v>
      </c>
      <c r="BD85" s="1284" t="s">
        <v>3492</v>
      </c>
    </row>
    <row r="86" spans="46:56" ht="12" thickBot="1" x14ac:dyDescent="0.3">
      <c r="AT86" s="1288">
        <v>10</v>
      </c>
      <c r="AU86" s="1284" t="s">
        <v>3492</v>
      </c>
      <c r="AW86" s="1052">
        <v>50</v>
      </c>
      <c r="AX86" s="1284" t="s">
        <v>3492</v>
      </c>
      <c r="BC86" s="1285" t="s">
        <v>1526</v>
      </c>
      <c r="BD86" s="1284" t="s">
        <v>3492</v>
      </c>
    </row>
    <row r="87" spans="46:56" ht="12" thickBot="1" x14ac:dyDescent="0.3">
      <c r="AT87" s="1288">
        <v>11</v>
      </c>
      <c r="AU87" s="1284" t="s">
        <v>3492</v>
      </c>
      <c r="AW87" s="1052">
        <v>51</v>
      </c>
      <c r="AX87" s="1284" t="s">
        <v>3492</v>
      </c>
      <c r="BC87" s="695" t="s">
        <v>1535</v>
      </c>
      <c r="BD87" s="1284" t="s">
        <v>4418</v>
      </c>
    </row>
    <row r="88" spans="46:56" ht="12" thickBot="1" x14ac:dyDescent="0.3">
      <c r="AT88" s="1305">
        <v>11.1</v>
      </c>
      <c r="AU88" s="1284" t="s">
        <v>3492</v>
      </c>
      <c r="AW88" s="1052">
        <v>51.1</v>
      </c>
      <c r="AX88" s="1284" t="s">
        <v>3492</v>
      </c>
    </row>
    <row r="89" spans="46:56" ht="12" thickBot="1" x14ac:dyDescent="0.3">
      <c r="AT89" s="1288" t="s">
        <v>1596</v>
      </c>
      <c r="AU89" s="1284" t="s">
        <v>3492</v>
      </c>
      <c r="AW89" s="1052" t="s">
        <v>1537</v>
      </c>
      <c r="AX89" s="1284" t="s">
        <v>3492</v>
      </c>
    </row>
    <row r="90" spans="46:56" ht="12" thickBot="1" x14ac:dyDescent="0.3">
      <c r="AT90" s="1288" t="s">
        <v>1601</v>
      </c>
      <c r="AU90" s="1284" t="s">
        <v>3492</v>
      </c>
      <c r="AW90" s="1052" t="s">
        <v>1540</v>
      </c>
      <c r="AX90" s="1284" t="s">
        <v>3492</v>
      </c>
    </row>
    <row r="91" spans="46:56" ht="12" thickBot="1" x14ac:dyDescent="0.3">
      <c r="AT91" s="1288" t="s">
        <v>1605</v>
      </c>
      <c r="AU91" s="1284" t="s">
        <v>3492</v>
      </c>
      <c r="AW91" s="1052" t="s">
        <v>1548</v>
      </c>
      <c r="AX91" s="1284" t="s">
        <v>3492</v>
      </c>
    </row>
    <row r="92" spans="46:56" ht="12" thickBot="1" x14ac:dyDescent="0.3">
      <c r="AT92" s="1288" t="s">
        <v>1776</v>
      </c>
      <c r="AU92" s="1284" t="s">
        <v>3492</v>
      </c>
      <c r="AW92" s="1052" t="s">
        <v>1751</v>
      </c>
      <c r="AX92" s="1284" t="s">
        <v>3492</v>
      </c>
    </row>
    <row r="93" spans="46:56" ht="12" thickBot="1" x14ac:dyDescent="0.3">
      <c r="AT93" s="1288" t="s">
        <v>1777</v>
      </c>
      <c r="AU93" s="1284" t="s">
        <v>3492</v>
      </c>
      <c r="AW93" s="1052" t="s">
        <v>1559</v>
      </c>
      <c r="AX93" s="1284" t="s">
        <v>3492</v>
      </c>
    </row>
    <row r="94" spans="46:56" ht="12" thickBot="1" x14ac:dyDescent="0.3">
      <c r="AT94" s="1288" t="s">
        <v>1778</v>
      </c>
      <c r="AU94" s="1284" t="s">
        <v>3492</v>
      </c>
      <c r="AW94" s="1052" t="s">
        <v>1700</v>
      </c>
      <c r="AX94" s="1284" t="s">
        <v>3492</v>
      </c>
    </row>
    <row r="95" spans="46:56" ht="12" thickBot="1" x14ac:dyDescent="0.3">
      <c r="AT95" s="1288">
        <v>12</v>
      </c>
      <c r="AU95" s="1284" t="s">
        <v>3492</v>
      </c>
      <c r="AW95" s="1052">
        <v>52</v>
      </c>
      <c r="AX95" s="1284" t="s">
        <v>3492</v>
      </c>
    </row>
    <row r="96" spans="46:56" ht="12" thickBot="1" x14ac:dyDescent="0.3">
      <c r="AT96" s="694">
        <v>13</v>
      </c>
      <c r="AU96" s="1284" t="s">
        <v>3492</v>
      </c>
      <c r="AW96" s="1052">
        <v>53</v>
      </c>
      <c r="AX96" s="1284" t="s">
        <v>3492</v>
      </c>
    </row>
    <row r="97" spans="46:50" ht="12" thickBot="1" x14ac:dyDescent="0.3">
      <c r="AT97" s="2386">
        <v>13</v>
      </c>
      <c r="AU97" s="1284" t="s">
        <v>3492</v>
      </c>
      <c r="AW97" s="1052">
        <v>53.1</v>
      </c>
      <c r="AX97" s="1284" t="s">
        <v>3492</v>
      </c>
    </row>
    <row r="98" spans="46:50" ht="12" thickBot="1" x14ac:dyDescent="0.3">
      <c r="AW98" s="1052">
        <v>54</v>
      </c>
      <c r="AX98" s="1284" t="s">
        <v>3492</v>
      </c>
    </row>
    <row r="99" spans="46:50" ht="12" thickBot="1" x14ac:dyDescent="0.3">
      <c r="AW99" s="1052">
        <v>54.1</v>
      </c>
      <c r="AX99" s="1284" t="s">
        <v>3492</v>
      </c>
    </row>
    <row r="100" spans="46:50" ht="12" thickBot="1" x14ac:dyDescent="0.3">
      <c r="AW100" s="1052">
        <v>55</v>
      </c>
      <c r="AX100" s="1284" t="s">
        <v>3492</v>
      </c>
    </row>
    <row r="101" spans="46:50" ht="12" thickBot="1" x14ac:dyDescent="0.3">
      <c r="AW101" s="1052">
        <v>55.1</v>
      </c>
      <c r="AX101" s="1284" t="s">
        <v>3492</v>
      </c>
    </row>
    <row r="102" spans="46:50" ht="12" thickBot="1" x14ac:dyDescent="0.3">
      <c r="AW102" s="1052">
        <v>56</v>
      </c>
      <c r="AX102" s="1284" t="s">
        <v>3492</v>
      </c>
    </row>
    <row r="103" spans="46:50" ht="12" thickBot="1" x14ac:dyDescent="0.3">
      <c r="AW103" s="1052">
        <v>56.1</v>
      </c>
      <c r="AX103" s="1284" t="s">
        <v>3492</v>
      </c>
    </row>
    <row r="104" spans="46:50" ht="12" thickBot="1" x14ac:dyDescent="0.3">
      <c r="AW104" s="1052">
        <v>57</v>
      </c>
      <c r="AX104" s="1284" t="s">
        <v>3492</v>
      </c>
    </row>
    <row r="105" spans="46:50" ht="12" thickBot="1" x14ac:dyDescent="0.3">
      <c r="AW105" s="1052">
        <v>57.1</v>
      </c>
      <c r="AX105" s="1284" t="s">
        <v>3492</v>
      </c>
    </row>
    <row r="106" spans="46:50" ht="12" thickBot="1" x14ac:dyDescent="0.3">
      <c r="AW106" s="1052">
        <v>58</v>
      </c>
      <c r="AX106" s="1284" t="s">
        <v>3492</v>
      </c>
    </row>
    <row r="107" spans="46:50" ht="12" thickBot="1" x14ac:dyDescent="0.3">
      <c r="AW107" s="1052">
        <v>58.1</v>
      </c>
      <c r="AX107" s="1284" t="s">
        <v>3492</v>
      </c>
    </row>
    <row r="108" spans="46:50" ht="12" thickBot="1" x14ac:dyDescent="0.3">
      <c r="AW108" s="1052">
        <v>59</v>
      </c>
      <c r="AX108" s="1284" t="s">
        <v>3492</v>
      </c>
    </row>
    <row r="109" spans="46:50" ht="12" thickBot="1" x14ac:dyDescent="0.3">
      <c r="AW109" s="1052">
        <v>59.1</v>
      </c>
      <c r="AX109" s="1284" t="s">
        <v>3492</v>
      </c>
    </row>
    <row r="110" spans="46:50" ht="12" thickBot="1" x14ac:dyDescent="0.3">
      <c r="AW110" s="1052">
        <v>60</v>
      </c>
      <c r="AX110" s="1284" t="s">
        <v>3492</v>
      </c>
    </row>
    <row r="111" spans="46:50" ht="12" thickBot="1" x14ac:dyDescent="0.3">
      <c r="AW111" s="1052">
        <v>60.1</v>
      </c>
      <c r="AX111" s="1284" t="s">
        <v>3492</v>
      </c>
    </row>
    <row r="112" spans="46:50" ht="12" thickBot="1" x14ac:dyDescent="0.3">
      <c r="AW112" s="1052">
        <v>61</v>
      </c>
      <c r="AX112" s="1284" t="s">
        <v>3492</v>
      </c>
    </row>
    <row r="113" spans="1:50" ht="12" thickBot="1" x14ac:dyDescent="0.3">
      <c r="AW113" s="1052">
        <v>61.1</v>
      </c>
      <c r="AX113" s="1284" t="s">
        <v>3492</v>
      </c>
    </row>
    <row r="114" spans="1:50" ht="12" thickBot="1" x14ac:dyDescent="0.3">
      <c r="AW114" s="1052">
        <v>62</v>
      </c>
      <c r="AX114" s="1284" t="s">
        <v>3492</v>
      </c>
    </row>
    <row r="115" spans="1:50" ht="12" thickBot="1" x14ac:dyDescent="0.3">
      <c r="AW115" s="1052">
        <v>62.1</v>
      </c>
      <c r="AX115" s="1284" t="s">
        <v>3492</v>
      </c>
    </row>
    <row r="116" spans="1:50" ht="12" thickBot="1" x14ac:dyDescent="0.3">
      <c r="AW116" s="1052">
        <v>63</v>
      </c>
      <c r="AX116" s="1284" t="s">
        <v>3492</v>
      </c>
    </row>
    <row r="117" spans="1:50" ht="12" thickBot="1" x14ac:dyDescent="0.3">
      <c r="AW117" s="1052">
        <v>63.1</v>
      </c>
      <c r="AX117" s="1284" t="s">
        <v>3492</v>
      </c>
    </row>
    <row r="118" spans="1:50" ht="12" thickBot="1" x14ac:dyDescent="0.3">
      <c r="AW118" s="1052">
        <v>64</v>
      </c>
      <c r="AX118" s="1284" t="s">
        <v>3492</v>
      </c>
    </row>
    <row r="119" spans="1:50" ht="12" thickBot="1" x14ac:dyDescent="0.3">
      <c r="A119" s="8"/>
      <c r="B119" s="8"/>
      <c r="C119" s="8"/>
      <c r="D119" s="8"/>
      <c r="E119" s="8"/>
      <c r="F119" s="8"/>
      <c r="G119" s="8"/>
      <c r="H119" s="8"/>
      <c r="I119" s="8"/>
      <c r="J119" s="8"/>
      <c r="K119" s="8"/>
      <c r="L119" s="8"/>
      <c r="M119" s="8"/>
      <c r="N119" s="8"/>
      <c r="AW119" s="1052">
        <v>64.099999999999994</v>
      </c>
      <c r="AX119" s="1284" t="s">
        <v>3492</v>
      </c>
    </row>
    <row r="120" spans="1:50" x14ac:dyDescent="0.25">
      <c r="A120" s="8"/>
      <c r="B120" s="8"/>
      <c r="C120" s="8"/>
      <c r="D120" s="8"/>
      <c r="E120" s="8"/>
      <c r="F120" s="8"/>
      <c r="G120" s="8"/>
      <c r="H120" s="8"/>
      <c r="I120" s="8"/>
      <c r="J120" s="8"/>
      <c r="K120" s="8"/>
      <c r="L120" s="8"/>
      <c r="M120" s="8"/>
      <c r="N120" s="8"/>
    </row>
  </sheetData>
  <phoneticPr fontId="58" type="noConversion"/>
  <pageMargins left="0.19685039370078741" right="0.19685039370078741" top="0.19685039370078741" bottom="0.19685039370078741" header="0" footer="0"/>
  <pageSetup paperSize="9" scale="67" fitToWidth="2" orientation="landscape" horizontalDpi="1200" verticalDpi="1200" r:id="rId1"/>
  <headerFooter alignWithMargins="0">
    <oddFooter>&amp;C&amp;1#&amp;"Calibri"&amp;10&amp;K000000OFFICIAL-SENSITIVE</oddFooter>
  </headerFooter>
  <colBreaks count="1" manualBreakCount="1">
    <brk id="32" max="1048575" man="1"/>
  </colBreak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R42"/>
  <sheetViews>
    <sheetView showGridLines="0" showRowColHeaders="0" tabSelected="1" zoomScale="115" zoomScaleNormal="115" workbookViewId="0">
      <selection activeCell="H2" sqref="H2"/>
    </sheetView>
  </sheetViews>
  <sheetFormatPr defaultColWidth="9.1796875" defaultRowHeight="11.5" x14ac:dyDescent="0.25"/>
  <cols>
    <col min="1" max="1" width="2.453125" style="8" customWidth="1"/>
    <col min="2" max="2" width="0.81640625" style="8" customWidth="1"/>
    <col min="3" max="3" width="38.54296875" style="8" customWidth="1"/>
    <col min="4" max="4" width="5.1796875" style="8" customWidth="1"/>
    <col min="5" max="5" width="1.1796875" style="8" customWidth="1"/>
    <col min="6" max="6" width="1" style="8" customWidth="1"/>
    <col min="7" max="7" width="29.81640625" style="8" customWidth="1"/>
    <col min="8" max="8" width="5.1796875" style="8" customWidth="1"/>
    <col min="9" max="9" width="28.54296875" style="8" customWidth="1"/>
    <col min="10" max="10" width="5.1796875" style="8" customWidth="1"/>
    <col min="11" max="11" width="14" style="8" customWidth="1"/>
    <col min="12" max="12" width="5.81640625" style="8" customWidth="1"/>
    <col min="13" max="13" width="6.1796875" style="12" hidden="1" customWidth="1"/>
    <col min="14" max="14" width="32.1796875" style="8" hidden="1" customWidth="1"/>
    <col min="15" max="15" width="4.54296875" style="12" hidden="1" customWidth="1"/>
    <col min="16" max="16" width="5.54296875" style="8" hidden="1" customWidth="1"/>
    <col min="17" max="17" width="4.81640625" style="12" hidden="1" customWidth="1"/>
    <col min="18" max="18" width="5.54296875" style="8" hidden="1" customWidth="1"/>
    <col min="19" max="16384" width="9.1796875" style="8"/>
  </cols>
  <sheetData>
    <row r="1" spans="1:18" ht="5.25" customHeight="1" x14ac:dyDescent="0.25">
      <c r="A1" s="17"/>
      <c r="B1" s="17"/>
      <c r="C1" s="17"/>
      <c r="D1" s="17"/>
      <c r="E1" s="17"/>
      <c r="F1" s="17"/>
      <c r="G1" s="17"/>
      <c r="H1" s="17"/>
      <c r="I1" s="17"/>
      <c r="J1" s="17"/>
      <c r="K1" s="17"/>
      <c r="L1" s="17"/>
      <c r="M1" s="89"/>
      <c r="N1" s="17"/>
      <c r="O1" s="89"/>
    </row>
    <row r="2" spans="1:18" ht="12.75" customHeight="1" x14ac:dyDescent="0.25">
      <c r="A2" s="17"/>
      <c r="B2" s="17"/>
      <c r="C2" s="101" t="str">
        <f>"Tax Calculation for "&amp;tax_year</f>
        <v>Tax Calculation for 2025-26</v>
      </c>
      <c r="D2" s="101"/>
      <c r="E2" s="102"/>
      <c r="F2" s="102"/>
      <c r="G2" s="103" t="s">
        <v>9776</v>
      </c>
      <c r="H2" s="17"/>
      <c r="I2" s="102" t="s">
        <v>4592</v>
      </c>
      <c r="J2" s="17"/>
      <c r="K2" s="17"/>
      <c r="L2" s="17"/>
      <c r="M2" s="310"/>
      <c r="N2" s="226"/>
      <c r="O2" s="310"/>
      <c r="P2" s="226"/>
      <c r="Q2" s="310"/>
      <c r="R2" s="226"/>
    </row>
    <row r="3" spans="1:18" ht="15.75" customHeight="1" x14ac:dyDescent="0.25">
      <c r="A3" s="17"/>
      <c r="B3" s="17"/>
      <c r="C3" s="89" t="s">
        <v>4593</v>
      </c>
      <c r="D3" s="89"/>
      <c r="E3" s="17"/>
      <c r="F3" s="17"/>
      <c r="G3" s="103" t="s">
        <v>9768</v>
      </c>
      <c r="H3" s="17" t="s">
        <v>2927</v>
      </c>
      <c r="I3" s="91"/>
      <c r="J3" s="17"/>
      <c r="K3" s="17"/>
      <c r="L3" s="17"/>
      <c r="M3" s="310"/>
      <c r="N3" s="226"/>
      <c r="O3" s="310"/>
      <c r="P3" s="226"/>
      <c r="Q3" s="310"/>
      <c r="R3" s="226"/>
    </row>
    <row r="4" spans="1:18" ht="12.75" customHeight="1" x14ac:dyDescent="0.25">
      <c r="A4" s="17"/>
      <c r="B4" s="17"/>
      <c r="C4" s="1272"/>
      <c r="D4" s="101"/>
      <c r="E4" s="17"/>
      <c r="F4" s="17"/>
      <c r="G4" s="89" t="s">
        <v>4594</v>
      </c>
      <c r="H4" s="17"/>
      <c r="I4" s="89" t="s">
        <v>4595</v>
      </c>
      <c r="J4" s="17"/>
      <c r="K4" s="17"/>
      <c r="L4" s="17"/>
      <c r="M4" s="310"/>
      <c r="N4" s="226"/>
      <c r="O4" s="310"/>
      <c r="P4" s="226"/>
      <c r="Q4" s="310"/>
      <c r="R4" s="226"/>
    </row>
    <row r="5" spans="1:18" ht="12.75" customHeight="1" x14ac:dyDescent="0.25">
      <c r="A5" s="17"/>
      <c r="B5" s="17"/>
      <c r="C5" s="1272"/>
      <c r="D5" s="101"/>
      <c r="E5" s="17"/>
      <c r="F5" s="17"/>
      <c r="G5" s="1784"/>
      <c r="H5" s="17"/>
      <c r="I5" s="1785"/>
      <c r="J5" s="17"/>
      <c r="K5" s="17"/>
      <c r="L5" s="17"/>
      <c r="M5" s="310"/>
      <c r="N5" s="226"/>
      <c r="O5" s="310"/>
      <c r="P5" s="226"/>
      <c r="Q5" s="310"/>
      <c r="R5" s="226"/>
    </row>
    <row r="6" spans="1:18" ht="12.75" customHeight="1" x14ac:dyDescent="0.25">
      <c r="A6" s="17"/>
      <c r="B6" s="17"/>
      <c r="C6" s="1272"/>
      <c r="D6" s="101"/>
      <c r="E6" s="17"/>
      <c r="F6" s="17"/>
      <c r="G6" s="17"/>
      <c r="H6" s="17"/>
      <c r="I6" s="17"/>
      <c r="J6" s="17"/>
      <c r="K6" s="17"/>
      <c r="L6" s="17"/>
      <c r="M6" s="310"/>
      <c r="N6" s="226"/>
      <c r="O6" s="310"/>
      <c r="P6" s="226"/>
      <c r="Q6" s="310"/>
      <c r="R6" s="226"/>
    </row>
    <row r="7" spans="1:18" ht="12.75" customHeight="1" x14ac:dyDescent="0.25">
      <c r="A7" s="17"/>
      <c r="B7" s="17"/>
      <c r="C7" s="1272"/>
      <c r="D7" s="101"/>
      <c r="E7" s="17"/>
      <c r="F7" s="17"/>
      <c r="G7" s="17"/>
      <c r="H7" s="17"/>
      <c r="I7" s="17"/>
      <c r="J7" s="17"/>
      <c r="K7" s="17"/>
      <c r="L7" s="17"/>
      <c r="M7" s="310" t="s">
        <v>78</v>
      </c>
      <c r="N7" s="229" t="b">
        <v>0</v>
      </c>
      <c r="O7" s="340" t="s">
        <v>33</v>
      </c>
      <c r="P7" s="229" t="b">
        <v>0</v>
      </c>
      <c r="Q7" s="340" t="s">
        <v>86</v>
      </c>
      <c r="R7" s="229" t="b">
        <v>0</v>
      </c>
    </row>
    <row r="8" spans="1:18" ht="16.5" customHeight="1" x14ac:dyDescent="0.25">
      <c r="A8" s="17"/>
      <c r="B8" s="89" t="s">
        <v>4596</v>
      </c>
      <c r="C8" s="17"/>
      <c r="D8" s="104" t="s">
        <v>4597</v>
      </c>
      <c r="E8" s="17"/>
      <c r="F8" s="17"/>
      <c r="G8" s="89" t="s">
        <v>4598</v>
      </c>
      <c r="H8" s="104" t="s">
        <v>4597</v>
      </c>
      <c r="I8" s="17"/>
      <c r="J8" s="104" t="s">
        <v>4597</v>
      </c>
      <c r="K8" s="17"/>
      <c r="L8" s="17"/>
      <c r="M8" s="310" t="s">
        <v>23</v>
      </c>
      <c r="N8" s="229" t="b">
        <v>0</v>
      </c>
      <c r="O8" s="340" t="s">
        <v>34</v>
      </c>
      <c r="P8" s="229" t="b">
        <v>0</v>
      </c>
      <c r="Q8" s="340" t="s">
        <v>88</v>
      </c>
      <c r="R8" s="229" t="b">
        <v>0</v>
      </c>
    </row>
    <row r="9" spans="1:18" ht="16.5" customHeight="1" x14ac:dyDescent="0.25">
      <c r="A9" s="17"/>
      <c r="B9" s="1786"/>
      <c r="C9" s="1787"/>
      <c r="D9" s="1788"/>
      <c r="E9" s="17"/>
      <c r="F9" s="1789"/>
      <c r="G9" s="1787"/>
      <c r="H9" s="1787"/>
      <c r="I9" s="1787"/>
      <c r="J9" s="1788"/>
      <c r="K9" s="17"/>
      <c r="L9" s="17"/>
      <c r="M9" s="310" t="s">
        <v>80</v>
      </c>
      <c r="N9" s="229" t="b">
        <v>0</v>
      </c>
      <c r="O9" s="340" t="s">
        <v>36</v>
      </c>
      <c r="P9" s="229" t="b">
        <v>0</v>
      </c>
      <c r="Q9" s="340" t="s">
        <v>18</v>
      </c>
      <c r="R9" s="229" t="b">
        <v>0</v>
      </c>
    </row>
    <row r="10" spans="1:18" ht="11.25" customHeight="1" x14ac:dyDescent="0.25">
      <c r="A10" s="17"/>
      <c r="B10" s="638"/>
      <c r="C10" s="502" t="s">
        <v>4599</v>
      </c>
      <c r="D10" s="105"/>
      <c r="E10" s="17"/>
      <c r="F10" s="638"/>
      <c r="G10" s="17"/>
      <c r="H10" s="17"/>
      <c r="I10" s="17"/>
      <c r="J10" s="92"/>
      <c r="K10" s="17"/>
      <c r="L10" s="17"/>
      <c r="M10" s="310" t="s">
        <v>26</v>
      </c>
      <c r="N10" s="229" t="b">
        <v>0</v>
      </c>
      <c r="O10" s="340" t="s">
        <v>37</v>
      </c>
      <c r="P10" s="229" t="b">
        <v>0</v>
      </c>
      <c r="Q10" s="340" t="s">
        <v>19</v>
      </c>
      <c r="R10" s="229" t="b">
        <v>0</v>
      </c>
    </row>
    <row r="11" spans="1:18" ht="11.25" customHeight="1" x14ac:dyDescent="0.25">
      <c r="A11" s="17"/>
      <c r="B11" s="638"/>
      <c r="C11" s="17"/>
      <c r="D11" s="92"/>
      <c r="E11" s="17"/>
      <c r="F11" s="638"/>
      <c r="G11" s="17"/>
      <c r="H11" s="17"/>
      <c r="I11" s="17"/>
      <c r="J11" s="92"/>
      <c r="K11" s="17"/>
      <c r="L11" s="17"/>
      <c r="M11" s="310" t="s">
        <v>82</v>
      </c>
      <c r="N11" s="229" t="b">
        <v>0</v>
      </c>
      <c r="O11" s="340" t="s">
        <v>38</v>
      </c>
      <c r="P11" s="229" t="b">
        <v>0</v>
      </c>
      <c r="Q11" s="340" t="s">
        <v>20</v>
      </c>
      <c r="R11" s="229" t="b">
        <v>0</v>
      </c>
    </row>
    <row r="12" spans="1:18" ht="11.25" customHeight="1" x14ac:dyDescent="0.25">
      <c r="A12" s="17"/>
      <c r="B12" s="638"/>
      <c r="C12" s="17"/>
      <c r="D12" s="92"/>
      <c r="E12" s="17"/>
      <c r="F12" s="638"/>
      <c r="G12" s="17"/>
      <c r="H12" s="17"/>
      <c r="I12" s="17"/>
      <c r="J12" s="92"/>
      <c r="K12" s="17"/>
      <c r="L12" s="17"/>
      <c r="M12" s="310" t="s">
        <v>83</v>
      </c>
      <c r="N12" s="229" t="b">
        <v>0</v>
      </c>
      <c r="O12" s="310" t="s">
        <v>39</v>
      </c>
      <c r="P12" s="229" t="b">
        <v>0</v>
      </c>
      <c r="Q12" s="340"/>
      <c r="R12" s="226"/>
    </row>
    <row r="13" spans="1:18" ht="11.25" customHeight="1" x14ac:dyDescent="0.25">
      <c r="A13" s="17"/>
      <c r="B13" s="638"/>
      <c r="C13" s="17"/>
      <c r="D13" s="92"/>
      <c r="E13" s="17"/>
      <c r="F13" s="638"/>
      <c r="G13" s="17"/>
      <c r="H13" s="17"/>
      <c r="I13" s="17"/>
      <c r="J13" s="92"/>
      <c r="K13" s="17"/>
      <c r="L13" s="17"/>
      <c r="M13" s="310"/>
      <c r="N13" s="226"/>
      <c r="O13" s="310"/>
      <c r="P13" s="226"/>
      <c r="Q13" s="310"/>
      <c r="R13" s="226"/>
    </row>
    <row r="14" spans="1:18" ht="11.25" customHeight="1" x14ac:dyDescent="0.25">
      <c r="A14" s="17"/>
      <c r="B14" s="638"/>
      <c r="C14" s="17"/>
      <c r="D14" s="92"/>
      <c r="E14" s="17"/>
      <c r="F14" s="638"/>
      <c r="G14" s="17"/>
      <c r="H14" s="17"/>
      <c r="I14" s="17"/>
      <c r="J14" s="92"/>
      <c r="K14" s="17"/>
      <c r="L14" s="17"/>
      <c r="M14" s="310"/>
      <c r="N14" s="226"/>
      <c r="O14" s="310"/>
      <c r="P14" s="226"/>
      <c r="Q14" s="310"/>
      <c r="R14" s="226"/>
    </row>
    <row r="15" spans="1:18" ht="11.25" customHeight="1" x14ac:dyDescent="0.25">
      <c r="A15" s="17"/>
      <c r="B15" s="638"/>
      <c r="C15" s="17"/>
      <c r="D15" s="92"/>
      <c r="E15" s="17"/>
      <c r="F15" s="638"/>
      <c r="G15" s="17"/>
      <c r="H15" s="17"/>
      <c r="I15" s="17"/>
      <c r="J15" s="92"/>
      <c r="K15" s="17"/>
      <c r="L15" s="17"/>
      <c r="M15" s="310"/>
      <c r="N15" s="226"/>
      <c r="O15" s="310"/>
      <c r="P15" s="226"/>
      <c r="Q15" s="310"/>
      <c r="R15" s="226"/>
    </row>
    <row r="16" spans="1:18" ht="11.25" customHeight="1" x14ac:dyDescent="0.25">
      <c r="A16" s="17"/>
      <c r="B16" s="638"/>
      <c r="C16" s="17"/>
      <c r="D16" s="92"/>
      <c r="E16" s="17"/>
      <c r="F16" s="638"/>
      <c r="G16" s="17"/>
      <c r="H16" s="17"/>
      <c r="I16" s="17"/>
      <c r="J16" s="92"/>
      <c r="K16" s="17"/>
      <c r="L16" s="17"/>
      <c r="M16" s="310"/>
      <c r="N16" s="226"/>
      <c r="O16" s="310"/>
      <c r="P16" s="226"/>
      <c r="Q16" s="310"/>
      <c r="R16" s="226"/>
    </row>
    <row r="17" spans="1:18" ht="11.25" customHeight="1" x14ac:dyDescent="0.25">
      <c r="A17" s="17"/>
      <c r="B17" s="638"/>
      <c r="C17" s="17"/>
      <c r="D17" s="92"/>
      <c r="E17" s="17"/>
      <c r="F17" s="638"/>
      <c r="G17" s="17"/>
      <c r="H17" s="17"/>
      <c r="I17" s="17"/>
      <c r="J17" s="92"/>
      <c r="K17" s="17"/>
      <c r="L17" s="17"/>
      <c r="M17" s="310"/>
      <c r="N17" s="226"/>
      <c r="O17" s="310"/>
      <c r="P17" s="226"/>
      <c r="Q17" s="310"/>
      <c r="R17" s="226"/>
    </row>
    <row r="18" spans="1:18" ht="11.25" customHeight="1" x14ac:dyDescent="0.25">
      <c r="A18" s="17"/>
      <c r="B18" s="638"/>
      <c r="C18" s="17"/>
      <c r="D18" s="92"/>
      <c r="E18" s="17"/>
      <c r="F18" s="638"/>
      <c r="G18" s="17"/>
      <c r="H18" s="17"/>
      <c r="I18" s="17"/>
      <c r="J18" s="92"/>
      <c r="K18" s="17"/>
      <c r="L18" s="17"/>
      <c r="M18" s="310"/>
      <c r="N18" s="226"/>
      <c r="O18" s="310"/>
      <c r="P18" s="226"/>
      <c r="Q18" s="310"/>
      <c r="R18" s="226"/>
    </row>
    <row r="19" spans="1:18" ht="5.25" customHeight="1" x14ac:dyDescent="0.25">
      <c r="A19" s="17"/>
      <c r="B19" s="638"/>
      <c r="C19" s="17"/>
      <c r="D19" s="92"/>
      <c r="E19" s="17"/>
      <c r="F19" s="638"/>
      <c r="G19" s="17"/>
      <c r="H19" s="17"/>
      <c r="I19" s="17"/>
      <c r="J19" s="92"/>
      <c r="K19" s="17"/>
      <c r="L19" s="17"/>
      <c r="M19" s="310"/>
      <c r="N19" s="226"/>
      <c r="O19" s="310"/>
      <c r="P19" s="226"/>
      <c r="Q19" s="310"/>
      <c r="R19" s="226"/>
    </row>
    <row r="20" spans="1:18" ht="5.25" customHeight="1" x14ac:dyDescent="0.25">
      <c r="A20" s="17"/>
      <c r="B20" s="1790"/>
      <c r="C20" s="1791"/>
      <c r="D20" s="1792"/>
      <c r="E20" s="17"/>
      <c r="F20" s="1790"/>
      <c r="G20" s="1791"/>
      <c r="H20" s="1791"/>
      <c r="I20" s="1791"/>
      <c r="J20" s="1792"/>
      <c r="K20" s="17"/>
      <c r="L20" s="17"/>
      <c r="M20" s="310"/>
      <c r="N20" s="226"/>
      <c r="O20" s="310"/>
      <c r="P20" s="226"/>
      <c r="Q20" s="310"/>
      <c r="R20" s="226"/>
    </row>
    <row r="21" spans="1:18" ht="6.75" customHeight="1" x14ac:dyDescent="0.25">
      <c r="A21" s="17"/>
      <c r="B21" s="17"/>
      <c r="C21" s="17"/>
      <c r="D21" s="17"/>
      <c r="E21" s="17"/>
      <c r="F21" s="17"/>
      <c r="G21" s="17"/>
      <c r="H21" s="17"/>
      <c r="I21" s="17"/>
      <c r="J21" s="17"/>
      <c r="K21" s="17"/>
      <c r="L21" s="17"/>
      <c r="M21" s="310"/>
      <c r="N21" s="226"/>
      <c r="O21" s="310"/>
      <c r="P21" s="226"/>
      <c r="Q21" s="310"/>
      <c r="R21" s="226"/>
    </row>
    <row r="22" spans="1:18" ht="11.25" customHeight="1" x14ac:dyDescent="0.25">
      <c r="A22" s="17"/>
      <c r="B22" s="17"/>
      <c r="C22" s="17"/>
      <c r="D22" s="17"/>
      <c r="E22" s="17"/>
      <c r="F22" s="17"/>
      <c r="G22" s="17"/>
      <c r="H22" s="17"/>
      <c r="I22" s="17"/>
      <c r="J22" s="17"/>
      <c r="K22" s="17"/>
      <c r="L22" s="17"/>
      <c r="M22" s="310"/>
      <c r="N22" s="226"/>
      <c r="O22" s="310"/>
      <c r="P22" s="226"/>
      <c r="Q22" s="310"/>
      <c r="R22" s="226"/>
    </row>
    <row r="23" spans="1:18" ht="12.75" customHeight="1" x14ac:dyDescent="0.25">
      <c r="A23" s="17"/>
      <c r="B23" s="17"/>
      <c r="C23" s="17"/>
      <c r="D23" s="17"/>
      <c r="E23" s="17"/>
      <c r="F23" s="17"/>
      <c r="G23" s="17"/>
      <c r="H23" s="17"/>
      <c r="I23" s="17"/>
      <c r="J23" s="17"/>
      <c r="K23" s="17"/>
      <c r="L23" s="17"/>
      <c r="M23" s="310"/>
      <c r="N23" s="226"/>
      <c r="O23" s="310"/>
      <c r="P23" s="226"/>
      <c r="Q23" s="310"/>
      <c r="R23" s="226"/>
    </row>
    <row r="24" spans="1:18" ht="12.75" customHeight="1" x14ac:dyDescent="0.25">
      <c r="A24" s="17"/>
      <c r="B24" s="17"/>
      <c r="C24" s="17"/>
      <c r="D24" s="17"/>
      <c r="E24" s="17"/>
      <c r="F24" s="17"/>
      <c r="G24" s="17"/>
      <c r="H24" s="17"/>
      <c r="I24" s="17"/>
      <c r="J24" s="17"/>
      <c r="K24" s="17"/>
      <c r="L24" s="17"/>
      <c r="M24" s="229" t="b">
        <v>0</v>
      </c>
      <c r="N24" s="340" t="s">
        <v>4600</v>
      </c>
      <c r="O24" s="340"/>
      <c r="P24" s="226"/>
      <c r="Q24" s="310"/>
      <c r="R24" s="226"/>
    </row>
    <row r="25" spans="1:18" ht="11.25" customHeight="1" x14ac:dyDescent="0.25">
      <c r="A25" s="17"/>
      <c r="B25" s="17"/>
      <c r="C25" s="17"/>
      <c r="D25" s="17"/>
      <c r="E25" s="17"/>
      <c r="F25" s="17"/>
      <c r="G25" s="17"/>
      <c r="H25" s="17"/>
      <c r="I25" s="126" t="s">
        <v>4601</v>
      </c>
      <c r="J25" s="17"/>
      <c r="K25" s="17"/>
      <c r="L25" s="17"/>
      <c r="M25" s="310"/>
      <c r="N25" s="226"/>
      <c r="O25" s="310"/>
      <c r="P25" s="226"/>
      <c r="Q25" s="310"/>
      <c r="R25" s="226"/>
    </row>
    <row r="26" spans="1:18" ht="12.75" customHeight="1" x14ac:dyDescent="0.25">
      <c r="A26" s="17"/>
      <c r="B26" s="17"/>
      <c r="C26" s="17"/>
      <c r="D26" s="17"/>
      <c r="E26" s="17"/>
      <c r="F26" s="17"/>
      <c r="G26" s="17"/>
      <c r="H26" s="17"/>
      <c r="I26" s="104" t="str">
        <f>"working sheets "&amp;IF(M24,"are currently visible","are currently hidden")</f>
        <v>working sheets are currently hidden</v>
      </c>
      <c r="J26" s="17"/>
      <c r="K26" s="17"/>
      <c r="L26" s="17"/>
      <c r="M26" s="310"/>
      <c r="N26" s="226"/>
      <c r="O26" s="310"/>
      <c r="P26" s="226"/>
      <c r="Q26" s="310"/>
      <c r="R26" s="226"/>
    </row>
    <row r="27" spans="1:18" x14ac:dyDescent="0.25">
      <c r="A27" s="17"/>
      <c r="B27" s="17"/>
      <c r="C27" s="17"/>
      <c r="D27" s="17"/>
      <c r="E27" s="17"/>
      <c r="F27" s="17"/>
      <c r="G27" s="17"/>
      <c r="H27" s="17"/>
      <c r="I27" s="17"/>
      <c r="J27" s="17"/>
      <c r="K27" s="17"/>
      <c r="L27" s="17"/>
      <c r="M27" s="310"/>
      <c r="N27" s="226"/>
      <c r="O27" s="310"/>
      <c r="P27" s="226"/>
      <c r="Q27" s="310"/>
      <c r="R27" s="226"/>
    </row>
    <row r="28" spans="1:18" x14ac:dyDescent="0.25">
      <c r="A28" s="17"/>
      <c r="B28" s="17"/>
      <c r="C28" s="17"/>
      <c r="D28" s="17"/>
      <c r="E28" s="17"/>
      <c r="F28" s="17"/>
      <c r="G28" s="17"/>
      <c r="H28" s="17"/>
      <c r="I28" s="126"/>
      <c r="J28" s="17"/>
      <c r="K28" s="17"/>
      <c r="L28" s="17"/>
      <c r="M28" s="310"/>
      <c r="N28" s="226"/>
      <c r="O28" s="310"/>
      <c r="P28" s="226"/>
      <c r="Q28" s="310"/>
      <c r="R28" s="226"/>
    </row>
    <row r="29" spans="1:18" x14ac:dyDescent="0.25">
      <c r="A29" s="17"/>
      <c r="B29" s="17"/>
      <c r="C29" s="17"/>
      <c r="D29" s="17"/>
      <c r="E29" s="17"/>
      <c r="F29" s="17"/>
      <c r="G29" s="17"/>
      <c r="H29" s="17"/>
      <c r="I29" s="104"/>
      <c r="J29" s="17"/>
      <c r="K29" s="17"/>
      <c r="L29" s="17"/>
      <c r="M29" s="310"/>
      <c r="N29" s="226"/>
      <c r="O29" s="310"/>
      <c r="P29" s="226"/>
      <c r="Q29" s="310"/>
      <c r="R29" s="226"/>
    </row>
    <row r="30" spans="1:18" x14ac:dyDescent="0.25">
      <c r="A30" s="17"/>
      <c r="B30" s="17"/>
      <c r="C30" s="17"/>
      <c r="D30" s="17"/>
      <c r="E30" s="17"/>
      <c r="F30" s="17"/>
      <c r="G30" s="17"/>
      <c r="H30" s="341"/>
      <c r="I30" s="342"/>
      <c r="J30" s="343"/>
      <c r="K30" s="17"/>
      <c r="L30" s="17"/>
      <c r="M30" s="310"/>
      <c r="N30" s="226"/>
      <c r="O30" s="310"/>
      <c r="P30" s="226"/>
      <c r="Q30" s="310"/>
      <c r="R30" s="226"/>
    </row>
    <row r="31" spans="1:18" x14ac:dyDescent="0.25">
      <c r="A31" s="17"/>
      <c r="B31" s="17"/>
      <c r="C31" s="17"/>
      <c r="D31" s="17"/>
      <c r="E31" s="17"/>
      <c r="F31" s="17"/>
      <c r="G31" s="17"/>
      <c r="H31" s="344"/>
      <c r="I31" s="17" t="str">
        <f>IF(M35,"in-year repayment","")</f>
        <v/>
      </c>
      <c r="J31" s="345"/>
      <c r="K31" s="17"/>
      <c r="L31" s="17"/>
      <c r="M31" s="310"/>
      <c r="N31" s="226"/>
      <c r="O31" s="310"/>
      <c r="P31" s="226"/>
      <c r="Q31" s="310"/>
      <c r="R31" s="226"/>
    </row>
    <row r="32" spans="1:18" x14ac:dyDescent="0.25">
      <c r="A32" s="17"/>
      <c r="B32" s="17"/>
      <c r="C32" s="17"/>
      <c r="D32" s="17"/>
      <c r="E32" s="17"/>
      <c r="F32" s="17"/>
      <c r="G32" s="17"/>
      <c r="H32" s="344"/>
      <c r="I32" s="17"/>
      <c r="J32" s="345"/>
      <c r="K32" s="17"/>
      <c r="L32" s="17"/>
      <c r="M32" s="310"/>
      <c r="N32" s="226"/>
      <c r="O32" s="310"/>
      <c r="P32" s="226"/>
      <c r="Q32" s="310"/>
      <c r="R32" s="226"/>
    </row>
    <row r="33" spans="1:18" x14ac:dyDescent="0.25">
      <c r="A33" s="17"/>
      <c r="B33" s="17"/>
      <c r="C33" s="17"/>
      <c r="D33" s="17"/>
      <c r="E33" s="17"/>
      <c r="F33" s="17"/>
      <c r="G33" s="17"/>
      <c r="H33" s="344"/>
      <c r="I33" s="17"/>
      <c r="J33" s="345"/>
      <c r="K33" s="17"/>
      <c r="L33" s="17"/>
      <c r="M33" s="310"/>
      <c r="N33" s="226"/>
      <c r="O33" s="310"/>
      <c r="P33" s="226"/>
      <c r="Q33" s="310"/>
      <c r="R33" s="226"/>
    </row>
    <row r="34" spans="1:18" x14ac:dyDescent="0.25">
      <c r="A34" s="17"/>
      <c r="B34" s="17"/>
      <c r="C34" s="224"/>
      <c r="D34" s="224"/>
      <c r="E34" s="17"/>
      <c r="F34" s="17"/>
      <c r="G34" s="17"/>
      <c r="H34" s="344"/>
      <c r="I34" s="17"/>
      <c r="J34" s="345"/>
      <c r="K34" s="17"/>
      <c r="L34" s="17"/>
      <c r="M34" s="310"/>
      <c r="N34" s="226"/>
      <c r="O34" s="310"/>
      <c r="P34" s="226"/>
      <c r="Q34" s="310"/>
      <c r="R34" s="226"/>
    </row>
    <row r="35" spans="1:18" x14ac:dyDescent="0.25">
      <c r="A35" s="17"/>
      <c r="B35" s="17"/>
      <c r="C35" s="17"/>
      <c r="D35" s="17"/>
      <c r="E35" s="17"/>
      <c r="F35" s="17"/>
      <c r="G35" s="17"/>
      <c r="H35" s="346"/>
      <c r="I35" s="226"/>
      <c r="J35" s="347"/>
      <c r="K35" s="17"/>
      <c r="L35" s="17" t="b">
        <v>0</v>
      </c>
      <c r="M35" s="229" t="b">
        <v>0</v>
      </c>
      <c r="N35" s="340" t="s">
        <v>4602</v>
      </c>
      <c r="O35" s="310"/>
      <c r="P35" s="226"/>
      <c r="Q35" s="310"/>
      <c r="R35" s="226"/>
    </row>
    <row r="36" spans="1:18" x14ac:dyDescent="0.25">
      <c r="A36" s="17"/>
      <c r="B36" s="17"/>
      <c r="C36" s="17"/>
      <c r="D36" s="17"/>
      <c r="E36" s="17"/>
      <c r="F36" s="17"/>
      <c r="G36" s="17"/>
      <c r="H36" s="344"/>
      <c r="I36" s="1784"/>
      <c r="J36" s="345"/>
      <c r="K36" s="17"/>
      <c r="L36" s="17"/>
      <c r="M36" s="229"/>
      <c r="N36" s="340"/>
      <c r="O36" s="310"/>
      <c r="P36" s="226"/>
      <c r="Q36" s="310"/>
      <c r="R36" s="226"/>
    </row>
    <row r="37" spans="1:18" x14ac:dyDescent="0.25">
      <c r="A37" s="17"/>
      <c r="B37" s="17"/>
      <c r="C37" s="17"/>
      <c r="D37" s="17"/>
      <c r="E37" s="17"/>
      <c r="F37" s="17"/>
      <c r="G37" s="17"/>
      <c r="H37" s="348"/>
      <c r="I37" s="349"/>
      <c r="J37" s="350"/>
      <c r="K37" s="17"/>
      <c r="L37" s="17"/>
      <c r="M37" s="229"/>
      <c r="N37" s="340"/>
      <c r="O37" s="310"/>
      <c r="P37" s="226"/>
      <c r="Q37" s="310"/>
      <c r="R37" s="226"/>
    </row>
    <row r="38" spans="1:18" x14ac:dyDescent="0.25">
      <c r="A38" s="17"/>
      <c r="B38" s="17"/>
      <c r="C38" s="17"/>
      <c r="D38" s="17"/>
      <c r="E38" s="17"/>
      <c r="F38" s="17"/>
      <c r="G38" s="17"/>
      <c r="H38" s="226"/>
      <c r="I38" s="226"/>
      <c r="J38" s="226"/>
      <c r="K38" s="17"/>
      <c r="L38" s="17"/>
      <c r="M38" s="229"/>
      <c r="N38" s="340"/>
      <c r="O38" s="310"/>
      <c r="P38" s="226"/>
      <c r="Q38" s="310"/>
      <c r="R38" s="226"/>
    </row>
    <row r="39" spans="1:18" x14ac:dyDescent="0.25">
      <c r="A39" s="226"/>
      <c r="B39" s="226"/>
      <c r="C39" s="226"/>
      <c r="D39" s="226"/>
      <c r="E39" s="226"/>
      <c r="F39" s="226"/>
      <c r="G39" s="226"/>
      <c r="H39" s="226"/>
      <c r="I39" s="226"/>
      <c r="J39" s="226"/>
      <c r="K39" s="226"/>
      <c r="L39" s="226"/>
      <c r="M39" s="310"/>
      <c r="N39" s="226"/>
      <c r="O39" s="310"/>
      <c r="P39" s="226"/>
      <c r="Q39" s="310"/>
      <c r="R39" s="226"/>
    </row>
    <row r="40" spans="1:18" x14ac:dyDescent="0.25">
      <c r="A40" s="17"/>
      <c r="B40" s="17"/>
      <c r="C40" s="17"/>
      <c r="D40" s="17"/>
      <c r="E40" s="17"/>
      <c r="F40" s="17"/>
      <c r="G40" s="17"/>
      <c r="H40" s="226"/>
      <c r="I40" s="226"/>
      <c r="J40" s="226"/>
      <c r="K40" s="17"/>
      <c r="L40" s="17"/>
      <c r="M40" s="310"/>
      <c r="N40" s="226"/>
      <c r="O40" s="310"/>
      <c r="P40" s="226"/>
      <c r="Q40" s="310"/>
      <c r="R40" s="226"/>
    </row>
    <row r="41" spans="1:18" x14ac:dyDescent="0.25">
      <c r="A41" s="226"/>
      <c r="B41" s="226"/>
      <c r="C41" s="226"/>
      <c r="D41" s="226"/>
      <c r="E41" s="226"/>
      <c r="F41" s="226"/>
      <c r="G41" s="226"/>
      <c r="H41" s="226"/>
      <c r="I41" s="226"/>
      <c r="J41" s="226"/>
      <c r="K41" s="226"/>
      <c r="L41" s="226"/>
      <c r="M41" s="310"/>
      <c r="N41" s="226"/>
      <c r="O41" s="310"/>
      <c r="P41" s="226"/>
      <c r="Q41" s="310"/>
      <c r="R41" s="226"/>
    </row>
    <row r="42" spans="1:18" x14ac:dyDescent="0.25">
      <c r="A42" s="226"/>
      <c r="B42" s="226"/>
      <c r="C42" s="226"/>
      <c r="D42" s="226"/>
      <c r="E42" s="226"/>
      <c r="F42" s="226"/>
      <c r="G42" s="226"/>
      <c r="H42" s="226"/>
      <c r="I42" s="226"/>
      <c r="J42" s="226"/>
      <c r="K42" s="226"/>
      <c r="L42" s="226"/>
    </row>
  </sheetData>
  <phoneticPr fontId="58" type="noConversion"/>
  <pageMargins left="0.75" right="0.75" top="1" bottom="1" header="0.5" footer="0.5"/>
  <pageSetup paperSize="9" orientation="portrait"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208" r:id="rId4" name="Check Box 56">
              <controlPr defaultSize="0" autoFill="0" autoLine="0" autoPict="0" macro="[0]!Show_EMP" altText="Tick box to select Employment page.">
                <anchor moveWithCells="1">
                  <from>
                    <xdr:col>7</xdr:col>
                    <xdr:colOff>69850</xdr:colOff>
                    <xdr:row>8</xdr:row>
                    <xdr:rowOff>31750</xdr:rowOff>
                  </from>
                  <to>
                    <xdr:col>8</xdr:col>
                    <xdr:colOff>31750</xdr:colOff>
                    <xdr:row>9</xdr:row>
                    <xdr:rowOff>38100</xdr:rowOff>
                  </to>
                </anchor>
              </controlPr>
            </control>
          </mc:Choice>
        </mc:AlternateContent>
        <mc:AlternateContent xmlns:mc="http://schemas.openxmlformats.org/markup-compatibility/2006">
          <mc:Choice Requires="x14">
            <control shapeId="49209" r:id="rId5" name="Check Box 57">
              <controlPr defaultSize="0" autoFill="0" autoLine="0" autoPict="0" macro="[0]!Show_MOR" altText="Tick box to select Ministers of Religion page.">
                <anchor moveWithCells="1">
                  <from>
                    <xdr:col>7</xdr:col>
                    <xdr:colOff>69850</xdr:colOff>
                    <xdr:row>9</xdr:row>
                    <xdr:rowOff>107950</xdr:rowOff>
                  </from>
                  <to>
                    <xdr:col>8</xdr:col>
                    <xdr:colOff>31750</xdr:colOff>
                    <xdr:row>11</xdr:row>
                    <xdr:rowOff>38100</xdr:rowOff>
                  </to>
                </anchor>
              </controlPr>
            </control>
          </mc:Choice>
        </mc:AlternateContent>
        <mc:AlternateContent xmlns:mc="http://schemas.openxmlformats.org/markup-compatibility/2006">
          <mc:Choice Requires="x14">
            <control shapeId="49210" r:id="rId6" name="Check Box 58">
              <controlPr defaultSize="0" autoFill="0" autoLine="0" autoPict="0" macro="[0]!Show_SE" altText="Tick box to select Self employment page.">
                <anchor moveWithCells="1">
                  <from>
                    <xdr:col>7</xdr:col>
                    <xdr:colOff>69850</xdr:colOff>
                    <xdr:row>11</xdr:row>
                    <xdr:rowOff>76200</xdr:rowOff>
                  </from>
                  <to>
                    <xdr:col>8</xdr:col>
                    <xdr:colOff>38100</xdr:colOff>
                    <xdr:row>13</xdr:row>
                    <xdr:rowOff>31750</xdr:rowOff>
                  </to>
                </anchor>
              </controlPr>
            </control>
          </mc:Choice>
        </mc:AlternateContent>
        <mc:AlternateContent xmlns:mc="http://schemas.openxmlformats.org/markup-compatibility/2006">
          <mc:Choice Requires="x14">
            <control shapeId="49211" r:id="rId7" name="Check Box 59">
              <controlPr defaultSize="0" autoFill="0" autoLine="0" autoPict="0" macro="[0]!Show_PS" altText="Tick box to select Partnership page.">
                <anchor moveWithCells="1">
                  <from>
                    <xdr:col>7</xdr:col>
                    <xdr:colOff>69850</xdr:colOff>
                    <xdr:row>15</xdr:row>
                    <xdr:rowOff>38100</xdr:rowOff>
                  </from>
                  <to>
                    <xdr:col>8</xdr:col>
                    <xdr:colOff>38100</xdr:colOff>
                    <xdr:row>16</xdr:row>
                    <xdr:rowOff>114300</xdr:rowOff>
                  </to>
                </anchor>
              </controlPr>
            </control>
          </mc:Choice>
        </mc:AlternateContent>
        <mc:AlternateContent xmlns:mc="http://schemas.openxmlformats.org/markup-compatibility/2006">
          <mc:Choice Requires="x14">
            <control shapeId="49212" r:id="rId8" name="Check Box 60">
              <controlPr defaultSize="0" autoFill="0" autoLine="0" autoPict="0" macro="[0]!Show_FOR" altText="Tick box to select Foreign page.">
                <anchor moveWithCells="1">
                  <from>
                    <xdr:col>9</xdr:col>
                    <xdr:colOff>76200</xdr:colOff>
                    <xdr:row>9</xdr:row>
                    <xdr:rowOff>107950</xdr:rowOff>
                  </from>
                  <to>
                    <xdr:col>10</xdr:col>
                    <xdr:colOff>38100</xdr:colOff>
                    <xdr:row>11</xdr:row>
                    <xdr:rowOff>31750</xdr:rowOff>
                  </to>
                </anchor>
              </controlPr>
            </control>
          </mc:Choice>
        </mc:AlternateContent>
        <mc:AlternateContent xmlns:mc="http://schemas.openxmlformats.org/markup-compatibility/2006">
          <mc:Choice Requires="x14">
            <control shapeId="49213" r:id="rId9" name="Check Box 61">
              <controlPr defaultSize="0" autoFill="0" autoLine="0" autoPict="0" macro="[0]!Show_TRU" altText="Tick box to select Trusts and Estates page.">
                <anchor moveWithCells="1">
                  <from>
                    <xdr:col>9</xdr:col>
                    <xdr:colOff>76200</xdr:colOff>
                    <xdr:row>11</xdr:row>
                    <xdr:rowOff>69850</xdr:rowOff>
                  </from>
                  <to>
                    <xdr:col>10</xdr:col>
                    <xdr:colOff>38100</xdr:colOff>
                    <xdr:row>13</xdr:row>
                    <xdr:rowOff>0</xdr:rowOff>
                  </to>
                </anchor>
              </controlPr>
            </control>
          </mc:Choice>
        </mc:AlternateContent>
        <mc:AlternateContent xmlns:mc="http://schemas.openxmlformats.org/markup-compatibility/2006">
          <mc:Choice Requires="x14">
            <control shapeId="49214" r:id="rId10" name="Check Box 62">
              <controlPr defaultSize="0" autoFill="0" autoLine="0" autoPict="0" macro="[0]!Show_CGT" altText="Tick box to select Capital Gains page.">
                <anchor moveWithCells="1">
                  <from>
                    <xdr:col>9</xdr:col>
                    <xdr:colOff>76200</xdr:colOff>
                    <xdr:row>13</xdr:row>
                    <xdr:rowOff>38100</xdr:rowOff>
                  </from>
                  <to>
                    <xdr:col>10</xdr:col>
                    <xdr:colOff>38100</xdr:colOff>
                    <xdr:row>14</xdr:row>
                    <xdr:rowOff>127000</xdr:rowOff>
                  </to>
                </anchor>
              </controlPr>
            </control>
          </mc:Choice>
        </mc:AlternateContent>
        <mc:AlternateContent xmlns:mc="http://schemas.openxmlformats.org/markup-compatibility/2006">
          <mc:Choice Requires="x14">
            <control shapeId="49215" r:id="rId11" name="Check Box 63">
              <controlPr defaultSize="0" autoFill="0" autoLine="0" autoPict="0" macro="[0]!Show_PRO" altText="Tick box to select Income from property page.">
                <anchor moveWithCells="1">
                  <from>
                    <xdr:col>9</xdr:col>
                    <xdr:colOff>76200</xdr:colOff>
                    <xdr:row>8</xdr:row>
                    <xdr:rowOff>31750</xdr:rowOff>
                  </from>
                  <to>
                    <xdr:col>10</xdr:col>
                    <xdr:colOff>38100</xdr:colOff>
                    <xdr:row>9</xdr:row>
                    <xdr:rowOff>38100</xdr:rowOff>
                  </to>
                </anchor>
              </controlPr>
            </control>
          </mc:Choice>
        </mc:AlternateContent>
        <mc:AlternateContent xmlns:mc="http://schemas.openxmlformats.org/markup-compatibility/2006">
          <mc:Choice Requires="x14">
            <control shapeId="49216" r:id="rId12" name="Check Box 64">
              <controlPr defaultSize="0" autoFill="0" autoLine="0" autoPict="0" macro="[0]!Show_LUN" altText="Tick box to select Lloyds Underwriters page.">
                <anchor moveWithCells="1">
                  <from>
                    <xdr:col>7</xdr:col>
                    <xdr:colOff>69850</xdr:colOff>
                    <xdr:row>13</xdr:row>
                    <xdr:rowOff>69850</xdr:rowOff>
                  </from>
                  <to>
                    <xdr:col>8</xdr:col>
                    <xdr:colOff>38100</xdr:colOff>
                    <xdr:row>15</xdr:row>
                    <xdr:rowOff>12700</xdr:rowOff>
                  </to>
                </anchor>
              </controlPr>
            </control>
          </mc:Choice>
        </mc:AlternateContent>
        <mc:AlternateContent xmlns:mc="http://schemas.openxmlformats.org/markup-compatibility/2006">
          <mc:Choice Requires="x14">
            <control shapeId="49217" r:id="rId13" name="Button 65">
              <controlPr defaultSize="0" print="0" autoFill="0" autoPict="0" macro="[0]!clear_all">
                <anchor moveWithCells="1" sizeWithCells="1">
                  <from>
                    <xdr:col>1</xdr:col>
                    <xdr:colOff>50800</xdr:colOff>
                    <xdr:row>21</xdr:row>
                    <xdr:rowOff>69850</xdr:rowOff>
                  </from>
                  <to>
                    <xdr:col>2</xdr:col>
                    <xdr:colOff>1593850</xdr:colOff>
                    <xdr:row>23</xdr:row>
                    <xdr:rowOff>69850</xdr:rowOff>
                  </to>
                </anchor>
              </controlPr>
            </control>
          </mc:Choice>
        </mc:AlternateContent>
        <mc:AlternateContent xmlns:mc="http://schemas.openxmlformats.org/markup-compatibility/2006">
          <mc:Choice Requires="x14">
            <control shapeId="49218" r:id="rId14" name="Button 66">
              <controlPr defaultSize="0" print="0" autoFill="0" autoPict="0" macro="[0]!Calculate_now">
                <anchor moveWithCells="1">
                  <from>
                    <xdr:col>2</xdr:col>
                    <xdr:colOff>2019300</xdr:colOff>
                    <xdr:row>21</xdr:row>
                    <xdr:rowOff>50800</xdr:rowOff>
                  </from>
                  <to>
                    <xdr:col>6</xdr:col>
                    <xdr:colOff>1212850</xdr:colOff>
                    <xdr:row>23</xdr:row>
                    <xdr:rowOff>76200</xdr:rowOff>
                  </to>
                </anchor>
              </controlPr>
            </control>
          </mc:Choice>
        </mc:AlternateContent>
        <mc:AlternateContent xmlns:mc="http://schemas.openxmlformats.org/markup-compatibility/2006">
          <mc:Choice Requires="x14">
            <control shapeId="49219" r:id="rId15" name="Button 67">
              <controlPr defaultSize="0" print="0" autoFill="0" autoPict="0" macro="[0]!toggle_C_boxes">
                <anchor moveWithCells="1" sizeWithCells="1">
                  <from>
                    <xdr:col>7</xdr:col>
                    <xdr:colOff>0</xdr:colOff>
                    <xdr:row>21</xdr:row>
                    <xdr:rowOff>69850</xdr:rowOff>
                  </from>
                  <to>
                    <xdr:col>10</xdr:col>
                    <xdr:colOff>31750</xdr:colOff>
                    <xdr:row>23</xdr:row>
                    <xdr:rowOff>69850</xdr:rowOff>
                  </to>
                </anchor>
              </controlPr>
            </control>
          </mc:Choice>
        </mc:AlternateContent>
        <mc:AlternateContent xmlns:mc="http://schemas.openxmlformats.org/markup-compatibility/2006">
          <mc:Choice Requires="x14">
            <control shapeId="49220" r:id="rId16" name="Check Box 68">
              <controlPr defaultSize="0" autoFill="0" autoLine="0" autoPict="0" macro="[0]!Show_NRD" altText="Tick box to select Residence page.">
                <anchor moveWithCells="1">
                  <from>
                    <xdr:col>9</xdr:col>
                    <xdr:colOff>76200</xdr:colOff>
                    <xdr:row>15</xdr:row>
                    <xdr:rowOff>31750</xdr:rowOff>
                  </from>
                  <to>
                    <xdr:col>10</xdr:col>
                    <xdr:colOff>38100</xdr:colOff>
                    <xdr:row>16</xdr:row>
                    <xdr:rowOff>114300</xdr:rowOff>
                  </to>
                </anchor>
              </controlPr>
            </control>
          </mc:Choice>
        </mc:AlternateContent>
        <mc:AlternateContent xmlns:mc="http://schemas.openxmlformats.org/markup-compatibility/2006">
          <mc:Choice Requires="x14">
            <control shapeId="49221" r:id="rId17" name="Check Box 69">
              <controlPr defaultSize="0" autoFill="0" autoLine="0" autoPict="0" macro="[0]!Show_cal" altText="Tick box to select Calculation page.">
                <anchor moveWithCells="1">
                  <from>
                    <xdr:col>9</xdr:col>
                    <xdr:colOff>76200</xdr:colOff>
                    <xdr:row>16</xdr:row>
                    <xdr:rowOff>146050</xdr:rowOff>
                  </from>
                  <to>
                    <xdr:col>10</xdr:col>
                    <xdr:colOff>38100</xdr:colOff>
                    <xdr:row>19</xdr:row>
                    <xdr:rowOff>12700</xdr:rowOff>
                  </to>
                </anchor>
              </controlPr>
            </control>
          </mc:Choice>
        </mc:AlternateContent>
        <mc:AlternateContent xmlns:mc="http://schemas.openxmlformats.org/markup-compatibility/2006">
          <mc:Choice Requires="x14">
            <control shapeId="49222" r:id="rId18" name="Check Box 70">
              <controlPr defaultSize="0" autoFill="0" autoLine="0" autoPict="0" macro="[0]!Show_AOI" altText="Tick box to select Additional Information page.">
                <anchor moveWithCells="1">
                  <from>
                    <xdr:col>3</xdr:col>
                    <xdr:colOff>69850</xdr:colOff>
                    <xdr:row>8</xdr:row>
                    <xdr:rowOff>31750</xdr:rowOff>
                  </from>
                  <to>
                    <xdr:col>4</xdr:col>
                    <xdr:colOff>31750</xdr:colOff>
                    <xdr:row>9</xdr:row>
                    <xdr:rowOff>38100</xdr:rowOff>
                  </to>
                </anchor>
              </controlPr>
            </control>
          </mc:Choice>
        </mc:AlternateContent>
        <mc:AlternateContent xmlns:mc="http://schemas.openxmlformats.org/markup-compatibility/2006">
          <mc:Choice Requires="x14">
            <control shapeId="49223" r:id="rId19" name="Check Box 71">
              <controlPr defaultSize="0" autoFill="0" autoLine="0" autoPict="0" macro="[0]!Show_ASE" altText="Tick box to select Share Schemes page.">
                <anchor moveWithCells="1">
                  <from>
                    <xdr:col>3</xdr:col>
                    <xdr:colOff>69850</xdr:colOff>
                    <xdr:row>10</xdr:row>
                    <xdr:rowOff>12700</xdr:rowOff>
                  </from>
                  <to>
                    <xdr:col>4</xdr:col>
                    <xdr:colOff>31750</xdr:colOff>
                    <xdr:row>11</xdr:row>
                    <xdr:rowOff>88900</xdr:rowOff>
                  </to>
                </anchor>
              </controlPr>
            </control>
          </mc:Choice>
        </mc:AlternateContent>
        <mc:AlternateContent xmlns:mc="http://schemas.openxmlformats.org/markup-compatibility/2006">
          <mc:Choice Requires="x14">
            <control shapeId="49224" r:id="rId20" name="Check Box 72">
              <controlPr defaultSize="0" autoFill="0" autoLine="0" autoPict="0" macro="[0]!Show_AOR" altText="Tick box to select Other reliefs page.">
                <anchor moveWithCells="1">
                  <from>
                    <xdr:col>3</xdr:col>
                    <xdr:colOff>69850</xdr:colOff>
                    <xdr:row>12</xdr:row>
                    <xdr:rowOff>31750</xdr:rowOff>
                  </from>
                  <to>
                    <xdr:col>4</xdr:col>
                    <xdr:colOff>31750</xdr:colOff>
                    <xdr:row>13</xdr:row>
                    <xdr:rowOff>107950</xdr:rowOff>
                  </to>
                </anchor>
              </controlPr>
            </control>
          </mc:Choice>
        </mc:AlternateContent>
        <mc:AlternateContent xmlns:mc="http://schemas.openxmlformats.org/markup-compatibility/2006">
          <mc:Choice Requires="x14">
            <control shapeId="49225" r:id="rId21" name="Check Box 73">
              <controlPr defaultSize="0" autoFill="0" autoLine="0" autoPict="0" macro="[0]!Show_MCA" altText="Tick box to select Married Couples Allowance page.">
                <anchor moveWithCells="1">
                  <from>
                    <xdr:col>3</xdr:col>
                    <xdr:colOff>69850</xdr:colOff>
                    <xdr:row>14</xdr:row>
                    <xdr:rowOff>38100</xdr:rowOff>
                  </from>
                  <to>
                    <xdr:col>4</xdr:col>
                    <xdr:colOff>31750</xdr:colOff>
                    <xdr:row>15</xdr:row>
                    <xdr:rowOff>114300</xdr:rowOff>
                  </to>
                </anchor>
              </controlPr>
            </control>
          </mc:Choice>
        </mc:AlternateContent>
        <mc:AlternateContent xmlns:mc="http://schemas.openxmlformats.org/markup-compatibility/2006">
          <mc:Choice Requires="x14">
            <control shapeId="49226" r:id="rId22" name="Check Box 74">
              <controlPr defaultSize="0" autoFill="0" autoLine="0" autoPict="0" macro="[0]!Show_AIL" altText="Tick box to select Pension Charges page.">
                <anchor moveWithCells="1">
                  <from>
                    <xdr:col>3</xdr:col>
                    <xdr:colOff>69850</xdr:colOff>
                    <xdr:row>16</xdr:row>
                    <xdr:rowOff>50800</xdr:rowOff>
                  </from>
                  <to>
                    <xdr:col>4</xdr:col>
                    <xdr:colOff>31750</xdr:colOff>
                    <xdr:row>17</xdr:row>
                    <xdr:rowOff>127000</xdr:rowOff>
                  </to>
                </anchor>
              </controlPr>
            </control>
          </mc:Choice>
        </mc:AlternateContent>
        <mc:AlternateContent xmlns:mc="http://schemas.openxmlformats.org/markup-compatibility/2006">
          <mc:Choice Requires="x14">
            <control shapeId="2" r:id="rId23" name="Check Box 76">
              <controlPr defaultSize="0" autoFill="0" autoLine="0" autoPict="0" macro="[0]!Show_NI" altText="Tick box to select National Insurance CL2 &amp; CL1 (NI) page.">
                <anchor moveWithCells="1">
                  <from>
                    <xdr:col>7</xdr:col>
                    <xdr:colOff>69850</xdr:colOff>
                    <xdr:row>16</xdr:row>
                    <xdr:rowOff>127000</xdr:rowOff>
                  </from>
                  <to>
                    <xdr:col>8</xdr:col>
                    <xdr:colOff>38100</xdr:colOff>
                    <xdr:row>19</xdr:row>
                    <xdr:rowOff>12700</xdr:rowOff>
                  </to>
                </anchor>
              </controlPr>
            </control>
          </mc:Choice>
        </mc:AlternateContent>
        <mc:AlternateContent xmlns:mc="http://schemas.openxmlformats.org/markup-compatibility/2006">
          <mc:Choice Requires="x14">
            <control shapeId="3" r:id="rId24" name="Button 78">
              <controlPr defaultSize="0" print="0" autoFill="0" autoPict="0" macro="[0]!Calculate_now_W">
                <anchor moveWithCells="1">
                  <from>
                    <xdr:col>2</xdr:col>
                    <xdr:colOff>2019300</xdr:colOff>
                    <xdr:row>23</xdr:row>
                    <xdr:rowOff>146050</xdr:rowOff>
                  </from>
                  <to>
                    <xdr:col>6</xdr:col>
                    <xdr:colOff>1212850</xdr:colOff>
                    <xdr:row>26</xdr:row>
                    <xdr:rowOff>12700</xdr:rowOff>
                  </to>
                </anchor>
              </controlPr>
            </control>
          </mc:Choice>
        </mc:AlternateContent>
        <mc:AlternateContent xmlns:mc="http://schemas.openxmlformats.org/markup-compatibility/2006">
          <mc:Choice Requires="x14">
            <control shapeId="49231" r:id="rId25" name="Check Box 79">
              <controlPr defaultSize="0" autoFill="0" autoLine="0" autoPict="0" macro="[0]!Show_EMP" altText="Tick box to select In-Year Calculation">
                <anchor moveWithCells="1">
                  <from>
                    <xdr:col>7</xdr:col>
                    <xdr:colOff>38100</xdr:colOff>
                    <xdr:row>29</xdr:row>
                    <xdr:rowOff>146050</xdr:rowOff>
                  </from>
                  <to>
                    <xdr:col>8</xdr:col>
                    <xdr:colOff>146050</xdr:colOff>
                    <xdr:row>31</xdr:row>
                    <xdr:rowOff>69850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J66"/>
  <sheetViews>
    <sheetView showGridLines="0" topLeftCell="A55" zoomScaleNormal="100" workbookViewId="0">
      <selection activeCell="J65" sqref="J65"/>
    </sheetView>
  </sheetViews>
  <sheetFormatPr defaultColWidth="8.81640625" defaultRowHeight="13" x14ac:dyDescent="0.3"/>
  <cols>
    <col min="1" max="1" width="1.1796875" style="417" customWidth="1"/>
    <col min="2" max="2" width="6.453125" style="417" customWidth="1"/>
    <col min="3" max="3" width="5.81640625" style="417" customWidth="1"/>
    <col min="4" max="4" width="23.54296875" style="417" customWidth="1"/>
    <col min="5" max="5" width="16.1796875" style="417" customWidth="1"/>
    <col min="6" max="6" width="10.54296875" style="417" customWidth="1"/>
    <col min="7" max="7" width="13.1796875" style="417" customWidth="1"/>
    <col min="8" max="8" width="12.7265625" style="417" customWidth="1"/>
    <col min="9" max="9" width="12.81640625" style="4" customWidth="1"/>
    <col min="10" max="10" width="2" style="417" customWidth="1"/>
    <col min="11" max="16384" width="8.81640625" style="417"/>
  </cols>
  <sheetData>
    <row r="1" spans="1:10" ht="32.25" customHeight="1" thickBot="1" x14ac:dyDescent="0.4">
      <c r="A1" s="201"/>
      <c r="B1" s="364"/>
      <c r="C1" s="365"/>
      <c r="D1" s="192"/>
      <c r="E1" s="192"/>
      <c r="F1" s="192"/>
      <c r="G1" s="364"/>
      <c r="H1" s="200"/>
      <c r="I1" s="200"/>
      <c r="J1" s="178"/>
    </row>
    <row r="2" spans="1:10" ht="14.25" customHeight="1" thickTop="1" x14ac:dyDescent="0.3">
      <c r="A2" s="1"/>
      <c r="B2" s="178"/>
      <c r="C2" s="178"/>
      <c r="D2" s="189"/>
      <c r="E2" s="8"/>
      <c r="F2" s="8"/>
      <c r="G2" s="8"/>
      <c r="H2" s="8"/>
      <c r="I2" s="8"/>
      <c r="J2" s="178"/>
    </row>
    <row r="3" spans="1:10" x14ac:dyDescent="0.3">
      <c r="A3" s="1"/>
      <c r="B3" s="178"/>
      <c r="C3" s="190"/>
      <c r="D3" s="8"/>
      <c r="E3" s="8"/>
      <c r="F3" s="8"/>
      <c r="G3" s="8"/>
      <c r="H3" s="38"/>
      <c r="I3" s="38"/>
      <c r="J3" s="178"/>
    </row>
    <row r="4" spans="1:10" x14ac:dyDescent="0.3">
      <c r="A4" s="1"/>
      <c r="B4" s="178"/>
      <c r="C4" s="190"/>
      <c r="D4" s="8"/>
      <c r="E4" s="8"/>
      <c r="F4" s="8"/>
      <c r="G4" s="25"/>
      <c r="H4" s="413"/>
      <c r="I4" s="8"/>
      <c r="J4" s="178"/>
    </row>
    <row r="5" spans="1:10" ht="18" customHeight="1" x14ac:dyDescent="0.3">
      <c r="A5" s="1"/>
      <c r="B5" s="1"/>
      <c r="C5" s="1"/>
      <c r="D5" s="1"/>
      <c r="E5" s="1"/>
      <c r="F5" s="1"/>
      <c r="G5" s="1"/>
      <c r="H5" s="1"/>
      <c r="I5" s="1"/>
      <c r="J5" s="178"/>
    </row>
    <row r="6" spans="1:10" x14ac:dyDescent="0.3">
      <c r="A6" s="1"/>
      <c r="B6" s="178"/>
      <c r="C6" s="190"/>
      <c r="D6" s="113"/>
      <c r="E6" s="113"/>
      <c r="F6" s="8"/>
      <c r="G6" s="8"/>
      <c r="H6" s="8"/>
      <c r="I6" s="8"/>
      <c r="J6" s="178"/>
    </row>
    <row r="7" spans="1:10" x14ac:dyDescent="0.3">
      <c r="A7" s="1"/>
      <c r="B7" s="178"/>
      <c r="C7" s="178"/>
      <c r="D7" s="8"/>
      <c r="E7" s="8"/>
      <c r="F7" s="8"/>
      <c r="G7" s="25"/>
      <c r="H7" s="191"/>
      <c r="I7" s="8"/>
      <c r="J7" s="178"/>
    </row>
    <row r="8" spans="1:10" x14ac:dyDescent="0.3">
      <c r="A8" s="1"/>
      <c r="B8" s="178"/>
      <c r="C8" s="178"/>
      <c r="D8" s="1"/>
      <c r="E8" s="1"/>
      <c r="F8" s="1"/>
      <c r="G8" s="1"/>
      <c r="H8" s="1"/>
      <c r="I8" s="1"/>
      <c r="J8" s="1"/>
    </row>
    <row r="9" spans="1:10" ht="14" x14ac:dyDescent="0.3">
      <c r="A9" s="1"/>
      <c r="B9" s="28"/>
      <c r="C9" s="178"/>
      <c r="D9" s="8"/>
      <c r="E9" s="9"/>
      <c r="F9" s="8"/>
      <c r="G9" s="8"/>
      <c r="H9" s="8"/>
      <c r="I9" s="8"/>
      <c r="J9"/>
    </row>
    <row r="10" spans="1:10" x14ac:dyDescent="0.3">
      <c r="A10" s="1"/>
      <c r="B10" s="178"/>
      <c r="C10" s="178"/>
      <c r="D10" s="8"/>
      <c r="E10" s="8"/>
      <c r="F10" s="8"/>
      <c r="G10" s="8"/>
      <c r="H10" s="8"/>
      <c r="I10" s="8"/>
      <c r="J10"/>
    </row>
    <row r="11" spans="1:10" x14ac:dyDescent="0.3">
      <c r="A11" s="1"/>
      <c r="B11" s="2609"/>
      <c r="C11" s="2610"/>
      <c r="D11" s="2610"/>
      <c r="E11" s="2611"/>
      <c r="F11" s="8"/>
      <c r="G11" s="8"/>
      <c r="H11" s="8"/>
      <c r="I11" s="8"/>
      <c r="J11"/>
    </row>
    <row r="12" spans="1:10" x14ac:dyDescent="0.3">
      <c r="A12" s="1"/>
      <c r="B12" s="2"/>
      <c r="C12" s="2"/>
      <c r="D12" s="8"/>
      <c r="E12" s="12"/>
      <c r="F12" s="8"/>
      <c r="G12" s="8"/>
      <c r="H12" s="8"/>
      <c r="I12" s="8"/>
      <c r="J12"/>
    </row>
    <row r="13" spans="1:10" x14ac:dyDescent="0.3">
      <c r="A13" s="1"/>
      <c r="B13" s="2613"/>
      <c r="C13" s="2613"/>
      <c r="D13" s="2613"/>
      <c r="E13" s="154"/>
      <c r="F13" s="8"/>
      <c r="G13" s="8"/>
      <c r="H13" s="8"/>
      <c r="I13" s="8"/>
      <c r="J13"/>
    </row>
    <row r="14" spans="1:10" x14ac:dyDescent="0.3">
      <c r="A14" s="1"/>
      <c r="B14" s="1"/>
      <c r="C14" s="2613"/>
      <c r="D14" s="2613"/>
      <c r="E14" s="154"/>
      <c r="F14" s="8"/>
      <c r="G14" s="8"/>
      <c r="H14" s="8"/>
      <c r="I14" s="8"/>
      <c r="J14"/>
    </row>
    <row r="15" spans="1:10" x14ac:dyDescent="0.3">
      <c r="A15" s="1"/>
      <c r="B15" s="2613"/>
      <c r="C15" s="2613"/>
      <c r="D15" s="2613"/>
      <c r="E15" s="2613"/>
      <c r="F15" s="154"/>
      <c r="G15" s="84"/>
      <c r="H15" s="8"/>
      <c r="I15" s="8"/>
      <c r="J15"/>
    </row>
    <row r="16" spans="1:10" x14ac:dyDescent="0.3">
      <c r="A16" s="1"/>
      <c r="B16" s="2613"/>
      <c r="C16" s="2613"/>
      <c r="D16" s="2613"/>
      <c r="E16" s="2613"/>
      <c r="F16" s="154"/>
      <c r="G16" s="84"/>
      <c r="H16" s="8"/>
      <c r="I16" s="8"/>
      <c r="J16"/>
    </row>
    <row r="17" spans="1:10" x14ac:dyDescent="0.3">
      <c r="A17" s="1"/>
      <c r="B17" s="2613"/>
      <c r="C17" s="2613"/>
      <c r="D17" s="2613"/>
      <c r="E17" s="2613"/>
      <c r="F17" s="154"/>
      <c r="G17" s="84"/>
      <c r="H17" s="8"/>
      <c r="I17" s="8"/>
      <c r="J17"/>
    </row>
    <row r="18" spans="1:10" x14ac:dyDescent="0.3">
      <c r="A18" s="1"/>
      <c r="B18" s="2612"/>
      <c r="C18" s="2612"/>
      <c r="D18" s="2612"/>
      <c r="E18" s="2612"/>
      <c r="F18" s="84"/>
      <c r="G18" s="154"/>
      <c r="H18" s="8"/>
      <c r="I18" s="8"/>
      <c r="J18"/>
    </row>
    <row r="19" spans="1:10" x14ac:dyDescent="0.3">
      <c r="A19" s="1"/>
      <c r="B19" s="178"/>
      <c r="C19" s="178"/>
      <c r="D19" s="8"/>
      <c r="E19" s="26"/>
      <c r="F19" s="26"/>
      <c r="G19" s="8"/>
      <c r="H19" s="8"/>
      <c r="I19" s="8"/>
      <c r="J19"/>
    </row>
    <row r="20" spans="1:10" x14ac:dyDescent="0.3">
      <c r="A20" s="1"/>
      <c r="B20" s="2609"/>
      <c r="C20" s="2610"/>
      <c r="D20" s="2610"/>
      <c r="E20" s="2611"/>
      <c r="F20" s="26"/>
      <c r="G20" s="8"/>
      <c r="H20" s="8"/>
      <c r="I20" s="8"/>
      <c r="J20"/>
    </row>
    <row r="21" spans="1:10" x14ac:dyDescent="0.3">
      <c r="A21" s="1"/>
      <c r="B21" s="29"/>
      <c r="C21" s="29"/>
      <c r="D21" s="8"/>
      <c r="E21" s="26"/>
      <c r="F21" s="26"/>
      <c r="G21" s="8"/>
      <c r="H21" s="8"/>
      <c r="I21" s="8"/>
      <c r="J21"/>
    </row>
    <row r="22" spans="1:10" x14ac:dyDescent="0.3">
      <c r="A22" s="1"/>
      <c r="B22" s="2613"/>
      <c r="C22" s="2613"/>
      <c r="D22" s="2613"/>
      <c r="E22" s="2613"/>
      <c r="F22" s="154"/>
      <c r="G22" s="8"/>
      <c r="H22" s="8"/>
      <c r="I22" s="8"/>
      <c r="J22"/>
    </row>
    <row r="23" spans="1:10" x14ac:dyDescent="0.3">
      <c r="A23" s="1"/>
      <c r="B23" s="2613"/>
      <c r="C23" s="2613"/>
      <c r="D23" s="2613"/>
      <c r="E23" s="2613"/>
      <c r="F23" s="154"/>
      <c r="G23" s="8"/>
      <c r="H23" s="8"/>
      <c r="I23" s="8"/>
      <c r="J23"/>
    </row>
    <row r="24" spans="1:10" x14ac:dyDescent="0.3">
      <c r="A24" s="1"/>
      <c r="B24" s="2617"/>
      <c r="C24" s="2617"/>
      <c r="D24" s="2617"/>
      <c r="E24" s="2617"/>
      <c r="F24" s="84"/>
      <c r="G24" s="154"/>
      <c r="H24" s="8"/>
      <c r="I24" s="8"/>
      <c r="J24"/>
    </row>
    <row r="25" spans="1:10" x14ac:dyDescent="0.3">
      <c r="A25" s="1"/>
      <c r="B25" s="178"/>
      <c r="C25" s="178"/>
      <c r="D25" s="579"/>
      <c r="E25" s="8"/>
      <c r="F25" s="154"/>
      <c r="G25" s="84"/>
      <c r="H25" s="8"/>
      <c r="I25" s="8"/>
      <c r="J25"/>
    </row>
    <row r="26" spans="1:10" x14ac:dyDescent="0.3">
      <c r="A26" s="1"/>
      <c r="B26" s="2609"/>
      <c r="C26" s="2610"/>
      <c r="D26" s="2610"/>
      <c r="E26" s="2610"/>
      <c r="F26" s="2610"/>
      <c r="G26" s="2040"/>
      <c r="H26" s="8"/>
      <c r="I26" s="8"/>
      <c r="J26"/>
    </row>
    <row r="27" spans="1:10" x14ac:dyDescent="0.3">
      <c r="A27" s="1"/>
      <c r="B27" s="2"/>
      <c r="C27" s="2"/>
      <c r="D27" s="8"/>
      <c r="E27" s="8"/>
      <c r="F27" s="26"/>
      <c r="G27" s="8"/>
      <c r="H27" s="8"/>
      <c r="I27" s="8"/>
      <c r="J27"/>
    </row>
    <row r="28" spans="1:10" x14ac:dyDescent="0.3">
      <c r="A28" s="1"/>
      <c r="B28" s="2612"/>
      <c r="C28" s="2612"/>
      <c r="D28" s="2612"/>
      <c r="E28" s="2612"/>
      <c r="F28" s="2612"/>
      <c r="G28" s="2612"/>
      <c r="H28" s="2612"/>
      <c r="I28" s="2612"/>
      <c r="J28"/>
    </row>
    <row r="29" spans="1:10" x14ac:dyDescent="0.3">
      <c r="A29" s="1"/>
      <c r="B29" s="178"/>
      <c r="C29" s="178"/>
      <c r="D29" s="8"/>
      <c r="E29" s="8"/>
      <c r="F29" s="26"/>
      <c r="G29" s="8"/>
      <c r="H29" s="155"/>
      <c r="I29" s="8"/>
      <c r="J29"/>
    </row>
    <row r="30" spans="1:10" x14ac:dyDescent="0.3">
      <c r="A30" s="1"/>
      <c r="B30" s="2615"/>
      <c r="C30" s="2615"/>
      <c r="D30" s="2615"/>
      <c r="E30" s="2615"/>
      <c r="F30" s="2615"/>
      <c r="G30" s="8"/>
      <c r="H30" s="816"/>
      <c r="I30" s="82"/>
      <c r="J30"/>
    </row>
    <row r="31" spans="1:10" x14ac:dyDescent="0.3">
      <c r="A31" s="1"/>
      <c r="B31" s="178"/>
      <c r="C31" s="178"/>
      <c r="D31" s="8"/>
      <c r="E31" s="2615"/>
      <c r="F31" s="2615"/>
      <c r="G31" s="154"/>
      <c r="H31" s="816"/>
      <c r="I31" s="82"/>
      <c r="J31"/>
    </row>
    <row r="32" spans="1:10" x14ac:dyDescent="0.3">
      <c r="A32" s="1"/>
      <c r="B32" s="178"/>
      <c r="C32" s="178"/>
      <c r="D32" s="8"/>
      <c r="E32" s="2615"/>
      <c r="F32" s="2615"/>
      <c r="G32" s="154"/>
      <c r="H32" s="816"/>
      <c r="I32" s="82"/>
      <c r="J32"/>
    </row>
    <row r="33" spans="1:10" x14ac:dyDescent="0.3">
      <c r="A33" s="1"/>
      <c r="B33" s="178"/>
      <c r="C33" s="178"/>
      <c r="D33" s="8"/>
      <c r="E33" s="2615"/>
      <c r="F33" s="2615"/>
      <c r="G33" s="154"/>
      <c r="H33" s="816"/>
      <c r="I33" s="82"/>
      <c r="J33"/>
    </row>
    <row r="34" spans="1:10" x14ac:dyDescent="0.3">
      <c r="A34" s="1"/>
      <c r="B34" s="178"/>
      <c r="C34" s="178"/>
      <c r="D34" s="8"/>
      <c r="E34" s="2615"/>
      <c r="F34" s="2615"/>
      <c r="G34" s="154"/>
      <c r="H34" s="816"/>
      <c r="I34" s="82"/>
      <c r="J34"/>
    </row>
    <row r="35" spans="1:10" x14ac:dyDescent="0.3">
      <c r="A35" s="1"/>
      <c r="B35" s="178"/>
      <c r="C35" s="178"/>
      <c r="D35" s="8"/>
      <c r="E35" s="8"/>
      <c r="F35"/>
      <c r="G35" s="84"/>
      <c r="H35" s="9"/>
      <c r="I35" s="85"/>
      <c r="J35"/>
    </row>
    <row r="36" spans="1:10" x14ac:dyDescent="0.3">
      <c r="A36" s="1"/>
      <c r="B36" s="2615"/>
      <c r="C36" s="2615"/>
      <c r="D36" s="2615"/>
      <c r="E36" s="2615"/>
      <c r="F36" s="2615"/>
      <c r="G36" s="8"/>
      <c r="H36" s="816"/>
      <c r="I36" s="82"/>
      <c r="J36"/>
    </row>
    <row r="37" spans="1:10" x14ac:dyDescent="0.3">
      <c r="A37" s="1"/>
      <c r="B37" s="178"/>
      <c r="C37" s="178"/>
      <c r="D37" s="8"/>
      <c r="E37" s="2615"/>
      <c r="F37" s="2615"/>
      <c r="G37" s="154"/>
      <c r="H37" s="816"/>
      <c r="I37" s="82"/>
      <c r="J37"/>
    </row>
    <row r="38" spans="1:10" x14ac:dyDescent="0.3">
      <c r="A38" s="1"/>
      <c r="B38" s="178"/>
      <c r="C38" s="178"/>
      <c r="D38" s="8"/>
      <c r="E38" s="2615"/>
      <c r="F38" s="2615"/>
      <c r="G38" s="967"/>
      <c r="H38" s="816"/>
      <c r="I38" s="82"/>
      <c r="J38"/>
    </row>
    <row r="39" spans="1:10" x14ac:dyDescent="0.3">
      <c r="A39" s="1"/>
      <c r="B39" s="178"/>
      <c r="C39" s="178"/>
      <c r="D39" s="8"/>
      <c r="E39" s="2615"/>
      <c r="F39" s="2615"/>
      <c r="G39" s="154"/>
      <c r="H39" s="816"/>
      <c r="I39" s="82"/>
      <c r="J39"/>
    </row>
    <row r="40" spans="1:10" x14ac:dyDescent="0.3">
      <c r="A40" s="1"/>
      <c r="B40" s="178"/>
      <c r="C40" s="178"/>
      <c r="D40" s="8"/>
      <c r="E40" s="2615"/>
      <c r="F40" s="2615"/>
      <c r="G40" s="154"/>
      <c r="H40" s="816"/>
      <c r="I40" s="82"/>
      <c r="J40"/>
    </row>
    <row r="41" spans="1:10" x14ac:dyDescent="0.3">
      <c r="A41" s="1"/>
      <c r="B41" s="178"/>
      <c r="C41" s="178"/>
      <c r="D41" s="8"/>
      <c r="E41" s="8"/>
      <c r="F41" s="9"/>
      <c r="G41" s="84"/>
      <c r="H41" s="9"/>
      <c r="I41" s="85"/>
      <c r="J41"/>
    </row>
    <row r="42" spans="1:10" x14ac:dyDescent="0.3">
      <c r="A42" s="1"/>
      <c r="B42" s="178"/>
      <c r="C42" s="178"/>
      <c r="D42" s="8"/>
      <c r="E42" s="2615"/>
      <c r="F42" s="2615"/>
      <c r="G42" s="8"/>
      <c r="H42" s="816"/>
      <c r="I42" s="85"/>
      <c r="J42"/>
    </row>
    <row r="43" spans="1:10" x14ac:dyDescent="0.3">
      <c r="A43" s="1"/>
      <c r="B43" s="178"/>
      <c r="C43" s="178"/>
      <c r="D43" s="8"/>
      <c r="E43" s="2615"/>
      <c r="F43" s="2615"/>
      <c r="G43" s="154"/>
      <c r="H43" s="9"/>
      <c r="I43" s="82"/>
      <c r="J43"/>
    </row>
    <row r="44" spans="1:10" x14ac:dyDescent="0.3">
      <c r="A44" s="1"/>
      <c r="B44" s="178"/>
      <c r="C44" s="178"/>
      <c r="D44" s="8"/>
      <c r="E44" s="2615"/>
      <c r="F44" s="2615"/>
      <c r="G44" s="967"/>
      <c r="H44" s="816"/>
      <c r="I44" s="82"/>
      <c r="J44"/>
    </row>
    <row r="45" spans="1:10" x14ac:dyDescent="0.3">
      <c r="A45" s="1"/>
      <c r="B45" s="178"/>
      <c r="C45" s="178"/>
      <c r="D45" s="8"/>
      <c r="E45" s="2615"/>
      <c r="F45" s="2615"/>
      <c r="G45" s="154"/>
      <c r="H45" s="9"/>
      <c r="I45" s="82"/>
      <c r="J45"/>
    </row>
    <row r="46" spans="1:10" x14ac:dyDescent="0.3">
      <c r="A46" s="1"/>
      <c r="B46" s="2612"/>
      <c r="C46" s="2612"/>
      <c r="D46" s="2612"/>
      <c r="E46" s="2612"/>
      <c r="F46" s="8"/>
      <c r="G46" s="2041"/>
      <c r="H46" s="8"/>
      <c r="I46" s="85"/>
      <c r="J46"/>
    </row>
    <row r="47" spans="1:10" x14ac:dyDescent="0.3">
      <c r="A47" s="1"/>
      <c r="B47" s="178"/>
      <c r="C47" s="178"/>
      <c r="D47" s="8"/>
      <c r="E47" s="8"/>
      <c r="F47" s="8"/>
      <c r="G47" s="8"/>
      <c r="H47" s="8"/>
      <c r="I47" s="85"/>
      <c r="J47"/>
    </row>
    <row r="48" spans="1:10" x14ac:dyDescent="0.3">
      <c r="A48" s="1"/>
      <c r="B48" s="2609"/>
      <c r="C48" s="2610"/>
      <c r="D48" s="2610"/>
      <c r="E48" s="2610"/>
      <c r="F48" s="2610"/>
      <c r="G48" s="2043"/>
      <c r="H48" s="2043"/>
      <c r="I48" s="2044"/>
      <c r="J48"/>
    </row>
    <row r="49" spans="1:10" x14ac:dyDescent="0.3">
      <c r="A49" s="1"/>
      <c r="B49" s="178"/>
      <c r="C49" s="178"/>
      <c r="D49" s="8"/>
      <c r="E49" s="8"/>
      <c r="F49" s="8"/>
      <c r="G49" s="8"/>
      <c r="H49" s="8"/>
      <c r="I49" s="85"/>
      <c r="J49"/>
    </row>
    <row r="50" spans="1:10" x14ac:dyDescent="0.3">
      <c r="A50" s="1"/>
      <c r="B50" s="332"/>
      <c r="C50" s="2612"/>
      <c r="D50" s="2612"/>
      <c r="E50" s="2612"/>
      <c r="F50" s="8"/>
      <c r="G50" s="8"/>
      <c r="H50" s="27"/>
      <c r="I50" s="85"/>
      <c r="J50"/>
    </row>
    <row r="51" spans="1:10" x14ac:dyDescent="0.3">
      <c r="A51" s="1"/>
      <c r="B51" s="979"/>
      <c r="C51" s="2613"/>
      <c r="D51" s="2613"/>
      <c r="E51" s="2613"/>
      <c r="F51" s="2613"/>
      <c r="G51" s="8"/>
      <c r="H51" s="82"/>
      <c r="I51" s="85"/>
      <c r="J51"/>
    </row>
    <row r="52" spans="1:10" x14ac:dyDescent="0.3">
      <c r="A52" s="1"/>
      <c r="B52" s="8"/>
      <c r="C52" s="2614"/>
      <c r="D52" s="2614"/>
      <c r="E52" s="2614"/>
      <c r="F52" s="8"/>
      <c r="G52" s="8"/>
      <c r="H52" s="8"/>
      <c r="I52" s="82"/>
      <c r="J52" s="8"/>
    </row>
    <row r="53" spans="1:10" x14ac:dyDescent="0.3">
      <c r="A53" s="1"/>
      <c r="B53" s="178"/>
      <c r="C53" s="178"/>
      <c r="D53" s="8"/>
      <c r="E53" s="8"/>
      <c r="F53" s="8"/>
      <c r="G53" s="8"/>
      <c r="H53" s="27"/>
      <c r="I53" s="85"/>
      <c r="J53"/>
    </row>
    <row r="54" spans="1:10" x14ac:dyDescent="0.3">
      <c r="A54" s="1"/>
      <c r="B54" s="2609"/>
      <c r="C54" s="2610"/>
      <c r="D54" s="2610"/>
      <c r="E54" s="2610"/>
      <c r="F54" s="2043"/>
      <c r="G54" s="2060"/>
      <c r="H54" s="2060"/>
      <c r="I54" s="2059"/>
      <c r="J54" s="178"/>
    </row>
    <row r="55" spans="1:10" x14ac:dyDescent="0.3">
      <c r="A55" s="1"/>
      <c r="B55" s="178"/>
      <c r="C55" s="178"/>
      <c r="D55" s="8"/>
      <c r="E55" s="8"/>
      <c r="F55" s="8"/>
      <c r="G55" s="8"/>
      <c r="H55" s="8"/>
      <c r="I55" s="85"/>
      <c r="J55"/>
    </row>
    <row r="56" spans="1:10" x14ac:dyDescent="0.3">
      <c r="A56" s="1"/>
      <c r="B56" s="2"/>
      <c r="C56" s="2618"/>
      <c r="D56" s="2618"/>
      <c r="E56" s="2618"/>
      <c r="F56" s="8"/>
      <c r="G56" s="8"/>
      <c r="H56" s="27"/>
      <c r="I56" s="85"/>
      <c r="J56"/>
    </row>
    <row r="57" spans="1:10" x14ac:dyDescent="0.3">
      <c r="A57" s="1"/>
      <c r="B57" s="178"/>
      <c r="C57" s="2616"/>
      <c r="D57" s="2616"/>
      <c r="E57" s="2616"/>
      <c r="F57" s="154"/>
      <c r="G57" s="816"/>
      <c r="H57" s="170"/>
      <c r="I57" s="85"/>
      <c r="J57" s="178"/>
    </row>
    <row r="58" spans="1:10" x14ac:dyDescent="0.3">
      <c r="A58" s="1"/>
      <c r="B58" s="178"/>
      <c r="C58" s="2616"/>
      <c r="D58" s="2616"/>
      <c r="E58" s="2616"/>
      <c r="F58" s="154"/>
      <c r="G58" s="968"/>
      <c r="H58" s="560"/>
      <c r="I58"/>
      <c r="J58"/>
    </row>
    <row r="59" spans="1:10" x14ac:dyDescent="0.3">
      <c r="A59" s="1"/>
      <c r="B59" s="178"/>
      <c r="C59" s="2616"/>
      <c r="D59" s="2616"/>
      <c r="E59" s="2616"/>
      <c r="F59" s="154"/>
      <c r="G59" s="760"/>
      <c r="H59" s="560"/>
      <c r="I59"/>
      <c r="J59"/>
    </row>
    <row r="60" spans="1:10" x14ac:dyDescent="0.3">
      <c r="A60" s="1"/>
      <c r="B60" s="2618"/>
      <c r="C60" s="2618"/>
      <c r="D60" s="2618"/>
      <c r="E60" s="2618"/>
      <c r="F60" s="2062"/>
      <c r="G60" s="8"/>
      <c r="H60"/>
      <c r="I60"/>
      <c r="J60"/>
    </row>
    <row r="61" spans="1:10" x14ac:dyDescent="0.3">
      <c r="A61" s="1"/>
      <c r="B61" s="178"/>
      <c r="C61" s="981"/>
      <c r="D61" s="981"/>
      <c r="E61" s="981"/>
      <c r="F61" s="84"/>
      <c r="G61" s="8"/>
      <c r="H61"/>
      <c r="I61"/>
      <c r="J61"/>
    </row>
    <row r="62" spans="1:10" x14ac:dyDescent="0.3">
      <c r="A62" s="1"/>
      <c r="B62" s="178"/>
      <c r="C62" s="2619"/>
      <c r="D62" s="2620"/>
      <c r="E62" s="2620"/>
      <c r="F62" s="982"/>
      <c r="G62" s="983"/>
      <c r="H62" s="984"/>
      <c r="I62"/>
      <c r="J62"/>
    </row>
    <row r="63" spans="1:10" x14ac:dyDescent="0.3">
      <c r="A63" s="1"/>
      <c r="B63" s="178"/>
      <c r="C63" s="2612"/>
      <c r="D63" s="2612"/>
      <c r="E63" s="2612"/>
      <c r="F63" s="82"/>
      <c r="G63" s="8"/>
      <c r="H63" s="2063"/>
      <c r="I63" s="82"/>
      <c r="J63"/>
    </row>
    <row r="64" spans="1:10" x14ac:dyDescent="0.3">
      <c r="A64" s="1"/>
      <c r="B64" s="178"/>
      <c r="C64" s="12"/>
      <c r="D64" s="8"/>
      <c r="E64" s="8"/>
      <c r="F64" s="8"/>
      <c r="G64" s="8"/>
      <c r="H64" s="8"/>
      <c r="I64" s="82"/>
      <c r="J64"/>
    </row>
    <row r="65" spans="1:10" x14ac:dyDescent="0.3">
      <c r="A65" s="1"/>
      <c r="B65" s="2609"/>
      <c r="C65" s="2610"/>
      <c r="D65" s="2610"/>
      <c r="E65" s="2610"/>
      <c r="F65" s="2610"/>
      <c r="G65" s="2043"/>
      <c r="H65" s="2043"/>
      <c r="I65" s="2059"/>
      <c r="J65"/>
    </row>
    <row r="66" spans="1:10" x14ac:dyDescent="0.3">
      <c r="A66" s="1"/>
      <c r="B66" s="2"/>
      <c r="C66" s="2"/>
      <c r="D66" s="8"/>
      <c r="E66" s="8"/>
      <c r="F66" s="8"/>
      <c r="G66" s="12"/>
      <c r="H66" s="8"/>
      <c r="I66" s="170"/>
      <c r="J66"/>
    </row>
  </sheetData>
  <mergeCells count="41">
    <mergeCell ref="C63:E63"/>
    <mergeCell ref="C56:E56"/>
    <mergeCell ref="C57:E57"/>
    <mergeCell ref="C59:E59"/>
    <mergeCell ref="B15:E15"/>
    <mergeCell ref="B23:E23"/>
    <mergeCell ref="B22:E22"/>
    <mergeCell ref="B60:E60"/>
    <mergeCell ref="C62:E62"/>
    <mergeCell ref="B65:F65"/>
    <mergeCell ref="B30:F30"/>
    <mergeCell ref="E31:F31"/>
    <mergeCell ref="E32:F32"/>
    <mergeCell ref="E33:F33"/>
    <mergeCell ref="E34:F34"/>
    <mergeCell ref="B36:F36"/>
    <mergeCell ref="E37:F37"/>
    <mergeCell ref="C58:E58"/>
    <mergeCell ref="B54:E54"/>
    <mergeCell ref="E39:F39"/>
    <mergeCell ref="E40:F40"/>
    <mergeCell ref="E42:F42"/>
    <mergeCell ref="E43:F43"/>
    <mergeCell ref="E45:F45"/>
    <mergeCell ref="B46:E46"/>
    <mergeCell ref="B11:E11"/>
    <mergeCell ref="B48:F48"/>
    <mergeCell ref="C50:E50"/>
    <mergeCell ref="C51:F51"/>
    <mergeCell ref="C52:E52"/>
    <mergeCell ref="E38:F38"/>
    <mergeCell ref="E44:F44"/>
    <mergeCell ref="B16:E16"/>
    <mergeCell ref="B18:E18"/>
    <mergeCell ref="B26:F26"/>
    <mergeCell ref="B28:I28"/>
    <mergeCell ref="B13:D13"/>
    <mergeCell ref="C14:D14"/>
    <mergeCell ref="B17:E17"/>
    <mergeCell ref="B20:E20"/>
    <mergeCell ref="B24:E24"/>
  </mergeCells>
  <phoneticPr fontId="58" type="noConversion"/>
  <pageMargins left="0.78740157480314965" right="0.19685039370078741" top="0.19685039370078741" bottom="0.19685039370078741" header="0" footer="0"/>
  <pageSetup paperSize="9" scale="92" fitToHeight="5" orientation="portrait" r:id="rId1"/>
  <headerFooter alignWithMargins="0">
    <oddFooter>&amp;C&amp;1#&amp;"Calibri"&amp;10&amp;K000000OFFICIAL-SENSITIVE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A1:I28"/>
  <sheetViews>
    <sheetView showGridLines="0" workbookViewId="0">
      <selection activeCell="B1" sqref="B1"/>
    </sheetView>
  </sheetViews>
  <sheetFormatPr defaultColWidth="9.1796875" defaultRowHeight="11.5" x14ac:dyDescent="0.25"/>
  <cols>
    <col min="1" max="1" width="9.1796875" style="39"/>
    <col min="2" max="2" width="4.54296875" style="39" customWidth="1"/>
    <col min="3" max="3" width="12.81640625" style="39" customWidth="1"/>
    <col min="4" max="4" width="24" style="39" customWidth="1"/>
    <col min="5" max="5" width="11.1796875" style="39" customWidth="1"/>
    <col min="6" max="6" width="4.1796875" style="39" customWidth="1"/>
    <col min="7" max="7" width="14.54296875" style="39" customWidth="1"/>
    <col min="8" max="8" width="29.1796875" style="39" customWidth="1"/>
    <col min="9" max="9" width="27.1796875" style="39" customWidth="1"/>
    <col min="10" max="16384" width="9.1796875" style="39"/>
  </cols>
  <sheetData>
    <row r="1" spans="1:9" ht="12.75" customHeight="1" x14ac:dyDescent="0.25">
      <c r="A1" s="17"/>
      <c r="B1" s="17"/>
      <c r="C1" s="17"/>
      <c r="D1" s="17"/>
      <c r="E1" s="17"/>
      <c r="F1" s="17"/>
      <c r="G1" s="17"/>
      <c r="H1" s="609"/>
      <c r="I1" s="17"/>
    </row>
    <row r="2" spans="1:9" ht="6.75" customHeight="1" x14ac:dyDescent="0.25">
      <c r="A2" s="17"/>
      <c r="B2" s="17"/>
      <c r="C2" s="17"/>
      <c r="D2" s="17"/>
      <c r="E2" s="17"/>
      <c r="F2" s="17"/>
      <c r="G2" s="17"/>
      <c r="H2" s="17"/>
      <c r="I2" s="17"/>
    </row>
    <row r="3" spans="1:9" ht="12.75" customHeight="1" x14ac:dyDescent="0.25">
      <c r="A3" s="17"/>
      <c r="B3" s="1793"/>
      <c r="C3" s="1794"/>
      <c r="D3" s="1794"/>
      <c r="E3" s="1794"/>
      <c r="F3" s="1794"/>
      <c r="G3" s="1794"/>
      <c r="H3" s="1795"/>
      <c r="I3" s="17"/>
    </row>
    <row r="4" spans="1:9" ht="12.75" customHeight="1" x14ac:dyDescent="0.25">
      <c r="A4" s="17"/>
      <c r="B4" s="1796"/>
      <c r="C4" s="76"/>
      <c r="D4" s="40"/>
      <c r="E4" s="40"/>
      <c r="F4" s="1796"/>
      <c r="G4" s="76"/>
      <c r="H4" s="48"/>
      <c r="I4" s="17"/>
    </row>
    <row r="5" spans="1:9" ht="12.75" customHeight="1" x14ac:dyDescent="0.25">
      <c r="A5" s="17"/>
      <c r="B5" s="655"/>
      <c r="C5" s="1797"/>
      <c r="D5" s="40"/>
      <c r="E5" s="40"/>
      <c r="F5" s="40"/>
      <c r="G5" s="1797"/>
      <c r="H5" s="48"/>
      <c r="I5" s="17"/>
    </row>
    <row r="6" spans="1:9" ht="7.5" customHeight="1" x14ac:dyDescent="0.25">
      <c r="A6" s="17"/>
      <c r="B6" s="655"/>
      <c r="C6" s="40"/>
      <c r="D6" s="40"/>
      <c r="E6" s="40"/>
      <c r="F6" s="40"/>
      <c r="G6" s="40"/>
      <c r="H6" s="48"/>
      <c r="I6" s="17"/>
    </row>
    <row r="7" spans="1:9" ht="12.75" customHeight="1" x14ac:dyDescent="0.25">
      <c r="A7" s="17"/>
      <c r="B7" s="1796"/>
      <c r="C7" s="76"/>
      <c r="D7" s="40"/>
      <c r="E7" s="40"/>
      <c r="F7" s="1798"/>
      <c r="G7" s="76"/>
      <c r="H7" s="48"/>
      <c r="I7" s="17"/>
    </row>
    <row r="8" spans="1:9" ht="12.75" customHeight="1" x14ac:dyDescent="0.25">
      <c r="A8" s="17"/>
      <c r="B8" s="656"/>
      <c r="C8" s="1797"/>
      <c r="D8" s="40"/>
      <c r="E8" s="40"/>
      <c r="F8" s="40"/>
      <c r="G8" s="1797"/>
      <c r="H8" s="48"/>
      <c r="I8" s="17"/>
    </row>
    <row r="9" spans="1:9" ht="7.5" customHeight="1" x14ac:dyDescent="0.25">
      <c r="A9" s="17"/>
      <c r="B9" s="656"/>
      <c r="C9" s="610"/>
      <c r="D9" s="40"/>
      <c r="E9" s="40"/>
      <c r="F9" s="40"/>
      <c r="G9" s="40"/>
      <c r="H9" s="48"/>
      <c r="I9" s="17"/>
    </row>
    <row r="10" spans="1:9" ht="12.75" customHeight="1" x14ac:dyDescent="0.25">
      <c r="A10" s="17"/>
      <c r="B10" s="1796"/>
      <c r="C10" s="76"/>
      <c r="D10" s="40"/>
      <c r="E10" s="40"/>
      <c r="F10" s="1796"/>
      <c r="G10" s="76"/>
      <c r="H10" s="48"/>
      <c r="I10" s="17"/>
    </row>
    <row r="11" spans="1:9" ht="12.75" customHeight="1" x14ac:dyDescent="0.25">
      <c r="A11" s="17"/>
      <c r="B11" s="655"/>
      <c r="C11" s="1797"/>
      <c r="D11" s="40"/>
      <c r="E11" s="40"/>
      <c r="F11" s="40"/>
      <c r="G11" s="1797"/>
      <c r="H11" s="48"/>
      <c r="I11" s="17"/>
    </row>
    <row r="12" spans="1:9" ht="7.5" customHeight="1" x14ac:dyDescent="0.25">
      <c r="A12" s="17"/>
      <c r="B12" s="657"/>
      <c r="C12" s="76"/>
      <c r="D12" s="76"/>
      <c r="E12" s="40"/>
      <c r="F12" s="40"/>
      <c r="G12" s="40"/>
      <c r="H12" s="48"/>
      <c r="I12" s="17"/>
    </row>
    <row r="13" spans="1:9" ht="12.75" customHeight="1" x14ac:dyDescent="0.25">
      <c r="A13" s="17"/>
      <c r="B13" s="1798"/>
      <c r="C13" s="40"/>
      <c r="D13" s="40"/>
      <c r="E13" s="40"/>
      <c r="F13" s="40"/>
      <c r="G13" s="76"/>
      <c r="H13" s="48"/>
      <c r="I13" s="17"/>
    </row>
    <row r="14" spans="1:9" ht="12.75" customHeight="1" x14ac:dyDescent="0.25">
      <c r="A14" s="17"/>
      <c r="B14" s="655"/>
      <c r="C14" s="1799"/>
      <c r="D14" s="76"/>
      <c r="E14" s="40"/>
      <c r="F14" s="40"/>
      <c r="G14" s="40"/>
      <c r="H14" s="48"/>
      <c r="I14" s="17"/>
    </row>
    <row r="15" spans="1:9" ht="7.5" customHeight="1" x14ac:dyDescent="0.25">
      <c r="A15" s="17"/>
      <c r="B15" s="655"/>
      <c r="C15" s="76"/>
      <c r="D15" s="76"/>
      <c r="E15" s="40"/>
      <c r="F15" s="40"/>
      <c r="G15" s="40"/>
      <c r="H15" s="48"/>
      <c r="I15" s="17"/>
    </row>
    <row r="16" spans="1:9" ht="12.75" customHeight="1" x14ac:dyDescent="0.25">
      <c r="A16" s="17"/>
      <c r="B16" s="1796"/>
      <c r="C16" s="611"/>
      <c r="D16" s="76"/>
      <c r="E16" s="40"/>
      <c r="F16" s="1796"/>
      <c r="G16" s="76"/>
      <c r="H16" s="48"/>
      <c r="I16" s="17"/>
    </row>
    <row r="17" spans="1:9" ht="12.75" customHeight="1" x14ac:dyDescent="0.25">
      <c r="A17" s="17"/>
      <c r="B17" s="655"/>
      <c r="C17" s="1799"/>
      <c r="D17" s="76"/>
      <c r="E17" s="40"/>
      <c r="F17" s="40"/>
      <c r="G17" s="1799"/>
      <c r="H17" s="48"/>
      <c r="I17" s="17"/>
    </row>
    <row r="18" spans="1:9" ht="7.5" customHeight="1" x14ac:dyDescent="0.25">
      <c r="A18" s="17"/>
      <c r="B18" s="655"/>
      <c r="C18" s="76"/>
      <c r="D18" s="76"/>
      <c r="E18" s="40"/>
      <c r="F18" s="40"/>
      <c r="G18" s="40"/>
      <c r="H18" s="48"/>
      <c r="I18" s="17"/>
    </row>
    <row r="19" spans="1:9" x14ac:dyDescent="0.25">
      <c r="A19" s="17"/>
      <c r="B19" s="1796"/>
      <c r="C19" s="611"/>
      <c r="D19" s="76"/>
      <c r="E19" s="40"/>
      <c r="F19" s="1796"/>
      <c r="G19" s="76"/>
      <c r="H19" s="48"/>
      <c r="I19" s="17"/>
    </row>
    <row r="20" spans="1:9" ht="12.75" customHeight="1" x14ac:dyDescent="0.25">
      <c r="A20" s="17"/>
      <c r="B20" s="655"/>
      <c r="C20" s="1799"/>
      <c r="D20" s="76"/>
      <c r="E20" s="40"/>
      <c r="F20" s="40"/>
      <c r="G20" s="1799"/>
      <c r="H20" s="48"/>
      <c r="I20" s="17"/>
    </row>
    <row r="21" spans="1:9" ht="7.5" customHeight="1" x14ac:dyDescent="0.25">
      <c r="A21" s="17"/>
      <c r="B21" s="1800"/>
      <c r="C21" s="1801"/>
      <c r="D21" s="1802"/>
      <c r="E21" s="1802"/>
      <c r="F21" s="1802"/>
      <c r="G21" s="1802"/>
      <c r="H21" s="1803"/>
      <c r="I21" s="17"/>
    </row>
    <row r="22" spans="1:9" ht="12.75" customHeight="1" x14ac:dyDescent="0.25">
      <c r="A22" s="17"/>
      <c r="B22" s="17"/>
      <c r="C22" s="17"/>
      <c r="D22" s="17"/>
      <c r="E22" s="17"/>
      <c r="F22" s="17"/>
      <c r="G22" s="17"/>
      <c r="H22" s="17"/>
      <c r="I22" s="17"/>
    </row>
    <row r="23" spans="1:9" x14ac:dyDescent="0.25">
      <c r="A23" s="17"/>
      <c r="B23" s="17"/>
      <c r="C23" s="17"/>
      <c r="D23" s="17"/>
      <c r="E23" s="17"/>
      <c r="F23" s="17"/>
      <c r="G23" s="17"/>
      <c r="H23" s="17"/>
      <c r="I23" s="17"/>
    </row>
    <row r="24" spans="1:9" x14ac:dyDescent="0.25">
      <c r="A24" s="17"/>
      <c r="B24" s="17"/>
      <c r="C24" s="17"/>
      <c r="D24" s="17"/>
      <c r="E24" s="17"/>
      <c r="F24" s="17"/>
      <c r="G24" s="17"/>
      <c r="H24" s="17"/>
      <c r="I24" s="17"/>
    </row>
    <row r="25" spans="1:9" x14ac:dyDescent="0.25">
      <c r="A25" s="17"/>
      <c r="B25" s="17"/>
      <c r="C25" s="17"/>
      <c r="D25" s="17"/>
      <c r="E25" s="17"/>
      <c r="F25" s="17"/>
      <c r="G25" s="17"/>
      <c r="H25" s="17"/>
      <c r="I25" s="17"/>
    </row>
    <row r="26" spans="1:9" x14ac:dyDescent="0.25">
      <c r="A26" s="17"/>
      <c r="B26" s="17"/>
      <c r="C26" s="17"/>
      <c r="D26" s="17"/>
      <c r="E26" s="17"/>
      <c r="F26" s="17"/>
      <c r="G26" s="17"/>
      <c r="H26" s="17"/>
      <c r="I26" s="17"/>
    </row>
    <row r="27" spans="1:9" x14ac:dyDescent="0.25">
      <c r="A27" s="17"/>
      <c r="B27" s="17"/>
      <c r="C27" s="17"/>
      <c r="D27" s="17"/>
      <c r="E27" s="17"/>
      <c r="F27" s="17"/>
      <c r="G27" s="17"/>
      <c r="H27" s="17"/>
      <c r="I27" s="17"/>
    </row>
    <row r="28" spans="1:9" x14ac:dyDescent="0.25">
      <c r="A28" s="17"/>
      <c r="B28" s="17"/>
      <c r="C28" s="17"/>
      <c r="D28" s="17"/>
      <c r="E28" s="17"/>
      <c r="F28" s="17"/>
      <c r="G28" s="17"/>
      <c r="H28" s="17"/>
      <c r="I28" s="17"/>
    </row>
  </sheetData>
  <phoneticPr fontId="58" type="noConversion"/>
  <pageMargins left="0.196850393700787" right="0.196850393700787" top="0.196850393700787" bottom="0.196850393700787" header="0" footer="0"/>
  <pageSetup paperSize="9" orientation="landscape" r:id="rId1"/>
  <headerFooter alignWithMargins="0">
    <oddFooter>&amp;C&amp;1#&amp;"Calibri"&amp;10&amp;K000000OFFICIAL-SENSITIVE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dimension ref="A1:D54"/>
  <sheetViews>
    <sheetView showGridLines="0" workbookViewId="0">
      <selection activeCell="B1" sqref="B1"/>
    </sheetView>
  </sheetViews>
  <sheetFormatPr defaultRowHeight="12.5" x14ac:dyDescent="0.25"/>
  <cols>
    <col min="1" max="1" width="11.54296875" customWidth="1"/>
    <col min="2" max="3" width="36.54296875" bestFit="1" customWidth="1"/>
    <col min="4" max="4" width="15.81640625" customWidth="1"/>
  </cols>
  <sheetData>
    <row r="1" spans="1:4" x14ac:dyDescent="0.25">
      <c r="A1" s="327"/>
      <c r="B1" s="328"/>
      <c r="C1" s="328" t="s">
        <v>4637</v>
      </c>
      <c r="D1" s="507" t="s">
        <v>4638</v>
      </c>
    </row>
    <row r="2" spans="1:4" x14ac:dyDescent="0.25">
      <c r="A2" s="330"/>
      <c r="D2" s="331"/>
    </row>
    <row r="3" spans="1:4" x14ac:dyDescent="0.25">
      <c r="A3" s="330"/>
      <c r="D3" s="331"/>
    </row>
    <row r="4" spans="1:4" x14ac:dyDescent="0.25">
      <c r="A4" s="1804" t="s">
        <v>4639</v>
      </c>
      <c r="B4" s="1805" t="s">
        <v>4640</v>
      </c>
      <c r="C4" s="1806" t="s">
        <v>9571</v>
      </c>
      <c r="D4" s="1807"/>
    </row>
    <row r="5" spans="1:4" x14ac:dyDescent="0.25">
      <c r="A5" s="1804" t="s">
        <v>4641</v>
      </c>
      <c r="B5" s="1808" t="s">
        <v>4642</v>
      </c>
      <c r="C5" s="1809" t="s">
        <v>4643</v>
      </c>
      <c r="D5" s="1810"/>
    </row>
    <row r="6" spans="1:4" x14ac:dyDescent="0.25">
      <c r="A6" s="1804" t="s">
        <v>4644</v>
      </c>
      <c r="B6" s="1805" t="s">
        <v>4645</v>
      </c>
      <c r="C6" s="1806" t="s">
        <v>5299</v>
      </c>
      <c r="D6" s="1807"/>
    </row>
    <row r="7" spans="1:4" x14ac:dyDescent="0.25">
      <c r="A7" s="1804" t="s">
        <v>4646</v>
      </c>
      <c r="B7" s="1805" t="s">
        <v>4647</v>
      </c>
      <c r="C7" s="1806" t="s">
        <v>4648</v>
      </c>
      <c r="D7" s="1807"/>
    </row>
    <row r="8" spans="1:4" x14ac:dyDescent="0.25">
      <c r="A8" s="1804" t="s">
        <v>4649</v>
      </c>
      <c r="B8" s="1808" t="s">
        <v>4650</v>
      </c>
      <c r="C8" s="1806" t="s">
        <v>4651</v>
      </c>
      <c r="D8" s="1807"/>
    </row>
    <row r="9" spans="1:4" x14ac:dyDescent="0.25">
      <c r="A9" s="1804" t="s">
        <v>4652</v>
      </c>
      <c r="B9" s="1808" t="s">
        <v>4653</v>
      </c>
      <c r="C9" s="1806" t="s">
        <v>4654</v>
      </c>
      <c r="D9" s="1807"/>
    </row>
    <row r="10" spans="1:4" x14ac:dyDescent="0.25">
      <c r="A10" s="1804" t="s">
        <v>4655</v>
      </c>
      <c r="B10" s="1805" t="s">
        <v>4656</v>
      </c>
      <c r="C10" s="1806" t="s">
        <v>4657</v>
      </c>
      <c r="D10" s="1807"/>
    </row>
    <row r="11" spans="1:4" x14ac:dyDescent="0.25">
      <c r="A11" s="1804" t="s">
        <v>4658</v>
      </c>
      <c r="B11" s="1808" t="s">
        <v>4659</v>
      </c>
      <c r="C11" s="1806" t="s">
        <v>4562</v>
      </c>
      <c r="D11" s="1807"/>
    </row>
    <row r="12" spans="1:4" x14ac:dyDescent="0.25">
      <c r="A12" s="1804" t="s">
        <v>4660</v>
      </c>
      <c r="B12" s="1805" t="s">
        <v>4661</v>
      </c>
      <c r="C12" s="1806" t="s">
        <v>4662</v>
      </c>
      <c r="D12" s="1807"/>
    </row>
    <row r="13" spans="1:4" x14ac:dyDescent="0.25">
      <c r="A13" s="1804" t="s">
        <v>4663</v>
      </c>
      <c r="B13" s="1805" t="s">
        <v>4664</v>
      </c>
      <c r="C13" s="1806" t="s">
        <v>4564</v>
      </c>
      <c r="D13" s="1807"/>
    </row>
    <row r="14" spans="1:4" x14ac:dyDescent="0.25">
      <c r="A14" s="1804" t="s">
        <v>4665</v>
      </c>
      <c r="B14" s="1805" t="s">
        <v>4666</v>
      </c>
      <c r="C14" s="1806" t="s">
        <v>4667</v>
      </c>
      <c r="D14" s="1807"/>
    </row>
    <row r="15" spans="1:4" x14ac:dyDescent="0.25">
      <c r="A15" s="1804" t="s">
        <v>4668</v>
      </c>
      <c r="B15" s="1808" t="s">
        <v>4669</v>
      </c>
      <c r="C15" s="1811" t="s">
        <v>4580</v>
      </c>
      <c r="D15" s="1807"/>
    </row>
    <row r="16" spans="1:4" x14ac:dyDescent="0.25">
      <c r="A16" s="1804" t="s">
        <v>4670</v>
      </c>
      <c r="B16" s="1805" t="s">
        <v>4671</v>
      </c>
      <c r="C16" s="1806" t="s">
        <v>4672</v>
      </c>
      <c r="D16" s="1807"/>
    </row>
    <row r="17" spans="1:4" x14ac:dyDescent="0.25">
      <c r="A17" s="1804" t="s">
        <v>4673</v>
      </c>
      <c r="B17" s="1805" t="s">
        <v>4674</v>
      </c>
      <c r="C17" s="1806" t="s">
        <v>2187</v>
      </c>
      <c r="D17" s="1807"/>
    </row>
    <row r="18" spans="1:4" x14ac:dyDescent="0.25">
      <c r="A18" s="1804" t="s">
        <v>4675</v>
      </c>
      <c r="B18" s="1805" t="s">
        <v>4676</v>
      </c>
      <c r="C18" s="1812" t="s">
        <v>4677</v>
      </c>
      <c r="D18" s="1813"/>
    </row>
    <row r="19" spans="1:4" x14ac:dyDescent="0.25">
      <c r="A19" s="1804" t="s">
        <v>4678</v>
      </c>
      <c r="B19" s="1805" t="s">
        <v>4679</v>
      </c>
      <c r="C19" s="1812" t="s">
        <v>4677</v>
      </c>
      <c r="D19" s="1813"/>
    </row>
    <row r="20" spans="1:4" x14ac:dyDescent="0.25">
      <c r="A20" s="1804" t="s">
        <v>4680</v>
      </c>
      <c r="B20" s="1808" t="s">
        <v>4681</v>
      </c>
      <c r="C20" s="1806" t="s">
        <v>4677</v>
      </c>
      <c r="D20" s="1807"/>
    </row>
    <row r="21" spans="1:4" x14ac:dyDescent="0.25">
      <c r="A21" s="1814" t="s">
        <v>4682</v>
      </c>
      <c r="B21" s="1805" t="s">
        <v>4683</v>
      </c>
      <c r="C21" s="1635" t="s">
        <v>4684</v>
      </c>
      <c r="D21" s="1813"/>
    </row>
    <row r="22" spans="1:4" x14ac:dyDescent="0.25">
      <c r="A22" s="1814" t="s">
        <v>9569</v>
      </c>
      <c r="B22" s="1808" t="s">
        <v>9570</v>
      </c>
      <c r="C22" s="1804" t="s">
        <v>8292</v>
      </c>
      <c r="D22" s="1807"/>
    </row>
    <row r="23" spans="1:4" x14ac:dyDescent="0.25">
      <c r="A23" s="1814"/>
      <c r="B23" s="1808" t="s">
        <v>4685</v>
      </c>
      <c r="C23" s="1804"/>
      <c r="D23" s="1807"/>
    </row>
    <row r="24" spans="1:4" x14ac:dyDescent="0.25">
      <c r="A24" s="1814"/>
      <c r="B24" s="1635" t="s">
        <v>4686</v>
      </c>
      <c r="C24" s="1635"/>
      <c r="D24" s="1813"/>
    </row>
    <row r="25" spans="1:4" x14ac:dyDescent="0.25">
      <c r="A25" s="1814"/>
      <c r="B25" s="1808" t="s">
        <v>4687</v>
      </c>
      <c r="C25" s="1804"/>
      <c r="D25" s="1807"/>
    </row>
    <row r="26" spans="1:4" x14ac:dyDescent="0.25">
      <c r="A26" s="330"/>
      <c r="B26" t="s">
        <v>4688</v>
      </c>
      <c r="D26" s="331"/>
    </row>
    <row r="27" spans="1:4" x14ac:dyDescent="0.25">
      <c r="A27" s="1814"/>
      <c r="B27" s="1635"/>
      <c r="C27" s="1635"/>
      <c r="D27" s="1807"/>
    </row>
    <row r="28" spans="1:4" x14ac:dyDescent="0.25">
      <c r="A28" s="330"/>
      <c r="B28" t="s">
        <v>4689</v>
      </c>
      <c r="D28" s="331"/>
    </row>
    <row r="29" spans="1:4" x14ac:dyDescent="0.25">
      <c r="A29" s="330"/>
      <c r="D29" s="331"/>
    </row>
    <row r="30" spans="1:4" ht="13" x14ac:dyDescent="0.3">
      <c r="A30" s="330"/>
      <c r="B30" s="2"/>
      <c r="D30" s="331"/>
    </row>
    <row r="31" spans="1:4" x14ac:dyDescent="0.25">
      <c r="A31" s="1815"/>
      <c r="B31" s="1635" t="s">
        <v>4690</v>
      </c>
      <c r="C31" s="1812"/>
      <c r="D31" s="1816"/>
    </row>
    <row r="32" spans="1:4" x14ac:dyDescent="0.25">
      <c r="A32" s="1814" t="s">
        <v>4691</v>
      </c>
      <c r="B32" s="1635" t="s">
        <v>4692</v>
      </c>
      <c r="C32" s="1812" t="s">
        <v>4693</v>
      </c>
      <c r="D32" s="1813"/>
    </row>
    <row r="33" spans="1:4" x14ac:dyDescent="0.25">
      <c r="A33" s="1815"/>
      <c r="B33" s="1635"/>
      <c r="C33" s="1812"/>
      <c r="D33" s="1816"/>
    </row>
    <row r="34" spans="1:4" x14ac:dyDescent="0.25">
      <c r="A34" s="1814" t="s">
        <v>4694</v>
      </c>
      <c r="B34" s="1635" t="s">
        <v>4695</v>
      </c>
      <c r="C34" s="1812" t="s">
        <v>4696</v>
      </c>
      <c r="D34" s="1813"/>
    </row>
    <row r="35" spans="1:4" x14ac:dyDescent="0.25">
      <c r="A35" s="1815"/>
      <c r="B35" s="1635"/>
      <c r="C35" s="1812"/>
      <c r="D35" s="1816"/>
    </row>
    <row r="36" spans="1:4" x14ac:dyDescent="0.25">
      <c r="A36" s="1814" t="s">
        <v>4697</v>
      </c>
      <c r="B36" s="1635" t="s">
        <v>4698</v>
      </c>
      <c r="C36" s="1812" t="s">
        <v>4699</v>
      </c>
      <c r="D36" s="1813"/>
    </row>
    <row r="37" spans="1:4" x14ac:dyDescent="0.25">
      <c r="A37" s="1815"/>
      <c r="B37" s="1635"/>
      <c r="C37" s="1812"/>
      <c r="D37" s="1816"/>
    </row>
    <row r="38" spans="1:4" x14ac:dyDescent="0.25">
      <c r="A38" s="1814" t="s">
        <v>4700</v>
      </c>
      <c r="B38" s="1635" t="s">
        <v>4701</v>
      </c>
      <c r="C38" s="1812" t="s">
        <v>4702</v>
      </c>
      <c r="D38" s="1813">
        <v>0</v>
      </c>
    </row>
    <row r="39" spans="1:4" x14ac:dyDescent="0.25">
      <c r="A39" s="1815"/>
      <c r="B39" s="1635"/>
      <c r="C39" s="1812"/>
      <c r="D39" s="1816"/>
    </row>
    <row r="40" spans="1:4" x14ac:dyDescent="0.25">
      <c r="A40" s="1814" t="s">
        <v>4703</v>
      </c>
      <c r="B40" s="1635" t="s">
        <v>4704</v>
      </c>
      <c r="C40" s="1812" t="s">
        <v>4705</v>
      </c>
      <c r="D40" s="1813">
        <v>54963</v>
      </c>
    </row>
    <row r="41" spans="1:4" ht="13" thickBot="1" x14ac:dyDescent="0.3">
      <c r="A41" s="751"/>
      <c r="B41" s="752"/>
      <c r="C41" s="753"/>
      <c r="D41" s="754"/>
    </row>
    <row r="42" spans="1:4" x14ac:dyDescent="0.25">
      <c r="A42" t="s">
        <v>4706</v>
      </c>
      <c r="B42" t="s">
        <v>4707</v>
      </c>
      <c r="C42" t="s">
        <v>4708</v>
      </c>
      <c r="D42">
        <v>0</v>
      </c>
    </row>
    <row r="44" spans="1:4" x14ac:dyDescent="0.25">
      <c r="A44" t="s">
        <v>4709</v>
      </c>
      <c r="B44" t="s">
        <v>4710</v>
      </c>
      <c r="C44" t="s">
        <v>4711</v>
      </c>
    </row>
    <row r="46" spans="1:4" x14ac:dyDescent="0.25">
      <c r="A46" t="s">
        <v>4712</v>
      </c>
      <c r="B46" t="s">
        <v>4713</v>
      </c>
      <c r="C46" t="s">
        <v>4711</v>
      </c>
    </row>
    <row r="48" spans="1:4" x14ac:dyDescent="0.25">
      <c r="A48" t="s">
        <v>4714</v>
      </c>
      <c r="B48" t="s">
        <v>4715</v>
      </c>
      <c r="C48" t="s">
        <v>4716</v>
      </c>
      <c r="D48">
        <v>0</v>
      </c>
    </row>
    <row r="50" spans="1:4" x14ac:dyDescent="0.25">
      <c r="A50" t="s">
        <v>4717</v>
      </c>
      <c r="B50" t="s">
        <v>4718</v>
      </c>
      <c r="C50" t="s">
        <v>4719</v>
      </c>
      <c r="D50">
        <v>0</v>
      </c>
    </row>
    <row r="52" spans="1:4" x14ac:dyDescent="0.25">
      <c r="A52" t="s">
        <v>4720</v>
      </c>
      <c r="B52" t="s">
        <v>4721</v>
      </c>
      <c r="C52" t="s">
        <v>4711</v>
      </c>
    </row>
    <row r="54" spans="1:4" x14ac:dyDescent="0.25">
      <c r="A54" t="s">
        <v>4722</v>
      </c>
      <c r="B54" t="s">
        <v>4723</v>
      </c>
      <c r="C54" t="s">
        <v>4724</v>
      </c>
      <c r="D54">
        <v>0</v>
      </c>
    </row>
  </sheetData>
  <phoneticPr fontId="58" type="noConversion"/>
  <pageMargins left="0.75" right="0.75" top="1" bottom="1" header="0.5" footer="0.5"/>
  <pageSetup paperSize="9" orientation="portrait" r:id="rId1"/>
  <headerFooter alignWithMargins="0">
    <oddFooter>&amp;C&amp;1#&amp;"Calibri"&amp;10&amp;K000000OFFICIAL-SENSITIVE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6"/>
  <dimension ref="A1:I36"/>
  <sheetViews>
    <sheetView showGridLines="0" showRowColHeaders="0" topLeftCell="B1" workbookViewId="0">
      <selection activeCell="F14" sqref="F14"/>
    </sheetView>
  </sheetViews>
  <sheetFormatPr defaultRowHeight="12.5" x14ac:dyDescent="0.25"/>
  <cols>
    <col min="1" max="1" width="0" hidden="1" customWidth="1"/>
    <col min="2" max="2" width="5.1796875" customWidth="1"/>
    <col min="4" max="4" width="11.1796875" customWidth="1"/>
    <col min="5" max="5" width="12.1796875" customWidth="1"/>
    <col min="6" max="6" width="11" customWidth="1"/>
    <col min="7" max="7" width="11.453125" customWidth="1"/>
    <col min="9" max="9" width="10.1796875" bestFit="1" customWidth="1"/>
  </cols>
  <sheetData>
    <row r="1" spans="1:8" ht="13" x14ac:dyDescent="0.3">
      <c r="C1" s="2" t="s">
        <v>4725</v>
      </c>
    </row>
    <row r="3" spans="1:8" x14ac:dyDescent="0.25">
      <c r="C3" s="603" t="str">
        <f>"Swiss Interest: "&amp;DOLLAR('Swiss (SW)'!G37,0)</f>
        <v>Swiss Interest: £0</v>
      </c>
      <c r="H3" s="181"/>
    </row>
    <row r="4" spans="1:8" x14ac:dyDescent="0.25">
      <c r="D4" t="s">
        <v>4726</v>
      </c>
      <c r="E4" s="182">
        <f>'Swiss (SW)'!J67</f>
        <v>0</v>
      </c>
      <c r="F4" s="183" t="s">
        <v>4727</v>
      </c>
      <c r="G4" s="184">
        <f>'Swiss (SW)'!M67</f>
        <v>0</v>
      </c>
    </row>
    <row r="5" spans="1:8" x14ac:dyDescent="0.25">
      <c r="E5" s="181">
        <f>'Swiss (SW)'!J61</f>
        <v>0</v>
      </c>
      <c r="F5" s="183" t="s">
        <v>4728</v>
      </c>
      <c r="G5" s="184">
        <f>'Swiss (SW)'!M61</f>
        <v>0</v>
      </c>
    </row>
    <row r="6" spans="1:8" x14ac:dyDescent="0.25">
      <c r="E6" s="181">
        <f>'Swiss (SW)'!J55</f>
        <v>0</v>
      </c>
      <c r="F6" s="183" t="s">
        <v>4729</v>
      </c>
      <c r="G6" s="184">
        <f>'Swiss (SW)'!M55</f>
        <v>0</v>
      </c>
    </row>
    <row r="7" spans="1:8" x14ac:dyDescent="0.25">
      <c r="E7" s="1817">
        <f>'Swiss (SW)'!J40</f>
        <v>0</v>
      </c>
      <c r="F7" s="183" t="s">
        <v>4730</v>
      </c>
      <c r="G7" s="1818">
        <f>'Swiss (SW)'!M40</f>
        <v>0</v>
      </c>
    </row>
    <row r="8" spans="1:8" x14ac:dyDescent="0.25">
      <c r="D8" t="s">
        <v>3970</v>
      </c>
      <c r="E8" s="182">
        <f>E4+E5+E6+E7</f>
        <v>0</v>
      </c>
      <c r="F8" s="185"/>
      <c r="G8" s="604">
        <f>G4+G5+G6+G7</f>
        <v>0</v>
      </c>
    </row>
    <row r="9" spans="1:8" x14ac:dyDescent="0.25">
      <c r="F9" s="185"/>
    </row>
    <row r="10" spans="1:8" x14ac:dyDescent="0.25">
      <c r="A10" s="106">
        <f>'Swiss (SW)'!G3</f>
        <v>0</v>
      </c>
      <c r="C10" s="603" t="str">
        <f>"Swiss dividends that qualify for 10% UK tax credits: (net) "&amp;DOLLAR('Swiss Tax'!J16,0)&amp;", (gross) "&amp;DOLLAR('Swiss (SW)'!G3,0)</f>
        <v>Swiss dividends that qualify for 10% UK tax credits: (net) £0, (gross) £0</v>
      </c>
      <c r="D10" s="178"/>
      <c r="E10" s="178"/>
      <c r="F10" s="605"/>
      <c r="G10" s="178"/>
    </row>
    <row r="11" spans="1:8" x14ac:dyDescent="0.25">
      <c r="C11" s="178"/>
      <c r="D11" s="178" t="s">
        <v>4726</v>
      </c>
      <c r="E11" s="178"/>
      <c r="F11" s="178"/>
      <c r="G11" s="178"/>
      <c r="H11" s="182"/>
    </row>
    <row r="12" spans="1:8" x14ac:dyDescent="0.25">
      <c r="C12" s="178"/>
      <c r="D12" s="178"/>
      <c r="E12" s="606">
        <f>MAX(0,A10-E13-E14-'Taxable (c5)'!AX242)</f>
        <v>0</v>
      </c>
      <c r="F12" s="379" t="s">
        <v>4731</v>
      </c>
      <c r="G12" s="607">
        <f>TRUNC(E12*DivBR_rate,2)</f>
        <v>0</v>
      </c>
      <c r="H12" s="181"/>
    </row>
    <row r="13" spans="1:8" x14ac:dyDescent="0.25">
      <c r="C13" s="178"/>
      <c r="D13" s="178"/>
      <c r="E13" s="608">
        <f>'Swiss (SW)'!J12</f>
        <v>0</v>
      </c>
      <c r="F13" s="379" t="s">
        <v>4732</v>
      </c>
      <c r="G13" s="607">
        <f>TRUNC(E13*DivHR_rate,2)</f>
        <v>0</v>
      </c>
      <c r="H13" s="181"/>
    </row>
    <row r="14" spans="1:8" x14ac:dyDescent="0.25">
      <c r="C14" s="178"/>
      <c r="D14" s="178"/>
      <c r="E14" s="1819">
        <f>'Swiss (SW)'!J6</f>
        <v>0</v>
      </c>
      <c r="F14" s="379" t="s">
        <v>4733</v>
      </c>
      <c r="G14" s="1820">
        <f>TRUNC(E14*DivHR_rate,2)</f>
        <v>0</v>
      </c>
    </row>
    <row r="15" spans="1:8" x14ac:dyDescent="0.25">
      <c r="C15" s="178"/>
      <c r="D15" s="178"/>
      <c r="E15" s="606">
        <f>E11+E12+E13+E14</f>
        <v>0</v>
      </c>
      <c r="F15" s="178"/>
      <c r="G15" s="604">
        <f>G11+G12+G13+G14</f>
        <v>0</v>
      </c>
    </row>
    <row r="16" spans="1:8" x14ac:dyDescent="0.25">
      <c r="C16" s="178"/>
      <c r="D16" s="178"/>
      <c r="E16" s="178" t="s">
        <v>4734</v>
      </c>
      <c r="F16" s="178"/>
      <c r="G16" s="1820">
        <f>TRUNC(E15*SR_rate,2)</f>
        <v>0</v>
      </c>
    </row>
    <row r="17" spans="3:9" x14ac:dyDescent="0.25">
      <c r="C17" s="178"/>
      <c r="D17" s="178" t="s">
        <v>3970</v>
      </c>
      <c r="E17" s="178"/>
      <c r="F17" s="178"/>
      <c r="G17" s="607">
        <f>MAX(0,G15-G16)</f>
        <v>0</v>
      </c>
    </row>
    <row r="19" spans="3:9" x14ac:dyDescent="0.25">
      <c r="C19" s="603" t="str">
        <f>"Swiss dividends that do not qualify for 10% UK tax credits: "&amp;DOLLAR('Swiss (SW)'!G17,0)</f>
        <v>Swiss dividends that do not qualify for 10% UK tax credits: £0</v>
      </c>
      <c r="D19" s="178"/>
      <c r="E19" s="178"/>
      <c r="F19" s="178"/>
      <c r="G19" s="178"/>
    </row>
    <row r="20" spans="3:9" x14ac:dyDescent="0.25">
      <c r="C20" s="178"/>
      <c r="D20" s="178" t="s">
        <v>4726</v>
      </c>
      <c r="E20" s="606">
        <f>'Swiss (SW)'!J32</f>
        <v>0</v>
      </c>
      <c r="F20" s="379" t="s">
        <v>4731</v>
      </c>
      <c r="G20" s="607">
        <f>'Swiss (SW)'!M32</f>
        <v>0</v>
      </c>
    </row>
    <row r="21" spans="3:9" x14ac:dyDescent="0.25">
      <c r="C21" s="178"/>
      <c r="D21" s="178"/>
      <c r="E21" s="608">
        <f>'Swiss (SW)'!J26</f>
        <v>0</v>
      </c>
      <c r="F21" s="379" t="s">
        <v>4732</v>
      </c>
      <c r="G21" s="607">
        <f>'Swiss (SW)'!M26</f>
        <v>0</v>
      </c>
      <c r="H21" s="182"/>
      <c r="I21" s="181"/>
    </row>
    <row r="22" spans="3:9" x14ac:dyDescent="0.25">
      <c r="C22" s="178"/>
      <c r="D22" s="178"/>
      <c r="E22" s="1819">
        <f>'Swiss (SW)'!J20</f>
        <v>0</v>
      </c>
      <c r="F22" s="379" t="s">
        <v>4733</v>
      </c>
      <c r="G22" s="1820">
        <f>'Swiss (SW)'!M20</f>
        <v>0</v>
      </c>
    </row>
    <row r="23" spans="3:9" x14ac:dyDescent="0.25">
      <c r="C23" s="178"/>
      <c r="D23" s="178" t="s">
        <v>3970</v>
      </c>
      <c r="E23" s="606">
        <f>E19+E20+E21+E22</f>
        <v>0</v>
      </c>
      <c r="F23" s="178"/>
      <c r="G23" s="604">
        <f>G19+G20+G21+G22</f>
        <v>0</v>
      </c>
    </row>
    <row r="25" spans="3:9" x14ac:dyDescent="0.25">
      <c r="C25" t="str">
        <f>"Total Swiss dividends: "&amp;DOLLAR('Swiss (SW)'!G3+'Swiss (SW)'!G17,0)</f>
        <v>Total Swiss dividends: £0</v>
      </c>
    </row>
    <row r="26" spans="3:9" x14ac:dyDescent="0.25">
      <c r="D26" t="s">
        <v>4726</v>
      </c>
      <c r="E26" s="181">
        <f>E12+E20</f>
        <v>0</v>
      </c>
      <c r="F26" s="379" t="s">
        <v>4731</v>
      </c>
      <c r="G26" s="184">
        <f>G12+G20</f>
        <v>0</v>
      </c>
    </row>
    <row r="27" spans="3:9" x14ac:dyDescent="0.25">
      <c r="E27" s="181">
        <f t="shared" ref="E27:G29" si="0">E13+E21</f>
        <v>0</v>
      </c>
      <c r="F27" s="183" t="s">
        <v>4732</v>
      </c>
      <c r="G27" s="184">
        <f t="shared" si="0"/>
        <v>0</v>
      </c>
      <c r="I27" s="607"/>
    </row>
    <row r="28" spans="3:9" x14ac:dyDescent="0.25">
      <c r="E28" s="1817">
        <f t="shared" si="0"/>
        <v>0</v>
      </c>
      <c r="F28" s="379" t="s">
        <v>4735</v>
      </c>
      <c r="G28" s="1818">
        <f t="shared" si="0"/>
        <v>0</v>
      </c>
    </row>
    <row r="29" spans="3:9" x14ac:dyDescent="0.25">
      <c r="E29" s="181">
        <f t="shared" si="0"/>
        <v>0</v>
      </c>
      <c r="G29" s="184">
        <f t="shared" si="0"/>
        <v>0</v>
      </c>
    </row>
    <row r="30" spans="3:9" x14ac:dyDescent="0.25">
      <c r="E30" t="s">
        <v>4734</v>
      </c>
      <c r="G30" s="1818">
        <f>G16</f>
        <v>0</v>
      </c>
    </row>
    <row r="31" spans="3:9" ht="13" x14ac:dyDescent="0.3">
      <c r="D31" s="2" t="s">
        <v>4736</v>
      </c>
      <c r="E31" s="2"/>
      <c r="F31" s="2"/>
      <c r="G31" s="186">
        <f>G29-G30</f>
        <v>0</v>
      </c>
    </row>
    <row r="32" spans="3:9" ht="13" x14ac:dyDescent="0.3">
      <c r="D32" s="2"/>
      <c r="E32" s="2"/>
      <c r="F32" s="2"/>
      <c r="G32" s="2"/>
    </row>
    <row r="33" spans="4:7" ht="13" x14ac:dyDescent="0.3">
      <c r="D33" s="2" t="s">
        <v>4737</v>
      </c>
      <c r="E33" s="2"/>
      <c r="F33" s="2"/>
      <c r="G33" s="186">
        <f>G8</f>
        <v>0</v>
      </c>
    </row>
    <row r="34" spans="4:7" ht="13" x14ac:dyDescent="0.3">
      <c r="D34" s="2"/>
      <c r="E34" s="2"/>
      <c r="F34" s="2"/>
      <c r="G34" s="2"/>
    </row>
    <row r="35" spans="4:7" ht="13" x14ac:dyDescent="0.3">
      <c r="D35" s="2" t="s">
        <v>4738</v>
      </c>
      <c r="E35" s="2"/>
      <c r="F35" s="2"/>
      <c r="G35" s="1821">
        <f>G8+G17+G23</f>
        <v>0</v>
      </c>
    </row>
    <row r="36" spans="4:7" ht="13" x14ac:dyDescent="0.3">
      <c r="D36" s="2" t="s">
        <v>4739</v>
      </c>
      <c r="E36" s="2"/>
      <c r="F36" s="2"/>
      <c r="G36" s="2"/>
    </row>
  </sheetData>
  <phoneticPr fontId="58" type="noConversion"/>
  <pageMargins left="0.19685" right="0.19685" top="0.19685" bottom="0.19685" header="0" footer="0"/>
  <pageSetup paperSize="9" orientation="portrait" r:id="rId1"/>
  <headerFooter alignWithMargins="0">
    <oddFooter>&amp;C&amp;1#&amp;"Calibri"&amp;10&amp;K000000OFFICIAL-SENSITIVE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dimension ref="A1:I125"/>
  <sheetViews>
    <sheetView showGridLines="0" workbookViewId="0"/>
  </sheetViews>
  <sheetFormatPr defaultColWidth="9.1796875" defaultRowHeight="11.5" x14ac:dyDescent="0.25"/>
  <cols>
    <col min="1" max="1" width="4.54296875" style="1" customWidth="1"/>
    <col min="2" max="2" width="21.1796875" style="1" customWidth="1"/>
    <col min="3" max="3" width="20.1796875" style="1" customWidth="1"/>
    <col min="4" max="4" width="9.453125" style="1" customWidth="1"/>
    <col min="5" max="5" width="1" style="8" customWidth="1"/>
    <col min="6" max="6" width="5.1796875" style="1" customWidth="1"/>
    <col min="7" max="7" width="21.453125" style="1" bestFit="1" customWidth="1"/>
    <col min="8" max="8" width="17.1796875" style="1" customWidth="1"/>
    <col min="9" max="9" width="10.54296875" style="1" customWidth="1"/>
    <col min="10" max="10" width="2.54296875" style="8" customWidth="1"/>
    <col min="11" max="16384" width="9.1796875" style="8"/>
  </cols>
  <sheetData>
    <row r="1" spans="1:9" ht="12" customHeight="1" x14ac:dyDescent="0.3">
      <c r="A1" s="2068" t="s">
        <v>4740</v>
      </c>
      <c r="B1" s="2069" t="s">
        <v>4741</v>
      </c>
      <c r="C1" s="2070" t="s">
        <v>4742</v>
      </c>
      <c r="D1" s="2070" t="s">
        <v>4743</v>
      </c>
      <c r="F1" s="2068" t="s">
        <v>4740</v>
      </c>
      <c r="G1" s="2069" t="s">
        <v>4741</v>
      </c>
      <c r="H1" s="2070" t="s">
        <v>4742</v>
      </c>
      <c r="I1" s="2070" t="s">
        <v>4743</v>
      </c>
    </row>
    <row r="2" spans="1:9" ht="12.5" x14ac:dyDescent="0.25">
      <c r="A2" s="2071" t="s">
        <v>4744</v>
      </c>
      <c r="B2" s="2072" t="s">
        <v>4745</v>
      </c>
      <c r="C2" s="2073" t="s">
        <v>4746</v>
      </c>
      <c r="D2" s="2074"/>
      <c r="F2" s="2071" t="s">
        <v>4747</v>
      </c>
      <c r="G2" s="2072" t="s">
        <v>4748</v>
      </c>
      <c r="H2" s="2074" t="s">
        <v>4749</v>
      </c>
      <c r="I2" s="2074"/>
    </row>
    <row r="3" spans="1:9" ht="12.5" x14ac:dyDescent="0.25">
      <c r="A3" s="2071" t="s">
        <v>4750</v>
      </c>
      <c r="B3" s="2072" t="s">
        <v>4751</v>
      </c>
      <c r="C3" s="2074" t="s">
        <v>4752</v>
      </c>
      <c r="D3" s="2074"/>
      <c r="F3" s="2071" t="s">
        <v>4747</v>
      </c>
      <c r="G3" s="2072" t="s">
        <v>4753</v>
      </c>
      <c r="H3" s="2074" t="s">
        <v>4754</v>
      </c>
      <c r="I3" s="2075"/>
    </row>
    <row r="4" spans="1:9" ht="12.5" x14ac:dyDescent="0.25">
      <c r="A4" s="2071" t="s">
        <v>1862</v>
      </c>
      <c r="B4" s="2072" t="s">
        <v>4755</v>
      </c>
      <c r="C4" s="2074" t="s">
        <v>4756</v>
      </c>
      <c r="D4" s="2074"/>
      <c r="F4" s="2076" t="s">
        <v>4757</v>
      </c>
      <c r="G4" s="2072" t="s">
        <v>4758</v>
      </c>
      <c r="H4" s="2074" t="s">
        <v>4759</v>
      </c>
      <c r="I4" s="2074"/>
    </row>
    <row r="5" spans="1:9" ht="12.5" x14ac:dyDescent="0.25">
      <c r="A5" s="2071" t="s">
        <v>1942</v>
      </c>
      <c r="B5" s="2072" t="s">
        <v>4760</v>
      </c>
      <c r="C5" s="2074" t="s">
        <v>4761</v>
      </c>
      <c r="D5" s="2074"/>
      <c r="F5" s="2076" t="s">
        <v>4757</v>
      </c>
      <c r="G5" s="2072" t="s">
        <v>4762</v>
      </c>
      <c r="H5" s="2074" t="s">
        <v>4763</v>
      </c>
      <c r="I5" s="2075"/>
    </row>
    <row r="6" spans="1:9" ht="12.5" x14ac:dyDescent="0.25">
      <c r="A6" s="2071" t="s">
        <v>2131</v>
      </c>
      <c r="B6" s="2072" t="s">
        <v>4764</v>
      </c>
      <c r="C6" s="2074" t="s">
        <v>4765</v>
      </c>
      <c r="D6" s="2074"/>
      <c r="F6" s="2076" t="s">
        <v>4766</v>
      </c>
      <c r="G6" s="2072" t="s">
        <v>4767</v>
      </c>
      <c r="H6" s="2074" t="s">
        <v>4768</v>
      </c>
      <c r="I6" s="2074"/>
    </row>
    <row r="7" spans="1:9" ht="12.5" x14ac:dyDescent="0.25">
      <c r="A7" s="2071" t="s">
        <v>1864</v>
      </c>
      <c r="B7" s="2072" t="s">
        <v>4769</v>
      </c>
      <c r="C7" s="2074" t="s">
        <v>4770</v>
      </c>
      <c r="D7" s="2074"/>
      <c r="F7" s="2076" t="s">
        <v>4766</v>
      </c>
      <c r="G7" s="2072" t="s">
        <v>4771</v>
      </c>
      <c r="H7" s="2074" t="s">
        <v>4772</v>
      </c>
      <c r="I7" s="2077"/>
    </row>
    <row r="8" spans="1:9" ht="12.5" x14ac:dyDescent="0.25">
      <c r="A8" s="2071" t="s">
        <v>4773</v>
      </c>
      <c r="B8" s="2072" t="s">
        <v>4774</v>
      </c>
      <c r="C8" s="2074" t="s">
        <v>4775</v>
      </c>
      <c r="D8" s="2074"/>
      <c r="F8" s="2076" t="s">
        <v>4776</v>
      </c>
      <c r="G8" s="2072" t="s">
        <v>4777</v>
      </c>
      <c r="H8" s="2074" t="s">
        <v>4778</v>
      </c>
      <c r="I8" s="2077"/>
    </row>
    <row r="9" spans="1:9" ht="12" customHeight="1" x14ac:dyDescent="0.25">
      <c r="A9" s="2071" t="s">
        <v>4779</v>
      </c>
      <c r="B9" s="2072" t="s">
        <v>4780</v>
      </c>
      <c r="C9" s="2074" t="s">
        <v>4781</v>
      </c>
      <c r="D9" s="2074"/>
      <c r="F9" s="2076" t="s">
        <v>4776</v>
      </c>
      <c r="G9" s="2072" t="s">
        <v>4782</v>
      </c>
      <c r="H9" s="2074" t="s">
        <v>4783</v>
      </c>
      <c r="I9" s="2077"/>
    </row>
    <row r="10" spans="1:9" ht="12" customHeight="1" x14ac:dyDescent="0.25">
      <c r="A10" s="2071" t="s">
        <v>4784</v>
      </c>
      <c r="B10" s="2072" t="s">
        <v>4785</v>
      </c>
      <c r="C10" s="2074" t="s">
        <v>4786</v>
      </c>
      <c r="D10" s="2078"/>
      <c r="F10" s="2076" t="s">
        <v>4776</v>
      </c>
      <c r="G10" s="2072" t="s">
        <v>4787</v>
      </c>
      <c r="H10" s="2074" t="s">
        <v>4788</v>
      </c>
      <c r="I10" s="2077"/>
    </row>
    <row r="11" spans="1:9" ht="12" customHeight="1" x14ac:dyDescent="0.25">
      <c r="A11" s="2071" t="s">
        <v>4789</v>
      </c>
      <c r="B11" s="2072" t="s">
        <v>4790</v>
      </c>
      <c r="C11" s="2079" t="s">
        <v>4791</v>
      </c>
      <c r="D11" s="2074"/>
      <c r="F11" s="2076" t="s">
        <v>4792</v>
      </c>
      <c r="G11" s="2072" t="s">
        <v>4793</v>
      </c>
      <c r="H11" s="2074" t="s">
        <v>4794</v>
      </c>
      <c r="I11" s="2077"/>
    </row>
    <row r="12" spans="1:9" ht="12" customHeight="1" x14ac:dyDescent="0.25">
      <c r="A12" s="2071" t="s">
        <v>1865</v>
      </c>
      <c r="B12" s="2072" t="s">
        <v>4795</v>
      </c>
      <c r="C12" s="2074" t="s">
        <v>4796</v>
      </c>
      <c r="D12" s="2074"/>
      <c r="F12" s="2076" t="s">
        <v>4792</v>
      </c>
      <c r="G12" s="2072" t="s">
        <v>4797</v>
      </c>
      <c r="H12" s="2074" t="s">
        <v>4798</v>
      </c>
      <c r="I12" s="2077"/>
    </row>
    <row r="13" spans="1:9" ht="12.5" x14ac:dyDescent="0.25">
      <c r="A13" s="2071" t="s">
        <v>4799</v>
      </c>
      <c r="B13" s="2072" t="s">
        <v>4800</v>
      </c>
      <c r="C13" s="2080" t="s">
        <v>4801</v>
      </c>
      <c r="D13" s="2074"/>
      <c r="F13" s="2076" t="s">
        <v>4802</v>
      </c>
      <c r="G13" s="963" t="s">
        <v>4803</v>
      </c>
      <c r="H13" s="964" t="s">
        <v>4804</v>
      </c>
      <c r="I13" s="2077"/>
    </row>
    <row r="14" spans="1:9" ht="12.5" x14ac:dyDescent="0.25">
      <c r="A14" s="2071" t="s">
        <v>4805</v>
      </c>
      <c r="B14" s="2072" t="s">
        <v>4806</v>
      </c>
      <c r="C14" s="2074" t="s">
        <v>4807</v>
      </c>
      <c r="D14" s="2074"/>
      <c r="F14" s="2076" t="s">
        <v>4808</v>
      </c>
      <c r="G14" s="2072" t="s">
        <v>4809</v>
      </c>
      <c r="H14" s="2074" t="s">
        <v>4810</v>
      </c>
      <c r="I14" s="2077"/>
    </row>
    <row r="15" spans="1:9" ht="12.5" x14ac:dyDescent="0.25">
      <c r="A15" s="2071" t="s">
        <v>4811</v>
      </c>
      <c r="B15" s="2072" t="s">
        <v>4812</v>
      </c>
      <c r="C15" s="2080" t="s">
        <v>4813</v>
      </c>
      <c r="D15" s="2074"/>
      <c r="F15" s="2076" t="s">
        <v>4814</v>
      </c>
      <c r="G15" s="2072" t="s">
        <v>4815</v>
      </c>
      <c r="H15" s="2073" t="s">
        <v>4816</v>
      </c>
      <c r="I15" s="2081"/>
    </row>
    <row r="16" spans="1:9" ht="12.5" x14ac:dyDescent="0.25">
      <c r="A16" s="2071" t="s">
        <v>2132</v>
      </c>
      <c r="B16" s="2072" t="s">
        <v>4817</v>
      </c>
      <c r="C16" s="2074" t="s">
        <v>4818</v>
      </c>
      <c r="D16" s="2074"/>
      <c r="F16" s="2071" t="s">
        <v>4819</v>
      </c>
      <c r="G16" s="2072" t="s">
        <v>2060</v>
      </c>
      <c r="H16" s="2074" t="s">
        <v>4820</v>
      </c>
      <c r="I16" s="2075"/>
    </row>
    <row r="17" spans="1:9" ht="12.5" x14ac:dyDescent="0.25">
      <c r="A17" s="2071" t="s">
        <v>4821</v>
      </c>
      <c r="B17" s="2072" t="s">
        <v>4822</v>
      </c>
      <c r="C17" s="2074" t="s">
        <v>4823</v>
      </c>
      <c r="D17" s="2074"/>
      <c r="F17" s="2071" t="s">
        <v>4819</v>
      </c>
      <c r="G17" s="2072" t="s">
        <v>4824</v>
      </c>
      <c r="H17" s="2075" t="s">
        <v>4825</v>
      </c>
      <c r="I17" s="2075"/>
    </row>
    <row r="18" spans="1:9" ht="12.5" x14ac:dyDescent="0.25">
      <c r="A18" s="2071" t="s">
        <v>4826</v>
      </c>
      <c r="B18" s="2072" t="s">
        <v>4827</v>
      </c>
      <c r="C18" s="2073" t="s">
        <v>4828</v>
      </c>
      <c r="D18" s="2074"/>
      <c r="F18" s="2071" t="s">
        <v>4829</v>
      </c>
      <c r="G18" s="2072" t="s">
        <v>4830</v>
      </c>
      <c r="H18" s="2075" t="s">
        <v>4831</v>
      </c>
      <c r="I18" s="2075"/>
    </row>
    <row r="19" spans="1:9" ht="12.5" x14ac:dyDescent="0.25">
      <c r="A19" s="2071" t="s">
        <v>4832</v>
      </c>
      <c r="B19" s="2072" t="s">
        <v>4833</v>
      </c>
      <c r="C19" s="2074" t="s">
        <v>4834</v>
      </c>
      <c r="D19" s="2074"/>
      <c r="F19" s="2071" t="s">
        <v>4835</v>
      </c>
      <c r="G19" s="2072" t="s">
        <v>4836</v>
      </c>
      <c r="H19" s="2073" t="s">
        <v>4837</v>
      </c>
      <c r="I19" s="2074"/>
    </row>
    <row r="20" spans="1:9" ht="12.5" x14ac:dyDescent="0.25">
      <c r="A20" s="2071" t="s">
        <v>1946</v>
      </c>
      <c r="B20" s="2072" t="s">
        <v>4838</v>
      </c>
      <c r="C20" s="2074" t="s">
        <v>4839</v>
      </c>
      <c r="D20" s="2074"/>
      <c r="F20" s="2071" t="s">
        <v>4840</v>
      </c>
      <c r="G20" s="2072" t="s">
        <v>4841</v>
      </c>
      <c r="H20" s="2074" t="s">
        <v>4842</v>
      </c>
      <c r="I20" s="2075"/>
    </row>
    <row r="21" spans="1:9" ht="12.5" x14ac:dyDescent="0.25">
      <c r="A21" s="2071" t="s">
        <v>4843</v>
      </c>
      <c r="B21" s="2072" t="s">
        <v>4844</v>
      </c>
      <c r="C21" s="2074" t="s">
        <v>4845</v>
      </c>
      <c r="D21" s="2074"/>
      <c r="F21" s="2071" t="s">
        <v>4846</v>
      </c>
      <c r="G21" s="2072" t="s">
        <v>4847</v>
      </c>
      <c r="H21" s="2074" t="s">
        <v>4848</v>
      </c>
      <c r="I21" s="2074"/>
    </row>
    <row r="22" spans="1:9" ht="12.5" x14ac:dyDescent="0.25">
      <c r="A22" s="2071" t="s">
        <v>1867</v>
      </c>
      <c r="B22" s="2072" t="s">
        <v>4849</v>
      </c>
      <c r="C22" s="2074" t="s">
        <v>4850</v>
      </c>
      <c r="D22" s="2074"/>
      <c r="F22" s="2071" t="s">
        <v>4846</v>
      </c>
      <c r="G22" s="2072" t="s">
        <v>4851</v>
      </c>
      <c r="H22" s="2074" t="s">
        <v>4852</v>
      </c>
      <c r="I22" s="2075"/>
    </row>
    <row r="23" spans="1:9" ht="12.5" x14ac:dyDescent="0.25">
      <c r="A23" s="2071" t="s">
        <v>4853</v>
      </c>
      <c r="B23" s="2072" t="s">
        <v>4854</v>
      </c>
      <c r="C23" s="2074" t="s">
        <v>4855</v>
      </c>
      <c r="D23" s="2074"/>
      <c r="F23" s="2071" t="s">
        <v>4856</v>
      </c>
      <c r="G23" s="2072" t="s">
        <v>4857</v>
      </c>
      <c r="H23" s="2074" t="s">
        <v>4858</v>
      </c>
      <c r="I23" s="2075"/>
    </row>
    <row r="24" spans="1:9" ht="12.5" x14ac:dyDescent="0.25">
      <c r="A24" s="2071" t="s">
        <v>4859</v>
      </c>
      <c r="B24" s="2072" t="s">
        <v>4860</v>
      </c>
      <c r="C24" s="2073" t="s">
        <v>4861</v>
      </c>
      <c r="D24" s="2074"/>
      <c r="F24" s="2071" t="s">
        <v>4856</v>
      </c>
      <c r="G24" s="2072" t="s">
        <v>4862</v>
      </c>
      <c r="H24" s="2074" t="s">
        <v>4816</v>
      </c>
      <c r="I24" s="2082"/>
    </row>
    <row r="25" spans="1:9" ht="12.5" x14ac:dyDescent="0.25">
      <c r="A25" s="2071" t="s">
        <v>1948</v>
      </c>
      <c r="B25" s="2072" t="s">
        <v>4863</v>
      </c>
      <c r="C25" s="2074" t="s">
        <v>4864</v>
      </c>
      <c r="D25" s="2074"/>
      <c r="F25" s="2071" t="s">
        <v>4865</v>
      </c>
      <c r="G25" s="2072" t="s">
        <v>4866</v>
      </c>
      <c r="H25" s="2083" t="s">
        <v>4867</v>
      </c>
      <c r="I25" s="2073"/>
    </row>
    <row r="26" spans="1:9" ht="12.5" x14ac:dyDescent="0.25">
      <c r="A26" s="2071" t="s">
        <v>1869</v>
      </c>
      <c r="B26" s="2072" t="s">
        <v>4868</v>
      </c>
      <c r="C26" s="2083" t="s">
        <v>4869</v>
      </c>
      <c r="D26" s="2074"/>
      <c r="F26" s="2071" t="s">
        <v>4870</v>
      </c>
      <c r="G26" s="2072" t="s">
        <v>4871</v>
      </c>
      <c r="H26" s="2074" t="s">
        <v>4872</v>
      </c>
      <c r="I26" s="2077"/>
    </row>
    <row r="27" spans="1:9" ht="12.5" x14ac:dyDescent="0.25">
      <c r="A27" s="2071" t="s">
        <v>2134</v>
      </c>
      <c r="B27" s="2072" t="s">
        <v>4873</v>
      </c>
      <c r="C27" s="2083" t="s">
        <v>4874</v>
      </c>
      <c r="D27" s="2074"/>
      <c r="F27" s="2071" t="s">
        <v>4875</v>
      </c>
      <c r="G27" s="2072" t="s">
        <v>4876</v>
      </c>
      <c r="H27" s="2074" t="s">
        <v>4877</v>
      </c>
      <c r="I27" s="2075"/>
    </row>
    <row r="28" spans="1:9" ht="12.5" x14ac:dyDescent="0.25">
      <c r="A28" s="2071" t="s">
        <v>2134</v>
      </c>
      <c r="B28" s="2072" t="s">
        <v>4878</v>
      </c>
      <c r="C28" s="178" t="s">
        <v>4879</v>
      </c>
      <c r="D28" s="2073"/>
      <c r="F28" s="2071" t="s">
        <v>4880</v>
      </c>
      <c r="G28" s="2072" t="s">
        <v>4881</v>
      </c>
      <c r="H28" s="2074" t="s">
        <v>4882</v>
      </c>
      <c r="I28" s="2075"/>
    </row>
    <row r="29" spans="1:9" ht="12.5" x14ac:dyDescent="0.25">
      <c r="A29" s="2071" t="s">
        <v>1870</v>
      </c>
      <c r="B29" s="2072" t="s">
        <v>4883</v>
      </c>
      <c r="C29" s="2074" t="s">
        <v>4884</v>
      </c>
      <c r="D29" s="2074"/>
      <c r="F29" s="2368" t="s">
        <v>9564</v>
      </c>
      <c r="G29" s="2087" t="s">
        <v>9567</v>
      </c>
      <c r="H29" s="2088" t="s">
        <v>4938</v>
      </c>
      <c r="I29" s="2089"/>
    </row>
    <row r="30" spans="1:9" ht="12.5" x14ac:dyDescent="0.25">
      <c r="A30" s="2071" t="s">
        <v>4888</v>
      </c>
      <c r="B30" s="2072" t="s">
        <v>4889</v>
      </c>
      <c r="C30" s="2074" t="s">
        <v>4890</v>
      </c>
      <c r="D30" s="2074"/>
      <c r="F30" s="2368" t="s">
        <v>9564</v>
      </c>
      <c r="G30" s="2087" t="s">
        <v>9568</v>
      </c>
      <c r="H30" s="2088" t="s">
        <v>8293</v>
      </c>
      <c r="I30" s="2089"/>
    </row>
    <row r="31" spans="1:9" ht="12.5" x14ac:dyDescent="0.25">
      <c r="A31" s="2084" t="s">
        <v>4893</v>
      </c>
      <c r="B31" s="2085" t="s">
        <v>4894</v>
      </c>
      <c r="C31" s="2086" t="s">
        <v>4895</v>
      </c>
      <c r="D31" s="2086"/>
      <c r="F31" s="2071" t="s">
        <v>4885</v>
      </c>
      <c r="G31" s="2072" t="s">
        <v>4886</v>
      </c>
      <c r="H31" s="2083" t="s">
        <v>4887</v>
      </c>
      <c r="I31" s="2075"/>
    </row>
    <row r="32" spans="1:9" ht="12.75" customHeight="1" x14ac:dyDescent="0.25">
      <c r="A32" s="2084" t="s">
        <v>4898</v>
      </c>
      <c r="B32" s="2085" t="s">
        <v>4899</v>
      </c>
      <c r="C32" s="2086" t="s">
        <v>4900</v>
      </c>
      <c r="D32" s="2086"/>
      <c r="F32" s="2071" t="s">
        <v>4885</v>
      </c>
      <c r="G32" s="2072" t="s">
        <v>4891</v>
      </c>
      <c r="H32" s="2083" t="s">
        <v>4892</v>
      </c>
      <c r="I32" s="2075"/>
    </row>
    <row r="33" spans="1:9" ht="12.5" x14ac:dyDescent="0.25">
      <c r="A33" s="2084" t="s">
        <v>4898</v>
      </c>
      <c r="B33" s="2085" t="s">
        <v>9572</v>
      </c>
      <c r="C33" s="2086" t="s">
        <v>4904</v>
      </c>
      <c r="D33" s="2086"/>
      <c r="F33" s="2071" t="s">
        <v>4885</v>
      </c>
      <c r="G33" s="2072" t="s">
        <v>4896</v>
      </c>
      <c r="H33" s="2074" t="s">
        <v>4897</v>
      </c>
      <c r="I33" s="2075"/>
    </row>
    <row r="34" spans="1:9" ht="12.5" x14ac:dyDescent="0.25">
      <c r="A34" s="2071" t="s">
        <v>2135</v>
      </c>
      <c r="B34" s="2072" t="s">
        <v>4907</v>
      </c>
      <c r="C34" s="2083" t="s">
        <v>4908</v>
      </c>
      <c r="D34" s="2074"/>
      <c r="F34" s="2071" t="s">
        <v>4901</v>
      </c>
      <c r="G34" s="2072" t="s">
        <v>4902</v>
      </c>
      <c r="H34" s="2074" t="s">
        <v>4903</v>
      </c>
      <c r="I34" s="2075"/>
    </row>
    <row r="35" spans="1:9" ht="12.5" x14ac:dyDescent="0.25">
      <c r="A35" s="2071" t="s">
        <v>4911</v>
      </c>
      <c r="B35" s="2072" t="s">
        <v>4912</v>
      </c>
      <c r="C35" s="2073" t="s">
        <v>4913</v>
      </c>
      <c r="D35" s="2074"/>
      <c r="F35" s="2071" t="s">
        <v>4901</v>
      </c>
      <c r="G35" s="2072" t="s">
        <v>4905</v>
      </c>
      <c r="H35" s="2074" t="s">
        <v>4906</v>
      </c>
      <c r="I35" s="2075"/>
    </row>
    <row r="36" spans="1:9" ht="12.5" x14ac:dyDescent="0.25">
      <c r="A36" s="2071" t="s">
        <v>1875</v>
      </c>
      <c r="B36" s="2072" t="s">
        <v>4917</v>
      </c>
      <c r="C36" s="2083" t="s">
        <v>4918</v>
      </c>
      <c r="D36" s="2074"/>
      <c r="F36" s="2071" t="s">
        <v>4901</v>
      </c>
      <c r="G36" s="2072" t="s">
        <v>4909</v>
      </c>
      <c r="H36" s="2074" t="s">
        <v>4910</v>
      </c>
      <c r="I36" s="2075"/>
    </row>
    <row r="37" spans="1:9" ht="12.5" x14ac:dyDescent="0.25">
      <c r="A37" s="2071" t="s">
        <v>4922</v>
      </c>
      <c r="B37" s="2072" t="s">
        <v>4923</v>
      </c>
      <c r="C37" s="2083" t="s">
        <v>4924</v>
      </c>
      <c r="D37" s="2074"/>
      <c r="F37" s="2071" t="s">
        <v>4914</v>
      </c>
      <c r="G37" s="2072" t="s">
        <v>4915</v>
      </c>
      <c r="H37" s="2074" t="s">
        <v>4916</v>
      </c>
      <c r="I37" s="2075"/>
    </row>
    <row r="38" spans="1:9" ht="12.5" x14ac:dyDescent="0.25">
      <c r="A38" s="2071" t="s">
        <v>1876</v>
      </c>
      <c r="B38" s="2072" t="s">
        <v>4926</v>
      </c>
      <c r="C38" s="2083" t="s">
        <v>4927</v>
      </c>
      <c r="D38" s="2074"/>
      <c r="F38" s="2071" t="s">
        <v>4919</v>
      </c>
      <c r="G38" s="2072" t="s">
        <v>4920</v>
      </c>
      <c r="H38" s="2074" t="s">
        <v>4921</v>
      </c>
      <c r="I38" s="2075"/>
    </row>
    <row r="39" spans="1:9" ht="12.5" x14ac:dyDescent="0.25">
      <c r="A39" s="2071" t="s">
        <v>1952</v>
      </c>
      <c r="B39" s="2072" t="s">
        <v>4928</v>
      </c>
      <c r="C39" s="2073" t="s">
        <v>4929</v>
      </c>
      <c r="D39" s="2074"/>
      <c r="F39" s="2071" t="s">
        <v>4925</v>
      </c>
      <c r="G39" s="2085" t="s">
        <v>5066</v>
      </c>
      <c r="H39" s="2086" t="s">
        <v>9576</v>
      </c>
      <c r="I39" s="2375"/>
    </row>
    <row r="40" spans="1:9" ht="12.5" x14ac:dyDescent="0.25">
      <c r="A40" s="2071" t="s">
        <v>4932</v>
      </c>
      <c r="B40" s="2072" t="s">
        <v>4933</v>
      </c>
      <c r="C40" s="2074" t="s">
        <v>4934</v>
      </c>
      <c r="D40" s="2074"/>
      <c r="F40" s="2071" t="s">
        <v>4925</v>
      </c>
      <c r="G40" s="2085" t="s">
        <v>5070</v>
      </c>
      <c r="H40" s="2086" t="s">
        <v>8292</v>
      </c>
      <c r="I40" s="2375"/>
    </row>
    <row r="41" spans="1:9" ht="12.5" x14ac:dyDescent="0.25">
      <c r="A41" s="2071" t="s">
        <v>4932</v>
      </c>
      <c r="B41" s="2072" t="s">
        <v>4936</v>
      </c>
      <c r="C41" s="2073" t="s">
        <v>4937</v>
      </c>
      <c r="D41" s="2074"/>
      <c r="F41" s="2071" t="s">
        <v>4930</v>
      </c>
      <c r="G41" s="2072" t="s">
        <v>4931</v>
      </c>
      <c r="H41" s="2074" t="s">
        <v>4816</v>
      </c>
      <c r="I41" s="2075"/>
    </row>
    <row r="42" spans="1:9" ht="12.5" x14ac:dyDescent="0.25">
      <c r="A42" s="2071" t="s">
        <v>4932</v>
      </c>
      <c r="B42" s="2072" t="s">
        <v>4939</v>
      </c>
      <c r="C42" s="2073" t="s">
        <v>4940</v>
      </c>
      <c r="D42" s="2074"/>
      <c r="F42" s="2076" t="s">
        <v>4930</v>
      </c>
      <c r="G42" s="2072" t="s">
        <v>4935</v>
      </c>
      <c r="H42" s="2074" t="s">
        <v>4816</v>
      </c>
      <c r="I42" s="2075"/>
    </row>
    <row r="43" spans="1:9" ht="12.5" x14ac:dyDescent="0.25">
      <c r="A43" s="2071" t="s">
        <v>4944</v>
      </c>
      <c r="B43" s="2072" t="s">
        <v>4945</v>
      </c>
      <c r="C43" s="2074" t="s">
        <v>4816</v>
      </c>
      <c r="D43" s="2074"/>
      <c r="F43" s="2076" t="s">
        <v>4941</v>
      </c>
      <c r="G43" s="2072" t="s">
        <v>4942</v>
      </c>
      <c r="H43" s="2074" t="s">
        <v>4943</v>
      </c>
      <c r="I43" s="2075"/>
    </row>
    <row r="44" spans="1:9" ht="12.5" x14ac:dyDescent="0.25">
      <c r="A44" s="2071" t="s">
        <v>4944</v>
      </c>
      <c r="B44" s="2072" t="s">
        <v>4936</v>
      </c>
      <c r="C44" s="2073" t="s">
        <v>4937</v>
      </c>
      <c r="D44" s="2074"/>
      <c r="F44" s="2076" t="s">
        <v>4946</v>
      </c>
      <c r="G44" s="2072" t="s">
        <v>4947</v>
      </c>
      <c r="H44" s="2075" t="s">
        <v>4948</v>
      </c>
      <c r="I44" s="2075"/>
    </row>
    <row r="45" spans="1:9" ht="12" customHeight="1" x14ac:dyDescent="0.25">
      <c r="A45" s="2071" t="s">
        <v>4944</v>
      </c>
      <c r="B45" s="2072" t="s">
        <v>4952</v>
      </c>
      <c r="C45" s="2073" t="s">
        <v>4816</v>
      </c>
      <c r="D45" s="2074"/>
      <c r="F45" s="2076" t="s">
        <v>4949</v>
      </c>
      <c r="G45" s="2072" t="s">
        <v>4950</v>
      </c>
      <c r="H45" s="2074" t="s">
        <v>4951</v>
      </c>
      <c r="I45" s="2075"/>
    </row>
    <row r="46" spans="1:9" ht="12" customHeight="1" x14ac:dyDescent="0.25">
      <c r="A46" s="2071" t="s">
        <v>4932</v>
      </c>
      <c r="B46" s="2072" t="s">
        <v>4933</v>
      </c>
      <c r="C46" s="2074" t="s">
        <v>4956</v>
      </c>
      <c r="D46" s="2074"/>
      <c r="F46" s="2076" t="s">
        <v>4953</v>
      </c>
      <c r="G46" s="2072" t="s">
        <v>4954</v>
      </c>
      <c r="H46" s="2074" t="s">
        <v>4955</v>
      </c>
      <c r="I46" s="2075"/>
    </row>
    <row r="47" spans="1:9" ht="12.5" x14ac:dyDescent="0.25">
      <c r="A47" s="2407" t="s">
        <v>1953</v>
      </c>
      <c r="B47" s="2403" t="s">
        <v>9607</v>
      </c>
      <c r="C47" s="2405" t="s">
        <v>7331</v>
      </c>
      <c r="D47" s="2406"/>
      <c r="F47" s="2076" t="s">
        <v>4957</v>
      </c>
      <c r="G47" s="2072" t="s">
        <v>4958</v>
      </c>
      <c r="H47" s="2074" t="s">
        <v>4959</v>
      </c>
      <c r="I47" s="2075"/>
    </row>
    <row r="48" spans="1:9" ht="12.5" x14ac:dyDescent="0.25">
      <c r="A48" s="2071" t="s">
        <v>4960</v>
      </c>
      <c r="B48" s="2072" t="s">
        <v>4961</v>
      </c>
      <c r="C48" s="2075" t="s">
        <v>4962</v>
      </c>
      <c r="D48" s="2073"/>
      <c r="F48" s="2071" t="s">
        <v>4963</v>
      </c>
      <c r="G48" s="2072" t="s">
        <v>4964</v>
      </c>
      <c r="H48" s="2074" t="s">
        <v>4965</v>
      </c>
      <c r="I48" s="2075"/>
    </row>
    <row r="49" spans="1:9" ht="12.5" x14ac:dyDescent="0.25">
      <c r="A49" s="2071" t="s">
        <v>4960</v>
      </c>
      <c r="B49" s="2072" t="s">
        <v>4966</v>
      </c>
      <c r="C49" s="2075" t="s">
        <v>4967</v>
      </c>
      <c r="D49" s="2077"/>
      <c r="F49" s="2071" t="s">
        <v>4968</v>
      </c>
      <c r="G49" s="2072" t="s">
        <v>4969</v>
      </c>
      <c r="H49" s="2075" t="s">
        <v>4970</v>
      </c>
      <c r="I49" s="2075"/>
    </row>
    <row r="50" spans="1:9" ht="12.5" x14ac:dyDescent="0.25">
      <c r="A50" s="2071" t="s">
        <v>1954</v>
      </c>
      <c r="B50" s="2072" t="s">
        <v>4971</v>
      </c>
      <c r="C50" s="2073" t="s">
        <v>4972</v>
      </c>
      <c r="D50" s="2074"/>
      <c r="F50" s="2071" t="s">
        <v>4973</v>
      </c>
      <c r="G50" s="2072" t="s">
        <v>4974</v>
      </c>
      <c r="H50" s="2075" t="s">
        <v>4975</v>
      </c>
      <c r="I50" s="2075"/>
    </row>
    <row r="51" spans="1:9" ht="12.5" x14ac:dyDescent="0.25">
      <c r="A51" s="2071" t="s">
        <v>1954</v>
      </c>
      <c r="B51" s="2072" t="s">
        <v>4976</v>
      </c>
      <c r="C51" s="2077" t="s">
        <v>4977</v>
      </c>
      <c r="D51" s="2075"/>
      <c r="F51" s="2071" t="s">
        <v>4978</v>
      </c>
      <c r="G51" s="2072" t="s">
        <v>4979</v>
      </c>
      <c r="H51" s="2074" t="s">
        <v>4980</v>
      </c>
      <c r="I51" s="2075"/>
    </row>
    <row r="52" spans="1:9" ht="12.5" x14ac:dyDescent="0.25">
      <c r="A52" s="2071" t="s">
        <v>4981</v>
      </c>
      <c r="B52" s="2072" t="s">
        <v>4982</v>
      </c>
      <c r="C52" s="2075" t="s">
        <v>4983</v>
      </c>
      <c r="D52" s="2073"/>
      <c r="F52" s="2071" t="s">
        <v>4984</v>
      </c>
      <c r="G52" s="2072" t="s">
        <v>4985</v>
      </c>
      <c r="H52" s="2073" t="s">
        <v>4986</v>
      </c>
      <c r="I52" s="2075"/>
    </row>
    <row r="53" spans="1:9" ht="12.5" x14ac:dyDescent="0.25">
      <c r="A53" s="2071" t="s">
        <v>4981</v>
      </c>
      <c r="B53" s="2072" t="s">
        <v>4987</v>
      </c>
      <c r="C53" s="2075" t="s">
        <v>4988</v>
      </c>
      <c r="D53" s="2077"/>
      <c r="F53" s="2071" t="s">
        <v>4989</v>
      </c>
      <c r="G53" s="2072" t="s">
        <v>4990</v>
      </c>
      <c r="H53" s="2075" t="s">
        <v>4991</v>
      </c>
      <c r="I53" s="2075"/>
    </row>
    <row r="54" spans="1:9" ht="12.5" x14ac:dyDescent="0.25">
      <c r="A54" s="2071" t="s">
        <v>4992</v>
      </c>
      <c r="B54" s="2072" t="s">
        <v>4993</v>
      </c>
      <c r="C54" s="2073" t="s">
        <v>4994</v>
      </c>
      <c r="D54" s="2074"/>
      <c r="F54" s="2071" t="s">
        <v>4995</v>
      </c>
      <c r="G54" s="2072" t="s">
        <v>4996</v>
      </c>
      <c r="H54" s="2073" t="s">
        <v>4997</v>
      </c>
      <c r="I54" s="2073"/>
    </row>
    <row r="55" spans="1:9" ht="12.5" x14ac:dyDescent="0.25">
      <c r="A55" s="2071" t="s">
        <v>4992</v>
      </c>
      <c r="B55" s="2072" t="s">
        <v>4998</v>
      </c>
      <c r="C55" s="2077" t="s">
        <v>4999</v>
      </c>
      <c r="D55" s="2075"/>
      <c r="F55" s="2071" t="s">
        <v>4995</v>
      </c>
      <c r="G55" s="2072" t="s">
        <v>5000</v>
      </c>
      <c r="H55" s="2073" t="s">
        <v>5001</v>
      </c>
      <c r="I55" s="2073"/>
    </row>
    <row r="56" spans="1:9" ht="12.5" x14ac:dyDescent="0.25">
      <c r="A56" s="2071" t="s">
        <v>5002</v>
      </c>
      <c r="B56" s="2072" t="s">
        <v>5003</v>
      </c>
      <c r="C56" s="2077" t="s">
        <v>5004</v>
      </c>
      <c r="D56" s="2075"/>
      <c r="F56" s="2076" t="s">
        <v>5005</v>
      </c>
      <c r="G56" s="2072" t="s">
        <v>5006</v>
      </c>
      <c r="H56" s="2073" t="s">
        <v>5007</v>
      </c>
      <c r="I56" s="2073"/>
    </row>
    <row r="57" spans="1:9" ht="12.5" x14ac:dyDescent="0.25">
      <c r="A57" s="2071" t="s">
        <v>5002</v>
      </c>
      <c r="B57" s="2072" t="s">
        <v>5008</v>
      </c>
      <c r="C57" s="2077" t="s">
        <v>5009</v>
      </c>
      <c r="D57" s="2075"/>
      <c r="F57" s="2076" t="s">
        <v>5005</v>
      </c>
      <c r="G57" s="2072" t="s">
        <v>5010</v>
      </c>
      <c r="H57" s="2077" t="s">
        <v>5011</v>
      </c>
      <c r="I57" s="2077"/>
    </row>
    <row r="58" spans="1:9" ht="12.5" x14ac:dyDescent="0.25">
      <c r="A58" s="2071" t="s">
        <v>5012</v>
      </c>
      <c r="B58" s="2072" t="s">
        <v>5013</v>
      </c>
      <c r="C58" s="2075" t="s">
        <v>5014</v>
      </c>
      <c r="D58" s="2073"/>
      <c r="F58" s="2076" t="s">
        <v>5015</v>
      </c>
      <c r="G58" s="2072" t="s">
        <v>5016</v>
      </c>
      <c r="H58" s="2077" t="s">
        <v>4648</v>
      </c>
      <c r="I58" s="2077"/>
    </row>
    <row r="59" spans="1:9" ht="12.5" x14ac:dyDescent="0.25">
      <c r="A59" s="2071" t="s">
        <v>5012</v>
      </c>
      <c r="B59" s="2072" t="s">
        <v>5017</v>
      </c>
      <c r="C59" s="2075" t="s">
        <v>5018</v>
      </c>
      <c r="D59" s="2075"/>
      <c r="F59" s="2076" t="s">
        <v>5019</v>
      </c>
      <c r="G59" s="2072" t="s">
        <v>5020</v>
      </c>
      <c r="H59" s="2077" t="s">
        <v>5021</v>
      </c>
      <c r="I59" s="2077"/>
    </row>
    <row r="60" spans="1:9" ht="12.5" x14ac:dyDescent="0.25">
      <c r="A60" s="2071" t="s">
        <v>5022</v>
      </c>
      <c r="B60" s="2072" t="s">
        <v>5023</v>
      </c>
      <c r="C60" s="2073" t="s">
        <v>5024</v>
      </c>
      <c r="D60" s="2074"/>
      <c r="F60" s="2071" t="s">
        <v>5025</v>
      </c>
      <c r="G60" s="2072" t="s">
        <v>5026</v>
      </c>
      <c r="H60" s="2077" t="s">
        <v>4651</v>
      </c>
      <c r="I60" s="2077"/>
    </row>
    <row r="61" spans="1:9" ht="12.5" x14ac:dyDescent="0.25">
      <c r="A61" s="2071" t="s">
        <v>5022</v>
      </c>
      <c r="B61" s="2072" t="s">
        <v>5027</v>
      </c>
      <c r="C61" s="2077" t="s">
        <v>5028</v>
      </c>
      <c r="D61" s="2075"/>
      <c r="F61" s="2071" t="s">
        <v>5029</v>
      </c>
      <c r="G61" s="2072" t="s">
        <v>5030</v>
      </c>
      <c r="H61" s="2075" t="s">
        <v>5031</v>
      </c>
      <c r="I61" s="2075"/>
    </row>
    <row r="62" spans="1:9" ht="12.5" x14ac:dyDescent="0.25">
      <c r="A62" s="2071" t="s">
        <v>5032</v>
      </c>
      <c r="B62" s="2072" t="s">
        <v>5033</v>
      </c>
      <c r="C62" s="2077" t="s">
        <v>4816</v>
      </c>
      <c r="D62" s="2074"/>
      <c r="F62" s="2076" t="s">
        <v>5029</v>
      </c>
      <c r="G62" s="2072" t="s">
        <v>5034</v>
      </c>
      <c r="H62" s="2075" t="s">
        <v>5035</v>
      </c>
      <c r="I62" s="2075"/>
    </row>
    <row r="63" spans="1:9" ht="12.5" x14ac:dyDescent="0.25">
      <c r="A63" s="2071" t="s">
        <v>5032</v>
      </c>
      <c r="B63" s="2072" t="s">
        <v>5036</v>
      </c>
      <c r="C63" s="2073" t="s">
        <v>5037</v>
      </c>
      <c r="D63" s="2074"/>
      <c r="F63" s="2076" t="s">
        <v>5038</v>
      </c>
      <c r="G63" s="2072" t="s">
        <v>5039</v>
      </c>
      <c r="H63" s="2075" t="s">
        <v>5040</v>
      </c>
      <c r="I63" s="2075"/>
    </row>
    <row r="64" spans="1:9" ht="12.5" x14ac:dyDescent="0.25">
      <c r="A64" s="2071" t="s">
        <v>5041</v>
      </c>
      <c r="B64" s="2072" t="s">
        <v>5042</v>
      </c>
      <c r="C64" s="2073" t="s">
        <v>5043</v>
      </c>
      <c r="D64" s="2074"/>
      <c r="F64" s="2076" t="s">
        <v>5044</v>
      </c>
      <c r="G64" s="2072" t="s">
        <v>5045</v>
      </c>
      <c r="H64" s="2074" t="s">
        <v>4654</v>
      </c>
      <c r="I64" s="2075"/>
    </row>
    <row r="65" spans="1:9" ht="12.5" x14ac:dyDescent="0.25">
      <c r="A65" s="2071" t="s">
        <v>5041</v>
      </c>
      <c r="B65" s="2072" t="s">
        <v>5046</v>
      </c>
      <c r="C65" s="2077" t="s">
        <v>5047</v>
      </c>
      <c r="D65" s="2075"/>
      <c r="F65" s="2071" t="s">
        <v>5048</v>
      </c>
      <c r="G65" s="2072" t="s">
        <v>5049</v>
      </c>
      <c r="H65" s="2074" t="s">
        <v>4657</v>
      </c>
      <c r="I65" s="2075"/>
    </row>
    <row r="66" spans="1:9" ht="12.5" x14ac:dyDescent="0.25">
      <c r="A66" s="2071" t="s">
        <v>5050</v>
      </c>
      <c r="B66" s="2072" t="s">
        <v>5051</v>
      </c>
      <c r="C66" s="2073" t="s">
        <v>5052</v>
      </c>
      <c r="D66" s="2074"/>
      <c r="F66" s="2071" t="s">
        <v>5053</v>
      </c>
      <c r="G66" s="2072" t="s">
        <v>5054</v>
      </c>
      <c r="H66" s="2074" t="s">
        <v>5055</v>
      </c>
      <c r="I66" s="2074"/>
    </row>
    <row r="67" spans="1:9" ht="12.5" x14ac:dyDescent="0.25">
      <c r="A67" s="2071" t="s">
        <v>1957</v>
      </c>
      <c r="B67" s="2072" t="s">
        <v>5056</v>
      </c>
      <c r="C67" s="2073" t="s">
        <v>5057</v>
      </c>
      <c r="D67" s="2074"/>
      <c r="F67" s="2071" t="s">
        <v>5053</v>
      </c>
      <c r="G67" s="2072" t="s">
        <v>5058</v>
      </c>
      <c r="H67" s="2074" t="s">
        <v>5059</v>
      </c>
      <c r="I67" s="2074"/>
    </row>
    <row r="68" spans="1:9" ht="12.5" x14ac:dyDescent="0.25">
      <c r="A68" s="2071" t="s">
        <v>1957</v>
      </c>
      <c r="B68" s="2072" t="s">
        <v>5060</v>
      </c>
      <c r="C68" s="2077" t="s">
        <v>5061</v>
      </c>
      <c r="D68" s="2075"/>
      <c r="F68" s="2076" t="s">
        <v>5062</v>
      </c>
      <c r="G68" s="2072" t="s">
        <v>4866</v>
      </c>
      <c r="H68" s="2086" t="s">
        <v>4867</v>
      </c>
      <c r="I68" s="2077"/>
    </row>
    <row r="69" spans="1:9" ht="12.5" x14ac:dyDescent="0.25">
      <c r="A69" s="2071" t="s">
        <v>5063</v>
      </c>
      <c r="B69" s="2072" t="s">
        <v>5064</v>
      </c>
      <c r="C69" s="2075" t="s">
        <v>5065</v>
      </c>
      <c r="D69" s="2074"/>
      <c r="F69" s="2090" t="s">
        <v>5074</v>
      </c>
      <c r="G69" s="2072" t="s">
        <v>5075</v>
      </c>
      <c r="H69" s="2075" t="s">
        <v>5076</v>
      </c>
      <c r="I69" s="2075"/>
    </row>
    <row r="70" spans="1:9" ht="12.5" x14ac:dyDescent="0.25">
      <c r="A70" s="2071" t="s">
        <v>5063</v>
      </c>
      <c r="B70" s="2072" t="s">
        <v>5068</v>
      </c>
      <c r="C70" s="2075" t="s">
        <v>5069</v>
      </c>
      <c r="D70" s="2075"/>
      <c r="F70" s="2071" t="s">
        <v>5080</v>
      </c>
      <c r="G70" s="2091" t="s">
        <v>5081</v>
      </c>
      <c r="H70" s="2092" t="s">
        <v>5082</v>
      </c>
      <c r="I70" s="2093"/>
    </row>
    <row r="71" spans="1:9" ht="12.5" x14ac:dyDescent="0.25">
      <c r="A71" s="2071" t="s">
        <v>5071</v>
      </c>
      <c r="B71" s="2072" t="s">
        <v>5072</v>
      </c>
      <c r="C71" s="2073" t="s">
        <v>5073</v>
      </c>
      <c r="D71" s="2074"/>
      <c r="F71" s="2071" t="s">
        <v>5085</v>
      </c>
      <c r="G71" s="2072" t="s">
        <v>5086</v>
      </c>
      <c r="H71" s="2093" t="s">
        <v>5087</v>
      </c>
      <c r="I71" s="2093"/>
    </row>
    <row r="72" spans="1:9" ht="12.5" x14ac:dyDescent="0.25">
      <c r="A72" s="2071" t="s">
        <v>5077</v>
      </c>
      <c r="B72" s="2072" t="s">
        <v>5078</v>
      </c>
      <c r="C72" s="2073" t="s">
        <v>5079</v>
      </c>
      <c r="D72" s="2074"/>
      <c r="F72" s="2071" t="s">
        <v>5085</v>
      </c>
      <c r="G72" s="2072" t="s">
        <v>5091</v>
      </c>
      <c r="H72" s="2093" t="s">
        <v>4684</v>
      </c>
      <c r="I72" s="2093"/>
    </row>
    <row r="73" spans="1:9" ht="12.5" x14ac:dyDescent="0.25">
      <c r="A73" s="2071" t="s">
        <v>5077</v>
      </c>
      <c r="B73" s="2072" t="s">
        <v>5083</v>
      </c>
      <c r="C73" s="2077" t="s">
        <v>5084</v>
      </c>
      <c r="D73" s="2075"/>
      <c r="F73" s="2076" t="s">
        <v>5095</v>
      </c>
      <c r="G73" s="2072" t="s">
        <v>5096</v>
      </c>
      <c r="H73" s="2093" t="s">
        <v>5097</v>
      </c>
      <c r="I73" s="2093"/>
    </row>
    <row r="74" spans="1:9" ht="12.5" x14ac:dyDescent="0.25">
      <c r="A74" s="2076" t="s">
        <v>5088</v>
      </c>
      <c r="B74" s="2072" t="s">
        <v>5089</v>
      </c>
      <c r="C74" s="2073" t="s">
        <v>5090</v>
      </c>
      <c r="D74" s="2075"/>
      <c r="F74" s="2076" t="s">
        <v>5100</v>
      </c>
      <c r="G74" s="2072" t="s">
        <v>5101</v>
      </c>
      <c r="H74" s="2074" t="s">
        <v>5102</v>
      </c>
      <c r="I74" s="2075"/>
    </row>
    <row r="75" spans="1:9" ht="12.5" x14ac:dyDescent="0.25">
      <c r="A75" s="2071" t="s">
        <v>5092</v>
      </c>
      <c r="B75" s="2072" t="s">
        <v>5093</v>
      </c>
      <c r="C75" s="2073" t="s">
        <v>5094</v>
      </c>
      <c r="D75" s="2074"/>
      <c r="F75" s="2076" t="s">
        <v>5106</v>
      </c>
      <c r="G75" s="2072" t="s">
        <v>5107</v>
      </c>
      <c r="H75" s="2083" t="s">
        <v>5108</v>
      </c>
      <c r="I75" s="2075"/>
    </row>
    <row r="76" spans="1:9" ht="12.5" x14ac:dyDescent="0.25">
      <c r="A76" s="2071" t="s">
        <v>5092</v>
      </c>
      <c r="B76" s="2072" t="s">
        <v>5098</v>
      </c>
      <c r="C76" s="2077" t="s">
        <v>5099</v>
      </c>
      <c r="D76" s="2075">
        <v>13331.25</v>
      </c>
      <c r="F76" s="2076" t="s">
        <v>5112</v>
      </c>
      <c r="G76" s="2072" t="s">
        <v>5113</v>
      </c>
      <c r="H76" s="2083" t="s">
        <v>5114</v>
      </c>
      <c r="I76" s="2075">
        <v>0</v>
      </c>
    </row>
    <row r="77" spans="1:9" ht="12.5" x14ac:dyDescent="0.25">
      <c r="A77" s="2076" t="s">
        <v>5103</v>
      </c>
      <c r="B77" s="2072"/>
      <c r="C77" s="2073" t="s">
        <v>5105</v>
      </c>
      <c r="D77" s="2075">
        <v>0</v>
      </c>
      <c r="F77" s="2076" t="s">
        <v>5117</v>
      </c>
      <c r="G77" s="2072" t="s">
        <v>5118</v>
      </c>
      <c r="H77" s="2083" t="s">
        <v>5119</v>
      </c>
      <c r="I77" s="2075">
        <v>0</v>
      </c>
    </row>
    <row r="78" spans="1:9" ht="12.5" x14ac:dyDescent="0.25">
      <c r="A78" s="2071" t="s">
        <v>5109</v>
      </c>
      <c r="B78" s="2072" t="s">
        <v>5110</v>
      </c>
      <c r="C78" s="2075" t="s">
        <v>5111</v>
      </c>
      <c r="D78" s="2074">
        <v>0</v>
      </c>
      <c r="F78" s="2076" t="s">
        <v>5123</v>
      </c>
      <c r="G78" s="2072" t="s">
        <v>5124</v>
      </c>
      <c r="H78" s="2083" t="s">
        <v>5125</v>
      </c>
      <c r="I78" s="2075">
        <v>0</v>
      </c>
    </row>
    <row r="79" spans="1:9" ht="12.5" x14ac:dyDescent="0.25">
      <c r="A79" s="2071" t="s">
        <v>5109</v>
      </c>
      <c r="B79" s="2072" t="s">
        <v>5115</v>
      </c>
      <c r="C79" s="2075" t="s">
        <v>5116</v>
      </c>
      <c r="D79" s="2075">
        <v>0</v>
      </c>
      <c r="F79" s="2076" t="s">
        <v>5128</v>
      </c>
      <c r="G79" s="2072" t="s">
        <v>5129</v>
      </c>
      <c r="H79" s="2083" t="s">
        <v>5130</v>
      </c>
      <c r="I79" s="2075">
        <v>0</v>
      </c>
    </row>
    <row r="80" spans="1:9" ht="12.5" x14ac:dyDescent="0.25">
      <c r="A80" s="2071" t="s">
        <v>5120</v>
      </c>
      <c r="B80" s="2072" t="s">
        <v>5121</v>
      </c>
      <c r="C80" s="2075" t="s">
        <v>5122</v>
      </c>
      <c r="D80" s="2077">
        <v>0</v>
      </c>
      <c r="F80" s="2076" t="s">
        <v>5134</v>
      </c>
      <c r="G80" s="2072" t="s">
        <v>5135</v>
      </c>
      <c r="H80" s="2074" t="s">
        <v>5136</v>
      </c>
      <c r="I80" s="2075">
        <v>0</v>
      </c>
    </row>
    <row r="81" spans="1:9" ht="12.5" x14ac:dyDescent="0.25">
      <c r="A81" s="2071" t="s">
        <v>5120</v>
      </c>
      <c r="B81" s="2072" t="s">
        <v>5126</v>
      </c>
      <c r="C81" s="2075" t="s">
        <v>5127</v>
      </c>
      <c r="D81" s="2077">
        <v>0</v>
      </c>
      <c r="F81" s="2076" t="s">
        <v>5139</v>
      </c>
      <c r="G81" s="2072" t="s">
        <v>5140</v>
      </c>
      <c r="H81" s="2083" t="s">
        <v>5141</v>
      </c>
      <c r="I81" s="2075">
        <v>0</v>
      </c>
    </row>
    <row r="82" spans="1:9" ht="12.5" x14ac:dyDescent="0.25">
      <c r="A82" s="2071" t="s">
        <v>5131</v>
      </c>
      <c r="B82" s="2072" t="s">
        <v>5132</v>
      </c>
      <c r="C82" s="2073" t="s">
        <v>5133</v>
      </c>
      <c r="D82" s="2074">
        <v>0</v>
      </c>
      <c r="F82" s="2076" t="s">
        <v>5145</v>
      </c>
      <c r="G82" s="2072" t="s">
        <v>5146</v>
      </c>
      <c r="H82" s="2074" t="s">
        <v>5147</v>
      </c>
      <c r="I82" s="2075">
        <v>0</v>
      </c>
    </row>
    <row r="83" spans="1:9" ht="12.5" x14ac:dyDescent="0.25">
      <c r="A83" s="2071" t="s">
        <v>5131</v>
      </c>
      <c r="B83" s="2072" t="s">
        <v>5137</v>
      </c>
      <c r="C83" s="2077" t="s">
        <v>5138</v>
      </c>
      <c r="D83" s="2075">
        <v>0</v>
      </c>
      <c r="F83" s="2076" t="s">
        <v>5150</v>
      </c>
      <c r="G83" s="2072" t="s">
        <v>5151</v>
      </c>
      <c r="H83" s="2074" t="s">
        <v>5152</v>
      </c>
      <c r="I83" s="2075">
        <v>0</v>
      </c>
    </row>
    <row r="84" spans="1:9" ht="12.5" x14ac:dyDescent="0.25">
      <c r="A84" s="2071" t="s">
        <v>5142</v>
      </c>
      <c r="B84" s="2072" t="s">
        <v>5143</v>
      </c>
      <c r="C84" s="2075" t="s">
        <v>5144</v>
      </c>
      <c r="D84" s="2073">
        <v>0</v>
      </c>
      <c r="F84" s="2076" t="s">
        <v>5156</v>
      </c>
      <c r="G84" s="2072" t="s">
        <v>5157</v>
      </c>
      <c r="H84" s="2074" t="s">
        <v>5158</v>
      </c>
      <c r="I84" s="2075">
        <v>14056</v>
      </c>
    </row>
    <row r="85" spans="1:9" ht="12.5" x14ac:dyDescent="0.25">
      <c r="A85" s="2071" t="s">
        <v>5142</v>
      </c>
      <c r="B85" s="2072" t="s">
        <v>5148</v>
      </c>
      <c r="C85" s="2075" t="s">
        <v>5149</v>
      </c>
      <c r="D85" s="2077">
        <v>0</v>
      </c>
      <c r="F85" s="2076" t="s">
        <v>5161</v>
      </c>
      <c r="G85" s="2072" t="s">
        <v>5162</v>
      </c>
      <c r="H85" s="2083" t="s">
        <v>5163</v>
      </c>
      <c r="I85" s="2075">
        <v>13337.190000000002</v>
      </c>
    </row>
    <row r="86" spans="1:9" ht="12.5" x14ac:dyDescent="0.25">
      <c r="A86" s="2071" t="s">
        <v>5153</v>
      </c>
      <c r="B86" s="2072" t="s">
        <v>5154</v>
      </c>
      <c r="C86" s="2073" t="s">
        <v>5155</v>
      </c>
      <c r="D86" s="2074">
        <v>0</v>
      </c>
      <c r="F86" s="2071" t="s">
        <v>5167</v>
      </c>
      <c r="G86" s="2072" t="s">
        <v>5168</v>
      </c>
      <c r="H86" s="2083" t="s">
        <v>5169</v>
      </c>
      <c r="I86" s="2077">
        <v>0</v>
      </c>
    </row>
    <row r="87" spans="1:9" ht="12.5" x14ac:dyDescent="0.25">
      <c r="A87" s="2071" t="s">
        <v>5153</v>
      </c>
      <c r="B87" s="2072" t="s">
        <v>5159</v>
      </c>
      <c r="C87" s="2077" t="s">
        <v>5160</v>
      </c>
      <c r="D87" s="2075">
        <v>0</v>
      </c>
      <c r="F87" s="2071" t="s">
        <v>5167</v>
      </c>
      <c r="G87" s="2072" t="s">
        <v>5172</v>
      </c>
      <c r="H87" s="2073" t="s">
        <v>5173</v>
      </c>
      <c r="I87" s="2073">
        <v>0</v>
      </c>
    </row>
    <row r="88" spans="1:9" ht="12.5" x14ac:dyDescent="0.25">
      <c r="A88" s="2071" t="s">
        <v>5164</v>
      </c>
      <c r="B88" s="2072" t="s">
        <v>5165</v>
      </c>
      <c r="C88" s="2077" t="s">
        <v>5166</v>
      </c>
      <c r="D88" s="2075">
        <v>0</v>
      </c>
      <c r="F88" s="2071" t="s">
        <v>5177</v>
      </c>
      <c r="G88" s="2072" t="s">
        <v>5178</v>
      </c>
      <c r="H88" s="2073" t="s">
        <v>4816</v>
      </c>
      <c r="I88" s="2077">
        <v>0</v>
      </c>
    </row>
    <row r="89" spans="1:9" ht="12.5" x14ac:dyDescent="0.25">
      <c r="A89" s="2071" t="s">
        <v>5164</v>
      </c>
      <c r="B89" s="2072" t="s">
        <v>5170</v>
      </c>
      <c r="C89" s="2077" t="s">
        <v>5171</v>
      </c>
      <c r="D89" s="2075">
        <v>0</v>
      </c>
      <c r="F89" s="2071" t="s">
        <v>5177</v>
      </c>
      <c r="G89" s="2072" t="s">
        <v>5181</v>
      </c>
      <c r="H89" s="2083" t="s">
        <v>4816</v>
      </c>
      <c r="I89" s="2077">
        <v>0</v>
      </c>
    </row>
    <row r="90" spans="1:9" ht="12.5" x14ac:dyDescent="0.25">
      <c r="A90" s="2071" t="s">
        <v>5174</v>
      </c>
      <c r="B90" s="2072" t="s">
        <v>5175</v>
      </c>
      <c r="C90" s="2075" t="s">
        <v>5176</v>
      </c>
      <c r="D90" s="2073">
        <v>0</v>
      </c>
      <c r="F90" s="2071" t="s">
        <v>5185</v>
      </c>
      <c r="G90" s="2072" t="s">
        <v>5186</v>
      </c>
      <c r="H90" s="2083" t="s">
        <v>4816</v>
      </c>
      <c r="I90" s="2077">
        <v>0</v>
      </c>
    </row>
    <row r="91" spans="1:9" ht="12.5" x14ac:dyDescent="0.25">
      <c r="A91" s="2071" t="s">
        <v>5174</v>
      </c>
      <c r="B91" s="2072" t="s">
        <v>5179</v>
      </c>
      <c r="C91" s="2075" t="s">
        <v>5180</v>
      </c>
      <c r="D91" s="2075">
        <v>0</v>
      </c>
      <c r="F91" s="2071" t="s">
        <v>5185</v>
      </c>
      <c r="G91" s="2072" t="s">
        <v>5189</v>
      </c>
      <c r="H91" s="2083" t="s">
        <v>4816</v>
      </c>
      <c r="I91" s="2077">
        <v>0</v>
      </c>
    </row>
    <row r="92" spans="1:9" ht="12.5" x14ac:dyDescent="0.25">
      <c r="A92" s="2071" t="s">
        <v>5182</v>
      </c>
      <c r="B92" s="2072" t="s">
        <v>5183</v>
      </c>
      <c r="C92" s="2073" t="s">
        <v>5184</v>
      </c>
      <c r="D92" s="2074">
        <v>0</v>
      </c>
      <c r="F92" s="2071" t="s">
        <v>5177</v>
      </c>
      <c r="G92" s="2072" t="s">
        <v>5193</v>
      </c>
      <c r="H92" s="2073" t="s">
        <v>5194</v>
      </c>
      <c r="I92" s="2077">
        <v>0</v>
      </c>
    </row>
    <row r="93" spans="1:9" ht="12.5" x14ac:dyDescent="0.25">
      <c r="A93" s="2071" t="s">
        <v>5182</v>
      </c>
      <c r="B93" s="2072" t="s">
        <v>5187</v>
      </c>
      <c r="C93" s="2077" t="s">
        <v>5188</v>
      </c>
      <c r="D93" s="2075">
        <v>0</v>
      </c>
      <c r="F93" s="2071" t="s">
        <v>5177</v>
      </c>
      <c r="G93" s="2072" t="s">
        <v>5198</v>
      </c>
      <c r="H93" s="2083" t="s">
        <v>5199</v>
      </c>
      <c r="I93" s="2077">
        <v>0</v>
      </c>
    </row>
    <row r="94" spans="1:9" ht="12.5" x14ac:dyDescent="0.25">
      <c r="A94" s="2071" t="s">
        <v>5190</v>
      </c>
      <c r="B94" s="2072" t="s">
        <v>5191</v>
      </c>
      <c r="C94" s="2073" t="s">
        <v>5192</v>
      </c>
      <c r="D94" s="2074">
        <v>0</v>
      </c>
      <c r="F94" s="2071" t="s">
        <v>5185</v>
      </c>
      <c r="G94" s="2072" t="s">
        <v>5202</v>
      </c>
      <c r="H94" s="2083" t="s">
        <v>5203</v>
      </c>
      <c r="I94" s="2077">
        <v>0</v>
      </c>
    </row>
    <row r="95" spans="1:9" ht="12.5" x14ac:dyDescent="0.25">
      <c r="A95" s="2071" t="s">
        <v>5195</v>
      </c>
      <c r="B95" s="2072" t="s">
        <v>5196</v>
      </c>
      <c r="C95" s="2073" t="s">
        <v>5197</v>
      </c>
      <c r="D95" s="2074">
        <v>0</v>
      </c>
      <c r="F95" s="2071" t="s">
        <v>5185</v>
      </c>
      <c r="G95" s="2072" t="s">
        <v>5207</v>
      </c>
      <c r="H95" s="2083" t="s">
        <v>5208</v>
      </c>
      <c r="I95" s="2077">
        <v>0</v>
      </c>
    </row>
    <row r="96" spans="1:9" ht="12.5" x14ac:dyDescent="0.25">
      <c r="A96" s="2071" t="s">
        <v>5195</v>
      </c>
      <c r="B96" s="2072" t="s">
        <v>5200</v>
      </c>
      <c r="C96" s="2077" t="s">
        <v>5201</v>
      </c>
      <c r="D96" s="2075">
        <v>0</v>
      </c>
      <c r="F96" s="2071" t="s">
        <v>5212</v>
      </c>
      <c r="G96" s="2072" t="s">
        <v>5213</v>
      </c>
      <c r="H96" s="2073" t="s">
        <v>5214</v>
      </c>
      <c r="I96" s="2077">
        <v>0</v>
      </c>
    </row>
    <row r="97" spans="1:9" ht="12.5" x14ac:dyDescent="0.25">
      <c r="A97" s="2071" t="s">
        <v>5204</v>
      </c>
      <c r="B97" s="2072" t="s">
        <v>5205</v>
      </c>
      <c r="C97" s="2073" t="s">
        <v>5206</v>
      </c>
      <c r="D97" s="2074">
        <v>0</v>
      </c>
      <c r="F97" s="2071" t="s">
        <v>5212</v>
      </c>
      <c r="G97" s="2072" t="s">
        <v>5217</v>
      </c>
      <c r="H97" s="2083" t="s">
        <v>5218</v>
      </c>
      <c r="I97" s="2077">
        <v>0</v>
      </c>
    </row>
    <row r="98" spans="1:9" ht="12.5" x14ac:dyDescent="0.25">
      <c r="A98" s="2071" t="s">
        <v>5209</v>
      </c>
      <c r="B98" s="2072" t="s">
        <v>5210</v>
      </c>
      <c r="C98" s="2073" t="s">
        <v>5211</v>
      </c>
      <c r="D98" s="2074">
        <v>0</v>
      </c>
      <c r="F98" s="2071" t="s">
        <v>5222</v>
      </c>
      <c r="G98" s="2072" t="s">
        <v>5223</v>
      </c>
      <c r="H98" s="2083" t="s">
        <v>5224</v>
      </c>
      <c r="I98" s="2077">
        <v>26077</v>
      </c>
    </row>
    <row r="99" spans="1:9" ht="12.5" x14ac:dyDescent="0.25">
      <c r="A99" s="2071" t="s">
        <v>5209</v>
      </c>
      <c r="B99" s="2072" t="s">
        <v>5215</v>
      </c>
      <c r="C99" s="2077" t="s">
        <v>5216</v>
      </c>
      <c r="D99" s="2075">
        <v>0</v>
      </c>
      <c r="F99" s="2071" t="s">
        <v>5222</v>
      </c>
      <c r="G99" s="2072" t="s">
        <v>5227</v>
      </c>
      <c r="H99" s="2083" t="s">
        <v>5228</v>
      </c>
      <c r="I99" s="2077">
        <v>6258.48</v>
      </c>
    </row>
    <row r="100" spans="1:9" ht="12.5" x14ac:dyDescent="0.25">
      <c r="A100" s="2071" t="s">
        <v>5219</v>
      </c>
      <c r="B100" s="2072" t="s">
        <v>5220</v>
      </c>
      <c r="C100" s="2075" t="s">
        <v>5221</v>
      </c>
      <c r="D100" s="2074">
        <v>0</v>
      </c>
      <c r="F100" s="2071" t="s">
        <v>5229</v>
      </c>
      <c r="G100" s="2072" t="s">
        <v>5230</v>
      </c>
      <c r="H100" s="2083" t="s">
        <v>5231</v>
      </c>
      <c r="I100" s="2077">
        <v>0</v>
      </c>
    </row>
    <row r="101" spans="1:9" ht="12.5" x14ac:dyDescent="0.25">
      <c r="A101" s="2071" t="s">
        <v>5219</v>
      </c>
      <c r="B101" s="2072" t="s">
        <v>5225</v>
      </c>
      <c r="C101" s="2075" t="s">
        <v>5226</v>
      </c>
      <c r="D101" s="2075">
        <v>0</v>
      </c>
      <c r="F101" s="2071" t="s">
        <v>5229</v>
      </c>
      <c r="G101" s="2072" t="s">
        <v>5235</v>
      </c>
      <c r="H101" s="2083" t="s">
        <v>5236</v>
      </c>
      <c r="I101" s="2077">
        <v>0</v>
      </c>
    </row>
    <row r="102" spans="1:9" ht="12.5" x14ac:dyDescent="0.25">
      <c r="A102" s="2071" t="s">
        <v>1960</v>
      </c>
      <c r="B102" s="2072" t="s">
        <v>4928</v>
      </c>
      <c r="C102" s="2083" t="s">
        <v>4929</v>
      </c>
      <c r="D102" s="2073">
        <v>91130</v>
      </c>
      <c r="F102" s="2071" t="s">
        <v>5240</v>
      </c>
      <c r="G102" s="2072" t="s">
        <v>5241</v>
      </c>
      <c r="H102" s="2083" t="s">
        <v>5242</v>
      </c>
      <c r="I102" s="2077">
        <v>7409</v>
      </c>
    </row>
    <row r="103" spans="1:9" ht="12.5" x14ac:dyDescent="0.25">
      <c r="A103" s="2071" t="s">
        <v>5232</v>
      </c>
      <c r="B103" s="2072" t="s">
        <v>5233</v>
      </c>
      <c r="C103" s="2077" t="s">
        <v>5234</v>
      </c>
      <c r="D103" s="2094">
        <v>27393.190000000002</v>
      </c>
      <c r="F103" s="2076" t="s">
        <v>5240</v>
      </c>
      <c r="G103" s="2072" t="s">
        <v>5245</v>
      </c>
      <c r="H103" s="2083" t="s">
        <v>5246</v>
      </c>
      <c r="I103" s="2077">
        <v>1778.16</v>
      </c>
    </row>
    <row r="104" spans="1:9" ht="12.5" x14ac:dyDescent="0.25">
      <c r="A104" s="2071" t="s">
        <v>5237</v>
      </c>
      <c r="B104" s="2072" t="s">
        <v>5238</v>
      </c>
      <c r="C104" s="2077" t="s">
        <v>5239</v>
      </c>
      <c r="D104" s="2094">
        <v>0</v>
      </c>
      <c r="F104" s="2076" t="s">
        <v>5250</v>
      </c>
      <c r="G104" s="2072" t="s">
        <v>5251</v>
      </c>
      <c r="H104" s="2083" t="s">
        <v>5252</v>
      </c>
      <c r="I104" s="2077">
        <v>33486</v>
      </c>
    </row>
    <row r="105" spans="1:9" ht="12.5" x14ac:dyDescent="0.25">
      <c r="A105" s="2071" t="s">
        <v>5237</v>
      </c>
      <c r="B105" s="2072" t="s">
        <v>5243</v>
      </c>
      <c r="C105" s="2077" t="s">
        <v>5244</v>
      </c>
      <c r="D105" s="2094">
        <v>0</v>
      </c>
      <c r="F105" s="2071" t="s">
        <v>5256</v>
      </c>
      <c r="G105" s="2072" t="s">
        <v>5257</v>
      </c>
      <c r="H105" s="2083" t="s">
        <v>5258</v>
      </c>
      <c r="I105" s="2075">
        <v>8036.6399999999994</v>
      </c>
    </row>
    <row r="106" spans="1:9" ht="12.5" x14ac:dyDescent="0.25">
      <c r="A106" s="2071" t="s">
        <v>5247</v>
      </c>
      <c r="B106" s="2072" t="s">
        <v>5248</v>
      </c>
      <c r="C106" s="2075" t="s">
        <v>5249</v>
      </c>
      <c r="D106" s="2075">
        <v>27393.190000000002</v>
      </c>
      <c r="F106" s="2076" t="s">
        <v>5262</v>
      </c>
      <c r="G106" s="2072" t="s">
        <v>5263</v>
      </c>
      <c r="H106" s="2083" t="s">
        <v>5264</v>
      </c>
      <c r="I106" s="2077">
        <v>0</v>
      </c>
    </row>
    <row r="107" spans="1:9" ht="12.5" x14ac:dyDescent="0.25">
      <c r="A107" s="2071" t="s">
        <v>5253</v>
      </c>
      <c r="B107" s="2072" t="s">
        <v>5254</v>
      </c>
      <c r="C107" s="2075" t="s">
        <v>5255</v>
      </c>
      <c r="D107" s="2075">
        <v>0</v>
      </c>
      <c r="F107" s="2076" t="s">
        <v>5267</v>
      </c>
      <c r="G107" s="2072" t="s">
        <v>5268</v>
      </c>
      <c r="H107" s="2083" t="s">
        <v>5269</v>
      </c>
      <c r="I107" s="2075">
        <v>0</v>
      </c>
    </row>
    <row r="108" spans="1:9" ht="12.5" x14ac:dyDescent="0.25">
      <c r="A108" s="2071" t="s">
        <v>5259</v>
      </c>
      <c r="B108" s="2072" t="s">
        <v>5260</v>
      </c>
      <c r="C108" s="2074" t="s">
        <v>5261</v>
      </c>
      <c r="D108" s="2075">
        <v>0</v>
      </c>
      <c r="F108" s="2076" t="s">
        <v>5273</v>
      </c>
      <c r="G108" s="2072" t="s">
        <v>5274</v>
      </c>
      <c r="H108" s="2083" t="s">
        <v>5275</v>
      </c>
      <c r="I108" s="2075">
        <v>8036.6399999999994</v>
      </c>
    </row>
    <row r="109" spans="1:9" ht="12.5" x14ac:dyDescent="0.25">
      <c r="A109" s="2071" t="s">
        <v>1962</v>
      </c>
      <c r="B109" s="2072" t="s">
        <v>5265</v>
      </c>
      <c r="C109" s="2074" t="s">
        <v>5266</v>
      </c>
      <c r="D109" s="2075">
        <v>0</v>
      </c>
      <c r="F109" s="2076" t="s">
        <v>5279</v>
      </c>
      <c r="G109" s="2072" t="s">
        <v>5280</v>
      </c>
      <c r="H109" s="2083" t="s">
        <v>5281</v>
      </c>
      <c r="I109" s="2075">
        <v>0</v>
      </c>
    </row>
    <row r="110" spans="1:9" ht="12.5" x14ac:dyDescent="0.25">
      <c r="A110" s="2071" t="s">
        <v>5270</v>
      </c>
      <c r="B110" s="2072" t="s">
        <v>5271</v>
      </c>
      <c r="C110" s="2074" t="s">
        <v>5272</v>
      </c>
      <c r="D110" s="2075">
        <v>0</v>
      </c>
      <c r="F110" s="2076" t="s">
        <v>5279</v>
      </c>
      <c r="G110" s="2072" t="s">
        <v>5285</v>
      </c>
      <c r="H110" s="2083" t="s">
        <v>5286</v>
      </c>
      <c r="I110" s="2077">
        <v>0</v>
      </c>
    </row>
    <row r="111" spans="1:9" ht="12.5" x14ac:dyDescent="0.25">
      <c r="A111" s="2071" t="s">
        <v>5276</v>
      </c>
      <c r="B111" s="2072" t="s">
        <v>5277</v>
      </c>
      <c r="C111" s="2075" t="s">
        <v>5278</v>
      </c>
      <c r="D111" s="2075">
        <v>0</v>
      </c>
      <c r="F111" s="2071" t="s">
        <v>5289</v>
      </c>
      <c r="G111" s="2072" t="s">
        <v>5290</v>
      </c>
      <c r="H111" s="2083" t="s">
        <v>5291</v>
      </c>
      <c r="I111" s="2077">
        <v>8036.6399999999994</v>
      </c>
    </row>
    <row r="112" spans="1:9" ht="12.5" x14ac:dyDescent="0.25">
      <c r="A112" s="2071" t="s">
        <v>5282</v>
      </c>
      <c r="B112" s="2072" t="s">
        <v>5283</v>
      </c>
      <c r="C112" s="2074" t="s">
        <v>5284</v>
      </c>
      <c r="D112" s="2075">
        <v>0</v>
      </c>
      <c r="F112" s="2076" t="s">
        <v>5295</v>
      </c>
      <c r="G112" s="2072" t="s">
        <v>5296</v>
      </c>
      <c r="H112" s="2083" t="s">
        <v>5297</v>
      </c>
      <c r="I112" s="2077">
        <v>0</v>
      </c>
    </row>
    <row r="113" spans="1:9" ht="12.5" x14ac:dyDescent="0.25">
      <c r="A113" s="2071" t="s">
        <v>5287</v>
      </c>
      <c r="B113" s="2072" t="s">
        <v>5288</v>
      </c>
      <c r="C113" s="2074" t="s">
        <v>4816</v>
      </c>
      <c r="D113" s="2075">
        <v>0</v>
      </c>
      <c r="F113" s="2076" t="s">
        <v>5298</v>
      </c>
      <c r="G113" s="2072" t="s">
        <v>4862</v>
      </c>
      <c r="H113" s="2074" t="s">
        <v>5299</v>
      </c>
      <c r="I113" s="2075">
        <v>8036.6399999999994</v>
      </c>
    </row>
    <row r="114" spans="1:9" ht="12.5" x14ac:dyDescent="0.25">
      <c r="A114" s="2071" t="s">
        <v>5292</v>
      </c>
      <c r="B114" s="2072" t="s">
        <v>5293</v>
      </c>
      <c r="C114" s="2074" t="s">
        <v>5294</v>
      </c>
      <c r="D114" s="2075">
        <v>0</v>
      </c>
      <c r="F114" s="2076" t="s">
        <v>5300</v>
      </c>
      <c r="G114" s="2072" t="s">
        <v>5301</v>
      </c>
      <c r="H114" s="2074" t="s">
        <v>5302</v>
      </c>
      <c r="I114" s="2075">
        <v>0</v>
      </c>
    </row>
    <row r="115" spans="1:9" ht="12.5" x14ac:dyDescent="0.25">
      <c r="A115" s="8"/>
      <c r="B115" s="8"/>
      <c r="C115" s="8"/>
      <c r="D115" s="8"/>
      <c r="F115" s="2076" t="s">
        <v>5303</v>
      </c>
      <c r="G115" s="2072" t="s">
        <v>5304</v>
      </c>
      <c r="H115" s="2083" t="s">
        <v>5305</v>
      </c>
      <c r="I115" s="2075">
        <v>21373.83</v>
      </c>
    </row>
    <row r="116" spans="1:9" ht="12.5" x14ac:dyDescent="0.25">
      <c r="A116" s="8"/>
      <c r="B116" s="8"/>
      <c r="C116" s="8"/>
      <c r="D116" s="8"/>
      <c r="F116" s="2076" t="s">
        <v>5306</v>
      </c>
      <c r="G116" s="2072" t="s">
        <v>5307</v>
      </c>
      <c r="H116" s="2074" t="s">
        <v>5308</v>
      </c>
      <c r="I116" s="2075">
        <v>0</v>
      </c>
    </row>
    <row r="117" spans="1:9" ht="12.5" x14ac:dyDescent="0.25">
      <c r="A117" s="8"/>
      <c r="B117" s="8"/>
      <c r="C117" s="8"/>
      <c r="D117" s="8"/>
      <c r="F117" s="2076" t="s">
        <v>5309</v>
      </c>
      <c r="G117" s="2072" t="s">
        <v>5310</v>
      </c>
      <c r="H117" s="2083" t="s">
        <v>5311</v>
      </c>
      <c r="I117" s="2075">
        <v>21373.83</v>
      </c>
    </row>
    <row r="118" spans="1:9" ht="12.5" x14ac:dyDescent="0.25">
      <c r="A118" s="8"/>
      <c r="B118" s="8"/>
      <c r="C118" s="8"/>
      <c r="D118" s="8"/>
      <c r="F118" s="2076" t="s">
        <v>5312</v>
      </c>
      <c r="G118" s="2072" t="s">
        <v>5313</v>
      </c>
      <c r="H118" s="2083" t="s">
        <v>5314</v>
      </c>
      <c r="I118" s="2075">
        <v>0</v>
      </c>
    </row>
    <row r="119" spans="1:9" ht="12.5" x14ac:dyDescent="0.25">
      <c r="A119" s="8"/>
      <c r="B119" s="8"/>
      <c r="C119" s="8"/>
      <c r="D119" s="8"/>
      <c r="F119" s="2076" t="s">
        <v>5315</v>
      </c>
      <c r="G119" s="2072" t="s">
        <v>5316</v>
      </c>
      <c r="H119" s="2074" t="s">
        <v>5317</v>
      </c>
      <c r="I119" s="2075">
        <v>0</v>
      </c>
    </row>
    <row r="120" spans="1:9" ht="12.5" x14ac:dyDescent="0.25">
      <c r="A120" s="8"/>
      <c r="B120" s="8"/>
      <c r="C120" s="8"/>
      <c r="D120" s="8"/>
      <c r="F120" s="2076" t="s">
        <v>5318</v>
      </c>
      <c r="G120" s="2072" t="s">
        <v>5319</v>
      </c>
      <c r="H120" s="2074" t="s">
        <v>5320</v>
      </c>
      <c r="I120" s="2075">
        <v>0</v>
      </c>
    </row>
    <row r="121" spans="1:9" ht="12.5" x14ac:dyDescent="0.25">
      <c r="B121" s="178"/>
      <c r="C121" s="178"/>
      <c r="D121" s="178"/>
      <c r="F121" s="2071" t="s">
        <v>5321</v>
      </c>
      <c r="G121" s="2072" t="s">
        <v>5322</v>
      </c>
      <c r="H121" s="2074" t="s">
        <v>5323</v>
      </c>
      <c r="I121" s="2077">
        <v>21373.83</v>
      </c>
    </row>
    <row r="122" spans="1:9" ht="12.5" x14ac:dyDescent="0.25">
      <c r="B122" s="178"/>
      <c r="C122" s="178"/>
      <c r="D122" s="178"/>
      <c r="G122" s="178"/>
      <c r="H122" s="178"/>
      <c r="I122" s="178"/>
    </row>
    <row r="123" spans="1:9" ht="12.5" x14ac:dyDescent="0.25">
      <c r="B123" s="178"/>
      <c r="C123" s="178"/>
      <c r="D123" s="178"/>
      <c r="G123" s="178"/>
      <c r="H123" s="178"/>
      <c r="I123" s="178"/>
    </row>
    <row r="124" spans="1:9" x14ac:dyDescent="0.25">
      <c r="B124" s="1" t="s">
        <v>9544</v>
      </c>
    </row>
    <row r="125" spans="1:9" x14ac:dyDescent="0.25">
      <c r="B125" s="1" t="s">
        <v>9775</v>
      </c>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dimension ref="A1:I36"/>
  <sheetViews>
    <sheetView showGridLines="0" workbookViewId="0">
      <selection activeCell="H21" sqref="H21"/>
    </sheetView>
  </sheetViews>
  <sheetFormatPr defaultColWidth="9.1796875" defaultRowHeight="11.5" x14ac:dyDescent="0.25"/>
  <cols>
    <col min="1" max="1" width="9.1796875" style="39"/>
    <col min="2" max="2" width="4.54296875" style="39" customWidth="1"/>
    <col min="3" max="3" width="12.81640625" style="39" customWidth="1"/>
    <col min="4" max="4" width="24" style="39" customWidth="1"/>
    <col min="5" max="5" width="11.1796875" style="39" customWidth="1"/>
    <col min="6" max="6" width="4.1796875" style="39" customWidth="1"/>
    <col min="7" max="7" width="14.54296875" style="39" customWidth="1"/>
    <col min="8" max="8" width="29.1796875" style="39" customWidth="1"/>
    <col min="9" max="9" width="27.1796875" style="39" customWidth="1"/>
    <col min="10" max="16384" width="9.1796875" style="39"/>
  </cols>
  <sheetData>
    <row r="1" spans="1:9" ht="12.75" customHeight="1" x14ac:dyDescent="0.25">
      <c r="A1" s="17"/>
      <c r="B1" s="17"/>
      <c r="C1" s="17"/>
      <c r="D1" s="17"/>
      <c r="E1" s="17"/>
      <c r="F1" s="17"/>
      <c r="G1" s="17"/>
      <c r="H1" s="609">
        <f>'Add pages'!I5</f>
        <v>0</v>
      </c>
      <c r="I1" s="17"/>
    </row>
    <row r="2" spans="1:9" ht="6.75" customHeight="1" x14ac:dyDescent="0.25">
      <c r="A2" s="17"/>
      <c r="B2" s="17"/>
      <c r="C2" s="17"/>
      <c r="D2" s="17"/>
      <c r="E2" s="17"/>
      <c r="F2" s="17"/>
      <c r="G2" s="17"/>
      <c r="H2" s="17"/>
      <c r="I2" s="17"/>
    </row>
    <row r="3" spans="1:9" ht="12.75" customHeight="1" x14ac:dyDescent="0.25">
      <c r="A3" s="17"/>
      <c r="B3" s="1793"/>
      <c r="C3" s="1794"/>
      <c r="D3" s="1794"/>
      <c r="E3" s="1794"/>
      <c r="F3" s="1794"/>
      <c r="G3" s="1794"/>
      <c r="H3" s="1795"/>
      <c r="I3" s="17"/>
    </row>
    <row r="4" spans="1:9" ht="12.75" customHeight="1" x14ac:dyDescent="0.25">
      <c r="A4" s="17"/>
      <c r="B4" s="1796">
        <v>1</v>
      </c>
      <c r="C4" s="76" t="s">
        <v>4630</v>
      </c>
      <c r="D4" s="40"/>
      <c r="E4" s="40"/>
      <c r="F4" s="1796">
        <v>4</v>
      </c>
      <c r="G4" s="76" t="s">
        <v>4631</v>
      </c>
      <c r="H4" s="48"/>
      <c r="I4" s="17"/>
    </row>
    <row r="5" spans="1:9" ht="12.75" customHeight="1" x14ac:dyDescent="0.25">
      <c r="A5" s="17"/>
      <c r="B5" s="655"/>
      <c r="C5" s="1797">
        <f>MAX(0,box_18_3)</f>
        <v>0</v>
      </c>
      <c r="D5" s="40"/>
      <c r="E5" s="40"/>
      <c r="F5" s="40"/>
      <c r="G5" s="1797">
        <f>'Tax due (c12)'!J39</f>
        <v>0</v>
      </c>
      <c r="H5" s="48"/>
      <c r="I5" s="17"/>
    </row>
    <row r="6" spans="1:9" ht="7.5" customHeight="1" x14ac:dyDescent="0.25">
      <c r="A6" s="17"/>
      <c r="B6" s="655"/>
      <c r="C6" s="40"/>
      <c r="D6" s="40"/>
      <c r="E6" s="40"/>
      <c r="F6" s="40"/>
      <c r="G6" s="40"/>
      <c r="H6" s="48"/>
      <c r="I6" s="17"/>
    </row>
    <row r="7" spans="1:9" ht="12.75" customHeight="1" x14ac:dyDescent="0.25">
      <c r="A7" s="17"/>
      <c r="B7" s="1796">
        <v>2</v>
      </c>
      <c r="C7" s="76" t="s">
        <v>4632</v>
      </c>
      <c r="D7" s="40"/>
      <c r="E7" s="40"/>
      <c r="F7" s="1796">
        <v>4.0999999999999996</v>
      </c>
      <c r="G7" s="76" t="s">
        <v>4556</v>
      </c>
      <c r="H7" s="48"/>
      <c r="I7" s="17"/>
    </row>
    <row r="8" spans="1:9" ht="12.75" customHeight="1" x14ac:dyDescent="0.25">
      <c r="A8" s="17"/>
      <c r="B8" s="656"/>
      <c r="C8" s="1797">
        <f>MAX(0,-1*box_18_3)</f>
        <v>0</v>
      </c>
      <c r="D8" s="40"/>
      <c r="E8" s="40"/>
      <c r="F8" s="40"/>
      <c r="G8" s="1797">
        <f>'Tax due (c12)'!J47</f>
        <v>0</v>
      </c>
      <c r="H8" s="48"/>
      <c r="I8" s="17"/>
    </row>
    <row r="9" spans="1:9" ht="7.5" customHeight="1" x14ac:dyDescent="0.25">
      <c r="A9" s="17"/>
      <c r="B9" s="656"/>
      <c r="C9" s="610"/>
      <c r="D9" s="40"/>
      <c r="E9" s="40"/>
      <c r="F9" s="40"/>
      <c r="G9" s="40"/>
      <c r="H9" s="48"/>
      <c r="I9" s="17"/>
    </row>
    <row r="10" spans="1:9" ht="12.75" customHeight="1" x14ac:dyDescent="0.25">
      <c r="A10" s="17"/>
      <c r="B10" s="1796">
        <v>3</v>
      </c>
      <c r="C10" s="76" t="s">
        <v>4633</v>
      </c>
      <c r="D10" s="40"/>
      <c r="E10" s="40"/>
      <c r="F10" s="1796">
        <v>5</v>
      </c>
      <c r="G10" s="76" t="s">
        <v>4634</v>
      </c>
      <c r="H10" s="48"/>
      <c r="I10" s="17"/>
    </row>
    <row r="11" spans="1:9" ht="12.75" customHeight="1" x14ac:dyDescent="0.25">
      <c r="A11" s="17"/>
      <c r="B11" s="655"/>
      <c r="C11" s="1797">
        <f>'S loans(c27)'!K258</f>
        <v>0</v>
      </c>
      <c r="D11" s="40"/>
      <c r="E11" s="40"/>
      <c r="F11" s="40"/>
      <c r="G11" s="1797">
        <f>'Tax due (c12)'!J95</f>
        <v>0</v>
      </c>
      <c r="H11" s="48"/>
      <c r="I11" s="17"/>
    </row>
    <row r="12" spans="1:9" ht="8.25" customHeight="1" x14ac:dyDescent="0.25">
      <c r="A12" s="17"/>
      <c r="B12" s="657"/>
      <c r="C12" s="76"/>
      <c r="D12" s="76"/>
      <c r="E12" s="40"/>
      <c r="F12" s="40"/>
      <c r="G12" s="40"/>
      <c r="H12" s="48"/>
      <c r="I12" s="17"/>
    </row>
    <row r="13" spans="1:9" ht="12.75" customHeight="1" x14ac:dyDescent="0.25">
      <c r="A13" s="17"/>
      <c r="B13" s="1798">
        <v>3.1</v>
      </c>
      <c r="C13" s="76" t="s">
        <v>4635</v>
      </c>
      <c r="D13" s="40"/>
      <c r="E13" s="40"/>
      <c r="F13" s="40"/>
      <c r="G13" s="76"/>
      <c r="H13" s="48"/>
      <c r="I13" s="17"/>
    </row>
    <row r="14" spans="1:9" ht="12.75" customHeight="1" x14ac:dyDescent="0.25">
      <c r="A14" s="17"/>
      <c r="B14" s="655"/>
      <c r="C14" s="1797">
        <f>'S loans(c27)'!K277</f>
        <v>0</v>
      </c>
      <c r="D14" s="40"/>
      <c r="E14" s="40"/>
      <c r="F14" s="40"/>
      <c r="G14" s="40"/>
      <c r="H14" s="48"/>
      <c r="I14" s="17"/>
    </row>
    <row r="15" spans="1:9" ht="7.5" customHeight="1" x14ac:dyDescent="0.25">
      <c r="A15" s="17"/>
      <c r="B15" s="657"/>
      <c r="C15" s="76"/>
      <c r="D15" s="76"/>
      <c r="E15" s="40"/>
      <c r="F15" s="40"/>
      <c r="G15" s="40"/>
      <c r="H15" s="48"/>
      <c r="I15" s="17"/>
    </row>
    <row r="16" spans="1:9" ht="12.75" customHeight="1" x14ac:dyDescent="0.25">
      <c r="A16" s="17"/>
      <c r="B16" s="1796">
        <v>7</v>
      </c>
      <c r="C16" s="40" t="str">
        <f>"Underpaid tax for earlier years included in "&amp;tax_year&amp;" tax code"</f>
        <v>Underpaid tax for earlier years included in 2025-26 tax code</v>
      </c>
      <c r="D16" s="40"/>
      <c r="E16" s="40"/>
      <c r="F16" s="1796">
        <v>6</v>
      </c>
      <c r="G16" s="76" t="s">
        <v>4636</v>
      </c>
      <c r="H16" s="48"/>
      <c r="I16" s="17"/>
    </row>
    <row r="17" spans="1:9" ht="12.75" customHeight="1" x14ac:dyDescent="0.25">
      <c r="A17" s="17"/>
      <c r="B17" s="655"/>
      <c r="C17" s="1799">
        <f>Box_CAL7</f>
        <v>0</v>
      </c>
      <c r="D17" s="76"/>
      <c r="E17" s="40"/>
      <c r="F17" s="40"/>
      <c r="G17" s="1797">
        <f>'Tax due (c12)'!J70</f>
        <v>0</v>
      </c>
      <c r="H17" s="48"/>
      <c r="I17" s="17"/>
    </row>
    <row r="18" spans="1:9" ht="8.25" customHeight="1" x14ac:dyDescent="0.25">
      <c r="A18" s="17"/>
      <c r="B18" s="655"/>
      <c r="C18" s="76"/>
      <c r="D18" s="76"/>
      <c r="E18" s="40"/>
      <c r="F18" s="40"/>
      <c r="G18" s="40"/>
      <c r="H18" s="48"/>
      <c r="I18" s="17"/>
    </row>
    <row r="19" spans="1:9" ht="12.75" customHeight="1" x14ac:dyDescent="0.25">
      <c r="A19" s="17"/>
      <c r="B19" s="1796">
        <v>8</v>
      </c>
      <c r="C19" s="611" t="str">
        <f>tax_year&amp;" underpaid tax included in "&amp;next_year&amp;" tax code"</f>
        <v>2025-26 underpaid tax included in 2026-27 tax code</v>
      </c>
      <c r="D19" s="76"/>
      <c r="E19" s="40"/>
      <c r="F19" s="1796">
        <v>9</v>
      </c>
      <c r="G19" s="76" t="str">
        <f>"Outstanding debt included in your tax code for "&amp;tax_year</f>
        <v>Outstanding debt included in your tax code for 2025-26</v>
      </c>
      <c r="H19" s="48"/>
      <c r="I19" s="17"/>
    </row>
    <row r="20" spans="1:9" ht="12.75" customHeight="1" x14ac:dyDescent="0.25">
      <c r="A20" s="17"/>
      <c r="B20" s="655"/>
      <c r="C20" s="1799">
        <f>Box_CAL8</f>
        <v>0</v>
      </c>
      <c r="D20" s="76"/>
      <c r="E20" s="40"/>
      <c r="F20" s="40"/>
      <c r="G20" s="1799">
        <f>Box_CAL9</f>
        <v>0</v>
      </c>
      <c r="H20" s="48"/>
      <c r="I20" s="17"/>
    </row>
    <row r="21" spans="1:9" ht="7.5" customHeight="1" x14ac:dyDescent="0.25">
      <c r="A21" s="17"/>
      <c r="B21" s="1800"/>
      <c r="C21" s="1801"/>
      <c r="D21" s="1802"/>
      <c r="E21" s="1802"/>
      <c r="F21" s="1802"/>
      <c r="G21" s="1802"/>
      <c r="H21" s="1803"/>
      <c r="I21" s="17"/>
    </row>
    <row r="22" spans="1:9" ht="6.75" customHeight="1" x14ac:dyDescent="0.25">
      <c r="A22" s="17"/>
      <c r="B22" s="17"/>
      <c r="C22" s="17"/>
      <c r="D22" s="17"/>
      <c r="E22" s="17"/>
      <c r="F22" s="17"/>
      <c r="G22" s="17"/>
      <c r="H22" s="17"/>
      <c r="I22" s="17"/>
    </row>
    <row r="23" spans="1:9" ht="12.75" customHeight="1" x14ac:dyDescent="0.25">
      <c r="A23" s="17"/>
      <c r="B23" s="17"/>
      <c r="C23" s="17"/>
      <c r="D23" s="17"/>
      <c r="E23" s="17"/>
      <c r="F23" s="17"/>
      <c r="G23" s="17"/>
      <c r="H23" s="17"/>
      <c r="I23" s="17"/>
    </row>
    <row r="24" spans="1:9" ht="12.75" customHeight="1" x14ac:dyDescent="0.25">
      <c r="A24" s="17"/>
      <c r="B24" s="17"/>
      <c r="C24" s="17"/>
      <c r="D24" s="17"/>
      <c r="E24" s="17"/>
      <c r="F24" s="17"/>
      <c r="G24" s="17"/>
      <c r="H24" s="17"/>
      <c r="I24" s="17"/>
    </row>
    <row r="25" spans="1:9" ht="12.75" customHeight="1" x14ac:dyDescent="0.25">
      <c r="A25" s="17"/>
      <c r="B25" s="17"/>
      <c r="C25" s="17"/>
      <c r="D25" s="17"/>
      <c r="E25" s="17"/>
      <c r="F25" s="17"/>
      <c r="G25" s="17"/>
      <c r="H25" s="17"/>
      <c r="I25" s="17"/>
    </row>
    <row r="26" spans="1:9" ht="12.75" customHeight="1" x14ac:dyDescent="0.25">
      <c r="A26" s="17"/>
      <c r="B26" s="17"/>
      <c r="C26" s="17"/>
      <c r="D26" s="17"/>
      <c r="E26" s="17"/>
      <c r="F26" s="17"/>
      <c r="G26" s="17"/>
      <c r="H26" s="17"/>
      <c r="I26" s="17"/>
    </row>
    <row r="27" spans="1:9" x14ac:dyDescent="0.25">
      <c r="A27" s="17"/>
      <c r="B27" s="17"/>
      <c r="C27" s="17"/>
      <c r="D27" s="17"/>
      <c r="E27" s="17"/>
      <c r="F27" s="17"/>
      <c r="G27" s="17"/>
      <c r="H27" s="17"/>
      <c r="I27" s="17"/>
    </row>
    <row r="28" spans="1:9" x14ac:dyDescent="0.25">
      <c r="A28" s="17"/>
      <c r="B28" s="17"/>
      <c r="C28" s="17"/>
      <c r="D28" s="17"/>
      <c r="E28" s="17"/>
      <c r="F28" s="17"/>
      <c r="G28" s="17"/>
      <c r="H28" s="17"/>
      <c r="I28" s="17"/>
    </row>
    <row r="29" spans="1:9" x14ac:dyDescent="0.25">
      <c r="A29" s="17"/>
      <c r="B29" s="17"/>
      <c r="C29" s="17"/>
      <c r="D29" s="17"/>
      <c r="E29" s="17"/>
      <c r="F29" s="17"/>
      <c r="G29" s="17"/>
      <c r="H29" s="17"/>
      <c r="I29" s="17"/>
    </row>
    <row r="30" spans="1:9" x14ac:dyDescent="0.25">
      <c r="A30" s="17"/>
      <c r="B30" s="17"/>
      <c r="C30" s="17"/>
      <c r="D30" s="17"/>
      <c r="E30" s="17"/>
      <c r="F30" s="17"/>
      <c r="G30" s="17"/>
      <c r="H30" s="17"/>
      <c r="I30" s="17"/>
    </row>
    <row r="31" spans="1:9" x14ac:dyDescent="0.25">
      <c r="A31" s="17"/>
      <c r="B31" s="17"/>
      <c r="C31" s="17"/>
      <c r="D31" s="17"/>
      <c r="E31" s="17"/>
      <c r="F31" s="17"/>
      <c r="G31" s="17"/>
      <c r="H31" s="17"/>
      <c r="I31" s="17"/>
    </row>
    <row r="32" spans="1:9" x14ac:dyDescent="0.25">
      <c r="A32" s="17"/>
      <c r="B32" s="17"/>
      <c r="C32" s="17"/>
      <c r="D32" s="17"/>
      <c r="E32" s="17"/>
      <c r="F32" s="17"/>
      <c r="G32" s="17"/>
      <c r="H32" s="17"/>
      <c r="I32" s="17"/>
    </row>
    <row r="33" spans="1:9" x14ac:dyDescent="0.25">
      <c r="A33" s="17"/>
      <c r="B33" s="17"/>
      <c r="C33" s="17"/>
      <c r="D33" s="17"/>
      <c r="E33" s="17"/>
      <c r="F33" s="17"/>
      <c r="G33" s="17"/>
      <c r="H33" s="17"/>
      <c r="I33" s="17"/>
    </row>
    <row r="34" spans="1:9" x14ac:dyDescent="0.25">
      <c r="A34" s="17"/>
      <c r="B34" s="17"/>
      <c r="C34" s="17"/>
      <c r="D34" s="17"/>
      <c r="E34" s="17"/>
      <c r="F34" s="17"/>
      <c r="G34" s="17"/>
      <c r="H34" s="17"/>
      <c r="I34" s="17"/>
    </row>
    <row r="35" spans="1:9" x14ac:dyDescent="0.25">
      <c r="A35" s="17"/>
      <c r="B35" s="17"/>
      <c r="C35" s="17"/>
      <c r="D35" s="17"/>
      <c r="E35" s="17"/>
      <c r="F35" s="17"/>
      <c r="G35" s="17"/>
      <c r="H35" s="17"/>
      <c r="I35" s="17"/>
    </row>
    <row r="36" spans="1:9" x14ac:dyDescent="0.25">
      <c r="A36" s="17"/>
      <c r="B36" s="17"/>
      <c r="C36" s="17"/>
      <c r="D36" s="17"/>
      <c r="E36" s="17"/>
      <c r="F36" s="17"/>
      <c r="G36" s="17"/>
      <c r="H36" s="17"/>
      <c r="I36" s="17"/>
    </row>
  </sheetData>
  <phoneticPr fontId="58" type="noConversion"/>
  <pageMargins left="0.75" right="0.75" top="1" bottom="1" header="0.5" footer="0.5"/>
  <pageSetup paperSize="9" orientation="portrait" r:id="rId1"/>
  <headerFooter alignWithMargins="0">
    <oddFooter>&amp;C&amp;1#&amp;"Calibri"&amp;10&amp;K000000OFFICIAL-SENSITIVE</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O26"/>
  <sheetViews>
    <sheetView showGridLines="0" topLeftCell="B1" workbookViewId="0">
      <selection activeCell="E19" sqref="E19"/>
    </sheetView>
  </sheetViews>
  <sheetFormatPr defaultRowHeight="12.5" x14ac:dyDescent="0.25"/>
  <cols>
    <col min="1" max="1" width="14.1796875" hidden="1" customWidth="1"/>
    <col min="2" max="2" width="18.81640625" customWidth="1"/>
    <col min="3" max="3" width="4.81640625" customWidth="1"/>
    <col min="4" max="4" width="12.54296875" customWidth="1"/>
    <col min="5" max="5" width="0.81640625" customWidth="1"/>
    <col min="6" max="6" width="2.54296875" customWidth="1"/>
    <col min="7" max="7" width="21.54296875" customWidth="1"/>
    <col min="8" max="8" width="9.54296875" customWidth="1"/>
    <col min="9" max="9" width="5.1796875" customWidth="1"/>
    <col min="10" max="10" width="12.54296875" customWidth="1"/>
    <col min="11" max="11" width="0.81640625" customWidth="1"/>
    <col min="12" max="12" width="2.54296875" customWidth="1"/>
    <col min="13" max="13" width="37.81640625" customWidth="1"/>
    <col min="14" max="14" width="20.1796875" customWidth="1"/>
    <col min="15" max="15" width="3.81640625" customWidth="1"/>
    <col min="16" max="16" width="4.54296875" customWidth="1"/>
  </cols>
  <sheetData>
    <row r="1" spans="1:15" ht="27" customHeight="1" x14ac:dyDescent="0.25">
      <c r="A1" t="s">
        <v>0</v>
      </c>
      <c r="B1" s="17"/>
      <c r="C1" s="17"/>
      <c r="D1" s="17"/>
      <c r="E1" s="17"/>
      <c r="F1" s="17"/>
      <c r="G1" s="17"/>
      <c r="H1" s="17"/>
      <c r="I1" s="17"/>
      <c r="J1" s="17"/>
      <c r="K1" s="17"/>
      <c r="L1" s="17"/>
      <c r="M1" s="17"/>
      <c r="N1" s="17"/>
    </row>
    <row r="2" spans="1:15" x14ac:dyDescent="0.25">
      <c r="A2">
        <v>1</v>
      </c>
      <c r="B2" s="17"/>
      <c r="C2" s="1822" t="s">
        <v>2200</v>
      </c>
      <c r="D2" s="1794"/>
      <c r="E2" s="1794"/>
      <c r="F2" s="1794"/>
      <c r="G2" s="1794"/>
      <c r="H2" s="1794"/>
      <c r="I2" s="1823" t="s">
        <v>5324</v>
      </c>
      <c r="J2" s="1794"/>
      <c r="K2" s="1794"/>
      <c r="L2" s="1794"/>
      <c r="M2" s="1824" t="s">
        <v>0</v>
      </c>
      <c r="N2" s="17"/>
    </row>
    <row r="3" spans="1:15" ht="9" customHeight="1" x14ac:dyDescent="0.25">
      <c r="A3">
        <v>2</v>
      </c>
      <c r="B3" s="17"/>
      <c r="C3" s="655"/>
      <c r="D3" s="40"/>
      <c r="E3" s="40"/>
      <c r="F3" s="40"/>
      <c r="G3" s="612"/>
      <c r="H3" s="40"/>
      <c r="I3" s="786" t="s">
        <v>5325</v>
      </c>
      <c r="J3" s="40"/>
      <c r="K3" s="40"/>
      <c r="L3" s="612"/>
      <c r="M3" s="48"/>
      <c r="N3" s="17"/>
    </row>
    <row r="4" spans="1:15" x14ac:dyDescent="0.25">
      <c r="A4">
        <v>3</v>
      </c>
      <c r="B4" s="17"/>
      <c r="C4" s="1825">
        <f>A2</f>
        <v>1</v>
      </c>
      <c r="D4" s="40" t="s">
        <v>1469</v>
      </c>
      <c r="E4" s="40"/>
      <c r="F4" s="40"/>
      <c r="G4" s="612"/>
      <c r="H4" s="40"/>
      <c r="I4" s="40"/>
      <c r="J4" s="787" t="s">
        <v>5326</v>
      </c>
      <c r="K4" s="177"/>
      <c r="L4" s="612"/>
      <c r="M4" s="48"/>
      <c r="N4" s="17"/>
    </row>
    <row r="5" spans="1:15" x14ac:dyDescent="0.25">
      <c r="A5">
        <v>4</v>
      </c>
      <c r="B5" s="17"/>
      <c r="C5" s="655"/>
      <c r="D5" s="40"/>
      <c r="E5" s="40"/>
      <c r="F5" s="40"/>
      <c r="G5" s="612"/>
      <c r="H5" s="40"/>
      <c r="I5" s="1826">
        <v>2</v>
      </c>
      <c r="J5" s="788" t="str">
        <f>"1) "&amp;data!C191</f>
        <v>1) Before 6/4/1935 (age over 90)</v>
      </c>
      <c r="K5" s="177"/>
      <c r="L5" s="612"/>
      <c r="M5" s="48"/>
      <c r="N5" s="17"/>
    </row>
    <row r="6" spans="1:15" x14ac:dyDescent="0.25">
      <c r="A6" s="178" t="s">
        <v>5327</v>
      </c>
      <c r="B6" s="17"/>
      <c r="C6" s="655"/>
      <c r="D6" s="40"/>
      <c r="E6" s="40"/>
      <c r="F6" s="40"/>
      <c r="G6" s="612"/>
      <c r="H6" s="40"/>
      <c r="I6" s="40"/>
      <c r="J6" s="788" t="str">
        <f>"2) "&amp;data!C192</f>
        <v>2) After 6/4/1935 (age 90 or under)</v>
      </c>
      <c r="K6" s="177"/>
      <c r="L6" s="612"/>
      <c r="M6" s="48"/>
      <c r="N6" s="17"/>
    </row>
    <row r="7" spans="1:15" x14ac:dyDescent="0.25">
      <c r="B7" s="17"/>
      <c r="C7" s="1825" t="s">
        <v>1542</v>
      </c>
      <c r="D7" s="40" t="s">
        <v>5328</v>
      </c>
      <c r="E7" s="40"/>
      <c r="F7" s="40"/>
      <c r="G7" s="612"/>
      <c r="H7" s="40"/>
      <c r="I7" s="40"/>
      <c r="J7" s="788"/>
      <c r="K7" s="177"/>
      <c r="L7" s="612"/>
      <c r="M7" s="48"/>
      <c r="N7" s="17"/>
      <c r="O7" s="178"/>
    </row>
    <row r="8" spans="1:15" x14ac:dyDescent="0.25">
      <c r="B8" s="17"/>
      <c r="C8" s="655"/>
      <c r="D8" s="612"/>
      <c r="E8" s="40"/>
      <c r="F8" s="40"/>
      <c r="G8" s="612"/>
      <c r="H8" s="40"/>
      <c r="I8" s="1826">
        <v>1</v>
      </c>
      <c r="J8" s="788" t="s">
        <v>5329</v>
      </c>
      <c r="K8" s="177"/>
      <c r="L8" s="612"/>
      <c r="M8" s="48"/>
      <c r="N8" s="17"/>
      <c r="O8" s="178"/>
    </row>
    <row r="9" spans="1:15" ht="11.25" customHeight="1" x14ac:dyDescent="0.25">
      <c r="B9" s="17"/>
      <c r="C9" s="655"/>
      <c r="D9" s="40"/>
      <c r="E9" s="40"/>
      <c r="F9" s="40"/>
      <c r="G9" s="509"/>
      <c r="H9" s="40"/>
      <c r="I9" s="40"/>
      <c r="J9" s="788" t="s">
        <v>5330</v>
      </c>
      <c r="K9" s="40"/>
      <c r="L9" s="40"/>
      <c r="M9" s="48"/>
      <c r="N9" s="17"/>
    </row>
    <row r="10" spans="1:15" ht="11.25" customHeight="1" x14ac:dyDescent="0.25">
      <c r="A10" t="s">
        <v>5331</v>
      </c>
      <c r="B10" s="17"/>
      <c r="C10" s="1827"/>
      <c r="D10" s="1802"/>
      <c r="E10" s="1802"/>
      <c r="F10" s="1802"/>
      <c r="G10" s="1828"/>
      <c r="H10" s="1802"/>
      <c r="I10" s="1802"/>
      <c r="J10" s="789" t="s">
        <v>5332</v>
      </c>
      <c r="K10" s="1802"/>
      <c r="L10" s="1802"/>
      <c r="M10" s="1803"/>
      <c r="N10" s="17"/>
    </row>
    <row r="11" spans="1:15" x14ac:dyDescent="0.25">
      <c r="A11" s="322" t="s">
        <v>5333</v>
      </c>
      <c r="B11" s="299"/>
      <c r="C11" s="299"/>
      <c r="D11" s="299"/>
      <c r="E11" s="299"/>
      <c r="F11" s="299"/>
      <c r="G11" s="299"/>
      <c r="H11" s="299"/>
      <c r="I11" s="299"/>
      <c r="J11" s="299"/>
      <c r="K11" s="299"/>
      <c r="L11" s="299"/>
      <c r="M11" s="299"/>
      <c r="N11" s="299"/>
    </row>
    <row r="12" spans="1:15" x14ac:dyDescent="0.25">
      <c r="A12" s="322" t="s">
        <v>5334</v>
      </c>
      <c r="B12" s="299"/>
      <c r="C12" s="299"/>
      <c r="D12" s="299"/>
      <c r="E12" s="299"/>
      <c r="F12" s="299"/>
      <c r="G12" s="299"/>
      <c r="H12" s="299"/>
      <c r="I12" s="299"/>
      <c r="J12" s="299"/>
      <c r="K12" s="299"/>
      <c r="L12" s="299"/>
      <c r="M12" s="299"/>
      <c r="N12" s="299"/>
    </row>
    <row r="13" spans="1:15" x14ac:dyDescent="0.25">
      <c r="A13" s="322" t="s">
        <v>5335</v>
      </c>
      <c r="B13" s="17"/>
      <c r="C13" s="1822" t="s">
        <v>5336</v>
      </c>
      <c r="D13" s="1794"/>
      <c r="E13" s="1794"/>
      <c r="F13" s="1794"/>
      <c r="G13" s="1794"/>
      <c r="H13" s="1794"/>
      <c r="I13" s="1794"/>
      <c r="J13" s="1794"/>
      <c r="K13" s="1794"/>
      <c r="L13" s="1794"/>
      <c r="M13" s="1824" t="s">
        <v>1555</v>
      </c>
      <c r="N13" s="17"/>
    </row>
    <row r="14" spans="1:15" ht="12.75" customHeight="1" x14ac:dyDescent="0.25">
      <c r="A14" s="1829"/>
      <c r="B14" s="17"/>
      <c r="C14" s="655"/>
      <c r="D14" s="40"/>
      <c r="E14" s="40"/>
      <c r="F14" s="40"/>
      <c r="G14" s="612"/>
      <c r="H14" s="40"/>
      <c r="I14" s="40"/>
      <c r="J14" s="40"/>
      <c r="K14" s="40"/>
      <c r="L14" s="612"/>
      <c r="M14" s="48"/>
      <c r="N14" s="17"/>
    </row>
    <row r="15" spans="1:15" x14ac:dyDescent="0.25">
      <c r="B15" s="17"/>
      <c r="C15" s="1825">
        <f>A19</f>
        <v>1</v>
      </c>
      <c r="D15" s="40" t="s">
        <v>5337</v>
      </c>
      <c r="E15" s="40"/>
      <c r="F15" s="40"/>
      <c r="G15" s="612"/>
      <c r="H15" s="40"/>
      <c r="I15" s="1825">
        <f>A22</f>
        <v>4</v>
      </c>
      <c r="J15" s="46" t="s">
        <v>5338</v>
      </c>
      <c r="K15" s="46"/>
      <c r="L15" s="613"/>
      <c r="M15" s="48"/>
      <c r="N15" s="17"/>
    </row>
    <row r="16" spans="1:15" x14ac:dyDescent="0.25">
      <c r="B16" s="17"/>
      <c r="C16" s="658"/>
      <c r="D16" s="1830"/>
      <c r="E16" s="1831" t="s">
        <v>5339</v>
      </c>
      <c r="F16" s="1832" t="s">
        <v>5340</v>
      </c>
      <c r="G16" s="614"/>
      <c r="H16" s="614"/>
      <c r="I16" s="614"/>
      <c r="J16" s="1830"/>
      <c r="K16" s="1831" t="s">
        <v>5339</v>
      </c>
      <c r="L16" s="1832" t="s">
        <v>5340</v>
      </c>
      <c r="M16" s="48"/>
      <c r="N16" s="17"/>
    </row>
    <row r="17" spans="1:14" ht="12.75" customHeight="1" x14ac:dyDescent="0.25">
      <c r="B17" s="17"/>
      <c r="C17" s="655"/>
      <c r="D17" s="40"/>
      <c r="E17" s="40"/>
      <c r="F17" s="40"/>
      <c r="G17" s="614"/>
      <c r="H17" s="614"/>
      <c r="I17" s="40"/>
      <c r="J17" s="40"/>
      <c r="K17" s="40"/>
      <c r="L17" s="612"/>
      <c r="M17" s="48"/>
      <c r="N17" s="17"/>
    </row>
    <row r="18" spans="1:14" ht="12.75" customHeight="1" x14ac:dyDescent="0.25">
      <c r="A18" t="s">
        <v>1555</v>
      </c>
      <c r="B18" s="17"/>
      <c r="C18" s="1825">
        <f>A20</f>
        <v>2</v>
      </c>
      <c r="D18" s="40" t="s">
        <v>5341</v>
      </c>
      <c r="E18" s="40"/>
      <c r="F18" s="40"/>
      <c r="G18" s="612"/>
      <c r="H18" s="614"/>
      <c r="I18" s="1833">
        <f>A23</f>
        <v>5</v>
      </c>
      <c r="J18" s="40" t="s">
        <v>5342</v>
      </c>
      <c r="K18" s="40"/>
      <c r="L18" s="612"/>
      <c r="M18" s="48"/>
      <c r="N18" s="17"/>
    </row>
    <row r="19" spans="1:14" ht="12.75" customHeight="1" x14ac:dyDescent="0.25">
      <c r="A19" s="8">
        <v>1</v>
      </c>
      <c r="B19" s="17"/>
      <c r="C19" s="659"/>
      <c r="D19" s="1830"/>
      <c r="E19" s="1831" t="s">
        <v>5339</v>
      </c>
      <c r="F19" s="1832" t="s">
        <v>5340</v>
      </c>
      <c r="G19" s="613"/>
      <c r="H19" s="614"/>
      <c r="I19" s="614"/>
      <c r="J19" s="1830"/>
      <c r="K19" s="1831" t="s">
        <v>5339</v>
      </c>
      <c r="L19" s="1832" t="s">
        <v>5340</v>
      </c>
      <c r="M19" s="48"/>
      <c r="N19" s="17"/>
    </row>
    <row r="20" spans="1:14" x14ac:dyDescent="0.25">
      <c r="A20" s="8">
        <v>2</v>
      </c>
      <c r="B20" s="17"/>
      <c r="C20" s="659"/>
      <c r="D20" s="614"/>
      <c r="E20" s="614"/>
      <c r="F20" s="614"/>
      <c r="G20" s="613"/>
      <c r="H20" s="614"/>
      <c r="I20" s="40"/>
      <c r="J20" s="40"/>
      <c r="K20" s="40"/>
      <c r="L20" s="612"/>
      <c r="M20" s="48"/>
      <c r="N20" s="17"/>
    </row>
    <row r="21" spans="1:14" x14ac:dyDescent="0.25">
      <c r="A21" s="8">
        <v>3</v>
      </c>
      <c r="B21" s="17"/>
      <c r="C21" s="1825">
        <f>A21</f>
        <v>3</v>
      </c>
      <c r="D21" s="40" t="s">
        <v>2228</v>
      </c>
      <c r="E21" s="40"/>
      <c r="F21" s="40"/>
      <c r="G21" s="612"/>
      <c r="H21" s="614"/>
      <c r="I21" s="1833">
        <f>A24</f>
        <v>6</v>
      </c>
      <c r="J21" s="40" t="s">
        <v>5343</v>
      </c>
      <c r="K21" s="40"/>
      <c r="L21" s="612"/>
      <c r="M21" s="48"/>
      <c r="N21" s="17"/>
    </row>
    <row r="22" spans="1:14" x14ac:dyDescent="0.25">
      <c r="A22" s="8">
        <v>4</v>
      </c>
      <c r="B22" s="17"/>
      <c r="C22" s="659"/>
      <c r="D22" s="1830"/>
      <c r="E22" s="1831" t="s">
        <v>5339</v>
      </c>
      <c r="F22" s="1832" t="s">
        <v>5340</v>
      </c>
      <c r="G22" s="613"/>
      <c r="H22" s="615"/>
      <c r="I22" s="614"/>
      <c r="J22" s="1830"/>
      <c r="K22" s="1831" t="s">
        <v>5339</v>
      </c>
      <c r="L22" s="1832" t="s">
        <v>5340</v>
      </c>
      <c r="M22" s="48"/>
      <c r="N22" s="17"/>
    </row>
    <row r="23" spans="1:14" ht="33" customHeight="1" x14ac:dyDescent="0.25">
      <c r="A23" s="8">
        <v>5</v>
      </c>
      <c r="B23" s="17"/>
      <c r="C23" s="1827"/>
      <c r="D23" s="1802"/>
      <c r="E23" s="1802"/>
      <c r="F23" s="1802"/>
      <c r="G23" s="1802"/>
      <c r="H23" s="1802"/>
      <c r="I23" s="1802"/>
      <c r="J23" s="1802"/>
      <c r="K23" s="1802"/>
      <c r="L23" s="1802"/>
      <c r="M23" s="1803"/>
      <c r="N23" s="17"/>
    </row>
    <row r="24" spans="1:14" x14ac:dyDescent="0.25">
      <c r="A24" s="8">
        <v>6</v>
      </c>
      <c r="B24" s="17"/>
      <c r="C24" s="17"/>
      <c r="D24" s="17"/>
      <c r="E24" s="17"/>
      <c r="F24" s="17"/>
      <c r="G24" s="17"/>
      <c r="H24" s="17"/>
      <c r="I24" s="17"/>
      <c r="J24" s="17"/>
      <c r="K24" s="17"/>
      <c r="L24" s="17"/>
      <c r="M24" s="17"/>
      <c r="N24" s="17"/>
    </row>
    <row r="26" spans="1:14" x14ac:dyDescent="0.25">
      <c r="D26" s="160"/>
    </row>
  </sheetData>
  <phoneticPr fontId="58" type="noConversion"/>
  <dataValidations count="1">
    <dataValidation type="whole" errorStyle="information" operator="greaterThan" allowBlank="1" showInputMessage="1" showErrorMessage="1" error="Enter your figures in whole pounds – ignore the pence_x000a_• Round down income and round up expenses and tax paid,_x000a_it is to your benefit_x000a_Select OK to retain pence or Cancel to retype amount" sqref="D16" xr:uid="{00000000-0002-0000-1A00-000000000000}">
      <formula1>0</formula1>
    </dataValidation>
  </dataValidations>
  <pageMargins left="0.75" right="0.75" top="1" bottom="1" header="0.5" footer="0.5"/>
  <pageSetup paperSize="9" orientation="landscape" horizontalDpi="1200" verticalDpi="1200"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4" r:id="rId4" name="Drop Down 4">
              <controlPr defaultSize="0" autoLine="0" autoPict="0" altText="Drop down button to select Taxpayer's date of birth.">
                <anchor moveWithCells="1">
                  <from>
                    <xdr:col>3</xdr:col>
                    <xdr:colOff>0</xdr:colOff>
                    <xdr:row>4</xdr:row>
                    <xdr:rowOff>12700</xdr:rowOff>
                  </from>
                  <to>
                    <xdr:col>6</xdr:col>
                    <xdr:colOff>812800</xdr:colOff>
                    <xdr:row>5</xdr:row>
                    <xdr:rowOff>12700</xdr:rowOff>
                  </to>
                </anchor>
              </controlPr>
            </control>
          </mc:Choice>
        </mc:AlternateContent>
        <mc:AlternateContent xmlns:mc="http://schemas.openxmlformats.org/markup-compatibility/2006">
          <mc:Choice Requires="x14">
            <control shapeId="40971" r:id="rId5" name="Drop Down 11">
              <controlPr defaultSize="0" autoLine="0" autoPict="0" altText="Drop down button to select Taxpayer status.">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N36"/>
  <sheetViews>
    <sheetView showGridLines="0" showRowColHeaders="0" topLeftCell="B1" workbookViewId="0">
      <selection activeCell="E23" sqref="E23"/>
    </sheetView>
  </sheetViews>
  <sheetFormatPr defaultColWidth="9.1796875" defaultRowHeight="11.5" x14ac:dyDescent="0.25"/>
  <cols>
    <col min="1" max="1" width="3" style="39" hidden="1" customWidth="1"/>
    <col min="2" max="2" width="18.453125" style="39" customWidth="1"/>
    <col min="3" max="3" width="4.54296875" style="39" customWidth="1"/>
    <col min="4" max="4" width="13.54296875" style="39" customWidth="1"/>
    <col min="5" max="5" width="13.1796875" style="39" customWidth="1"/>
    <col min="6" max="6" width="32.54296875" style="39" customWidth="1"/>
    <col min="7" max="7" width="4.54296875" style="39" customWidth="1"/>
    <col min="8" max="8" width="13.54296875" style="39" customWidth="1"/>
    <col min="9" max="9" width="10.54296875" style="39" customWidth="1"/>
    <col min="10" max="10" width="3.54296875" style="39" customWidth="1"/>
    <col min="11" max="11" width="22.1796875" style="39" customWidth="1"/>
    <col min="12" max="12" width="19" style="39" customWidth="1"/>
    <col min="13" max="16384" width="9.1796875" style="39"/>
  </cols>
  <sheetData>
    <row r="1" spans="1:14" ht="9" customHeight="1" x14ac:dyDescent="0.25">
      <c r="A1" s="8"/>
      <c r="B1" s="17"/>
      <c r="C1" s="17"/>
      <c r="D1" s="17"/>
      <c r="E1" s="17"/>
      <c r="F1" s="17"/>
      <c r="G1" s="17"/>
      <c r="H1" s="17"/>
      <c r="I1" s="17"/>
      <c r="J1" s="17"/>
      <c r="K1" s="17"/>
      <c r="L1" s="17"/>
      <c r="M1" s="8"/>
      <c r="N1" s="8"/>
    </row>
    <row r="2" spans="1:14" ht="12.75" customHeight="1" x14ac:dyDescent="0.25">
      <c r="A2" s="8"/>
      <c r="B2" s="17"/>
      <c r="C2" s="1822" t="s">
        <v>1473</v>
      </c>
      <c r="D2" s="1794"/>
      <c r="E2" s="1794"/>
      <c r="F2" s="1794"/>
      <c r="G2" s="1794"/>
      <c r="H2" s="1794"/>
      <c r="I2" s="1794"/>
      <c r="J2" s="1824" t="s">
        <v>1555</v>
      </c>
      <c r="K2" s="17"/>
      <c r="L2" s="17"/>
      <c r="M2" s="8"/>
      <c r="N2" s="8"/>
    </row>
    <row r="3" spans="1:14" ht="9" customHeight="1" x14ac:dyDescent="0.25">
      <c r="A3" s="8">
        <v>7</v>
      </c>
      <c r="B3" s="17"/>
      <c r="C3" s="658"/>
      <c r="D3" s="614"/>
      <c r="E3" s="614"/>
      <c r="F3" s="614"/>
      <c r="G3" s="614"/>
      <c r="H3" s="614"/>
      <c r="I3" s="612"/>
      <c r="J3" s="48"/>
      <c r="K3" s="17"/>
      <c r="L3" s="17"/>
      <c r="M3" s="8"/>
      <c r="N3" s="8"/>
    </row>
    <row r="4" spans="1:14" ht="12.75" customHeight="1" x14ac:dyDescent="0.25">
      <c r="A4" s="8">
        <v>8</v>
      </c>
      <c r="B4" s="17"/>
      <c r="C4" s="1825">
        <f>A4</f>
        <v>8</v>
      </c>
      <c r="D4" s="46" t="s">
        <v>5344</v>
      </c>
      <c r="E4" s="614"/>
      <c r="F4" s="614"/>
      <c r="G4" s="1825">
        <f>A8</f>
        <v>12</v>
      </c>
      <c r="H4" s="46" t="str">
        <f>"Tax taken off box "&amp;C13</f>
        <v>Tax taken off box 11</v>
      </c>
      <c r="I4" s="612"/>
      <c r="J4" s="48"/>
      <c r="K4" s="17"/>
      <c r="L4" s="17"/>
      <c r="M4" s="8"/>
      <c r="N4" s="8"/>
    </row>
    <row r="5" spans="1:14" ht="12.75" customHeight="1" x14ac:dyDescent="0.25">
      <c r="A5" s="8">
        <v>9</v>
      </c>
      <c r="B5" s="17"/>
      <c r="C5" s="658"/>
      <c r="D5" s="1830"/>
      <c r="E5" s="614"/>
      <c r="F5" s="614"/>
      <c r="G5" s="614"/>
      <c r="H5" s="1834"/>
      <c r="I5" s="612"/>
      <c r="J5" s="48"/>
      <c r="K5" s="17"/>
      <c r="L5" s="17"/>
      <c r="M5" s="8"/>
      <c r="N5" s="8"/>
    </row>
    <row r="6" spans="1:14" ht="9" customHeight="1" x14ac:dyDescent="0.25">
      <c r="A6" s="8">
        <v>10</v>
      </c>
      <c r="B6" s="17"/>
      <c r="C6" s="658"/>
      <c r="D6" s="614"/>
      <c r="E6" s="614"/>
      <c r="F6" s="614"/>
      <c r="G6" s="614"/>
      <c r="H6" s="614"/>
      <c r="I6" s="612"/>
      <c r="J6" s="48"/>
      <c r="K6" s="17"/>
      <c r="L6" s="17"/>
      <c r="M6" s="8"/>
      <c r="N6" s="8"/>
    </row>
    <row r="7" spans="1:14" ht="12.75" customHeight="1" x14ac:dyDescent="0.25">
      <c r="A7" s="8">
        <v>11</v>
      </c>
      <c r="B7" s="17"/>
      <c r="C7" s="1825">
        <f>A5</f>
        <v>9</v>
      </c>
      <c r="D7" s="46" t="s">
        <v>5345</v>
      </c>
      <c r="E7" s="614"/>
      <c r="F7" s="614"/>
      <c r="G7" s="1825">
        <f>A9</f>
        <v>13</v>
      </c>
      <c r="H7" s="46" t="s">
        <v>5346</v>
      </c>
      <c r="I7" s="45"/>
      <c r="J7" s="48"/>
      <c r="K7" s="17"/>
      <c r="L7" s="17"/>
      <c r="M7" s="8"/>
      <c r="N7" s="8"/>
    </row>
    <row r="8" spans="1:14" ht="12.75" customHeight="1" x14ac:dyDescent="0.25">
      <c r="A8" s="8">
        <v>12</v>
      </c>
      <c r="B8" s="17"/>
      <c r="C8" s="658"/>
      <c r="D8" s="1830"/>
      <c r="E8" s="614"/>
      <c r="F8" s="614"/>
      <c r="G8" s="614"/>
      <c r="H8" s="1830"/>
      <c r="I8" s="45"/>
      <c r="J8" s="48"/>
      <c r="K8" s="17"/>
      <c r="L8" s="17"/>
      <c r="M8" s="8"/>
      <c r="N8" s="8"/>
    </row>
    <row r="9" spans="1:14" ht="9" customHeight="1" x14ac:dyDescent="0.25">
      <c r="A9" s="8">
        <v>13</v>
      </c>
      <c r="B9" s="17"/>
      <c r="C9" s="658"/>
      <c r="D9" s="614"/>
      <c r="E9" s="614"/>
      <c r="F9" s="614"/>
      <c r="G9" s="614"/>
      <c r="H9" s="614"/>
      <c r="I9" s="45"/>
      <c r="J9" s="48"/>
      <c r="K9" s="17"/>
      <c r="L9" s="17"/>
      <c r="M9" s="8"/>
      <c r="N9" s="8"/>
    </row>
    <row r="10" spans="1:14" ht="12.75" customHeight="1" x14ac:dyDescent="0.25">
      <c r="A10" s="8">
        <v>14</v>
      </c>
      <c r="B10" s="17"/>
      <c r="C10" s="1825">
        <f>A6</f>
        <v>10</v>
      </c>
      <c r="D10" s="46" t="str">
        <f>"Tax taken off box "&amp;C7</f>
        <v>Tax taken off box 9</v>
      </c>
      <c r="E10" s="614"/>
      <c r="F10" s="614"/>
      <c r="G10" s="1825">
        <f>A10</f>
        <v>14</v>
      </c>
      <c r="H10" s="46" t="str">
        <f>"Tax taken off box "&amp;G7</f>
        <v>Tax taken off box 13</v>
      </c>
      <c r="I10" s="45"/>
      <c r="J10" s="48"/>
      <c r="K10" s="17"/>
      <c r="L10" s="17"/>
      <c r="M10" s="8"/>
      <c r="N10" s="8"/>
    </row>
    <row r="11" spans="1:14" ht="12.75" customHeight="1" x14ac:dyDescent="0.25">
      <c r="A11" s="8">
        <v>15</v>
      </c>
      <c r="B11" s="17"/>
      <c r="C11" s="658"/>
      <c r="D11" s="1830"/>
      <c r="E11" s="614"/>
      <c r="F11" s="614"/>
      <c r="G11" s="614"/>
      <c r="H11" s="1834"/>
      <c r="I11" s="45"/>
      <c r="J11" s="48"/>
      <c r="K11" s="17"/>
      <c r="L11" s="17"/>
      <c r="M11" s="8"/>
      <c r="N11" s="8"/>
    </row>
    <row r="12" spans="1:14" ht="9" customHeight="1" x14ac:dyDescent="0.25">
      <c r="A12" s="8">
        <v>16</v>
      </c>
      <c r="B12" s="17"/>
      <c r="C12" s="658"/>
      <c r="D12" s="614"/>
      <c r="E12" s="614"/>
      <c r="F12" s="614"/>
      <c r="G12" s="614"/>
      <c r="H12" s="614"/>
      <c r="I12" s="45"/>
      <c r="J12" s="48"/>
      <c r="K12" s="17"/>
      <c r="L12" s="17"/>
      <c r="M12" s="8"/>
      <c r="N12" s="8"/>
    </row>
    <row r="13" spans="1:14" ht="12.75" customHeight="1" x14ac:dyDescent="0.25">
      <c r="A13" s="8">
        <v>17</v>
      </c>
      <c r="B13" s="17"/>
      <c r="C13" s="1825">
        <f>A7</f>
        <v>11</v>
      </c>
      <c r="D13" s="46" t="s">
        <v>5347</v>
      </c>
      <c r="E13" s="614"/>
      <c r="F13" s="614"/>
      <c r="G13" s="1825">
        <f>A11</f>
        <v>15</v>
      </c>
      <c r="H13" s="46" t="s">
        <v>5348</v>
      </c>
      <c r="I13" s="45"/>
      <c r="J13" s="48"/>
      <c r="K13" s="17"/>
      <c r="L13" s="17"/>
      <c r="M13" s="8"/>
      <c r="N13" s="8"/>
    </row>
    <row r="14" spans="1:14" ht="12.75" customHeight="1" x14ac:dyDescent="0.25">
      <c r="A14" s="8">
        <v>18</v>
      </c>
      <c r="B14" s="17"/>
      <c r="C14" s="658"/>
      <c r="D14" s="1830"/>
      <c r="E14" s="614"/>
      <c r="F14" s="614"/>
      <c r="G14" s="132"/>
      <c r="H14" s="1830"/>
      <c r="I14" s="45"/>
      <c r="J14" s="48"/>
      <c r="K14" s="17"/>
      <c r="L14" s="17"/>
      <c r="M14" s="8"/>
      <c r="N14" s="8"/>
    </row>
    <row r="15" spans="1:14" ht="12.75" customHeight="1" x14ac:dyDescent="0.25">
      <c r="A15" s="8">
        <v>19</v>
      </c>
      <c r="B15" s="17"/>
      <c r="C15" s="658"/>
      <c r="D15" s="614"/>
      <c r="E15" s="614"/>
      <c r="F15" s="614"/>
      <c r="G15" s="614"/>
      <c r="H15" s="614"/>
      <c r="I15" s="45"/>
      <c r="J15" s="48"/>
      <c r="K15" s="17"/>
      <c r="L15" s="17"/>
      <c r="M15" s="8"/>
      <c r="N15" s="8"/>
    </row>
    <row r="16" spans="1:14" ht="12.75" customHeight="1" x14ac:dyDescent="0.25">
      <c r="A16" s="8">
        <v>20</v>
      </c>
      <c r="B16" s="17"/>
      <c r="C16" s="658"/>
      <c r="D16" s="614"/>
      <c r="E16" s="614"/>
      <c r="F16" s="614"/>
      <c r="G16" s="1825">
        <f>A12</f>
        <v>16</v>
      </c>
      <c r="H16" s="46" t="s">
        <v>5349</v>
      </c>
      <c r="I16" s="45"/>
      <c r="J16" s="48"/>
      <c r="K16" s="17"/>
      <c r="L16" s="17"/>
      <c r="M16" s="8"/>
      <c r="N16" s="8"/>
    </row>
    <row r="17" spans="1:14" ht="12.75" customHeight="1" x14ac:dyDescent="0.25">
      <c r="A17" s="8">
        <v>21</v>
      </c>
      <c r="B17" s="17"/>
      <c r="C17" s="658"/>
      <c r="D17" s="614"/>
      <c r="E17" s="614"/>
      <c r="F17" s="614"/>
      <c r="G17" s="614"/>
      <c r="H17" s="1830"/>
      <c r="I17" s="45"/>
      <c r="J17" s="48"/>
      <c r="K17" s="17"/>
      <c r="L17" s="17"/>
      <c r="M17" s="8"/>
      <c r="N17" s="8"/>
    </row>
    <row r="18" spans="1:14" ht="9" customHeight="1" x14ac:dyDescent="0.25">
      <c r="A18" s="8"/>
      <c r="B18" s="17"/>
      <c r="C18" s="1827"/>
      <c r="D18" s="1802"/>
      <c r="E18" s="1802"/>
      <c r="F18" s="1802"/>
      <c r="G18" s="1802"/>
      <c r="H18" s="1802"/>
      <c r="I18" s="1802"/>
      <c r="J18" s="1803"/>
      <c r="K18" s="17"/>
      <c r="L18" s="17"/>
      <c r="M18" s="8"/>
      <c r="N18" s="8"/>
    </row>
    <row r="19" spans="1:14" ht="9" customHeight="1" x14ac:dyDescent="0.25">
      <c r="A19" s="8"/>
      <c r="B19" s="17"/>
      <c r="C19" s="17"/>
      <c r="D19" s="17"/>
      <c r="E19" s="17"/>
      <c r="F19" s="17"/>
      <c r="G19" s="17"/>
      <c r="H19" s="17"/>
      <c r="I19" s="21"/>
      <c r="J19" s="17"/>
      <c r="K19" s="17"/>
      <c r="L19" s="17"/>
      <c r="M19" s="8"/>
      <c r="N19" s="8"/>
    </row>
    <row r="20" spans="1:14" ht="12.75" customHeight="1" x14ac:dyDescent="0.25">
      <c r="A20" s="8"/>
      <c r="B20" s="17"/>
      <c r="C20" s="1822" t="s">
        <v>1474</v>
      </c>
      <c r="D20" s="1794"/>
      <c r="E20" s="1794"/>
      <c r="F20" s="1794"/>
      <c r="G20" s="1794"/>
      <c r="H20" s="1794"/>
      <c r="I20" s="1794"/>
      <c r="J20" s="1824" t="s">
        <v>1555</v>
      </c>
      <c r="K20" s="17"/>
      <c r="L20" s="17"/>
      <c r="M20" s="8"/>
      <c r="N20" s="8"/>
    </row>
    <row r="21" spans="1:14" ht="9" customHeight="1" x14ac:dyDescent="0.25">
      <c r="A21" s="8"/>
      <c r="B21" s="17"/>
      <c r="C21" s="655"/>
      <c r="D21" s="40"/>
      <c r="E21" s="612"/>
      <c r="F21" s="40"/>
      <c r="G21" s="40"/>
      <c r="H21" s="40"/>
      <c r="I21" s="612"/>
      <c r="J21" s="48"/>
      <c r="K21" s="17"/>
      <c r="L21" s="17"/>
      <c r="M21" s="8"/>
      <c r="N21" s="8"/>
    </row>
    <row r="22" spans="1:14" ht="12.75" customHeight="1" x14ac:dyDescent="0.25">
      <c r="A22" s="8"/>
      <c r="B22" s="17"/>
      <c r="C22" s="1825">
        <f>A13</f>
        <v>17</v>
      </c>
      <c r="D22" s="46" t="s">
        <v>5350</v>
      </c>
      <c r="E22" s="612"/>
      <c r="F22" s="40"/>
      <c r="G22" s="1833">
        <f>A16</f>
        <v>20</v>
      </c>
      <c r="H22" s="46" t="s">
        <v>2272</v>
      </c>
      <c r="I22" s="612"/>
      <c r="J22" s="48"/>
      <c r="K22" s="17"/>
      <c r="L22" s="17"/>
      <c r="M22" s="8"/>
      <c r="N22" s="8"/>
    </row>
    <row r="23" spans="1:14" ht="12.75" customHeight="1" x14ac:dyDescent="0.25">
      <c r="A23" s="8"/>
      <c r="B23" s="17"/>
      <c r="C23" s="658"/>
      <c r="D23" s="1830"/>
      <c r="E23" s="614"/>
      <c r="F23" s="614"/>
      <c r="G23" s="614"/>
      <c r="H23" s="1830"/>
      <c r="I23" s="612"/>
      <c r="J23" s="48"/>
      <c r="K23" s="17"/>
      <c r="L23" s="17"/>
      <c r="M23" s="8"/>
      <c r="N23" s="8"/>
    </row>
    <row r="24" spans="1:14" ht="9" customHeight="1" x14ac:dyDescent="0.25">
      <c r="A24" s="8"/>
      <c r="B24" s="17"/>
      <c r="C24" s="655"/>
      <c r="D24" s="40"/>
      <c r="E24" s="614"/>
      <c r="F24" s="614"/>
      <c r="G24" s="40"/>
      <c r="H24" s="40"/>
      <c r="I24" s="612"/>
      <c r="J24" s="48"/>
      <c r="K24" s="17"/>
      <c r="L24" s="17"/>
      <c r="M24" s="8"/>
      <c r="N24" s="8"/>
    </row>
    <row r="25" spans="1:14" ht="12.75" customHeight="1" x14ac:dyDescent="0.25">
      <c r="A25" s="8"/>
      <c r="B25" s="17"/>
      <c r="C25" s="1825">
        <f>A14</f>
        <v>18</v>
      </c>
      <c r="D25" s="46" t="s">
        <v>4608</v>
      </c>
      <c r="E25" s="614"/>
      <c r="F25" s="614"/>
      <c r="G25" s="614"/>
      <c r="H25" s="614"/>
      <c r="I25" s="612"/>
      <c r="J25" s="48"/>
      <c r="K25" s="17"/>
      <c r="L25" s="17"/>
      <c r="M25" s="8"/>
      <c r="N25" s="8"/>
    </row>
    <row r="26" spans="1:14" ht="12.75" customHeight="1" x14ac:dyDescent="0.25">
      <c r="A26" s="8"/>
      <c r="B26" s="17"/>
      <c r="C26" s="659"/>
      <c r="D26" s="1830"/>
      <c r="E26" s="613"/>
      <c r="F26" s="614"/>
      <c r="G26" s="614"/>
      <c r="H26" s="614"/>
      <c r="I26" s="612"/>
      <c r="J26" s="48"/>
      <c r="K26" s="17"/>
      <c r="L26" s="17"/>
      <c r="M26" s="8"/>
      <c r="N26" s="8"/>
    </row>
    <row r="27" spans="1:14" ht="9" customHeight="1" x14ac:dyDescent="0.25">
      <c r="A27" s="8"/>
      <c r="B27" s="17"/>
      <c r="C27" s="659"/>
      <c r="D27" s="614"/>
      <c r="E27" s="613"/>
      <c r="F27" s="614"/>
      <c r="G27" s="614"/>
      <c r="H27" s="614"/>
      <c r="I27" s="612"/>
      <c r="J27" s="48"/>
      <c r="K27" s="17"/>
      <c r="L27" s="17"/>
      <c r="M27" s="8"/>
      <c r="N27" s="8"/>
    </row>
    <row r="28" spans="1:14" ht="12.75" customHeight="1" x14ac:dyDescent="0.25">
      <c r="A28" s="8"/>
      <c r="B28" s="17"/>
      <c r="C28" s="1825">
        <f>A15</f>
        <v>19</v>
      </c>
      <c r="D28" s="46" t="str">
        <f>"Tax taken off box "&amp;C22</f>
        <v>Tax taken off box 17</v>
      </c>
      <c r="E28" s="613"/>
      <c r="F28" s="614"/>
      <c r="G28" s="614"/>
      <c r="H28" s="614"/>
      <c r="I28" s="612"/>
      <c r="J28" s="48"/>
      <c r="K28" s="17"/>
      <c r="L28" s="17"/>
      <c r="M28" s="8"/>
      <c r="N28" s="8"/>
    </row>
    <row r="29" spans="1:14" ht="12.75" customHeight="1" x14ac:dyDescent="0.25">
      <c r="A29" s="8"/>
      <c r="B29" s="17"/>
      <c r="C29" s="660"/>
      <c r="D29" s="1834"/>
      <c r="E29" s="615"/>
      <c r="F29" s="615"/>
      <c r="G29" s="615"/>
      <c r="H29" s="615"/>
      <c r="I29" s="616"/>
      <c r="J29" s="48"/>
      <c r="K29" s="17"/>
      <c r="L29" s="17"/>
      <c r="M29" s="8"/>
      <c r="N29" s="8"/>
    </row>
    <row r="30" spans="1:14" ht="9" customHeight="1" x14ac:dyDescent="0.25">
      <c r="A30" s="8"/>
      <c r="B30" s="17"/>
      <c r="C30" s="1827"/>
      <c r="D30" s="1802"/>
      <c r="E30" s="1802"/>
      <c r="F30" s="1802"/>
      <c r="G30" s="1802"/>
      <c r="H30" s="1802"/>
      <c r="I30" s="1802"/>
      <c r="J30" s="1803"/>
      <c r="K30" s="17"/>
      <c r="L30" s="17"/>
      <c r="M30" s="8"/>
      <c r="N30" s="8"/>
    </row>
    <row r="31" spans="1:14" ht="12.75" customHeight="1" x14ac:dyDescent="0.25">
      <c r="A31" s="8"/>
      <c r="B31" s="17"/>
      <c r="C31" s="17"/>
      <c r="D31" s="17"/>
      <c r="E31" s="17"/>
      <c r="F31" s="17"/>
      <c r="G31" s="17"/>
      <c r="H31" s="17"/>
      <c r="I31" s="21"/>
      <c r="J31" s="17"/>
      <c r="K31" s="17"/>
      <c r="L31" s="17"/>
      <c r="M31" s="8"/>
      <c r="N31" s="8"/>
    </row>
    <row r="32" spans="1:14" x14ac:dyDescent="0.25">
      <c r="A32" s="8"/>
      <c r="B32" s="17"/>
      <c r="C32" s="17"/>
      <c r="D32" s="17"/>
      <c r="E32" s="17"/>
      <c r="F32" s="17"/>
      <c r="G32" s="17"/>
      <c r="H32" s="17"/>
      <c r="I32" s="21"/>
      <c r="J32" s="17"/>
      <c r="K32" s="17"/>
      <c r="L32" s="17"/>
      <c r="M32" s="8"/>
      <c r="N32" s="8"/>
    </row>
    <row r="33" spans="2:14" x14ac:dyDescent="0.25">
      <c r="B33" s="17"/>
      <c r="C33" s="17"/>
      <c r="D33" s="17"/>
      <c r="E33" s="17"/>
      <c r="F33" s="17"/>
      <c r="G33" s="17"/>
      <c r="H33" s="17"/>
      <c r="I33" s="21"/>
      <c r="J33" s="17"/>
      <c r="K33" s="17"/>
      <c r="L33" s="17"/>
      <c r="M33" s="8"/>
      <c r="N33" s="8"/>
    </row>
    <row r="34" spans="2:14" x14ac:dyDescent="0.25">
      <c r="B34" s="17"/>
      <c r="C34" s="17"/>
      <c r="D34" s="17"/>
      <c r="E34" s="17"/>
      <c r="F34" s="17"/>
      <c r="G34" s="17"/>
      <c r="H34" s="17"/>
      <c r="I34" s="21"/>
      <c r="J34" s="17"/>
      <c r="K34" s="17"/>
      <c r="L34" s="17"/>
      <c r="M34" s="8"/>
      <c r="N34" s="8"/>
    </row>
    <row r="35" spans="2:14" x14ac:dyDescent="0.25">
      <c r="B35" s="17"/>
      <c r="C35" s="17"/>
      <c r="D35" s="17"/>
      <c r="E35" s="17"/>
      <c r="F35" s="17"/>
      <c r="G35" s="17"/>
      <c r="H35" s="17"/>
      <c r="I35" s="21"/>
      <c r="J35" s="17"/>
      <c r="K35" s="17"/>
      <c r="L35" s="17"/>
      <c r="M35" s="8"/>
      <c r="N35" s="8"/>
    </row>
    <row r="36" spans="2:14" x14ac:dyDescent="0.25">
      <c r="B36" s="8"/>
      <c r="C36" s="8"/>
      <c r="D36" s="1835"/>
      <c r="E36" s="8"/>
      <c r="F36" s="8"/>
      <c r="G36" s="8"/>
      <c r="H36" s="8"/>
      <c r="I36" s="8"/>
      <c r="J36" s="8"/>
      <c r="K36" s="8"/>
      <c r="L36" s="8"/>
      <c r="M36" s="8"/>
      <c r="N36" s="8"/>
    </row>
  </sheetData>
  <phoneticPr fontId="58" type="noConversion"/>
  <pageMargins left="0.75" right="0.75" top="1" bottom="1" header="0.5" footer="0.5"/>
  <pageSetup paperSize="9" orientation="landscape" r:id="rId1"/>
  <headerFooter alignWithMargins="0">
    <oddFooter>&amp;C&amp;1#&amp;"Calibri"&amp;10&amp;K000000OFFICIAL-SENSITIVE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L30"/>
  <sheetViews>
    <sheetView showGridLines="0" showRowColHeaders="0" topLeftCell="B1" workbookViewId="0">
      <selection activeCell="I7" sqref="I7"/>
    </sheetView>
  </sheetViews>
  <sheetFormatPr defaultRowHeight="12.5" x14ac:dyDescent="0.25"/>
  <cols>
    <col min="1" max="1" width="6.54296875" hidden="1" customWidth="1"/>
    <col min="2" max="2" width="5.81640625" customWidth="1"/>
    <col min="3" max="3" width="3.54296875" customWidth="1"/>
    <col min="4" max="4" width="14" customWidth="1"/>
    <col min="5" max="5" width="17" customWidth="1"/>
    <col min="7" max="7" width="3.54296875" customWidth="1"/>
    <col min="8" max="8" width="4.54296875" customWidth="1"/>
    <col min="9" max="9" width="14.1796875" customWidth="1"/>
    <col min="11" max="11" width="19.1796875" customWidth="1"/>
    <col min="12" max="12" width="26.81640625" customWidth="1"/>
  </cols>
  <sheetData>
    <row r="1" spans="1:12" x14ac:dyDescent="0.25">
      <c r="B1" s="17"/>
      <c r="C1" s="17"/>
      <c r="D1" s="17"/>
      <c r="E1" s="17"/>
      <c r="F1" s="17"/>
      <c r="G1" s="17"/>
      <c r="H1" s="17"/>
      <c r="I1" s="17"/>
      <c r="J1" s="17"/>
      <c r="K1" s="17"/>
      <c r="L1" s="17"/>
    </row>
    <row r="2" spans="1:12" x14ac:dyDescent="0.25">
      <c r="A2" s="8" t="s">
        <v>1523</v>
      </c>
      <c r="B2" s="17"/>
      <c r="C2" s="81" t="s">
        <v>1475</v>
      </c>
      <c r="D2" s="37"/>
      <c r="E2" s="37"/>
      <c r="F2" s="17"/>
      <c r="G2" s="17"/>
      <c r="H2" s="17"/>
      <c r="I2" s="17"/>
      <c r="J2" s="17"/>
      <c r="K2" s="37"/>
      <c r="L2" s="17"/>
    </row>
    <row r="3" spans="1:12" x14ac:dyDescent="0.25">
      <c r="A3" s="8">
        <v>1</v>
      </c>
      <c r="B3" s="17"/>
      <c r="C3" s="17"/>
      <c r="D3" s="37"/>
      <c r="E3" s="37"/>
      <c r="F3" s="17"/>
      <c r="G3" s="17"/>
      <c r="H3" s="17"/>
      <c r="I3" s="17"/>
      <c r="J3" s="17"/>
      <c r="K3" s="37"/>
      <c r="L3" s="17"/>
    </row>
    <row r="4" spans="1:12" x14ac:dyDescent="0.25">
      <c r="A4" s="8">
        <v>2</v>
      </c>
      <c r="B4" s="17"/>
      <c r="C4" s="1822" t="s">
        <v>1476</v>
      </c>
      <c r="D4" s="1794"/>
      <c r="E4" s="1794"/>
      <c r="F4" s="1794"/>
      <c r="G4" s="1794"/>
      <c r="H4" s="1794"/>
      <c r="I4" s="1794"/>
      <c r="J4" s="1794"/>
      <c r="K4" s="1824" t="s">
        <v>1523</v>
      </c>
      <c r="L4" s="17"/>
    </row>
    <row r="5" spans="1:12" x14ac:dyDescent="0.25">
      <c r="A5" s="8">
        <v>3</v>
      </c>
      <c r="B5" s="17"/>
      <c r="C5" s="655"/>
      <c r="D5" s="40"/>
      <c r="E5" s="40"/>
      <c r="F5" s="612"/>
      <c r="G5" s="612"/>
      <c r="H5" s="40"/>
      <c r="I5" s="40"/>
      <c r="J5" s="40"/>
      <c r="K5" s="48"/>
      <c r="L5" s="17"/>
    </row>
    <row r="6" spans="1:12" x14ac:dyDescent="0.25">
      <c r="A6" s="8">
        <v>4</v>
      </c>
      <c r="B6" s="17"/>
      <c r="C6" s="1836">
        <f>'REL(1)'!A3</f>
        <v>1</v>
      </c>
      <c r="D6" s="40" t="s">
        <v>5351</v>
      </c>
      <c r="E6" s="40"/>
      <c r="F6" s="612"/>
      <c r="G6" s="612"/>
      <c r="H6" s="1837">
        <f>'REL(1)'!A5</f>
        <v>3</v>
      </c>
      <c r="I6" s="40" t="s">
        <v>5352</v>
      </c>
      <c r="J6" s="40"/>
      <c r="K6" s="48"/>
      <c r="L6" s="17"/>
    </row>
    <row r="7" spans="1:12" x14ac:dyDescent="0.25">
      <c r="A7" s="8">
        <v>5</v>
      </c>
      <c r="B7" s="17"/>
      <c r="C7" s="655"/>
      <c r="D7" s="1838"/>
      <c r="E7" s="612"/>
      <c r="F7" s="612"/>
      <c r="G7" s="612"/>
      <c r="H7" s="40"/>
      <c r="I7" s="1838"/>
      <c r="J7" s="40"/>
      <c r="K7" s="48"/>
      <c r="L7" s="17"/>
    </row>
    <row r="8" spans="1:12" x14ac:dyDescent="0.25">
      <c r="A8" s="8">
        <v>6</v>
      </c>
      <c r="B8" s="17"/>
      <c r="C8" s="655"/>
      <c r="D8" s="40"/>
      <c r="E8" s="40"/>
      <c r="F8" s="612"/>
      <c r="G8" s="612"/>
      <c r="H8" s="40"/>
      <c r="I8" s="40"/>
      <c r="J8" s="40"/>
      <c r="K8" s="48"/>
      <c r="L8" s="17"/>
    </row>
    <row r="9" spans="1:12" x14ac:dyDescent="0.25">
      <c r="A9" s="8">
        <v>7</v>
      </c>
      <c r="B9" s="17"/>
      <c r="C9" s="1837">
        <f>'REL(1)'!A4</f>
        <v>2</v>
      </c>
      <c r="D9" s="40" t="s">
        <v>5353</v>
      </c>
      <c r="E9" s="40"/>
      <c r="F9" s="612"/>
      <c r="G9" s="612"/>
      <c r="H9" s="1839">
        <f>'REL(1)'!A6</f>
        <v>4</v>
      </c>
      <c r="I9" s="40" t="s">
        <v>5354</v>
      </c>
      <c r="J9" s="40"/>
      <c r="K9" s="48"/>
      <c r="L9" s="17"/>
    </row>
    <row r="10" spans="1:12" x14ac:dyDescent="0.25">
      <c r="A10" s="8">
        <v>8</v>
      </c>
      <c r="B10" s="17"/>
      <c r="C10" s="655"/>
      <c r="D10" s="1838"/>
      <c r="E10" s="612"/>
      <c r="F10" s="612"/>
      <c r="G10" s="612"/>
      <c r="H10" s="40"/>
      <c r="I10" s="1838"/>
      <c r="J10" s="40"/>
      <c r="K10" s="48"/>
      <c r="L10" s="17"/>
    </row>
    <row r="11" spans="1:12" x14ac:dyDescent="0.25">
      <c r="A11" s="8">
        <v>9</v>
      </c>
      <c r="B11" s="17"/>
      <c r="C11" s="1827"/>
      <c r="D11" s="1802"/>
      <c r="E11" s="1802"/>
      <c r="F11" s="1802"/>
      <c r="G11" s="1802"/>
      <c r="H11" s="1802"/>
      <c r="I11" s="1802"/>
      <c r="J11" s="1802"/>
      <c r="K11" s="1803"/>
      <c r="L11" s="17"/>
    </row>
    <row r="12" spans="1:12" x14ac:dyDescent="0.25">
      <c r="A12" s="8">
        <v>10</v>
      </c>
      <c r="B12" s="17"/>
      <c r="C12" s="17"/>
      <c r="D12" s="17"/>
      <c r="E12" s="17"/>
      <c r="F12" s="17"/>
      <c r="G12" s="17"/>
      <c r="H12" s="17"/>
      <c r="I12" s="17"/>
      <c r="J12" s="17"/>
      <c r="K12" s="17"/>
      <c r="L12" s="17"/>
    </row>
    <row r="13" spans="1:12" x14ac:dyDescent="0.25">
      <c r="A13" s="8">
        <v>11</v>
      </c>
      <c r="B13" s="17"/>
      <c r="C13" s="17"/>
      <c r="D13" s="17"/>
      <c r="E13" s="17"/>
      <c r="F13" s="17"/>
      <c r="G13" s="17"/>
      <c r="H13" s="17"/>
      <c r="I13" s="17"/>
      <c r="J13" s="17"/>
      <c r="K13" s="17"/>
      <c r="L13" s="17"/>
    </row>
    <row r="14" spans="1:12" x14ac:dyDescent="0.25">
      <c r="A14" s="8">
        <v>12</v>
      </c>
      <c r="B14" s="17"/>
      <c r="C14" s="1822" t="s">
        <v>1477</v>
      </c>
      <c r="D14" s="1794"/>
      <c r="E14" s="1794"/>
      <c r="F14" s="1794"/>
      <c r="G14" s="1794"/>
      <c r="H14" s="1794"/>
      <c r="I14" s="1794"/>
      <c r="J14" s="1794"/>
      <c r="K14" s="1824" t="s">
        <v>1523</v>
      </c>
      <c r="L14" s="17"/>
    </row>
    <row r="15" spans="1:12" x14ac:dyDescent="0.25">
      <c r="B15" s="17"/>
      <c r="C15" s="655"/>
      <c r="D15" s="40"/>
      <c r="E15" s="40"/>
      <c r="F15" s="612"/>
      <c r="G15" s="40"/>
      <c r="H15" s="40"/>
      <c r="I15" s="40"/>
      <c r="J15" s="612"/>
      <c r="K15" s="48"/>
      <c r="L15" s="17"/>
    </row>
    <row r="16" spans="1:12" x14ac:dyDescent="0.25">
      <c r="B16" s="17"/>
      <c r="C16" s="1839">
        <f>'REL(1)'!A7</f>
        <v>5</v>
      </c>
      <c r="D16" s="40" t="str">
        <f>"Gift Aid payments made in "&amp;tax_year</f>
        <v>Gift Aid payments made in 2025-26</v>
      </c>
      <c r="E16" s="40"/>
      <c r="F16" s="612"/>
      <c r="G16" s="40"/>
      <c r="H16" s="1840">
        <f>'REL(1)'!A10</f>
        <v>8</v>
      </c>
      <c r="I16" s="40" t="str">
        <f>"Gift Aid payments carried back to "&amp;tax_year</f>
        <v>Gift Aid payments carried back to 2025-26</v>
      </c>
      <c r="J16" s="40"/>
      <c r="K16" s="48"/>
      <c r="L16" s="17"/>
    </row>
    <row r="17" spans="2:12" x14ac:dyDescent="0.25">
      <c r="B17" s="17"/>
      <c r="C17" s="655"/>
      <c r="D17" s="1841"/>
      <c r="E17" s="612"/>
      <c r="F17" s="612"/>
      <c r="G17" s="40"/>
      <c r="H17" s="40"/>
      <c r="I17" s="1841"/>
      <c r="J17" s="40"/>
      <c r="K17" s="48"/>
      <c r="L17" s="17"/>
    </row>
    <row r="18" spans="2:12" x14ac:dyDescent="0.25">
      <c r="B18" s="17"/>
      <c r="C18" s="655"/>
      <c r="D18" s="40"/>
      <c r="E18" s="40"/>
      <c r="F18" s="612"/>
      <c r="G18" s="40"/>
      <c r="H18" s="40"/>
      <c r="I18" s="40"/>
      <c r="J18" s="40"/>
      <c r="K18" s="48"/>
      <c r="L18" s="17"/>
    </row>
    <row r="19" spans="2:12" x14ac:dyDescent="0.25">
      <c r="B19" s="17"/>
      <c r="C19" s="655"/>
      <c r="D19" s="40"/>
      <c r="E19" s="40"/>
      <c r="F19" s="612"/>
      <c r="G19" s="40"/>
      <c r="H19" s="1840">
        <f>'REL(1)'!A11</f>
        <v>9</v>
      </c>
      <c r="I19" s="40" t="s">
        <v>5355</v>
      </c>
      <c r="J19" s="40"/>
      <c r="K19" s="48"/>
      <c r="L19" s="17"/>
    </row>
    <row r="20" spans="2:12" x14ac:dyDescent="0.25">
      <c r="B20" s="17"/>
      <c r="C20" s="655"/>
      <c r="D20" s="40"/>
      <c r="E20" s="40"/>
      <c r="F20" s="612"/>
      <c r="G20" s="40"/>
      <c r="H20" s="40"/>
      <c r="I20" s="1841"/>
      <c r="J20" s="40"/>
      <c r="K20" s="48"/>
      <c r="L20" s="17"/>
    </row>
    <row r="21" spans="2:12" x14ac:dyDescent="0.25">
      <c r="B21" s="17"/>
      <c r="C21" s="655"/>
      <c r="D21" s="40"/>
      <c r="E21" s="40"/>
      <c r="F21" s="612"/>
      <c r="G21" s="40"/>
      <c r="H21" s="40"/>
      <c r="I21" s="40"/>
      <c r="J21" s="40"/>
      <c r="K21" s="48"/>
      <c r="L21" s="17"/>
    </row>
    <row r="22" spans="2:12" x14ac:dyDescent="0.25">
      <c r="B22" s="17"/>
      <c r="C22" s="1839">
        <f>'REL(1)'!A9</f>
        <v>7</v>
      </c>
      <c r="D22" s="40" t="str">
        <f>"Gift Aid payments carried back to "&amp;last_year</f>
        <v>Gift Aid payments carried back to 2024-25</v>
      </c>
      <c r="E22" s="40"/>
      <c r="F22" s="612"/>
      <c r="G22" s="40"/>
      <c r="H22" s="1836">
        <f>'REL(1)'!A12</f>
        <v>10</v>
      </c>
      <c r="I22" s="40" t="s">
        <v>5356</v>
      </c>
      <c r="J22" s="40"/>
      <c r="K22" s="48"/>
      <c r="L22" s="17"/>
    </row>
    <row r="23" spans="2:12" x14ac:dyDescent="0.25">
      <c r="B23" s="17"/>
      <c r="C23" s="655"/>
      <c r="D23" s="1841"/>
      <c r="E23" s="612"/>
      <c r="F23" s="612"/>
      <c r="G23" s="40"/>
      <c r="H23" s="40"/>
      <c r="I23" s="1841"/>
      <c r="J23" s="40"/>
      <c r="K23" s="48"/>
      <c r="L23" s="17"/>
    </row>
    <row r="24" spans="2:12" x14ac:dyDescent="0.25">
      <c r="B24" s="17"/>
      <c r="C24" s="1827"/>
      <c r="D24" s="1802"/>
      <c r="E24" s="1802"/>
      <c r="F24" s="1802"/>
      <c r="G24" s="1802"/>
      <c r="H24" s="1802"/>
      <c r="I24" s="1802"/>
      <c r="J24" s="1802"/>
      <c r="K24" s="1803"/>
      <c r="L24" s="17"/>
    </row>
    <row r="25" spans="2:12" x14ac:dyDescent="0.25">
      <c r="B25" s="17"/>
      <c r="C25" s="17"/>
      <c r="D25" s="17"/>
      <c r="E25" s="17"/>
      <c r="F25" s="17"/>
      <c r="G25" s="17"/>
      <c r="H25" s="17"/>
      <c r="I25" s="17"/>
      <c r="J25" s="17"/>
      <c r="K25" s="17"/>
      <c r="L25" s="17"/>
    </row>
    <row r="26" spans="2:12" x14ac:dyDescent="0.25">
      <c r="B26" s="17"/>
      <c r="C26" s="17"/>
      <c r="D26" s="17"/>
      <c r="E26" s="17"/>
      <c r="F26" s="17"/>
      <c r="G26" s="17"/>
      <c r="H26" s="17"/>
      <c r="I26" s="17"/>
      <c r="J26" s="17"/>
      <c r="K26" s="17"/>
      <c r="L26" s="17"/>
    </row>
    <row r="27" spans="2:12" x14ac:dyDescent="0.25">
      <c r="B27" s="17"/>
      <c r="C27" s="17"/>
      <c r="D27" s="17"/>
      <c r="E27" s="17"/>
      <c r="F27" s="17"/>
      <c r="G27" s="17"/>
      <c r="H27" s="17"/>
      <c r="I27" s="17"/>
      <c r="J27" s="17"/>
      <c r="K27" s="17"/>
      <c r="L27" s="17"/>
    </row>
    <row r="28" spans="2:12" x14ac:dyDescent="0.25">
      <c r="B28" s="17"/>
      <c r="C28" s="17"/>
      <c r="D28" s="17"/>
      <c r="E28" s="17"/>
      <c r="F28" s="17"/>
      <c r="G28" s="17"/>
      <c r="H28" s="17"/>
      <c r="I28" s="17"/>
      <c r="J28" s="17"/>
      <c r="K28" s="17"/>
      <c r="L28" s="17"/>
    </row>
    <row r="29" spans="2:12" x14ac:dyDescent="0.25">
      <c r="B29" s="17"/>
      <c r="C29" s="17"/>
      <c r="D29" s="17"/>
      <c r="E29" s="17"/>
      <c r="F29" s="17"/>
      <c r="G29" s="17"/>
      <c r="H29" s="17"/>
      <c r="I29" s="17"/>
      <c r="J29" s="17"/>
      <c r="K29" s="17"/>
      <c r="L29" s="17"/>
    </row>
    <row r="30" spans="2:12" x14ac:dyDescent="0.25">
      <c r="B30" s="17"/>
      <c r="C30" s="17"/>
      <c r="D30" s="17"/>
      <c r="E30" s="17"/>
      <c r="F30" s="17"/>
      <c r="G30" s="17"/>
      <c r="H30" s="17"/>
      <c r="I30" s="17"/>
      <c r="J30" s="17"/>
      <c r="K30" s="17"/>
      <c r="L30" s="17"/>
    </row>
  </sheetData>
  <phoneticPr fontId="58" type="noConversion"/>
  <printOptions headings="1" gridLines="1"/>
  <pageMargins left="0.75" right="0.75" top="1" bottom="1" header="0.5" footer="0.5"/>
  <pageSetup paperSize="9" orientation="landscape" r:id="rId1"/>
  <headerFooter alignWithMargins="0">
    <oddFooter>&amp;C&amp;1#&amp;"Calibri"&amp;10&amp;K000000OFFICIAL-SENSITIVE</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N68"/>
  <sheetViews>
    <sheetView showGridLines="0" topLeftCell="B1" zoomScaleNormal="100" workbookViewId="0">
      <selection activeCell="Q27" sqref="Q27"/>
    </sheetView>
  </sheetViews>
  <sheetFormatPr defaultColWidth="9.1796875" defaultRowHeight="11.5" x14ac:dyDescent="0.25"/>
  <cols>
    <col min="1" max="1" width="14.81640625" style="8" hidden="1" customWidth="1"/>
    <col min="2" max="2" width="13.453125" style="8" customWidth="1"/>
    <col min="3" max="3" width="6" style="8" customWidth="1"/>
    <col min="4" max="4" width="13.54296875" style="11" customWidth="1"/>
    <col min="5" max="5" width="7.54296875" style="11" customWidth="1"/>
    <col min="6" max="6" width="11.1796875" style="8" customWidth="1"/>
    <col min="7" max="7" width="6" style="8" customWidth="1"/>
    <col min="8" max="8" width="12.54296875" style="8" customWidth="1"/>
    <col min="9" max="9" width="2" style="8" customWidth="1"/>
    <col min="10" max="10" width="5.54296875" style="11" customWidth="1"/>
    <col min="11" max="11" width="18.81640625" style="8" customWidth="1"/>
    <col min="12" max="12" width="32.81640625" style="8" customWidth="1"/>
    <col min="13" max="13" width="19" style="8" hidden="1" customWidth="1"/>
    <col min="14" max="14" width="8.453125" style="8" hidden="1" customWidth="1"/>
    <col min="15" max="17" width="9.1796875" style="8" customWidth="1"/>
    <col min="18" max="18" width="8.1796875" style="8" customWidth="1"/>
    <col min="19" max="16384" width="9.1796875" style="8"/>
  </cols>
  <sheetData>
    <row r="1" spans="1:14" ht="12" customHeight="1" x14ac:dyDescent="0.25">
      <c r="A1" s="8" t="s">
        <v>5357</v>
      </c>
      <c r="B1" s="17"/>
      <c r="C1" s="81" t="s">
        <v>1475</v>
      </c>
      <c r="D1" s="17"/>
      <c r="E1" s="17"/>
      <c r="F1" s="17"/>
      <c r="G1" s="17"/>
      <c r="H1" s="17"/>
      <c r="I1" s="17"/>
      <c r="J1" s="17"/>
      <c r="K1" s="17"/>
      <c r="L1" s="17"/>
    </row>
    <row r="2" spans="1:14" ht="12" customHeight="1" x14ac:dyDescent="0.25">
      <c r="A2" s="8">
        <v>13</v>
      </c>
      <c r="B2" s="17"/>
      <c r="C2" s="1822" t="s">
        <v>353</v>
      </c>
      <c r="D2" s="1794"/>
      <c r="E2" s="1794"/>
      <c r="F2" s="1794"/>
      <c r="G2" s="1794"/>
      <c r="H2" s="1794"/>
      <c r="I2" s="1794"/>
      <c r="J2" s="1794"/>
      <c r="K2" s="1824" t="s">
        <v>1523</v>
      </c>
      <c r="L2" s="17"/>
    </row>
    <row r="3" spans="1:14" ht="12" customHeight="1" x14ac:dyDescent="0.25">
      <c r="A3" s="8">
        <v>14</v>
      </c>
      <c r="B3" s="17"/>
      <c r="C3" s="655"/>
      <c r="D3" s="40"/>
      <c r="E3" s="40"/>
      <c r="F3" s="612"/>
      <c r="G3" s="612"/>
      <c r="H3" s="612"/>
      <c r="I3" s="612"/>
      <c r="J3" s="612"/>
      <c r="K3" s="540"/>
      <c r="L3" s="17"/>
    </row>
    <row r="4" spans="1:14" ht="12" customHeight="1" x14ac:dyDescent="0.25">
      <c r="A4" s="8">
        <v>15</v>
      </c>
      <c r="B4" s="17"/>
      <c r="C4" s="1842">
        <f>'REL(2)'!A2</f>
        <v>13</v>
      </c>
      <c r="D4" s="40"/>
      <c r="E4" s="40"/>
      <c r="F4" s="612"/>
      <c r="G4" s="612"/>
      <c r="H4" s="612"/>
      <c r="I4" s="612"/>
      <c r="J4" s="612"/>
      <c r="K4" s="540"/>
      <c r="L4" s="17"/>
    </row>
    <row r="5" spans="1:14" ht="12" customHeight="1" x14ac:dyDescent="0.25">
      <c r="A5" s="8">
        <v>16</v>
      </c>
      <c r="B5" s="17"/>
      <c r="C5" s="655"/>
      <c r="D5" s="40"/>
      <c r="E5" s="40"/>
      <c r="F5" s="612" t="str">
        <f>IF(BPA_claimed, "BPA claimed", "BPA not claimed")</f>
        <v>BPA not claimed</v>
      </c>
      <c r="G5" s="612"/>
      <c r="H5" s="612"/>
      <c r="I5" s="612"/>
      <c r="J5" s="612"/>
      <c r="K5" s="49"/>
      <c r="L5" s="17"/>
      <c r="M5" t="s">
        <v>5358</v>
      </c>
      <c r="N5" s="1843" t="b">
        <v>0</v>
      </c>
    </row>
    <row r="6" spans="1:14" ht="12" customHeight="1" x14ac:dyDescent="0.25">
      <c r="B6" s="17"/>
      <c r="C6" s="1827"/>
      <c r="D6" s="1802"/>
      <c r="E6" s="1802"/>
      <c r="F6" s="1802"/>
      <c r="G6" s="1802"/>
      <c r="H6" s="1802"/>
      <c r="I6" s="1802"/>
      <c r="J6" s="1802"/>
      <c r="K6" s="1803"/>
      <c r="L6" s="17"/>
    </row>
    <row r="7" spans="1:14" ht="12" customHeight="1" x14ac:dyDescent="0.25">
      <c r="B7" s="17"/>
      <c r="C7" s="17"/>
      <c r="D7" s="17"/>
      <c r="E7" s="17"/>
      <c r="F7" s="17"/>
      <c r="G7" s="17"/>
      <c r="H7" s="17"/>
      <c r="I7" s="17"/>
      <c r="J7" s="17"/>
      <c r="K7" s="17"/>
      <c r="L7" s="17"/>
    </row>
    <row r="8" spans="1:14" ht="12" customHeight="1" x14ac:dyDescent="0.25">
      <c r="A8" t="s">
        <v>7</v>
      </c>
      <c r="B8" s="17"/>
      <c r="C8" s="17"/>
      <c r="D8" s="17"/>
      <c r="E8" s="17"/>
      <c r="F8" s="17"/>
      <c r="G8" s="17"/>
      <c r="H8" s="17"/>
      <c r="I8" s="17"/>
      <c r="J8" s="17"/>
      <c r="K8" s="17"/>
      <c r="L8" s="17"/>
    </row>
    <row r="9" spans="1:14" ht="12" customHeight="1" x14ac:dyDescent="0.25">
      <c r="A9">
        <v>1</v>
      </c>
      <c r="B9" s="17"/>
      <c r="C9" s="1822" t="s">
        <v>1478</v>
      </c>
      <c r="D9" s="1794"/>
      <c r="E9" s="1794"/>
      <c r="F9" s="1794"/>
      <c r="G9" s="1794"/>
      <c r="H9" s="1794"/>
      <c r="I9" s="1794"/>
      <c r="J9" s="1794"/>
      <c r="K9" s="1824" t="s">
        <v>7</v>
      </c>
      <c r="L9" s="17"/>
    </row>
    <row r="10" spans="1:14" ht="12" customHeight="1" x14ac:dyDescent="0.25">
      <c r="A10">
        <v>2</v>
      </c>
      <c r="B10" s="17"/>
      <c r="C10" s="655"/>
      <c r="D10" s="40"/>
      <c r="E10" s="612"/>
      <c r="F10" s="40"/>
      <c r="G10" s="40"/>
      <c r="H10" s="40"/>
      <c r="I10" s="40"/>
      <c r="J10" s="612"/>
      <c r="K10" s="48"/>
      <c r="L10" s="17"/>
    </row>
    <row r="11" spans="1:14" ht="12" customHeight="1" x14ac:dyDescent="0.25">
      <c r="A11">
        <v>3</v>
      </c>
      <c r="B11" s="17"/>
      <c r="C11" s="1825">
        <f>'REL(2)'!A9</f>
        <v>1</v>
      </c>
      <c r="D11" s="40"/>
      <c r="E11" s="40"/>
      <c r="F11" s="40"/>
      <c r="G11" s="1825">
        <f>'REL(2)'!A10</f>
        <v>2</v>
      </c>
      <c r="H11" s="40" t="s">
        <v>5359</v>
      </c>
      <c r="I11" s="40"/>
      <c r="J11" s="40"/>
      <c r="K11" s="48"/>
      <c r="L11" s="17"/>
    </row>
    <row r="12" spans="1:14" ht="12" customHeight="1" x14ac:dyDescent="0.25">
      <c r="A12" s="178" t="s">
        <v>1670</v>
      </c>
      <c r="B12" s="17"/>
      <c r="C12" s="655"/>
      <c r="D12" s="40"/>
      <c r="E12" s="40"/>
      <c r="F12" s="40"/>
      <c r="G12" s="40"/>
      <c r="H12" s="1830"/>
      <c r="I12" s="40"/>
      <c r="J12" s="40"/>
      <c r="K12" s="48"/>
      <c r="L12" s="17"/>
      <c r="M12" s="178" t="s">
        <v>5360</v>
      </c>
      <c r="N12" s="1271" t="b">
        <v>0</v>
      </c>
    </row>
    <row r="13" spans="1:14" ht="12" customHeight="1" x14ac:dyDescent="0.25">
      <c r="B13" s="17"/>
      <c r="C13" s="1825" t="str">
        <f>A12</f>
        <v>PT</v>
      </c>
      <c r="D13" s="40" t="s">
        <v>5361</v>
      </c>
      <c r="E13" s="40"/>
      <c r="F13" s="617"/>
      <c r="G13" s="612"/>
      <c r="H13" s="612"/>
      <c r="I13" s="612"/>
      <c r="J13" s="612"/>
      <c r="K13" s="49"/>
      <c r="L13" s="17"/>
      <c r="M13" s="178" t="s">
        <v>5362</v>
      </c>
      <c r="N13" s="1843">
        <v>3</v>
      </c>
    </row>
    <row r="14" spans="1:14" ht="12" customHeight="1" x14ac:dyDescent="0.25">
      <c r="A14" s="1844" t="s">
        <v>5363</v>
      </c>
      <c r="B14" s="17"/>
      <c r="C14" s="655"/>
      <c r="D14" s="40"/>
      <c r="E14" s="40"/>
      <c r="F14" s="617"/>
      <c r="G14" s="40"/>
      <c r="H14" s="40" t="s">
        <v>5364</v>
      </c>
      <c r="I14" s="40"/>
      <c r="J14" s="40"/>
      <c r="K14" s="48"/>
      <c r="L14" s="17"/>
    </row>
    <row r="15" spans="1:14" ht="12" customHeight="1" x14ac:dyDescent="0.25">
      <c r="A15" s="292" t="s">
        <v>5365</v>
      </c>
      <c r="B15" s="17"/>
      <c r="C15" s="655"/>
      <c r="D15" s="40"/>
      <c r="E15" s="40"/>
      <c r="F15" s="40"/>
      <c r="G15" s="1845">
        <f>A11</f>
        <v>3</v>
      </c>
      <c r="H15" s="40" t="s">
        <v>5366</v>
      </c>
      <c r="I15" s="311"/>
      <c r="J15" s="311"/>
      <c r="K15" s="439"/>
      <c r="L15" s="17"/>
    </row>
    <row r="16" spans="1:14" ht="12" customHeight="1" x14ac:dyDescent="0.25">
      <c r="A16" s="293" t="s">
        <v>2336</v>
      </c>
      <c r="B16" s="17"/>
      <c r="C16" s="661"/>
      <c r="D16" s="311"/>
      <c r="E16" s="311"/>
      <c r="F16" s="311"/>
      <c r="G16" s="48"/>
      <c r="H16" s="1846"/>
      <c r="I16" s="40"/>
      <c r="J16" s="40"/>
      <c r="K16" s="48"/>
      <c r="L16" s="17"/>
    </row>
    <row r="17" spans="1:14" ht="12" customHeight="1" x14ac:dyDescent="0.25">
      <c r="A17" s="293" t="s">
        <v>2335</v>
      </c>
      <c r="B17" s="17"/>
      <c r="C17" s="1825" t="str">
        <f>A22</f>
        <v>PT</v>
      </c>
      <c r="D17" s="661" t="s">
        <v>5367</v>
      </c>
      <c r="E17" s="311"/>
      <c r="F17" s="311"/>
      <c r="G17" s="311"/>
      <c r="H17" s="1847"/>
      <c r="I17" s="311"/>
      <c r="J17" s="311"/>
      <c r="K17" s="48"/>
      <c r="L17" s="17"/>
    </row>
    <row r="18" spans="1:14" ht="12" customHeight="1" x14ac:dyDescent="0.25">
      <c r="A18" s="293"/>
      <c r="B18" s="17"/>
      <c r="C18" s="1848"/>
      <c r="D18" s="311"/>
      <c r="E18" s="311"/>
      <c r="F18" s="311"/>
      <c r="G18" s="311"/>
      <c r="H18" s="311"/>
      <c r="I18" s="311"/>
      <c r="J18" s="311"/>
      <c r="K18" s="48"/>
      <c r="L18" s="17"/>
    </row>
    <row r="19" spans="1:14" ht="12" customHeight="1" x14ac:dyDescent="0.25">
      <c r="A19" s="293" t="s">
        <v>2337</v>
      </c>
      <c r="B19" s="17"/>
      <c r="C19" s="661"/>
      <c r="D19" s="311"/>
      <c r="E19" s="311"/>
      <c r="F19" s="311"/>
      <c r="G19" s="311"/>
      <c r="H19" s="311"/>
      <c r="I19" s="311"/>
      <c r="J19" s="311"/>
      <c r="K19" s="48"/>
      <c r="L19" s="17"/>
    </row>
    <row r="20" spans="1:14" ht="12" customHeight="1" x14ac:dyDescent="0.25">
      <c r="A20" s="1849"/>
      <c r="B20" s="17"/>
      <c r="C20" s="1850"/>
      <c r="D20" s="1851"/>
      <c r="E20" s="1851"/>
      <c r="F20" s="1851"/>
      <c r="G20" s="1851"/>
      <c r="H20" s="1851"/>
      <c r="I20" s="1851"/>
      <c r="J20" s="1851"/>
      <c r="K20" s="1803"/>
      <c r="L20" s="17"/>
    </row>
    <row r="21" spans="1:14" ht="12" customHeight="1" x14ac:dyDescent="0.25">
      <c r="A21" s="8" t="s">
        <v>5368</v>
      </c>
      <c r="B21" s="17"/>
      <c r="C21" s="17"/>
      <c r="D21" s="17"/>
      <c r="E21" s="17"/>
      <c r="F21" s="17"/>
      <c r="G21" s="17"/>
      <c r="H21" s="17"/>
      <c r="I21" s="17"/>
      <c r="J21" s="17"/>
      <c r="K21" s="17"/>
      <c r="L21" s="17"/>
    </row>
    <row r="22" spans="1:14" ht="12" customHeight="1" x14ac:dyDescent="0.25">
      <c r="A22" s="511" t="s">
        <v>1670</v>
      </c>
      <c r="B22" s="17"/>
      <c r="C22" s="17"/>
      <c r="D22" s="17"/>
      <c r="E22" s="17"/>
      <c r="F22" s="17"/>
      <c r="G22" s="17"/>
      <c r="H22" s="17"/>
      <c r="I22" s="17"/>
      <c r="J22" s="17"/>
      <c r="K22" s="17"/>
      <c r="L22" s="17"/>
    </row>
    <row r="23" spans="1:14" ht="12" customHeight="1" x14ac:dyDescent="0.25">
      <c r="A23" s="1844" t="s">
        <v>5369</v>
      </c>
      <c r="B23" s="17"/>
      <c r="C23" s="1822" t="s">
        <v>5370</v>
      </c>
      <c r="D23" s="1794"/>
      <c r="E23" s="1794"/>
      <c r="F23" s="1794"/>
      <c r="G23" s="1794"/>
      <c r="H23" s="1794"/>
      <c r="I23" s="1794"/>
      <c r="J23" s="1794"/>
      <c r="K23" s="1824" t="s">
        <v>8</v>
      </c>
      <c r="L23" s="17"/>
    </row>
    <row r="24" spans="1:14" ht="12" customHeight="1" x14ac:dyDescent="0.25">
      <c r="A24" s="292" t="s">
        <v>5365</v>
      </c>
      <c r="B24" s="17"/>
      <c r="C24" s="655"/>
      <c r="D24" s="40"/>
      <c r="E24" s="43"/>
      <c r="F24" s="43"/>
      <c r="G24" s="43"/>
      <c r="H24" s="43"/>
      <c r="I24" s="43"/>
      <c r="J24" s="43"/>
      <c r="K24" s="540"/>
      <c r="L24" s="17"/>
    </row>
    <row r="25" spans="1:14" ht="12" customHeight="1" x14ac:dyDescent="0.25">
      <c r="A25" s="293"/>
      <c r="B25" s="17"/>
      <c r="C25" s="1852">
        <f>'REL(2)'!A40</f>
        <v>1</v>
      </c>
      <c r="D25" s="40" t="s">
        <v>5371</v>
      </c>
      <c r="E25" s="43"/>
      <c r="F25" s="43"/>
      <c r="G25" s="43"/>
      <c r="H25" s="43"/>
      <c r="I25" s="43"/>
      <c r="J25" s="43"/>
      <c r="K25" s="540"/>
      <c r="L25" s="17"/>
      <c r="M25" s="8" t="s">
        <v>5372</v>
      </c>
      <c r="N25" s="1843">
        <v>2</v>
      </c>
    </row>
    <row r="26" spans="1:14" ht="12" customHeight="1" x14ac:dyDescent="0.25">
      <c r="A26" s="1853"/>
      <c r="B26" s="17"/>
      <c r="C26" s="655"/>
      <c r="D26" s="1854"/>
      <c r="E26" s="43"/>
      <c r="F26" s="43"/>
      <c r="G26" s="43"/>
      <c r="H26" s="43"/>
      <c r="I26" s="43"/>
      <c r="J26" s="43"/>
      <c r="K26" s="540"/>
      <c r="L26" s="17"/>
    </row>
    <row r="27" spans="1:14" ht="12" customHeight="1" x14ac:dyDescent="0.25">
      <c r="A27" s="129" t="s">
        <v>2340</v>
      </c>
      <c r="B27" s="17"/>
      <c r="C27" s="1827"/>
      <c r="D27" s="1802"/>
      <c r="E27" s="1802"/>
      <c r="F27" s="1802"/>
      <c r="G27" s="1802"/>
      <c r="H27" s="1802"/>
      <c r="I27" s="1802"/>
      <c r="J27" s="1802"/>
      <c r="K27" s="1803"/>
      <c r="L27" s="17"/>
    </row>
    <row r="28" spans="1:14" ht="12" customHeight="1" x14ac:dyDescent="0.25">
      <c r="A28" s="129"/>
      <c r="B28" s="17"/>
      <c r="C28" s="226"/>
      <c r="D28" s="226"/>
      <c r="E28" s="226"/>
      <c r="F28" s="226"/>
      <c r="G28" s="226"/>
      <c r="H28" s="226"/>
      <c r="I28" s="226"/>
      <c r="J28" s="226"/>
      <c r="K28" s="226"/>
      <c r="L28" s="17"/>
    </row>
    <row r="29" spans="1:14" ht="12" customHeight="1" x14ac:dyDescent="0.25">
      <c r="A29" s="129"/>
      <c r="B29" s="17"/>
      <c r="C29" s="226"/>
      <c r="D29" s="226"/>
      <c r="E29" s="226"/>
      <c r="F29" s="226"/>
      <c r="G29" s="226"/>
      <c r="H29" s="226"/>
      <c r="I29" s="226"/>
      <c r="J29" s="226"/>
      <c r="K29" s="226"/>
      <c r="L29" s="17"/>
    </row>
    <row r="30" spans="1:14" ht="12" customHeight="1" x14ac:dyDescent="0.25">
      <c r="B30" s="17"/>
      <c r="C30" s="1855"/>
      <c r="D30" s="1856"/>
      <c r="E30" s="1856"/>
      <c r="F30" s="1856"/>
      <c r="G30" s="1856"/>
      <c r="H30" s="1856"/>
      <c r="I30" s="1856"/>
      <c r="J30" s="1856"/>
      <c r="K30" s="1857" t="s">
        <v>9624</v>
      </c>
      <c r="L30" s="17"/>
    </row>
    <row r="31" spans="1:14" ht="12" customHeight="1" x14ac:dyDescent="0.25">
      <c r="B31" s="17"/>
      <c r="C31" s="655"/>
      <c r="D31" s="40"/>
      <c r="E31" s="43"/>
      <c r="F31" s="43"/>
      <c r="G31" s="43"/>
      <c r="H31" s="43"/>
      <c r="I31" s="43"/>
      <c r="J31" s="43"/>
      <c r="K31" s="540"/>
      <c r="L31" s="17"/>
    </row>
    <row r="32" spans="1:14" ht="12" customHeight="1" x14ac:dyDescent="0.25">
      <c r="B32" s="17"/>
      <c r="C32" s="1852">
        <f>A40</f>
        <v>1</v>
      </c>
      <c r="D32" s="40" t="s">
        <v>5373</v>
      </c>
      <c r="E32" s="43"/>
      <c r="F32" s="43"/>
      <c r="G32" s="43"/>
      <c r="H32" s="43"/>
      <c r="I32" s="43"/>
      <c r="J32" s="43"/>
      <c r="K32" s="540"/>
      <c r="L32" s="17"/>
    </row>
    <row r="33" spans="1:14" ht="12" customHeight="1" x14ac:dyDescent="0.25">
      <c r="B33" s="17"/>
      <c r="C33" s="655"/>
      <c r="D33" s="1854"/>
      <c r="E33" s="43"/>
      <c r="F33" s="43"/>
      <c r="G33" s="43"/>
      <c r="H33" s="43"/>
      <c r="I33" s="43"/>
      <c r="J33" s="43"/>
      <c r="K33" s="540"/>
      <c r="L33" s="17"/>
    </row>
    <row r="34" spans="1:14" ht="12" customHeight="1" x14ac:dyDescent="0.25">
      <c r="B34" s="17"/>
      <c r="C34" s="1827"/>
      <c r="D34" s="1802"/>
      <c r="E34" s="1802"/>
      <c r="F34" s="1802"/>
      <c r="G34" s="1802"/>
      <c r="H34" s="1802"/>
      <c r="I34" s="1802"/>
      <c r="J34" s="1802"/>
      <c r="K34" s="1803"/>
      <c r="L34" s="17"/>
    </row>
    <row r="35" spans="1:14" ht="12" customHeight="1" x14ac:dyDescent="0.25">
      <c r="B35" s="17"/>
      <c r="C35" s="17"/>
      <c r="D35" s="17"/>
      <c r="E35" s="17"/>
      <c r="F35" s="17"/>
      <c r="G35" s="17"/>
      <c r="H35" s="17"/>
      <c r="I35" s="17"/>
      <c r="J35" s="17"/>
      <c r="K35" s="17"/>
      <c r="L35" s="17"/>
    </row>
    <row r="36" spans="1:14" ht="12" customHeight="1" x14ac:dyDescent="0.25">
      <c r="B36" s="17"/>
      <c r="C36" s="17"/>
      <c r="D36" s="17"/>
      <c r="E36" s="17"/>
      <c r="F36" s="17"/>
      <c r="G36" s="17"/>
      <c r="H36" s="17"/>
      <c r="I36" s="17"/>
      <c r="J36" s="17"/>
      <c r="K36" s="17"/>
      <c r="L36" s="17"/>
    </row>
    <row r="37" spans="1:14" ht="12" customHeight="1" x14ac:dyDescent="0.25">
      <c r="B37" s="17"/>
      <c r="C37" s="1822" t="s">
        <v>717</v>
      </c>
      <c r="D37" s="1794"/>
      <c r="E37" s="1794"/>
      <c r="F37" s="1794"/>
      <c r="G37" s="1794"/>
      <c r="H37" s="1794"/>
      <c r="I37" s="1794"/>
      <c r="J37" s="1794"/>
      <c r="K37" s="1824" t="s">
        <v>10</v>
      </c>
      <c r="L37" s="17"/>
    </row>
    <row r="38" spans="1:14" ht="12" customHeight="1" x14ac:dyDescent="0.25">
      <c r="B38" s="17"/>
      <c r="C38" s="655"/>
      <c r="D38" s="40"/>
      <c r="E38" s="40"/>
      <c r="F38" s="612"/>
      <c r="G38" s="612"/>
      <c r="H38" s="612"/>
      <c r="I38" s="612"/>
      <c r="J38" s="612"/>
      <c r="K38" s="540"/>
      <c r="L38" s="17"/>
    </row>
    <row r="39" spans="1:14" ht="12" customHeight="1" x14ac:dyDescent="0.25">
      <c r="A39" s="8" t="s">
        <v>8</v>
      </c>
      <c r="B39" s="17"/>
      <c r="C39" s="1842" t="str">
        <f>A47</f>
        <v>1-5</v>
      </c>
      <c r="D39" s="40" t="s">
        <v>5374</v>
      </c>
      <c r="E39" s="40"/>
      <c r="F39" s="612"/>
      <c r="G39" s="612"/>
      <c r="H39" s="612"/>
      <c r="I39" s="612"/>
      <c r="J39" s="612"/>
      <c r="K39" s="540"/>
      <c r="L39" s="17"/>
    </row>
    <row r="40" spans="1:14" ht="12" customHeight="1" x14ac:dyDescent="0.25">
      <c r="A40" s="8">
        <v>1</v>
      </c>
      <c r="B40" s="17"/>
      <c r="C40" s="655"/>
      <c r="D40" s="40"/>
      <c r="E40" s="40"/>
      <c r="F40" s="612" t="str">
        <f>IF(MA_transfer, "MA transferred", "MA not transferred")</f>
        <v>MA not transferred</v>
      </c>
      <c r="G40" s="612"/>
      <c r="H40" s="612"/>
      <c r="I40" s="612"/>
      <c r="J40" s="612"/>
      <c r="K40" s="49"/>
      <c r="L40" s="17"/>
    </row>
    <row r="41" spans="1:14" ht="12" customHeight="1" x14ac:dyDescent="0.25">
      <c r="B41" s="17"/>
      <c r="C41" s="1827"/>
      <c r="D41" s="1802"/>
      <c r="E41" s="1802"/>
      <c r="F41" s="1802"/>
      <c r="G41" s="1802"/>
      <c r="H41" s="1858" t="str">
        <f>IF(HR_case_MAT=1,"Election is invalid","")</f>
        <v/>
      </c>
      <c r="I41" s="1802"/>
      <c r="J41" s="1802"/>
      <c r="K41" s="1803"/>
      <c r="L41" s="17"/>
    </row>
    <row r="42" spans="1:14" ht="12" customHeight="1" x14ac:dyDescent="0.25">
      <c r="A42" s="8" t="s">
        <v>9</v>
      </c>
      <c r="B42" s="17"/>
      <c r="C42" s="17"/>
      <c r="D42" s="17"/>
      <c r="E42" s="17"/>
      <c r="F42" s="17"/>
      <c r="G42" s="17"/>
      <c r="H42" s="17"/>
      <c r="I42" s="17"/>
      <c r="J42" s="17"/>
      <c r="K42" s="17"/>
      <c r="L42" s="17"/>
    </row>
    <row r="43" spans="1:14" ht="12" customHeight="1" x14ac:dyDescent="0.25">
      <c r="A43" s="8">
        <v>1</v>
      </c>
      <c r="B43" s="17"/>
      <c r="C43" s="1822" t="s">
        <v>5375</v>
      </c>
      <c r="D43" s="1794"/>
      <c r="E43" s="1794"/>
      <c r="F43" s="1794"/>
      <c r="G43" s="1794"/>
      <c r="H43" s="1794"/>
      <c r="I43" s="1794"/>
      <c r="J43" s="1794"/>
      <c r="K43" s="1824" t="s">
        <v>10</v>
      </c>
      <c r="L43" s="17"/>
    </row>
    <row r="44" spans="1:14" ht="12" customHeight="1" x14ac:dyDescent="0.25">
      <c r="B44" s="17"/>
      <c r="C44" s="655"/>
      <c r="D44" s="40"/>
      <c r="E44" s="40"/>
      <c r="F44" s="612"/>
      <c r="G44" s="612"/>
      <c r="H44" s="612"/>
      <c r="I44" s="612"/>
      <c r="J44" s="612"/>
      <c r="K44" s="540"/>
      <c r="L44" s="17"/>
      <c r="N44" s="8" t="b">
        <v>0</v>
      </c>
    </row>
    <row r="45" spans="1:14" ht="12" customHeight="1" x14ac:dyDescent="0.25">
      <c r="B45" s="17"/>
      <c r="C45" s="1842" t="str">
        <f>A48</f>
        <v>M_O</v>
      </c>
      <c r="D45" s="40" t="s">
        <v>2377</v>
      </c>
      <c r="E45" s="40"/>
      <c r="F45" s="612"/>
      <c r="G45" s="1842" t="str">
        <f>A49</f>
        <v>M_I</v>
      </c>
      <c r="H45" s="40" t="s">
        <v>2379</v>
      </c>
      <c r="I45" s="40"/>
      <c r="J45" s="612"/>
      <c r="K45" s="540"/>
      <c r="L45" s="17"/>
    </row>
    <row r="46" spans="1:14" ht="12" customHeight="1" x14ac:dyDescent="0.25">
      <c r="A46" s="8" t="s">
        <v>10</v>
      </c>
      <c r="B46" s="17"/>
      <c r="C46" s="655"/>
      <c r="D46" s="40"/>
      <c r="E46" s="612" t="str">
        <f>IF(MAT_OUT, "MA transferred out", "MA not transferred out")</f>
        <v>MA not transferred out</v>
      </c>
      <c r="F46" s="617"/>
      <c r="G46" s="1856"/>
      <c r="H46" s="40"/>
      <c r="I46" s="612" t="str">
        <f>IF(MAT_IN, "MA transferred in", "MA not transferred in")</f>
        <v>MA not transferred in</v>
      </c>
      <c r="J46" s="612"/>
      <c r="K46" s="49"/>
      <c r="L46" s="17"/>
    </row>
    <row r="47" spans="1:14" ht="12" customHeight="1" x14ac:dyDescent="0.25">
      <c r="A47" s="323" t="s">
        <v>5376</v>
      </c>
      <c r="B47" s="17"/>
      <c r="C47" s="1827"/>
      <c r="D47" s="1802"/>
      <c r="E47" s="1802"/>
      <c r="F47" s="1802"/>
      <c r="G47" s="1802"/>
      <c r="H47" s="1858" t="str">
        <f>IF(HR_case_MAT="Y","Election is invalid","")</f>
        <v/>
      </c>
      <c r="I47" s="1802"/>
      <c r="J47" s="1802"/>
      <c r="K47" s="1803"/>
      <c r="L47" s="17"/>
    </row>
    <row r="48" spans="1:14" x14ac:dyDescent="0.25">
      <c r="A48" s="8" t="s">
        <v>5377</v>
      </c>
      <c r="B48" s="17"/>
      <c r="C48" s="17"/>
      <c r="D48" s="17"/>
      <c r="E48" s="17"/>
      <c r="F48" s="17"/>
      <c r="G48" s="17"/>
      <c r="H48" s="17"/>
      <c r="I48" s="17"/>
      <c r="J48" s="17"/>
      <c r="K48" s="17"/>
      <c r="L48" s="17"/>
      <c r="N48" s="8" t="b">
        <v>0</v>
      </c>
    </row>
    <row r="49" spans="1:14" ht="12" customHeight="1" x14ac:dyDescent="0.25">
      <c r="A49" s="8" t="s">
        <v>5378</v>
      </c>
      <c r="B49" s="17"/>
      <c r="C49" s="226"/>
      <c r="D49" s="242"/>
      <c r="E49" s="242"/>
      <c r="F49" s="226"/>
      <c r="G49" s="226"/>
      <c r="H49" s="226"/>
      <c r="I49" s="226"/>
      <c r="J49" s="242"/>
      <c r="K49" s="226"/>
      <c r="L49" s="17"/>
      <c r="N49" s="8" t="b">
        <v>0</v>
      </c>
    </row>
    <row r="50" spans="1:14" ht="12" customHeight="1" x14ac:dyDescent="0.25">
      <c r="B50" s="17"/>
      <c r="C50" s="1822" t="s">
        <v>5379</v>
      </c>
      <c r="D50" s="1794"/>
      <c r="E50" s="1794"/>
      <c r="F50" s="1794"/>
      <c r="G50" s="1794"/>
      <c r="H50" s="1794"/>
      <c r="I50" s="1794"/>
      <c r="J50" s="1794"/>
      <c r="K50" s="1824" t="s">
        <v>11</v>
      </c>
      <c r="L50" s="17"/>
    </row>
    <row r="51" spans="1:14" ht="12" customHeight="1" x14ac:dyDescent="0.25">
      <c r="B51" s="17"/>
      <c r="C51" s="655"/>
      <c r="D51" s="40"/>
      <c r="E51" s="612"/>
      <c r="F51" s="612"/>
      <c r="G51" s="612"/>
      <c r="H51" s="612"/>
      <c r="I51" s="612"/>
      <c r="J51" s="612"/>
      <c r="K51" s="48"/>
      <c r="L51" s="17"/>
      <c r="M51" s="8" t="s">
        <v>5380</v>
      </c>
      <c r="N51" s="1843" t="b">
        <v>0</v>
      </c>
    </row>
    <row r="52" spans="1:14" ht="12" customHeight="1" x14ac:dyDescent="0.25">
      <c r="B52" s="17"/>
      <c r="C52" s="1852">
        <f>A54</f>
        <v>1</v>
      </c>
      <c r="D52" s="40" t="str">
        <f>"If you have had any "&amp;tax_year&amp;" Income Tax refunded or set off by us or Jobcentre Plus"</f>
        <v>If you have had any 2025-26 Income Tax refunded or set off by us or Jobcentre Plus</v>
      </c>
      <c r="E52" s="612"/>
      <c r="F52" s="612"/>
      <c r="G52" s="612"/>
      <c r="H52" s="612"/>
      <c r="I52" s="612"/>
      <c r="J52" s="612"/>
      <c r="K52" s="48"/>
      <c r="L52" s="17"/>
    </row>
    <row r="53" spans="1:14" ht="12" customHeight="1" x14ac:dyDescent="0.25">
      <c r="A53" s="8" t="s">
        <v>11</v>
      </c>
      <c r="B53" s="226"/>
      <c r="C53" s="655"/>
      <c r="D53" s="1859"/>
      <c r="E53" s="612"/>
      <c r="F53" s="612"/>
      <c r="G53" s="612"/>
      <c r="H53" s="612"/>
      <c r="I53" s="612"/>
      <c r="J53" s="612"/>
      <c r="K53" s="48"/>
      <c r="L53" s="17"/>
    </row>
    <row r="54" spans="1:14" x14ac:dyDescent="0.25">
      <c r="A54" s="8">
        <v>1</v>
      </c>
      <c r="B54" s="17"/>
      <c r="C54" s="1827"/>
      <c r="D54" s="1802"/>
      <c r="E54" s="1802"/>
      <c r="F54" s="1802"/>
      <c r="G54" s="1802"/>
      <c r="H54" s="1802"/>
      <c r="I54" s="1802"/>
      <c r="J54" s="1802"/>
      <c r="K54" s="1803"/>
      <c r="L54" s="17"/>
      <c r="M54" s="8" t="s">
        <v>5381</v>
      </c>
    </row>
    <row r="55" spans="1:14" x14ac:dyDescent="0.25">
      <c r="A55" s="8">
        <v>2</v>
      </c>
      <c r="B55" s="17"/>
      <c r="C55" s="17"/>
      <c r="D55" s="17"/>
      <c r="E55" s="17"/>
      <c r="F55" s="17"/>
      <c r="G55" s="17"/>
      <c r="H55" s="17"/>
      <c r="I55" s="17"/>
      <c r="J55" s="17"/>
      <c r="K55" s="17"/>
      <c r="L55" s="17"/>
      <c r="M55" s="8" t="s">
        <v>2377</v>
      </c>
      <c r="N55" s="1860" t="b">
        <v>0</v>
      </c>
    </row>
    <row r="56" spans="1:14" x14ac:dyDescent="0.25">
      <c r="A56" s="8">
        <v>3</v>
      </c>
      <c r="B56" s="17"/>
      <c r="C56" s="17"/>
      <c r="D56" s="17"/>
      <c r="E56" s="17"/>
      <c r="F56" s="17"/>
      <c r="G56" s="17"/>
      <c r="H56" s="17"/>
      <c r="I56" s="17"/>
      <c r="J56" s="17"/>
      <c r="K56" s="17"/>
      <c r="L56" s="17"/>
      <c r="M56" s="8" t="s">
        <v>2379</v>
      </c>
      <c r="N56" s="1860" t="b">
        <v>0</v>
      </c>
    </row>
    <row r="57" spans="1:14" x14ac:dyDescent="0.25">
      <c r="B57" s="17"/>
      <c r="C57" s="17"/>
      <c r="D57" s="17"/>
      <c r="E57" s="17"/>
      <c r="F57" s="17"/>
      <c r="G57" s="17"/>
      <c r="H57" s="17"/>
      <c r="I57" s="17"/>
      <c r="J57" s="17"/>
      <c r="K57" s="17"/>
      <c r="L57" s="17"/>
    </row>
    <row r="58" spans="1:14" x14ac:dyDescent="0.25">
      <c r="B58" s="17"/>
      <c r="C58" s="17"/>
      <c r="D58" s="17"/>
      <c r="E58" s="17"/>
      <c r="F58" s="17"/>
      <c r="G58" s="17"/>
      <c r="H58" s="17"/>
      <c r="I58" s="17"/>
      <c r="J58" s="17"/>
      <c r="K58" s="17"/>
      <c r="L58" s="17"/>
    </row>
    <row r="59" spans="1:14" x14ac:dyDescent="0.25">
      <c r="B59" s="17"/>
      <c r="C59" s="17"/>
      <c r="D59" s="17"/>
      <c r="E59" s="17"/>
      <c r="F59" s="17"/>
      <c r="G59" s="17"/>
      <c r="H59" s="17"/>
      <c r="I59" s="17"/>
      <c r="J59" s="17"/>
      <c r="K59" s="17"/>
      <c r="L59" s="17"/>
    </row>
    <row r="60" spans="1:14" x14ac:dyDescent="0.25">
      <c r="B60" s="17"/>
      <c r="C60" s="17"/>
      <c r="D60" s="17"/>
      <c r="E60" s="17"/>
      <c r="F60" s="17"/>
      <c r="G60" s="17"/>
      <c r="H60" s="17"/>
      <c r="I60" s="17"/>
      <c r="J60" s="17"/>
      <c r="K60" s="17"/>
      <c r="L60" s="226"/>
    </row>
    <row r="61" spans="1:14" x14ac:dyDescent="0.25">
      <c r="B61" s="17"/>
      <c r="C61" s="17"/>
      <c r="D61" s="17"/>
      <c r="E61" s="17"/>
      <c r="F61" s="17"/>
      <c r="G61" s="17"/>
      <c r="H61" s="17"/>
      <c r="I61" s="17"/>
      <c r="J61" s="17"/>
      <c r="K61" s="17"/>
      <c r="L61" s="17"/>
    </row>
    <row r="62" spans="1:14" x14ac:dyDescent="0.25">
      <c r="L62" s="17"/>
    </row>
    <row r="63" spans="1:14" x14ac:dyDescent="0.25">
      <c r="L63" s="17"/>
    </row>
    <row r="64" spans="1:14" x14ac:dyDescent="0.25">
      <c r="L64" s="17"/>
    </row>
    <row r="65" spans="12:12" x14ac:dyDescent="0.25">
      <c r="L65" s="17"/>
    </row>
    <row r="66" spans="12:12" x14ac:dyDescent="0.25">
      <c r="L66" s="17"/>
    </row>
    <row r="67" spans="12:12" x14ac:dyDescent="0.25">
      <c r="L67" s="17"/>
    </row>
    <row r="68" spans="12:12" x14ac:dyDescent="0.25">
      <c r="L68" s="17"/>
    </row>
  </sheetData>
  <phoneticPr fontId="58" type="noConversion"/>
  <dataValidations count="1">
    <dataValidation allowBlank="1" showInputMessage="1" showErrorMessage="1" promptTitle="Student Loan Plan type" prompt="Complete the SL_t box next by selecting Plan type" sqref="H12" xr:uid="{00000000-0002-0000-1D00-000000000000}"/>
  </dataValidations>
  <pageMargins left="0.75" right="0.75" top="1" bottom="1" header="0.5" footer="0.5"/>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ltText="Tick box to select Registered blind.">
                <anchor moveWithCells="1">
                  <from>
                    <xdr:col>2</xdr:col>
                    <xdr:colOff>279400</xdr:colOff>
                    <xdr:row>3</xdr:row>
                    <xdr:rowOff>69850</xdr:rowOff>
                  </from>
                  <to>
                    <xdr:col>3</xdr:col>
                    <xdr:colOff>184150</xdr:colOff>
                    <xdr:row>5</xdr:row>
                    <xdr:rowOff>38100</xdr:rowOff>
                  </to>
                </anchor>
              </controlPr>
            </control>
          </mc:Choice>
        </mc:AlternateContent>
        <mc:AlternateContent xmlns:mc="http://schemas.openxmlformats.org/markup-compatibility/2006">
          <mc:Choice Requires="x14">
            <control shapeId="39943" r:id="rId5" name="Check Box 7">
              <controlPr defaultSize="0" autoFill="0" autoLine="0" autoPict="0" macro="[0]!Checkboxes_MA_transfer" altText="Tick box to select Election to transfer personal allowance (box MAT_1 to MAT_5 all completed).">
                <anchor moveWithCells="1">
                  <from>
                    <xdr:col>2</xdr:col>
                    <xdr:colOff>266700</xdr:colOff>
                    <xdr:row>38</xdr:row>
                    <xdr:rowOff>69850</xdr:rowOff>
                  </from>
                  <to>
                    <xdr:col>3</xdr:col>
                    <xdr:colOff>184150</xdr:colOff>
                    <xdr:row>40</xdr:row>
                    <xdr:rowOff>38100</xdr:rowOff>
                  </to>
                </anchor>
              </controlPr>
            </control>
          </mc:Choice>
        </mc:AlternateContent>
        <mc:AlternateContent xmlns:mc="http://schemas.openxmlformats.org/markup-compatibility/2006">
          <mc:Choice Requires="x14">
            <control shapeId="39946" r:id="rId6" name="Check Box 10">
              <controlPr defaultSize="0" autoFill="0" autoLine="0" autoPict="0" macro="[0]!Checkboxes_MAT_OUT" altText="Tick box to select MAT OUT.">
                <anchor moveWithCells="1">
                  <from>
                    <xdr:col>2</xdr:col>
                    <xdr:colOff>266700</xdr:colOff>
                    <xdr:row>44</xdr:row>
                    <xdr:rowOff>69850</xdr:rowOff>
                  </from>
                  <to>
                    <xdr:col>3</xdr:col>
                    <xdr:colOff>184150</xdr:colOff>
                    <xdr:row>46</xdr:row>
                    <xdr:rowOff>38100</xdr:rowOff>
                  </to>
                </anchor>
              </controlPr>
            </control>
          </mc:Choice>
        </mc:AlternateContent>
        <mc:AlternateContent xmlns:mc="http://schemas.openxmlformats.org/markup-compatibility/2006">
          <mc:Choice Requires="x14">
            <control shapeId="39947" r:id="rId7" name="Check Box 11">
              <controlPr defaultSize="0" autoFill="0" autoLine="0" autoPict="0" macro="[0]!Checkboxes_MAT_IN" altText="Tick box to select MAT IN.">
                <anchor moveWithCells="1">
                  <from>
                    <xdr:col>6</xdr:col>
                    <xdr:colOff>266700</xdr:colOff>
                    <xdr:row>44</xdr:row>
                    <xdr:rowOff>69850</xdr:rowOff>
                  </from>
                  <to>
                    <xdr:col>7</xdr:col>
                    <xdr:colOff>184150</xdr:colOff>
                    <xdr:row>46</xdr:row>
                    <xdr:rowOff>38100</xdr:rowOff>
                  </to>
                </anchor>
              </controlPr>
            </control>
          </mc:Choice>
        </mc:AlternateContent>
        <mc:AlternateContent xmlns:mc="http://schemas.openxmlformats.org/markup-compatibility/2006">
          <mc:Choice Requires="x14">
            <control shapeId="39949" r:id="rId8" name="Drop Down 13">
              <controlPr defaultSize="0" autoLine="0" autoPict="0" altText="Drop down button to select Student Loan Plan type.">
                <anchor moveWithCells="1">
                  <from>
                    <xdr:col>3</xdr:col>
                    <xdr:colOff>0</xdr:colOff>
                    <xdr:row>13</xdr:row>
                    <xdr:rowOff>31750</xdr:rowOff>
                  </from>
                  <to>
                    <xdr:col>3</xdr:col>
                    <xdr:colOff>412750</xdr:colOff>
                    <xdr:row>14</xdr:row>
                    <xdr:rowOff>69850</xdr:rowOff>
                  </to>
                </anchor>
              </controlPr>
            </control>
          </mc:Choice>
        </mc:AlternateContent>
        <mc:AlternateContent xmlns:mc="http://schemas.openxmlformats.org/markup-compatibility/2006">
          <mc:Choice Requires="x14">
            <control shapeId="39952" r:id="rId9" name="Check Box 16">
              <controlPr defaultSize="0" autoFill="0" autoLine="0" autoPict="0" altText="Drop down button to select Student Loan Payer.">
                <anchor moveWithCells="1">
                  <from>
                    <xdr:col>2</xdr:col>
                    <xdr:colOff>279400</xdr:colOff>
                    <xdr:row>10</xdr:row>
                    <xdr:rowOff>107950</xdr:rowOff>
                  </from>
                  <to>
                    <xdr:col>3</xdr:col>
                    <xdr:colOff>184150</xdr:colOff>
                    <xdr:row>12</xdr:row>
                    <xdr:rowOff>12700</xdr:rowOff>
                  </to>
                </anchor>
              </controlPr>
            </control>
          </mc:Choice>
        </mc:AlternateContent>
        <mc:AlternateContent xmlns:mc="http://schemas.openxmlformats.org/markup-compatibility/2006">
          <mc:Choice Requires="x14">
            <control shapeId="39961" r:id="rId10" name="Drop Down 25">
              <controlPr defaultSize="0" autoLine="0" autoPict="0" altText="Drop down button to select Post graduate Loan Plan type.">
                <anchor moveWithCells="1">
                  <from>
                    <xdr:col>3</xdr:col>
                    <xdr:colOff>12700</xdr:colOff>
                    <xdr:row>17</xdr:row>
                    <xdr:rowOff>31750</xdr:rowOff>
                  </from>
                  <to>
                    <xdr:col>3</xdr:col>
                    <xdr:colOff>419100</xdr:colOff>
                    <xdr:row>18</xdr:row>
                    <xdr:rowOff>69850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dimension ref="A1:O38"/>
  <sheetViews>
    <sheetView showGridLines="0" topLeftCell="B1" workbookViewId="0">
      <selection activeCell="H8" sqref="H8"/>
    </sheetView>
  </sheetViews>
  <sheetFormatPr defaultColWidth="9.1796875" defaultRowHeight="11.5" x14ac:dyDescent="0.25"/>
  <cols>
    <col min="1" max="1" width="11.54296875" style="39" hidden="1" customWidth="1"/>
    <col min="2" max="2" width="9.81640625" style="39" customWidth="1"/>
    <col min="3" max="3" width="4.54296875" style="39" customWidth="1"/>
    <col min="4" max="4" width="12.54296875" style="39" customWidth="1"/>
    <col min="5" max="5" width="6" style="39" customWidth="1"/>
    <col min="6" max="6" width="21.453125" style="39" customWidth="1"/>
    <col min="7" max="7" width="5" style="39" customWidth="1"/>
    <col min="8" max="8" width="12.54296875" style="39" customWidth="1"/>
    <col min="9" max="9" width="25.54296875" style="39" customWidth="1"/>
    <col min="10" max="10" width="4.1796875" style="39" customWidth="1"/>
    <col min="11" max="11" width="1.54296875" style="39" customWidth="1"/>
    <col min="12" max="12" width="23.54296875" style="39" customWidth="1"/>
    <col min="13" max="13" width="5.54296875" style="39" customWidth="1"/>
    <col min="14" max="15" width="9.1796875" style="39" hidden="1" customWidth="1"/>
    <col min="16" max="16" width="9.1796875" style="39" customWidth="1"/>
    <col min="17" max="16384" width="9.1796875" style="39"/>
  </cols>
  <sheetData>
    <row r="1" spans="1:15" ht="13" x14ac:dyDescent="0.3">
      <c r="A1" s="8" t="s">
        <v>86</v>
      </c>
      <c r="B1" s="17"/>
      <c r="C1" s="15"/>
      <c r="D1" s="17"/>
      <c r="E1" s="17"/>
      <c r="F1" s="17"/>
      <c r="G1" s="17"/>
      <c r="H1" s="17"/>
      <c r="I1" s="17"/>
      <c r="J1" s="17"/>
      <c r="K1" s="17"/>
      <c r="L1" s="17"/>
      <c r="M1" s="17"/>
      <c r="N1" s="8"/>
      <c r="O1" s="8"/>
    </row>
    <row r="2" spans="1:15" ht="9" customHeight="1" x14ac:dyDescent="0.25">
      <c r="A2" s="8">
        <v>1</v>
      </c>
      <c r="B2" s="17"/>
      <c r="C2" s="17"/>
      <c r="D2" s="17"/>
      <c r="E2" s="17"/>
      <c r="F2" s="17"/>
      <c r="G2" s="17"/>
      <c r="H2" s="17"/>
      <c r="I2" s="17"/>
      <c r="J2" s="17"/>
      <c r="K2" s="17"/>
      <c r="L2" s="17"/>
      <c r="M2" s="17"/>
      <c r="N2" s="8"/>
      <c r="O2" s="8"/>
    </row>
    <row r="3" spans="1:15" x14ac:dyDescent="0.25">
      <c r="A3" s="8">
        <v>2</v>
      </c>
      <c r="B3" s="17"/>
      <c r="C3" s="1855" t="s">
        <v>1483</v>
      </c>
      <c r="D3" s="1856"/>
      <c r="E3" s="1856"/>
      <c r="F3" s="1856"/>
      <c r="G3" s="1856"/>
      <c r="H3" s="1856"/>
      <c r="I3" s="1861"/>
      <c r="J3" s="1862" t="s">
        <v>86</v>
      </c>
      <c r="K3" s="17"/>
      <c r="L3" s="17"/>
      <c r="M3" s="17"/>
      <c r="N3" s="8"/>
      <c r="O3" s="8"/>
    </row>
    <row r="4" spans="1:15" ht="9" customHeight="1" x14ac:dyDescent="0.25">
      <c r="A4" s="8">
        <v>3</v>
      </c>
      <c r="B4" s="17"/>
      <c r="C4" s="662"/>
      <c r="D4" s="44"/>
      <c r="E4" s="40"/>
      <c r="F4" s="40"/>
      <c r="G4" s="40"/>
      <c r="H4" s="40"/>
      <c r="I4" s="618"/>
      <c r="J4" s="48"/>
      <c r="K4" s="17"/>
      <c r="L4" s="17"/>
      <c r="M4" s="17"/>
      <c r="N4" s="8"/>
      <c r="O4" s="8"/>
    </row>
    <row r="5" spans="1:15" x14ac:dyDescent="0.25">
      <c r="A5" s="8">
        <v>4</v>
      </c>
      <c r="B5" s="17"/>
      <c r="C5" s="1845">
        <f>A3</f>
        <v>2</v>
      </c>
      <c r="D5" s="40" t="str">
        <f>"Tax taken off box "&amp;G7</f>
        <v>Tax taken off box 3</v>
      </c>
      <c r="E5" s="40"/>
      <c r="F5" s="45"/>
      <c r="G5" s="45"/>
      <c r="H5" s="45"/>
      <c r="I5" s="618"/>
      <c r="J5" s="48"/>
      <c r="K5" s="17"/>
      <c r="L5" s="17"/>
      <c r="M5" s="17"/>
      <c r="N5" s="8"/>
      <c r="O5" s="8"/>
    </row>
    <row r="6" spans="1:15" x14ac:dyDescent="0.25">
      <c r="A6" s="8">
        <v>5</v>
      </c>
      <c r="B6" s="17"/>
      <c r="C6" s="655"/>
      <c r="D6" s="1863"/>
      <c r="E6" s="40"/>
      <c r="F6" s="45"/>
      <c r="G6" s="45"/>
      <c r="H6" s="45"/>
      <c r="I6" s="618"/>
      <c r="J6" s="48"/>
      <c r="K6" s="17"/>
      <c r="L6" s="17"/>
      <c r="M6" s="17"/>
      <c r="N6" s="8"/>
      <c r="O6" s="8"/>
    </row>
    <row r="7" spans="1:15" x14ac:dyDescent="0.25">
      <c r="A7" s="8">
        <v>6</v>
      </c>
      <c r="B7" s="17"/>
      <c r="C7" s="655"/>
      <c r="D7" s="40"/>
      <c r="E7" s="40"/>
      <c r="F7" s="619"/>
      <c r="G7" s="1845">
        <f>A4</f>
        <v>3</v>
      </c>
      <c r="H7" s="46" t="s">
        <v>2414</v>
      </c>
      <c r="I7" s="618"/>
      <c r="J7" s="48"/>
      <c r="K7" s="17"/>
      <c r="L7" s="17"/>
      <c r="M7" s="17"/>
      <c r="N7" s="8"/>
      <c r="O7" s="8"/>
    </row>
    <row r="8" spans="1:15" x14ac:dyDescent="0.25">
      <c r="A8" s="8">
        <v>7</v>
      </c>
      <c r="B8" s="17"/>
      <c r="C8" s="655"/>
      <c r="D8" s="40"/>
      <c r="E8" s="40"/>
      <c r="F8" s="619"/>
      <c r="G8" s="40"/>
      <c r="H8" s="1864"/>
      <c r="I8" s="618"/>
      <c r="J8" s="48"/>
      <c r="K8" s="17"/>
      <c r="L8" s="17"/>
      <c r="M8" s="17"/>
      <c r="N8" s="8"/>
      <c r="O8" s="8"/>
    </row>
    <row r="9" spans="1:15" ht="6" customHeight="1" x14ac:dyDescent="0.25">
      <c r="A9" s="8">
        <v>8</v>
      </c>
      <c r="B9" s="17"/>
      <c r="C9" s="1827"/>
      <c r="D9" s="1802"/>
      <c r="E9" s="1802"/>
      <c r="F9" s="1802"/>
      <c r="G9" s="1802"/>
      <c r="H9" s="1802"/>
      <c r="I9" s="1802"/>
      <c r="J9" s="1803"/>
      <c r="K9" s="17"/>
      <c r="L9" s="17"/>
      <c r="M9" s="17"/>
      <c r="N9" s="8"/>
      <c r="O9" s="8"/>
    </row>
    <row r="10" spans="1:15" ht="9" customHeight="1" x14ac:dyDescent="0.25">
      <c r="A10" s="8">
        <v>9</v>
      </c>
      <c r="B10" s="17"/>
      <c r="C10" s="17"/>
      <c r="D10" s="17"/>
      <c r="E10" s="17"/>
      <c r="F10" s="17"/>
      <c r="G10" s="17"/>
      <c r="H10" s="17"/>
      <c r="I10" s="17"/>
      <c r="J10" s="17"/>
      <c r="K10" s="17"/>
      <c r="L10" s="17"/>
      <c r="M10" s="17"/>
      <c r="N10" s="8"/>
      <c r="O10" s="8"/>
    </row>
    <row r="11" spans="1:15" x14ac:dyDescent="0.25">
      <c r="A11" s="8">
        <v>10</v>
      </c>
      <c r="B11" s="17"/>
      <c r="C11" s="1855" t="s">
        <v>1484</v>
      </c>
      <c r="D11" s="1856"/>
      <c r="E11" s="1856"/>
      <c r="F11" s="1856"/>
      <c r="G11" s="1856"/>
      <c r="H11" s="1856"/>
      <c r="I11" s="1861"/>
      <c r="J11" s="1862" t="s">
        <v>86</v>
      </c>
      <c r="K11" s="17"/>
      <c r="L11" s="17"/>
      <c r="M11" s="17"/>
      <c r="N11" s="8"/>
      <c r="O11" s="8"/>
    </row>
    <row r="12" spans="1:15" ht="9" customHeight="1" x14ac:dyDescent="0.25">
      <c r="A12" s="8">
        <v>11</v>
      </c>
      <c r="B12" s="17"/>
      <c r="C12" s="655"/>
      <c r="D12" s="40"/>
      <c r="E12" s="40"/>
      <c r="F12" s="44"/>
      <c r="G12" s="46"/>
      <c r="H12" s="612"/>
      <c r="I12" s="618"/>
      <c r="J12" s="48"/>
      <c r="K12" s="17"/>
      <c r="L12" s="17"/>
      <c r="M12" s="17"/>
      <c r="N12" s="8"/>
      <c r="O12" s="8"/>
    </row>
    <row r="13" spans="1:15" x14ac:dyDescent="0.25">
      <c r="A13" s="8">
        <v>12</v>
      </c>
      <c r="B13" s="17"/>
      <c r="C13" s="1845">
        <f>A5</f>
        <v>4</v>
      </c>
      <c r="D13" s="46" t="s">
        <v>5382</v>
      </c>
      <c r="E13" s="40"/>
      <c r="F13" s="44"/>
      <c r="G13" s="1845">
        <f>A9</f>
        <v>8</v>
      </c>
      <c r="H13" s="46" t="s">
        <v>5383</v>
      </c>
      <c r="I13" s="618"/>
      <c r="J13" s="48"/>
      <c r="K13" s="17"/>
      <c r="L13" s="17"/>
      <c r="M13" s="17"/>
      <c r="N13" s="8"/>
      <c r="O13" s="8"/>
    </row>
    <row r="14" spans="1:15" x14ac:dyDescent="0.25">
      <c r="A14" s="8">
        <v>13</v>
      </c>
      <c r="B14" s="17"/>
      <c r="C14" s="655"/>
      <c r="D14" s="1846"/>
      <c r="E14" s="40"/>
      <c r="F14" s="619"/>
      <c r="G14" s="40"/>
      <c r="H14" s="1865"/>
      <c r="I14" s="618"/>
      <c r="J14" s="48"/>
      <c r="K14" s="17"/>
      <c r="L14" s="17"/>
      <c r="M14" s="17"/>
      <c r="N14" s="8"/>
      <c r="O14" s="8"/>
    </row>
    <row r="15" spans="1:15" ht="9" customHeight="1" x14ac:dyDescent="0.25">
      <c r="A15" s="406">
        <v>13.1</v>
      </c>
      <c r="B15" s="17"/>
      <c r="C15" s="655"/>
      <c r="D15" s="40"/>
      <c r="E15" s="40"/>
      <c r="F15" s="619"/>
      <c r="G15" s="45"/>
      <c r="H15" s="45"/>
      <c r="I15" s="618"/>
      <c r="J15" s="48"/>
      <c r="K15" s="17"/>
      <c r="L15" s="17"/>
      <c r="M15" s="17"/>
      <c r="N15" s="8"/>
      <c r="O15" s="8"/>
    </row>
    <row r="16" spans="1:15" x14ac:dyDescent="0.25">
      <c r="A16" s="8">
        <v>14</v>
      </c>
      <c r="B16" s="17"/>
      <c r="C16" s="1845">
        <f>A6</f>
        <v>5</v>
      </c>
      <c r="D16" s="40" t="str">
        <f>"Number of years for box "&amp;C13</f>
        <v>Number of years for box 4</v>
      </c>
      <c r="E16" s="40"/>
      <c r="F16" s="619"/>
      <c r="G16" s="1845">
        <f>A10</f>
        <v>9</v>
      </c>
      <c r="H16" s="40" t="str">
        <f>"Number of years for box "&amp;G13</f>
        <v>Number of years for box 8</v>
      </c>
      <c r="I16" s="618"/>
      <c r="J16" s="48"/>
      <c r="K16" s="17"/>
      <c r="L16" s="17"/>
      <c r="M16" s="17"/>
      <c r="N16" s="8"/>
      <c r="O16" s="8"/>
    </row>
    <row r="17" spans="1:15" x14ac:dyDescent="0.25">
      <c r="A17" s="8">
        <v>15</v>
      </c>
      <c r="B17" s="17"/>
      <c r="C17" s="655"/>
      <c r="D17" s="1865"/>
      <c r="E17" s="45"/>
      <c r="F17" s="40"/>
      <c r="G17" s="45"/>
      <c r="H17" s="1865"/>
      <c r="I17" s="618"/>
      <c r="J17" s="48"/>
      <c r="K17" s="17"/>
      <c r="L17" s="17"/>
      <c r="M17" s="17"/>
      <c r="N17" s="8"/>
      <c r="O17" s="8"/>
    </row>
    <row r="18" spans="1:15" ht="9" customHeight="1" x14ac:dyDescent="0.25">
      <c r="A18" s="8"/>
      <c r="B18" s="17"/>
      <c r="C18" s="655"/>
      <c r="D18" s="44"/>
      <c r="E18" s="40"/>
      <c r="F18" s="44"/>
      <c r="G18" s="45"/>
      <c r="H18" s="45"/>
      <c r="I18" s="618"/>
      <c r="J18" s="48"/>
      <c r="K18" s="17"/>
      <c r="L18" s="17"/>
      <c r="M18" s="17"/>
      <c r="N18" s="8"/>
      <c r="O18" s="8"/>
    </row>
    <row r="19" spans="1:15" x14ac:dyDescent="0.25">
      <c r="A19" s="8"/>
      <c r="B19" s="17"/>
      <c r="C19" s="1845">
        <f>A7</f>
        <v>6</v>
      </c>
      <c r="D19" s="46" t="s">
        <v>5384</v>
      </c>
      <c r="E19" s="40"/>
      <c r="F19" s="45"/>
      <c r="G19" s="1845">
        <f>A11</f>
        <v>10</v>
      </c>
      <c r="H19" s="296" t="str">
        <f>"Tax taken off gain shown in box "&amp;G13</f>
        <v>Tax taken off gain shown in box 8</v>
      </c>
      <c r="I19" s="620"/>
      <c r="J19" s="48"/>
      <c r="K19" s="17"/>
      <c r="L19" s="17"/>
      <c r="M19" s="17"/>
      <c r="N19" s="8"/>
      <c r="O19" s="8"/>
    </row>
    <row r="20" spans="1:15" x14ac:dyDescent="0.25">
      <c r="A20" s="8"/>
      <c r="B20" s="17"/>
      <c r="C20" s="655"/>
      <c r="D20" s="1846"/>
      <c r="E20" s="40"/>
      <c r="F20" s="40"/>
      <c r="G20" s="45"/>
      <c r="H20" s="1866"/>
      <c r="I20" s="618"/>
      <c r="J20" s="48"/>
      <c r="K20" s="17"/>
      <c r="L20" s="17"/>
      <c r="M20" s="17"/>
      <c r="N20" s="8"/>
      <c r="O20" s="8"/>
    </row>
    <row r="21" spans="1:15" ht="9" customHeight="1" x14ac:dyDescent="0.25">
      <c r="A21" s="8"/>
      <c r="B21" s="17"/>
      <c r="C21" s="655"/>
      <c r="D21" s="40"/>
      <c r="E21" s="612"/>
      <c r="F21" s="612"/>
      <c r="G21" s="45"/>
      <c r="H21" s="40"/>
      <c r="I21" s="618"/>
      <c r="J21" s="48"/>
      <c r="K21" s="17"/>
      <c r="L21" s="17"/>
      <c r="M21" s="17"/>
      <c r="N21" s="8"/>
      <c r="O21" s="8"/>
    </row>
    <row r="22" spans="1:15" x14ac:dyDescent="0.25">
      <c r="A22" s="8"/>
      <c r="B22" s="17"/>
      <c r="C22" s="1845">
        <f>A8</f>
        <v>7</v>
      </c>
      <c r="D22" s="40" t="str">
        <f>"Number of years for box "&amp;C19</f>
        <v>Number of years for box 6</v>
      </c>
      <c r="E22" s="612"/>
      <c r="F22" s="612"/>
      <c r="G22" s="1852">
        <f>A12</f>
        <v>11</v>
      </c>
      <c r="H22" s="46" t="s">
        <v>2431</v>
      </c>
      <c r="I22" s="618"/>
      <c r="J22" s="48"/>
      <c r="K22" s="17"/>
      <c r="L22" s="17"/>
      <c r="M22" s="17"/>
      <c r="N22" s="8"/>
      <c r="O22" s="8"/>
    </row>
    <row r="23" spans="1:15" ht="12.75" customHeight="1" x14ac:dyDescent="0.25">
      <c r="A23" s="8"/>
      <c r="B23" s="17"/>
      <c r="C23" s="655"/>
      <c r="D23" s="1865"/>
      <c r="E23" s="612"/>
      <c r="F23" s="612"/>
      <c r="G23" s="45"/>
      <c r="H23" s="1865"/>
      <c r="I23" s="618"/>
      <c r="J23" s="48"/>
      <c r="K23" s="17"/>
      <c r="L23" s="17"/>
      <c r="M23" s="17"/>
      <c r="N23" s="8"/>
      <c r="O23" s="8"/>
    </row>
    <row r="24" spans="1:15" ht="6" customHeight="1" x14ac:dyDescent="0.25">
      <c r="A24" s="8"/>
      <c r="B24" s="17"/>
      <c r="C24" s="1827"/>
      <c r="D24" s="1802"/>
      <c r="E24" s="1802"/>
      <c r="F24" s="1802"/>
      <c r="G24" s="1802"/>
      <c r="H24" s="1802"/>
      <c r="I24" s="1802"/>
      <c r="J24" s="1803"/>
      <c r="K24" s="17"/>
      <c r="L24" s="17"/>
      <c r="M24" s="17"/>
      <c r="N24" s="8"/>
      <c r="O24" s="8"/>
    </row>
    <row r="25" spans="1:15" ht="9" customHeight="1" x14ac:dyDescent="0.25">
      <c r="A25" s="8"/>
      <c r="B25" s="17"/>
      <c r="C25" s="17"/>
      <c r="D25" s="17"/>
      <c r="E25" s="17"/>
      <c r="F25" s="17"/>
      <c r="G25" s="17"/>
      <c r="H25" s="17"/>
      <c r="I25" s="17"/>
      <c r="J25" s="17"/>
      <c r="K25" s="17"/>
      <c r="L25" s="17"/>
      <c r="M25" s="17"/>
      <c r="N25" s="8"/>
      <c r="O25" s="8"/>
    </row>
    <row r="26" spans="1:15" x14ac:dyDescent="0.25">
      <c r="A26" s="8"/>
      <c r="B26" s="17"/>
      <c r="C26" s="1855" t="s">
        <v>1485</v>
      </c>
      <c r="D26" s="1856"/>
      <c r="E26" s="1856"/>
      <c r="F26" s="1856"/>
      <c r="G26" s="1856"/>
      <c r="H26" s="1856"/>
      <c r="I26" s="1861"/>
      <c r="J26" s="1862" t="s">
        <v>86</v>
      </c>
      <c r="K26" s="17"/>
      <c r="L26" s="17"/>
      <c r="M26" s="17"/>
      <c r="N26" s="8"/>
      <c r="O26" s="8"/>
    </row>
    <row r="27" spans="1:15" x14ac:dyDescent="0.25">
      <c r="A27" s="8"/>
      <c r="B27" s="17"/>
      <c r="C27" s="655"/>
      <c r="D27" s="40"/>
      <c r="E27" s="40"/>
      <c r="F27" s="619"/>
      <c r="G27" s="45"/>
      <c r="H27" s="45"/>
      <c r="I27" s="618"/>
      <c r="J27" s="48"/>
      <c r="K27" s="17"/>
      <c r="L27" s="17"/>
      <c r="M27" s="17"/>
      <c r="N27" s="1867" t="b">
        <v>0</v>
      </c>
      <c r="O27" s="458" t="s">
        <v>5385</v>
      </c>
    </row>
    <row r="28" spans="1:15" ht="12.5" x14ac:dyDescent="0.25">
      <c r="A28" s="8"/>
      <c r="B28" s="17"/>
      <c r="C28" s="1845">
        <f>A13</f>
        <v>12</v>
      </c>
      <c r="D28" s="46" t="s">
        <v>5386</v>
      </c>
      <c r="E28" s="296"/>
      <c r="F28" s="621"/>
      <c r="G28" s="1845">
        <f>A14</f>
        <v>13</v>
      </c>
      <c r="H28" s="282" t="s">
        <v>5387</v>
      </c>
      <c r="I28" s="620"/>
      <c r="J28" s="317"/>
      <c r="K28" s="17"/>
      <c r="L28" s="17"/>
      <c r="M28" s="17"/>
      <c r="N28" s="1868">
        <v>61337</v>
      </c>
      <c r="O28" s="458" t="s">
        <v>5388</v>
      </c>
    </row>
    <row r="29" spans="1:15" x14ac:dyDescent="0.25">
      <c r="A29" s="8"/>
      <c r="B29" s="17"/>
      <c r="C29" s="655"/>
      <c r="D29" s="1846"/>
      <c r="E29" s="40"/>
      <c r="F29" s="619"/>
      <c r="G29" s="619"/>
      <c r="H29" s="1846"/>
      <c r="I29" s="618"/>
      <c r="J29" s="48"/>
      <c r="K29" s="17"/>
      <c r="L29" s="17"/>
      <c r="M29" s="17"/>
      <c r="N29" s="1867" t="b">
        <v>1</v>
      </c>
      <c r="O29" s="458" t="s">
        <v>5389</v>
      </c>
    </row>
    <row r="30" spans="1:15" x14ac:dyDescent="0.25">
      <c r="A30" s="8"/>
      <c r="B30" s="17"/>
      <c r="C30" s="655"/>
      <c r="D30" s="40"/>
      <c r="E30" s="612"/>
      <c r="F30" s="612"/>
      <c r="G30" s="45"/>
      <c r="H30" s="40"/>
      <c r="I30" s="618"/>
      <c r="J30" s="48"/>
      <c r="K30" s="17"/>
      <c r="L30" s="17"/>
      <c r="M30" s="17"/>
      <c r="N30" s="8"/>
      <c r="O30" s="8"/>
    </row>
    <row r="31" spans="1:15" x14ac:dyDescent="0.25">
      <c r="A31" s="8"/>
      <c r="B31" s="17"/>
      <c r="C31" s="655"/>
      <c r="D31" s="40"/>
      <c r="E31" s="612"/>
      <c r="F31" s="612"/>
      <c r="G31" s="1845">
        <f>A15</f>
        <v>13.1</v>
      </c>
      <c r="H31" s="282" t="s">
        <v>2437</v>
      </c>
      <c r="I31" s="620"/>
      <c r="J31" s="48"/>
      <c r="K31" s="17"/>
      <c r="L31" s="17"/>
      <c r="M31" s="17"/>
      <c r="N31" s="8"/>
      <c r="O31" s="8"/>
    </row>
    <row r="32" spans="1:15" x14ac:dyDescent="0.25">
      <c r="A32" s="8"/>
      <c r="B32" s="17"/>
      <c r="C32" s="655"/>
      <c r="D32" s="40"/>
      <c r="E32" s="612"/>
      <c r="F32" s="612"/>
      <c r="G32" s="619"/>
      <c r="H32" s="1846"/>
      <c r="I32" s="618"/>
      <c r="J32" s="48"/>
      <c r="K32" s="17"/>
      <c r="L32" s="17"/>
      <c r="M32" s="17"/>
      <c r="N32" s="8"/>
      <c r="O32" s="8"/>
    </row>
    <row r="33" spans="2:13" ht="6" customHeight="1" x14ac:dyDescent="0.25">
      <c r="B33" s="17"/>
      <c r="C33" s="1827"/>
      <c r="D33" s="1802"/>
      <c r="E33" s="1802"/>
      <c r="F33" s="1802"/>
      <c r="G33" s="1802"/>
      <c r="H33" s="1802"/>
      <c r="I33" s="1802"/>
      <c r="J33" s="1803"/>
      <c r="K33" s="17"/>
      <c r="L33" s="17"/>
      <c r="M33" s="17"/>
    </row>
    <row r="34" spans="2:13" x14ac:dyDescent="0.25">
      <c r="B34" s="17"/>
      <c r="C34" s="17"/>
      <c r="D34" s="17"/>
      <c r="E34" s="17"/>
      <c r="F34" s="17"/>
      <c r="G34" s="17"/>
      <c r="H34" s="17"/>
      <c r="I34" s="17"/>
      <c r="J34" s="17"/>
      <c r="K34" s="17"/>
      <c r="L34" s="17"/>
      <c r="M34" s="17"/>
    </row>
    <row r="35" spans="2:13" x14ac:dyDescent="0.25">
      <c r="B35" s="17"/>
      <c r="C35" s="17"/>
      <c r="D35" s="17"/>
      <c r="E35" s="17"/>
      <c r="F35" s="17"/>
      <c r="G35" s="17"/>
      <c r="H35" s="17"/>
      <c r="I35" s="17"/>
      <c r="J35" s="17"/>
      <c r="K35" s="17"/>
      <c r="L35" s="17"/>
      <c r="M35" s="17"/>
    </row>
    <row r="36" spans="2:13" x14ac:dyDescent="0.25">
      <c r="B36" s="17"/>
      <c r="C36" s="17"/>
      <c r="D36" s="17"/>
      <c r="E36" s="17"/>
      <c r="F36" s="17"/>
      <c r="G36" s="17"/>
      <c r="H36" s="17"/>
      <c r="I36" s="17"/>
      <c r="J36" s="17"/>
      <c r="K36" s="17"/>
      <c r="L36" s="17"/>
      <c r="M36" s="17"/>
    </row>
    <row r="37" spans="2:13" x14ac:dyDescent="0.25">
      <c r="B37" s="17"/>
      <c r="C37" s="17"/>
      <c r="D37" s="17"/>
      <c r="E37" s="17"/>
      <c r="F37" s="17"/>
      <c r="G37" s="17"/>
      <c r="H37" s="17"/>
      <c r="I37" s="17"/>
      <c r="J37" s="17"/>
      <c r="K37" s="17"/>
      <c r="L37" s="17"/>
      <c r="M37" s="17"/>
    </row>
    <row r="38" spans="2:13" x14ac:dyDescent="0.25">
      <c r="B38" s="17"/>
      <c r="C38" s="17"/>
      <c r="D38" s="17"/>
      <c r="E38" s="17"/>
      <c r="F38" s="17"/>
      <c r="G38" s="17"/>
      <c r="H38" s="17"/>
      <c r="I38" s="17"/>
      <c r="J38" s="17"/>
      <c r="K38" s="17"/>
      <c r="L38" s="17"/>
      <c r="M38" s="17"/>
    </row>
  </sheetData>
  <phoneticPr fontId="58" type="noConversion"/>
  <pageMargins left="0.74803149606299213" right="0.74803149606299213" top="0.98425196850393704" bottom="0.98425196850393704" header="0.51181102362204722" footer="0.51181102362204722"/>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ow_multi_gains">
                <anchor moveWithCells="1" sizeWithCells="1">
                  <from>
                    <xdr:col>8</xdr:col>
                    <xdr:colOff>488950</xdr:colOff>
                    <xdr:row>11</xdr:row>
                    <xdr:rowOff>76200</xdr:rowOff>
                  </from>
                  <to>
                    <xdr:col>9</xdr:col>
                    <xdr:colOff>31750</xdr:colOff>
                    <xdr:row>13</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0"/>
  <dimension ref="A1:W33"/>
  <sheetViews>
    <sheetView showGridLines="0" showRowColHeaders="0" workbookViewId="0">
      <selection activeCell="AA27" sqref="AA27"/>
    </sheetView>
  </sheetViews>
  <sheetFormatPr defaultRowHeight="12.5" x14ac:dyDescent="0.25"/>
  <cols>
    <col min="1" max="1" width="16.54296875" customWidth="1"/>
    <col min="2" max="2" width="5.453125" customWidth="1"/>
    <col min="3" max="3" width="6.1796875" customWidth="1"/>
    <col min="4" max="4" width="8.1796875" customWidth="1"/>
    <col min="5" max="5" width="5.453125" customWidth="1"/>
    <col min="6" max="6" width="13.54296875" customWidth="1"/>
    <col min="7" max="7" width="6.81640625" customWidth="1"/>
    <col min="8" max="8" width="3" customWidth="1"/>
    <col min="9" max="9" width="4" customWidth="1"/>
    <col min="10" max="10" width="6.1796875" customWidth="1"/>
    <col min="11" max="11" width="7.81640625" customWidth="1"/>
    <col min="12" max="12" width="5.54296875" customWidth="1"/>
    <col min="13" max="13" width="14" customWidth="1"/>
    <col min="14" max="14" width="4.81640625" customWidth="1"/>
    <col min="15" max="15" width="18.54296875" customWidth="1"/>
    <col min="16" max="16" width="2.54296875" hidden="1" customWidth="1"/>
    <col min="17" max="17" width="11" hidden="1" customWidth="1"/>
    <col min="18" max="18" width="10.1796875" hidden="1" customWidth="1"/>
    <col min="19" max="19" width="10" hidden="1" customWidth="1"/>
    <col min="20" max="20" width="2" hidden="1" customWidth="1"/>
    <col min="21" max="22" width="10.1796875" hidden="1" customWidth="1"/>
    <col min="23" max="23" width="10" hidden="1" customWidth="1"/>
    <col min="24" max="24" width="2.1796875" customWidth="1"/>
  </cols>
  <sheetData>
    <row r="1" spans="1:23" ht="13" x14ac:dyDescent="0.3">
      <c r="A1" s="14"/>
      <c r="B1" s="19" t="s">
        <v>5390</v>
      </c>
      <c r="C1" s="14"/>
      <c r="D1" s="14"/>
      <c r="E1" s="14"/>
      <c r="F1" s="14"/>
      <c r="G1" s="14"/>
      <c r="H1" s="14"/>
      <c r="I1" s="14"/>
      <c r="J1" s="14"/>
      <c r="K1" s="14"/>
      <c r="L1" s="14"/>
      <c r="M1" s="14"/>
      <c r="N1" s="14"/>
      <c r="O1" s="14"/>
    </row>
    <row r="2" spans="1:23" ht="9" customHeight="1" x14ac:dyDescent="0.25">
      <c r="A2" s="14"/>
      <c r="B2" s="14"/>
      <c r="C2" s="14"/>
      <c r="D2" s="14"/>
      <c r="E2" s="14"/>
      <c r="F2" s="14"/>
      <c r="G2" s="14"/>
      <c r="H2" s="14"/>
      <c r="I2" s="14"/>
      <c r="J2" s="14"/>
      <c r="K2" s="14"/>
      <c r="L2" s="14"/>
      <c r="M2" s="14"/>
      <c r="N2" s="14"/>
      <c r="O2" s="14"/>
    </row>
    <row r="3" spans="1:23" x14ac:dyDescent="0.25">
      <c r="A3" s="14"/>
      <c r="B3" s="1869" t="s">
        <v>5391</v>
      </c>
      <c r="C3" s="1870"/>
      <c r="D3" s="1870"/>
      <c r="E3" s="1870"/>
      <c r="F3" s="1870"/>
      <c r="G3" s="1871"/>
      <c r="H3" s="14"/>
      <c r="I3" s="1869" t="s">
        <v>5392</v>
      </c>
      <c r="J3" s="1870"/>
      <c r="K3" s="1870"/>
      <c r="L3" s="1870"/>
      <c r="M3" s="1870"/>
      <c r="N3" s="1871"/>
      <c r="O3" s="14"/>
    </row>
    <row r="4" spans="1:23" x14ac:dyDescent="0.25">
      <c r="A4" s="14"/>
      <c r="B4" s="663"/>
      <c r="C4" s="72"/>
      <c r="D4" s="72"/>
      <c r="E4" s="72"/>
      <c r="F4" s="72"/>
      <c r="G4" s="20"/>
      <c r="H4" s="14"/>
      <c r="I4" s="663"/>
      <c r="J4" s="72"/>
      <c r="K4" s="72"/>
      <c r="L4" s="72"/>
      <c r="M4" s="72"/>
      <c r="N4" s="20"/>
      <c r="O4" s="14"/>
    </row>
    <row r="5" spans="1:23" ht="13" x14ac:dyDescent="0.3">
      <c r="A5" s="14"/>
      <c r="B5" s="663"/>
      <c r="C5" s="73" t="s">
        <v>5393</v>
      </c>
      <c r="D5" s="72"/>
      <c r="E5" s="72"/>
      <c r="F5" s="74" t="s">
        <v>5394</v>
      </c>
      <c r="G5" s="20"/>
      <c r="H5" s="14"/>
      <c r="I5" s="663"/>
      <c r="J5" s="73" t="s">
        <v>5393</v>
      </c>
      <c r="K5" s="72"/>
      <c r="L5" s="72"/>
      <c r="M5" s="74" t="s">
        <v>5394</v>
      </c>
      <c r="N5" s="20"/>
      <c r="O5" s="14"/>
      <c r="R5" s="2" t="s">
        <v>5395</v>
      </c>
      <c r="V5" s="2" t="s">
        <v>5396</v>
      </c>
    </row>
    <row r="6" spans="1:23" x14ac:dyDescent="0.25">
      <c r="A6" s="14"/>
      <c r="B6" s="663"/>
      <c r="C6" s="1872"/>
      <c r="D6" s="75"/>
      <c r="E6" s="72"/>
      <c r="F6" s="1872"/>
      <c r="G6" s="20"/>
      <c r="H6" s="14"/>
      <c r="I6" s="663"/>
      <c r="J6" s="1872"/>
      <c r="K6" s="72"/>
      <c r="L6" s="72"/>
      <c r="M6" s="1872"/>
      <c r="N6" s="20"/>
      <c r="O6" s="14"/>
      <c r="Q6" s="1873" t="s">
        <v>5397</v>
      </c>
      <c r="R6" s="1146" t="s">
        <v>5398</v>
      </c>
      <c r="S6" s="1874" t="s">
        <v>5399</v>
      </c>
      <c r="U6" s="1873" t="s">
        <v>5397</v>
      </c>
      <c r="V6" s="1146" t="s">
        <v>5398</v>
      </c>
      <c r="W6" s="1874" t="s">
        <v>5399</v>
      </c>
    </row>
    <row r="7" spans="1:23" x14ac:dyDescent="0.25">
      <c r="A7" s="14"/>
      <c r="B7" s="663"/>
      <c r="C7" s="1872"/>
      <c r="D7" s="75"/>
      <c r="E7" s="72"/>
      <c r="F7" s="1872"/>
      <c r="G7" s="20"/>
      <c r="H7" s="14"/>
      <c r="I7" s="663"/>
      <c r="J7" s="1872"/>
      <c r="K7" s="72"/>
      <c r="L7" s="72"/>
      <c r="M7" s="1872"/>
      <c r="N7" s="20"/>
      <c r="O7" s="14"/>
      <c r="Q7" s="664">
        <f t="shared" ref="Q7:Q16" si="0">IF(C6&gt;0,1,0)</f>
        <v>0</v>
      </c>
      <c r="R7">
        <f t="shared" ref="R7:R16" si="1">MAX(C6,1)</f>
        <v>1</v>
      </c>
      <c r="S7" s="6">
        <f t="shared" ref="S7:S16" si="2">TRUNC(F6/R7,0)</f>
        <v>0</v>
      </c>
      <c r="U7" s="664">
        <f t="shared" ref="U7:U21" si="3">IF(J6&gt;0,1,0)</f>
        <v>0</v>
      </c>
      <c r="V7">
        <f t="shared" ref="V7:V21" si="4">MAX(J6,1)</f>
        <v>1</v>
      </c>
      <c r="W7" s="6">
        <f t="shared" ref="W7:W21" si="5">TRUNC(M6/V7,0)</f>
        <v>0</v>
      </c>
    </row>
    <row r="8" spans="1:23" x14ac:dyDescent="0.25">
      <c r="A8" s="14"/>
      <c r="B8" s="663"/>
      <c r="C8" s="1872"/>
      <c r="D8" s="75"/>
      <c r="E8" s="72"/>
      <c r="F8" s="1872"/>
      <c r="G8" s="20"/>
      <c r="H8" s="14"/>
      <c r="I8" s="663"/>
      <c r="J8" s="1872"/>
      <c r="K8" s="72"/>
      <c r="L8" s="72"/>
      <c r="M8" s="1872"/>
      <c r="N8" s="20"/>
      <c r="O8" s="14"/>
      <c r="Q8" s="664">
        <f t="shared" si="0"/>
        <v>0</v>
      </c>
      <c r="R8">
        <f t="shared" si="1"/>
        <v>1</v>
      </c>
      <c r="S8" s="6">
        <f t="shared" si="2"/>
        <v>0</v>
      </c>
      <c r="U8" s="664">
        <f t="shared" si="3"/>
        <v>0</v>
      </c>
      <c r="V8">
        <f t="shared" si="4"/>
        <v>1</v>
      </c>
      <c r="W8" s="6">
        <f t="shared" si="5"/>
        <v>0</v>
      </c>
    </row>
    <row r="9" spans="1:23" x14ac:dyDescent="0.25">
      <c r="A9" s="14"/>
      <c r="B9" s="663"/>
      <c r="C9" s="1872"/>
      <c r="D9" s="75"/>
      <c r="E9" s="72"/>
      <c r="F9" s="1872"/>
      <c r="G9" s="20"/>
      <c r="H9" s="14"/>
      <c r="I9" s="663"/>
      <c r="J9" s="1872"/>
      <c r="K9" s="72"/>
      <c r="L9" s="72"/>
      <c r="M9" s="1872"/>
      <c r="N9" s="20"/>
      <c r="O9" s="14"/>
      <c r="Q9" s="664">
        <f t="shared" si="0"/>
        <v>0</v>
      </c>
      <c r="R9">
        <f t="shared" si="1"/>
        <v>1</v>
      </c>
      <c r="S9" s="6">
        <f t="shared" si="2"/>
        <v>0</v>
      </c>
      <c r="U9" s="664">
        <f t="shared" si="3"/>
        <v>0</v>
      </c>
      <c r="V9">
        <f t="shared" si="4"/>
        <v>1</v>
      </c>
      <c r="W9" s="6">
        <f t="shared" si="5"/>
        <v>0</v>
      </c>
    </row>
    <row r="10" spans="1:23" x14ac:dyDescent="0.25">
      <c r="A10" s="14"/>
      <c r="B10" s="663"/>
      <c r="C10" s="1872"/>
      <c r="D10" s="75"/>
      <c r="E10" s="72"/>
      <c r="F10" s="1872"/>
      <c r="G10" s="20"/>
      <c r="H10" s="14"/>
      <c r="I10" s="663"/>
      <c r="J10" s="1872"/>
      <c r="K10" s="72"/>
      <c r="L10" s="72"/>
      <c r="M10" s="1872"/>
      <c r="N10" s="20"/>
      <c r="O10" s="14"/>
      <c r="Q10" s="664">
        <f t="shared" si="0"/>
        <v>0</v>
      </c>
      <c r="R10">
        <f t="shared" si="1"/>
        <v>1</v>
      </c>
      <c r="S10" s="6">
        <f t="shared" si="2"/>
        <v>0</v>
      </c>
      <c r="U10" s="664">
        <f t="shared" si="3"/>
        <v>0</v>
      </c>
      <c r="V10">
        <f t="shared" si="4"/>
        <v>1</v>
      </c>
      <c r="W10" s="6">
        <f t="shared" si="5"/>
        <v>0</v>
      </c>
    </row>
    <row r="11" spans="1:23" x14ac:dyDescent="0.25">
      <c r="A11" s="14"/>
      <c r="B11" s="663"/>
      <c r="C11" s="1872"/>
      <c r="D11" s="75"/>
      <c r="E11" s="72"/>
      <c r="F11" s="1872"/>
      <c r="G11" s="20"/>
      <c r="H11" s="14"/>
      <c r="I11" s="663"/>
      <c r="J11" s="1872"/>
      <c r="K11" s="72"/>
      <c r="L11" s="72"/>
      <c r="M11" s="1872"/>
      <c r="N11" s="20"/>
      <c r="O11" s="14"/>
      <c r="Q11" s="664">
        <f>IF(C10&gt;0,1,0)</f>
        <v>0</v>
      </c>
      <c r="R11">
        <f>MAX(C10,1)</f>
        <v>1</v>
      </c>
      <c r="S11" s="6">
        <f>TRUNC(F10/R11,0)</f>
        <v>0</v>
      </c>
      <c r="U11" s="664">
        <f t="shared" si="3"/>
        <v>0</v>
      </c>
      <c r="V11">
        <f t="shared" si="4"/>
        <v>1</v>
      </c>
      <c r="W11" s="6">
        <f t="shared" si="5"/>
        <v>0</v>
      </c>
    </row>
    <row r="12" spans="1:23" x14ac:dyDescent="0.25">
      <c r="A12" s="14"/>
      <c r="B12" s="663"/>
      <c r="C12" s="1872"/>
      <c r="D12" s="75"/>
      <c r="E12" s="72"/>
      <c r="F12" s="1872"/>
      <c r="G12" s="20"/>
      <c r="H12" s="14"/>
      <c r="I12" s="663"/>
      <c r="J12" s="1872"/>
      <c r="K12" s="72"/>
      <c r="L12" s="72"/>
      <c r="M12" s="1872"/>
      <c r="N12" s="20"/>
      <c r="O12" s="14"/>
      <c r="Q12" s="664">
        <f>IF(C11&gt;0,1,0)</f>
        <v>0</v>
      </c>
      <c r="R12">
        <f>MAX(C11,1)</f>
        <v>1</v>
      </c>
      <c r="S12" s="6">
        <f>TRUNC(F11/R12,0)</f>
        <v>0</v>
      </c>
      <c r="U12" s="664">
        <f t="shared" si="3"/>
        <v>0</v>
      </c>
      <c r="V12">
        <f t="shared" si="4"/>
        <v>1</v>
      </c>
      <c r="W12" s="6">
        <f t="shared" si="5"/>
        <v>0</v>
      </c>
    </row>
    <row r="13" spans="1:23" x14ac:dyDescent="0.25">
      <c r="A13" s="14"/>
      <c r="B13" s="663"/>
      <c r="C13" s="1872"/>
      <c r="D13" s="75"/>
      <c r="E13" s="72"/>
      <c r="F13" s="1872"/>
      <c r="G13" s="20"/>
      <c r="H13" s="14"/>
      <c r="I13" s="663"/>
      <c r="J13" s="1872"/>
      <c r="K13" s="72"/>
      <c r="L13" s="72"/>
      <c r="M13" s="1872"/>
      <c r="N13" s="20"/>
      <c r="O13" s="14"/>
      <c r="Q13" s="664">
        <f>IF(C12&gt;0,1,0)</f>
        <v>0</v>
      </c>
      <c r="R13">
        <f>MAX(C12,1)</f>
        <v>1</v>
      </c>
      <c r="S13" s="6">
        <f>TRUNC(F12/R13,0)</f>
        <v>0</v>
      </c>
      <c r="U13" s="664">
        <f t="shared" si="3"/>
        <v>0</v>
      </c>
      <c r="V13">
        <f t="shared" si="4"/>
        <v>1</v>
      </c>
      <c r="W13" s="6">
        <f t="shared" si="5"/>
        <v>0</v>
      </c>
    </row>
    <row r="14" spans="1:23" x14ac:dyDescent="0.25">
      <c r="A14" s="14"/>
      <c r="B14" s="663"/>
      <c r="C14" s="1872"/>
      <c r="D14" s="75"/>
      <c r="E14" s="72"/>
      <c r="F14" s="1872"/>
      <c r="G14" s="20"/>
      <c r="H14" s="14"/>
      <c r="I14" s="663"/>
      <c r="J14" s="1872"/>
      <c r="K14" s="72"/>
      <c r="L14" s="72"/>
      <c r="M14" s="1872"/>
      <c r="N14" s="20"/>
      <c r="O14" s="14"/>
      <c r="Q14" s="664">
        <f t="shared" si="0"/>
        <v>0</v>
      </c>
      <c r="R14">
        <f t="shared" si="1"/>
        <v>1</v>
      </c>
      <c r="S14" s="6">
        <f t="shared" si="2"/>
        <v>0</v>
      </c>
      <c r="U14" s="664">
        <f t="shared" si="3"/>
        <v>0</v>
      </c>
      <c r="V14">
        <f t="shared" si="4"/>
        <v>1</v>
      </c>
      <c r="W14" s="6">
        <f t="shared" si="5"/>
        <v>0</v>
      </c>
    </row>
    <row r="15" spans="1:23" x14ac:dyDescent="0.25">
      <c r="A15" s="14"/>
      <c r="B15" s="663"/>
      <c r="C15" s="1872"/>
      <c r="D15" s="75"/>
      <c r="E15" s="72"/>
      <c r="F15" s="1872"/>
      <c r="G15" s="20"/>
      <c r="H15" s="14"/>
      <c r="I15" s="663"/>
      <c r="J15" s="1872"/>
      <c r="K15" s="72"/>
      <c r="L15" s="72"/>
      <c r="M15" s="1872"/>
      <c r="N15" s="20"/>
      <c r="O15" s="14"/>
      <c r="Q15" s="664">
        <f t="shared" si="0"/>
        <v>0</v>
      </c>
      <c r="R15">
        <f t="shared" si="1"/>
        <v>1</v>
      </c>
      <c r="S15" s="6">
        <f t="shared" si="2"/>
        <v>0</v>
      </c>
      <c r="U15" s="664">
        <f t="shared" si="3"/>
        <v>0</v>
      </c>
      <c r="V15">
        <f t="shared" si="4"/>
        <v>1</v>
      </c>
      <c r="W15" s="6">
        <f t="shared" si="5"/>
        <v>0</v>
      </c>
    </row>
    <row r="16" spans="1:23" ht="13" x14ac:dyDescent="0.3">
      <c r="A16" s="14"/>
      <c r="B16" s="663"/>
      <c r="C16" s="72"/>
      <c r="D16" s="72"/>
      <c r="E16" s="1875">
        <f>AOI!C19</f>
        <v>6</v>
      </c>
      <c r="F16" s="1876">
        <f>SUM(F6:F15)</f>
        <v>0</v>
      </c>
      <c r="G16" s="20"/>
      <c r="H16" s="14"/>
      <c r="I16" s="663"/>
      <c r="J16" s="1872"/>
      <c r="K16" s="72"/>
      <c r="L16" s="72"/>
      <c r="M16" s="1872"/>
      <c r="N16" s="20"/>
      <c r="O16" s="14"/>
      <c r="Q16" s="664">
        <f t="shared" si="0"/>
        <v>0</v>
      </c>
      <c r="R16">
        <f t="shared" si="1"/>
        <v>1</v>
      </c>
      <c r="S16" s="6">
        <f t="shared" si="2"/>
        <v>0</v>
      </c>
      <c r="U16" s="664">
        <f t="shared" si="3"/>
        <v>0</v>
      </c>
      <c r="V16">
        <f t="shared" si="4"/>
        <v>1</v>
      </c>
      <c r="W16" s="6">
        <f t="shared" si="5"/>
        <v>0</v>
      </c>
    </row>
    <row r="17" spans="1:23" x14ac:dyDescent="0.25">
      <c r="A17" s="14"/>
      <c r="B17" s="1877"/>
      <c r="C17" s="1878"/>
      <c r="D17" s="1878"/>
      <c r="E17" s="1878"/>
      <c r="F17" s="1878"/>
      <c r="G17" s="1879"/>
      <c r="H17" s="14"/>
      <c r="I17" s="663"/>
      <c r="J17" s="1872"/>
      <c r="K17" s="72"/>
      <c r="L17" s="72"/>
      <c r="M17" s="1872"/>
      <c r="N17" s="20"/>
      <c r="O17" s="14"/>
      <c r="Q17" s="1880">
        <f>SUM(Q7:Q16)</f>
        <v>0</v>
      </c>
      <c r="R17" s="1880">
        <f>SUM(C6:C15)</f>
        <v>0</v>
      </c>
      <c r="S17" s="1880">
        <f>SUM(S7:S16)</f>
        <v>0</v>
      </c>
      <c r="U17" s="664">
        <f t="shared" si="3"/>
        <v>0</v>
      </c>
      <c r="V17">
        <f t="shared" si="4"/>
        <v>1</v>
      </c>
      <c r="W17" s="6">
        <f t="shared" si="5"/>
        <v>0</v>
      </c>
    </row>
    <row r="18" spans="1:23" x14ac:dyDescent="0.25">
      <c r="A18" s="14"/>
      <c r="B18" s="14"/>
      <c r="C18" s="14"/>
      <c r="D18" s="14"/>
      <c r="E18" s="14"/>
      <c r="F18" s="14"/>
      <c r="G18" s="14"/>
      <c r="H18" s="14"/>
      <c r="I18" s="663"/>
      <c r="J18" s="1872"/>
      <c r="K18" s="72"/>
      <c r="L18" s="72"/>
      <c r="M18" s="1872"/>
      <c r="N18" s="20"/>
      <c r="O18" s="14"/>
      <c r="U18" s="664">
        <f t="shared" si="3"/>
        <v>0</v>
      </c>
      <c r="V18">
        <f t="shared" si="4"/>
        <v>1</v>
      </c>
      <c r="W18" s="6">
        <f t="shared" si="5"/>
        <v>0</v>
      </c>
    </row>
    <row r="19" spans="1:23" x14ac:dyDescent="0.25">
      <c r="A19" s="14"/>
      <c r="B19" s="14"/>
      <c r="C19" s="14"/>
      <c r="D19" s="14"/>
      <c r="E19" s="14"/>
      <c r="F19" s="14"/>
      <c r="G19" s="14"/>
      <c r="H19" s="14"/>
      <c r="I19" s="663"/>
      <c r="J19" s="1872"/>
      <c r="K19" s="72"/>
      <c r="L19" s="72"/>
      <c r="M19" s="1872"/>
      <c r="N19" s="20"/>
      <c r="O19" s="14"/>
      <c r="U19" s="664">
        <f t="shared" si="3"/>
        <v>0</v>
      </c>
      <c r="V19">
        <f t="shared" si="4"/>
        <v>1</v>
      </c>
      <c r="W19" s="6">
        <f t="shared" si="5"/>
        <v>0</v>
      </c>
    </row>
    <row r="20" spans="1:23" ht="13" x14ac:dyDescent="0.3">
      <c r="A20" s="14"/>
      <c r="B20" s="14"/>
      <c r="C20" s="14"/>
      <c r="D20" s="18" t="s">
        <v>5400</v>
      </c>
      <c r="E20" s="1875" t="s">
        <v>5401</v>
      </c>
      <c r="F20" s="1881" t="str">
        <f>IF(total_all_gains,'TSR (c17)'!M101,"")</f>
        <v/>
      </c>
      <c r="G20" s="14"/>
      <c r="H20" s="14"/>
      <c r="I20" s="663"/>
      <c r="J20" s="1872"/>
      <c r="K20" s="72"/>
      <c r="L20" s="72"/>
      <c r="M20" s="1872"/>
      <c r="N20" s="20"/>
      <c r="O20" s="14"/>
      <c r="Q20" t="b">
        <f>OR(Q17&gt;1,U22&gt;1,No_of_for_gains&gt;1)</f>
        <v>0</v>
      </c>
      <c r="U20" s="664">
        <f t="shared" si="3"/>
        <v>0</v>
      </c>
      <c r="V20">
        <f t="shared" si="4"/>
        <v>1</v>
      </c>
      <c r="W20" s="6">
        <f t="shared" si="5"/>
        <v>0</v>
      </c>
    </row>
    <row r="21" spans="1:23" ht="13" x14ac:dyDescent="0.3">
      <c r="A21" s="14"/>
      <c r="B21" s="14"/>
      <c r="C21" s="14"/>
      <c r="D21" s="14"/>
      <c r="E21" s="14"/>
      <c r="F21" s="14"/>
      <c r="G21" s="14"/>
      <c r="H21" s="14"/>
      <c r="I21" s="663"/>
      <c r="J21" s="72"/>
      <c r="K21" s="72"/>
      <c r="L21" s="1875">
        <f>AOI!C13</f>
        <v>4</v>
      </c>
      <c r="M21" s="1876">
        <f>SUM(M6:M20)</f>
        <v>0</v>
      </c>
      <c r="N21" s="20"/>
      <c r="O21" s="14"/>
      <c r="U21" s="664">
        <f t="shared" si="3"/>
        <v>0</v>
      </c>
      <c r="V21">
        <f t="shared" si="4"/>
        <v>1</v>
      </c>
      <c r="W21" s="6">
        <f t="shared" si="5"/>
        <v>0</v>
      </c>
    </row>
    <row r="22" spans="1:23" x14ac:dyDescent="0.25">
      <c r="A22" s="14"/>
      <c r="B22" s="14"/>
      <c r="C22" s="14"/>
      <c r="D22" s="14"/>
      <c r="E22" s="14"/>
      <c r="F22" s="14"/>
      <c r="G22" s="14"/>
      <c r="H22" s="14"/>
      <c r="I22" s="1877"/>
      <c r="J22" s="1878"/>
      <c r="K22" s="1878"/>
      <c r="L22" s="1878"/>
      <c r="M22" s="1878"/>
      <c r="N22" s="1879"/>
      <c r="O22" s="14"/>
      <c r="U22" s="1880">
        <f>SUM(U7:U21)</f>
        <v>0</v>
      </c>
      <c r="V22" s="1880">
        <f>SUM(J6:J20)</f>
        <v>0</v>
      </c>
      <c r="W22" s="1880">
        <f>SUM(W7:W21)</f>
        <v>0</v>
      </c>
    </row>
    <row r="23" spans="1:23" x14ac:dyDescent="0.25">
      <c r="A23" s="1882" t="s">
        <v>5402</v>
      </c>
      <c r="B23" s="1871"/>
      <c r="C23" s="14"/>
      <c r="D23" s="14"/>
      <c r="E23" s="14"/>
      <c r="F23" s="14"/>
      <c r="G23" s="14"/>
      <c r="H23" s="14"/>
      <c r="I23" s="14"/>
      <c r="J23" s="14"/>
      <c r="K23" s="14"/>
      <c r="L23" s="14"/>
      <c r="M23" s="14"/>
      <c r="N23" s="14"/>
      <c r="O23" s="14"/>
    </row>
    <row r="24" spans="1:23" x14ac:dyDescent="0.25">
      <c r="A24" s="665" t="s">
        <v>5403</v>
      </c>
      <c r="B24" s="20"/>
      <c r="C24" s="14"/>
      <c r="D24" s="14"/>
      <c r="E24" s="14"/>
      <c r="F24" s="14"/>
      <c r="G24" s="14"/>
      <c r="H24" s="14"/>
      <c r="I24" s="14"/>
      <c r="J24" s="14"/>
      <c r="K24" s="14"/>
      <c r="L24" s="16"/>
      <c r="M24" s="14"/>
      <c r="N24" s="14"/>
      <c r="O24" s="14"/>
    </row>
    <row r="25" spans="1:23" x14ac:dyDescent="0.25">
      <c r="A25" s="665" t="s">
        <v>5404</v>
      </c>
      <c r="B25" s="20"/>
      <c r="C25" s="14"/>
      <c r="D25" s="14"/>
      <c r="E25" s="14"/>
      <c r="F25" s="14"/>
      <c r="G25" s="14"/>
      <c r="H25" s="14"/>
      <c r="I25" s="14"/>
      <c r="J25" s="14"/>
      <c r="K25" s="14"/>
      <c r="L25" s="14"/>
      <c r="M25" s="14"/>
      <c r="N25" s="14"/>
      <c r="O25" s="14"/>
    </row>
    <row r="26" spans="1:23" x14ac:dyDescent="0.25">
      <c r="A26" s="1883" t="s">
        <v>5405</v>
      </c>
      <c r="B26" s="1879"/>
      <c r="C26" s="14"/>
      <c r="D26" s="14"/>
      <c r="E26" s="14"/>
      <c r="F26" s="14"/>
      <c r="G26" s="14"/>
      <c r="H26" s="14"/>
      <c r="I26" s="14"/>
      <c r="J26" s="14"/>
      <c r="K26" s="14"/>
      <c r="L26" s="16"/>
      <c r="M26" s="14"/>
      <c r="N26" s="14"/>
      <c r="O26" s="14"/>
    </row>
    <row r="27" spans="1:23" x14ac:dyDescent="0.25">
      <c r="A27" s="14"/>
      <c r="B27" s="14"/>
      <c r="C27" s="14"/>
      <c r="D27" s="14"/>
      <c r="E27" s="14"/>
      <c r="F27" s="14"/>
      <c r="G27" s="14"/>
      <c r="H27" s="14"/>
      <c r="I27" s="14"/>
      <c r="J27" s="14"/>
      <c r="K27" s="14"/>
      <c r="L27" s="14"/>
      <c r="M27" s="14"/>
      <c r="N27" s="14"/>
      <c r="O27" s="14"/>
    </row>
    <row r="28" spans="1:23" x14ac:dyDescent="0.25">
      <c r="A28" s="14"/>
      <c r="B28" s="14"/>
      <c r="C28" s="14"/>
      <c r="D28" s="14"/>
      <c r="E28" s="14"/>
      <c r="F28" s="14"/>
      <c r="G28" s="14"/>
      <c r="H28" s="14"/>
      <c r="I28" s="14"/>
      <c r="J28" s="14"/>
      <c r="K28" s="14"/>
      <c r="L28" s="16"/>
      <c r="M28" s="14"/>
      <c r="N28" s="14"/>
      <c r="O28" s="14"/>
    </row>
    <row r="29" spans="1:23" x14ac:dyDescent="0.25">
      <c r="A29" s="14"/>
      <c r="B29" s="14"/>
      <c r="C29" s="14"/>
      <c r="D29" s="14"/>
      <c r="E29" s="14"/>
      <c r="F29" s="14"/>
      <c r="G29" s="14"/>
      <c r="H29" s="14"/>
      <c r="I29" s="14"/>
      <c r="J29" s="14"/>
      <c r="K29" s="14"/>
      <c r="L29" s="16"/>
      <c r="M29" s="14"/>
      <c r="N29" s="14"/>
      <c r="O29" s="14"/>
    </row>
    <row r="30" spans="1:23" x14ac:dyDescent="0.25">
      <c r="A30" s="14"/>
      <c r="B30" s="14"/>
      <c r="C30" s="14"/>
      <c r="D30" s="14"/>
      <c r="E30" s="14"/>
      <c r="F30" s="14"/>
      <c r="G30" s="14"/>
      <c r="H30" s="14"/>
      <c r="I30" s="14"/>
      <c r="J30" s="14"/>
      <c r="K30" s="14"/>
      <c r="L30" s="16"/>
      <c r="M30" s="14"/>
      <c r="N30" s="14"/>
      <c r="O30" s="14"/>
    </row>
    <row r="31" spans="1:23" x14ac:dyDescent="0.25">
      <c r="A31" s="14"/>
      <c r="B31" s="14"/>
      <c r="C31" s="14"/>
      <c r="D31" s="14"/>
      <c r="E31" s="14"/>
      <c r="F31" s="14"/>
      <c r="G31" s="14"/>
      <c r="H31" s="14"/>
      <c r="I31" s="14"/>
      <c r="J31" s="14"/>
      <c r="K31" s="14"/>
      <c r="L31" s="16"/>
      <c r="M31" s="14"/>
      <c r="N31" s="14"/>
      <c r="O31" s="14"/>
    </row>
    <row r="32" spans="1:23" x14ac:dyDescent="0.25">
      <c r="A32" s="14"/>
      <c r="B32" s="14"/>
      <c r="C32" s="14"/>
      <c r="D32" s="14"/>
      <c r="E32" s="14"/>
      <c r="F32" s="14"/>
      <c r="G32" s="14"/>
      <c r="H32" s="14"/>
      <c r="I32" s="14"/>
      <c r="J32" s="14"/>
      <c r="K32" s="14"/>
      <c r="L32" s="16"/>
      <c r="M32" s="14"/>
      <c r="N32" s="14"/>
      <c r="O32" s="14"/>
    </row>
    <row r="33" spans="1:15" x14ac:dyDescent="0.25">
      <c r="A33" s="14"/>
      <c r="B33" s="14"/>
      <c r="C33" s="14"/>
      <c r="D33" s="14"/>
      <c r="E33" s="14"/>
      <c r="F33" s="14"/>
      <c r="G33" s="14"/>
      <c r="H33" s="14"/>
      <c r="I33" s="14"/>
      <c r="J33" s="14"/>
      <c r="K33" s="14"/>
      <c r="L33" s="16"/>
      <c r="M33" s="14"/>
      <c r="N33" s="14"/>
      <c r="O33" s="14"/>
    </row>
  </sheetData>
  <phoneticPr fontId="58" type="noConversion"/>
  <pageMargins left="0.75" right="0.75" top="1" bottom="1" header="0.5" footer="0.5"/>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ulti_UK_Gains">
                <anchor moveWithCells="1" sizeWithCells="1">
                  <from>
                    <xdr:col>3</xdr:col>
                    <xdr:colOff>203200</xdr:colOff>
                    <xdr:row>22</xdr:row>
                    <xdr:rowOff>146050</xdr:rowOff>
                  </from>
                  <to>
                    <xdr:col>7</xdr:col>
                    <xdr:colOff>38100</xdr:colOff>
                    <xdr:row>24</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K30"/>
  <sheetViews>
    <sheetView showGridLines="0" showRowColHeaders="0" topLeftCell="B1" workbookViewId="0">
      <selection activeCell="D15" sqref="D15"/>
    </sheetView>
  </sheetViews>
  <sheetFormatPr defaultColWidth="9.1796875" defaultRowHeight="11.5" x14ac:dyDescent="0.25"/>
  <cols>
    <col min="1" max="1" width="10" style="39" hidden="1" customWidth="1"/>
    <col min="2" max="2" width="12.54296875" style="39" customWidth="1"/>
    <col min="3" max="3" width="4.54296875" style="8" customWidth="1"/>
    <col min="4" max="4" width="12.54296875" style="39" customWidth="1"/>
    <col min="5" max="5" width="9.1796875" style="39"/>
    <col min="6" max="6" width="16.54296875" style="39" customWidth="1"/>
    <col min="7" max="7" width="5" style="42" customWidth="1"/>
    <col min="8" max="8" width="12.54296875" style="39" customWidth="1"/>
    <col min="9" max="9" width="26.453125" style="39" customWidth="1"/>
    <col min="10" max="10" width="3.1796875" style="39" customWidth="1"/>
    <col min="11" max="11" width="27.453125" style="39" customWidth="1"/>
    <col min="12" max="16384" width="9.1796875" style="39"/>
  </cols>
  <sheetData>
    <row r="1" spans="1:11" ht="13" x14ac:dyDescent="0.3">
      <c r="A1" s="8" t="s">
        <v>88</v>
      </c>
      <c r="B1" s="17"/>
      <c r="C1" s="15" t="s">
        <v>1482</v>
      </c>
      <c r="D1" s="17"/>
      <c r="E1" s="17"/>
      <c r="F1" s="17"/>
      <c r="G1" s="37"/>
      <c r="H1" s="17"/>
      <c r="I1" s="17"/>
      <c r="J1" s="17"/>
      <c r="K1" s="17"/>
    </row>
    <row r="2" spans="1:11" ht="14.25" customHeight="1" x14ac:dyDescent="0.25">
      <c r="A2" s="8"/>
      <c r="B2" s="17"/>
      <c r="C2" s="17"/>
      <c r="D2" s="17"/>
      <c r="E2" s="17"/>
      <c r="F2" s="17"/>
      <c r="G2" s="37"/>
      <c r="H2" s="17"/>
      <c r="I2" s="17"/>
      <c r="J2" s="17"/>
      <c r="K2" s="17"/>
    </row>
    <row r="3" spans="1:11" x14ac:dyDescent="0.25">
      <c r="A3" s="8">
        <v>1</v>
      </c>
      <c r="B3" s="17"/>
      <c r="C3" s="1855" t="s">
        <v>5406</v>
      </c>
      <c r="D3" s="1856"/>
      <c r="E3" s="1856"/>
      <c r="F3" s="1856"/>
      <c r="G3" s="1884"/>
      <c r="H3" s="1856"/>
      <c r="I3" s="1856"/>
      <c r="J3" s="1857" t="s">
        <v>88</v>
      </c>
      <c r="K3" s="17"/>
    </row>
    <row r="4" spans="1:11" x14ac:dyDescent="0.25">
      <c r="A4" s="8">
        <v>2</v>
      </c>
      <c r="B4" s="17"/>
      <c r="C4" s="662"/>
      <c r="D4" s="44"/>
      <c r="E4" s="40"/>
      <c r="F4" s="40"/>
      <c r="G4" s="43"/>
      <c r="H4" s="40"/>
      <c r="I4" s="618"/>
      <c r="J4" s="48"/>
      <c r="K4" s="17"/>
    </row>
    <row r="5" spans="1:11" x14ac:dyDescent="0.25">
      <c r="A5" s="8">
        <v>3</v>
      </c>
      <c r="B5" s="17"/>
      <c r="C5" s="1845">
        <f>A3</f>
        <v>1</v>
      </c>
      <c r="D5" s="40" t="s">
        <v>5407</v>
      </c>
      <c r="E5" s="40"/>
      <c r="F5" s="40"/>
      <c r="G5" s="43"/>
      <c r="H5" s="40"/>
      <c r="I5" s="618"/>
      <c r="J5" s="48"/>
      <c r="K5" s="17"/>
    </row>
    <row r="6" spans="1:11" ht="12.5" x14ac:dyDescent="0.25">
      <c r="A6" s="8">
        <v>4</v>
      </c>
      <c r="B6" s="17"/>
      <c r="C6" s="662"/>
      <c r="D6" s="1885"/>
      <c r="E6" s="40"/>
      <c r="F6" s="40"/>
      <c r="G6" s="43"/>
      <c r="H6" s="40"/>
      <c r="I6" s="618"/>
      <c r="J6" s="48"/>
      <c r="K6" s="17"/>
    </row>
    <row r="7" spans="1:11" x14ac:dyDescent="0.25">
      <c r="A7" s="8">
        <v>5</v>
      </c>
      <c r="B7" s="17"/>
      <c r="C7" s="662"/>
      <c r="D7" s="44"/>
      <c r="E7" s="40"/>
      <c r="F7" s="40"/>
      <c r="G7" s="43"/>
      <c r="H7" s="40"/>
      <c r="I7" s="618"/>
      <c r="J7" s="48"/>
      <c r="K7" s="17"/>
    </row>
    <row r="8" spans="1:11" x14ac:dyDescent="0.25">
      <c r="A8" s="8">
        <v>6</v>
      </c>
      <c r="B8" s="17"/>
      <c r="C8" s="1852">
        <f>A5</f>
        <v>3</v>
      </c>
      <c r="D8" s="40" t="s">
        <v>5408</v>
      </c>
      <c r="E8" s="40"/>
      <c r="F8" s="40"/>
      <c r="G8" s="43"/>
      <c r="H8" s="40"/>
      <c r="I8" s="618"/>
      <c r="J8" s="48"/>
      <c r="K8" s="17"/>
    </row>
    <row r="9" spans="1:11" x14ac:dyDescent="0.25">
      <c r="A9" s="8">
        <v>7</v>
      </c>
      <c r="B9" s="17"/>
      <c r="C9" s="666"/>
      <c r="D9" s="1846"/>
      <c r="E9" s="40"/>
      <c r="F9" s="40"/>
      <c r="G9" s="43"/>
      <c r="H9" s="40"/>
      <c r="I9" s="618"/>
      <c r="J9" s="48"/>
      <c r="K9" s="17"/>
    </row>
    <row r="10" spans="1:11" x14ac:dyDescent="0.25">
      <c r="A10" s="8">
        <v>8</v>
      </c>
      <c r="B10" s="17"/>
      <c r="C10" s="666"/>
      <c r="D10" s="44"/>
      <c r="E10" s="40"/>
      <c r="F10" s="40"/>
      <c r="G10" s="43"/>
      <c r="H10" s="40"/>
      <c r="I10" s="618"/>
      <c r="J10" s="48"/>
      <c r="K10" s="17"/>
    </row>
    <row r="11" spans="1:11" x14ac:dyDescent="0.25">
      <c r="A11" s="8">
        <v>9</v>
      </c>
      <c r="B11" s="17"/>
      <c r="C11" s="1852">
        <f>A6</f>
        <v>4</v>
      </c>
      <c r="D11" s="40" t="s">
        <v>5409</v>
      </c>
      <c r="E11" s="40"/>
      <c r="F11" s="40"/>
      <c r="G11" s="1886">
        <f>A13</f>
        <v>11</v>
      </c>
      <c r="H11" s="40" t="s">
        <v>2470</v>
      </c>
      <c r="I11" s="618"/>
      <c r="J11" s="48"/>
      <c r="K11" s="17"/>
    </row>
    <row r="12" spans="1:11" x14ac:dyDescent="0.25">
      <c r="A12" s="8">
        <v>10</v>
      </c>
      <c r="B12" s="17"/>
      <c r="C12" s="666"/>
      <c r="D12" s="1846"/>
      <c r="E12" s="40"/>
      <c r="F12" s="40"/>
      <c r="G12" s="43"/>
      <c r="H12" s="1887"/>
      <c r="I12" s="618"/>
      <c r="J12" s="48"/>
      <c r="K12" s="17"/>
    </row>
    <row r="13" spans="1:11" x14ac:dyDescent="0.25">
      <c r="A13" s="8">
        <v>11</v>
      </c>
      <c r="B13" s="17"/>
      <c r="C13" s="666"/>
      <c r="D13" s="44"/>
      <c r="E13" s="40"/>
      <c r="F13" s="40"/>
      <c r="G13" s="43"/>
      <c r="H13" s="40"/>
      <c r="I13" s="618"/>
      <c r="J13" s="48"/>
      <c r="K13" s="17"/>
    </row>
    <row r="14" spans="1:11" x14ac:dyDescent="0.25">
      <c r="A14" s="8">
        <v>12</v>
      </c>
      <c r="B14" s="17"/>
      <c r="C14" s="1852">
        <f>A7</f>
        <v>5</v>
      </c>
      <c r="D14" s="40" t="s">
        <v>5410</v>
      </c>
      <c r="E14" s="40"/>
      <c r="F14" s="40"/>
      <c r="G14" s="1886">
        <f>A14</f>
        <v>12</v>
      </c>
      <c r="H14" s="41" t="s">
        <v>2472</v>
      </c>
      <c r="I14" s="618"/>
      <c r="J14" s="48"/>
      <c r="K14" s="17"/>
    </row>
    <row r="15" spans="1:11" x14ac:dyDescent="0.25">
      <c r="A15" s="8">
        <v>13</v>
      </c>
      <c r="B15" s="17"/>
      <c r="C15" s="666"/>
      <c r="D15" s="1846"/>
      <c r="E15" s="40"/>
      <c r="F15" s="40"/>
      <c r="G15" s="43"/>
      <c r="H15" s="1887"/>
      <c r="I15" s="618"/>
      <c r="J15" s="48"/>
      <c r="K15" s="17"/>
    </row>
    <row r="16" spans="1:11" x14ac:dyDescent="0.25">
      <c r="A16" s="8">
        <v>14</v>
      </c>
      <c r="B16" s="17"/>
      <c r="C16" s="666"/>
      <c r="D16" s="44"/>
      <c r="E16" s="40"/>
      <c r="F16" s="40"/>
      <c r="G16" s="43"/>
      <c r="H16" s="40"/>
      <c r="I16" s="618"/>
      <c r="J16" s="48"/>
      <c r="K16" s="17"/>
    </row>
    <row r="17" spans="1:11" x14ac:dyDescent="0.25">
      <c r="A17" s="8">
        <v>15</v>
      </c>
      <c r="B17" s="17"/>
      <c r="C17" s="1852">
        <f>A8</f>
        <v>6</v>
      </c>
      <c r="D17" s="40" t="str">
        <f>"Tax taken off boxes "&amp;C8&amp;" to "&amp;C14</f>
        <v>Tax taken off boxes 3 to 5</v>
      </c>
      <c r="E17" s="40"/>
      <c r="F17" s="40"/>
      <c r="G17" s="1886">
        <f>A15</f>
        <v>13</v>
      </c>
      <c r="H17" s="41" t="s">
        <v>2474</v>
      </c>
      <c r="I17" s="618"/>
      <c r="J17" s="48"/>
      <c r="K17" s="17"/>
    </row>
    <row r="18" spans="1:11" x14ac:dyDescent="0.25">
      <c r="A18" s="8"/>
      <c r="B18" s="17"/>
      <c r="C18" s="662"/>
      <c r="D18" s="1863"/>
      <c r="E18" s="40"/>
      <c r="F18" s="40"/>
      <c r="G18" s="43"/>
      <c r="H18" s="1887"/>
      <c r="I18" s="618"/>
      <c r="J18" s="48"/>
      <c r="K18" s="17"/>
    </row>
    <row r="19" spans="1:11" x14ac:dyDescent="0.25">
      <c r="A19" s="8"/>
      <c r="B19" s="17"/>
      <c r="C19" s="662"/>
      <c r="D19" s="40"/>
      <c r="E19" s="40"/>
      <c r="F19" s="40"/>
      <c r="G19" s="40"/>
      <c r="H19" s="40"/>
      <c r="I19" s="618"/>
      <c r="J19" s="48"/>
      <c r="K19" s="17"/>
    </row>
    <row r="20" spans="1:11" x14ac:dyDescent="0.25">
      <c r="A20" s="8"/>
      <c r="B20" s="17"/>
      <c r="C20" s="662"/>
      <c r="D20" s="40"/>
      <c r="E20" s="40"/>
      <c r="F20" s="40"/>
      <c r="G20" s="1886">
        <f>A17</f>
        <v>15</v>
      </c>
      <c r="H20" s="41" t="s">
        <v>5411</v>
      </c>
      <c r="I20" s="618"/>
      <c r="J20" s="48"/>
      <c r="K20" s="17"/>
    </row>
    <row r="21" spans="1:11" x14ac:dyDescent="0.25">
      <c r="A21" s="8"/>
      <c r="B21" s="17"/>
      <c r="C21" s="662"/>
      <c r="D21" s="40"/>
      <c r="E21" s="40"/>
      <c r="F21" s="40"/>
      <c r="G21" s="43"/>
      <c r="H21" s="1887"/>
      <c r="I21" s="618"/>
      <c r="J21" s="48"/>
      <c r="K21" s="17"/>
    </row>
    <row r="22" spans="1:11" x14ac:dyDescent="0.25">
      <c r="A22" s="8"/>
      <c r="B22" s="17"/>
      <c r="C22" s="1888"/>
      <c r="D22" s="1889"/>
      <c r="E22" s="1802"/>
      <c r="F22" s="1802"/>
      <c r="G22" s="1890"/>
      <c r="H22" s="1802"/>
      <c r="I22" s="1891"/>
      <c r="J22" s="1803"/>
      <c r="K22" s="17"/>
    </row>
    <row r="23" spans="1:11" x14ac:dyDescent="0.25">
      <c r="A23" s="8"/>
      <c r="B23" s="17"/>
      <c r="C23" s="17"/>
      <c r="D23" s="17"/>
      <c r="E23" s="17"/>
      <c r="F23" s="17"/>
      <c r="G23" s="17"/>
      <c r="H23" s="17"/>
      <c r="I23" s="17"/>
      <c r="J23" s="17"/>
      <c r="K23" s="17"/>
    </row>
    <row r="24" spans="1:11" x14ac:dyDescent="0.25">
      <c r="A24" s="8"/>
      <c r="B24" s="17"/>
      <c r="C24" s="17"/>
      <c r="D24" s="17"/>
      <c r="E24" s="17"/>
      <c r="F24" s="17"/>
      <c r="G24" s="37"/>
      <c r="H24" s="17"/>
      <c r="I24" s="17"/>
      <c r="J24" s="17"/>
      <c r="K24" s="17"/>
    </row>
    <row r="25" spans="1:11" x14ac:dyDescent="0.25">
      <c r="A25" s="8"/>
      <c r="B25" s="17"/>
      <c r="C25" s="17"/>
      <c r="D25" s="17"/>
      <c r="E25" s="17"/>
      <c r="F25" s="17"/>
      <c r="G25" s="37"/>
      <c r="H25" s="17"/>
      <c r="I25" s="17"/>
      <c r="J25" s="17"/>
      <c r="K25" s="17"/>
    </row>
    <row r="26" spans="1:11" x14ac:dyDescent="0.25">
      <c r="A26" s="8"/>
      <c r="B26" s="17"/>
      <c r="C26" s="17"/>
      <c r="D26" s="17"/>
      <c r="E26" s="17"/>
      <c r="F26" s="17"/>
      <c r="G26" s="37"/>
      <c r="H26" s="17"/>
      <c r="I26" s="17"/>
      <c r="J26" s="17"/>
      <c r="K26" s="17"/>
    </row>
    <row r="27" spans="1:11" x14ac:dyDescent="0.25">
      <c r="A27" s="8"/>
      <c r="B27" s="17"/>
      <c r="C27" s="17"/>
      <c r="D27" s="17"/>
      <c r="E27" s="17"/>
      <c r="F27" s="17"/>
      <c r="G27" s="37"/>
      <c r="H27" s="17"/>
      <c r="I27" s="17"/>
      <c r="J27" s="17"/>
      <c r="K27" s="17"/>
    </row>
    <row r="28" spans="1:11" x14ac:dyDescent="0.25">
      <c r="A28" s="8"/>
      <c r="B28" s="17"/>
      <c r="C28" s="17"/>
      <c r="D28" s="17"/>
      <c r="E28" s="17"/>
      <c r="F28" s="17"/>
      <c r="G28" s="37"/>
      <c r="H28" s="17"/>
      <c r="I28" s="17"/>
      <c r="J28" s="17"/>
      <c r="K28" s="17"/>
    </row>
    <row r="29" spans="1:11" x14ac:dyDescent="0.25">
      <c r="A29" s="8"/>
      <c r="B29" s="17"/>
      <c r="C29" s="17"/>
      <c r="D29" s="17"/>
      <c r="E29" s="17"/>
      <c r="F29" s="17"/>
      <c r="G29" s="37"/>
      <c r="H29" s="17"/>
      <c r="I29" s="17"/>
      <c r="J29" s="17"/>
      <c r="K29" s="17"/>
    </row>
    <row r="30" spans="1:11" x14ac:dyDescent="0.25">
      <c r="A30" s="8"/>
      <c r="B30" s="17"/>
      <c r="C30" s="17"/>
      <c r="D30" s="17"/>
      <c r="E30" s="17"/>
      <c r="F30" s="17"/>
      <c r="G30" s="37"/>
      <c r="H30" s="17"/>
      <c r="I30" s="17"/>
      <c r="J30" s="17"/>
      <c r="K30" s="17"/>
    </row>
  </sheetData>
  <phoneticPr fontId="58" type="noConversion"/>
  <pageMargins left="0.75" right="0.75" top="1" bottom="1" header="0.5" footer="0.5"/>
  <pageSetup paperSize="9" orientation="landscape" horizontalDpi="1200" verticalDpi="1200" r:id="rId1"/>
  <headerFooter alignWithMargins="0">
    <oddFooter>&amp;C&amp;1#&amp;"Calibri"&amp;10&amp;K000000OFFICIAL-SENSITIVE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V33"/>
  <sheetViews>
    <sheetView showGridLines="0" showRowColHeaders="0" topLeftCell="B1" workbookViewId="0">
      <selection activeCell="I9" sqref="I9"/>
    </sheetView>
  </sheetViews>
  <sheetFormatPr defaultColWidth="9.1796875" defaultRowHeight="11.5" x14ac:dyDescent="0.25"/>
  <cols>
    <col min="1" max="1" width="3.7265625" style="39" hidden="1" customWidth="1"/>
    <col min="2" max="2" width="12.453125" style="39" customWidth="1"/>
    <col min="3" max="3" width="5.453125" style="39" customWidth="1"/>
    <col min="4" max="4" width="15.54296875" style="39" customWidth="1"/>
    <col min="5" max="6" width="13.1796875" style="39" customWidth="1"/>
    <col min="7" max="7" width="5" style="39" customWidth="1"/>
    <col min="8" max="8" width="13.54296875" style="39" customWidth="1"/>
    <col min="9" max="9" width="9.54296875" style="39" customWidth="1"/>
    <col min="10" max="10" width="18.54296875" style="39" customWidth="1"/>
    <col min="11" max="11" width="26.81640625" style="39" customWidth="1"/>
    <col min="12" max="12" width="7.54296875" style="39" customWidth="1"/>
    <col min="13" max="13" width="9.1796875" style="39"/>
    <col min="14" max="14" width="4.54296875" style="39" customWidth="1"/>
    <col min="15" max="16" width="5.1796875" style="39" customWidth="1"/>
    <col min="17" max="17" width="10.453125" style="39" customWidth="1"/>
    <col min="18" max="18" width="3.1796875" style="39" customWidth="1"/>
    <col min="19" max="19" width="2.1796875" style="39" customWidth="1"/>
    <col min="20" max="20" width="15.81640625" style="39" hidden="1" customWidth="1"/>
    <col min="21" max="21" width="5" style="39" hidden="1" customWidth="1"/>
    <col min="22" max="22" width="7.1796875" style="39" hidden="1" customWidth="1"/>
    <col min="23" max="16384" width="9.1796875" style="39"/>
  </cols>
  <sheetData>
    <row r="1" spans="1:22" ht="13" x14ac:dyDescent="0.3">
      <c r="A1" s="8" t="s">
        <v>18</v>
      </c>
      <c r="B1" s="17"/>
      <c r="C1" s="15" t="s">
        <v>5412</v>
      </c>
      <c r="D1" s="17"/>
      <c r="E1" s="17"/>
      <c r="F1" s="17"/>
      <c r="G1" s="17"/>
      <c r="H1" s="17"/>
      <c r="I1" s="17"/>
      <c r="J1" s="17"/>
      <c r="K1" s="17"/>
      <c r="L1" s="8"/>
      <c r="M1" s="8"/>
      <c r="N1" s="8"/>
      <c r="O1" s="8"/>
      <c r="P1" s="8"/>
      <c r="Q1" s="8"/>
      <c r="R1" s="8"/>
      <c r="S1" s="8"/>
      <c r="T1" s="8"/>
      <c r="U1" s="8"/>
      <c r="V1" s="8"/>
    </row>
    <row r="2" spans="1:22" ht="18" customHeight="1" x14ac:dyDescent="0.25">
      <c r="A2" s="8">
        <v>1</v>
      </c>
      <c r="B2" s="17"/>
      <c r="C2" s="17"/>
      <c r="D2" s="17"/>
      <c r="E2" s="17"/>
      <c r="F2" s="17"/>
      <c r="G2" s="17"/>
      <c r="H2" s="17"/>
      <c r="I2" s="17"/>
      <c r="J2" s="17"/>
      <c r="K2" s="17"/>
      <c r="L2" s="8"/>
      <c r="M2" s="8"/>
      <c r="N2" s="8"/>
      <c r="O2" s="8"/>
      <c r="P2" s="8"/>
      <c r="Q2" s="8"/>
      <c r="R2" s="8"/>
      <c r="S2" s="8"/>
      <c r="T2" s="8"/>
      <c r="U2" s="8"/>
      <c r="V2" s="8"/>
    </row>
    <row r="3" spans="1:22" ht="12.75" customHeight="1" x14ac:dyDescent="0.3">
      <c r="A3" s="8">
        <v>2</v>
      </c>
      <c r="B3" s="17"/>
      <c r="C3" s="1892" t="s">
        <v>2479</v>
      </c>
      <c r="D3" s="1856"/>
      <c r="E3" s="1856"/>
      <c r="F3" s="1856"/>
      <c r="G3" s="1856"/>
      <c r="H3" s="1856"/>
      <c r="I3" s="1856"/>
      <c r="J3" s="1857" t="s">
        <v>18</v>
      </c>
      <c r="K3" s="17"/>
      <c r="L3" s="8"/>
      <c r="M3" s="8"/>
      <c r="N3" s="8"/>
      <c r="O3" s="8"/>
      <c r="P3" s="8"/>
      <c r="Q3" s="8"/>
      <c r="R3" s="8"/>
      <c r="S3" s="8"/>
      <c r="T3" s="8" t="s">
        <v>5413</v>
      </c>
      <c r="U3" s="8">
        <v>2</v>
      </c>
      <c r="V3" s="8" t="b">
        <f>U3=1</f>
        <v>0</v>
      </c>
    </row>
    <row r="4" spans="1:22" ht="12.75" customHeight="1" x14ac:dyDescent="0.25">
      <c r="A4" s="8">
        <v>3</v>
      </c>
      <c r="B4" s="17"/>
      <c r="C4" s="655"/>
      <c r="D4" s="40"/>
      <c r="E4" s="46"/>
      <c r="F4" s="46"/>
      <c r="G4" s="40"/>
      <c r="H4" s="40"/>
      <c r="I4" s="40"/>
      <c r="J4" s="48"/>
      <c r="K4" s="17"/>
      <c r="L4" s="8"/>
      <c r="M4" s="8"/>
      <c r="N4" s="8"/>
      <c r="O4" s="8"/>
      <c r="P4" s="8"/>
      <c r="Q4" s="8"/>
      <c r="R4" s="8"/>
      <c r="S4" s="8"/>
      <c r="T4" s="8" t="s">
        <v>5414</v>
      </c>
      <c r="U4" s="8"/>
      <c r="V4" s="8"/>
    </row>
    <row r="5" spans="1:22" ht="12.75" customHeight="1" x14ac:dyDescent="0.25">
      <c r="A5" s="8">
        <v>4</v>
      </c>
      <c r="B5" s="17"/>
      <c r="C5" s="1852">
        <f>A2</f>
        <v>1</v>
      </c>
      <c r="D5" s="76" t="s">
        <v>5415</v>
      </c>
      <c r="E5" s="622"/>
      <c r="F5" s="622"/>
      <c r="G5" s="1852">
        <f>A9</f>
        <v>7</v>
      </c>
      <c r="H5" s="76" t="s">
        <v>5416</v>
      </c>
      <c r="I5" s="40"/>
      <c r="J5" s="48"/>
      <c r="K5" s="17"/>
      <c r="L5" s="8"/>
      <c r="M5" s="8"/>
      <c r="N5" s="8"/>
      <c r="O5" s="8"/>
      <c r="P5" s="8"/>
      <c r="Q5" s="8"/>
      <c r="R5" s="8"/>
      <c r="S5" s="8"/>
      <c r="T5" s="8"/>
      <c r="U5" s="8"/>
      <c r="V5" s="8"/>
    </row>
    <row r="6" spans="1:22" ht="12.75" customHeight="1" x14ac:dyDescent="0.25">
      <c r="A6" s="8">
        <v>5</v>
      </c>
      <c r="B6" s="17"/>
      <c r="C6" s="667"/>
      <c r="D6" s="1846"/>
      <c r="E6" s="40"/>
      <c r="F6" s="40"/>
      <c r="G6" s="43"/>
      <c r="H6" s="1846"/>
      <c r="I6" s="40"/>
      <c r="J6" s="48"/>
      <c r="K6" s="17"/>
      <c r="L6" s="8"/>
      <c r="M6" s="8"/>
      <c r="N6" s="8"/>
      <c r="O6" s="8"/>
      <c r="P6" s="8"/>
      <c r="Q6" s="8"/>
      <c r="R6" s="8"/>
      <c r="S6" s="8"/>
      <c r="T6" s="8" t="s">
        <v>5417</v>
      </c>
      <c r="U6" s="8">
        <v>2</v>
      </c>
      <c r="V6" s="8" t="b">
        <f>U6=1</f>
        <v>0</v>
      </c>
    </row>
    <row r="7" spans="1:22" ht="12.75" customHeight="1" x14ac:dyDescent="0.25">
      <c r="A7" s="8">
        <v>6</v>
      </c>
      <c r="B7" s="17"/>
      <c r="C7" s="655"/>
      <c r="D7" s="623"/>
      <c r="E7" s="622"/>
      <c r="F7" s="622"/>
      <c r="G7" s="40"/>
      <c r="H7" s="40"/>
      <c r="I7" s="40"/>
      <c r="J7" s="48"/>
      <c r="K7" s="17"/>
      <c r="L7" s="8"/>
      <c r="M7" s="59"/>
      <c r="N7" s="8"/>
      <c r="O7" s="8"/>
      <c r="P7" s="8"/>
      <c r="Q7" s="8"/>
      <c r="R7" s="8"/>
      <c r="S7" s="8"/>
      <c r="T7" s="8" t="s">
        <v>5418</v>
      </c>
      <c r="U7" s="8"/>
      <c r="V7" s="8"/>
    </row>
    <row r="8" spans="1:22" ht="12.75" customHeight="1" x14ac:dyDescent="0.25">
      <c r="A8" s="8">
        <v>6.1</v>
      </c>
      <c r="B8" s="17"/>
      <c r="C8" s="1852">
        <f>A3</f>
        <v>2</v>
      </c>
      <c r="D8" s="623" t="s">
        <v>5419</v>
      </c>
      <c r="E8" s="40"/>
      <c r="F8" s="40"/>
      <c r="G8" s="1886">
        <f>A10</f>
        <v>8</v>
      </c>
      <c r="H8" s="46" t="s">
        <v>5420</v>
      </c>
      <c r="I8" s="40"/>
      <c r="J8" s="48"/>
      <c r="K8" s="17"/>
      <c r="L8" s="8"/>
      <c r="M8" s="8"/>
      <c r="N8" s="8"/>
      <c r="O8" s="8"/>
      <c r="P8" s="8"/>
      <c r="Q8" s="8"/>
      <c r="R8" s="8"/>
      <c r="S8" s="8"/>
      <c r="T8" s="8"/>
      <c r="U8" s="8"/>
      <c r="V8" s="8"/>
    </row>
    <row r="9" spans="1:22" ht="12.75" customHeight="1" x14ac:dyDescent="0.25">
      <c r="A9" s="8">
        <v>7</v>
      </c>
      <c r="B9" s="17"/>
      <c r="C9" s="668"/>
      <c r="D9" s="1846"/>
      <c r="E9" s="622"/>
      <c r="F9" s="622"/>
      <c r="G9" s="619"/>
      <c r="H9" s="1846"/>
      <c r="I9" s="40"/>
      <c r="J9" s="48"/>
      <c r="K9" s="17"/>
      <c r="L9" s="8"/>
      <c r="M9" s="8"/>
      <c r="N9" s="8"/>
      <c r="O9" s="8"/>
      <c r="P9" s="8"/>
      <c r="Q9" s="8"/>
      <c r="R9" s="8"/>
      <c r="S9" s="8"/>
      <c r="T9" s="8" t="s">
        <v>5421</v>
      </c>
      <c r="U9" s="8">
        <v>2</v>
      </c>
      <c r="V9" s="8" t="b">
        <f>U9=1</f>
        <v>0</v>
      </c>
    </row>
    <row r="10" spans="1:22" ht="12.75" customHeight="1" x14ac:dyDescent="0.25">
      <c r="A10" s="8">
        <v>8</v>
      </c>
      <c r="B10" s="17"/>
      <c r="C10" s="655"/>
      <c r="D10" s="40"/>
      <c r="E10" s="40"/>
      <c r="F10" s="40"/>
      <c r="G10" s="43"/>
      <c r="H10" s="43"/>
      <c r="I10" s="40"/>
      <c r="J10" s="48"/>
      <c r="K10" s="17"/>
      <c r="L10" s="8"/>
      <c r="M10" s="8"/>
      <c r="N10" s="8"/>
      <c r="O10" s="8"/>
      <c r="P10" s="8"/>
      <c r="Q10" s="8"/>
      <c r="R10" s="8"/>
      <c r="S10" s="8"/>
      <c r="T10" s="8" t="s">
        <v>5422</v>
      </c>
      <c r="U10" s="8"/>
      <c r="V10" s="8"/>
    </row>
    <row r="11" spans="1:22" ht="12.75" customHeight="1" x14ac:dyDescent="0.25">
      <c r="A11" s="8">
        <v>9</v>
      </c>
      <c r="B11" s="17"/>
      <c r="C11" s="1845">
        <f>A4</f>
        <v>3</v>
      </c>
      <c r="D11" s="40" t="s">
        <v>5423</v>
      </c>
      <c r="E11" s="622"/>
      <c r="F11" s="622"/>
      <c r="G11" s="1852">
        <f>A11</f>
        <v>9</v>
      </c>
      <c r="H11" s="40" t="s">
        <v>5424</v>
      </c>
      <c r="I11" s="40"/>
      <c r="J11" s="48"/>
      <c r="K11" s="17"/>
      <c r="L11" s="8"/>
      <c r="M11" s="8"/>
      <c r="N11" s="8"/>
      <c r="O11" s="8"/>
      <c r="P11" s="8"/>
      <c r="Q11" s="8"/>
      <c r="R11" s="8"/>
      <c r="S11" s="8"/>
      <c r="T11" s="8"/>
      <c r="U11" s="8"/>
      <c r="V11" s="8"/>
    </row>
    <row r="12" spans="1:22" ht="12.75" customHeight="1" x14ac:dyDescent="0.25">
      <c r="A12" s="8">
        <v>10</v>
      </c>
      <c r="B12" s="17"/>
      <c r="C12" s="669"/>
      <c r="D12" s="1846"/>
      <c r="E12" s="43"/>
      <c r="F12" s="43"/>
      <c r="G12" s="40"/>
      <c r="H12" s="1846"/>
      <c r="I12" s="40"/>
      <c r="J12" s="48"/>
      <c r="K12" s="17"/>
      <c r="L12" s="8"/>
      <c r="M12" s="8"/>
      <c r="N12" s="8"/>
      <c r="O12" s="8"/>
      <c r="P12" s="8"/>
      <c r="Q12" s="8"/>
      <c r="R12" s="8"/>
      <c r="S12" s="8"/>
      <c r="T12" s="8"/>
      <c r="U12" s="8"/>
      <c r="V12" s="8"/>
    </row>
    <row r="13" spans="1:22" ht="12.75" customHeight="1" x14ac:dyDescent="0.25">
      <c r="A13" s="8">
        <v>11</v>
      </c>
      <c r="B13" s="17"/>
      <c r="C13" s="655"/>
      <c r="D13" s="40"/>
      <c r="E13" s="622"/>
      <c r="F13" s="622"/>
      <c r="G13" s="40"/>
      <c r="H13" s="40"/>
      <c r="I13" s="40"/>
      <c r="J13" s="48"/>
      <c r="K13" s="17"/>
      <c r="L13" s="8"/>
      <c r="M13" s="8"/>
      <c r="N13" s="8"/>
      <c r="O13" s="8"/>
      <c r="P13" s="8"/>
      <c r="Q13" s="8"/>
      <c r="R13" s="8"/>
      <c r="S13" s="8"/>
      <c r="T13" s="8"/>
      <c r="U13" s="8"/>
      <c r="V13" s="8"/>
    </row>
    <row r="14" spans="1:22" ht="12.75" customHeight="1" x14ac:dyDescent="0.25">
      <c r="A14" s="8">
        <v>12</v>
      </c>
      <c r="B14" s="17"/>
      <c r="C14" s="1845">
        <f>A5</f>
        <v>4</v>
      </c>
      <c r="D14" s="46" t="s">
        <v>5425</v>
      </c>
      <c r="E14" s="623"/>
      <c r="F14" s="623"/>
      <c r="G14" s="1852">
        <f>A12</f>
        <v>10</v>
      </c>
      <c r="H14" s="623" t="s">
        <v>5426</v>
      </c>
      <c r="I14" s="40"/>
      <c r="J14" s="48"/>
      <c r="K14" s="17"/>
      <c r="L14" s="8"/>
      <c r="M14" s="8"/>
      <c r="N14" s="8"/>
      <c r="O14" s="8"/>
      <c r="P14" s="8"/>
      <c r="Q14" s="8"/>
      <c r="R14" s="8"/>
      <c r="S14" s="8"/>
      <c r="T14" s="8"/>
      <c r="U14" s="8"/>
      <c r="V14" s="8"/>
    </row>
    <row r="15" spans="1:22" ht="12.75" customHeight="1" x14ac:dyDescent="0.25">
      <c r="A15" s="8"/>
      <c r="B15" s="17"/>
      <c r="C15" s="670"/>
      <c r="D15" s="1846"/>
      <c r="E15" s="622"/>
      <c r="F15" s="622"/>
      <c r="G15" s="622"/>
      <c r="H15" s="1846"/>
      <c r="I15" s="40"/>
      <c r="J15" s="48"/>
      <c r="K15" s="17"/>
      <c r="L15" s="8"/>
      <c r="M15" s="8"/>
      <c r="N15" s="8"/>
      <c r="O15" s="8"/>
      <c r="P15" s="8"/>
      <c r="Q15" s="8"/>
      <c r="R15" s="8"/>
      <c r="S15" s="8"/>
      <c r="T15" s="8"/>
      <c r="U15" s="8"/>
      <c r="V15" s="8"/>
    </row>
    <row r="16" spans="1:22" ht="12.75" customHeight="1" x14ac:dyDescent="0.25">
      <c r="A16" s="8"/>
      <c r="B16" s="17"/>
      <c r="C16" s="655"/>
      <c r="D16" s="40"/>
      <c r="E16" s="46"/>
      <c r="F16" s="46"/>
      <c r="G16" s="46"/>
      <c r="H16" s="46"/>
      <c r="I16" s="40"/>
      <c r="J16" s="48"/>
      <c r="K16" s="17"/>
      <c r="L16" s="8"/>
      <c r="M16" s="8"/>
      <c r="N16" s="8"/>
      <c r="O16" s="8"/>
      <c r="P16" s="8"/>
      <c r="Q16" s="8"/>
      <c r="R16" s="8"/>
      <c r="S16" s="8"/>
      <c r="T16" s="8"/>
      <c r="U16" s="8"/>
      <c r="V16" s="8"/>
    </row>
    <row r="17" spans="2:17" ht="12.75" customHeight="1" x14ac:dyDescent="0.25">
      <c r="B17" s="17"/>
      <c r="C17" s="1893">
        <f>A6</f>
        <v>5</v>
      </c>
      <c r="D17" s="623" t="s">
        <v>5427</v>
      </c>
      <c r="E17" s="622"/>
      <c r="F17" s="622"/>
      <c r="G17" s="1852">
        <f>A14</f>
        <v>12</v>
      </c>
      <c r="H17" s="624" t="s">
        <v>5428</v>
      </c>
      <c r="I17" s="40"/>
      <c r="J17" s="48"/>
      <c r="K17" s="17"/>
      <c r="L17" s="8"/>
      <c r="M17" s="8"/>
      <c r="N17" s="8"/>
      <c r="O17" s="8"/>
      <c r="P17" s="8"/>
      <c r="Q17" s="8"/>
    </row>
    <row r="18" spans="2:17" ht="12.75" customHeight="1" x14ac:dyDescent="0.25">
      <c r="B18" s="17"/>
      <c r="C18" s="667"/>
      <c r="D18" s="1846"/>
      <c r="E18" s="46"/>
      <c r="F18" s="46"/>
      <c r="G18" s="46"/>
      <c r="H18" s="1846"/>
      <c r="I18" s="40"/>
      <c r="J18" s="48"/>
      <c r="K18" s="17"/>
      <c r="L18" s="8"/>
      <c r="M18" s="8"/>
      <c r="N18" s="8"/>
      <c r="O18" s="8"/>
      <c r="P18" s="8"/>
      <c r="Q18" s="8"/>
    </row>
    <row r="19" spans="2:17" ht="12.75" customHeight="1" x14ac:dyDescent="0.25">
      <c r="B19" s="17"/>
      <c r="C19" s="667"/>
      <c r="D19" s="623"/>
      <c r="E19" s="622"/>
      <c r="F19" s="46"/>
      <c r="G19" s="46"/>
      <c r="H19" s="46"/>
      <c r="I19" s="46"/>
      <c r="J19" s="48"/>
      <c r="K19" s="17"/>
      <c r="L19" s="8"/>
      <c r="M19" s="8"/>
      <c r="N19" s="8"/>
      <c r="O19" s="8"/>
      <c r="P19" s="8"/>
      <c r="Q19" s="8"/>
    </row>
    <row r="20" spans="2:17" ht="12.75" customHeight="1" x14ac:dyDescent="0.25">
      <c r="B20" s="17"/>
      <c r="C20" s="1845">
        <f>A7</f>
        <v>6</v>
      </c>
      <c r="D20" s="623" t="s">
        <v>2494</v>
      </c>
      <c r="E20" s="622"/>
      <c r="F20" s="46"/>
      <c r="G20" s="46"/>
      <c r="H20" s="624"/>
      <c r="I20" s="40"/>
      <c r="J20" s="48"/>
      <c r="K20" s="17"/>
      <c r="L20" s="8"/>
      <c r="M20" s="8"/>
      <c r="N20" s="8"/>
      <c r="O20" s="8"/>
      <c r="P20" s="8"/>
      <c r="Q20" s="8"/>
    </row>
    <row r="21" spans="2:17" ht="12.75" customHeight="1" x14ac:dyDescent="0.25">
      <c r="B21" s="17"/>
      <c r="C21" s="667"/>
      <c r="D21" s="1846"/>
      <c r="E21" s="46"/>
      <c r="F21" s="46"/>
      <c r="G21" s="46"/>
      <c r="H21" s="624"/>
      <c r="I21" s="40"/>
      <c r="J21" s="48"/>
      <c r="K21" s="17"/>
      <c r="L21" s="8"/>
      <c r="M21" s="8"/>
      <c r="N21" s="8"/>
      <c r="O21" s="8"/>
      <c r="P21" s="8"/>
      <c r="Q21" s="8"/>
    </row>
    <row r="22" spans="2:17" ht="12.75" customHeight="1" x14ac:dyDescent="0.25">
      <c r="B22" s="17"/>
      <c r="C22" s="1827"/>
      <c r="D22" s="40"/>
      <c r="E22" s="622"/>
      <c r="F22" s="622"/>
      <c r="G22" s="46"/>
      <c r="H22" s="46"/>
      <c r="I22" s="40"/>
      <c r="J22" s="691"/>
      <c r="K22" s="17"/>
      <c r="L22" s="8"/>
      <c r="M22" s="8"/>
      <c r="N22" s="8"/>
      <c r="O22" s="8"/>
      <c r="P22" s="8"/>
      <c r="Q22" s="8"/>
    </row>
    <row r="23" spans="2:17" ht="12.75" customHeight="1" x14ac:dyDescent="0.25">
      <c r="B23" s="17"/>
      <c r="C23" s="1845">
        <f>A8</f>
        <v>6.1</v>
      </c>
      <c r="D23" s="689" t="s">
        <v>2496</v>
      </c>
      <c r="E23" s="622"/>
      <c r="F23" s="46"/>
      <c r="G23" s="46"/>
      <c r="H23" s="624"/>
      <c r="I23" s="40"/>
      <c r="J23" s="48"/>
      <c r="K23" s="17"/>
      <c r="L23" s="8"/>
      <c r="M23" s="8"/>
      <c r="N23" s="8"/>
      <c r="O23" s="8"/>
      <c r="P23" s="8"/>
      <c r="Q23" s="8"/>
    </row>
    <row r="24" spans="2:17" ht="12.75" customHeight="1" x14ac:dyDescent="0.25">
      <c r="B24" s="17"/>
      <c r="C24" s="667"/>
      <c r="D24" s="1846"/>
      <c r="E24" s="46"/>
      <c r="F24" s="46"/>
      <c r="G24" s="46"/>
      <c r="H24" s="46"/>
      <c r="I24" s="40"/>
      <c r="J24" s="48"/>
      <c r="K24" s="17"/>
      <c r="L24" s="8"/>
      <c r="M24" s="8"/>
      <c r="N24" s="8"/>
      <c r="O24" s="8"/>
      <c r="P24" s="8"/>
      <c r="Q24" s="8"/>
    </row>
    <row r="25" spans="2:17" ht="12.75" customHeight="1" x14ac:dyDescent="0.25">
      <c r="B25" s="17"/>
      <c r="C25" s="1827"/>
      <c r="D25" s="1802"/>
      <c r="E25" s="1894"/>
      <c r="F25" s="1894"/>
      <c r="G25" s="1895"/>
      <c r="H25" s="1895"/>
      <c r="I25" s="1802"/>
      <c r="J25" s="1896"/>
      <c r="K25" s="17"/>
      <c r="L25" s="8"/>
      <c r="M25" s="8"/>
      <c r="N25" s="8"/>
      <c r="O25" s="8"/>
      <c r="P25" s="8"/>
      <c r="Q25" s="8"/>
    </row>
    <row r="26" spans="2:17" ht="12.75" customHeight="1" x14ac:dyDescent="0.25">
      <c r="B26" s="17"/>
      <c r="C26" s="17"/>
      <c r="D26" s="17"/>
      <c r="E26" s="17"/>
      <c r="F26" s="17"/>
      <c r="G26" s="21"/>
      <c r="H26" s="17"/>
      <c r="I26" s="17"/>
      <c r="J26" s="17"/>
      <c r="K26" s="17"/>
      <c r="L26" s="8"/>
      <c r="M26" s="8"/>
      <c r="N26" s="8"/>
      <c r="O26" s="8"/>
      <c r="P26" s="8"/>
      <c r="Q26" s="8"/>
    </row>
    <row r="27" spans="2:17" ht="12.75" customHeight="1" x14ac:dyDescent="0.25">
      <c r="B27" s="17"/>
      <c r="C27" s="17"/>
      <c r="D27" s="17"/>
      <c r="E27" s="17"/>
      <c r="F27" s="17"/>
      <c r="G27" s="17"/>
      <c r="H27" s="17"/>
      <c r="I27" s="17"/>
      <c r="J27" s="17"/>
      <c r="K27" s="17"/>
      <c r="L27" s="8"/>
      <c r="M27" s="8"/>
      <c r="N27" s="8"/>
      <c r="O27" s="8"/>
      <c r="P27" s="8"/>
      <c r="Q27" s="8"/>
    </row>
    <row r="28" spans="2:17" ht="12.75" customHeight="1" x14ac:dyDescent="0.25">
      <c r="B28" s="17"/>
      <c r="C28" s="17"/>
      <c r="D28" s="17"/>
      <c r="E28" s="17"/>
      <c r="F28" s="17"/>
      <c r="G28" s="21"/>
      <c r="H28" s="17"/>
      <c r="I28" s="17"/>
      <c r="J28" s="17"/>
      <c r="K28" s="17"/>
      <c r="L28" s="8"/>
      <c r="M28" s="8"/>
      <c r="N28" s="8"/>
      <c r="O28" s="8"/>
      <c r="P28" s="8"/>
      <c r="Q28" s="8"/>
    </row>
    <row r="29" spans="2:17" ht="12.75" customHeight="1" x14ac:dyDescent="0.25">
      <c r="B29" s="17"/>
      <c r="C29" s="17"/>
      <c r="D29" s="17"/>
      <c r="E29" s="17"/>
      <c r="F29" s="17"/>
      <c r="G29" s="17"/>
      <c r="H29" s="17"/>
      <c r="I29" s="17"/>
      <c r="J29" s="17"/>
      <c r="K29" s="17"/>
      <c r="L29" s="8"/>
      <c r="M29" s="8"/>
      <c r="N29" s="8"/>
      <c r="O29" s="8"/>
      <c r="P29" s="8"/>
      <c r="Q29" s="8"/>
    </row>
    <row r="30" spans="2:17" ht="12.75" customHeight="1" x14ac:dyDescent="0.25">
      <c r="B30" s="17"/>
      <c r="C30" s="17"/>
      <c r="D30" s="17"/>
      <c r="E30" s="17"/>
      <c r="F30" s="17"/>
      <c r="G30" s="21"/>
      <c r="H30" s="17"/>
      <c r="I30" s="17"/>
      <c r="J30" s="17"/>
      <c r="K30" s="17"/>
      <c r="L30" s="8"/>
      <c r="M30" s="8"/>
      <c r="N30" s="8"/>
      <c r="O30" s="8"/>
      <c r="P30" s="8"/>
      <c r="Q30" s="8"/>
    </row>
    <row r="31" spans="2:17" x14ac:dyDescent="0.25">
      <c r="B31" s="17"/>
      <c r="C31" s="17"/>
      <c r="D31" s="17"/>
      <c r="E31" s="17"/>
      <c r="F31" s="17"/>
      <c r="G31" s="17"/>
      <c r="H31" s="17"/>
      <c r="I31" s="17"/>
      <c r="J31" s="17"/>
      <c r="K31" s="17"/>
      <c r="L31" s="8"/>
      <c r="M31" s="8"/>
      <c r="N31" s="8"/>
      <c r="O31" s="8"/>
      <c r="P31" s="8"/>
      <c r="Q31" s="8"/>
    </row>
    <row r="32" spans="2:17" x14ac:dyDescent="0.25">
      <c r="B32" s="17"/>
      <c r="C32" s="17"/>
      <c r="D32" s="17"/>
      <c r="E32" s="17"/>
      <c r="F32" s="17"/>
      <c r="G32" s="17"/>
      <c r="H32" s="17"/>
      <c r="I32" s="17"/>
      <c r="J32" s="17"/>
      <c r="K32" s="17"/>
      <c r="L32" s="8"/>
      <c r="M32" s="8"/>
      <c r="N32" s="8"/>
      <c r="O32" s="8"/>
      <c r="P32" s="8"/>
      <c r="Q32" s="8"/>
    </row>
    <row r="33" spans="2:11" x14ac:dyDescent="0.25">
      <c r="B33" s="17"/>
      <c r="C33" s="17"/>
      <c r="D33" s="17"/>
      <c r="E33" s="17"/>
      <c r="F33" s="17"/>
      <c r="G33" s="17"/>
      <c r="H33" s="17"/>
      <c r="I33" s="17"/>
      <c r="J33" s="17"/>
      <c r="K33" s="17"/>
    </row>
  </sheetData>
  <phoneticPr fontId="58" type="noConversion"/>
  <pageMargins left="0.75" right="0.75" top="1" bottom="1" header="0.5" footer="0.5"/>
  <pageSetup paperSize="9" orientation="landscape" r:id="rId1"/>
  <headerFooter alignWithMargins="0">
    <oddFooter>&amp;C&amp;1#&amp;"Calibri"&amp;10&amp;K000000OFFICIAL-SENSITIVE</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L33"/>
  <sheetViews>
    <sheetView showGridLines="0" showRowColHeaders="0" topLeftCell="B1" workbookViewId="0">
      <selection activeCell="B1" sqref="B1"/>
    </sheetView>
  </sheetViews>
  <sheetFormatPr defaultColWidth="9.1796875" defaultRowHeight="11.5" x14ac:dyDescent="0.25"/>
  <cols>
    <col min="1" max="1" width="17.54296875" style="39" hidden="1" customWidth="1"/>
    <col min="2" max="2" width="20.1796875" style="39" customWidth="1"/>
    <col min="3" max="3" width="4.81640625" style="42" customWidth="1"/>
    <col min="4" max="4" width="14.1796875" style="39" customWidth="1"/>
    <col min="5" max="5" width="26.1796875" style="39" customWidth="1"/>
    <col min="6" max="6" width="3.54296875" style="39" customWidth="1"/>
    <col min="7" max="7" width="37.1796875" style="39" customWidth="1"/>
    <col min="8" max="8" width="44" style="39" customWidth="1"/>
    <col min="9" max="9" width="15.1796875" style="39" customWidth="1"/>
    <col min="10" max="10" width="7" style="39" customWidth="1"/>
    <col min="11" max="11" width="9.54296875" style="39" customWidth="1"/>
    <col min="12" max="12" width="8.81640625" style="39" customWidth="1"/>
    <col min="13" max="13" width="9.453125" style="39" customWidth="1"/>
    <col min="14" max="16384" width="9.1796875" style="39"/>
  </cols>
  <sheetData>
    <row r="1" spans="1:12" ht="12" customHeight="1" x14ac:dyDescent="0.25">
      <c r="A1" s="8" t="s">
        <v>19</v>
      </c>
      <c r="B1" s="17"/>
      <c r="C1" s="37"/>
      <c r="D1" s="17"/>
      <c r="E1" s="17"/>
      <c r="F1" s="17"/>
      <c r="G1" s="17"/>
      <c r="H1" s="17"/>
      <c r="I1" s="8"/>
      <c r="J1" s="8"/>
      <c r="K1" s="8"/>
      <c r="L1" s="8"/>
    </row>
    <row r="2" spans="1:12" ht="12" customHeight="1" x14ac:dyDescent="0.25">
      <c r="A2" s="8">
        <v>1</v>
      </c>
      <c r="B2" s="17"/>
      <c r="C2" s="1897" t="s">
        <v>5429</v>
      </c>
      <c r="D2" s="1856"/>
      <c r="E2" s="1898"/>
      <c r="F2" s="1899" t="s">
        <v>5324</v>
      </c>
      <c r="G2" s="1900" t="s">
        <v>19</v>
      </c>
      <c r="H2" s="17"/>
      <c r="I2" s="178"/>
      <c r="J2" s="8"/>
      <c r="K2" s="8"/>
      <c r="L2" s="8"/>
    </row>
    <row r="3" spans="1:12" ht="12" customHeight="1" x14ac:dyDescent="0.25">
      <c r="A3" s="8">
        <v>2</v>
      </c>
      <c r="B3" s="17"/>
      <c r="C3" s="670"/>
      <c r="D3" s="40"/>
      <c r="E3" s="40"/>
      <c r="F3" s="176" t="s">
        <v>5430</v>
      </c>
      <c r="G3" s="48"/>
      <c r="H3" s="17"/>
      <c r="I3" s="178"/>
      <c r="J3" s="8"/>
      <c r="K3" s="8"/>
      <c r="L3" s="8"/>
    </row>
    <row r="4" spans="1:12" ht="12" customHeight="1" x14ac:dyDescent="0.25">
      <c r="A4" s="8">
        <v>3</v>
      </c>
      <c r="B4" s="17"/>
      <c r="C4" s="1901">
        <f>A2</f>
        <v>1</v>
      </c>
      <c r="D4" s="40" t="s">
        <v>5431</v>
      </c>
      <c r="E4" s="40"/>
      <c r="F4" s="40"/>
      <c r="G4" s="179" t="s">
        <v>439</v>
      </c>
      <c r="H4" s="17"/>
      <c r="I4" s="178"/>
      <c r="J4" s="8"/>
      <c r="K4" s="8"/>
      <c r="L4" s="8"/>
    </row>
    <row r="5" spans="1:12" ht="12" customHeight="1" x14ac:dyDescent="0.25">
      <c r="A5" s="8">
        <v>4</v>
      </c>
      <c r="B5" s="17"/>
      <c r="C5" s="1901">
        <f>A9</f>
        <v>8</v>
      </c>
      <c r="D5" s="44"/>
      <c r="E5" s="40"/>
      <c r="F5" s="1902">
        <v>1</v>
      </c>
      <c r="G5" s="179" t="s">
        <v>5432</v>
      </c>
      <c r="H5" s="17"/>
      <c r="I5" s="178"/>
      <c r="J5" s="8"/>
      <c r="K5" s="8"/>
      <c r="L5" s="8"/>
    </row>
    <row r="6" spans="1:12" ht="12" customHeight="1" x14ac:dyDescent="0.25">
      <c r="A6" s="8">
        <v>5</v>
      </c>
      <c r="B6" s="17"/>
      <c r="C6" s="670"/>
      <c r="D6" s="40"/>
      <c r="E6" s="40"/>
      <c r="F6" s="40"/>
      <c r="G6" s="179" t="s">
        <v>5433</v>
      </c>
      <c r="H6" s="17"/>
      <c r="I6" s="8"/>
      <c r="J6" s="8"/>
      <c r="K6" s="8"/>
      <c r="L6" s="8"/>
    </row>
    <row r="7" spans="1:12" ht="12" customHeight="1" x14ac:dyDescent="0.25">
      <c r="A7" s="8">
        <v>6</v>
      </c>
      <c r="B7" s="17"/>
      <c r="C7" s="670"/>
      <c r="D7" s="40"/>
      <c r="E7" s="40"/>
      <c r="F7" s="40"/>
      <c r="G7" s="48"/>
      <c r="H7" s="17"/>
      <c r="I7" s="8"/>
      <c r="J7" s="8"/>
      <c r="K7" s="8"/>
      <c r="L7" s="8"/>
    </row>
    <row r="8" spans="1:12" ht="12" customHeight="1" x14ac:dyDescent="0.25">
      <c r="A8" s="8">
        <v>7</v>
      </c>
      <c r="B8" s="17"/>
      <c r="C8" s="1901">
        <f>A3</f>
        <v>2</v>
      </c>
      <c r="D8" s="40" t="s">
        <v>5434</v>
      </c>
      <c r="E8" s="40"/>
      <c r="F8" s="40"/>
      <c r="G8" s="48"/>
      <c r="H8" s="17"/>
      <c r="I8" s="8"/>
      <c r="J8" s="8"/>
      <c r="K8" s="8"/>
      <c r="L8" s="8"/>
    </row>
    <row r="9" spans="1:12" ht="12" customHeight="1" x14ac:dyDescent="0.25">
      <c r="A9" s="8">
        <v>8</v>
      </c>
      <c r="B9" s="17"/>
      <c r="C9" s="1901">
        <f>A6</f>
        <v>5</v>
      </c>
      <c r="D9" s="40"/>
      <c r="E9" s="40"/>
      <c r="F9" s="1902">
        <v>2</v>
      </c>
      <c r="G9" s="179" t="s">
        <v>5435</v>
      </c>
      <c r="H9" s="17"/>
      <c r="I9" s="8"/>
      <c r="J9" s="8"/>
      <c r="K9" s="8"/>
      <c r="L9" s="8"/>
    </row>
    <row r="10" spans="1:12" ht="12" customHeight="1" x14ac:dyDescent="0.25">
      <c r="A10" s="8">
        <v>9</v>
      </c>
      <c r="B10" s="17"/>
      <c r="C10" s="670"/>
      <c r="D10" s="40"/>
      <c r="E10" s="44"/>
      <c r="F10" s="44"/>
      <c r="G10" s="179" t="s">
        <v>5436</v>
      </c>
      <c r="H10" s="17"/>
      <c r="I10" s="8"/>
      <c r="J10" s="8"/>
      <c r="K10" s="8"/>
      <c r="L10" s="8"/>
    </row>
    <row r="11" spans="1:12" ht="12" customHeight="1" x14ac:dyDescent="0.25">
      <c r="A11" s="8">
        <v>10</v>
      </c>
      <c r="B11" s="17"/>
      <c r="C11" s="670"/>
      <c r="D11" s="40"/>
      <c r="E11" s="40"/>
      <c r="F11" s="40"/>
      <c r="G11" s="48"/>
      <c r="H11" s="17"/>
      <c r="I11" s="8"/>
      <c r="J11" s="8"/>
      <c r="K11" s="8"/>
      <c r="L11" s="8"/>
    </row>
    <row r="12" spans="1:12" ht="12" customHeight="1" x14ac:dyDescent="0.25">
      <c r="A12" s="8">
        <v>11</v>
      </c>
      <c r="B12" s="17"/>
      <c r="C12" s="1901">
        <f>IF(MCA_claim=3,A7,A4)</f>
        <v>3</v>
      </c>
      <c r="D12" s="40" t="s">
        <v>5437</v>
      </c>
      <c r="E12" s="40"/>
      <c r="F12" s="40"/>
      <c r="G12" s="179" t="s">
        <v>5438</v>
      </c>
      <c r="H12" s="17"/>
      <c r="I12" s="8"/>
      <c r="J12" s="8"/>
      <c r="K12" s="8"/>
      <c r="L12" s="8"/>
    </row>
    <row r="13" spans="1:12" ht="12" customHeight="1" x14ac:dyDescent="0.25">
      <c r="A13" s="8"/>
      <c r="B13" s="17"/>
      <c r="C13" s="1901">
        <f>IF(MCA_claim=3,A8,A5)</f>
        <v>4</v>
      </c>
      <c r="D13" s="40"/>
      <c r="E13" s="40"/>
      <c r="F13" s="1902">
        <v>1</v>
      </c>
      <c r="G13" s="179" t="s">
        <v>5439</v>
      </c>
      <c r="H13" s="17"/>
      <c r="I13" s="8"/>
      <c r="J13" s="8"/>
      <c r="K13" s="8"/>
      <c r="L13" s="8"/>
    </row>
    <row r="14" spans="1:12" ht="12" customHeight="1" x14ac:dyDescent="0.25">
      <c r="A14" s="8"/>
      <c r="B14" s="17"/>
      <c r="C14" s="670"/>
      <c r="D14" s="40"/>
      <c r="E14" s="40"/>
      <c r="F14" s="40"/>
      <c r="G14" s="179" t="s">
        <v>5440</v>
      </c>
      <c r="H14" s="17"/>
      <c r="I14" s="8"/>
      <c r="J14" s="8"/>
      <c r="K14" s="8"/>
      <c r="L14" s="8"/>
    </row>
    <row r="15" spans="1:12" ht="12" customHeight="1" x14ac:dyDescent="0.25">
      <c r="A15" s="8"/>
      <c r="B15" s="17"/>
      <c r="C15" s="670"/>
      <c r="D15" s="40"/>
      <c r="E15" s="40"/>
      <c r="F15" s="40"/>
      <c r="G15" s="48"/>
      <c r="H15" s="17"/>
      <c r="I15" s="8"/>
      <c r="J15" s="8"/>
      <c r="K15" s="8"/>
      <c r="L15" s="8"/>
    </row>
    <row r="16" spans="1:12" ht="12" customHeight="1" x14ac:dyDescent="0.25">
      <c r="A16" s="8"/>
      <c r="B16" s="17"/>
      <c r="C16" s="1901">
        <f>A10</f>
        <v>9</v>
      </c>
      <c r="D16" s="40" t="str">
        <f>"Date of marriage / civil partnership (if after 5 April "&amp;Tax_year_start&amp;")"</f>
        <v>Date of marriage / civil partnership (if after 5 April 2025)</v>
      </c>
      <c r="E16" s="40"/>
      <c r="F16" s="40"/>
      <c r="G16" s="179" t="str">
        <f>data!C209</f>
        <v/>
      </c>
      <c r="H16" s="17"/>
      <c r="I16" s="8"/>
      <c r="J16" s="8"/>
      <c r="K16" s="8"/>
      <c r="L16" s="8"/>
    </row>
    <row r="17" spans="2:8" ht="12" customHeight="1" x14ac:dyDescent="0.25">
      <c r="B17" s="17"/>
      <c r="C17" s="670"/>
      <c r="D17" s="40"/>
      <c r="E17" s="40"/>
      <c r="F17" s="1902">
        <v>1</v>
      </c>
      <c r="G17" s="179" t="str">
        <f>data!C210</f>
        <v/>
      </c>
      <c r="H17" s="17"/>
    </row>
    <row r="18" spans="2:8" ht="12" customHeight="1" x14ac:dyDescent="0.25">
      <c r="B18" s="17"/>
      <c r="C18" s="670"/>
      <c r="D18" s="40"/>
      <c r="E18" s="40"/>
      <c r="F18" s="40"/>
      <c r="G18" s="179" t="str">
        <f>data!C211</f>
        <v/>
      </c>
      <c r="H18" s="17"/>
    </row>
    <row r="19" spans="2:8" ht="12" customHeight="1" x14ac:dyDescent="0.25">
      <c r="B19" s="17"/>
      <c r="C19" s="670"/>
      <c r="D19" s="45"/>
      <c r="E19" s="40"/>
      <c r="F19" s="40"/>
      <c r="G19" s="179" t="str">
        <f>data!C212</f>
        <v/>
      </c>
      <c r="H19" s="17"/>
    </row>
    <row r="20" spans="2:8" ht="12" customHeight="1" x14ac:dyDescent="0.25">
      <c r="B20" s="17"/>
      <c r="C20" s="670"/>
      <c r="D20" s="40"/>
      <c r="E20" s="40"/>
      <c r="F20" s="40"/>
      <c r="G20" s="179" t="str">
        <f>data!C213</f>
        <v/>
      </c>
      <c r="H20" s="17"/>
    </row>
    <row r="21" spans="2:8" ht="12" customHeight="1" x14ac:dyDescent="0.25">
      <c r="B21" s="17"/>
      <c r="C21" s="670"/>
      <c r="D21" s="40"/>
      <c r="E21" s="40"/>
      <c r="F21" s="40"/>
      <c r="G21" s="179" t="str">
        <f>data!C214</f>
        <v/>
      </c>
      <c r="H21" s="17"/>
    </row>
    <row r="22" spans="2:8" ht="12" customHeight="1" x14ac:dyDescent="0.25">
      <c r="B22" s="17"/>
      <c r="C22" s="670"/>
      <c r="D22" s="40"/>
      <c r="E22" s="40"/>
      <c r="F22" s="40"/>
      <c r="G22" s="179" t="str">
        <f>data!C215</f>
        <v/>
      </c>
      <c r="H22" s="17"/>
    </row>
    <row r="23" spans="2:8" ht="12" customHeight="1" x14ac:dyDescent="0.25">
      <c r="B23" s="17"/>
      <c r="C23" s="670"/>
      <c r="D23" s="40"/>
      <c r="E23" s="40"/>
      <c r="F23" s="40"/>
      <c r="G23" s="179" t="str">
        <f>data!C216</f>
        <v/>
      </c>
      <c r="H23" s="17"/>
    </row>
    <row r="24" spans="2:8" ht="12" customHeight="1" x14ac:dyDescent="0.25">
      <c r="B24" s="17"/>
      <c r="C24" s="670"/>
      <c r="D24" s="40"/>
      <c r="E24" s="40"/>
      <c r="F24" s="40"/>
      <c r="G24" s="179" t="str">
        <f>data!C217</f>
        <v/>
      </c>
      <c r="H24" s="17"/>
    </row>
    <row r="25" spans="2:8" ht="12" customHeight="1" x14ac:dyDescent="0.25">
      <c r="B25" s="17"/>
      <c r="C25" s="670"/>
      <c r="D25" s="40"/>
      <c r="E25" s="40"/>
      <c r="F25" s="40"/>
      <c r="G25" s="179" t="str">
        <f>data!C218</f>
        <v/>
      </c>
      <c r="H25" s="17"/>
    </row>
    <row r="26" spans="2:8" ht="12" customHeight="1" x14ac:dyDescent="0.25">
      <c r="B26" s="17"/>
      <c r="C26" s="670"/>
      <c r="D26" s="40"/>
      <c r="E26" s="40"/>
      <c r="F26" s="40"/>
      <c r="G26" s="179" t="str">
        <f>data!C219</f>
        <v/>
      </c>
      <c r="H26" s="17"/>
    </row>
    <row r="27" spans="2:8" ht="12" customHeight="1" x14ac:dyDescent="0.25">
      <c r="B27" s="17"/>
      <c r="C27" s="670"/>
      <c r="D27" s="40"/>
      <c r="E27" s="40"/>
      <c r="F27" s="40"/>
      <c r="G27" s="179" t="str">
        <f>data!C220</f>
        <v/>
      </c>
      <c r="H27" s="17"/>
    </row>
    <row r="28" spans="2:8" x14ac:dyDescent="0.25">
      <c r="B28" s="17"/>
      <c r="C28" s="670"/>
      <c r="D28" s="40"/>
      <c r="E28" s="40"/>
      <c r="F28" s="40"/>
      <c r="G28" s="179" t="str">
        <f>data!C221</f>
        <v/>
      </c>
      <c r="H28" s="17"/>
    </row>
    <row r="29" spans="2:8" x14ac:dyDescent="0.25">
      <c r="B29" s="17"/>
      <c r="C29" s="1903"/>
      <c r="D29" s="1802"/>
      <c r="E29" s="1802"/>
      <c r="F29" s="1802"/>
      <c r="G29" s="1803"/>
      <c r="H29" s="17"/>
    </row>
    <row r="30" spans="2:8" x14ac:dyDescent="0.25">
      <c r="B30" s="17"/>
      <c r="C30" s="17"/>
      <c r="D30" s="17"/>
      <c r="E30" s="17"/>
      <c r="F30" s="17"/>
      <c r="G30" s="17"/>
      <c r="H30" s="17"/>
    </row>
    <row r="31" spans="2:8" x14ac:dyDescent="0.25">
      <c r="B31" s="17"/>
      <c r="C31" s="37"/>
      <c r="D31" s="17"/>
      <c r="E31" s="21"/>
      <c r="F31" s="21"/>
      <c r="G31" s="17"/>
      <c r="H31" s="17"/>
    </row>
    <row r="32" spans="2:8" x14ac:dyDescent="0.25">
      <c r="B32" s="17"/>
      <c r="C32" s="37"/>
      <c r="D32" s="17"/>
      <c r="E32" s="21"/>
      <c r="F32" s="21"/>
      <c r="G32" s="17"/>
      <c r="H32" s="17"/>
    </row>
    <row r="33" spans="2:8" x14ac:dyDescent="0.25">
      <c r="B33" s="17"/>
      <c r="C33" s="37"/>
      <c r="D33" s="17"/>
      <c r="E33" s="21"/>
      <c r="F33" s="21"/>
      <c r="G33" s="17"/>
      <c r="H33" s="17"/>
    </row>
  </sheetData>
  <phoneticPr fontId="58" type="noConversion"/>
  <dataValidations count="4">
    <dataValidation type="whole" allowBlank="1" showInputMessage="1" showErrorMessage="1" errorTitle="MCA claimed by" error="Must be in range 1-3" sqref="F5" xr:uid="{00000000-0002-0000-2200-000000000000}">
      <formula1>1</formula1>
      <formula2>3</formula2>
    </dataValidation>
    <dataValidation type="whole" allowBlank="1" showInputMessage="1" showErrorMessage="1" errorTitle="Date of marriage" error="Must be in range 1 - 13" sqref="F17" xr:uid="{00000000-0002-0000-2200-000001000000}">
      <formula1>1</formula1>
      <formula2>13</formula2>
    </dataValidation>
    <dataValidation type="whole" allowBlank="1" showInputMessage="1" showErrorMessage="1" errorTitle="Date of birth of older spouse" error="Must be in range 1 - 2" sqref="F9" xr:uid="{00000000-0002-0000-2200-000002000000}">
      <formula1>1</formula1>
      <formula2>2</formula2>
    </dataValidation>
    <dataValidation type="whole" allowBlank="1" showInputMessage="1" showErrorMessage="1" errorTitle="Amount allocated to spouse" error="Must be in range 1 - 3_x000a_" sqref="F13" xr:uid="{00000000-0002-0000-2200-000003000000}">
      <formula1>1</formula1>
      <formula2>3</formula2>
    </dataValidation>
  </dataValidations>
  <pageMargins left="0.75" right="0.75" top="1" bottom="1" header="0.5" footer="0.5"/>
  <pageSetup paperSize="9" orientation="portrait"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autoLine="0" autoPict="0" altText="MCA Claim">
                <anchor moveWithCells="1">
                  <from>
                    <xdr:col>3</xdr:col>
                    <xdr:colOff>12700</xdr:colOff>
                    <xdr:row>4</xdr:row>
                    <xdr:rowOff>0</xdr:rowOff>
                  </from>
                  <to>
                    <xdr:col>4</xdr:col>
                    <xdr:colOff>1708150</xdr:colOff>
                    <xdr:row>5</xdr:row>
                    <xdr:rowOff>50800</xdr:rowOff>
                  </to>
                </anchor>
              </controlPr>
            </control>
          </mc:Choice>
        </mc:AlternateContent>
        <mc:AlternateContent xmlns:mc="http://schemas.openxmlformats.org/markup-compatibility/2006">
          <mc:Choice Requires="x14">
            <control shapeId="50178" r:id="rId5" name="Drop Down 2">
              <controlPr defaultSize="0" autoLine="0" autoPict="0" altText="Date of birth of older spouse">
                <anchor moveWithCells="1">
                  <from>
                    <xdr:col>3</xdr:col>
                    <xdr:colOff>0</xdr:colOff>
                    <xdr:row>8</xdr:row>
                    <xdr:rowOff>0</xdr:rowOff>
                  </from>
                  <to>
                    <xdr:col>4</xdr:col>
                    <xdr:colOff>1708150</xdr:colOff>
                    <xdr:row>9</xdr:row>
                    <xdr:rowOff>50800</xdr:rowOff>
                  </to>
                </anchor>
              </controlPr>
            </control>
          </mc:Choice>
        </mc:AlternateContent>
        <mc:AlternateContent xmlns:mc="http://schemas.openxmlformats.org/markup-compatibility/2006">
          <mc:Choice Requires="x14">
            <control shapeId="50179" r:id="rId6" name="Drop Down 3">
              <controlPr defaultSize="0" autoLine="0" autoPict="0" altText="Amount allocated to lower income partner_x000a_">
                <anchor moveWithCells="1">
                  <from>
                    <xdr:col>3</xdr:col>
                    <xdr:colOff>0</xdr:colOff>
                    <xdr:row>12</xdr:row>
                    <xdr:rowOff>12700</xdr:rowOff>
                  </from>
                  <to>
                    <xdr:col>4</xdr:col>
                    <xdr:colOff>1708150</xdr:colOff>
                    <xdr:row>13</xdr:row>
                    <xdr:rowOff>69850</xdr:rowOff>
                  </to>
                </anchor>
              </controlPr>
            </control>
          </mc:Choice>
        </mc:AlternateContent>
        <mc:AlternateContent xmlns:mc="http://schemas.openxmlformats.org/markup-compatibility/2006">
          <mc:Choice Requires="x14">
            <control shapeId="50180" r:id="rId7" name="Drop Down 4">
              <controlPr defaultSize="0" autoLine="0" autoPict="0" altText="Number of months married_x000a_">
                <anchor moveWithCells="1">
                  <from>
                    <xdr:col>3</xdr:col>
                    <xdr:colOff>12700</xdr:colOff>
                    <xdr:row>16</xdr:row>
                    <xdr:rowOff>12700</xdr:rowOff>
                  </from>
                  <to>
                    <xdr:col>4</xdr:col>
                    <xdr:colOff>1708150</xdr:colOff>
                    <xdr:row>17</xdr:row>
                    <xdr:rowOff>69850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dimension ref="A1:K32"/>
  <sheetViews>
    <sheetView showGridLines="0" showRowColHeaders="0" topLeftCell="B1" zoomScale="96" workbookViewId="0">
      <selection activeCell="D5" sqref="D5"/>
    </sheetView>
  </sheetViews>
  <sheetFormatPr defaultRowHeight="12.5" x14ac:dyDescent="0.25"/>
  <cols>
    <col min="1" max="1" width="6.7265625" hidden="1" customWidth="1"/>
    <col min="2" max="2" width="6.54296875" customWidth="1"/>
    <col min="3" max="3" width="5.1796875" customWidth="1"/>
    <col min="4" max="4" width="14.1796875" customWidth="1"/>
    <col min="5" max="5" width="28.54296875" customWidth="1"/>
    <col min="6" max="6" width="3.54296875" customWidth="1"/>
    <col min="7" max="7" width="5.1796875" customWidth="1"/>
    <col min="8" max="8" width="14.1796875" customWidth="1"/>
    <col min="9" max="9" width="12.453125" customWidth="1"/>
    <col min="10" max="10" width="23.453125" customWidth="1"/>
    <col min="11" max="11" width="29.54296875" customWidth="1"/>
    <col min="12" max="12" width="23.453125" customWidth="1"/>
  </cols>
  <sheetData>
    <row r="1" spans="1:11" ht="9" customHeight="1" x14ac:dyDescent="0.25">
      <c r="A1" t="s">
        <v>20</v>
      </c>
      <c r="B1" s="14"/>
      <c r="C1" s="14"/>
      <c r="D1" s="14"/>
      <c r="E1" s="14"/>
      <c r="F1" s="14"/>
      <c r="G1" s="14"/>
      <c r="H1" s="14"/>
      <c r="I1" s="14"/>
      <c r="J1" s="14"/>
      <c r="K1" s="14"/>
    </row>
    <row r="2" spans="1:11" ht="9" customHeight="1" x14ac:dyDescent="0.25">
      <c r="B2" s="14"/>
      <c r="C2" s="14"/>
      <c r="D2" s="14"/>
      <c r="E2" s="14"/>
      <c r="F2" s="14"/>
      <c r="G2" s="14"/>
      <c r="H2" s="14"/>
      <c r="I2" s="14"/>
      <c r="J2" s="14"/>
      <c r="K2" s="14"/>
    </row>
    <row r="3" spans="1:11" ht="12.75" customHeight="1" x14ac:dyDescent="0.3">
      <c r="A3" s="8">
        <v>1</v>
      </c>
      <c r="B3" s="14"/>
      <c r="C3" s="1892" t="s">
        <v>5441</v>
      </c>
      <c r="D3" s="1856"/>
      <c r="E3" s="1856"/>
      <c r="F3" s="1856"/>
      <c r="G3" s="1856"/>
      <c r="H3" s="1856"/>
      <c r="I3" s="1856"/>
      <c r="J3" s="1857" t="str">
        <f>AIL</f>
        <v>AIL</v>
      </c>
      <c r="K3" s="14"/>
    </row>
    <row r="4" spans="1:11" ht="9" customHeight="1" x14ac:dyDescent="0.25">
      <c r="A4" s="8">
        <v>2</v>
      </c>
      <c r="B4" s="14"/>
      <c r="C4" s="655"/>
      <c r="D4" s="40"/>
      <c r="E4" s="46"/>
      <c r="F4" s="46"/>
      <c r="G4" s="40"/>
      <c r="H4" s="46"/>
      <c r="I4" s="46"/>
      <c r="J4" s="48"/>
      <c r="K4" s="14"/>
    </row>
    <row r="5" spans="1:11" ht="12.75" customHeight="1" x14ac:dyDescent="0.25">
      <c r="A5" s="8">
        <v>3</v>
      </c>
      <c r="B5" s="14"/>
      <c r="C5" s="1845">
        <f>AIL!A3</f>
        <v>1</v>
      </c>
      <c r="D5" s="40" t="str">
        <f>"Earlier years losses - set against certain "&amp;tax_year&amp;" income"</f>
        <v>Earlier years losses - set against certain 2025-26 income</v>
      </c>
      <c r="E5" s="46"/>
      <c r="F5" s="46"/>
      <c r="G5" s="1852">
        <f>A8</f>
        <v>6</v>
      </c>
      <c r="H5" s="623" t="s">
        <v>5442</v>
      </c>
      <c r="I5" s="46"/>
      <c r="J5" s="48"/>
      <c r="K5" s="14"/>
    </row>
    <row r="6" spans="1:11" ht="12.75" customHeight="1" x14ac:dyDescent="0.25">
      <c r="A6" s="8">
        <v>4</v>
      </c>
      <c r="B6" s="14"/>
      <c r="C6" s="655"/>
      <c r="D6" s="1865"/>
      <c r="E6" s="46"/>
      <c r="F6" s="46"/>
      <c r="G6" s="46"/>
      <c r="H6" s="1846"/>
      <c r="I6" s="46"/>
      <c r="J6" s="48"/>
      <c r="K6" s="14"/>
    </row>
    <row r="7" spans="1:11" ht="9" customHeight="1" x14ac:dyDescent="0.25">
      <c r="A7" s="8">
        <v>5</v>
      </c>
      <c r="B7" s="14"/>
      <c r="C7" s="1827"/>
      <c r="D7" s="1802"/>
      <c r="E7" s="1894"/>
      <c r="F7" s="1894"/>
      <c r="G7" s="1895"/>
      <c r="H7" s="1895"/>
      <c r="I7" s="1802"/>
      <c r="J7" s="1896"/>
      <c r="K7" s="14"/>
    </row>
    <row r="8" spans="1:11" ht="12.75" customHeight="1" x14ac:dyDescent="0.25">
      <c r="A8" s="8">
        <v>6</v>
      </c>
      <c r="B8" s="14"/>
      <c r="C8" s="14"/>
      <c r="D8" s="14"/>
      <c r="E8" s="14"/>
      <c r="F8" s="14"/>
      <c r="G8" s="14"/>
      <c r="H8" s="14"/>
      <c r="I8" s="14"/>
      <c r="J8" s="14"/>
      <c r="K8" s="14"/>
    </row>
    <row r="9" spans="1:11" ht="12.75" customHeight="1" x14ac:dyDescent="0.25">
      <c r="A9" s="8">
        <v>7</v>
      </c>
      <c r="B9" s="14"/>
      <c r="C9" s="1855" t="s">
        <v>5443</v>
      </c>
      <c r="D9" s="1856"/>
      <c r="E9" s="1856"/>
      <c r="F9" s="1856"/>
      <c r="G9" s="1884"/>
      <c r="H9" s="1904"/>
      <c r="I9" s="1856"/>
      <c r="J9" s="1857" t="str">
        <f>AIL</f>
        <v>AIL</v>
      </c>
      <c r="K9" s="14"/>
    </row>
    <row r="10" spans="1:11" ht="9" customHeight="1" x14ac:dyDescent="0.25">
      <c r="A10" s="8">
        <v>8</v>
      </c>
      <c r="B10" s="14"/>
      <c r="C10" s="655"/>
      <c r="D10" s="40"/>
      <c r="E10" s="40"/>
      <c r="F10" s="40"/>
      <c r="G10" s="43"/>
      <c r="H10" s="40"/>
      <c r="I10" s="40"/>
      <c r="J10" s="48"/>
      <c r="K10" s="14"/>
    </row>
    <row r="11" spans="1:11" ht="12.75" customHeight="1" x14ac:dyDescent="0.25">
      <c r="A11" s="8">
        <v>9</v>
      </c>
      <c r="B11" s="14"/>
      <c r="C11" s="1886">
        <f>A12</f>
        <v>10</v>
      </c>
      <c r="D11" s="46" t="s">
        <v>5444</v>
      </c>
      <c r="E11" s="40"/>
      <c r="F11" s="44"/>
      <c r="G11" s="1845">
        <f>A17</f>
        <v>13</v>
      </c>
      <c r="H11" s="46" t="s">
        <v>5445</v>
      </c>
      <c r="I11" s="45"/>
      <c r="J11" s="48"/>
      <c r="K11" s="14"/>
    </row>
    <row r="12" spans="1:11" ht="12.75" customHeight="1" x14ac:dyDescent="0.25">
      <c r="A12" s="8">
        <v>10</v>
      </c>
      <c r="B12" s="14"/>
      <c r="C12" s="655"/>
      <c r="D12" s="1846"/>
      <c r="E12" s="40"/>
      <c r="F12" s="40"/>
      <c r="G12" s="43"/>
      <c r="H12" s="1865"/>
      <c r="I12" s="40"/>
      <c r="J12" s="48"/>
      <c r="K12" s="14"/>
    </row>
    <row r="13" spans="1:11" ht="12.75" customHeight="1" x14ac:dyDescent="0.25">
      <c r="A13" s="8">
        <v>11</v>
      </c>
      <c r="B13" s="14"/>
      <c r="C13" s="655"/>
      <c r="D13" s="40"/>
      <c r="E13" s="40"/>
      <c r="F13" s="40"/>
      <c r="G13" s="43"/>
      <c r="H13" s="40"/>
      <c r="I13" s="45"/>
      <c r="J13" s="48"/>
      <c r="K13" s="14"/>
    </row>
    <row r="14" spans="1:11" ht="12.75" customHeight="1" x14ac:dyDescent="0.25">
      <c r="A14" s="8">
        <v>11.1</v>
      </c>
      <c r="B14" s="14"/>
      <c r="C14" s="1886">
        <f>A13</f>
        <v>11</v>
      </c>
      <c r="D14" s="46" t="str">
        <f>"Tax paid by the pension scheme"</f>
        <v>Tax paid by the pension scheme</v>
      </c>
      <c r="E14" s="40"/>
      <c r="F14" s="40"/>
      <c r="G14" s="1845">
        <f>A18</f>
        <v>14</v>
      </c>
      <c r="H14" s="46" t="s">
        <v>5446</v>
      </c>
      <c r="I14" s="45"/>
      <c r="J14" s="48"/>
      <c r="K14" s="14"/>
    </row>
    <row r="15" spans="1:11" ht="12.75" customHeight="1" x14ac:dyDescent="0.25">
      <c r="A15" s="8">
        <v>11.2</v>
      </c>
      <c r="B15" s="14"/>
      <c r="C15" s="655"/>
      <c r="D15" s="1846"/>
      <c r="E15" s="40"/>
      <c r="F15" s="45"/>
      <c r="G15" s="43"/>
      <c r="H15" s="1865"/>
      <c r="I15" s="40"/>
      <c r="J15" s="48"/>
      <c r="K15" s="14"/>
    </row>
    <row r="16" spans="1:11" ht="12.75" customHeight="1" x14ac:dyDescent="0.25">
      <c r="A16" s="8">
        <v>12</v>
      </c>
      <c r="B16" s="14"/>
      <c r="C16" s="655"/>
      <c r="D16" s="40"/>
      <c r="E16" s="40"/>
      <c r="F16" s="40"/>
      <c r="G16" s="43"/>
      <c r="H16" s="40"/>
      <c r="I16" s="45"/>
      <c r="J16" s="48"/>
      <c r="K16" s="14"/>
    </row>
    <row r="17" spans="1:11" ht="12.75" customHeight="1" x14ac:dyDescent="0.25">
      <c r="A17" s="8">
        <v>13</v>
      </c>
      <c r="B17" s="14"/>
      <c r="C17" s="1886">
        <f>A14</f>
        <v>11.1</v>
      </c>
      <c r="D17" s="46" t="s">
        <v>5447</v>
      </c>
      <c r="E17" s="40"/>
      <c r="F17" s="40"/>
      <c r="G17" s="1845">
        <f>A19</f>
        <v>15</v>
      </c>
      <c r="H17" s="40" t="str">
        <f>"Foreign tax taken off boxes "&amp;G11&amp;" and "&amp;G14</f>
        <v>Foreign tax taken off boxes 13 and 14</v>
      </c>
      <c r="I17" s="45"/>
      <c r="J17" s="48"/>
      <c r="K17" s="14"/>
    </row>
    <row r="18" spans="1:11" ht="12.75" customHeight="1" x14ac:dyDescent="0.25">
      <c r="A18" s="8">
        <v>14</v>
      </c>
      <c r="B18" s="14"/>
      <c r="C18" s="655"/>
      <c r="D18" s="1846"/>
      <c r="E18" s="40" t="s">
        <v>428</v>
      </c>
      <c r="F18" s="40"/>
      <c r="G18" s="43"/>
      <c r="H18" s="1865"/>
      <c r="I18" s="40"/>
      <c r="J18" s="48"/>
      <c r="K18" s="14"/>
    </row>
    <row r="19" spans="1:11" x14ac:dyDescent="0.25">
      <c r="A19" s="8">
        <v>15</v>
      </c>
      <c r="B19" s="14"/>
      <c r="C19" s="655"/>
      <c r="D19" s="40"/>
      <c r="E19" s="40"/>
      <c r="F19" s="40"/>
      <c r="G19" s="43"/>
      <c r="H19" s="40"/>
      <c r="I19" s="40"/>
      <c r="J19" s="48"/>
      <c r="K19" s="14"/>
    </row>
    <row r="20" spans="1:11" x14ac:dyDescent="0.25">
      <c r="A20" s="8">
        <v>16</v>
      </c>
      <c r="B20" s="14"/>
      <c r="C20" s="1886">
        <f>A15</f>
        <v>11.2</v>
      </c>
      <c r="D20" s="46" t="str">
        <f>"Tax paid by the pension scheme"</f>
        <v>Tax paid by the pension scheme</v>
      </c>
      <c r="E20" s="40"/>
      <c r="F20" s="40"/>
      <c r="G20" s="1845">
        <f>A20</f>
        <v>16</v>
      </c>
      <c r="H20" s="40" t="s">
        <v>5448</v>
      </c>
      <c r="I20" s="40"/>
      <c r="J20" s="48"/>
      <c r="K20" s="14"/>
    </row>
    <row r="21" spans="1:11" x14ac:dyDescent="0.25">
      <c r="A21" s="8">
        <v>17</v>
      </c>
      <c r="B21" s="14"/>
      <c r="C21" s="655"/>
      <c r="D21" s="1846"/>
      <c r="E21" s="40"/>
      <c r="F21" s="40"/>
      <c r="G21" s="43"/>
      <c r="H21" s="1865"/>
      <c r="I21" s="40"/>
      <c r="J21" s="48"/>
      <c r="K21" s="14"/>
    </row>
    <row r="22" spans="1:11" x14ac:dyDescent="0.25">
      <c r="A22" s="8">
        <v>18</v>
      </c>
      <c r="B22" s="14"/>
      <c r="C22" s="655"/>
      <c r="D22" s="825"/>
      <c r="E22" s="825"/>
      <c r="F22" s="40"/>
      <c r="G22" s="43"/>
      <c r="H22" s="40"/>
      <c r="I22" s="40"/>
      <c r="J22" s="48"/>
      <c r="K22" s="14"/>
    </row>
    <row r="23" spans="1:11" x14ac:dyDescent="0.25">
      <c r="A23" s="8">
        <v>19</v>
      </c>
      <c r="B23" s="14"/>
      <c r="C23" s="655"/>
      <c r="D23" s="825"/>
      <c r="E23" s="825"/>
      <c r="F23" s="40"/>
      <c r="G23" s="1845">
        <f>A22</f>
        <v>18</v>
      </c>
      <c r="H23" s="40" t="str">
        <f>"Foreign tax taken off box "&amp;G20</f>
        <v>Foreign tax taken off box 16</v>
      </c>
      <c r="I23" s="40"/>
      <c r="J23" s="48"/>
      <c r="K23" s="14"/>
    </row>
    <row r="24" spans="1:11" ht="12.75" customHeight="1" x14ac:dyDescent="0.25">
      <c r="A24" s="8"/>
      <c r="B24" s="14"/>
      <c r="C24" s="655"/>
      <c r="D24" s="825"/>
      <c r="E24" s="825"/>
      <c r="F24" s="40"/>
      <c r="G24" s="43"/>
      <c r="H24" s="1865"/>
      <c r="I24" s="40"/>
      <c r="J24" s="48"/>
      <c r="K24" s="14"/>
    </row>
    <row r="25" spans="1:11" ht="12.75" customHeight="1" x14ac:dyDescent="0.25">
      <c r="A25" s="8"/>
      <c r="B25" s="14"/>
      <c r="C25" s="655"/>
      <c r="D25" s="825"/>
      <c r="E25" s="825"/>
      <c r="F25" s="40"/>
      <c r="G25" s="43"/>
      <c r="H25" s="40"/>
      <c r="I25" s="47"/>
      <c r="J25" s="48"/>
      <c r="K25" s="14"/>
    </row>
    <row r="26" spans="1:11" x14ac:dyDescent="0.25">
      <c r="B26" s="14"/>
      <c r="C26" s="655"/>
      <c r="D26" s="825"/>
      <c r="E26" s="825"/>
      <c r="F26" s="40"/>
      <c r="G26" s="40"/>
      <c r="H26" s="40"/>
      <c r="I26" s="40"/>
      <c r="J26" s="48"/>
      <c r="K26" s="14"/>
    </row>
    <row r="27" spans="1:11" x14ac:dyDescent="0.25">
      <c r="B27" s="14"/>
      <c r="C27" s="655"/>
      <c r="D27" s="825"/>
      <c r="E27" s="825"/>
      <c r="F27" s="40"/>
      <c r="G27" s="40"/>
      <c r="H27" s="40"/>
      <c r="I27" s="40"/>
      <c r="J27" s="48"/>
      <c r="K27" s="14"/>
    </row>
    <row r="28" spans="1:11" x14ac:dyDescent="0.25">
      <c r="B28" s="14"/>
      <c r="C28" s="655"/>
      <c r="D28" s="825"/>
      <c r="E28" s="825"/>
      <c r="F28" s="40"/>
      <c r="G28" s="40"/>
      <c r="H28" s="40"/>
      <c r="I28" s="40"/>
      <c r="J28" s="48"/>
      <c r="K28" s="14"/>
    </row>
    <row r="29" spans="1:11" x14ac:dyDescent="0.25">
      <c r="B29" s="14"/>
      <c r="C29" s="655"/>
      <c r="D29" s="825"/>
      <c r="E29" s="825"/>
      <c r="F29" s="40"/>
      <c r="G29" s="40"/>
      <c r="H29" s="40"/>
      <c r="I29" s="40"/>
      <c r="J29" s="48"/>
      <c r="K29" s="14"/>
    </row>
    <row r="30" spans="1:11" x14ac:dyDescent="0.25">
      <c r="B30" s="14"/>
      <c r="C30" s="655"/>
      <c r="D30" s="825"/>
      <c r="E30" s="825"/>
      <c r="F30" s="40"/>
      <c r="G30" s="40"/>
      <c r="H30" s="40"/>
      <c r="I30" s="40"/>
      <c r="J30" s="48"/>
      <c r="K30" s="14"/>
    </row>
    <row r="31" spans="1:11" x14ac:dyDescent="0.25">
      <c r="B31" s="14"/>
      <c r="C31" s="1827"/>
      <c r="D31" s="1802"/>
      <c r="E31" s="1802"/>
      <c r="F31" s="1802"/>
      <c r="G31" s="1802"/>
      <c r="H31" s="1802"/>
      <c r="I31" s="1802"/>
      <c r="J31" s="1803"/>
      <c r="K31" s="14"/>
    </row>
    <row r="32" spans="1:11" x14ac:dyDescent="0.25">
      <c r="B32" s="14"/>
      <c r="C32" s="14"/>
      <c r="D32" s="14"/>
      <c r="E32" s="14"/>
      <c r="F32" s="14"/>
      <c r="G32" s="14"/>
      <c r="H32" s="14"/>
      <c r="I32" s="14"/>
      <c r="J32" s="14"/>
      <c r="K32" s="14"/>
    </row>
  </sheetData>
  <phoneticPr fontId="58" type="noConversion"/>
  <pageMargins left="0.75" right="0.75" top="1" bottom="1" header="0.5" footer="0.5"/>
  <pageSetup paperSize="9" orientation="landscape" r:id="rId1"/>
  <headerFooter alignWithMargins="0">
    <oddFooter>&amp;C&amp;1#&amp;"Calibri"&amp;10&amp;K000000OFFICIAL-SENSITIVE</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dimension ref="A1:T40"/>
  <sheetViews>
    <sheetView showGridLines="0" topLeftCell="B1" workbookViewId="0">
      <selection activeCell="H9" sqref="H9"/>
    </sheetView>
  </sheetViews>
  <sheetFormatPr defaultColWidth="9.1796875" defaultRowHeight="11.5" x14ac:dyDescent="0.25"/>
  <cols>
    <col min="1" max="1" width="5.1796875" style="8" hidden="1" customWidth="1"/>
    <col min="2" max="2" width="7" style="8" customWidth="1"/>
    <col min="3" max="3" width="5.1796875" style="11" customWidth="1"/>
    <col min="4" max="4" width="14" style="8" customWidth="1"/>
    <col min="5" max="5" width="7.54296875" style="8" customWidth="1"/>
    <col min="6" max="6" width="4.1796875" style="8" customWidth="1"/>
    <col min="7" max="7" width="5.1796875" style="8" customWidth="1"/>
    <col min="8" max="8" width="14" style="8" customWidth="1"/>
    <col min="9" max="9" width="6.1796875" style="8" customWidth="1"/>
    <col min="10" max="10" width="4.453125" style="8" customWidth="1"/>
    <col min="11" max="11" width="5.1796875" style="11" customWidth="1"/>
    <col min="12" max="12" width="14" style="8" customWidth="1"/>
    <col min="13" max="13" width="7.81640625" style="8" customWidth="1"/>
    <col min="14" max="14" width="4.1796875" style="8" customWidth="1"/>
    <col min="15" max="15" width="5.1796875" style="11" customWidth="1"/>
    <col min="16" max="16" width="14" style="8" customWidth="1"/>
    <col min="17" max="17" width="6.81640625" style="8" customWidth="1"/>
    <col min="18" max="18" width="37" style="8" customWidth="1"/>
    <col min="19" max="19" width="14.453125" style="8" hidden="1" customWidth="1"/>
    <col min="20" max="20" width="26.81640625" style="8" hidden="1" customWidth="1"/>
    <col min="21" max="16384" width="9.1796875" style="8"/>
  </cols>
  <sheetData>
    <row r="1" spans="1:20" ht="6" customHeight="1" x14ac:dyDescent="0.25">
      <c r="A1" s="8" t="s">
        <v>78</v>
      </c>
      <c r="B1" s="17"/>
      <c r="C1" s="37"/>
      <c r="D1" s="17"/>
      <c r="E1" s="17"/>
      <c r="F1" s="17"/>
      <c r="G1" s="17"/>
      <c r="H1" s="17"/>
      <c r="I1" s="17"/>
      <c r="J1" s="17"/>
      <c r="K1" s="37"/>
      <c r="L1" s="17"/>
      <c r="M1" s="17"/>
      <c r="N1" s="17"/>
      <c r="O1" s="37"/>
      <c r="P1" s="17"/>
      <c r="Q1" s="17"/>
      <c r="R1" s="17"/>
    </row>
    <row r="2" spans="1:20" ht="12.75" customHeight="1" x14ac:dyDescent="0.25">
      <c r="B2" s="17"/>
      <c r="C2" s="1905" t="s">
        <v>5449</v>
      </c>
      <c r="D2" s="1906"/>
      <c r="E2" s="1906"/>
      <c r="F2" s="1906"/>
      <c r="G2" s="1906"/>
      <c r="H2" s="1906"/>
      <c r="I2" s="1907" t="s">
        <v>78</v>
      </c>
      <c r="J2" s="17"/>
      <c r="K2" s="1905" t="s">
        <v>5450</v>
      </c>
      <c r="L2" s="1906"/>
      <c r="M2" s="1908"/>
      <c r="N2" s="1908"/>
      <c r="O2" s="1909"/>
      <c r="P2" s="1908"/>
      <c r="Q2" s="1907" t="s">
        <v>78</v>
      </c>
      <c r="R2" s="17"/>
    </row>
    <row r="3" spans="1:20" ht="8.25" customHeight="1" x14ac:dyDescent="0.25">
      <c r="A3" s="8">
        <v>1</v>
      </c>
      <c r="B3" s="17"/>
      <c r="C3" s="671"/>
      <c r="D3" s="50"/>
      <c r="E3" s="50"/>
      <c r="F3" s="50"/>
      <c r="G3" s="50"/>
      <c r="H3" s="50"/>
      <c r="I3" s="53"/>
      <c r="J3" s="17"/>
      <c r="K3" s="671"/>
      <c r="L3" s="51"/>
      <c r="M3" s="50"/>
      <c r="N3" s="50"/>
      <c r="O3" s="56"/>
      <c r="P3" s="50"/>
      <c r="Q3" s="53"/>
      <c r="R3" s="17"/>
      <c r="S3" s="8" t="s">
        <v>5451</v>
      </c>
    </row>
    <row r="4" spans="1:20" ht="12.75" customHeight="1" x14ac:dyDescent="0.25">
      <c r="A4" s="8">
        <v>1.1000000000000001</v>
      </c>
      <c r="B4" s="17"/>
      <c r="C4" s="1845">
        <f>A3</f>
        <v>1</v>
      </c>
      <c r="D4" s="50" t="s">
        <v>5452</v>
      </c>
      <c r="E4" s="50"/>
      <c r="F4" s="50"/>
      <c r="G4" s="1845">
        <f>A4</f>
        <v>1.1000000000000001</v>
      </c>
      <c r="H4" s="50" t="s">
        <v>2595</v>
      </c>
      <c r="I4" s="53"/>
      <c r="J4" s="17"/>
      <c r="K4" s="1845">
        <f>A3</f>
        <v>1</v>
      </c>
      <c r="L4" s="50" t="s">
        <v>5452</v>
      </c>
      <c r="M4" s="50"/>
      <c r="N4" s="50"/>
      <c r="O4" s="1845">
        <f>A4</f>
        <v>1.1000000000000001</v>
      </c>
      <c r="P4" s="50" t="s">
        <v>2595</v>
      </c>
      <c r="Q4" s="53"/>
      <c r="R4" s="17"/>
      <c r="S4" s="1910" t="s">
        <v>5453</v>
      </c>
      <c r="T4" s="9"/>
    </row>
    <row r="5" spans="1:20" ht="12.75" customHeight="1" x14ac:dyDescent="0.25">
      <c r="A5" s="8">
        <v>2</v>
      </c>
      <c r="B5" s="17"/>
      <c r="C5" s="671"/>
      <c r="D5" s="1846"/>
      <c r="E5" s="50"/>
      <c r="F5" s="50"/>
      <c r="G5" s="50"/>
      <c r="H5" s="1846"/>
      <c r="I5" s="53"/>
      <c r="J5" s="17"/>
      <c r="K5" s="672"/>
      <c r="L5" s="1846"/>
      <c r="M5" s="50"/>
      <c r="N5" s="50"/>
      <c r="O5" s="50"/>
      <c r="P5" s="1846"/>
      <c r="Q5" s="57"/>
      <c r="R5" s="17"/>
      <c r="S5" s="1911">
        <f>TRUNC(D5+D11,0)</f>
        <v>0</v>
      </c>
      <c r="T5" s="1911">
        <f>TRUNC(L5+L11,0)</f>
        <v>0</v>
      </c>
    </row>
    <row r="6" spans="1:20" ht="8.25" customHeight="1" x14ac:dyDescent="0.25">
      <c r="A6" s="8">
        <v>3</v>
      </c>
      <c r="B6" s="17"/>
      <c r="C6" s="671"/>
      <c r="D6" s="51"/>
      <c r="E6" s="51"/>
      <c r="F6" s="51"/>
      <c r="G6" s="51"/>
      <c r="H6" s="51"/>
      <c r="I6" s="54"/>
      <c r="J6" s="17"/>
      <c r="K6" s="672"/>
      <c r="L6" s="51"/>
      <c r="M6" s="51"/>
      <c r="N6" s="51"/>
      <c r="O6" s="51"/>
      <c r="P6" s="51"/>
      <c r="Q6" s="57"/>
      <c r="R6" s="17"/>
      <c r="S6" s="26"/>
      <c r="T6" s="26"/>
    </row>
    <row r="7" spans="1:20" ht="12.75" customHeight="1" x14ac:dyDescent="0.25">
      <c r="A7" s="8">
        <v>4</v>
      </c>
      <c r="B7" s="17"/>
      <c r="C7" s="1845">
        <f>A5</f>
        <v>2</v>
      </c>
      <c r="D7" s="52" t="str">
        <f>"Tax taken off box "&amp;C4</f>
        <v>Tax taken off box 1</v>
      </c>
      <c r="E7" s="51"/>
      <c r="F7" s="51"/>
      <c r="G7" s="51"/>
      <c r="H7" s="51"/>
      <c r="I7" s="54"/>
      <c r="J7" s="17"/>
      <c r="K7" s="1845">
        <f>A5</f>
        <v>2</v>
      </c>
      <c r="L7" s="52" t="str">
        <f>"Tax taken off box "&amp;K4</f>
        <v>Tax taken off box 1</v>
      </c>
      <c r="M7" s="51"/>
      <c r="N7" s="51"/>
      <c r="O7" s="51"/>
      <c r="P7" s="51"/>
      <c r="Q7" s="57"/>
      <c r="R7" s="17"/>
    </row>
    <row r="8" spans="1:20" ht="12.75" customHeight="1" x14ac:dyDescent="0.25">
      <c r="A8" s="8">
        <v>5</v>
      </c>
      <c r="B8" s="17"/>
      <c r="C8" s="671"/>
      <c r="D8" s="1863"/>
      <c r="E8" s="50"/>
      <c r="F8" s="50"/>
      <c r="G8" s="50"/>
      <c r="H8" s="50"/>
      <c r="I8" s="53"/>
      <c r="J8" s="17"/>
      <c r="K8" s="672"/>
      <c r="L8" s="1863"/>
      <c r="M8" s="50"/>
      <c r="N8" s="50"/>
      <c r="O8" s="50"/>
      <c r="P8" s="50"/>
      <c r="Q8" s="57"/>
      <c r="R8" s="17"/>
    </row>
    <row r="9" spans="1:20" ht="8.25" customHeight="1" x14ac:dyDescent="0.25">
      <c r="A9" s="8">
        <v>6</v>
      </c>
      <c r="B9" s="17"/>
      <c r="C9" s="671"/>
      <c r="D9" s="50"/>
      <c r="E9" s="50"/>
      <c r="F9" s="50"/>
      <c r="G9" s="50"/>
      <c r="H9" s="50"/>
      <c r="I9" s="53"/>
      <c r="J9" s="17"/>
      <c r="K9" s="672"/>
      <c r="L9" s="50"/>
      <c r="M9" s="50"/>
      <c r="N9" s="50"/>
      <c r="O9" s="50"/>
      <c r="P9" s="50"/>
      <c r="Q9" s="57"/>
      <c r="R9" s="17"/>
    </row>
    <row r="10" spans="1:20" ht="12.75" customHeight="1" x14ac:dyDescent="0.25">
      <c r="A10" s="8">
        <v>7</v>
      </c>
      <c r="B10" s="17"/>
      <c r="C10" s="1845">
        <f>A6</f>
        <v>3</v>
      </c>
      <c r="D10" s="50" t="s">
        <v>5454</v>
      </c>
      <c r="E10" s="50"/>
      <c r="F10" s="50"/>
      <c r="G10" s="50"/>
      <c r="H10" s="50"/>
      <c r="I10" s="53"/>
      <c r="J10" s="17"/>
      <c r="K10" s="1845">
        <f>A6</f>
        <v>3</v>
      </c>
      <c r="L10" s="50" t="s">
        <v>5454</v>
      </c>
      <c r="M10" s="50"/>
      <c r="N10" s="50"/>
      <c r="O10" s="50"/>
      <c r="P10" s="50"/>
      <c r="Q10" s="57"/>
      <c r="R10" s="17"/>
      <c r="S10" s="8" t="s">
        <v>5455</v>
      </c>
    </row>
    <row r="11" spans="1:20" ht="12.75" customHeight="1" x14ac:dyDescent="0.25">
      <c r="A11" s="8">
        <v>8</v>
      </c>
      <c r="B11" s="17"/>
      <c r="C11" s="671"/>
      <c r="D11" s="1846"/>
      <c r="E11" s="51"/>
      <c r="F11" s="51"/>
      <c r="G11" s="50"/>
      <c r="H11" s="50"/>
      <c r="I11" s="54"/>
      <c r="J11" s="17"/>
      <c r="K11" s="672"/>
      <c r="L11" s="1846"/>
      <c r="M11" s="51"/>
      <c r="N11" s="51"/>
      <c r="O11" s="50"/>
      <c r="P11" s="50"/>
      <c r="Q11" s="57"/>
      <c r="R11" s="17"/>
      <c r="S11" s="1860"/>
      <c r="T11" s="1860"/>
    </row>
    <row r="12" spans="1:20" ht="9" customHeight="1" x14ac:dyDescent="0.25">
      <c r="A12" s="8">
        <v>9</v>
      </c>
      <c r="B12" s="17"/>
      <c r="C12" s="671"/>
      <c r="D12" s="51"/>
      <c r="E12" s="51"/>
      <c r="F12" s="51"/>
      <c r="G12" s="51"/>
      <c r="H12" s="51"/>
      <c r="I12" s="55"/>
      <c r="J12" s="17"/>
      <c r="K12" s="672"/>
      <c r="L12" s="51"/>
      <c r="M12" s="51"/>
      <c r="N12" s="51"/>
      <c r="O12" s="69"/>
      <c r="P12" s="51"/>
      <c r="Q12" s="57"/>
      <c r="R12" s="17"/>
    </row>
    <row r="13" spans="1:20" ht="6" customHeight="1" x14ac:dyDescent="0.25">
      <c r="A13" s="8">
        <v>10</v>
      </c>
      <c r="B13" s="17"/>
      <c r="C13" s="1912"/>
      <c r="D13" s="1913"/>
      <c r="E13" s="1913"/>
      <c r="F13" s="1913"/>
      <c r="G13" s="1913"/>
      <c r="H13" s="1913"/>
      <c r="I13" s="1914"/>
      <c r="J13" s="17"/>
      <c r="K13" s="1915"/>
      <c r="L13" s="1913"/>
      <c r="M13" s="1913"/>
      <c r="N13" s="1913"/>
      <c r="O13" s="1916"/>
      <c r="P13" s="1913"/>
      <c r="Q13" s="1917"/>
      <c r="R13" s="17"/>
    </row>
    <row r="14" spans="1:20" ht="12.75" customHeight="1" x14ac:dyDescent="0.25">
      <c r="A14" s="8">
        <v>11</v>
      </c>
      <c r="B14" s="17"/>
      <c r="C14" s="1905" t="s">
        <v>5456</v>
      </c>
      <c r="D14" s="1908"/>
      <c r="E14" s="1908"/>
      <c r="F14" s="1908"/>
      <c r="G14" s="1908"/>
      <c r="H14" s="1908"/>
      <c r="I14" s="1907" t="s">
        <v>78</v>
      </c>
      <c r="J14" s="17"/>
      <c r="K14" s="1905" t="s">
        <v>5457</v>
      </c>
      <c r="L14" s="1908"/>
      <c r="M14" s="1908"/>
      <c r="N14" s="1908"/>
      <c r="O14" s="1918"/>
      <c r="P14" s="1908"/>
      <c r="Q14" s="1907" t="s">
        <v>78</v>
      </c>
      <c r="R14" s="17"/>
    </row>
    <row r="15" spans="1:20" ht="8.25" customHeight="1" x14ac:dyDescent="0.25">
      <c r="A15" s="8">
        <v>12</v>
      </c>
      <c r="B15" s="17"/>
      <c r="C15" s="671"/>
      <c r="D15" s="50"/>
      <c r="E15" s="50"/>
      <c r="F15" s="50"/>
      <c r="G15" s="50"/>
      <c r="H15" s="50"/>
      <c r="I15" s="53"/>
      <c r="J15" s="17"/>
      <c r="K15" s="672"/>
      <c r="L15" s="50"/>
      <c r="M15" s="50"/>
      <c r="N15" s="50"/>
      <c r="O15" s="69"/>
      <c r="P15" s="50"/>
      <c r="Q15" s="57"/>
      <c r="R15" s="17"/>
      <c r="S15" s="8" t="s">
        <v>5458</v>
      </c>
    </row>
    <row r="16" spans="1:20" ht="12.75" customHeight="1" x14ac:dyDescent="0.25">
      <c r="A16" s="8">
        <v>13</v>
      </c>
      <c r="B16" s="17"/>
      <c r="C16" s="1845">
        <f>A12</f>
        <v>9</v>
      </c>
      <c r="D16" s="50" t="s">
        <v>5459</v>
      </c>
      <c r="E16" s="50"/>
      <c r="F16" s="50"/>
      <c r="G16" s="1845">
        <f>A16</f>
        <v>13</v>
      </c>
      <c r="H16" s="50" t="s">
        <v>5460</v>
      </c>
      <c r="I16" s="53"/>
      <c r="J16" s="17"/>
      <c r="K16" s="1845">
        <f>A12</f>
        <v>9</v>
      </c>
      <c r="L16" s="50" t="s">
        <v>5459</v>
      </c>
      <c r="M16" s="50"/>
      <c r="N16" s="50"/>
      <c r="O16" s="1845">
        <f>A16</f>
        <v>13</v>
      </c>
      <c r="P16" s="50" t="s">
        <v>5460</v>
      </c>
      <c r="Q16" s="57"/>
      <c r="R16" s="17"/>
      <c r="S16" s="1919" t="s">
        <v>5461</v>
      </c>
    </row>
    <row r="17" spans="1:20" ht="12.75" customHeight="1" x14ac:dyDescent="0.25">
      <c r="A17" s="8">
        <v>14</v>
      </c>
      <c r="B17" s="17"/>
      <c r="C17" s="671"/>
      <c r="D17" s="1846"/>
      <c r="E17" s="50"/>
      <c r="F17" s="50"/>
      <c r="G17" s="50"/>
      <c r="H17" s="1846"/>
      <c r="I17" s="53"/>
      <c r="J17" s="17"/>
      <c r="K17" s="672"/>
      <c r="L17" s="1846"/>
      <c r="M17" s="50"/>
      <c r="N17" s="50"/>
      <c r="O17" s="67"/>
      <c r="P17" s="1846"/>
      <c r="Q17" s="53"/>
      <c r="R17" s="17"/>
      <c r="S17" s="1911">
        <f>TRUNC(D17+D20+D23+D26+H17+H20+H23+H26,0)</f>
        <v>0</v>
      </c>
      <c r="T17" s="1911">
        <f>TRUNC(L17+L20+L23+L26+P17+P20+P23+P26,0)</f>
        <v>0</v>
      </c>
    </row>
    <row r="18" spans="1:20" ht="8.25" customHeight="1" x14ac:dyDescent="0.25">
      <c r="A18" s="8">
        <v>15</v>
      </c>
      <c r="B18" s="17"/>
      <c r="C18" s="671"/>
      <c r="D18" s="50"/>
      <c r="E18" s="50"/>
      <c r="F18" s="50"/>
      <c r="G18" s="50"/>
      <c r="H18" s="50"/>
      <c r="I18" s="53"/>
      <c r="J18" s="17"/>
      <c r="K18" s="672"/>
      <c r="L18" s="50"/>
      <c r="M18" s="50"/>
      <c r="N18" s="50"/>
      <c r="O18" s="67"/>
      <c r="P18" s="50"/>
      <c r="Q18" s="53"/>
      <c r="R18" s="17"/>
    </row>
    <row r="19" spans="1:20" ht="12.75" customHeight="1" x14ac:dyDescent="0.25">
      <c r="A19" s="8">
        <v>16</v>
      </c>
      <c r="B19" s="17"/>
      <c r="C19" s="1845">
        <f>A13</f>
        <v>10</v>
      </c>
      <c r="D19" s="50" t="s">
        <v>5462</v>
      </c>
      <c r="E19" s="50"/>
      <c r="F19" s="50"/>
      <c r="G19" s="1845">
        <f>A17</f>
        <v>14</v>
      </c>
      <c r="H19" s="50" t="s">
        <v>5463</v>
      </c>
      <c r="I19" s="53"/>
      <c r="J19" s="17"/>
      <c r="K19" s="1845">
        <f>A13</f>
        <v>10</v>
      </c>
      <c r="L19" s="50" t="s">
        <v>5462</v>
      </c>
      <c r="M19" s="50"/>
      <c r="N19" s="50"/>
      <c r="O19" s="1845">
        <f>A17</f>
        <v>14</v>
      </c>
      <c r="P19" s="50" t="s">
        <v>5463</v>
      </c>
      <c r="Q19" s="53"/>
      <c r="R19" s="17"/>
    </row>
    <row r="20" spans="1:20" ht="12.75" customHeight="1" x14ac:dyDescent="0.25">
      <c r="A20" s="8">
        <v>17</v>
      </c>
      <c r="B20" s="17"/>
      <c r="C20" s="671"/>
      <c r="D20" s="1846"/>
      <c r="E20" s="50"/>
      <c r="F20" s="50"/>
      <c r="G20" s="50"/>
      <c r="H20" s="1846"/>
      <c r="I20" s="53"/>
      <c r="J20" s="17"/>
      <c r="K20" s="672"/>
      <c r="L20" s="1846"/>
      <c r="M20" s="50"/>
      <c r="N20" s="50"/>
      <c r="O20" s="67"/>
      <c r="P20" s="1846"/>
      <c r="Q20" s="53"/>
      <c r="R20" s="17"/>
    </row>
    <row r="21" spans="1:20" ht="8.25" customHeight="1" x14ac:dyDescent="0.25">
      <c r="A21" s="8">
        <v>18</v>
      </c>
      <c r="B21" s="17"/>
      <c r="C21" s="671"/>
      <c r="D21" s="50"/>
      <c r="E21" s="50"/>
      <c r="F21" s="50"/>
      <c r="G21" s="50"/>
      <c r="H21" s="50"/>
      <c r="I21" s="53"/>
      <c r="J21" s="17"/>
      <c r="K21" s="672"/>
      <c r="L21" s="50"/>
      <c r="M21" s="50"/>
      <c r="N21" s="50"/>
      <c r="O21" s="67"/>
      <c r="P21" s="50"/>
      <c r="Q21" s="53"/>
      <c r="R21" s="17"/>
      <c r="S21" s="8" t="s">
        <v>5464</v>
      </c>
    </row>
    <row r="22" spans="1:20" ht="12.75" customHeight="1" x14ac:dyDescent="0.25">
      <c r="A22" s="8">
        <v>19</v>
      </c>
      <c r="B22" s="17"/>
      <c r="C22" s="1845">
        <f>A14</f>
        <v>11</v>
      </c>
      <c r="D22" s="50" t="s">
        <v>5465</v>
      </c>
      <c r="E22" s="50"/>
      <c r="F22" s="50"/>
      <c r="G22" s="1845">
        <f>A18</f>
        <v>15</v>
      </c>
      <c r="H22" s="50" t="s">
        <v>2832</v>
      </c>
      <c r="I22" s="53"/>
      <c r="J22" s="17"/>
      <c r="K22" s="1845">
        <f>A14</f>
        <v>11</v>
      </c>
      <c r="L22" s="50" t="s">
        <v>5465</v>
      </c>
      <c r="M22" s="50"/>
      <c r="N22" s="50"/>
      <c r="O22" s="1845">
        <f>A18</f>
        <v>15</v>
      </c>
      <c r="P22" s="50" t="s">
        <v>2832</v>
      </c>
      <c r="Q22" s="53"/>
      <c r="R22" s="17"/>
      <c r="S22" s="26">
        <f>H11+P11</f>
        <v>0</v>
      </c>
    </row>
    <row r="23" spans="1:20" ht="12.75" customHeight="1" x14ac:dyDescent="0.25">
      <c r="A23" s="8">
        <v>20</v>
      </c>
      <c r="B23" s="17"/>
      <c r="C23" s="671"/>
      <c r="D23" s="1846"/>
      <c r="E23" s="50"/>
      <c r="F23" s="50"/>
      <c r="G23" s="50"/>
      <c r="H23" s="1846"/>
      <c r="I23" s="53"/>
      <c r="J23" s="17"/>
      <c r="K23" s="672"/>
      <c r="L23" s="1846"/>
      <c r="M23" s="50"/>
      <c r="N23" s="50"/>
      <c r="O23" s="67"/>
      <c r="P23" s="1846"/>
      <c r="Q23" s="53"/>
      <c r="R23" s="17"/>
    </row>
    <row r="24" spans="1:20" ht="8.25" customHeight="1" x14ac:dyDescent="0.25">
      <c r="B24" s="17"/>
      <c r="C24" s="671"/>
      <c r="D24" s="50"/>
      <c r="E24" s="50"/>
      <c r="F24" s="50"/>
      <c r="G24" s="50"/>
      <c r="H24" s="50"/>
      <c r="I24" s="53"/>
      <c r="J24" s="17"/>
      <c r="K24" s="672"/>
      <c r="L24" s="50"/>
      <c r="M24" s="50"/>
      <c r="N24" s="50"/>
      <c r="O24" s="67"/>
      <c r="P24" s="50"/>
      <c r="Q24" s="53"/>
      <c r="R24" s="17"/>
    </row>
    <row r="25" spans="1:20" ht="12.75" customHeight="1" x14ac:dyDescent="0.25">
      <c r="B25" s="17"/>
      <c r="C25" s="1845">
        <f>A15</f>
        <v>12</v>
      </c>
      <c r="D25" s="50" t="s">
        <v>5466</v>
      </c>
      <c r="E25" s="50"/>
      <c r="F25" s="50"/>
      <c r="G25" s="1845">
        <f>A19</f>
        <v>16</v>
      </c>
      <c r="H25" s="50" t="s">
        <v>5467</v>
      </c>
      <c r="I25" s="53"/>
      <c r="J25" s="17"/>
      <c r="K25" s="1845">
        <f>A15</f>
        <v>12</v>
      </c>
      <c r="L25" s="50" t="s">
        <v>5466</v>
      </c>
      <c r="M25" s="50"/>
      <c r="N25" s="50"/>
      <c r="O25" s="1845">
        <f>A19</f>
        <v>16</v>
      </c>
      <c r="P25" s="50" t="s">
        <v>5467</v>
      </c>
      <c r="Q25" s="53"/>
      <c r="R25" s="17"/>
    </row>
    <row r="26" spans="1:20" ht="12.75" customHeight="1" x14ac:dyDescent="0.25">
      <c r="B26" s="17"/>
      <c r="C26" s="671"/>
      <c r="D26" s="1846"/>
      <c r="E26" s="50"/>
      <c r="F26" s="50"/>
      <c r="G26" s="50"/>
      <c r="H26" s="1846"/>
      <c r="I26" s="53"/>
      <c r="J26" s="17"/>
      <c r="K26" s="672"/>
      <c r="L26" s="1846"/>
      <c r="M26" s="50"/>
      <c r="N26" s="50"/>
      <c r="O26" s="67"/>
      <c r="P26" s="1846"/>
      <c r="Q26" s="53"/>
      <c r="R26" s="17"/>
    </row>
    <row r="27" spans="1:20" ht="6" customHeight="1" x14ac:dyDescent="0.25">
      <c r="B27" s="17"/>
      <c r="C27" s="1912"/>
      <c r="D27" s="1913"/>
      <c r="E27" s="1913"/>
      <c r="F27" s="1913"/>
      <c r="G27" s="1913"/>
      <c r="H27" s="1913"/>
      <c r="I27" s="1914"/>
      <c r="J27" s="21"/>
      <c r="K27" s="1915"/>
      <c r="L27" s="1913"/>
      <c r="M27" s="1913"/>
      <c r="N27" s="1913"/>
      <c r="O27" s="1920"/>
      <c r="P27" s="1913"/>
      <c r="Q27" s="1914"/>
      <c r="R27" s="17"/>
    </row>
    <row r="28" spans="1:20" x14ac:dyDescent="0.25">
      <c r="B28" s="17"/>
      <c r="C28" s="1905" t="s">
        <v>5468</v>
      </c>
      <c r="D28" s="1908"/>
      <c r="E28" s="1908"/>
      <c r="F28" s="1908"/>
      <c r="G28" s="1908"/>
      <c r="H28" s="1908"/>
      <c r="I28" s="1907" t="s">
        <v>78</v>
      </c>
      <c r="J28" s="21"/>
      <c r="K28" s="1905" t="s">
        <v>5469</v>
      </c>
      <c r="L28" s="1908"/>
      <c r="M28" s="1908"/>
      <c r="N28" s="1908"/>
      <c r="O28" s="1921"/>
      <c r="P28" s="1908"/>
      <c r="Q28" s="1907" t="s">
        <v>78</v>
      </c>
      <c r="R28" s="17"/>
    </row>
    <row r="29" spans="1:20" ht="8.25" customHeight="1" x14ac:dyDescent="0.25">
      <c r="B29" s="17"/>
      <c r="C29" s="671"/>
      <c r="D29" s="50"/>
      <c r="E29" s="50"/>
      <c r="F29" s="50"/>
      <c r="G29" s="50"/>
      <c r="H29" s="50"/>
      <c r="I29" s="53"/>
      <c r="J29" s="21"/>
      <c r="K29" s="672"/>
      <c r="L29" s="50"/>
      <c r="M29" s="50"/>
      <c r="N29" s="50"/>
      <c r="O29" s="67"/>
      <c r="P29" s="50"/>
      <c r="Q29" s="53"/>
      <c r="R29" s="17"/>
    </row>
    <row r="30" spans="1:20" x14ac:dyDescent="0.25">
      <c r="B30" s="17"/>
      <c r="C30" s="1845">
        <f>A20</f>
        <v>17</v>
      </c>
      <c r="D30" s="50" t="s">
        <v>5470</v>
      </c>
      <c r="E30" s="50"/>
      <c r="F30" s="50"/>
      <c r="G30" s="1845">
        <f>A22</f>
        <v>19</v>
      </c>
      <c r="H30" s="50" t="s">
        <v>5471</v>
      </c>
      <c r="I30" s="53"/>
      <c r="J30" s="21"/>
      <c r="K30" s="1845">
        <f>A20</f>
        <v>17</v>
      </c>
      <c r="L30" s="50" t="s">
        <v>5470</v>
      </c>
      <c r="M30" s="50"/>
      <c r="N30" s="50"/>
      <c r="O30" s="1845">
        <f>A22</f>
        <v>19</v>
      </c>
      <c r="P30" s="50" t="s">
        <v>5471</v>
      </c>
      <c r="Q30" s="53"/>
      <c r="R30" s="17"/>
      <c r="S30" s="1910" t="s">
        <v>5472</v>
      </c>
    </row>
    <row r="31" spans="1:20" x14ac:dyDescent="0.25">
      <c r="B31" s="17"/>
      <c r="C31" s="671"/>
      <c r="D31" s="1846"/>
      <c r="E31" s="50"/>
      <c r="F31" s="50"/>
      <c r="G31" s="50"/>
      <c r="H31" s="1846"/>
      <c r="I31" s="53"/>
      <c r="J31" s="21"/>
      <c r="K31" s="672"/>
      <c r="L31" s="1846"/>
      <c r="M31" s="50"/>
      <c r="N31" s="50"/>
      <c r="O31" s="67"/>
      <c r="P31" s="1846"/>
      <c r="Q31" s="53"/>
      <c r="R31" s="17"/>
      <c r="S31" s="1911">
        <f>TRUNC((D31+D34+H31+H34)+0.99,0)</f>
        <v>0</v>
      </c>
      <c r="T31" s="1911">
        <f>TRUNC((L31+L34+P31+P34)+0.99,0)</f>
        <v>0</v>
      </c>
    </row>
    <row r="32" spans="1:20" ht="8.25" customHeight="1" x14ac:dyDescent="0.25">
      <c r="B32" s="17"/>
      <c r="C32" s="671"/>
      <c r="D32" s="50"/>
      <c r="E32" s="50"/>
      <c r="F32" s="50"/>
      <c r="G32" s="50"/>
      <c r="H32" s="50"/>
      <c r="I32" s="53"/>
      <c r="J32" s="21"/>
      <c r="K32" s="672"/>
      <c r="L32" s="50"/>
      <c r="M32" s="50"/>
      <c r="N32" s="50"/>
      <c r="O32" s="67"/>
      <c r="P32" s="50"/>
      <c r="Q32" s="53"/>
      <c r="R32" s="17"/>
    </row>
    <row r="33" spans="2:20" x14ac:dyDescent="0.25">
      <c r="B33" s="17"/>
      <c r="C33" s="1845">
        <f>A21</f>
        <v>18</v>
      </c>
      <c r="D33" s="50" t="s">
        <v>5473</v>
      </c>
      <c r="E33" s="50"/>
      <c r="F33" s="50"/>
      <c r="G33" s="1845">
        <f>A23</f>
        <v>20</v>
      </c>
      <c r="H33" s="50" t="s">
        <v>2847</v>
      </c>
      <c r="I33" s="53"/>
      <c r="J33" s="21"/>
      <c r="K33" s="1845">
        <f>A21</f>
        <v>18</v>
      </c>
      <c r="L33" s="50" t="s">
        <v>5473</v>
      </c>
      <c r="M33" s="50"/>
      <c r="N33" s="50"/>
      <c r="O33" s="1845">
        <f>A23</f>
        <v>20</v>
      </c>
      <c r="P33" s="50" t="s">
        <v>2847</v>
      </c>
      <c r="Q33" s="53"/>
      <c r="R33" s="17"/>
      <c r="S33" s="9"/>
    </row>
    <row r="34" spans="2:20" x14ac:dyDescent="0.25">
      <c r="B34" s="17"/>
      <c r="C34" s="671"/>
      <c r="D34" s="1846"/>
      <c r="E34" s="50"/>
      <c r="F34" s="50"/>
      <c r="G34" s="50"/>
      <c r="H34" s="1846"/>
      <c r="I34" s="53"/>
      <c r="J34" s="21"/>
      <c r="K34" s="671"/>
      <c r="L34" s="1846"/>
      <c r="M34" s="50"/>
      <c r="N34" s="50"/>
      <c r="O34" s="50"/>
      <c r="P34" s="1846"/>
      <c r="Q34" s="53"/>
      <c r="R34" s="17"/>
      <c r="S34" s="26"/>
      <c r="T34" s="26"/>
    </row>
    <row r="35" spans="2:20" ht="6" customHeight="1" x14ac:dyDescent="0.25">
      <c r="B35" s="17"/>
      <c r="C35" s="1912"/>
      <c r="D35" s="1913"/>
      <c r="E35" s="1913"/>
      <c r="F35" s="1913"/>
      <c r="G35" s="1913"/>
      <c r="H35" s="1913"/>
      <c r="I35" s="1914"/>
      <c r="J35" s="21"/>
      <c r="K35" s="1912"/>
      <c r="L35" s="1913"/>
      <c r="M35" s="1913"/>
      <c r="N35" s="1913"/>
      <c r="O35" s="1913"/>
      <c r="P35" s="1913"/>
      <c r="Q35" s="1914"/>
      <c r="R35" s="17"/>
    </row>
    <row r="36" spans="2:20" x14ac:dyDescent="0.25">
      <c r="B36" s="17"/>
      <c r="C36" s="37"/>
      <c r="D36" s="17"/>
      <c r="E36" s="21"/>
      <c r="F36" s="21"/>
      <c r="G36" s="21"/>
      <c r="H36" s="21"/>
      <c r="I36" s="21"/>
      <c r="J36" s="21"/>
      <c r="K36" s="37"/>
      <c r="L36" s="17"/>
      <c r="M36" s="17"/>
      <c r="N36" s="17"/>
      <c r="O36" s="37"/>
      <c r="P36" s="17"/>
      <c r="Q36" s="17"/>
      <c r="R36" s="17"/>
    </row>
    <row r="37" spans="2:20" x14ac:dyDescent="0.25">
      <c r="B37" s="17"/>
      <c r="C37" s="37"/>
      <c r="D37" s="17"/>
      <c r="E37" s="21"/>
      <c r="F37" s="21"/>
      <c r="G37" s="21"/>
      <c r="H37" s="21"/>
      <c r="I37" s="21"/>
      <c r="J37" s="21"/>
      <c r="K37" s="37"/>
      <c r="L37" s="17"/>
      <c r="M37" s="17"/>
      <c r="N37" s="17"/>
      <c r="O37" s="37"/>
      <c r="P37" s="17"/>
      <c r="Q37" s="17"/>
      <c r="R37" s="17"/>
      <c r="S37" s="9"/>
    </row>
    <row r="38" spans="2:20" x14ac:dyDescent="0.25">
      <c r="B38" s="17"/>
      <c r="C38" s="37"/>
      <c r="D38" s="17"/>
      <c r="E38" s="21"/>
      <c r="F38" s="21"/>
      <c r="G38" s="21"/>
      <c r="H38" s="21"/>
      <c r="I38" s="21"/>
      <c r="J38" s="21"/>
      <c r="K38" s="37"/>
      <c r="L38" s="17"/>
      <c r="M38" s="17"/>
      <c r="N38" s="17"/>
      <c r="O38" s="37"/>
      <c r="P38" s="17"/>
      <c r="Q38" s="17"/>
      <c r="R38" s="17"/>
      <c r="S38" s="26"/>
      <c r="T38" s="26"/>
    </row>
    <row r="39" spans="2:20" x14ac:dyDescent="0.25">
      <c r="B39" s="17"/>
      <c r="C39" s="37"/>
      <c r="D39" s="17"/>
      <c r="E39" s="21"/>
      <c r="F39" s="21"/>
      <c r="G39" s="21"/>
      <c r="H39" s="21"/>
      <c r="I39" s="21"/>
      <c r="J39" s="21"/>
      <c r="K39" s="37"/>
      <c r="L39" s="17"/>
      <c r="M39" s="17"/>
      <c r="N39" s="17"/>
      <c r="O39" s="37"/>
      <c r="P39" s="17"/>
      <c r="Q39" s="17"/>
      <c r="R39" s="17"/>
    </row>
    <row r="40" spans="2:20" ht="6" customHeight="1" x14ac:dyDescent="0.25">
      <c r="B40" s="17"/>
      <c r="C40" s="37"/>
      <c r="D40" s="17"/>
      <c r="E40" s="21"/>
      <c r="F40" s="21"/>
      <c r="G40" s="21"/>
      <c r="H40" s="21"/>
      <c r="I40" s="21"/>
      <c r="J40" s="21"/>
      <c r="K40" s="37"/>
      <c r="L40" s="17"/>
      <c r="M40" s="17"/>
      <c r="N40" s="17"/>
      <c r="O40" s="37"/>
      <c r="P40" s="17"/>
      <c r="Q40" s="17"/>
      <c r="R40" s="17"/>
    </row>
  </sheetData>
  <phoneticPr fontId="58" type="noConversion"/>
  <pageMargins left="0.196850393700787" right="0.196850393700787" top="0.196850393700787" bottom="0.196850393700787" header="0" footer="0"/>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autoFill="0" autoPict="0" macro="[0]!Show_Page_NI">
                <anchor>
                  <from>
                    <xdr:col>15</xdr:col>
                    <xdr:colOff>298450</xdr:colOff>
                    <xdr:row>35</xdr:row>
                    <xdr:rowOff>31750</xdr:rowOff>
                  </from>
                  <to>
                    <xdr:col>17</xdr:col>
                    <xdr:colOff>1333500</xdr:colOff>
                    <xdr:row>39</xdr:row>
                    <xdr:rowOff>69850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1:Q33"/>
  <sheetViews>
    <sheetView showGridLines="0" showRowColHeaders="0" topLeftCell="B1" workbookViewId="0">
      <selection activeCell="L14" sqref="L14"/>
    </sheetView>
  </sheetViews>
  <sheetFormatPr defaultColWidth="9.1796875" defaultRowHeight="11.5" x14ac:dyDescent="0.25"/>
  <cols>
    <col min="1" max="1" width="5.1796875" style="39" hidden="1" customWidth="1"/>
    <col min="2" max="2" width="23.81640625" style="39" customWidth="1"/>
    <col min="3" max="3" width="4.81640625" style="39" customWidth="1"/>
    <col min="4" max="4" width="12.54296875" style="39" customWidth="1"/>
    <col min="5" max="5" width="7" style="39" customWidth="1"/>
    <col min="6" max="6" width="13" style="39" customWidth="1"/>
    <col min="7" max="7" width="5.1796875" style="39" customWidth="1"/>
    <col min="8" max="8" width="12" style="39" customWidth="1"/>
    <col min="9" max="9" width="15.453125" style="39" customWidth="1"/>
    <col min="10" max="10" width="34.54296875" style="39" customWidth="1"/>
    <col min="11" max="11" width="12.453125" style="39" customWidth="1"/>
    <col min="12" max="16384" width="9.1796875" style="39"/>
  </cols>
  <sheetData>
    <row r="1" spans="1:17" ht="12" customHeight="1" x14ac:dyDescent="0.25">
      <c r="A1" s="8" t="s">
        <v>23</v>
      </c>
      <c r="B1" s="17"/>
      <c r="C1" s="17"/>
      <c r="D1" s="17"/>
      <c r="E1" s="17"/>
      <c r="F1" s="17"/>
      <c r="G1" s="17"/>
      <c r="H1" s="17"/>
      <c r="I1" s="17"/>
      <c r="J1" s="17"/>
      <c r="K1" s="8"/>
      <c r="L1" s="8"/>
      <c r="M1" s="8"/>
      <c r="N1" s="8"/>
      <c r="O1" s="8"/>
      <c r="P1" s="8"/>
      <c r="Q1" s="8"/>
    </row>
    <row r="2" spans="1:17" ht="12" customHeight="1" x14ac:dyDescent="0.25">
      <c r="A2" s="8"/>
      <c r="B2" s="17"/>
      <c r="C2" s="17"/>
      <c r="D2" s="17"/>
      <c r="E2" s="17"/>
      <c r="F2" s="17"/>
      <c r="G2" s="17"/>
      <c r="H2" s="17"/>
      <c r="I2" s="17"/>
      <c r="J2" s="17"/>
      <c r="K2" s="8"/>
      <c r="L2" s="8"/>
      <c r="M2" s="8"/>
      <c r="N2" s="8"/>
      <c r="O2" s="8"/>
      <c r="P2" s="8"/>
      <c r="Q2" s="8"/>
    </row>
    <row r="3" spans="1:17" ht="12" customHeight="1" x14ac:dyDescent="0.25">
      <c r="A3" s="8">
        <v>2.1</v>
      </c>
      <c r="B3" s="17"/>
      <c r="C3" s="17"/>
      <c r="D3" s="17"/>
      <c r="E3" s="17"/>
      <c r="F3" s="17"/>
      <c r="G3" s="17"/>
      <c r="H3" s="17"/>
      <c r="I3" s="17"/>
      <c r="J3" s="17"/>
      <c r="K3" s="8"/>
      <c r="L3" s="8"/>
      <c r="M3" s="8"/>
      <c r="N3" s="8"/>
      <c r="O3" s="8"/>
      <c r="P3" s="8"/>
      <c r="Q3" s="8"/>
    </row>
    <row r="4" spans="1:17" ht="12" customHeight="1" x14ac:dyDescent="0.25">
      <c r="A4" s="8">
        <v>4.0999999999999996</v>
      </c>
      <c r="B4" s="17"/>
      <c r="C4" s="17"/>
      <c r="D4" s="17"/>
      <c r="E4" s="17"/>
      <c r="F4" s="17"/>
      <c r="G4" s="17"/>
      <c r="H4" s="17"/>
      <c r="I4" s="17"/>
      <c r="J4" s="17"/>
      <c r="K4" s="8"/>
      <c r="L4" s="8"/>
      <c r="M4" s="8"/>
      <c r="N4" s="8"/>
      <c r="O4" s="8"/>
      <c r="P4" s="8"/>
      <c r="Q4" s="8"/>
    </row>
    <row r="5" spans="1:17" ht="12" customHeight="1" x14ac:dyDescent="0.25">
      <c r="A5" s="8">
        <v>6</v>
      </c>
      <c r="B5" s="17"/>
      <c r="C5" s="1905" t="s">
        <v>5474</v>
      </c>
      <c r="D5" s="1909"/>
      <c r="E5" s="1909"/>
      <c r="F5" s="1909"/>
      <c r="G5" s="1909"/>
      <c r="H5" s="1909"/>
      <c r="I5" s="1907" t="str">
        <f>MOR</f>
        <v>MOR</v>
      </c>
      <c r="J5" s="17"/>
      <c r="K5" s="8"/>
      <c r="L5" s="8"/>
      <c r="M5" s="8"/>
      <c r="N5" s="8"/>
      <c r="O5" s="8"/>
      <c r="P5" s="8"/>
      <c r="Q5" s="8"/>
    </row>
    <row r="6" spans="1:17" ht="12" customHeight="1" x14ac:dyDescent="0.25">
      <c r="A6" s="8">
        <v>17</v>
      </c>
      <c r="B6" s="17"/>
      <c r="C6" s="673"/>
      <c r="D6" s="56"/>
      <c r="E6" s="56"/>
      <c r="F6" s="56"/>
      <c r="G6" s="56"/>
      <c r="H6" s="56"/>
      <c r="I6" s="58"/>
      <c r="J6" s="17"/>
      <c r="K6" s="8"/>
      <c r="L6" s="8"/>
      <c r="M6" s="8"/>
      <c r="N6" s="8"/>
      <c r="O6" s="8"/>
      <c r="P6" s="8"/>
      <c r="Q6" s="8"/>
    </row>
    <row r="7" spans="1:17" ht="12" customHeight="1" x14ac:dyDescent="0.25">
      <c r="A7" s="8">
        <v>19</v>
      </c>
      <c r="B7" s="17"/>
      <c r="C7" s="671"/>
      <c r="D7" s="56"/>
      <c r="E7" s="56"/>
      <c r="F7" s="56"/>
      <c r="G7" s="56"/>
      <c r="H7" s="56"/>
      <c r="I7" s="58"/>
      <c r="J7" s="17"/>
      <c r="K7" s="8"/>
      <c r="L7" s="8"/>
      <c r="M7" s="8"/>
      <c r="N7" s="8"/>
      <c r="O7" s="8"/>
      <c r="P7" s="8"/>
      <c r="Q7" s="8"/>
    </row>
    <row r="8" spans="1:17" ht="12" customHeight="1" x14ac:dyDescent="0.25">
      <c r="A8" s="8">
        <v>38</v>
      </c>
      <c r="B8" s="17"/>
      <c r="C8" s="1845">
        <f>A3</f>
        <v>2.1</v>
      </c>
      <c r="D8" s="52" t="s">
        <v>2799</v>
      </c>
      <c r="E8" s="56"/>
      <c r="F8" s="56"/>
      <c r="G8" s="56"/>
      <c r="H8" s="56"/>
      <c r="I8" s="58"/>
      <c r="J8" s="17"/>
      <c r="K8" s="8"/>
      <c r="L8" s="8"/>
      <c r="M8" s="8"/>
      <c r="N8" s="8"/>
      <c r="O8" s="8"/>
      <c r="P8" s="8"/>
      <c r="Q8" s="8"/>
    </row>
    <row r="9" spans="1:17" ht="12" customHeight="1" x14ac:dyDescent="0.25">
      <c r="A9" s="8">
        <v>39</v>
      </c>
      <c r="B9" s="17"/>
      <c r="C9" s="671"/>
      <c r="D9" s="1846"/>
      <c r="E9" s="56"/>
      <c r="F9" s="56"/>
      <c r="G9" s="56"/>
      <c r="H9" s="56"/>
      <c r="I9" s="58"/>
      <c r="J9" s="17"/>
      <c r="K9" s="8"/>
      <c r="L9" s="8"/>
      <c r="M9" s="8"/>
      <c r="N9" s="8"/>
      <c r="O9" s="8"/>
      <c r="P9" s="8"/>
      <c r="Q9" s="8"/>
    </row>
    <row r="10" spans="1:17" ht="12" customHeight="1" x14ac:dyDescent="0.25">
      <c r="A10" s="8"/>
      <c r="B10" s="17"/>
      <c r="C10" s="671"/>
      <c r="D10" s="56"/>
      <c r="E10" s="56"/>
      <c r="F10" s="56"/>
      <c r="G10" s="56"/>
      <c r="H10" s="56"/>
      <c r="I10" s="58"/>
      <c r="J10" s="17"/>
      <c r="K10" s="8"/>
      <c r="L10" s="8"/>
      <c r="M10" s="8"/>
      <c r="N10" s="8"/>
      <c r="O10" s="8"/>
      <c r="P10" s="8"/>
      <c r="Q10" s="8"/>
    </row>
    <row r="11" spans="1:17" ht="12" customHeight="1" x14ac:dyDescent="0.25">
      <c r="A11" s="8"/>
      <c r="B11" s="17"/>
      <c r="C11" s="671"/>
      <c r="D11" s="52"/>
      <c r="E11" s="56"/>
      <c r="F11" s="56"/>
      <c r="G11" s="1845">
        <f>A6</f>
        <v>17</v>
      </c>
      <c r="H11" s="52" t="s">
        <v>5475</v>
      </c>
      <c r="I11" s="58"/>
      <c r="J11" s="17"/>
      <c r="K11" s="8"/>
      <c r="L11" s="8"/>
      <c r="M11" s="8"/>
      <c r="N11" s="8"/>
      <c r="O11" s="8"/>
      <c r="P11" s="8"/>
      <c r="Q11" s="8"/>
    </row>
    <row r="12" spans="1:17" ht="12" customHeight="1" x14ac:dyDescent="0.25">
      <c r="A12" s="8"/>
      <c r="B12" s="17"/>
      <c r="C12" s="671"/>
      <c r="D12" s="56"/>
      <c r="E12" s="56"/>
      <c r="F12" s="56"/>
      <c r="G12" s="56"/>
      <c r="H12" s="1846"/>
      <c r="I12" s="58"/>
      <c r="J12" s="17"/>
      <c r="K12" s="8"/>
      <c r="L12" s="8"/>
      <c r="M12" s="8"/>
      <c r="N12" s="8"/>
      <c r="O12" s="8"/>
      <c r="P12" s="8"/>
      <c r="Q12" s="8"/>
    </row>
    <row r="13" spans="1:17" ht="12" customHeight="1" x14ac:dyDescent="0.25">
      <c r="A13" s="8"/>
      <c r="B13" s="17"/>
      <c r="C13" s="671"/>
      <c r="D13" s="56"/>
      <c r="E13" s="56"/>
      <c r="F13" s="56"/>
      <c r="G13" s="56"/>
      <c r="H13" s="56"/>
      <c r="I13" s="58"/>
      <c r="J13" s="17"/>
      <c r="K13" s="8"/>
      <c r="L13" s="8"/>
      <c r="M13" s="8"/>
      <c r="N13" s="8"/>
      <c r="O13" s="8"/>
      <c r="P13" s="8"/>
      <c r="Q13" s="8"/>
    </row>
    <row r="14" spans="1:17" ht="12" customHeight="1" x14ac:dyDescent="0.25">
      <c r="A14" s="8"/>
      <c r="B14" s="17"/>
      <c r="C14" s="671"/>
      <c r="D14" s="56"/>
      <c r="E14" s="56"/>
      <c r="F14" s="56"/>
      <c r="G14" s="56"/>
      <c r="H14" s="56"/>
      <c r="I14" s="58"/>
      <c r="J14" s="17"/>
      <c r="K14" s="8"/>
      <c r="L14" s="8"/>
      <c r="M14" s="8"/>
      <c r="N14" s="8"/>
      <c r="O14" s="8"/>
      <c r="P14" s="8"/>
      <c r="Q14" s="8"/>
    </row>
    <row r="15" spans="1:17" ht="12" customHeight="1" x14ac:dyDescent="0.25">
      <c r="A15" s="8"/>
      <c r="B15" s="17"/>
      <c r="C15" s="1845">
        <f>A5</f>
        <v>6</v>
      </c>
      <c r="D15" s="52" t="s">
        <v>5476</v>
      </c>
      <c r="E15" s="56"/>
      <c r="F15" s="56"/>
      <c r="G15" s="1845">
        <f>A7</f>
        <v>19</v>
      </c>
      <c r="H15" s="52" t="s">
        <v>5477</v>
      </c>
      <c r="I15" s="58"/>
      <c r="J15" s="17"/>
      <c r="K15" s="8"/>
      <c r="L15" s="8"/>
      <c r="M15" s="8"/>
      <c r="N15" s="8"/>
      <c r="O15" s="8"/>
      <c r="P15" s="8"/>
      <c r="Q15" s="8"/>
    </row>
    <row r="16" spans="1:17" ht="12" customHeight="1" x14ac:dyDescent="0.25">
      <c r="A16" s="8"/>
      <c r="B16" s="17"/>
      <c r="C16" s="671"/>
      <c r="D16" s="1846"/>
      <c r="E16" s="56"/>
      <c r="F16" s="56"/>
      <c r="G16" s="56"/>
      <c r="H16" s="1846"/>
      <c r="I16" s="58"/>
      <c r="J16" s="17"/>
      <c r="K16" s="8"/>
      <c r="L16" s="8"/>
      <c r="M16" s="8"/>
      <c r="N16" s="8"/>
      <c r="O16" s="8"/>
      <c r="P16" s="8"/>
      <c r="Q16" s="8"/>
    </row>
    <row r="17" spans="1:17" ht="12" customHeight="1" x14ac:dyDescent="0.25">
      <c r="A17" s="8"/>
      <c r="B17" s="17"/>
      <c r="C17" s="671"/>
      <c r="D17" s="56"/>
      <c r="E17" s="56"/>
      <c r="F17" s="56"/>
      <c r="G17" s="56"/>
      <c r="H17" s="56"/>
      <c r="I17" s="58"/>
      <c r="J17" s="17"/>
      <c r="K17" s="8"/>
      <c r="L17" s="8"/>
      <c r="M17" s="8"/>
      <c r="N17" s="8"/>
      <c r="O17" s="8"/>
      <c r="P17" s="8"/>
      <c r="Q17" s="8"/>
    </row>
    <row r="18" spans="1:17" ht="12" customHeight="1" x14ac:dyDescent="0.25">
      <c r="A18" s="8"/>
      <c r="B18" s="17"/>
      <c r="C18" s="671"/>
      <c r="D18" s="56"/>
      <c r="E18" s="56"/>
      <c r="F18" s="56"/>
      <c r="G18" s="56"/>
      <c r="H18" s="56"/>
      <c r="I18" s="58"/>
      <c r="J18" s="17"/>
      <c r="K18" s="8"/>
      <c r="L18" s="8"/>
      <c r="M18" s="8"/>
      <c r="N18" s="8"/>
      <c r="O18" s="8"/>
      <c r="P18" s="8"/>
      <c r="Q18" s="8"/>
    </row>
    <row r="19" spans="1:17" ht="12" customHeight="1" x14ac:dyDescent="0.25">
      <c r="A19" s="8"/>
      <c r="B19" s="17"/>
      <c r="C19" s="1845">
        <f>A8</f>
        <v>38</v>
      </c>
      <c r="D19" s="52" t="s">
        <v>5478</v>
      </c>
      <c r="E19" s="56"/>
      <c r="F19" s="56"/>
      <c r="G19" s="1845">
        <f>A9</f>
        <v>39</v>
      </c>
      <c r="H19" s="52" t="s">
        <v>5479</v>
      </c>
      <c r="I19" s="58"/>
      <c r="J19" s="17"/>
      <c r="K19" s="8"/>
      <c r="L19" s="8"/>
      <c r="M19" s="8"/>
      <c r="N19" s="8"/>
      <c r="O19" s="8"/>
      <c r="P19" s="8"/>
      <c r="Q19" s="8"/>
    </row>
    <row r="20" spans="1:17" ht="12" customHeight="1" x14ac:dyDescent="0.25">
      <c r="A20" s="8"/>
      <c r="B20" s="17"/>
      <c r="C20" s="671"/>
      <c r="D20" s="1846"/>
      <c r="E20" s="56"/>
      <c r="F20" s="56"/>
      <c r="G20" s="56"/>
      <c r="H20" s="1866"/>
      <c r="I20" s="58"/>
      <c r="J20" s="17"/>
      <c r="K20" s="8"/>
      <c r="L20" s="8"/>
      <c r="M20" s="8"/>
      <c r="N20" s="8"/>
      <c r="O20" s="8"/>
      <c r="P20" s="8"/>
      <c r="Q20" s="8"/>
    </row>
    <row r="21" spans="1:17" ht="12" customHeight="1" x14ac:dyDescent="0.25">
      <c r="A21" s="8"/>
      <c r="B21" s="17"/>
      <c r="C21" s="674"/>
      <c r="D21" s="56"/>
      <c r="E21" s="56"/>
      <c r="F21" s="56"/>
      <c r="G21" s="56"/>
      <c r="H21" s="56"/>
      <c r="I21" s="58"/>
      <c r="J21" s="17"/>
      <c r="K21" s="8"/>
      <c r="L21" s="8"/>
      <c r="M21" s="8"/>
      <c r="N21" s="8"/>
      <c r="O21" s="8"/>
      <c r="P21" s="8"/>
      <c r="Q21" s="8"/>
    </row>
    <row r="22" spans="1:17" ht="12" customHeight="1" x14ac:dyDescent="0.25">
      <c r="A22" s="8"/>
      <c r="B22" s="17"/>
      <c r="C22" s="1922"/>
      <c r="D22" s="1923"/>
      <c r="E22" s="1923"/>
      <c r="F22" s="1923"/>
      <c r="G22" s="1923"/>
      <c r="H22" s="1923"/>
      <c r="I22" s="1924"/>
      <c r="J22" s="17"/>
      <c r="K22" s="8"/>
      <c r="L22" s="8"/>
      <c r="M22" s="8"/>
      <c r="N22" s="8"/>
      <c r="O22" s="8"/>
      <c r="P22" s="8"/>
      <c r="Q22" s="8"/>
    </row>
    <row r="23" spans="1:17" ht="12" customHeight="1" x14ac:dyDescent="0.25">
      <c r="A23" s="8"/>
      <c r="B23" s="17"/>
      <c r="C23" s="17"/>
      <c r="D23" s="17"/>
      <c r="E23" s="17"/>
      <c r="F23" s="17"/>
      <c r="G23" s="17"/>
      <c r="H23" s="17"/>
      <c r="I23" s="17"/>
      <c r="J23" s="17"/>
      <c r="K23" s="8"/>
      <c r="L23" s="8"/>
      <c r="M23" s="8"/>
      <c r="N23" s="8"/>
      <c r="O23" s="8"/>
      <c r="P23" s="8"/>
      <c r="Q23" s="8"/>
    </row>
    <row r="24" spans="1:17" ht="12" customHeight="1" x14ac:dyDescent="0.25">
      <c r="A24" s="8"/>
      <c r="B24" s="17"/>
      <c r="C24" s="17"/>
      <c r="D24" s="17"/>
      <c r="E24" s="21"/>
      <c r="F24" s="17"/>
      <c r="G24" s="17"/>
      <c r="H24" s="17"/>
      <c r="I24" s="17"/>
      <c r="J24" s="17"/>
      <c r="K24" s="8"/>
      <c r="L24" s="8"/>
      <c r="M24" s="8"/>
      <c r="N24" s="8"/>
      <c r="O24" s="8"/>
      <c r="P24" s="8"/>
      <c r="Q24" s="8"/>
    </row>
    <row r="25" spans="1:17" ht="12" customHeight="1" x14ac:dyDescent="0.25">
      <c r="A25" s="8"/>
      <c r="B25" s="17"/>
      <c r="C25" s="17"/>
      <c r="D25" s="17"/>
      <c r="E25" s="21"/>
      <c r="F25" s="17"/>
      <c r="G25" s="17"/>
      <c r="H25" s="17"/>
      <c r="I25" s="17"/>
      <c r="J25" s="17"/>
      <c r="K25" s="8"/>
      <c r="L25" s="8"/>
      <c r="M25" s="8"/>
      <c r="N25" s="8"/>
      <c r="O25" s="8"/>
      <c r="P25" s="8"/>
      <c r="Q25" s="8"/>
    </row>
    <row r="26" spans="1:17" ht="12" customHeight="1" x14ac:dyDescent="0.25">
      <c r="A26" s="8"/>
      <c r="B26" s="17"/>
      <c r="C26" s="17"/>
      <c r="D26" s="17"/>
      <c r="E26" s="21"/>
      <c r="F26" s="17"/>
      <c r="G26" s="17"/>
      <c r="H26" s="17"/>
      <c r="I26" s="17"/>
      <c r="J26" s="17"/>
      <c r="K26" s="8"/>
      <c r="L26" s="8"/>
      <c r="M26" s="8"/>
      <c r="N26" s="8"/>
      <c r="O26" s="8"/>
      <c r="P26" s="8"/>
      <c r="Q26" s="8"/>
    </row>
    <row r="27" spans="1:17" ht="12" customHeight="1" x14ac:dyDescent="0.25">
      <c r="A27" s="8"/>
      <c r="B27" s="17"/>
      <c r="C27" s="17"/>
      <c r="D27" s="17"/>
      <c r="E27" s="21"/>
      <c r="F27" s="17"/>
      <c r="G27" s="17"/>
      <c r="H27" s="17"/>
      <c r="I27" s="17"/>
      <c r="J27" s="17"/>
      <c r="K27" s="8"/>
      <c r="L27" s="8"/>
      <c r="M27" s="8"/>
      <c r="N27" s="8"/>
      <c r="O27" s="8"/>
      <c r="P27" s="8"/>
      <c r="Q27" s="8"/>
    </row>
    <row r="28" spans="1:17" x14ac:dyDescent="0.25">
      <c r="A28" s="8"/>
      <c r="B28" s="17"/>
      <c r="C28" s="17"/>
      <c r="D28" s="17"/>
      <c r="E28" s="21"/>
      <c r="F28" s="17"/>
      <c r="G28" s="17"/>
      <c r="H28" s="17"/>
      <c r="I28" s="17"/>
      <c r="J28" s="17"/>
      <c r="K28" s="8"/>
      <c r="L28" s="8"/>
      <c r="M28" s="8"/>
      <c r="N28" s="8"/>
      <c r="O28" s="8"/>
      <c r="P28" s="8"/>
      <c r="Q28" s="8"/>
    </row>
    <row r="29" spans="1:17" x14ac:dyDescent="0.25">
      <c r="A29" s="8"/>
      <c r="B29" s="17"/>
      <c r="C29" s="17"/>
      <c r="D29" s="17"/>
      <c r="E29" s="21"/>
      <c r="F29" s="17"/>
      <c r="G29" s="17"/>
      <c r="H29" s="17"/>
      <c r="I29" s="17"/>
      <c r="J29" s="17"/>
      <c r="K29" s="8"/>
      <c r="L29" s="8"/>
      <c r="M29" s="8"/>
      <c r="N29" s="8"/>
      <c r="O29" s="8"/>
      <c r="P29" s="8"/>
      <c r="Q29" s="8"/>
    </row>
    <row r="30" spans="1:17" x14ac:dyDescent="0.25">
      <c r="A30" s="8"/>
      <c r="B30" s="8"/>
      <c r="C30" s="8"/>
      <c r="D30" s="8"/>
      <c r="E30" s="9"/>
      <c r="F30" s="8"/>
      <c r="G30" s="8"/>
      <c r="H30" s="8"/>
      <c r="I30" s="8"/>
      <c r="J30" s="8"/>
      <c r="K30" s="8"/>
      <c r="L30" s="8"/>
      <c r="M30" s="8"/>
      <c r="N30" s="8"/>
      <c r="O30" s="8"/>
      <c r="P30" s="8"/>
      <c r="Q30" s="8"/>
    </row>
    <row r="31" spans="1:17" x14ac:dyDescent="0.25">
      <c r="A31" s="8"/>
      <c r="B31" s="8"/>
      <c r="C31" s="8"/>
      <c r="D31" s="8"/>
      <c r="E31" s="9"/>
      <c r="F31" s="8"/>
      <c r="G31" s="8"/>
      <c r="H31" s="8"/>
      <c r="I31" s="8"/>
      <c r="J31" s="8"/>
      <c r="K31" s="8"/>
      <c r="L31" s="8"/>
      <c r="M31" s="8"/>
      <c r="N31" s="8"/>
      <c r="O31" s="8"/>
      <c r="P31" s="8"/>
      <c r="Q31" s="8"/>
    </row>
    <row r="32" spans="1:17" x14ac:dyDescent="0.25">
      <c r="A32" s="8"/>
      <c r="B32" s="8"/>
      <c r="C32" s="8"/>
      <c r="D32" s="8"/>
      <c r="E32" s="9"/>
      <c r="F32" s="8"/>
      <c r="G32" s="8"/>
      <c r="H32" s="8"/>
      <c r="I32" s="8"/>
      <c r="J32" s="8"/>
      <c r="K32" s="8"/>
      <c r="L32" s="8"/>
      <c r="M32" s="8"/>
      <c r="N32" s="8"/>
      <c r="O32" s="8"/>
      <c r="P32" s="8"/>
      <c r="Q32" s="8"/>
    </row>
    <row r="33" spans="1:10" x14ac:dyDescent="0.25">
      <c r="A33" s="8"/>
      <c r="B33" s="8"/>
      <c r="C33" s="8"/>
      <c r="D33" s="8"/>
      <c r="E33" s="9"/>
      <c r="F33" s="8"/>
      <c r="G33" s="8"/>
      <c r="H33" s="8"/>
      <c r="I33" s="8"/>
      <c r="J33" s="8"/>
    </row>
  </sheetData>
  <phoneticPr fontId="58" type="noConversion"/>
  <pageMargins left="0.75" right="0.75" top="1" bottom="1" header="0.5" footer="0.5"/>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autoFill="0" autoPict="0" macro="[0]!Show_Page_NI">
                <anchor>
                  <from>
                    <xdr:col>8</xdr:col>
                    <xdr:colOff>857250</xdr:colOff>
                    <xdr:row>24</xdr:row>
                    <xdr:rowOff>50800</xdr:rowOff>
                  </from>
                  <to>
                    <xdr:col>9</xdr:col>
                    <xdr:colOff>2266950</xdr:colOff>
                    <xdr:row>28</xdr:row>
                    <xdr:rowOff>107950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dimension ref="A1:M42"/>
  <sheetViews>
    <sheetView showGridLines="0" topLeftCell="B1" workbookViewId="0">
      <selection activeCell="N21" sqref="N21"/>
    </sheetView>
  </sheetViews>
  <sheetFormatPr defaultColWidth="9.1796875" defaultRowHeight="11.5" x14ac:dyDescent="0.25"/>
  <cols>
    <col min="1" max="1" width="9.1796875" style="8" hidden="1" customWidth="1"/>
    <col min="2" max="2" width="15.54296875" style="8" customWidth="1"/>
    <col min="3" max="3" width="5.81640625" style="11" customWidth="1"/>
    <col min="4" max="4" width="17.453125" style="8" customWidth="1"/>
    <col min="5" max="5" width="27.54296875" style="8" customWidth="1"/>
    <col min="6" max="6" width="9.81640625" style="8" customWidth="1"/>
    <col min="7" max="7" width="5.81640625" style="11" customWidth="1"/>
    <col min="8" max="8" width="17.453125" style="8" customWidth="1"/>
    <col min="9" max="9" width="31" style="8" customWidth="1"/>
    <col min="10" max="10" width="34" style="8" customWidth="1"/>
    <col min="11" max="11" width="9.453125" style="8" hidden="1" customWidth="1"/>
    <col min="12" max="12" width="10.453125" style="8" hidden="1" customWidth="1"/>
    <col min="13" max="13" width="6" style="8" hidden="1" customWidth="1"/>
    <col min="14" max="14" width="10.54296875" style="8" customWidth="1"/>
    <col min="15" max="15" width="2.81640625" style="8" customWidth="1"/>
    <col min="16" max="16384" width="9.1796875" style="8"/>
  </cols>
  <sheetData>
    <row r="1" spans="1:10" ht="12" customHeight="1" x14ac:dyDescent="0.25">
      <c r="A1" s="8" t="s">
        <v>24</v>
      </c>
      <c r="B1" s="17"/>
      <c r="C1" s="37"/>
      <c r="D1" s="17"/>
      <c r="E1" s="17"/>
      <c r="F1" s="17"/>
      <c r="G1" s="37"/>
      <c r="H1" s="17"/>
      <c r="I1" s="17"/>
      <c r="J1" s="17"/>
    </row>
    <row r="2" spans="1:10" ht="12" customHeight="1" x14ac:dyDescent="0.25">
      <c r="A2" s="8">
        <v>29</v>
      </c>
      <c r="B2" s="17"/>
      <c r="C2" s="1925" t="s">
        <v>1496</v>
      </c>
      <c r="D2" s="1856"/>
      <c r="E2" s="1857" t="str">
        <f>SSE</f>
        <v>SSE</v>
      </c>
      <c r="F2" s="17"/>
      <c r="G2" s="1925" t="s">
        <v>1497</v>
      </c>
      <c r="H2" s="1856"/>
      <c r="I2" s="1857" t="str">
        <f>FSE</f>
        <v>FSE</v>
      </c>
      <c r="J2" s="17"/>
    </row>
    <row r="3" spans="1:10" ht="9" customHeight="1" x14ac:dyDescent="0.25">
      <c r="A3" s="8">
        <v>31</v>
      </c>
      <c r="B3" s="17"/>
      <c r="C3" s="670"/>
      <c r="D3" s="40"/>
      <c r="E3" s="48"/>
      <c r="F3" s="17"/>
      <c r="G3" s="670"/>
      <c r="H3" s="40"/>
      <c r="I3" s="48"/>
      <c r="J3" s="17"/>
    </row>
    <row r="4" spans="1:10" ht="10.5" customHeight="1" x14ac:dyDescent="0.3">
      <c r="A4" s="8">
        <v>33</v>
      </c>
      <c r="B4" s="17"/>
      <c r="C4" s="675" t="s">
        <v>5480</v>
      </c>
      <c r="D4" s="40"/>
      <c r="E4" s="48"/>
      <c r="F4" s="17"/>
      <c r="G4" s="675"/>
      <c r="H4" s="46"/>
      <c r="I4" s="48"/>
      <c r="J4" s="17"/>
    </row>
    <row r="5" spans="1:10" ht="12" customHeight="1" x14ac:dyDescent="0.25">
      <c r="A5" s="8">
        <v>36</v>
      </c>
      <c r="B5" s="17"/>
      <c r="C5" s="1901">
        <f>A2</f>
        <v>29</v>
      </c>
      <c r="D5" s="40" t="s">
        <v>3244</v>
      </c>
      <c r="E5" s="48"/>
      <c r="F5" s="17"/>
      <c r="G5" s="1926">
        <f>A10</f>
        <v>73.3</v>
      </c>
      <c r="H5" s="40" t="s">
        <v>5481</v>
      </c>
      <c r="I5" s="48"/>
      <c r="J5" s="17"/>
    </row>
    <row r="6" spans="1:10" ht="12" customHeight="1" x14ac:dyDescent="0.25">
      <c r="A6" s="8">
        <v>37</v>
      </c>
      <c r="B6" s="17"/>
      <c r="C6" s="670"/>
      <c r="D6" s="1846"/>
      <c r="E6" s="61"/>
      <c r="F6" s="17"/>
      <c r="G6" s="670"/>
      <c r="H6" s="1846"/>
      <c r="I6" s="48"/>
      <c r="J6" s="17"/>
    </row>
    <row r="7" spans="1:10" ht="10.5" customHeight="1" x14ac:dyDescent="0.3">
      <c r="A7" s="8">
        <v>38</v>
      </c>
      <c r="B7" s="17"/>
      <c r="C7" s="675" t="s">
        <v>5482</v>
      </c>
      <c r="D7" s="40"/>
      <c r="E7" s="48"/>
      <c r="F7" s="17"/>
      <c r="G7" s="670"/>
      <c r="H7" s="46"/>
      <c r="I7" s="439"/>
      <c r="J7" s="17"/>
    </row>
    <row r="8" spans="1:10" ht="12" customHeight="1" x14ac:dyDescent="0.25">
      <c r="B8" s="17"/>
      <c r="C8" s="1901">
        <f>A3</f>
        <v>31</v>
      </c>
      <c r="D8" s="40" t="s">
        <v>5483</v>
      </c>
      <c r="E8" s="48"/>
      <c r="F8" s="17"/>
      <c r="G8" s="1901">
        <f>A11</f>
        <v>73.400000000000006</v>
      </c>
      <c r="H8" s="311" t="s">
        <v>5484</v>
      </c>
      <c r="I8" s="48"/>
      <c r="J8" s="17"/>
    </row>
    <row r="9" spans="1:10" ht="12" customHeight="1" x14ac:dyDescent="0.25">
      <c r="A9" s="8" t="s">
        <v>25</v>
      </c>
      <c r="B9" s="17"/>
      <c r="C9" s="670"/>
      <c r="D9" s="1846"/>
      <c r="E9" s="61"/>
      <c r="F9" s="17"/>
      <c r="G9" s="670"/>
      <c r="H9" s="1846"/>
      <c r="I9" s="48"/>
      <c r="J9" s="17"/>
    </row>
    <row r="10" spans="1:10" ht="10.5" customHeight="1" x14ac:dyDescent="0.3">
      <c r="A10" s="8">
        <v>73.3</v>
      </c>
      <c r="B10" s="17"/>
      <c r="C10" s="675" t="s">
        <v>5485</v>
      </c>
      <c r="D10" s="40"/>
      <c r="E10" s="48"/>
      <c r="F10" s="17"/>
      <c r="G10" s="670"/>
      <c r="H10" s="46"/>
      <c r="I10" s="48"/>
      <c r="J10" s="17"/>
    </row>
    <row r="11" spans="1:10" ht="12" customHeight="1" x14ac:dyDescent="0.25">
      <c r="A11" s="8">
        <v>73.400000000000006</v>
      </c>
      <c r="B11" s="17"/>
      <c r="C11" s="1901">
        <f>A4</f>
        <v>33</v>
      </c>
      <c r="D11" s="40" t="str">
        <f>"Loss set against "&amp;tax_year&amp;" income"</f>
        <v>Loss set against 2025-26 income</v>
      </c>
      <c r="E11" s="48"/>
      <c r="F11" s="17"/>
      <c r="G11" s="1926">
        <f>A12</f>
        <v>74</v>
      </c>
      <c r="H11" s="40" t="s">
        <v>3244</v>
      </c>
      <c r="I11" s="48"/>
      <c r="J11" s="17"/>
    </row>
    <row r="12" spans="1:10" ht="12" customHeight="1" x14ac:dyDescent="0.25">
      <c r="A12" s="8">
        <v>74</v>
      </c>
      <c r="B12" s="17"/>
      <c r="C12" s="670"/>
      <c r="D12" s="1846"/>
      <c r="E12" s="61"/>
      <c r="F12" s="17"/>
      <c r="G12" s="670"/>
      <c r="H12" s="1846"/>
      <c r="I12" s="48"/>
      <c r="J12" s="17"/>
    </row>
    <row r="13" spans="1:10" ht="10.5" customHeight="1" x14ac:dyDescent="0.3">
      <c r="A13" s="8">
        <v>76</v>
      </c>
      <c r="B13" s="17"/>
      <c r="C13" s="675" t="s">
        <v>5486</v>
      </c>
      <c r="D13" s="40"/>
      <c r="E13" s="61"/>
      <c r="F13" s="17"/>
      <c r="G13" s="670"/>
      <c r="H13" s="46"/>
      <c r="I13" s="48"/>
      <c r="J13" s="17"/>
    </row>
    <row r="14" spans="1:10" ht="12" customHeight="1" x14ac:dyDescent="0.25">
      <c r="A14" s="8">
        <v>76.099999999999994</v>
      </c>
      <c r="B14" s="17"/>
      <c r="C14" s="1901">
        <f>A5</f>
        <v>36</v>
      </c>
      <c r="D14" s="40" t="s">
        <v>5487</v>
      </c>
      <c r="E14" s="48"/>
      <c r="F14" s="17"/>
      <c r="G14" s="1901">
        <f>A13</f>
        <v>76</v>
      </c>
      <c r="H14" s="40" t="s">
        <v>5483</v>
      </c>
      <c r="I14" s="48"/>
      <c r="J14" s="17"/>
    </row>
    <row r="15" spans="1:10" ht="12" customHeight="1" x14ac:dyDescent="0.25">
      <c r="A15" s="8">
        <v>78</v>
      </c>
      <c r="B15" s="17"/>
      <c r="C15" s="670"/>
      <c r="D15" s="40"/>
      <c r="E15" s="48"/>
      <c r="F15" s="17"/>
      <c r="G15" s="670"/>
      <c r="H15" s="1846"/>
      <c r="I15" s="48"/>
      <c r="J15" s="17"/>
    </row>
    <row r="16" spans="1:10" ht="10.5" customHeight="1" x14ac:dyDescent="0.3">
      <c r="A16" s="8">
        <v>81</v>
      </c>
      <c r="B16" s="17"/>
      <c r="C16" s="670"/>
      <c r="D16" s="40"/>
      <c r="E16" s="48"/>
      <c r="F16" s="17"/>
      <c r="G16" s="675"/>
      <c r="H16" s="40"/>
      <c r="I16" s="48"/>
      <c r="J16" s="17"/>
    </row>
    <row r="17" spans="1:13" ht="12" customHeight="1" x14ac:dyDescent="0.25">
      <c r="A17" s="8">
        <v>82</v>
      </c>
      <c r="B17" s="17"/>
      <c r="C17" s="1901">
        <f>A6</f>
        <v>37</v>
      </c>
      <c r="D17" s="40"/>
      <c r="E17" s="48"/>
      <c r="F17" s="17"/>
      <c r="G17" s="1901">
        <f>A14</f>
        <v>76.099999999999994</v>
      </c>
      <c r="H17" s="40" t="s">
        <v>3252</v>
      </c>
      <c r="I17" s="48"/>
      <c r="J17" s="17"/>
    </row>
    <row r="18" spans="1:13" ht="12" customHeight="1" x14ac:dyDescent="0.25">
      <c r="A18" s="8">
        <v>100</v>
      </c>
      <c r="B18" s="17"/>
      <c r="C18" s="670"/>
      <c r="D18" s="40"/>
      <c r="E18" s="48"/>
      <c r="F18" s="17"/>
      <c r="G18" s="670"/>
      <c r="H18" s="1846"/>
      <c r="I18" s="48"/>
      <c r="J18" s="17"/>
      <c r="L18" s="214" t="s">
        <v>24</v>
      </c>
      <c r="M18" s="214" t="s">
        <v>25</v>
      </c>
    </row>
    <row r="19" spans="1:13" ht="10.5" customHeight="1" x14ac:dyDescent="0.3">
      <c r="A19" s="8">
        <v>101</v>
      </c>
      <c r="B19" s="17"/>
      <c r="C19" s="675" t="s">
        <v>5488</v>
      </c>
      <c r="D19" s="40"/>
      <c r="E19" s="48"/>
      <c r="F19" s="17"/>
      <c r="G19" s="675" t="s">
        <v>5485</v>
      </c>
      <c r="H19" s="60"/>
      <c r="I19" s="48"/>
      <c r="J19" s="17"/>
    </row>
    <row r="20" spans="1:13" ht="12" customHeight="1" x14ac:dyDescent="0.25">
      <c r="A20" s="8">
        <v>102</v>
      </c>
      <c r="B20" s="17"/>
      <c r="C20" s="1901">
        <f>A7</f>
        <v>38</v>
      </c>
      <c r="D20" s="40" t="s">
        <v>5489</v>
      </c>
      <c r="E20" s="48"/>
      <c r="F20" s="17"/>
      <c r="G20" s="1901">
        <f>A15</f>
        <v>78</v>
      </c>
      <c r="H20" s="40" t="str">
        <f>"Loss set against "&amp;tax_year&amp;" income"</f>
        <v>Loss set against 2025-26 income</v>
      </c>
      <c r="I20" s="48"/>
      <c r="J20" s="17"/>
      <c r="K20" s="214" t="s">
        <v>5490</v>
      </c>
      <c r="L20" s="59" t="b">
        <v>0</v>
      </c>
      <c r="M20" s="59" t="b">
        <v>0</v>
      </c>
    </row>
    <row r="21" spans="1:13" ht="12" customHeight="1" x14ac:dyDescent="0.25">
      <c r="B21" s="17"/>
      <c r="C21" s="670"/>
      <c r="D21" s="1863"/>
      <c r="E21" s="48"/>
      <c r="F21" s="17"/>
      <c r="G21" s="670"/>
      <c r="H21" s="1846"/>
      <c r="I21" s="48"/>
      <c r="J21" s="833"/>
      <c r="K21" s="214" t="s">
        <v>436</v>
      </c>
      <c r="L21" s="59" t="b">
        <v>0</v>
      </c>
      <c r="M21" s="59" t="b">
        <v>0</v>
      </c>
    </row>
    <row r="22" spans="1:13" ht="10.5" customHeight="1" x14ac:dyDescent="0.3">
      <c r="B22" s="17"/>
      <c r="C22" s="1903"/>
      <c r="D22" s="1895"/>
      <c r="E22" s="1803"/>
      <c r="F22" s="17"/>
      <c r="G22" s="675" t="s">
        <v>5491</v>
      </c>
      <c r="H22" s="60"/>
      <c r="I22" s="48"/>
      <c r="J22" s="17"/>
      <c r="K22" s="59"/>
      <c r="L22" s="59"/>
    </row>
    <row r="23" spans="1:13" ht="12" customHeight="1" x14ac:dyDescent="0.25">
      <c r="B23" s="226"/>
      <c r="C23" s="242"/>
      <c r="D23" s="226"/>
      <c r="E23" s="226"/>
      <c r="F23" s="17"/>
      <c r="G23" s="1901">
        <f>A16</f>
        <v>81</v>
      </c>
      <c r="H23" s="40" t="s">
        <v>5489</v>
      </c>
      <c r="I23" s="48"/>
      <c r="J23" s="17"/>
    </row>
    <row r="24" spans="1:13" ht="12" customHeight="1" x14ac:dyDescent="0.25">
      <c r="B24" s="226"/>
      <c r="C24" s="242"/>
      <c r="D24" s="226"/>
      <c r="E24" s="226"/>
      <c r="F24" s="17"/>
      <c r="G24" s="670"/>
      <c r="H24" s="1846"/>
      <c r="I24" s="48"/>
      <c r="J24" s="17"/>
    </row>
    <row r="25" spans="1:13" ht="12" customHeight="1" x14ac:dyDescent="0.3">
      <c r="B25" s="17"/>
      <c r="C25" s="37"/>
      <c r="D25" s="17"/>
      <c r="E25" s="17"/>
      <c r="F25" s="17"/>
      <c r="G25" s="675"/>
      <c r="H25" s="45"/>
      <c r="I25" s="48"/>
      <c r="J25" s="17"/>
    </row>
    <row r="26" spans="1:13" ht="12" customHeight="1" x14ac:dyDescent="0.25">
      <c r="B26" s="17"/>
      <c r="C26" s="37"/>
      <c r="D26" s="17"/>
      <c r="E26" s="17"/>
      <c r="F26" s="17"/>
      <c r="G26" s="1901">
        <f>A17</f>
        <v>82</v>
      </c>
      <c r="H26" s="40" t="s">
        <v>5492</v>
      </c>
      <c r="I26" s="48"/>
      <c r="J26" s="17"/>
    </row>
    <row r="27" spans="1:13" ht="12" customHeight="1" x14ac:dyDescent="0.25">
      <c r="B27" s="226"/>
      <c r="C27" s="242"/>
      <c r="D27" s="226"/>
      <c r="E27" s="226"/>
      <c r="F27" s="17"/>
      <c r="G27" s="670"/>
      <c r="H27" s="1846"/>
      <c r="I27" s="48"/>
      <c r="J27" s="17"/>
    </row>
    <row r="28" spans="1:13" ht="12" customHeight="1" x14ac:dyDescent="0.3">
      <c r="B28" s="17"/>
      <c r="C28" s="37"/>
      <c r="D28" s="17"/>
      <c r="E28" s="17"/>
      <c r="F28" s="17"/>
      <c r="G28" s="675" t="s">
        <v>5486</v>
      </c>
      <c r="H28" s="40"/>
      <c r="I28" s="48"/>
      <c r="J28" s="17"/>
    </row>
    <row r="29" spans="1:13" ht="12" customHeight="1" x14ac:dyDescent="0.25">
      <c r="B29" s="17"/>
      <c r="C29" s="37"/>
      <c r="D29" s="17"/>
      <c r="E29" s="17"/>
      <c r="F29" s="17"/>
      <c r="G29" s="1901">
        <f>A18</f>
        <v>100</v>
      </c>
      <c r="H29" s="40" t="s">
        <v>5487</v>
      </c>
      <c r="I29" s="48"/>
      <c r="J29" s="17"/>
    </row>
    <row r="30" spans="1:13" ht="12" customHeight="1" x14ac:dyDescent="0.25">
      <c r="B30" s="226"/>
      <c r="C30" s="242"/>
      <c r="D30" s="226"/>
      <c r="E30" s="226"/>
      <c r="F30" s="17"/>
      <c r="G30" s="670"/>
      <c r="H30" s="40"/>
      <c r="I30" s="48"/>
      <c r="J30" s="17"/>
    </row>
    <row r="31" spans="1:13" x14ac:dyDescent="0.25">
      <c r="B31" s="17"/>
      <c r="C31" s="37"/>
      <c r="D31" s="17"/>
      <c r="E31" s="17"/>
      <c r="F31" s="17"/>
      <c r="G31" s="670"/>
      <c r="H31" s="40"/>
      <c r="I31" s="48"/>
      <c r="J31" s="17"/>
    </row>
    <row r="32" spans="1:13" ht="12" customHeight="1" x14ac:dyDescent="0.25">
      <c r="B32" s="17"/>
      <c r="C32" s="37"/>
      <c r="D32" s="17"/>
      <c r="E32" s="17"/>
      <c r="F32" s="17"/>
      <c r="G32" s="1901">
        <f>A19</f>
        <v>101</v>
      </c>
      <c r="H32" s="40"/>
      <c r="I32" s="48"/>
      <c r="J32" s="17"/>
    </row>
    <row r="33" spans="2:10" ht="12" customHeight="1" x14ac:dyDescent="0.25">
      <c r="B33" s="17"/>
      <c r="C33" s="37"/>
      <c r="D33" s="17"/>
      <c r="E33" s="17"/>
      <c r="F33" s="17"/>
      <c r="G33" s="670"/>
      <c r="H33" s="40"/>
      <c r="I33" s="48"/>
      <c r="J33" s="17"/>
    </row>
    <row r="34" spans="2:10" ht="12" customHeight="1" x14ac:dyDescent="0.25">
      <c r="B34" s="17"/>
      <c r="C34" s="37"/>
      <c r="D34" s="17"/>
      <c r="E34" s="17"/>
      <c r="F34" s="17"/>
      <c r="G34" s="670"/>
      <c r="H34" s="40"/>
      <c r="I34" s="48"/>
      <c r="J34" s="17"/>
    </row>
    <row r="35" spans="2:10" x14ac:dyDescent="0.25">
      <c r="B35" s="226"/>
      <c r="C35" s="242"/>
      <c r="D35" s="226"/>
      <c r="E35" s="226"/>
      <c r="F35" s="226"/>
      <c r="G35" s="1901">
        <f>A20</f>
        <v>102</v>
      </c>
      <c r="H35" s="40" t="s">
        <v>5493</v>
      </c>
      <c r="I35" s="48"/>
      <c r="J35" s="17"/>
    </row>
    <row r="36" spans="2:10" x14ac:dyDescent="0.25">
      <c r="B36" s="226"/>
      <c r="C36" s="242"/>
      <c r="D36" s="226"/>
      <c r="E36" s="226"/>
      <c r="F36" s="226"/>
      <c r="G36" s="670"/>
      <c r="H36" s="1846"/>
      <c r="I36" s="48"/>
      <c r="J36" s="17"/>
    </row>
    <row r="37" spans="2:10" x14ac:dyDescent="0.25">
      <c r="B37" s="226"/>
      <c r="C37" s="242"/>
      <c r="D37" s="226"/>
      <c r="E37" s="226"/>
      <c r="F37" s="226"/>
      <c r="G37" s="1903"/>
      <c r="H37" s="1802"/>
      <c r="I37" s="1803"/>
      <c r="J37" s="17"/>
    </row>
    <row r="38" spans="2:10" x14ac:dyDescent="0.25">
      <c r="B38" s="226"/>
      <c r="C38" s="242"/>
      <c r="D38" s="226"/>
      <c r="E38" s="226"/>
      <c r="F38" s="226"/>
      <c r="G38" s="242"/>
      <c r="H38" s="226"/>
      <c r="I38" s="226"/>
      <c r="J38" s="17"/>
    </row>
    <row r="39" spans="2:10" x14ac:dyDescent="0.25">
      <c r="B39" s="226"/>
      <c r="C39" s="242"/>
      <c r="D39" s="226"/>
      <c r="E39" s="226"/>
      <c r="F39" s="226"/>
      <c r="G39" s="37"/>
      <c r="H39" s="17"/>
      <c r="I39" s="17"/>
      <c r="J39" s="17"/>
    </row>
    <row r="40" spans="2:10" x14ac:dyDescent="0.25">
      <c r="B40" s="226"/>
      <c r="C40" s="242"/>
      <c r="D40" s="226"/>
      <c r="E40" s="226"/>
      <c r="F40" s="226"/>
      <c r="G40" s="37"/>
      <c r="H40" s="17"/>
      <c r="I40" s="17"/>
      <c r="J40" s="17"/>
    </row>
    <row r="41" spans="2:10" x14ac:dyDescent="0.25">
      <c r="B41" s="226"/>
      <c r="C41" s="242"/>
      <c r="D41" s="226"/>
      <c r="E41" s="226"/>
      <c r="F41" s="226"/>
      <c r="G41" s="242"/>
      <c r="H41" s="226"/>
      <c r="I41" s="226"/>
      <c r="J41" s="226"/>
    </row>
    <row r="42" spans="2:10" x14ac:dyDescent="0.25">
      <c r="B42" s="226"/>
      <c r="C42" s="242"/>
      <c r="D42" s="226"/>
      <c r="E42" s="226"/>
      <c r="F42" s="226"/>
      <c r="G42" s="242"/>
      <c r="H42" s="226"/>
      <c r="I42" s="226"/>
      <c r="J42" s="226"/>
    </row>
  </sheetData>
  <phoneticPr fontId="58" type="noConversion"/>
  <pageMargins left="0.74803149606299213" right="0.74803149606299213" top="0.98425196850393704" bottom="0.98425196850393704" header="0.51181102362204722" footer="0.51181102362204722"/>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 r:id="rId4" name="Check Box 2">
              <controlPr defaultSize="0" autoFill="0" autoLine="0" autoPict="0">
                <anchor moveWithCells="1">
                  <from>
                    <xdr:col>2</xdr:col>
                    <xdr:colOff>336550</xdr:colOff>
                    <xdr:row>16</xdr:row>
                    <xdr:rowOff>107950</xdr:rowOff>
                  </from>
                  <to>
                    <xdr:col>3</xdr:col>
                    <xdr:colOff>241300</xdr:colOff>
                    <xdr:row>18</xdr:row>
                    <xdr:rowOff>12700</xdr:rowOff>
                  </to>
                </anchor>
              </controlPr>
            </control>
          </mc:Choice>
        </mc:AlternateContent>
        <mc:AlternateContent xmlns:mc="http://schemas.openxmlformats.org/markup-compatibility/2006">
          <mc:Choice Requires="x14">
            <control shapeId="7173" r:id="rId5" name="Check Box 5">
              <controlPr defaultSize="0" autoFill="0" autoLine="0" autoPict="0">
                <anchor moveWithCells="1">
                  <from>
                    <xdr:col>2</xdr:col>
                    <xdr:colOff>317500</xdr:colOff>
                    <xdr:row>13</xdr:row>
                    <xdr:rowOff>107950</xdr:rowOff>
                  </from>
                  <to>
                    <xdr:col>3</xdr:col>
                    <xdr:colOff>228600</xdr:colOff>
                    <xdr:row>15</xdr:row>
                    <xdr:rowOff>12700</xdr:rowOff>
                  </to>
                </anchor>
              </controlPr>
            </control>
          </mc:Choice>
        </mc:AlternateContent>
        <mc:AlternateContent xmlns:mc="http://schemas.openxmlformats.org/markup-compatibility/2006">
          <mc:Choice Requires="x14">
            <control shapeId="7178" r:id="rId6" name="Button 10">
              <controlPr defaultSize="0" autoFill="0" autoPict="0" macro="[0]!Show_Page_NI">
                <anchor>
                  <from>
                    <xdr:col>3</xdr:col>
                    <xdr:colOff>203200</xdr:colOff>
                    <xdr:row>23</xdr:row>
                    <xdr:rowOff>88900</xdr:rowOff>
                  </from>
                  <to>
                    <xdr:col>4</xdr:col>
                    <xdr:colOff>1403350</xdr:colOff>
                    <xdr:row>27</xdr:row>
                    <xdr:rowOff>114300</xdr:rowOff>
                  </to>
                </anchor>
              </controlPr>
            </control>
          </mc:Choice>
        </mc:AlternateContent>
        <mc:AlternateContent xmlns:mc="http://schemas.openxmlformats.org/markup-compatibility/2006">
          <mc:Choice Requires="x14">
            <control shapeId="7182" r:id="rId7" name="Check Box 14">
              <controlPr defaultSize="0" autoFill="0" autoLine="0" autoPict="0">
                <anchor moveWithCells="1">
                  <from>
                    <xdr:col>6</xdr:col>
                    <xdr:colOff>342900</xdr:colOff>
                    <xdr:row>31</xdr:row>
                    <xdr:rowOff>107950</xdr:rowOff>
                  </from>
                  <to>
                    <xdr:col>7</xdr:col>
                    <xdr:colOff>260350</xdr:colOff>
                    <xdr:row>33</xdr:row>
                    <xdr:rowOff>12700</xdr:rowOff>
                  </to>
                </anchor>
              </controlPr>
            </control>
          </mc:Choice>
        </mc:AlternateContent>
        <mc:AlternateContent xmlns:mc="http://schemas.openxmlformats.org/markup-compatibility/2006">
          <mc:Choice Requires="x14">
            <control shapeId="7183" r:id="rId8" name="Check Box 15">
              <controlPr defaultSize="0" autoFill="0" autoLine="0" autoPict="0">
                <anchor moveWithCells="1">
                  <from>
                    <xdr:col>6</xdr:col>
                    <xdr:colOff>342900</xdr:colOff>
                    <xdr:row>28</xdr:row>
                    <xdr:rowOff>107950</xdr:rowOff>
                  </from>
                  <to>
                    <xdr:col>7</xdr:col>
                    <xdr:colOff>260350</xdr:colOff>
                    <xdr:row>30</xdr:row>
                    <xdr:rowOff>12700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dimension ref="A1:P35"/>
  <sheetViews>
    <sheetView showGridLines="0" topLeftCell="B1" workbookViewId="0">
      <selection activeCell="B1" sqref="B1"/>
    </sheetView>
  </sheetViews>
  <sheetFormatPr defaultColWidth="9.1796875" defaultRowHeight="11.5" x14ac:dyDescent="0.25"/>
  <cols>
    <col min="1" max="1" width="7.453125" style="8" hidden="1" customWidth="1"/>
    <col min="2" max="2" width="5.54296875" style="8" customWidth="1"/>
    <col min="3" max="3" width="5.1796875" style="8" customWidth="1"/>
    <col min="4" max="4" width="13.54296875" style="8" customWidth="1"/>
    <col min="5" max="5" width="30.1796875" style="8" customWidth="1"/>
    <col min="6" max="6" width="2" style="8" customWidth="1"/>
    <col min="7" max="7" width="5.81640625" style="8" customWidth="1"/>
    <col min="8" max="8" width="13.54296875" style="8" customWidth="1"/>
    <col min="9" max="9" width="30.1796875" style="8" customWidth="1"/>
    <col min="10" max="10" width="2.1796875" style="8" customWidth="1"/>
    <col min="11" max="11" width="6.1796875" style="8" customWidth="1"/>
    <col min="12" max="12" width="13.54296875" style="8" customWidth="1"/>
    <col min="13" max="13" width="31.81640625" style="8" customWidth="1"/>
    <col min="14" max="14" width="26.1796875" style="8" customWidth="1"/>
    <col min="15" max="15" width="16.453125" style="8" hidden="1" customWidth="1"/>
    <col min="16" max="16" width="11.1796875" style="8" hidden="1" customWidth="1"/>
    <col min="17" max="16384" width="9.1796875" style="8"/>
  </cols>
  <sheetData>
    <row r="1" spans="1:14" ht="12.75" customHeight="1" x14ac:dyDescent="0.25">
      <c r="A1" s="8" t="s">
        <v>26</v>
      </c>
      <c r="B1" s="17"/>
      <c r="C1" s="17"/>
      <c r="D1" s="17"/>
      <c r="E1" s="17"/>
      <c r="F1" s="17"/>
      <c r="G1" s="17"/>
      <c r="H1" s="17"/>
      <c r="I1" s="17"/>
      <c r="J1" s="17"/>
      <c r="K1" s="17"/>
      <c r="L1" s="17"/>
      <c r="M1" s="17"/>
      <c r="N1" s="17"/>
    </row>
    <row r="2" spans="1:14" ht="12.75" customHeight="1" x14ac:dyDescent="0.3">
      <c r="B2" s="17"/>
      <c r="C2" s="1892" t="s">
        <v>5494</v>
      </c>
      <c r="D2" s="1856"/>
      <c r="E2" s="1857" t="s">
        <v>26</v>
      </c>
      <c r="F2" s="17"/>
      <c r="G2" s="1927"/>
      <c r="H2" s="1856"/>
      <c r="I2" s="1857" t="s">
        <v>26</v>
      </c>
      <c r="J2" s="17"/>
      <c r="K2" s="1927"/>
      <c r="L2" s="1856"/>
      <c r="M2" s="1857" t="s">
        <v>26</v>
      </c>
      <c r="N2" s="17"/>
    </row>
    <row r="3" spans="1:14" ht="12.75" customHeight="1" x14ac:dyDescent="0.3">
      <c r="B3" s="227" t="s">
        <v>1805</v>
      </c>
      <c r="C3" s="675" t="s">
        <v>5495</v>
      </c>
      <c r="D3" s="40"/>
      <c r="E3" s="48"/>
      <c r="F3" s="17"/>
      <c r="G3" s="675" t="s">
        <v>5496</v>
      </c>
      <c r="H3" s="45"/>
      <c r="I3" s="61"/>
      <c r="J3" s="17"/>
      <c r="K3" s="675" t="s">
        <v>5497</v>
      </c>
      <c r="L3" s="40"/>
      <c r="M3" s="48"/>
      <c r="N3" s="17"/>
    </row>
    <row r="4" spans="1:14" ht="12.75" customHeight="1" x14ac:dyDescent="0.25">
      <c r="A4" s="8">
        <v>4</v>
      </c>
      <c r="B4" s="227" t="s">
        <v>1806</v>
      </c>
      <c r="C4" s="1901">
        <f>A4</f>
        <v>4</v>
      </c>
      <c r="D4" s="40" t="s">
        <v>5498</v>
      </c>
      <c r="E4" s="48"/>
      <c r="F4" s="17"/>
      <c r="G4" s="1901">
        <f>A14</f>
        <v>14</v>
      </c>
      <c r="H4" s="40" t="s">
        <v>5499</v>
      </c>
      <c r="I4" s="61"/>
      <c r="J4" s="17"/>
      <c r="K4" s="1901">
        <f>A21</f>
        <v>51</v>
      </c>
      <c r="L4" s="40" t="s">
        <v>3441</v>
      </c>
      <c r="M4" s="48"/>
      <c r="N4" s="17"/>
    </row>
    <row r="5" spans="1:14" ht="12.75" customHeight="1" x14ac:dyDescent="0.25">
      <c r="B5" s="227" t="s">
        <v>1807</v>
      </c>
      <c r="C5" s="659"/>
      <c r="D5" s="1866"/>
      <c r="E5" s="48"/>
      <c r="F5" s="17"/>
      <c r="G5" s="655"/>
      <c r="H5" s="1866"/>
      <c r="I5" s="61"/>
      <c r="J5" s="17"/>
      <c r="K5" s="659"/>
      <c r="L5" s="1846"/>
      <c r="M5" s="48"/>
      <c r="N5" s="17"/>
    </row>
    <row r="6" spans="1:14" ht="12.75" customHeight="1" x14ac:dyDescent="0.3">
      <c r="A6" s="8">
        <v>6</v>
      </c>
      <c r="B6" s="227" t="s">
        <v>1808</v>
      </c>
      <c r="C6" s="675" t="s">
        <v>5500</v>
      </c>
      <c r="D6" s="40"/>
      <c r="E6" s="48"/>
      <c r="F6" s="17"/>
      <c r="G6" s="655"/>
      <c r="H6" s="45"/>
      <c r="I6" s="61"/>
      <c r="J6" s="17"/>
      <c r="K6" s="655"/>
      <c r="L6" s="40"/>
      <c r="M6" s="48"/>
      <c r="N6" s="17"/>
    </row>
    <row r="7" spans="1:14" ht="12.75" customHeight="1" x14ac:dyDescent="0.25">
      <c r="A7" s="8">
        <v>7</v>
      </c>
      <c r="B7" s="227" t="s">
        <v>1823</v>
      </c>
      <c r="C7" s="1901">
        <f>A6</f>
        <v>6</v>
      </c>
      <c r="D7" s="40" t="s">
        <v>5501</v>
      </c>
      <c r="E7" s="48"/>
      <c r="F7" s="17"/>
      <c r="G7" s="1901">
        <f>A15</f>
        <v>15</v>
      </c>
      <c r="H7" s="46" t="s">
        <v>5502</v>
      </c>
      <c r="I7" s="61"/>
      <c r="J7" s="17"/>
      <c r="K7" s="1901">
        <f>A22</f>
        <v>52</v>
      </c>
      <c r="L7" s="40" t="s">
        <v>5483</v>
      </c>
      <c r="M7" s="48"/>
      <c r="N7" s="17"/>
    </row>
    <row r="8" spans="1:14" ht="12.75" customHeight="1" x14ac:dyDescent="0.25">
      <c r="A8" s="8">
        <v>8</v>
      </c>
      <c r="B8" s="227"/>
      <c r="C8" s="655"/>
      <c r="D8" s="1846"/>
      <c r="E8" s="48"/>
      <c r="F8" s="17"/>
      <c r="G8" s="655"/>
      <c r="H8" s="1866"/>
      <c r="I8" s="61"/>
      <c r="J8" s="17"/>
      <c r="K8" s="659"/>
      <c r="L8" s="1846"/>
      <c r="M8" s="48"/>
      <c r="N8" s="17"/>
    </row>
    <row r="9" spans="1:14" ht="12.75" customHeight="1" x14ac:dyDescent="0.25">
      <c r="A9" s="8">
        <v>9</v>
      </c>
      <c r="B9" s="227" t="s">
        <v>1809</v>
      </c>
      <c r="C9" s="655"/>
      <c r="D9" s="40"/>
      <c r="E9" s="48"/>
      <c r="F9" s="17"/>
      <c r="G9" s="655"/>
      <c r="H9" s="45"/>
      <c r="I9" s="61"/>
      <c r="J9" s="17"/>
      <c r="K9" s="655"/>
      <c r="L9" s="40"/>
      <c r="M9" s="48"/>
      <c r="N9" s="17"/>
    </row>
    <row r="10" spans="1:14" ht="12.75" customHeight="1" x14ac:dyDescent="0.25">
      <c r="A10" s="8">
        <v>10</v>
      </c>
      <c r="B10" s="227" t="s">
        <v>1810</v>
      </c>
      <c r="C10" s="655"/>
      <c r="D10" s="40"/>
      <c r="E10" s="48"/>
      <c r="F10" s="17"/>
      <c r="G10" s="1901">
        <f>A16</f>
        <v>16</v>
      </c>
      <c r="H10" s="40" t="s">
        <v>5503</v>
      </c>
      <c r="I10" s="61"/>
      <c r="J10" s="17"/>
      <c r="K10" s="1901">
        <f>A23</f>
        <v>56</v>
      </c>
      <c r="L10" s="40" t="str">
        <f>"Loss set against "&amp;tax_year&amp;" income"</f>
        <v>Loss set against 2025-26 income</v>
      </c>
      <c r="M10" s="48"/>
      <c r="N10" s="17"/>
    </row>
    <row r="11" spans="1:14" ht="12.75" customHeight="1" x14ac:dyDescent="0.25">
      <c r="B11" s="227" t="s">
        <v>1811</v>
      </c>
      <c r="C11" s="655"/>
      <c r="D11" s="40"/>
      <c r="E11" s="48"/>
      <c r="F11" s="17"/>
      <c r="G11" s="655"/>
      <c r="H11" s="1866"/>
      <c r="I11" s="61"/>
      <c r="J11" s="17"/>
      <c r="K11" s="655"/>
      <c r="L11" s="1865"/>
      <c r="M11" s="48"/>
      <c r="N11" s="17"/>
    </row>
    <row r="12" spans="1:14" ht="12.75" customHeight="1" x14ac:dyDescent="0.3">
      <c r="B12" s="227" t="s">
        <v>1812</v>
      </c>
      <c r="C12" s="655"/>
      <c r="D12" s="40"/>
      <c r="E12" s="48"/>
      <c r="F12" s="17"/>
      <c r="G12" s="655"/>
      <c r="H12" s="45"/>
      <c r="I12" s="61"/>
      <c r="J12" s="17"/>
      <c r="K12" s="675" t="s">
        <v>5504</v>
      </c>
      <c r="L12" s="40"/>
      <c r="M12" s="48"/>
      <c r="N12" s="17"/>
    </row>
    <row r="13" spans="1:14" ht="12.75" customHeight="1" x14ac:dyDescent="0.25">
      <c r="B13" s="227" t="s">
        <v>1846</v>
      </c>
      <c r="C13" s="1901">
        <f>A8</f>
        <v>8</v>
      </c>
      <c r="D13" s="40" t="s">
        <v>5387</v>
      </c>
      <c r="E13" s="48"/>
      <c r="F13" s="17"/>
      <c r="G13" s="1901">
        <f>A17</f>
        <v>17</v>
      </c>
      <c r="H13" s="40" t="s">
        <v>5505</v>
      </c>
      <c r="I13" s="61"/>
      <c r="J13" s="17"/>
      <c r="K13" s="1901">
        <f>A24</f>
        <v>63</v>
      </c>
      <c r="L13" s="40" t="s">
        <v>5487</v>
      </c>
      <c r="M13" s="48"/>
      <c r="N13" s="17"/>
    </row>
    <row r="14" spans="1:14" ht="12.75" customHeight="1" x14ac:dyDescent="0.25">
      <c r="A14" s="8">
        <v>14</v>
      </c>
      <c r="B14" s="227"/>
      <c r="C14" s="655"/>
      <c r="D14" s="1846"/>
      <c r="E14" s="48"/>
      <c r="F14" s="17"/>
      <c r="G14" s="655"/>
      <c r="H14" s="1866"/>
      <c r="I14" s="61"/>
      <c r="J14" s="17"/>
      <c r="K14" s="655"/>
      <c r="L14" s="40"/>
      <c r="M14" s="48"/>
      <c r="N14" s="17"/>
    </row>
    <row r="15" spans="1:14" ht="12.75" customHeight="1" x14ac:dyDescent="0.25">
      <c r="A15" s="8">
        <v>15</v>
      </c>
      <c r="B15" s="227" t="s">
        <v>1862</v>
      </c>
      <c r="C15" s="655"/>
      <c r="D15" s="40"/>
      <c r="E15" s="48"/>
      <c r="F15" s="17"/>
      <c r="G15" s="655"/>
      <c r="H15" s="45"/>
      <c r="I15" s="61"/>
      <c r="J15" s="17"/>
      <c r="K15" s="655"/>
      <c r="L15" s="40"/>
      <c r="M15" s="48"/>
      <c r="N15" s="17"/>
    </row>
    <row r="16" spans="1:14" ht="12.75" customHeight="1" x14ac:dyDescent="0.25">
      <c r="A16" s="8">
        <v>16</v>
      </c>
      <c r="B16" s="227" t="s">
        <v>1864</v>
      </c>
      <c r="C16" s="1901">
        <f>A9</f>
        <v>9</v>
      </c>
      <c r="D16" s="40" t="s">
        <v>5506</v>
      </c>
      <c r="E16" s="48"/>
      <c r="F16" s="17"/>
      <c r="G16" s="828"/>
      <c r="H16" s="436"/>
      <c r="I16" s="829"/>
      <c r="J16" s="17"/>
      <c r="K16" s="1901">
        <f>A26</f>
        <v>64</v>
      </c>
      <c r="L16" s="40"/>
      <c r="M16" s="48"/>
      <c r="N16" s="17"/>
    </row>
    <row r="17" spans="1:16" ht="12.75" customHeight="1" x14ac:dyDescent="0.25">
      <c r="A17" s="8">
        <v>17</v>
      </c>
      <c r="B17" s="227" t="s">
        <v>1865</v>
      </c>
      <c r="C17" s="655"/>
      <c r="D17" s="1846"/>
      <c r="E17" s="61"/>
      <c r="F17" s="17"/>
      <c r="G17" s="655"/>
      <c r="H17" s="830"/>
      <c r="I17" s="829"/>
      <c r="J17" s="17"/>
      <c r="K17" s="655"/>
      <c r="L17" s="40"/>
      <c r="M17" s="48"/>
      <c r="N17" s="17"/>
    </row>
    <row r="18" spans="1:16" ht="12.75" customHeight="1" x14ac:dyDescent="0.25">
      <c r="B18" s="227" t="s">
        <v>1884</v>
      </c>
      <c r="C18" s="655"/>
      <c r="D18" s="40"/>
      <c r="E18" s="48"/>
      <c r="F18" s="17"/>
      <c r="G18" s="828"/>
      <c r="H18" s="436"/>
      <c r="I18" s="829"/>
      <c r="J18" s="17"/>
      <c r="K18" s="655"/>
      <c r="L18" s="40"/>
      <c r="M18" s="48"/>
      <c r="N18" s="17"/>
    </row>
    <row r="19" spans="1:16" ht="12.75" customHeight="1" x14ac:dyDescent="0.25">
      <c r="A19" s="8">
        <v>19</v>
      </c>
      <c r="B19" s="227" t="s">
        <v>1867</v>
      </c>
      <c r="C19" s="655"/>
      <c r="D19" s="40"/>
      <c r="E19" s="48"/>
      <c r="F19" s="17"/>
      <c r="G19" s="655"/>
      <c r="H19" s="45"/>
      <c r="I19" s="61"/>
      <c r="J19" s="17"/>
      <c r="K19" s="1901">
        <f>A27</f>
        <v>65</v>
      </c>
      <c r="L19" s="40" t="s">
        <v>5493</v>
      </c>
      <c r="M19" s="48"/>
      <c r="N19" s="17"/>
      <c r="O19" s="214" t="s">
        <v>5507</v>
      </c>
      <c r="P19" s="59" t="b">
        <v>0</v>
      </c>
    </row>
    <row r="20" spans="1:16" ht="12.75" customHeight="1" x14ac:dyDescent="0.25">
      <c r="B20" s="227" t="s">
        <v>1872</v>
      </c>
      <c r="C20" s="655"/>
      <c r="D20" s="40"/>
      <c r="E20" s="48"/>
      <c r="F20" s="17"/>
      <c r="G20" s="655"/>
      <c r="H20" s="45"/>
      <c r="I20" s="61"/>
      <c r="J20" s="17"/>
      <c r="K20" s="659"/>
      <c r="L20" s="1865"/>
      <c r="M20" s="61"/>
      <c r="N20" s="17"/>
      <c r="O20" s="214" t="s">
        <v>5508</v>
      </c>
      <c r="P20" s="59" t="b">
        <v>0</v>
      </c>
    </row>
    <row r="21" spans="1:16" ht="12.75" customHeight="1" x14ac:dyDescent="0.25">
      <c r="A21" s="8">
        <v>51</v>
      </c>
      <c r="B21" s="227" t="s">
        <v>1869</v>
      </c>
      <c r="C21" s="1827"/>
      <c r="D21" s="1928"/>
      <c r="E21" s="1929"/>
      <c r="F21" s="17"/>
      <c r="G21" s="1827"/>
      <c r="H21" s="1928"/>
      <c r="I21" s="1929"/>
      <c r="J21" s="17"/>
      <c r="K21" s="1930"/>
      <c r="L21" s="1928"/>
      <c r="M21" s="1929"/>
      <c r="N21" s="17"/>
    </row>
    <row r="22" spans="1:16" ht="12.75" customHeight="1" x14ac:dyDescent="0.25">
      <c r="A22" s="8">
        <v>52</v>
      </c>
      <c r="B22" s="17"/>
      <c r="C22" s="17"/>
      <c r="D22" s="17"/>
      <c r="E22" s="17"/>
      <c r="F22" s="17"/>
      <c r="G22" s="17"/>
      <c r="H22" s="17"/>
      <c r="I22" s="17"/>
      <c r="J22" s="17"/>
      <c r="K22" s="226"/>
      <c r="L22" s="226"/>
      <c r="M22" s="226"/>
      <c r="N22" s="17"/>
    </row>
    <row r="23" spans="1:16" x14ac:dyDescent="0.25">
      <c r="A23" s="8">
        <v>56</v>
      </c>
      <c r="B23" s="17"/>
      <c r="C23" s="17"/>
      <c r="D23" s="17"/>
      <c r="E23" s="17"/>
      <c r="F23" s="17"/>
      <c r="G23" s="17"/>
      <c r="H23" s="17"/>
      <c r="I23" s="17"/>
      <c r="J23" s="17"/>
      <c r="K23" s="226"/>
      <c r="L23" s="226"/>
      <c r="M23" s="226"/>
      <c r="N23" s="17"/>
    </row>
    <row r="24" spans="1:16" ht="12.75" customHeight="1" x14ac:dyDescent="0.25">
      <c r="A24" s="8">
        <v>63</v>
      </c>
      <c r="B24" s="17"/>
      <c r="C24" s="17"/>
      <c r="D24" s="17"/>
      <c r="E24" s="17"/>
      <c r="F24" s="17"/>
      <c r="G24" s="17"/>
      <c r="H24" s="17"/>
      <c r="I24" s="17"/>
      <c r="J24" s="17"/>
      <c r="K24" s="226"/>
      <c r="L24" s="226"/>
      <c r="M24" s="226"/>
      <c r="N24" s="17"/>
    </row>
    <row r="25" spans="1:16" ht="12.75" customHeight="1" x14ac:dyDescent="0.25">
      <c r="A25" s="8" t="s">
        <v>5509</v>
      </c>
      <c r="B25" s="17"/>
      <c r="C25" s="17"/>
      <c r="D25" s="17"/>
      <c r="E25" s="17"/>
      <c r="F25" s="17"/>
      <c r="G25" s="17"/>
      <c r="H25" s="17"/>
      <c r="I25" s="17"/>
      <c r="J25" s="17"/>
      <c r="K25" s="17"/>
      <c r="L25" s="17"/>
      <c r="M25" s="17"/>
      <c r="N25" s="17"/>
    </row>
    <row r="26" spans="1:16" ht="8.25" customHeight="1" x14ac:dyDescent="0.25">
      <c r="A26" s="8">
        <v>64</v>
      </c>
      <c r="B26" s="17"/>
      <c r="C26" s="17"/>
      <c r="D26" s="17"/>
      <c r="E26" s="17"/>
      <c r="F26" s="17"/>
      <c r="G26" s="17"/>
      <c r="H26" s="17"/>
      <c r="I26" s="17"/>
      <c r="J26" s="17"/>
      <c r="K26" s="17"/>
      <c r="L26" s="17"/>
      <c r="M26" s="17"/>
      <c r="N26" s="17"/>
    </row>
    <row r="27" spans="1:16" x14ac:dyDescent="0.25">
      <c r="A27" s="8">
        <v>65</v>
      </c>
      <c r="B27" s="17"/>
      <c r="C27" s="17"/>
      <c r="D27" s="17"/>
      <c r="E27" s="17"/>
      <c r="F27" s="17"/>
      <c r="G27" s="17"/>
      <c r="H27" s="17"/>
      <c r="I27" s="17"/>
      <c r="J27" s="17"/>
      <c r="K27" s="17"/>
      <c r="L27" s="17"/>
      <c r="M27" s="17"/>
      <c r="N27" s="17"/>
    </row>
    <row r="28" spans="1:16" x14ac:dyDescent="0.25">
      <c r="B28" s="17"/>
      <c r="C28" s="17"/>
      <c r="D28" s="17"/>
      <c r="E28" s="17"/>
      <c r="F28" s="17"/>
      <c r="G28" s="17"/>
      <c r="H28" s="17"/>
      <c r="I28" s="17"/>
      <c r="J28" s="17"/>
      <c r="K28" s="17"/>
      <c r="L28" s="17"/>
      <c r="M28" s="17"/>
      <c r="N28" s="17"/>
    </row>
    <row r="29" spans="1:16" ht="8.25" customHeight="1" x14ac:dyDescent="0.25">
      <c r="B29" s="17"/>
      <c r="C29" s="17"/>
      <c r="D29" s="17"/>
      <c r="E29" s="17"/>
      <c r="F29" s="17"/>
      <c r="G29" s="17"/>
      <c r="H29" s="17"/>
      <c r="I29" s="17"/>
      <c r="J29" s="17"/>
      <c r="K29" s="17"/>
      <c r="L29" s="17"/>
      <c r="M29" s="17"/>
      <c r="N29" s="17"/>
    </row>
    <row r="30" spans="1:16" x14ac:dyDescent="0.25">
      <c r="B30" s="17"/>
      <c r="C30" s="17"/>
      <c r="D30" s="17"/>
      <c r="E30" s="17"/>
      <c r="F30" s="17"/>
      <c r="G30" s="17"/>
      <c r="H30" s="17"/>
      <c r="I30" s="17"/>
      <c r="J30" s="17"/>
      <c r="K30" s="17"/>
      <c r="L30" s="17"/>
      <c r="M30" s="17"/>
      <c r="N30" s="17"/>
    </row>
    <row r="31" spans="1:16" x14ac:dyDescent="0.25">
      <c r="B31" s="17"/>
      <c r="C31" s="17"/>
      <c r="D31" s="17"/>
      <c r="E31" s="17"/>
      <c r="F31" s="17"/>
      <c r="G31" s="17"/>
      <c r="H31" s="17"/>
      <c r="I31" s="17"/>
      <c r="J31" s="17"/>
      <c r="K31" s="17"/>
      <c r="L31" s="17"/>
      <c r="M31" s="17"/>
      <c r="N31" s="17"/>
    </row>
    <row r="32" spans="1:16" x14ac:dyDescent="0.25">
      <c r="B32" s="17"/>
      <c r="C32" s="17"/>
      <c r="D32" s="17"/>
      <c r="E32" s="17"/>
      <c r="F32" s="21"/>
      <c r="G32" s="17"/>
      <c r="H32" s="17"/>
      <c r="I32" s="17"/>
      <c r="J32" s="17"/>
      <c r="K32" s="17"/>
      <c r="L32" s="17"/>
      <c r="M32" s="17"/>
      <c r="N32" s="17"/>
    </row>
    <row r="33" spans="2:14" x14ac:dyDescent="0.25">
      <c r="B33" s="17"/>
      <c r="C33" s="17"/>
      <c r="D33" s="17"/>
      <c r="E33" s="17"/>
      <c r="F33" s="21"/>
      <c r="G33" s="17"/>
      <c r="H33" s="17"/>
      <c r="I33" s="17"/>
      <c r="J33" s="17"/>
      <c r="K33" s="17"/>
      <c r="L33" s="17"/>
      <c r="M33" s="17"/>
      <c r="N33" s="17"/>
    </row>
    <row r="34" spans="2:14" x14ac:dyDescent="0.25">
      <c r="B34" s="17"/>
      <c r="C34" s="17"/>
      <c r="D34" s="17"/>
      <c r="E34" s="17"/>
      <c r="F34" s="21"/>
      <c r="G34" s="17"/>
      <c r="H34" s="17"/>
      <c r="I34" s="17"/>
      <c r="J34" s="17"/>
      <c r="K34" s="17"/>
      <c r="L34" s="17"/>
      <c r="M34" s="17"/>
      <c r="N34" s="17"/>
    </row>
    <row r="35" spans="2:14" x14ac:dyDescent="0.25">
      <c r="B35" s="17"/>
      <c r="C35" s="17"/>
      <c r="D35" s="17"/>
      <c r="E35" s="17"/>
      <c r="F35" s="21"/>
      <c r="G35" s="17"/>
      <c r="H35" s="17"/>
      <c r="I35" s="17"/>
      <c r="J35" s="17"/>
      <c r="K35" s="17"/>
      <c r="L35" s="17"/>
      <c r="M35" s="17"/>
      <c r="N35" s="17"/>
    </row>
  </sheetData>
  <phoneticPr fontId="58" type="noConversion"/>
  <pageMargins left="0.75" right="0.75" top="1" bottom="1" header="0.5" footer="0.5"/>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Check Box 2">
              <controlPr defaultSize="0" autoFill="0" autoLine="0" autoPict="0">
                <anchor moveWithCells="1">
                  <from>
                    <xdr:col>10</xdr:col>
                    <xdr:colOff>374650</xdr:colOff>
                    <xdr:row>15</xdr:row>
                    <xdr:rowOff>146050</xdr:rowOff>
                  </from>
                  <to>
                    <xdr:col>11</xdr:col>
                    <xdr:colOff>266700</xdr:colOff>
                    <xdr:row>17</xdr:row>
                    <xdr:rowOff>0</xdr:rowOff>
                  </to>
                </anchor>
              </controlPr>
            </control>
          </mc:Choice>
        </mc:AlternateContent>
        <mc:AlternateContent xmlns:mc="http://schemas.openxmlformats.org/markup-compatibility/2006">
          <mc:Choice Requires="x14">
            <control shapeId="2" r:id="rId5" name="Check Box 4">
              <controlPr defaultSize="0" autoFill="0" autoLine="0" autoPict="0">
                <anchor moveWithCells="1">
                  <from>
                    <xdr:col>10</xdr:col>
                    <xdr:colOff>374650</xdr:colOff>
                    <xdr:row>12</xdr:row>
                    <xdr:rowOff>127000</xdr:rowOff>
                  </from>
                  <to>
                    <xdr:col>11</xdr:col>
                    <xdr:colOff>266700</xdr:colOff>
                    <xdr:row>13</xdr:row>
                    <xdr:rowOff>152400</xdr:rowOff>
                  </to>
                </anchor>
              </controlPr>
            </control>
          </mc:Choice>
        </mc:AlternateContent>
        <mc:AlternateContent xmlns:mc="http://schemas.openxmlformats.org/markup-compatibility/2006">
          <mc:Choice Requires="x14">
            <control shapeId="8198" r:id="rId6" name="Button 6">
              <controlPr defaultSize="0" autoFill="0" autoPict="0" macro="[0]!Show_Page_NI">
                <anchor>
                  <from>
                    <xdr:col>12</xdr:col>
                    <xdr:colOff>12700</xdr:colOff>
                    <xdr:row>22</xdr:row>
                    <xdr:rowOff>31750</xdr:rowOff>
                  </from>
                  <to>
                    <xdr:col>13</xdr:col>
                    <xdr:colOff>298450</xdr:colOff>
                    <xdr:row>26</xdr:row>
                    <xdr:rowOff>107950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dimension ref="A1:U67"/>
  <sheetViews>
    <sheetView showGridLines="0" topLeftCell="B1" zoomScale="106" zoomScaleNormal="106" workbookViewId="0">
      <selection activeCell="V38" sqref="V38"/>
    </sheetView>
  </sheetViews>
  <sheetFormatPr defaultColWidth="9.1796875" defaultRowHeight="11.5" x14ac:dyDescent="0.25"/>
  <cols>
    <col min="1" max="1" width="8.81640625" style="8" hidden="1" customWidth="1"/>
    <col min="2" max="2" width="4.54296875" style="8" customWidth="1"/>
    <col min="3" max="3" width="5" style="8" customWidth="1"/>
    <col min="4" max="4" width="15.1796875" style="8" customWidth="1"/>
    <col min="5" max="5" width="27.54296875" style="8" customWidth="1"/>
    <col min="6" max="6" width="4.54296875" style="8" customWidth="1"/>
    <col min="7" max="7" width="5.1796875" style="8" customWidth="1"/>
    <col min="8" max="8" width="15.1796875" style="8" customWidth="1"/>
    <col min="9" max="9" width="23.1796875" style="8" customWidth="1"/>
    <col min="10" max="10" width="5" style="8" customWidth="1"/>
    <col min="11" max="11" width="15.1796875" style="8" customWidth="1"/>
    <col min="12" max="12" width="23.1796875" style="8" customWidth="1"/>
    <col min="13" max="13" width="5" style="8" customWidth="1"/>
    <col min="14" max="14" width="15.1796875" style="8" customWidth="1"/>
    <col min="15" max="15" width="18.1796875" style="8" customWidth="1"/>
    <col min="16" max="16" width="4.54296875" style="8" customWidth="1"/>
    <col min="17" max="17" width="9.81640625" style="8" hidden="1" customWidth="1"/>
    <col min="18" max="18" width="14" style="8" hidden="1" customWidth="1"/>
    <col min="19" max="19" width="9.1796875" style="8" hidden="1" customWidth="1"/>
    <col min="20" max="16384" width="9.1796875" style="8"/>
  </cols>
  <sheetData>
    <row r="1" spans="1:16" ht="9" customHeight="1" x14ac:dyDescent="0.25">
      <c r="A1" s="8" t="s">
        <v>27</v>
      </c>
      <c r="B1" s="227" t="s">
        <v>5510</v>
      </c>
      <c r="C1" s="17"/>
      <c r="D1" s="17"/>
      <c r="E1" s="17"/>
      <c r="F1" s="17"/>
      <c r="G1" s="17"/>
      <c r="H1" s="17"/>
      <c r="I1" s="17"/>
      <c r="J1" s="17"/>
      <c r="K1" s="17"/>
      <c r="L1" s="17"/>
      <c r="M1" s="17"/>
      <c r="N1" s="17"/>
      <c r="O1" s="17"/>
      <c r="P1" s="17"/>
    </row>
    <row r="2" spans="1:16" ht="12.75" customHeight="1" x14ac:dyDescent="0.3">
      <c r="A2" s="8">
        <v>17</v>
      </c>
      <c r="B2" s="227" t="s">
        <v>1805</v>
      </c>
      <c r="C2" s="1892" t="s">
        <v>1499</v>
      </c>
      <c r="D2" s="1856"/>
      <c r="E2" s="1857" t="s">
        <v>27</v>
      </c>
      <c r="F2" s="17"/>
      <c r="G2" s="1892" t="s">
        <v>1500</v>
      </c>
      <c r="H2" s="1856"/>
      <c r="I2" s="1856"/>
      <c r="J2" s="1856"/>
      <c r="K2" s="1856"/>
      <c r="L2" s="1856"/>
      <c r="M2" s="1856"/>
      <c r="N2" s="1856"/>
      <c r="O2" s="1857" t="s">
        <v>28</v>
      </c>
      <c r="P2" s="17"/>
    </row>
    <row r="3" spans="1:16" ht="12.75" customHeight="1" x14ac:dyDescent="0.3">
      <c r="A3" s="8">
        <v>20</v>
      </c>
      <c r="B3" s="227" t="s">
        <v>1806</v>
      </c>
      <c r="C3" s="675" t="s">
        <v>5511</v>
      </c>
      <c r="D3" s="40"/>
      <c r="E3" s="48"/>
      <c r="F3" s="17"/>
      <c r="G3" s="675" t="s">
        <v>5511</v>
      </c>
      <c r="H3" s="40"/>
      <c r="I3" s="40"/>
      <c r="J3" s="40"/>
      <c r="K3" s="40"/>
      <c r="L3" s="311"/>
      <c r="M3" s="40"/>
      <c r="N3" s="40"/>
      <c r="O3" s="48"/>
      <c r="P3" s="17"/>
    </row>
    <row r="4" spans="1:16" ht="12.75" customHeight="1" x14ac:dyDescent="0.25">
      <c r="A4" s="8">
        <v>22</v>
      </c>
      <c r="B4" s="227" t="s">
        <v>1807</v>
      </c>
      <c r="C4" s="1901">
        <f>A2</f>
        <v>17</v>
      </c>
      <c r="D4" s="40" t="s">
        <v>3441</v>
      </c>
      <c r="E4" s="48"/>
      <c r="F4" s="17"/>
      <c r="G4" s="1901">
        <f>A14</f>
        <v>16.3</v>
      </c>
      <c r="H4" s="40" t="s">
        <v>5512</v>
      </c>
      <c r="I4" s="40"/>
      <c r="J4" s="1901">
        <f>A16</f>
        <v>17</v>
      </c>
      <c r="K4" s="40" t="s">
        <v>3441</v>
      </c>
      <c r="L4" s="311"/>
      <c r="M4" s="40"/>
      <c r="N4" s="40"/>
      <c r="O4" s="48"/>
      <c r="P4" s="17"/>
    </row>
    <row r="5" spans="1:16" ht="12.75" customHeight="1" x14ac:dyDescent="0.25">
      <c r="A5" s="8">
        <v>25</v>
      </c>
      <c r="B5" s="227" t="s">
        <v>1808</v>
      </c>
      <c r="C5" s="655"/>
      <c r="D5" s="1865"/>
      <c r="E5" s="48"/>
      <c r="F5" s="17"/>
      <c r="G5" s="655"/>
      <c r="H5" s="1931"/>
      <c r="I5" s="40"/>
      <c r="J5" s="40"/>
      <c r="K5" s="1931"/>
      <c r="L5" s="311"/>
      <c r="M5" s="40"/>
      <c r="N5" s="40"/>
      <c r="O5" s="48"/>
      <c r="P5" s="17"/>
    </row>
    <row r="6" spans="1:16" ht="12.75" customHeight="1" x14ac:dyDescent="0.25">
      <c r="A6" s="8" t="s">
        <v>5509</v>
      </c>
      <c r="B6" s="227" t="s">
        <v>1823</v>
      </c>
      <c r="C6" s="655"/>
      <c r="D6" s="40"/>
      <c r="E6" s="48"/>
      <c r="F6" s="17"/>
      <c r="G6" s="655"/>
      <c r="H6" s="311"/>
      <c r="I6" s="40"/>
      <c r="J6" s="40"/>
      <c r="K6" s="40"/>
      <c r="L6" s="311"/>
      <c r="M6" s="40"/>
      <c r="N6" s="40"/>
      <c r="O6" s="48"/>
      <c r="P6" s="17"/>
    </row>
    <row r="7" spans="1:16" ht="12.75" customHeight="1" x14ac:dyDescent="0.25">
      <c r="A7" s="8">
        <v>26</v>
      </c>
      <c r="B7" s="227" t="s">
        <v>5513</v>
      </c>
      <c r="C7" s="1901">
        <f>A3</f>
        <v>20</v>
      </c>
      <c r="D7" s="40" t="s">
        <v>5514</v>
      </c>
      <c r="E7" s="48"/>
      <c r="F7" s="17"/>
      <c r="G7" s="1901">
        <f>A15</f>
        <v>16.399999999999999</v>
      </c>
      <c r="H7" s="40" t="s">
        <v>5515</v>
      </c>
      <c r="I7" s="311"/>
      <c r="J7" s="1901">
        <f>A17</f>
        <v>20</v>
      </c>
      <c r="K7" s="40" t="s">
        <v>5514</v>
      </c>
      <c r="L7" s="311"/>
      <c r="M7" s="40"/>
      <c r="N7" s="40"/>
      <c r="O7" s="48"/>
      <c r="P7" s="226"/>
    </row>
    <row r="8" spans="1:16" ht="12.75" customHeight="1" x14ac:dyDescent="0.25">
      <c r="A8" s="8">
        <v>27</v>
      </c>
      <c r="B8" s="227" t="s">
        <v>1814</v>
      </c>
      <c r="C8" s="655"/>
      <c r="D8" s="1931"/>
      <c r="E8" s="48"/>
      <c r="F8" s="17"/>
      <c r="G8" s="655"/>
      <c r="H8" s="1931"/>
      <c r="I8" s="311"/>
      <c r="J8" s="40"/>
      <c r="K8" s="1931"/>
      <c r="L8" s="311"/>
      <c r="M8" s="40"/>
      <c r="N8" s="40"/>
      <c r="O8" s="48"/>
      <c r="P8" s="226"/>
    </row>
    <row r="9" spans="1:16" ht="9.75" customHeight="1" x14ac:dyDescent="0.3">
      <c r="A9" s="8">
        <v>28</v>
      </c>
      <c r="B9" s="227" t="s">
        <v>5516</v>
      </c>
      <c r="C9" s="675" t="s">
        <v>5517</v>
      </c>
      <c r="D9" s="40"/>
      <c r="E9" s="48"/>
      <c r="F9" s="17"/>
      <c r="G9" s="655"/>
      <c r="H9" s="436"/>
      <c r="I9" s="311"/>
      <c r="J9" s="311"/>
      <c r="K9" s="311"/>
      <c r="L9" s="311"/>
      <c r="M9" s="311"/>
      <c r="N9" s="311"/>
      <c r="O9" s="48"/>
      <c r="P9" s="226"/>
    </row>
    <row r="10" spans="1:16" ht="12.75" customHeight="1" x14ac:dyDescent="0.3">
      <c r="A10" s="8">
        <v>30</v>
      </c>
      <c r="B10" s="227" t="s">
        <v>1816</v>
      </c>
      <c r="C10" s="1901">
        <f>A4</f>
        <v>22</v>
      </c>
      <c r="D10" s="40" t="str">
        <f>"Loss set against "&amp;tax_year&amp;" income"</f>
        <v>Loss set against 2025-26 income</v>
      </c>
      <c r="E10" s="48"/>
      <c r="F10" s="17"/>
      <c r="G10" s="675" t="s">
        <v>5517</v>
      </c>
      <c r="H10" s="40"/>
      <c r="I10" s="40"/>
      <c r="J10" s="40"/>
      <c r="K10" s="40"/>
      <c r="L10" s="311"/>
      <c r="M10" s="40"/>
      <c r="N10" s="40"/>
      <c r="O10" s="48"/>
      <c r="P10" s="17"/>
    </row>
    <row r="11" spans="1:16" ht="12.75" customHeight="1" x14ac:dyDescent="0.25">
      <c r="A11" s="8">
        <v>31</v>
      </c>
      <c r="B11" s="227" t="s">
        <v>5518</v>
      </c>
      <c r="C11" s="655"/>
      <c r="D11" s="1846"/>
      <c r="E11" s="62"/>
      <c r="F11" s="17"/>
      <c r="G11" s="1901">
        <f>A18</f>
        <v>22</v>
      </c>
      <c r="H11" s="40" t="str">
        <f>"Loss set against "&amp;tax_year&amp;" income"</f>
        <v>Loss set against 2025-26 income</v>
      </c>
      <c r="I11" s="40"/>
      <c r="J11" s="40"/>
      <c r="K11" s="40"/>
      <c r="L11" s="311"/>
      <c r="M11" s="40"/>
      <c r="N11" s="40"/>
      <c r="O11" s="48"/>
      <c r="P11" s="17"/>
    </row>
    <row r="12" spans="1:16" ht="12.75" customHeight="1" x14ac:dyDescent="0.3">
      <c r="B12" s="227" t="s">
        <v>5519</v>
      </c>
      <c r="C12" s="675" t="s">
        <v>5486</v>
      </c>
      <c r="D12" s="40"/>
      <c r="E12" s="61"/>
      <c r="F12" s="17"/>
      <c r="G12" s="655"/>
      <c r="H12" s="1846"/>
      <c r="I12" s="40"/>
      <c r="J12" s="40"/>
      <c r="K12" s="40"/>
      <c r="L12" s="311"/>
      <c r="M12" s="40"/>
      <c r="N12" s="40"/>
      <c r="O12" s="48"/>
      <c r="P12" s="17"/>
    </row>
    <row r="13" spans="1:16" ht="12.75" customHeight="1" x14ac:dyDescent="0.3">
      <c r="A13" s="8" t="s">
        <v>28</v>
      </c>
      <c r="B13" s="227" t="s">
        <v>5520</v>
      </c>
      <c r="C13" s="1901">
        <f>A5</f>
        <v>25</v>
      </c>
      <c r="D13" s="46" t="s">
        <v>5487</v>
      </c>
      <c r="E13" s="61"/>
      <c r="F13" s="17"/>
      <c r="G13" s="675" t="s">
        <v>5486</v>
      </c>
      <c r="H13" s="40"/>
      <c r="I13" s="40"/>
      <c r="J13" s="40"/>
      <c r="K13" s="40"/>
      <c r="L13" s="311"/>
      <c r="M13" s="40"/>
      <c r="N13" s="40"/>
      <c r="O13" s="48"/>
      <c r="P13" s="17"/>
    </row>
    <row r="14" spans="1:16" ht="12.75" customHeight="1" x14ac:dyDescent="0.25">
      <c r="A14" s="8">
        <v>16.3</v>
      </c>
      <c r="B14" s="227" t="s">
        <v>1934</v>
      </c>
      <c r="C14" s="655"/>
      <c r="D14" s="40"/>
      <c r="E14" s="62"/>
      <c r="F14" s="17"/>
      <c r="G14" s="1901">
        <f>A5</f>
        <v>25</v>
      </c>
      <c r="H14" s="40" t="s">
        <v>5487</v>
      </c>
      <c r="I14" s="40"/>
      <c r="J14" s="1901">
        <f>A7</f>
        <v>26</v>
      </c>
      <c r="K14" s="46"/>
      <c r="L14" s="311"/>
      <c r="M14" s="1901">
        <f>A22</f>
        <v>27</v>
      </c>
      <c r="N14" s="40" t="s">
        <v>5493</v>
      </c>
      <c r="O14" s="48"/>
      <c r="P14" s="17"/>
    </row>
    <row r="15" spans="1:16" ht="12.75" customHeight="1" x14ac:dyDescent="0.25">
      <c r="A15" s="8">
        <v>16.399999999999999</v>
      </c>
      <c r="B15" s="227"/>
      <c r="C15" s="655"/>
      <c r="D15" s="40"/>
      <c r="E15" s="61"/>
      <c r="F15" s="17"/>
      <c r="G15" s="655"/>
      <c r="H15" s="40"/>
      <c r="I15" s="40"/>
      <c r="J15" s="40"/>
      <c r="K15" s="40"/>
      <c r="L15" s="311"/>
      <c r="M15" s="40"/>
      <c r="N15" s="1865"/>
      <c r="O15" s="48"/>
      <c r="P15" s="17"/>
    </row>
    <row r="16" spans="1:16" ht="12.75" customHeight="1" x14ac:dyDescent="0.3">
      <c r="A16" s="8">
        <v>17</v>
      </c>
      <c r="B16" s="227"/>
      <c r="C16" s="1901">
        <f>A7</f>
        <v>26</v>
      </c>
      <c r="D16" s="46"/>
      <c r="E16" s="61"/>
      <c r="F16" s="17"/>
      <c r="G16" s="675" t="s">
        <v>5521</v>
      </c>
      <c r="H16" s="40"/>
      <c r="I16" s="40"/>
      <c r="J16" s="40"/>
      <c r="K16" s="40"/>
      <c r="L16" s="311"/>
      <c r="M16" s="40"/>
      <c r="N16" s="40"/>
      <c r="O16" s="48"/>
      <c r="P16" s="17"/>
    </row>
    <row r="17" spans="1:21" ht="12.75" customHeight="1" x14ac:dyDescent="0.25">
      <c r="A17" s="8">
        <v>20</v>
      </c>
      <c r="B17" s="227" t="s">
        <v>1809</v>
      </c>
      <c r="C17" s="655"/>
      <c r="D17" s="40"/>
      <c r="E17" s="62"/>
      <c r="F17" s="17"/>
      <c r="G17" s="1932">
        <f>A23</f>
        <v>35</v>
      </c>
      <c r="H17" s="40" t="s">
        <v>5522</v>
      </c>
      <c r="I17" s="40"/>
      <c r="J17" s="1901">
        <f>A24</f>
        <v>35.1</v>
      </c>
      <c r="K17" s="40" t="s">
        <v>5523</v>
      </c>
      <c r="L17" s="311"/>
      <c r="M17" s="40"/>
      <c r="N17" s="40"/>
      <c r="O17" s="48"/>
      <c r="P17" s="17"/>
      <c r="R17" s="214" t="s">
        <v>27</v>
      </c>
      <c r="S17" s="214" t="s">
        <v>28</v>
      </c>
    </row>
    <row r="18" spans="1:21" x14ac:dyDescent="0.25">
      <c r="A18" s="8">
        <v>22</v>
      </c>
      <c r="B18" s="227" t="s">
        <v>1810</v>
      </c>
      <c r="C18" s="655"/>
      <c r="D18" s="40"/>
      <c r="E18" s="62"/>
      <c r="F18" s="17"/>
      <c r="G18" s="655"/>
      <c r="H18" s="1846"/>
      <c r="I18" s="40"/>
      <c r="J18" s="40"/>
      <c r="K18" s="1865"/>
      <c r="L18" s="311"/>
      <c r="M18" s="40"/>
      <c r="N18" s="40"/>
      <c r="O18" s="48"/>
      <c r="P18" s="17"/>
    </row>
    <row r="19" spans="1:21" ht="12.75" customHeight="1" x14ac:dyDescent="0.3">
      <c r="A19" s="8">
        <v>25</v>
      </c>
      <c r="B19" s="227" t="s">
        <v>1893</v>
      </c>
      <c r="C19" s="1901">
        <f>A8</f>
        <v>27</v>
      </c>
      <c r="D19" s="40" t="s">
        <v>5493</v>
      </c>
      <c r="E19" s="62"/>
      <c r="F19" s="17"/>
      <c r="G19" s="675" t="s">
        <v>5524</v>
      </c>
      <c r="H19" s="40"/>
      <c r="I19" s="40"/>
      <c r="J19" s="40"/>
      <c r="K19" s="40"/>
      <c r="L19" s="311"/>
      <c r="M19" s="40"/>
      <c r="N19" s="40"/>
      <c r="O19" s="48"/>
      <c r="P19" s="17"/>
      <c r="Q19" s="214" t="s">
        <v>5525</v>
      </c>
      <c r="R19" s="59" t="b">
        <v>0</v>
      </c>
      <c r="S19" s="59" t="b">
        <v>0</v>
      </c>
    </row>
    <row r="20" spans="1:21" ht="12.75" customHeight="1" x14ac:dyDescent="0.25">
      <c r="A20" s="8" t="s">
        <v>5509</v>
      </c>
      <c r="B20" s="227" t="s">
        <v>1894</v>
      </c>
      <c r="C20" s="655"/>
      <c r="D20" s="1865"/>
      <c r="E20" s="62"/>
      <c r="F20" s="17"/>
      <c r="G20" s="1901">
        <f>A25</f>
        <v>38</v>
      </c>
      <c r="H20" s="40" t="s">
        <v>3441</v>
      </c>
      <c r="I20" s="40"/>
      <c r="J20" s="1901">
        <f>A26</f>
        <v>39</v>
      </c>
      <c r="K20" s="40" t="str">
        <f>"Loss set against "&amp;tax_year&amp;" total income"</f>
        <v>Loss set against 2025-26 total income</v>
      </c>
      <c r="L20" s="311"/>
      <c r="M20" s="40"/>
      <c r="N20" s="40"/>
      <c r="O20" s="48"/>
      <c r="P20" s="17"/>
      <c r="Q20" s="214" t="s">
        <v>436</v>
      </c>
      <c r="R20" s="59" t="b">
        <v>0</v>
      </c>
      <c r="S20" s="59" t="b">
        <v>0</v>
      </c>
    </row>
    <row r="21" spans="1:21" ht="12" x14ac:dyDescent="0.3">
      <c r="A21" s="8">
        <v>26</v>
      </c>
      <c r="B21" s="227" t="s">
        <v>1811</v>
      </c>
      <c r="C21" s="675" t="s">
        <v>5521</v>
      </c>
      <c r="D21" s="46"/>
      <c r="E21" s="61"/>
      <c r="F21" s="17"/>
      <c r="G21" s="655"/>
      <c r="H21" s="1846"/>
      <c r="I21" s="40"/>
      <c r="J21" s="40"/>
      <c r="K21" s="1846"/>
      <c r="L21" s="311"/>
      <c r="M21" s="40"/>
      <c r="N21" s="40"/>
      <c r="O21" s="48"/>
      <c r="P21" s="17"/>
    </row>
    <row r="22" spans="1:21" ht="12.75" customHeight="1" x14ac:dyDescent="0.3">
      <c r="A22" s="8">
        <v>27</v>
      </c>
      <c r="B22" s="227" t="s">
        <v>1884</v>
      </c>
      <c r="C22" s="1901">
        <f>A9</f>
        <v>28</v>
      </c>
      <c r="D22" s="40" t="s">
        <v>5526</v>
      </c>
      <c r="E22" s="48"/>
      <c r="F22" s="17"/>
      <c r="G22" s="675"/>
      <c r="H22" s="40"/>
      <c r="I22" s="40"/>
      <c r="J22" s="40"/>
      <c r="K22" s="40"/>
      <c r="L22" s="311"/>
      <c r="M22" s="40"/>
      <c r="N22" s="40"/>
      <c r="O22" s="48"/>
      <c r="P22" s="17"/>
    </row>
    <row r="23" spans="1:21" ht="12.75" customHeight="1" x14ac:dyDescent="0.25">
      <c r="A23" s="8">
        <v>35</v>
      </c>
      <c r="B23" s="227" t="s">
        <v>1813</v>
      </c>
      <c r="C23" s="655"/>
      <c r="D23" s="1846"/>
      <c r="E23" s="48"/>
      <c r="F23" s="17"/>
      <c r="G23" s="1901">
        <f>A27</f>
        <v>41</v>
      </c>
      <c r="H23" s="40" t="s">
        <v>5527</v>
      </c>
      <c r="I23" s="40"/>
      <c r="J23" s="1901">
        <f>A28</f>
        <v>41.1</v>
      </c>
      <c r="K23" s="40" t="s">
        <v>3641</v>
      </c>
      <c r="L23" s="40"/>
      <c r="M23" s="1901">
        <f>A29</f>
        <v>41.2</v>
      </c>
      <c r="N23" s="40" t="s">
        <v>5528</v>
      </c>
      <c r="O23" s="48"/>
      <c r="P23" s="17"/>
      <c r="Q23" s="8">
        <v>0</v>
      </c>
    </row>
    <row r="24" spans="1:21" ht="12" x14ac:dyDescent="0.3">
      <c r="A24" s="8">
        <v>35.1</v>
      </c>
      <c r="B24" s="227" t="s">
        <v>1872</v>
      </c>
      <c r="C24" s="675" t="s">
        <v>5529</v>
      </c>
      <c r="D24" s="46"/>
      <c r="E24" s="48"/>
      <c r="F24" s="17"/>
      <c r="G24" s="655"/>
      <c r="H24" s="1933"/>
      <c r="I24" s="40"/>
      <c r="J24" s="40"/>
      <c r="K24" s="1933"/>
      <c r="L24" s="311"/>
      <c r="M24" s="40"/>
      <c r="N24" s="1933"/>
      <c r="O24" s="48"/>
      <c r="P24" s="17"/>
    </row>
    <row r="25" spans="1:21" ht="12.75" customHeight="1" x14ac:dyDescent="0.3">
      <c r="A25" s="8">
        <v>38</v>
      </c>
      <c r="B25" s="227" t="s">
        <v>5530</v>
      </c>
      <c r="C25" s="1901">
        <f>A10</f>
        <v>30</v>
      </c>
      <c r="D25" s="40" t="s">
        <v>5531</v>
      </c>
      <c r="E25" s="48"/>
      <c r="F25" s="17"/>
      <c r="G25" s="655"/>
      <c r="H25" s="398" t="s">
        <v>5532</v>
      </c>
      <c r="I25" s="311"/>
      <c r="J25" s="311"/>
      <c r="K25" s="311"/>
      <c r="L25" s="311"/>
      <c r="M25" s="40"/>
      <c r="N25" s="43" t="s">
        <v>5533</v>
      </c>
      <c r="O25" s="48"/>
      <c r="P25" s="17"/>
    </row>
    <row r="26" spans="1:21" ht="12.75" customHeight="1" x14ac:dyDescent="0.3">
      <c r="A26" s="8">
        <v>39</v>
      </c>
      <c r="B26" s="227" t="s">
        <v>1838</v>
      </c>
      <c r="C26" s="655"/>
      <c r="D26" s="1866"/>
      <c r="E26" s="48"/>
      <c r="F26" s="17"/>
      <c r="G26" s="675"/>
      <c r="H26" s="40"/>
      <c r="I26" s="311"/>
      <c r="J26" s="311"/>
      <c r="K26" s="311"/>
      <c r="L26" s="311"/>
      <c r="M26" s="1934" t="s">
        <v>1753</v>
      </c>
      <c r="N26" s="40" t="s">
        <v>5534</v>
      </c>
      <c r="O26" s="48"/>
      <c r="P26" s="17"/>
    </row>
    <row r="27" spans="1:21" ht="12" x14ac:dyDescent="0.3">
      <c r="A27" s="8">
        <v>41</v>
      </c>
      <c r="B27" s="227" t="s">
        <v>1817</v>
      </c>
      <c r="C27" s="655"/>
      <c r="D27" s="46"/>
      <c r="E27" s="48"/>
      <c r="F27" s="17"/>
      <c r="G27" s="655"/>
      <c r="H27" s="398"/>
      <c r="I27" s="311"/>
      <c r="J27" s="40"/>
      <c r="K27" s="40"/>
      <c r="L27" s="311"/>
      <c r="M27" s="40"/>
      <c r="N27" s="1846"/>
      <c r="O27" s="48"/>
      <c r="P27" s="17"/>
    </row>
    <row r="28" spans="1:21" ht="12.75" customHeight="1" x14ac:dyDescent="0.3">
      <c r="A28" s="8">
        <v>41.1</v>
      </c>
      <c r="B28" s="227" t="s">
        <v>5535</v>
      </c>
      <c r="C28" s="1901">
        <f>A11</f>
        <v>31</v>
      </c>
      <c r="D28" s="40" t="s">
        <v>5531</v>
      </c>
      <c r="E28" s="48"/>
      <c r="F28" s="17"/>
      <c r="G28" s="675" t="s">
        <v>5536</v>
      </c>
      <c r="H28" s="40"/>
      <c r="I28" s="311"/>
      <c r="J28" s="311"/>
      <c r="K28" s="311"/>
      <c r="L28" s="311"/>
      <c r="M28" s="40"/>
      <c r="N28" s="40"/>
      <c r="O28" s="48"/>
      <c r="P28" s="17"/>
    </row>
    <row r="29" spans="1:21" ht="12.75" customHeight="1" x14ac:dyDescent="0.25">
      <c r="A29" s="8">
        <v>41.2</v>
      </c>
      <c r="B29" s="227" t="s">
        <v>1857</v>
      </c>
      <c r="C29" s="655"/>
      <c r="D29" s="1866"/>
      <c r="E29" s="48"/>
      <c r="F29" s="17"/>
      <c r="G29" s="1901">
        <f>A30</f>
        <v>47</v>
      </c>
      <c r="H29" s="40" t="s">
        <v>3441</v>
      </c>
      <c r="I29" s="40"/>
      <c r="J29" s="40"/>
      <c r="K29" s="40"/>
      <c r="L29" s="311"/>
      <c r="M29" s="40"/>
      <c r="N29" s="40"/>
      <c r="O29" s="48"/>
      <c r="P29" s="17"/>
    </row>
    <row r="30" spans="1:21" ht="12" x14ac:dyDescent="0.3">
      <c r="A30" s="8">
        <v>47</v>
      </c>
      <c r="B30" s="227"/>
      <c r="C30" s="655"/>
      <c r="D30" s="311"/>
      <c r="E30" s="48"/>
      <c r="F30" s="17"/>
      <c r="G30" s="655"/>
      <c r="H30" s="1846"/>
      <c r="I30" s="40"/>
      <c r="J30" s="40"/>
      <c r="K30" s="311"/>
      <c r="L30" s="311"/>
      <c r="M30" s="40"/>
      <c r="N30" s="40"/>
      <c r="O30" s="48"/>
      <c r="P30" s="17"/>
      <c r="U30" s="409"/>
    </row>
    <row r="31" spans="1:21" ht="12.75" customHeight="1" x14ac:dyDescent="0.3">
      <c r="A31" s="8">
        <v>48</v>
      </c>
      <c r="B31" s="227" t="s">
        <v>1839</v>
      </c>
      <c r="C31" s="676"/>
      <c r="D31" s="311"/>
      <c r="E31" s="48"/>
      <c r="F31" s="17"/>
      <c r="G31" s="675" t="s">
        <v>5537</v>
      </c>
      <c r="H31" s="40"/>
      <c r="I31" s="40"/>
      <c r="J31" s="40"/>
      <c r="K31" s="311"/>
      <c r="L31" s="311"/>
      <c r="M31" s="311"/>
      <c r="N31" s="311"/>
      <c r="O31" s="48"/>
      <c r="P31" s="17"/>
      <c r="U31" s="410"/>
    </row>
    <row r="32" spans="1:21" ht="12" customHeight="1" x14ac:dyDescent="0.3">
      <c r="A32" s="8">
        <v>58</v>
      </c>
      <c r="B32" s="227"/>
      <c r="C32" s="676"/>
      <c r="D32" s="311"/>
      <c r="E32" s="48"/>
      <c r="F32" s="17"/>
      <c r="G32" s="1901">
        <f>A32</f>
        <v>58</v>
      </c>
      <c r="H32" s="40" t="s">
        <v>3441</v>
      </c>
      <c r="I32" s="40"/>
      <c r="J32" s="40"/>
      <c r="K32" s="311"/>
      <c r="L32" s="40"/>
      <c r="M32" s="40"/>
      <c r="N32" s="40"/>
      <c r="O32" s="48"/>
      <c r="P32" s="17"/>
      <c r="U32" s="23"/>
    </row>
    <row r="33" spans="1:21" ht="12" customHeight="1" x14ac:dyDescent="0.3">
      <c r="A33" s="8">
        <v>60</v>
      </c>
      <c r="B33" s="227" t="s">
        <v>1840</v>
      </c>
      <c r="C33" s="655"/>
      <c r="D33" s="311"/>
      <c r="E33" s="48"/>
      <c r="F33" s="17"/>
      <c r="G33" s="655"/>
      <c r="H33" s="1846"/>
      <c r="I33" s="40"/>
      <c r="J33" s="40"/>
      <c r="K33" s="311"/>
      <c r="L33" s="311"/>
      <c r="M33" s="311"/>
      <c r="N33" s="311"/>
      <c r="O33" s="48"/>
      <c r="P33" s="17"/>
      <c r="U33" s="23"/>
    </row>
    <row r="34" spans="1:21" ht="12" x14ac:dyDescent="0.3">
      <c r="A34" s="8">
        <v>63.1</v>
      </c>
      <c r="B34" s="227" t="s">
        <v>5538</v>
      </c>
      <c r="C34" s="676"/>
      <c r="D34" s="311"/>
      <c r="E34" s="48"/>
      <c r="F34" s="17"/>
      <c r="G34" s="655"/>
      <c r="H34" s="311"/>
      <c r="I34" s="40"/>
      <c r="J34" s="40"/>
      <c r="K34" s="311"/>
      <c r="L34" s="311"/>
      <c r="M34" s="311"/>
      <c r="N34" s="311"/>
      <c r="O34" s="48"/>
      <c r="P34" s="17"/>
      <c r="T34" s="26"/>
      <c r="U34" s="23"/>
    </row>
    <row r="35" spans="1:21" ht="12" customHeight="1" x14ac:dyDescent="0.25">
      <c r="A35" s="8">
        <v>63.2</v>
      </c>
      <c r="B35" s="227" t="s">
        <v>5539</v>
      </c>
      <c r="C35" s="676"/>
      <c r="D35" s="311"/>
      <c r="E35" s="48"/>
      <c r="F35" s="17"/>
      <c r="G35" s="1901">
        <f>A33</f>
        <v>60</v>
      </c>
      <c r="H35" s="311" t="s">
        <v>5540</v>
      </c>
      <c r="I35" s="40"/>
      <c r="J35" s="1901">
        <f>A34</f>
        <v>63.1</v>
      </c>
      <c r="K35" s="311" t="s">
        <v>3641</v>
      </c>
      <c r="L35" s="311"/>
      <c r="M35" s="1901">
        <f>A35</f>
        <v>63.2</v>
      </c>
      <c r="N35" s="311" t="s">
        <v>5528</v>
      </c>
      <c r="O35" s="439"/>
      <c r="P35" s="17"/>
    </row>
    <row r="36" spans="1:21" ht="12" customHeight="1" x14ac:dyDescent="0.25">
      <c r="A36" s="8">
        <v>70</v>
      </c>
      <c r="B36" s="227" t="s">
        <v>1933</v>
      </c>
      <c r="C36" s="1827"/>
      <c r="D36" s="1802"/>
      <c r="E36" s="1803"/>
      <c r="F36" s="17"/>
      <c r="G36" s="655"/>
      <c r="H36" s="1933"/>
      <c r="I36" s="40"/>
      <c r="J36" s="40"/>
      <c r="K36" s="1935"/>
      <c r="L36" s="311"/>
      <c r="M36" s="40"/>
      <c r="N36" s="1935"/>
      <c r="O36" s="48"/>
      <c r="P36" s="17"/>
    </row>
    <row r="37" spans="1:21" ht="12" x14ac:dyDescent="0.3">
      <c r="A37" s="8">
        <v>70.099999999999994</v>
      </c>
      <c r="B37" s="227" t="s">
        <v>1935</v>
      </c>
      <c r="C37" s="226"/>
      <c r="D37" s="226"/>
      <c r="E37" s="226"/>
      <c r="F37" s="17"/>
      <c r="G37" s="655"/>
      <c r="H37" s="398" t="s">
        <v>5541</v>
      </c>
      <c r="I37" s="311"/>
      <c r="J37" s="311"/>
      <c r="K37" s="311"/>
      <c r="L37" s="311"/>
      <c r="M37" s="40"/>
      <c r="N37" s="43" t="s">
        <v>5542</v>
      </c>
      <c r="O37" s="48"/>
      <c r="P37" s="17"/>
    </row>
    <row r="38" spans="1:21" ht="12" x14ac:dyDescent="0.3">
      <c r="A38" s="8">
        <v>73</v>
      </c>
      <c r="B38" s="227" t="s">
        <v>1936</v>
      </c>
      <c r="C38" s="226"/>
      <c r="D38" s="226"/>
      <c r="E38" s="226"/>
      <c r="F38" s="17"/>
      <c r="G38" s="675"/>
      <c r="H38" s="40"/>
      <c r="I38" s="311"/>
      <c r="J38" s="311"/>
      <c r="K38" s="311"/>
      <c r="L38" s="311"/>
      <c r="M38" s="1936" t="s">
        <v>1603</v>
      </c>
      <c r="N38" s="311" t="s">
        <v>5543</v>
      </c>
      <c r="O38" s="439"/>
      <c r="P38" s="17"/>
    </row>
    <row r="39" spans="1:21" ht="12" x14ac:dyDescent="0.3">
      <c r="A39" s="8">
        <v>76</v>
      </c>
      <c r="B39" s="227" t="s">
        <v>5544</v>
      </c>
      <c r="C39" s="226"/>
      <c r="D39" s="226"/>
      <c r="E39" s="226"/>
      <c r="F39" s="17"/>
      <c r="G39" s="655"/>
      <c r="H39" s="398"/>
      <c r="I39" s="311"/>
      <c r="J39" s="40"/>
      <c r="K39" s="40"/>
      <c r="L39" s="311"/>
      <c r="M39" s="40"/>
      <c r="N39" s="1865"/>
      <c r="O39" s="48"/>
      <c r="P39" s="17"/>
    </row>
    <row r="40" spans="1:21" ht="12" x14ac:dyDescent="0.3">
      <c r="A40" s="8">
        <v>77</v>
      </c>
      <c r="B40" s="17"/>
      <c r="C40" s="226"/>
      <c r="D40" s="226"/>
      <c r="E40" s="226"/>
      <c r="F40" s="17"/>
      <c r="G40" s="675"/>
      <c r="H40" s="40"/>
      <c r="I40" s="40"/>
      <c r="J40" s="311"/>
      <c r="K40" s="311"/>
      <c r="L40" s="311"/>
      <c r="M40" s="40"/>
      <c r="N40" s="40"/>
      <c r="O40" s="48"/>
      <c r="P40" s="226"/>
    </row>
    <row r="41" spans="1:21" ht="12" x14ac:dyDescent="0.3">
      <c r="A41" s="8">
        <v>78</v>
      </c>
      <c r="B41" s="227"/>
      <c r="C41" s="226"/>
      <c r="D41" s="226"/>
      <c r="E41" s="226"/>
      <c r="F41" s="17"/>
      <c r="G41" s="675" t="s">
        <v>5545</v>
      </c>
      <c r="H41" s="40"/>
      <c r="I41" s="40"/>
      <c r="J41" s="311"/>
      <c r="K41" s="311"/>
      <c r="L41" s="311"/>
      <c r="M41" s="40"/>
      <c r="N41" s="40"/>
      <c r="O41" s="48"/>
      <c r="P41" s="226"/>
    </row>
    <row r="42" spans="1:21" x14ac:dyDescent="0.25">
      <c r="A42" s="8">
        <v>79</v>
      </c>
      <c r="B42" s="254"/>
      <c r="C42" s="226"/>
      <c r="D42" s="226"/>
      <c r="E42" s="226"/>
      <c r="F42" s="17"/>
      <c r="G42" s="1937">
        <f>A36</f>
        <v>70</v>
      </c>
      <c r="H42" s="46" t="s">
        <v>3705</v>
      </c>
      <c r="I42" s="311"/>
      <c r="J42" s="1901">
        <f>A37</f>
        <v>70.099999999999994</v>
      </c>
      <c r="K42" s="46" t="s">
        <v>5523</v>
      </c>
      <c r="L42" s="311"/>
      <c r="M42" s="311"/>
      <c r="N42" s="311"/>
      <c r="O42" s="48"/>
      <c r="P42" s="226"/>
    </row>
    <row r="43" spans="1:21" x14ac:dyDescent="0.25">
      <c r="B43" s="254"/>
      <c r="C43" s="226"/>
      <c r="D43" s="226"/>
      <c r="E43" s="226"/>
      <c r="F43" s="17"/>
      <c r="G43" s="655"/>
      <c r="H43" s="1846"/>
      <c r="I43" s="40"/>
      <c r="J43" s="40"/>
      <c r="K43" s="1865"/>
      <c r="L43" s="311"/>
      <c r="M43" s="311"/>
      <c r="N43" s="311"/>
      <c r="O43" s="439"/>
      <c r="P43" s="226"/>
    </row>
    <row r="44" spans="1:21" ht="12" x14ac:dyDescent="0.3">
      <c r="B44" s="226"/>
      <c r="C44" s="226"/>
      <c r="D44" s="226"/>
      <c r="E44" s="226"/>
      <c r="F44" s="17"/>
      <c r="G44" s="675" t="s">
        <v>5546</v>
      </c>
      <c r="H44" s="40"/>
      <c r="I44" s="40"/>
      <c r="J44" s="40"/>
      <c r="K44" s="40"/>
      <c r="L44" s="311"/>
      <c r="M44" s="40"/>
      <c r="N44" s="40"/>
      <c r="O44" s="48"/>
      <c r="P44" s="17"/>
    </row>
    <row r="45" spans="1:21" x14ac:dyDescent="0.25">
      <c r="B45" s="254"/>
      <c r="C45" s="226"/>
      <c r="D45" s="226"/>
      <c r="E45" s="226"/>
      <c r="F45" s="17"/>
      <c r="G45" s="1901">
        <f>A39</f>
        <v>76</v>
      </c>
      <c r="H45" s="46" t="s">
        <v>5547</v>
      </c>
      <c r="I45" s="40"/>
      <c r="J45" s="40"/>
      <c r="K45" s="40"/>
      <c r="L45" s="311"/>
      <c r="M45" s="40"/>
      <c r="N45" s="40"/>
      <c r="O45" s="48"/>
      <c r="P45" s="17"/>
    </row>
    <row r="46" spans="1:21" x14ac:dyDescent="0.25">
      <c r="B46" s="226"/>
      <c r="C46" s="226"/>
      <c r="D46" s="226"/>
      <c r="E46" s="226"/>
      <c r="F46" s="226"/>
      <c r="G46" s="655"/>
      <c r="H46" s="1931"/>
      <c r="I46" s="40"/>
      <c r="J46" s="40"/>
      <c r="K46" s="40"/>
      <c r="L46" s="311"/>
      <c r="M46" s="311"/>
      <c r="N46" s="311"/>
      <c r="O46" s="48"/>
      <c r="P46" s="17"/>
    </row>
    <row r="47" spans="1:21" x14ac:dyDescent="0.25">
      <c r="B47" s="226"/>
      <c r="C47" s="226"/>
      <c r="D47" s="226"/>
      <c r="E47" s="226"/>
      <c r="F47" s="226"/>
      <c r="G47" s="655"/>
      <c r="H47" s="311"/>
      <c r="I47" s="40"/>
      <c r="J47" s="40"/>
      <c r="K47" s="40"/>
      <c r="L47" s="311"/>
      <c r="M47" s="40"/>
      <c r="N47" s="40"/>
      <c r="O47" s="48"/>
      <c r="P47" s="17"/>
    </row>
    <row r="48" spans="1:21" x14ac:dyDescent="0.25">
      <c r="B48" s="226"/>
      <c r="C48" s="226"/>
      <c r="D48" s="226"/>
      <c r="E48" s="226"/>
      <c r="F48" s="226"/>
      <c r="G48" s="1901">
        <v>76.099999999999994</v>
      </c>
      <c r="H48" s="46" t="s">
        <v>5523</v>
      </c>
      <c r="I48" s="40"/>
      <c r="J48" s="40"/>
      <c r="K48" s="40"/>
      <c r="L48" s="311"/>
      <c r="M48" s="311"/>
      <c r="N48" s="311"/>
      <c r="O48" s="48"/>
      <c r="P48" s="17"/>
    </row>
    <row r="49" spans="2:16" x14ac:dyDescent="0.25">
      <c r="B49" s="226"/>
      <c r="C49" s="226"/>
      <c r="D49" s="226"/>
      <c r="E49" s="226"/>
      <c r="F49" s="226"/>
      <c r="G49" s="655"/>
      <c r="H49" s="1931"/>
      <c r="I49" s="40"/>
      <c r="J49" s="40"/>
      <c r="K49" s="40"/>
      <c r="L49" s="311"/>
      <c r="M49" s="40"/>
      <c r="N49" s="40"/>
      <c r="O49" s="48"/>
      <c r="P49" s="17"/>
    </row>
    <row r="50" spans="2:16" x14ac:dyDescent="0.25">
      <c r="B50" s="226"/>
      <c r="C50" s="255"/>
      <c r="D50" s="226"/>
      <c r="E50" s="255"/>
      <c r="F50" s="17"/>
      <c r="G50" s="655"/>
      <c r="H50" s="311"/>
      <c r="I50" s="40"/>
      <c r="J50" s="40"/>
      <c r="K50" s="40"/>
      <c r="L50" s="311"/>
      <c r="M50" s="40"/>
      <c r="N50" s="40"/>
      <c r="O50" s="48"/>
      <c r="P50" s="17"/>
    </row>
    <row r="51" spans="2:16" ht="12" x14ac:dyDescent="0.3">
      <c r="B51" s="226"/>
      <c r="C51" s="255"/>
      <c r="D51" s="226"/>
      <c r="E51" s="255"/>
      <c r="F51" s="17"/>
      <c r="G51" s="675" t="s">
        <v>5529</v>
      </c>
      <c r="H51" s="40"/>
      <c r="I51" s="40"/>
      <c r="J51" s="40"/>
      <c r="K51" s="40"/>
      <c r="L51" s="311"/>
      <c r="M51" s="311"/>
      <c r="N51" s="311"/>
      <c r="O51" s="48"/>
      <c r="P51" s="17"/>
    </row>
    <row r="52" spans="2:16" x14ac:dyDescent="0.25">
      <c r="B52" s="226"/>
      <c r="C52" s="255"/>
      <c r="D52" s="226"/>
      <c r="E52" s="255"/>
      <c r="F52" s="17"/>
      <c r="G52" s="1901">
        <f>A40</f>
        <v>77</v>
      </c>
      <c r="H52" s="40" t="s">
        <v>5531</v>
      </c>
      <c r="I52" s="48"/>
      <c r="J52" s="1937">
        <f>A38</f>
        <v>73</v>
      </c>
      <c r="K52" s="46" t="str">
        <f>"Taxed income taxable @ "&amp;BR_rate*100&amp;"%"</f>
        <v>Taxed income taxable @ 20%</v>
      </c>
      <c r="L52" s="311"/>
      <c r="M52" s="311"/>
      <c r="N52" s="311"/>
      <c r="O52" s="48"/>
      <c r="P52" s="226"/>
    </row>
    <row r="53" spans="2:16" x14ac:dyDescent="0.25">
      <c r="B53" s="226"/>
      <c r="C53" s="255"/>
      <c r="D53" s="226"/>
      <c r="E53" s="255"/>
      <c r="F53" s="17"/>
      <c r="G53" s="655"/>
      <c r="H53" s="1866"/>
      <c r="I53" s="40"/>
      <c r="J53" s="40"/>
      <c r="K53" s="1846"/>
      <c r="L53" s="311"/>
      <c r="M53" s="311"/>
      <c r="N53" s="311"/>
      <c r="O53" s="48"/>
      <c r="P53" s="17"/>
    </row>
    <row r="54" spans="2:16" x14ac:dyDescent="0.25">
      <c r="B54" s="226"/>
      <c r="C54" s="255"/>
      <c r="D54" s="226"/>
      <c r="E54" s="255"/>
      <c r="F54" s="17"/>
      <c r="G54" s="655"/>
      <c r="H54" s="40"/>
      <c r="I54" s="40"/>
      <c r="J54" s="40"/>
      <c r="K54" s="40"/>
      <c r="L54" s="311"/>
      <c r="M54" s="40"/>
      <c r="N54" s="40"/>
      <c r="O54" s="48"/>
      <c r="P54" s="226"/>
    </row>
    <row r="55" spans="2:16" x14ac:dyDescent="0.25">
      <c r="B55" s="226"/>
      <c r="C55" s="255"/>
      <c r="D55" s="226"/>
      <c r="E55" s="255"/>
      <c r="F55" s="17"/>
      <c r="G55" s="1901">
        <f>A41</f>
        <v>78</v>
      </c>
      <c r="H55" s="40" t="s">
        <v>5531</v>
      </c>
      <c r="I55" s="311"/>
      <c r="J55" s="1901">
        <f>A42</f>
        <v>79</v>
      </c>
      <c r="K55" s="40" t="s">
        <v>5531</v>
      </c>
      <c r="L55" s="40"/>
      <c r="M55" s="40"/>
      <c r="N55" s="40"/>
      <c r="O55" s="48"/>
      <c r="P55" s="17"/>
    </row>
    <row r="56" spans="2:16" x14ac:dyDescent="0.25">
      <c r="B56" s="226"/>
      <c r="C56" s="226"/>
      <c r="D56" s="226"/>
      <c r="E56" s="226"/>
      <c r="F56" s="226"/>
      <c r="G56" s="655"/>
      <c r="H56" s="1866"/>
      <c r="I56" s="40"/>
      <c r="J56" s="40"/>
      <c r="K56" s="1846"/>
      <c r="L56" s="311"/>
      <c r="M56" s="311"/>
      <c r="N56" s="311"/>
      <c r="O56" s="48"/>
      <c r="P56" s="17"/>
    </row>
    <row r="57" spans="2:16" x14ac:dyDescent="0.25">
      <c r="B57" s="226"/>
      <c r="C57" s="226"/>
      <c r="D57" s="226"/>
      <c r="E57" s="226"/>
      <c r="F57" s="226"/>
      <c r="G57" s="655"/>
      <c r="H57" s="311"/>
      <c r="I57" s="311"/>
      <c r="J57" s="311"/>
      <c r="K57" s="311"/>
      <c r="L57" s="311"/>
      <c r="M57" s="311"/>
      <c r="N57" s="311"/>
      <c r="O57" s="48"/>
      <c r="P57" s="17"/>
    </row>
    <row r="58" spans="2:16" x14ac:dyDescent="0.25">
      <c r="B58" s="226"/>
      <c r="C58" s="226"/>
      <c r="D58" s="226"/>
      <c r="E58" s="226"/>
      <c r="F58" s="226"/>
      <c r="G58" s="655"/>
      <c r="H58" s="311"/>
      <c r="I58" s="311"/>
      <c r="J58" s="311"/>
      <c r="K58" s="311"/>
      <c r="L58" s="311"/>
      <c r="M58" s="311"/>
      <c r="N58" s="311"/>
      <c r="O58" s="48"/>
      <c r="P58" s="17"/>
    </row>
    <row r="59" spans="2:16" x14ac:dyDescent="0.25">
      <c r="B59" s="226"/>
      <c r="C59" s="226"/>
      <c r="D59" s="226"/>
      <c r="E59" s="226"/>
      <c r="F59" s="226"/>
      <c r="G59" s="655"/>
      <c r="H59" s="311"/>
      <c r="I59" s="311"/>
      <c r="J59" s="311"/>
      <c r="K59" s="311"/>
      <c r="L59" s="311"/>
      <c r="M59" s="311"/>
      <c r="N59" s="311"/>
      <c r="O59" s="48"/>
      <c r="P59" s="17"/>
    </row>
    <row r="60" spans="2:16" x14ac:dyDescent="0.25">
      <c r="B60" s="226"/>
      <c r="C60" s="226"/>
      <c r="D60" s="226"/>
      <c r="E60" s="226"/>
      <c r="F60" s="226"/>
      <c r="G60" s="1827"/>
      <c r="H60" s="1938"/>
      <c r="I60" s="1938"/>
      <c r="J60" s="1938"/>
      <c r="K60" s="1938"/>
      <c r="L60" s="1938"/>
      <c r="M60" s="1938"/>
      <c r="N60" s="1938"/>
      <c r="O60" s="1803"/>
      <c r="P60" s="17"/>
    </row>
    <row r="61" spans="2:16" x14ac:dyDescent="0.25">
      <c r="B61" s="226"/>
      <c r="C61" s="226"/>
      <c r="D61" s="226"/>
      <c r="E61" s="226"/>
      <c r="F61" s="226"/>
      <c r="G61" s="226"/>
      <c r="H61" s="226"/>
      <c r="I61" s="226"/>
      <c r="J61" s="226"/>
      <c r="K61" s="226"/>
      <c r="L61" s="226"/>
      <c r="M61" s="226"/>
      <c r="N61" s="226"/>
      <c r="O61" s="226"/>
      <c r="P61" s="226"/>
    </row>
    <row r="62" spans="2:16" x14ac:dyDescent="0.25">
      <c r="B62" s="226"/>
      <c r="C62" s="226"/>
      <c r="D62" s="226"/>
      <c r="E62" s="226"/>
      <c r="F62" s="226"/>
      <c r="G62" s="226"/>
      <c r="H62" s="226"/>
      <c r="I62" s="226"/>
      <c r="J62" s="226"/>
      <c r="K62" s="226"/>
      <c r="L62" s="226"/>
      <c r="M62" s="226"/>
      <c r="N62" s="226"/>
      <c r="O62" s="226"/>
      <c r="P62" s="226"/>
    </row>
    <row r="63" spans="2:16" x14ac:dyDescent="0.25">
      <c r="B63" s="226"/>
      <c r="C63" s="226"/>
      <c r="D63" s="226"/>
      <c r="E63" s="226"/>
      <c r="F63" s="226"/>
      <c r="G63" s="226"/>
      <c r="H63" s="226"/>
      <c r="I63" s="226"/>
      <c r="J63" s="226"/>
      <c r="K63" s="226"/>
      <c r="L63" s="226"/>
      <c r="M63" s="226"/>
      <c r="N63" s="226"/>
      <c r="O63" s="226"/>
      <c r="P63" s="226"/>
    </row>
    <row r="64" spans="2:16" x14ac:dyDescent="0.25">
      <c r="B64" s="226"/>
      <c r="C64" s="226"/>
      <c r="D64" s="226"/>
      <c r="E64" s="226"/>
      <c r="F64" s="226"/>
      <c r="G64" s="226"/>
      <c r="H64" s="226"/>
      <c r="I64" s="226"/>
      <c r="J64" s="226"/>
      <c r="K64" s="226"/>
      <c r="L64" s="226"/>
      <c r="M64" s="226"/>
      <c r="N64" s="226"/>
      <c r="O64" s="226"/>
      <c r="P64" s="226"/>
    </row>
    <row r="65" spans="2:16" x14ac:dyDescent="0.25">
      <c r="B65" s="226"/>
      <c r="C65" s="226"/>
      <c r="D65" s="226"/>
      <c r="E65" s="226"/>
      <c r="F65" s="226"/>
      <c r="G65" s="226"/>
      <c r="H65" s="226"/>
      <c r="I65" s="226"/>
      <c r="J65" s="226"/>
      <c r="K65" s="226"/>
      <c r="L65" s="226"/>
      <c r="M65" s="226"/>
      <c r="N65" s="226"/>
      <c r="O65" s="226"/>
      <c r="P65" s="226"/>
    </row>
    <row r="66" spans="2:16" x14ac:dyDescent="0.25">
      <c r="B66" s="226"/>
      <c r="C66" s="226"/>
      <c r="D66" s="226"/>
      <c r="E66" s="226"/>
      <c r="F66" s="226"/>
      <c r="G66" s="226"/>
      <c r="H66" s="226"/>
      <c r="I66" s="226"/>
      <c r="J66" s="226"/>
      <c r="K66" s="226"/>
      <c r="L66" s="226"/>
      <c r="M66" s="226"/>
      <c r="N66" s="226"/>
      <c r="O66" s="226"/>
      <c r="P66" s="226"/>
    </row>
    <row r="67" spans="2:16" x14ac:dyDescent="0.25">
      <c r="B67" s="226"/>
      <c r="C67" s="226"/>
      <c r="D67" s="226"/>
      <c r="E67" s="226"/>
      <c r="F67" s="226"/>
      <c r="G67" s="17"/>
      <c r="H67" s="17"/>
      <c r="I67" s="17"/>
      <c r="J67" s="17"/>
      <c r="K67" s="17"/>
      <c r="L67" s="17"/>
      <c r="M67" s="17"/>
      <c r="N67" s="17"/>
      <c r="O67" s="17"/>
      <c r="P67" s="17"/>
    </row>
  </sheetData>
  <phoneticPr fontId="58" type="noConversion"/>
  <pageMargins left="0.75" right="0.75" top="1" bottom="1" header="0.5" footer="0.5"/>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xdr:col>
                    <xdr:colOff>298450</xdr:colOff>
                    <xdr:row>15</xdr:row>
                    <xdr:rowOff>107950</xdr:rowOff>
                  </from>
                  <to>
                    <xdr:col>3</xdr:col>
                    <xdr:colOff>266700</xdr:colOff>
                    <xdr:row>17</xdr:row>
                    <xdr:rowOff>0</xdr:rowOff>
                  </to>
                </anchor>
              </controlPr>
            </control>
          </mc:Choice>
        </mc:AlternateContent>
        <mc:AlternateContent xmlns:mc="http://schemas.openxmlformats.org/markup-compatibility/2006">
          <mc:Choice Requires="x14">
            <control shapeId="9219" r:id="rId5" name="Check Box 3">
              <controlPr defaultSize="0" autoFill="0" autoLine="0" autoPict="0">
                <anchor moveWithCells="1">
                  <from>
                    <xdr:col>9</xdr:col>
                    <xdr:colOff>304800</xdr:colOff>
                    <xdr:row>13</xdr:row>
                    <xdr:rowOff>114300</xdr:rowOff>
                  </from>
                  <to>
                    <xdr:col>10</xdr:col>
                    <xdr:colOff>285750</xdr:colOff>
                    <xdr:row>15</xdr:row>
                    <xdr:rowOff>12700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2</xdr:col>
                    <xdr:colOff>298450</xdr:colOff>
                    <xdr:row>12</xdr:row>
                    <xdr:rowOff>114300</xdr:rowOff>
                  </from>
                  <to>
                    <xdr:col>3</xdr:col>
                    <xdr:colOff>260350</xdr:colOff>
                    <xdr:row>14</xdr:row>
                    <xdr:rowOff>12700</xdr:rowOff>
                  </to>
                </anchor>
              </controlPr>
            </control>
          </mc:Choice>
        </mc:AlternateContent>
        <mc:AlternateContent xmlns:mc="http://schemas.openxmlformats.org/markup-compatibility/2006">
          <mc:Choice Requires="x14">
            <control shapeId="2" r:id="rId7" name="Check Box 5">
              <controlPr defaultSize="0" autoFill="0" autoLine="0" autoPict="0">
                <anchor moveWithCells="1">
                  <from>
                    <xdr:col>6</xdr:col>
                    <xdr:colOff>298450</xdr:colOff>
                    <xdr:row>13</xdr:row>
                    <xdr:rowOff>114300</xdr:rowOff>
                  </from>
                  <to>
                    <xdr:col>7</xdr:col>
                    <xdr:colOff>241300</xdr:colOff>
                    <xdr:row>15</xdr:row>
                    <xdr:rowOff>19050</xdr:rowOff>
                  </to>
                </anchor>
              </controlPr>
            </control>
          </mc:Choice>
        </mc:AlternateContent>
        <mc:AlternateContent xmlns:mc="http://schemas.openxmlformats.org/markup-compatibility/2006">
          <mc:Choice Requires="x14">
            <control shapeId="9222" r:id="rId8" name="Button 6">
              <controlPr defaultSize="0" autoFill="0" autoPict="0" macro="[0]!Show_Page_NI">
                <anchor>
                  <from>
                    <xdr:col>11</xdr:col>
                    <xdr:colOff>1365250</xdr:colOff>
                    <xdr:row>1</xdr:row>
                    <xdr:rowOff>114300</xdr:rowOff>
                  </from>
                  <to>
                    <xdr:col>14</xdr:col>
                    <xdr:colOff>831850</xdr:colOff>
                    <xdr:row>5</xdr:row>
                    <xdr:rowOff>95250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85"/>
  <dimension ref="A1:Q51"/>
  <sheetViews>
    <sheetView topLeftCell="B1" zoomScaleNormal="100" workbookViewId="0">
      <selection activeCell="S20" sqref="S20"/>
    </sheetView>
  </sheetViews>
  <sheetFormatPr defaultColWidth="9.1796875" defaultRowHeight="12.5" x14ac:dyDescent="0.25"/>
  <cols>
    <col min="1" max="1" width="0" style="250" hidden="1" customWidth="1"/>
    <col min="2" max="2" width="9.1796875" style="250"/>
    <col min="3" max="3" width="8" style="250" customWidth="1"/>
    <col min="4" max="4" width="21" style="250" customWidth="1"/>
    <col min="5" max="5" width="8.54296875" style="250" customWidth="1"/>
    <col min="6" max="6" width="8" style="250" customWidth="1"/>
    <col min="7" max="7" width="21" style="250" customWidth="1"/>
    <col min="8" max="8" width="13" style="250" customWidth="1"/>
    <col min="9" max="9" width="9.1796875" style="250"/>
    <col min="10" max="10" width="18.54296875" style="250" customWidth="1"/>
    <col min="11" max="11" width="8" style="250" customWidth="1"/>
    <col min="12" max="12" width="21" style="250" customWidth="1"/>
    <col min="13" max="13" width="35.54296875" style="250" customWidth="1"/>
    <col min="14" max="14" width="9.1796875" style="250" customWidth="1"/>
    <col min="15" max="15" width="7.1796875" style="250" hidden="1" customWidth="1"/>
    <col min="16" max="16" width="19.1796875" style="250" hidden="1" customWidth="1"/>
    <col min="17" max="16384" width="9.1796875" style="250"/>
  </cols>
  <sheetData>
    <row r="1" spans="1:17" x14ac:dyDescent="0.25">
      <c r="A1" s="253"/>
      <c r="B1" s="253"/>
      <c r="C1" s="253"/>
      <c r="D1" s="253"/>
      <c r="E1" s="253"/>
      <c r="F1" s="253"/>
      <c r="G1" s="253"/>
      <c r="H1" s="253"/>
      <c r="I1" s="253"/>
      <c r="J1" s="253"/>
      <c r="K1" s="253"/>
      <c r="L1" s="253"/>
      <c r="M1" s="333"/>
      <c r="N1" s="205"/>
      <c r="O1" s="251"/>
      <c r="P1" s="251"/>
      <c r="Q1" s="251"/>
    </row>
    <row r="2" spans="1:17" ht="13" x14ac:dyDescent="0.3">
      <c r="A2" s="253"/>
      <c r="B2" s="253"/>
      <c r="C2" s="1892" t="s">
        <v>5548</v>
      </c>
      <c r="D2" s="1856"/>
      <c r="E2" s="1856"/>
      <c r="F2" s="1856"/>
      <c r="G2" s="1856"/>
      <c r="H2" s="1857" t="s">
        <v>83</v>
      </c>
      <c r="I2" s="253"/>
      <c r="J2" s="1939" t="s">
        <v>5549</v>
      </c>
      <c r="K2" s="1856"/>
      <c r="L2" s="1940"/>
      <c r="M2" s="1857"/>
      <c r="N2" s="205"/>
      <c r="O2" s="251"/>
      <c r="P2" s="251"/>
      <c r="Q2" s="251"/>
    </row>
    <row r="3" spans="1:17" ht="13" x14ac:dyDescent="0.3">
      <c r="A3" s="253"/>
      <c r="B3" s="253"/>
      <c r="C3" s="675"/>
      <c r="D3" s="40"/>
      <c r="E3" s="40"/>
      <c r="F3" s="40"/>
      <c r="G3" s="40"/>
      <c r="H3" s="61"/>
      <c r="I3" s="253"/>
      <c r="J3" s="675" t="s">
        <v>5550</v>
      </c>
      <c r="K3" s="40"/>
      <c r="L3" s="45"/>
      <c r="M3" s="61"/>
      <c r="N3" s="205"/>
      <c r="O3" s="251"/>
      <c r="P3" s="251"/>
      <c r="Q3" s="251"/>
    </row>
    <row r="4" spans="1:17" ht="13" x14ac:dyDescent="0.3">
      <c r="A4" s="253"/>
      <c r="B4" s="253"/>
      <c r="C4" s="675" t="s">
        <v>5486</v>
      </c>
      <c r="D4" s="40"/>
      <c r="E4" s="40"/>
      <c r="F4" s="40"/>
      <c r="G4" s="40"/>
      <c r="H4" s="48"/>
      <c r="I4" s="253"/>
      <c r="J4" s="675"/>
      <c r="K4" s="1901" t="s">
        <v>5551</v>
      </c>
      <c r="L4" s="1941" t="str">
        <f>"(UEL ("&amp;DOLLAR(NIC_UEL_Wk,0)&amp;") minus PT ("&amp;DOLLAR(NIC_PT_Wk,0)&amp;")) x 53"</f>
        <v>(UEL (£967) minus PT (£242)) x 53</v>
      </c>
      <c r="M4" s="401"/>
      <c r="N4" s="205"/>
      <c r="O4" s="251"/>
      <c r="P4" s="251"/>
      <c r="Q4" s="251"/>
    </row>
    <row r="5" spans="1:17" ht="13" x14ac:dyDescent="0.3">
      <c r="A5" s="253"/>
      <c r="B5" s="253"/>
      <c r="C5" s="675"/>
      <c r="D5" s="311"/>
      <c r="E5" s="311"/>
      <c r="F5" s="40"/>
      <c r="G5" s="40"/>
      <c r="H5" s="48"/>
      <c r="I5" s="253"/>
      <c r="J5" s="675"/>
      <c r="K5" s="390"/>
      <c r="L5" s="1942">
        <f>(NIC_UEL_Wk-NIC_PT_Wk)*53</f>
        <v>38425</v>
      </c>
      <c r="M5" s="61"/>
      <c r="N5" s="205"/>
      <c r="O5" s="251"/>
      <c r="P5" s="251"/>
      <c r="Q5" s="251"/>
    </row>
    <row r="6" spans="1:17" ht="13" x14ac:dyDescent="0.3">
      <c r="A6" s="253"/>
      <c r="B6" s="253"/>
      <c r="C6" s="675"/>
      <c r="D6" s="398" t="s">
        <v>5552</v>
      </c>
      <c r="E6" s="399"/>
      <c r="F6" s="1928"/>
      <c r="G6" s="398" t="s">
        <v>5553</v>
      </c>
      <c r="H6" s="401"/>
      <c r="I6" s="253"/>
      <c r="J6" s="675"/>
      <c r="K6" s="40"/>
      <c r="L6" s="1943"/>
      <c r="M6" s="61"/>
      <c r="N6" s="205"/>
      <c r="O6" s="251"/>
      <c r="P6" s="251"/>
      <c r="Q6" s="251"/>
    </row>
    <row r="7" spans="1:17" ht="13" x14ac:dyDescent="0.3">
      <c r="A7" s="253"/>
      <c r="B7" s="253"/>
      <c r="C7" s="1901" t="s">
        <v>1916</v>
      </c>
      <c r="D7" s="677" t="s">
        <v>5554</v>
      </c>
      <c r="E7" s="400"/>
      <c r="F7" s="1901" t="s">
        <v>5555</v>
      </c>
      <c r="G7" s="677" t="str">
        <f>"calculation box "&amp;K40&amp;" opposite"</f>
        <v>calculation box Adj CL2 opposite</v>
      </c>
      <c r="H7" s="402"/>
      <c r="I7" s="253"/>
      <c r="J7" s="675"/>
      <c r="K7" s="1901" t="s">
        <v>5556</v>
      </c>
      <c r="L7" s="1941" t="str">
        <f>"Multiply the result of Step 1 by "&amp;NIC1_rate*100&amp;"%"</f>
        <v>Multiply the result of Step 1 by 8%</v>
      </c>
      <c r="M7" s="401"/>
      <c r="N7" s="205"/>
      <c r="O7" s="251"/>
      <c r="P7" s="251"/>
      <c r="Q7" s="251"/>
    </row>
    <row r="8" spans="1:17" ht="13" x14ac:dyDescent="0.3">
      <c r="A8" s="253"/>
      <c r="B8" s="253"/>
      <c r="C8" s="678"/>
      <c r="D8" s="1863"/>
      <c r="E8" s="45"/>
      <c r="F8" s="1944"/>
      <c r="G8" s="1945">
        <f>L41</f>
        <v>0</v>
      </c>
      <c r="H8" s="395"/>
      <c r="I8" s="253"/>
      <c r="J8" s="675"/>
      <c r="K8" s="390"/>
      <c r="L8" s="1945">
        <f>L5*8%</f>
        <v>3074</v>
      </c>
      <c r="M8" s="61"/>
      <c r="N8" s="205"/>
      <c r="O8" s="251"/>
      <c r="P8" s="251"/>
      <c r="Q8" s="251"/>
    </row>
    <row r="9" spans="1:17" ht="13" x14ac:dyDescent="0.3">
      <c r="A9" s="253"/>
      <c r="B9" s="253"/>
      <c r="C9" s="675"/>
      <c r="D9" s="40"/>
      <c r="E9" s="45"/>
      <c r="F9" s="45"/>
      <c r="G9" s="45"/>
      <c r="H9" s="395"/>
      <c r="I9" s="253"/>
      <c r="J9" s="675"/>
      <c r="K9" s="40"/>
      <c r="L9" s="1943"/>
      <c r="M9" s="61"/>
      <c r="N9" s="205"/>
      <c r="O9" s="251"/>
      <c r="P9" s="251"/>
      <c r="Q9" s="251"/>
    </row>
    <row r="10" spans="1:17" ht="13" x14ac:dyDescent="0.3">
      <c r="A10" s="253"/>
      <c r="B10" s="253"/>
      <c r="C10" s="675"/>
      <c r="D10" s="398" t="s">
        <v>5557</v>
      </c>
      <c r="E10" s="399"/>
      <c r="F10" s="45"/>
      <c r="G10" s="45"/>
      <c r="H10" s="395"/>
      <c r="I10" s="253"/>
      <c r="J10" s="675"/>
      <c r="K10" s="1901" t="s">
        <v>5558</v>
      </c>
      <c r="L10" s="311" t="s">
        <v>5559</v>
      </c>
      <c r="M10" s="401"/>
      <c r="N10" s="205"/>
      <c r="O10" s="251"/>
      <c r="P10" s="251"/>
      <c r="Q10" s="251"/>
    </row>
    <row r="11" spans="1:17" ht="13" x14ac:dyDescent="0.3">
      <c r="A11" s="253"/>
      <c r="B11" s="253"/>
      <c r="C11" s="1901" t="s">
        <v>1634</v>
      </c>
      <c r="D11" s="677" t="s">
        <v>5560</v>
      </c>
      <c r="E11" s="399"/>
      <c r="F11" s="45"/>
      <c r="G11" s="45"/>
      <c r="H11" s="395"/>
      <c r="I11" s="253"/>
      <c r="J11" s="675"/>
      <c r="K11" s="390"/>
      <c r="L11" s="1863">
        <f>D20+D27</f>
        <v>0</v>
      </c>
      <c r="M11" s="61"/>
      <c r="N11" s="205"/>
      <c r="O11" s="251"/>
      <c r="P11" s="251"/>
      <c r="Q11" s="251"/>
    </row>
    <row r="12" spans="1:17" ht="13" x14ac:dyDescent="0.3">
      <c r="A12" s="253"/>
      <c r="B12" s="253"/>
      <c r="C12" s="678"/>
      <c r="D12" s="1863"/>
      <c r="E12" s="45"/>
      <c r="F12" s="45"/>
      <c r="G12" s="45"/>
      <c r="H12" s="395"/>
      <c r="I12" s="253"/>
      <c r="J12" s="675"/>
      <c r="K12" s="40"/>
      <c r="L12" s="1943"/>
      <c r="M12" s="61"/>
      <c r="N12" s="205"/>
      <c r="O12" s="251"/>
      <c r="P12" s="251"/>
      <c r="Q12" s="251"/>
    </row>
    <row r="13" spans="1:17" ht="13" x14ac:dyDescent="0.3">
      <c r="A13" s="253"/>
      <c r="B13" s="253"/>
      <c r="C13" s="675"/>
      <c r="D13" s="40"/>
      <c r="E13" s="45"/>
      <c r="F13" s="45"/>
      <c r="G13" s="45"/>
      <c r="H13" s="395"/>
      <c r="I13" s="253"/>
      <c r="J13" s="675"/>
      <c r="K13" s="1901" t="s">
        <v>5561</v>
      </c>
      <c r="L13" s="1941" t="s">
        <v>5562</v>
      </c>
      <c r="M13" s="401"/>
      <c r="N13" s="205"/>
      <c r="O13" s="251"/>
      <c r="P13" s="251"/>
      <c r="Q13" s="251"/>
    </row>
    <row r="14" spans="1:17" ht="13" x14ac:dyDescent="0.3">
      <c r="A14" s="253"/>
      <c r="B14" s="253"/>
      <c r="C14" s="675" t="s">
        <v>5563</v>
      </c>
      <c r="D14" s="40"/>
      <c r="E14" s="40"/>
      <c r="F14" s="61"/>
      <c r="G14" s="45"/>
      <c r="H14" s="395"/>
      <c r="I14" s="253"/>
      <c r="J14" s="675"/>
      <c r="K14" s="390"/>
      <c r="L14" s="1945">
        <f>MAX(0,L11-L5)</f>
        <v>0</v>
      </c>
      <c r="M14" s="61"/>
      <c r="N14" s="205"/>
      <c r="O14" s="251"/>
      <c r="P14" s="251"/>
      <c r="Q14" s="251"/>
    </row>
    <row r="15" spans="1:17" ht="13" x14ac:dyDescent="0.3">
      <c r="A15" s="253"/>
      <c r="B15" s="253"/>
      <c r="C15" s="675" t="s">
        <v>5564</v>
      </c>
      <c r="D15" s="40"/>
      <c r="E15" s="40"/>
      <c r="F15" s="45"/>
      <c r="G15" s="45"/>
      <c r="H15" s="395"/>
      <c r="I15" s="253"/>
      <c r="J15" s="675"/>
      <c r="K15" s="40"/>
      <c r="L15" s="45"/>
      <c r="M15" s="61"/>
      <c r="N15" s="205"/>
      <c r="O15" s="251"/>
      <c r="P15" s="251"/>
      <c r="Q15" s="251"/>
    </row>
    <row r="16" spans="1:17" ht="13" x14ac:dyDescent="0.3">
      <c r="A16" s="253"/>
      <c r="B16" s="253"/>
      <c r="C16" s="675" t="s">
        <v>5565</v>
      </c>
      <c r="D16" s="40"/>
      <c r="E16" s="40"/>
      <c r="F16" s="45"/>
      <c r="G16" s="45"/>
      <c r="H16" s="395"/>
      <c r="I16" s="253"/>
      <c r="J16" s="675"/>
      <c r="K16" s="1901" t="s">
        <v>5566</v>
      </c>
      <c r="L16" s="1941" t="s">
        <v>5567</v>
      </c>
      <c r="M16" s="401"/>
      <c r="N16" s="205"/>
      <c r="O16" s="251"/>
      <c r="P16" s="251"/>
      <c r="Q16" s="251"/>
    </row>
    <row r="17" spans="1:17" ht="13" x14ac:dyDescent="0.3">
      <c r="A17" s="253"/>
      <c r="B17" s="253"/>
      <c r="C17" s="675"/>
      <c r="D17" s="40"/>
      <c r="E17" s="45"/>
      <c r="F17" s="45"/>
      <c r="G17" s="45"/>
      <c r="H17" s="395"/>
      <c r="I17" s="253"/>
      <c r="J17" s="675"/>
      <c r="K17" s="390"/>
      <c r="L17" s="1945">
        <f>L14*2%</f>
        <v>0</v>
      </c>
      <c r="M17" s="61"/>
      <c r="N17" s="205"/>
      <c r="O17" s="251"/>
      <c r="P17" s="251"/>
      <c r="Q17" s="251"/>
    </row>
    <row r="18" spans="1:17" ht="13" x14ac:dyDescent="0.3">
      <c r="A18" s="253"/>
      <c r="B18" s="253"/>
      <c r="C18" s="675" t="s">
        <v>727</v>
      </c>
      <c r="D18" s="40"/>
      <c r="E18" s="40"/>
      <c r="F18" s="45"/>
      <c r="G18" s="45"/>
      <c r="H18" s="395"/>
      <c r="I18" s="253"/>
      <c r="J18" s="675"/>
      <c r="K18" s="40"/>
      <c r="L18" s="45"/>
      <c r="M18" s="61"/>
      <c r="N18" s="205"/>
      <c r="O18" s="251"/>
      <c r="P18" s="251"/>
      <c r="Q18" s="251"/>
    </row>
    <row r="19" spans="1:17" x14ac:dyDescent="0.25">
      <c r="A19" s="253"/>
      <c r="B19" s="253"/>
      <c r="C19" s="1901" t="s">
        <v>1920</v>
      </c>
      <c r="D19" s="311" t="s">
        <v>5568</v>
      </c>
      <c r="E19" s="40"/>
      <c r="F19" s="45"/>
      <c r="G19" s="45"/>
      <c r="H19" s="395"/>
      <c r="I19" s="253"/>
      <c r="J19" s="334"/>
      <c r="K19" s="1901" t="s">
        <v>5569</v>
      </c>
      <c r="L19" s="1941" t="str">
        <f>"("&amp;C19&amp;" + "&amp;C26&amp;") minus (Step 3 x "&amp;NIC1_rate*100&amp;"%) / 2%"</f>
        <v>(EMPCL1 + MORCL1) minus (Step 3 x 8%) / 2%</v>
      </c>
      <c r="M19" s="401"/>
      <c r="N19" s="205"/>
      <c r="O19" s="251"/>
      <c r="P19" s="251"/>
      <c r="Q19" s="251"/>
    </row>
    <row r="20" spans="1:17" x14ac:dyDescent="0.25">
      <c r="A20" s="253"/>
      <c r="B20" s="253"/>
      <c r="C20" s="678"/>
      <c r="D20" s="1863"/>
      <c r="E20" s="45"/>
      <c r="F20" s="45"/>
      <c r="G20" s="45"/>
      <c r="H20" s="395"/>
      <c r="I20" s="253"/>
      <c r="J20" s="334"/>
      <c r="K20" s="40"/>
      <c r="L20" s="1846">
        <f>MAX(0,((D20+D27)-(L11*NIC1_rate))/2%)</f>
        <v>0</v>
      </c>
      <c r="M20" s="61"/>
      <c r="N20" s="205"/>
      <c r="O20" s="391"/>
      <c r="P20" s="257" t="s">
        <v>5570</v>
      </c>
      <c r="Q20" s="251"/>
    </row>
    <row r="21" spans="1:17" ht="13" x14ac:dyDescent="0.3">
      <c r="A21" s="253"/>
      <c r="B21" s="253"/>
      <c r="C21" s="675"/>
      <c r="D21" s="40"/>
      <c r="E21" s="45"/>
      <c r="F21" s="45"/>
      <c r="G21" s="45"/>
      <c r="H21" s="395"/>
      <c r="I21" s="253"/>
      <c r="J21" s="334"/>
      <c r="K21" s="40"/>
      <c r="L21" s="45"/>
      <c r="M21" s="61"/>
      <c r="N21" s="220"/>
      <c r="O21" s="392">
        <f>NIC2_weekamt</f>
        <v>3.5</v>
      </c>
      <c r="P21" s="257" t="s">
        <v>262</v>
      </c>
      <c r="Q21" s="251"/>
    </row>
    <row r="22" spans="1:17" ht="13" x14ac:dyDescent="0.3">
      <c r="A22" s="253"/>
      <c r="B22" s="333"/>
      <c r="C22" s="675"/>
      <c r="D22" s="45"/>
      <c r="E22" s="45"/>
      <c r="F22" s="45"/>
      <c r="G22" s="45"/>
      <c r="H22" s="395"/>
      <c r="I22" s="253"/>
      <c r="J22" s="334"/>
      <c r="K22" s="1901" t="s">
        <v>5571</v>
      </c>
      <c r="L22" s="1941" t="s">
        <v>5572</v>
      </c>
      <c r="M22" s="401"/>
      <c r="N22" s="220"/>
      <c r="O22" s="392">
        <f>NIC2SF_weekamt</f>
        <v>4.1500000000000004</v>
      </c>
      <c r="P22" s="257" t="s">
        <v>268</v>
      </c>
      <c r="Q22" s="251"/>
    </row>
    <row r="23" spans="1:17" ht="13" x14ac:dyDescent="0.3">
      <c r="A23" s="253"/>
      <c r="B23" s="333"/>
      <c r="C23" s="675"/>
      <c r="D23" s="45"/>
      <c r="E23" s="45"/>
      <c r="F23" s="45"/>
      <c r="G23" s="45"/>
      <c r="H23" s="395"/>
      <c r="I23" s="253"/>
      <c r="J23" s="334"/>
      <c r="K23" s="390"/>
      <c r="L23" s="1942">
        <f>L20*2%</f>
        <v>0</v>
      </c>
      <c r="M23" s="61"/>
      <c r="N23" s="220"/>
      <c r="O23" s="391">
        <v>2</v>
      </c>
      <c r="P23" s="257" t="s">
        <v>5573</v>
      </c>
      <c r="Q23" s="251"/>
    </row>
    <row r="24" spans="1:17" ht="13" x14ac:dyDescent="0.3">
      <c r="A24" s="253"/>
      <c r="B24" s="333"/>
      <c r="C24" s="675"/>
      <c r="D24" s="45"/>
      <c r="E24" s="45"/>
      <c r="F24" s="45"/>
      <c r="G24" s="45"/>
      <c r="H24" s="395"/>
      <c r="I24" s="253"/>
      <c r="J24" s="334"/>
      <c r="K24" s="40"/>
      <c r="L24" s="45"/>
      <c r="M24" s="61"/>
      <c r="N24" s="220"/>
      <c r="O24" s="391" t="b">
        <v>0</v>
      </c>
      <c r="P24" s="531" t="s">
        <v>5574</v>
      </c>
      <c r="Q24" s="251"/>
    </row>
    <row r="25" spans="1:17" ht="13" x14ac:dyDescent="0.3">
      <c r="A25" s="253"/>
      <c r="B25" s="333"/>
      <c r="C25" s="675" t="s">
        <v>728</v>
      </c>
      <c r="D25" s="40"/>
      <c r="E25" s="45"/>
      <c r="F25" s="45"/>
      <c r="G25" s="45"/>
      <c r="H25" s="395"/>
      <c r="I25" s="253"/>
      <c r="J25" s="334"/>
      <c r="K25" s="1901" t="s">
        <v>5575</v>
      </c>
      <c r="L25" s="1941" t="s">
        <v>5576</v>
      </c>
      <c r="M25" s="401"/>
      <c r="N25" s="205"/>
      <c r="O25" s="391" t="b">
        <v>0</v>
      </c>
      <c r="P25" s="531" t="s">
        <v>5577</v>
      </c>
      <c r="Q25" s="251"/>
    </row>
    <row r="26" spans="1:17" x14ac:dyDescent="0.25">
      <c r="A26" s="253"/>
      <c r="B26" s="333"/>
      <c r="C26" s="1901" t="s">
        <v>1921</v>
      </c>
      <c r="D26" s="311" t="s">
        <v>5568</v>
      </c>
      <c r="E26" s="40"/>
      <c r="F26" s="45"/>
      <c r="G26" s="45"/>
      <c r="H26" s="395"/>
      <c r="I26" s="253"/>
      <c r="J26" s="334"/>
      <c r="K26" s="390"/>
      <c r="L26" s="1945">
        <f>L8+L17+L23</f>
        <v>3074</v>
      </c>
      <c r="M26" s="61"/>
      <c r="N26" s="205"/>
      <c r="Q26" s="251"/>
    </row>
    <row r="27" spans="1:17" x14ac:dyDescent="0.25">
      <c r="A27" s="253"/>
      <c r="B27" s="253"/>
      <c r="C27" s="678"/>
      <c r="D27" s="1863"/>
      <c r="E27" s="45"/>
      <c r="F27" s="45"/>
      <c r="G27" s="45"/>
      <c r="H27" s="395"/>
      <c r="I27" s="253"/>
      <c r="J27" s="334"/>
      <c r="K27" s="40"/>
      <c r="L27" s="400"/>
      <c r="M27" s="401"/>
      <c r="N27" s="205"/>
      <c r="O27" s="251"/>
      <c r="P27" s="251"/>
      <c r="Q27" s="251"/>
    </row>
    <row r="28" spans="1:17" ht="13" x14ac:dyDescent="0.3">
      <c r="A28" s="253"/>
      <c r="B28" s="253"/>
      <c r="C28" s="675"/>
      <c r="D28" s="40"/>
      <c r="E28" s="40"/>
      <c r="F28" s="45"/>
      <c r="G28" s="45"/>
      <c r="H28" s="395"/>
      <c r="I28" s="253"/>
      <c r="J28" s="334"/>
      <c r="K28" s="40"/>
      <c r="L28" s="1941" t="str">
        <f>"Balance Step 8 minus "&amp;C19&amp;" + "&amp;C26</f>
        <v>Balance Step 8 minus EMPCL1 + MORCL1</v>
      </c>
      <c r="M28" s="401"/>
      <c r="N28" s="205"/>
      <c r="O28" s="251"/>
      <c r="P28" s="251"/>
      <c r="Q28" s="251"/>
    </row>
    <row r="29" spans="1:17" ht="13" x14ac:dyDescent="0.3">
      <c r="A29" s="253"/>
      <c r="B29" s="253"/>
      <c r="C29" s="675"/>
      <c r="D29" s="45"/>
      <c r="E29" s="45"/>
      <c r="F29" s="45"/>
      <c r="G29" s="45"/>
      <c r="H29" s="395"/>
      <c r="I29" s="253"/>
      <c r="J29" s="334"/>
      <c r="K29" s="40"/>
      <c r="L29" s="1945">
        <f>MAX(0,L26-(D20+D27))</f>
        <v>3074</v>
      </c>
      <c r="M29" s="61"/>
      <c r="N29" s="205"/>
      <c r="O29" s="251"/>
      <c r="P29" s="251"/>
      <c r="Q29" s="251"/>
    </row>
    <row r="30" spans="1:17" ht="13" x14ac:dyDescent="0.3">
      <c r="A30" s="253"/>
      <c r="B30" s="253"/>
      <c r="C30" s="675"/>
      <c r="D30" s="45"/>
      <c r="E30" s="45"/>
      <c r="F30" s="45"/>
      <c r="G30" s="45"/>
      <c r="H30" s="395"/>
      <c r="I30" s="253"/>
      <c r="J30" s="334"/>
      <c r="K30" s="40"/>
      <c r="L30" s="45"/>
      <c r="M30" s="61"/>
      <c r="N30" s="205"/>
      <c r="O30" s="251"/>
      <c r="P30" s="251"/>
      <c r="Q30" s="251"/>
    </row>
    <row r="31" spans="1:17" x14ac:dyDescent="0.25">
      <c r="A31" s="253"/>
      <c r="B31" s="253"/>
      <c r="C31" s="655"/>
      <c r="D31" s="40"/>
      <c r="E31" s="40"/>
      <c r="F31" s="45"/>
      <c r="G31" s="45"/>
      <c r="H31" s="395"/>
      <c r="I31" s="253"/>
      <c r="J31" s="334"/>
      <c r="K31" s="40"/>
      <c r="L31" s="1941" t="str">
        <f>"Class 2 due from "&amp;C7</f>
        <v>Class 2 due from CL2A</v>
      </c>
      <c r="M31" s="401"/>
      <c r="N31" s="205"/>
      <c r="O31" s="251"/>
      <c r="P31" s="251"/>
      <c r="Q31" s="251"/>
    </row>
    <row r="32" spans="1:17" x14ac:dyDescent="0.25">
      <c r="A32" s="253"/>
      <c r="B32" s="253"/>
      <c r="C32" s="1946" t="s">
        <v>1634</v>
      </c>
      <c r="D32" s="40" t="s">
        <v>5578</v>
      </c>
      <c r="E32" s="40"/>
      <c r="F32" s="45"/>
      <c r="G32" s="45"/>
      <c r="H32" s="395"/>
      <c r="I32" s="253"/>
      <c r="J32" s="334"/>
      <c r="K32" s="40"/>
      <c r="L32" s="1945">
        <f>D8</f>
        <v>0</v>
      </c>
      <c r="M32" s="61"/>
      <c r="N32" s="205"/>
      <c r="O32" s="251"/>
      <c r="P32" s="251"/>
      <c r="Q32" s="251"/>
    </row>
    <row r="33" spans="1:17" ht="13" x14ac:dyDescent="0.3">
      <c r="A33" s="253"/>
      <c r="B33" s="253"/>
      <c r="C33" s="334"/>
      <c r="D33" s="40"/>
      <c r="E33" s="398" t="s">
        <v>5579</v>
      </c>
      <c r="F33" s="45"/>
      <c r="G33" s="45"/>
      <c r="H33" s="395"/>
      <c r="I33" s="253"/>
      <c r="J33" s="334"/>
      <c r="K33" s="40"/>
      <c r="L33" s="45"/>
      <c r="M33" s="61"/>
      <c r="N33" s="205"/>
      <c r="O33" s="251"/>
      <c r="P33" s="251"/>
      <c r="Q33" s="251"/>
    </row>
    <row r="34" spans="1:17" x14ac:dyDescent="0.25">
      <c r="A34" s="253"/>
      <c r="B34" s="253"/>
      <c r="C34" s="334"/>
      <c r="D34" s="40"/>
      <c r="E34" s="40"/>
      <c r="F34" s="45"/>
      <c r="G34" s="45"/>
      <c r="H34" s="395"/>
      <c r="I34" s="253"/>
      <c r="J34" s="334"/>
      <c r="K34" s="40"/>
      <c r="L34" s="1941" t="str">
        <f>"Class 2 due equals lower of "&amp;K25&amp;" and "&amp;C7</f>
        <v>Class 2 due equals lower of Step 8 and CL2A</v>
      </c>
      <c r="M34" s="401"/>
      <c r="N34" s="205"/>
      <c r="O34" s="251"/>
      <c r="P34" s="251"/>
      <c r="Q34" s="251"/>
    </row>
    <row r="35" spans="1:17" x14ac:dyDescent="0.25">
      <c r="A35" s="253"/>
      <c r="B35" s="253"/>
      <c r="C35" s="335"/>
      <c r="D35" s="336" t="str">
        <f>IF(O23=1,"",IF(O23=2,"'standard' Class 2 NICs rate selected",IF(O23=3,"Share fishermen Class 2 NICs rate selected","")))</f>
        <v>'standard' Class 2 NICs rate selected</v>
      </c>
      <c r="E35" s="336"/>
      <c r="F35" s="1802"/>
      <c r="G35" s="336"/>
      <c r="H35" s="396"/>
      <c r="I35" s="253"/>
      <c r="J35" s="334"/>
      <c r="K35" s="40"/>
      <c r="L35" s="1945">
        <f>IF(D8="",0,MIN(L29,D8))</f>
        <v>0</v>
      </c>
      <c r="M35" s="61"/>
      <c r="N35" s="205"/>
      <c r="O35" s="251"/>
      <c r="P35" s="251"/>
      <c r="Q35" s="251"/>
    </row>
    <row r="36" spans="1:17" x14ac:dyDescent="0.25">
      <c r="A36" s="253"/>
      <c r="B36" s="253"/>
      <c r="C36" s="253"/>
      <c r="D36" s="253"/>
      <c r="E36" s="253"/>
      <c r="F36" s="253"/>
      <c r="G36" s="253"/>
      <c r="H36" s="253"/>
      <c r="I36" s="253"/>
      <c r="J36" s="334"/>
      <c r="K36" s="40"/>
      <c r="L36" s="45"/>
      <c r="M36" s="401"/>
      <c r="N36" s="205"/>
      <c r="O36" s="251"/>
      <c r="P36" s="251"/>
      <c r="Q36" s="251"/>
    </row>
    <row r="37" spans="1:17" x14ac:dyDescent="0.25">
      <c r="A37" s="253"/>
      <c r="B37" s="253"/>
      <c r="C37" s="253"/>
      <c r="D37" s="253"/>
      <c r="E37" s="253"/>
      <c r="F37" s="253"/>
      <c r="G37" s="253"/>
      <c r="H37" s="253"/>
      <c r="I37" s="253"/>
      <c r="J37" s="334"/>
      <c r="K37" s="40"/>
      <c r="L37" s="1941" t="str">
        <f>"No of weeks (Class 2 due divided by weekly Class 2 rate ("&amp;DOLLAR(NIC2_weekamt,2)&amp;"))"</f>
        <v>No of weeks (Class 2 due divided by weekly Class 2 rate (£3.50))</v>
      </c>
      <c r="M37" s="401"/>
      <c r="N37" s="205"/>
      <c r="O37" s="393"/>
      <c r="P37" s="252"/>
    </row>
    <row r="38" spans="1:17" x14ac:dyDescent="0.25">
      <c r="A38" s="253"/>
      <c r="B38" s="253"/>
      <c r="C38" s="253"/>
      <c r="D38" s="253"/>
      <c r="E38" s="253"/>
      <c r="F38" s="253"/>
      <c r="G38" s="253"/>
      <c r="H38" s="253"/>
      <c r="I38" s="253"/>
      <c r="J38" s="334"/>
      <c r="K38" s="40"/>
      <c r="L38" s="1942">
        <f>ROUNDDOWN(L35/NIC2_weekamt,0)</f>
        <v>0</v>
      </c>
      <c r="M38" s="61"/>
      <c r="N38" s="205"/>
      <c r="O38" s="251"/>
    </row>
    <row r="39" spans="1:17" x14ac:dyDescent="0.25">
      <c r="A39" s="253"/>
      <c r="B39" s="253"/>
      <c r="C39" s="253"/>
      <c r="D39" s="253"/>
      <c r="E39" s="253"/>
      <c r="F39" s="253"/>
      <c r="G39" s="253"/>
      <c r="H39" s="253"/>
      <c r="I39" s="253"/>
      <c r="J39" s="334"/>
      <c r="K39" s="40"/>
      <c r="L39" s="45"/>
      <c r="M39" s="61"/>
      <c r="N39" s="205"/>
      <c r="O39" s="393"/>
      <c r="P39" s="252"/>
    </row>
    <row r="40" spans="1:17" x14ac:dyDescent="0.25">
      <c r="A40" s="253"/>
      <c r="B40" s="253"/>
      <c r="C40" s="253"/>
      <c r="D40" s="253"/>
      <c r="E40" s="253"/>
      <c r="F40" s="253"/>
      <c r="G40" s="253"/>
      <c r="H40" s="253"/>
      <c r="I40" s="253"/>
      <c r="J40" s="334"/>
      <c r="K40" s="1901" t="s">
        <v>5580</v>
      </c>
      <c r="L40" s="1941" t="str">
        <f>"No of weeks Class 2 due x weekly Class 2 rate ("&amp;DOLLAR(NIC2_weekamt,2)&amp;")"</f>
        <v>No of weeks Class 2 due x weekly Class 2 rate (£3.50)</v>
      </c>
      <c r="M40" s="401"/>
      <c r="N40" s="205"/>
      <c r="O40" s="251"/>
    </row>
    <row r="41" spans="1:17" x14ac:dyDescent="0.25">
      <c r="A41" s="253"/>
      <c r="B41" s="253"/>
      <c r="C41" s="253"/>
      <c r="D41" s="253"/>
      <c r="E41" s="253"/>
      <c r="F41" s="253"/>
      <c r="G41" s="253"/>
      <c r="H41" s="253"/>
      <c r="I41" s="253"/>
      <c r="J41" s="334"/>
      <c r="K41" s="40"/>
      <c r="L41" s="1945">
        <f>L38*NIC2_weekamt</f>
        <v>0</v>
      </c>
      <c r="M41" s="61"/>
      <c r="N41" s="205"/>
      <c r="O41" s="393"/>
      <c r="P41" s="252"/>
    </row>
    <row r="42" spans="1:17" x14ac:dyDescent="0.25">
      <c r="A42" s="253"/>
      <c r="B42" s="253"/>
      <c r="C42" s="253"/>
      <c r="D42" s="253"/>
      <c r="E42" s="253"/>
      <c r="F42" s="253"/>
      <c r="G42" s="253"/>
      <c r="H42" s="253"/>
      <c r="I42" s="253"/>
      <c r="J42" s="335"/>
      <c r="K42" s="336"/>
      <c r="L42" s="1802"/>
      <c r="M42" s="1803" t="s">
        <v>5581</v>
      </c>
      <c r="N42" s="205"/>
      <c r="O42" s="393"/>
      <c r="P42" s="252"/>
    </row>
    <row r="43" spans="1:17" x14ac:dyDescent="0.25">
      <c r="A43" s="253"/>
      <c r="B43" s="253"/>
      <c r="C43" s="253"/>
      <c r="D43" s="253"/>
      <c r="E43" s="253"/>
      <c r="F43" s="253"/>
      <c r="G43" s="253"/>
      <c r="H43" s="253"/>
      <c r="I43" s="253"/>
      <c r="J43" s="253"/>
      <c r="K43" s="253"/>
      <c r="L43" s="253"/>
      <c r="M43" s="253"/>
      <c r="N43" s="253"/>
      <c r="O43" s="253"/>
    </row>
    <row r="44" spans="1:17" x14ac:dyDescent="0.25">
      <c r="A44" s="253"/>
      <c r="B44" s="253"/>
      <c r="C44" s="253"/>
      <c r="D44" s="253"/>
      <c r="E44" s="253"/>
      <c r="F44" s="253"/>
      <c r="G44" s="253"/>
      <c r="H44" s="253"/>
      <c r="I44" s="253"/>
      <c r="J44" s="253"/>
      <c r="K44" s="253"/>
      <c r="L44" s="253"/>
      <c r="M44" s="253"/>
      <c r="N44" s="253"/>
      <c r="O44" s="253"/>
    </row>
    <row r="45" spans="1:17" x14ac:dyDescent="0.25">
      <c r="A45" s="253"/>
      <c r="B45" s="253"/>
      <c r="C45" s="253"/>
      <c r="D45" s="253"/>
      <c r="E45" s="253"/>
      <c r="F45" s="253"/>
      <c r="G45" s="253"/>
      <c r="H45" s="253"/>
      <c r="I45" s="253"/>
      <c r="J45" s="333"/>
      <c r="K45" s="771"/>
      <c r="L45" s="771"/>
      <c r="M45" s="772"/>
      <c r="N45" s="253"/>
      <c r="O45" s="253"/>
    </row>
    <row r="46" spans="1:17" x14ac:dyDescent="0.25">
      <c r="A46" s="253"/>
      <c r="B46" s="394"/>
      <c r="C46" s="394"/>
      <c r="D46" s="394"/>
      <c r="E46" s="394"/>
      <c r="F46" s="394"/>
      <c r="G46" s="394"/>
      <c r="H46" s="394"/>
      <c r="I46" s="394"/>
      <c r="J46" s="333"/>
      <c r="K46" s="771"/>
      <c r="L46" s="771"/>
      <c r="M46" s="772"/>
      <c r="N46" s="205"/>
      <c r="O46" s="251"/>
    </row>
    <row r="47" spans="1:17" x14ac:dyDescent="0.25">
      <c r="A47" s="253"/>
      <c r="B47" s="253"/>
      <c r="C47" s="253"/>
      <c r="D47" s="253"/>
      <c r="E47" s="253"/>
      <c r="F47" s="253"/>
      <c r="G47" s="253"/>
      <c r="H47" s="253"/>
      <c r="I47" s="253"/>
      <c r="J47" s="333"/>
      <c r="K47" s="771"/>
      <c r="L47" s="771"/>
      <c r="M47" s="772"/>
      <c r="N47" s="205"/>
      <c r="O47" s="251"/>
    </row>
    <row r="48" spans="1:17" x14ac:dyDescent="0.25">
      <c r="A48" s="253"/>
      <c r="B48" s="253"/>
      <c r="C48" s="253"/>
      <c r="D48" s="253"/>
      <c r="E48" s="253"/>
      <c r="F48" s="253"/>
      <c r="G48" s="253"/>
      <c r="H48" s="253"/>
      <c r="I48" s="253"/>
      <c r="J48" s="333"/>
      <c r="K48" s="771"/>
      <c r="L48" s="771"/>
      <c r="M48" s="772"/>
      <c r="N48" s="205"/>
      <c r="O48" s="251"/>
    </row>
    <row r="49" spans="1:15" x14ac:dyDescent="0.25">
      <c r="A49" s="253"/>
      <c r="B49" s="253"/>
      <c r="C49" s="253"/>
      <c r="D49" s="253"/>
      <c r="E49" s="253"/>
      <c r="F49" s="253"/>
      <c r="G49" s="253"/>
      <c r="H49" s="253"/>
      <c r="I49" s="253"/>
      <c r="J49" s="333"/>
      <c r="K49" s="771"/>
      <c r="L49" s="771"/>
      <c r="M49" s="772"/>
      <c r="N49" s="205"/>
      <c r="O49" s="251"/>
    </row>
    <row r="50" spans="1:15" x14ac:dyDescent="0.25">
      <c r="A50" s="253"/>
      <c r="B50" s="253"/>
      <c r="C50" s="253"/>
      <c r="D50" s="253"/>
      <c r="E50" s="253"/>
      <c r="F50" s="253"/>
      <c r="G50" s="253"/>
      <c r="H50" s="253"/>
      <c r="I50" s="253"/>
      <c r="J50" s="333"/>
      <c r="K50" s="771"/>
      <c r="L50" s="771"/>
      <c r="M50" s="772"/>
      <c r="N50" s="205"/>
      <c r="O50" s="251"/>
    </row>
    <row r="51" spans="1:15" x14ac:dyDescent="0.25">
      <c r="A51" s="253"/>
      <c r="B51" s="253"/>
      <c r="C51" s="253"/>
      <c r="D51" s="253"/>
      <c r="E51" s="253"/>
      <c r="F51" s="253"/>
      <c r="G51" s="253"/>
      <c r="H51" s="253"/>
      <c r="I51" s="253"/>
      <c r="J51" s="333"/>
      <c r="K51" s="771"/>
      <c r="L51" s="771"/>
      <c r="M51" s="772"/>
      <c r="N51" s="205"/>
      <c r="O51" s="251"/>
    </row>
  </sheetData>
  <pageMargins left="0.7" right="0.7" top="0.75" bottom="0.75" header="0.3" footer="0.3"/>
  <pageSetup paperSize="9" orientation="portrait" r:id="rId1"/>
  <headerFooter>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Drop Down 1">
              <controlPr defaultSize="0" autoLine="0" autoPict="0">
                <anchor moveWithCells="1">
                  <from>
                    <xdr:col>3</xdr:col>
                    <xdr:colOff>31750</xdr:colOff>
                    <xdr:row>32</xdr:row>
                    <xdr:rowOff>31750</xdr:rowOff>
                  </from>
                  <to>
                    <xdr:col>3</xdr:col>
                    <xdr:colOff>508000</xdr:colOff>
                    <xdr:row>33</xdr:row>
                    <xdr:rowOff>69850</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6</xdr:col>
                    <xdr:colOff>1403350</xdr:colOff>
                    <xdr:row>16</xdr:row>
                    <xdr:rowOff>88900</xdr:rowOff>
                  </from>
                  <to>
                    <xdr:col>7</xdr:col>
                    <xdr:colOff>304800</xdr:colOff>
                    <xdr:row>17</xdr:row>
                    <xdr:rowOff>146050</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6</xdr:col>
                    <xdr:colOff>1384300</xdr:colOff>
                    <xdr:row>10</xdr:row>
                    <xdr:rowOff>127000</xdr:rowOff>
                  </from>
                  <to>
                    <xdr:col>7</xdr:col>
                    <xdr:colOff>298450</xdr:colOff>
                    <xdr:row>12</xdr:row>
                    <xdr:rowOff>31750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0"/>
  <dimension ref="A1:T48"/>
  <sheetViews>
    <sheetView showGridLines="0" topLeftCell="B1" workbookViewId="0">
      <selection activeCell="K25" sqref="K25"/>
    </sheetView>
  </sheetViews>
  <sheetFormatPr defaultColWidth="9.1796875" defaultRowHeight="11.5" x14ac:dyDescent="0.25"/>
  <cols>
    <col min="1" max="1" width="6.26953125" style="39" hidden="1" customWidth="1"/>
    <col min="2" max="2" width="21.453125" style="39" customWidth="1"/>
    <col min="3" max="3" width="5.1796875" style="39" customWidth="1"/>
    <col min="4" max="4" width="15.1796875" style="39" customWidth="1"/>
    <col min="5" max="5" width="7.54296875" style="39" customWidth="1"/>
    <col min="6" max="6" width="5.54296875" style="39" customWidth="1"/>
    <col min="7" max="7" width="5.1796875" style="39" customWidth="1"/>
    <col min="8" max="8" width="15.1796875" style="39" customWidth="1"/>
    <col min="9" max="9" width="9.81640625" style="39" customWidth="1"/>
    <col min="10" max="10" width="17.1796875" style="39" customWidth="1"/>
    <col min="11" max="11" width="30.1796875" style="39" customWidth="1"/>
    <col min="12" max="12" width="8" style="39" customWidth="1"/>
    <col min="13" max="13" width="5.1796875" style="39" customWidth="1"/>
    <col min="14" max="14" width="10.54296875" style="39" customWidth="1"/>
    <col min="15" max="15" width="5" style="39" customWidth="1"/>
    <col min="16" max="16" width="5.1796875" style="39" customWidth="1"/>
    <col min="17" max="17" width="9.81640625" style="39" customWidth="1"/>
    <col min="18" max="18" width="3.81640625" style="39" customWidth="1"/>
    <col min="19" max="19" width="3.1796875" style="39" customWidth="1"/>
    <col min="20" max="20" width="5.1796875" style="39" customWidth="1"/>
    <col min="21" max="21" width="5.81640625" style="39" customWidth="1"/>
    <col min="22" max="22" width="10.54296875" style="39" customWidth="1"/>
    <col min="23" max="23" width="9.1796875" style="39" customWidth="1"/>
    <col min="24" max="16384" width="9.1796875" style="39"/>
  </cols>
  <sheetData>
    <row r="1" spans="1:19" ht="9" customHeight="1" x14ac:dyDescent="0.25">
      <c r="A1" s="17" t="s">
        <v>33</v>
      </c>
      <c r="B1" s="17"/>
      <c r="C1" s="17"/>
      <c r="D1" s="17"/>
      <c r="E1" s="17"/>
      <c r="F1" s="17"/>
      <c r="G1" s="17"/>
      <c r="H1" s="17"/>
      <c r="I1" s="17"/>
      <c r="J1" s="17"/>
      <c r="K1" s="17"/>
      <c r="L1" s="8"/>
      <c r="M1" s="8"/>
      <c r="N1" s="8"/>
      <c r="O1" s="8"/>
      <c r="P1" s="8"/>
      <c r="Q1" s="8"/>
      <c r="R1" s="8"/>
      <c r="S1" s="8"/>
    </row>
    <row r="2" spans="1:19" ht="9" customHeight="1" x14ac:dyDescent="0.25">
      <c r="A2" s="17">
        <v>21</v>
      </c>
      <c r="B2" s="227" t="s">
        <v>1806</v>
      </c>
      <c r="C2" s="17"/>
      <c r="D2" s="17"/>
      <c r="E2" s="17"/>
      <c r="F2" s="17"/>
      <c r="G2" s="17"/>
      <c r="H2" s="17"/>
      <c r="I2" s="17"/>
      <c r="J2" s="17"/>
      <c r="K2" s="17"/>
      <c r="L2" s="8"/>
      <c r="M2" s="8"/>
      <c r="N2" s="8"/>
      <c r="O2" s="8"/>
      <c r="P2" s="8"/>
      <c r="Q2" s="12"/>
      <c r="R2" s="8"/>
      <c r="S2" s="8"/>
    </row>
    <row r="3" spans="1:19" ht="9" customHeight="1" x14ac:dyDescent="0.25">
      <c r="A3" s="17">
        <v>22</v>
      </c>
      <c r="B3" s="227" t="s">
        <v>1807</v>
      </c>
      <c r="C3" s="17"/>
      <c r="D3" s="17"/>
      <c r="E3" s="17"/>
      <c r="F3" s="17"/>
      <c r="G3" s="17"/>
      <c r="H3" s="17"/>
      <c r="I3" s="17"/>
      <c r="J3" s="17"/>
      <c r="K3" s="17"/>
      <c r="L3" s="8"/>
      <c r="M3" s="8"/>
      <c r="N3" s="8"/>
      <c r="O3" s="8"/>
      <c r="P3" s="8"/>
      <c r="Q3" s="8"/>
      <c r="R3" s="8"/>
      <c r="S3" s="8"/>
    </row>
    <row r="4" spans="1:19" ht="12" customHeight="1" x14ac:dyDescent="0.3">
      <c r="A4" s="17">
        <v>33</v>
      </c>
      <c r="B4" s="227" t="s">
        <v>1810</v>
      </c>
      <c r="C4" s="1947" t="s">
        <v>5582</v>
      </c>
      <c r="D4" s="1909"/>
      <c r="E4" s="1909"/>
      <c r="F4" s="1909"/>
      <c r="G4" s="1909"/>
      <c r="H4" s="1909"/>
      <c r="I4" s="1909"/>
      <c r="J4" s="1948" t="s">
        <v>33</v>
      </c>
      <c r="K4" s="17"/>
      <c r="L4" s="8"/>
      <c r="M4" s="8"/>
      <c r="N4" s="8"/>
      <c r="O4" s="8"/>
      <c r="P4" s="22"/>
      <c r="Q4" s="26"/>
      <c r="R4" s="8"/>
      <c r="S4" s="8"/>
    </row>
    <row r="5" spans="1:19" ht="9.75" customHeight="1" x14ac:dyDescent="0.25">
      <c r="A5" s="17">
        <v>38</v>
      </c>
      <c r="B5" s="227" t="s">
        <v>1811</v>
      </c>
      <c r="C5" s="673"/>
      <c r="D5" s="56"/>
      <c r="E5" s="56"/>
      <c r="F5" s="56"/>
      <c r="G5" s="56"/>
      <c r="H5" s="56"/>
      <c r="I5" s="56"/>
      <c r="J5" s="58"/>
      <c r="K5" s="17"/>
      <c r="L5" s="8"/>
      <c r="M5" s="8"/>
      <c r="N5" s="8"/>
      <c r="O5" s="8"/>
      <c r="P5" s="22"/>
      <c r="Q5" s="26"/>
      <c r="R5" s="8"/>
      <c r="S5" s="8"/>
    </row>
    <row r="6" spans="1:19" ht="12.75" customHeight="1" x14ac:dyDescent="0.3">
      <c r="A6" s="17">
        <v>39</v>
      </c>
      <c r="B6" s="227" t="s">
        <v>1843</v>
      </c>
      <c r="C6" s="679" t="s">
        <v>5583</v>
      </c>
      <c r="D6" s="56"/>
      <c r="E6" s="56"/>
      <c r="F6" s="56"/>
      <c r="G6" s="56"/>
      <c r="H6" s="56"/>
      <c r="I6" s="56"/>
      <c r="J6" s="58"/>
      <c r="K6" s="17"/>
      <c r="L6" s="8"/>
      <c r="M6" s="8"/>
      <c r="N6" s="8"/>
      <c r="O6" s="8"/>
      <c r="P6" s="8"/>
      <c r="Q6" s="26"/>
      <c r="R6" s="8"/>
      <c r="S6" s="8"/>
    </row>
    <row r="7" spans="1:19" ht="12.75" customHeight="1" x14ac:dyDescent="0.25">
      <c r="A7" s="17">
        <v>40</v>
      </c>
      <c r="B7" s="227"/>
      <c r="C7" s="1845">
        <f>A2</f>
        <v>21</v>
      </c>
      <c r="D7" s="52" t="s">
        <v>2412</v>
      </c>
      <c r="E7" s="56"/>
      <c r="F7" s="56"/>
      <c r="G7" s="1845">
        <f>A3</f>
        <v>22</v>
      </c>
      <c r="H7" s="52" t="s">
        <v>5584</v>
      </c>
      <c r="I7" s="56"/>
      <c r="J7" s="58"/>
      <c r="K7" s="17"/>
      <c r="L7" s="8"/>
      <c r="M7" s="8"/>
      <c r="N7" s="8"/>
      <c r="O7" s="8"/>
      <c r="P7" s="22"/>
      <c r="Q7" s="26"/>
      <c r="R7" s="8"/>
      <c r="S7" s="8"/>
    </row>
    <row r="8" spans="1:19" ht="12.75" customHeight="1" x14ac:dyDescent="0.25">
      <c r="A8" s="17">
        <v>42</v>
      </c>
      <c r="B8" s="227"/>
      <c r="C8" s="671"/>
      <c r="D8" s="1866"/>
      <c r="E8" s="56"/>
      <c r="F8" s="56"/>
      <c r="G8" s="56"/>
      <c r="H8" s="1949"/>
      <c r="I8" s="56"/>
      <c r="J8" s="58"/>
      <c r="K8" s="17"/>
      <c r="L8" s="8"/>
      <c r="M8" s="8"/>
      <c r="N8" s="8"/>
      <c r="O8" s="8"/>
      <c r="P8" s="8"/>
      <c r="Q8" s="26"/>
      <c r="R8" s="8"/>
      <c r="S8" s="8"/>
    </row>
    <row r="9" spans="1:19" ht="12.75" customHeight="1" x14ac:dyDescent="0.25">
      <c r="A9" s="17">
        <v>44</v>
      </c>
      <c r="B9" s="227"/>
      <c r="C9" s="680" t="s">
        <v>5585</v>
      </c>
      <c r="D9" s="56"/>
      <c r="E9" s="56"/>
      <c r="F9" s="56"/>
      <c r="G9" s="56"/>
      <c r="H9" s="56"/>
      <c r="I9" s="56"/>
      <c r="J9" s="58"/>
      <c r="K9" s="17"/>
      <c r="L9" s="8"/>
      <c r="M9" s="8"/>
      <c r="N9" s="8"/>
      <c r="O9" s="8"/>
      <c r="P9" s="8"/>
      <c r="Q9" s="26"/>
      <c r="R9" s="8"/>
      <c r="S9" s="8"/>
    </row>
    <row r="10" spans="1:19" ht="12.75" customHeight="1" x14ac:dyDescent="0.25">
      <c r="A10" s="17">
        <v>45</v>
      </c>
      <c r="B10" s="227" t="s">
        <v>1845</v>
      </c>
      <c r="C10" s="671"/>
      <c r="D10" s="56"/>
      <c r="E10" s="56"/>
      <c r="F10" s="56"/>
      <c r="G10" s="1845">
        <f>A4</f>
        <v>33</v>
      </c>
      <c r="H10" s="52" t="s">
        <v>2979</v>
      </c>
      <c r="I10" s="56"/>
      <c r="J10" s="58"/>
      <c r="K10" s="17"/>
      <c r="L10" s="8"/>
      <c r="M10" s="8"/>
      <c r="N10" s="8"/>
      <c r="O10" s="8"/>
      <c r="P10" s="22"/>
      <c r="Q10" s="625"/>
      <c r="R10" s="8"/>
      <c r="S10" s="8"/>
    </row>
    <row r="11" spans="1:19" ht="12.75" customHeight="1" x14ac:dyDescent="0.25">
      <c r="A11" s="8"/>
      <c r="B11" s="227" t="s">
        <v>1846</v>
      </c>
      <c r="C11" s="671"/>
      <c r="D11" s="56"/>
      <c r="E11" s="56"/>
      <c r="F11" s="56"/>
      <c r="G11" s="56"/>
      <c r="H11" s="1949"/>
      <c r="I11" s="56"/>
      <c r="J11" s="58"/>
      <c r="K11" s="17"/>
      <c r="L11" s="8"/>
      <c r="M11" s="8"/>
      <c r="N11" s="8"/>
      <c r="O11" s="8"/>
      <c r="P11" s="22"/>
      <c r="Q11" s="625"/>
      <c r="R11" s="8"/>
      <c r="S11" s="8"/>
    </row>
    <row r="12" spans="1:19" x14ac:dyDescent="0.25">
      <c r="A12" s="8"/>
      <c r="B12" s="227"/>
      <c r="C12" s="673"/>
      <c r="D12" s="56"/>
      <c r="E12" s="56"/>
      <c r="F12" s="56"/>
      <c r="G12" s="56"/>
      <c r="H12" s="56"/>
      <c r="I12" s="56"/>
      <c r="J12" s="58"/>
      <c r="K12" s="17"/>
      <c r="L12" s="8"/>
      <c r="M12" s="8"/>
      <c r="N12" s="8"/>
      <c r="O12" s="8"/>
      <c r="P12" s="8"/>
      <c r="Q12" s="8"/>
      <c r="R12" s="8"/>
      <c r="S12" s="8"/>
    </row>
    <row r="13" spans="1:19" ht="12.75" customHeight="1" x14ac:dyDescent="0.25">
      <c r="A13" s="8"/>
      <c r="B13" s="227" t="s">
        <v>1929</v>
      </c>
      <c r="C13" s="671"/>
      <c r="D13" s="56"/>
      <c r="E13" s="56"/>
      <c r="F13" s="56"/>
      <c r="G13" s="1845">
        <f>A5</f>
        <v>38</v>
      </c>
      <c r="H13" s="52" t="s">
        <v>5586</v>
      </c>
      <c r="I13" s="56"/>
      <c r="J13" s="58"/>
      <c r="K13" s="17"/>
      <c r="L13" s="8"/>
      <c r="M13" s="8"/>
      <c r="N13" s="8"/>
      <c r="O13" s="8"/>
      <c r="P13" s="8"/>
      <c r="Q13" s="26"/>
      <c r="R13" s="8"/>
      <c r="S13" s="8"/>
    </row>
    <row r="14" spans="1:19" x14ac:dyDescent="0.25">
      <c r="A14" s="8"/>
      <c r="B14" s="227"/>
      <c r="C14" s="671"/>
      <c r="D14" s="56"/>
      <c r="E14" s="56"/>
      <c r="F14" s="56"/>
      <c r="G14" s="56"/>
      <c r="H14" s="1949"/>
      <c r="I14" s="56"/>
      <c r="J14" s="58"/>
      <c r="K14" s="17"/>
      <c r="L14" s="8"/>
      <c r="M14" s="8"/>
      <c r="N14" s="8"/>
      <c r="O14" s="8"/>
      <c r="P14" s="8"/>
      <c r="Q14" s="26"/>
      <c r="R14" s="8"/>
      <c r="S14" s="8"/>
    </row>
    <row r="15" spans="1:19" ht="12.75" customHeight="1" x14ac:dyDescent="0.25">
      <c r="A15" s="8"/>
      <c r="B15" s="227"/>
      <c r="C15" s="673"/>
      <c r="D15" s="56"/>
      <c r="E15" s="56"/>
      <c r="F15" s="56"/>
      <c r="G15" s="56"/>
      <c r="H15" s="56"/>
      <c r="I15" s="56"/>
      <c r="J15" s="58"/>
      <c r="K15" s="17"/>
      <c r="L15" s="8"/>
      <c r="M15" s="8"/>
      <c r="N15" s="8"/>
      <c r="O15" s="8"/>
      <c r="P15" s="8"/>
      <c r="Q15" s="26"/>
      <c r="R15" s="8"/>
      <c r="S15" s="8"/>
    </row>
    <row r="16" spans="1:19" ht="12.75" customHeight="1" x14ac:dyDescent="0.25">
      <c r="A16" s="8"/>
      <c r="B16" s="227"/>
      <c r="C16" s="671"/>
      <c r="D16" s="56"/>
      <c r="E16" s="56"/>
      <c r="F16" s="56"/>
      <c r="G16" s="1845">
        <f>A6</f>
        <v>39</v>
      </c>
      <c r="H16" s="52" t="s">
        <v>5587</v>
      </c>
      <c r="I16" s="56"/>
      <c r="J16" s="58"/>
      <c r="K16" s="17"/>
      <c r="L16" s="8"/>
      <c r="M16" s="8"/>
      <c r="N16" s="8"/>
      <c r="O16" s="8"/>
      <c r="P16" s="8"/>
      <c r="Q16" s="26"/>
      <c r="R16" s="8"/>
      <c r="S16" s="8"/>
    </row>
    <row r="17" spans="1:20" ht="12.75" customHeight="1" x14ac:dyDescent="0.25">
      <c r="A17" s="17"/>
      <c r="B17" s="227" t="s">
        <v>1931</v>
      </c>
      <c r="C17" s="671"/>
      <c r="D17" s="56"/>
      <c r="E17" s="56"/>
      <c r="F17" s="56"/>
      <c r="G17" s="56"/>
      <c r="H17" s="1949"/>
      <c r="I17" s="56"/>
      <c r="J17" s="58"/>
      <c r="K17" s="17"/>
      <c r="L17" s="8"/>
      <c r="M17" s="8"/>
      <c r="N17" s="8"/>
      <c r="O17" s="8"/>
      <c r="P17" s="8"/>
      <c r="Q17" s="35"/>
      <c r="R17" s="8"/>
      <c r="S17" s="8"/>
      <c r="T17" s="8"/>
    </row>
    <row r="18" spans="1:20" ht="12.75" customHeight="1" x14ac:dyDescent="0.25">
      <c r="A18" s="17"/>
      <c r="B18" s="227" t="s">
        <v>1932</v>
      </c>
      <c r="C18" s="674"/>
      <c r="D18" s="56"/>
      <c r="E18" s="56"/>
      <c r="F18" s="56"/>
      <c r="G18" s="56"/>
      <c r="H18" s="56"/>
      <c r="I18" s="56"/>
      <c r="J18" s="58"/>
      <c r="K18" s="17"/>
      <c r="L18" s="8"/>
      <c r="M18" s="8"/>
      <c r="N18" s="8"/>
      <c r="O18" s="8"/>
      <c r="P18" s="8"/>
      <c r="Q18" s="35"/>
      <c r="R18" s="8"/>
      <c r="S18" s="8"/>
      <c r="T18" s="8"/>
    </row>
    <row r="19" spans="1:20" ht="12.75" customHeight="1" x14ac:dyDescent="0.25">
      <c r="A19" s="17"/>
      <c r="B19" s="17"/>
      <c r="C19" s="674"/>
      <c r="D19" s="52"/>
      <c r="E19" s="56"/>
      <c r="F19" s="56"/>
      <c r="G19" s="1845">
        <f>A7</f>
        <v>40</v>
      </c>
      <c r="H19" s="52" t="s">
        <v>5588</v>
      </c>
      <c r="I19" s="56"/>
      <c r="J19" s="58"/>
      <c r="K19" s="17"/>
      <c r="L19" s="8"/>
      <c r="M19" s="8"/>
      <c r="N19" s="8"/>
      <c r="O19" s="8"/>
      <c r="P19" s="8"/>
      <c r="Q19" s="35"/>
      <c r="R19" s="8"/>
      <c r="S19" s="8"/>
      <c r="T19" s="8"/>
    </row>
    <row r="20" spans="1:20" x14ac:dyDescent="0.25">
      <c r="A20" s="17"/>
      <c r="B20" s="17"/>
      <c r="C20" s="674"/>
      <c r="D20" s="52"/>
      <c r="E20" s="56"/>
      <c r="F20" s="56"/>
      <c r="G20" s="56"/>
      <c r="H20" s="1949"/>
      <c r="I20" s="56"/>
      <c r="J20" s="58"/>
      <c r="K20" s="17"/>
      <c r="L20" s="8"/>
      <c r="M20" s="8"/>
      <c r="N20" s="8"/>
      <c r="O20" s="8"/>
      <c r="P20" s="8"/>
      <c r="Q20" s="35"/>
      <c r="R20" s="8"/>
      <c r="S20" s="8"/>
      <c r="T20" s="8"/>
    </row>
    <row r="21" spans="1:20" ht="12.75" customHeight="1" x14ac:dyDescent="0.25">
      <c r="A21" s="17"/>
      <c r="B21" s="17"/>
      <c r="C21" s="671"/>
      <c r="D21" s="56"/>
      <c r="E21" s="56"/>
      <c r="F21" s="56"/>
      <c r="G21" s="56"/>
      <c r="H21" s="56"/>
      <c r="I21" s="56"/>
      <c r="J21" s="58"/>
      <c r="K21" s="17"/>
      <c r="L21" s="8"/>
      <c r="M21" s="8"/>
      <c r="N21" s="8"/>
      <c r="O21" s="8"/>
      <c r="P21" s="8"/>
      <c r="Q21" s="35"/>
      <c r="R21" s="8"/>
      <c r="S21" s="8"/>
      <c r="T21" s="8"/>
    </row>
    <row r="22" spans="1:20" ht="12.75" customHeight="1" x14ac:dyDescent="0.25">
      <c r="A22" s="17"/>
      <c r="B22" s="17"/>
      <c r="C22" s="671"/>
      <c r="D22" s="56"/>
      <c r="E22" s="56"/>
      <c r="F22" s="56"/>
      <c r="G22" s="1845">
        <f>A8</f>
        <v>42</v>
      </c>
      <c r="H22" s="50" t="str">
        <f>"Loss set against "&amp;tax_year&amp;" income"</f>
        <v>Loss set against 2025-26 income</v>
      </c>
      <c r="I22" s="56"/>
      <c r="J22" s="58"/>
      <c r="K22" s="17"/>
      <c r="L22" s="8"/>
      <c r="M22" s="8"/>
      <c r="N22" s="8"/>
      <c r="O22" s="8"/>
      <c r="P22" s="8"/>
      <c r="Q22" s="26"/>
      <c r="R22" s="8"/>
      <c r="S22" s="8"/>
      <c r="T22" s="8"/>
    </row>
    <row r="23" spans="1:20" ht="12.75" customHeight="1" x14ac:dyDescent="0.25">
      <c r="A23" s="17"/>
      <c r="B23" s="17"/>
      <c r="C23" s="671"/>
      <c r="D23" s="56"/>
      <c r="E23" s="56"/>
      <c r="F23" s="56"/>
      <c r="G23" s="56"/>
      <c r="H23" s="1846"/>
      <c r="I23" s="56"/>
      <c r="J23" s="58"/>
      <c r="K23" s="17"/>
      <c r="L23" s="8"/>
      <c r="M23" s="8"/>
      <c r="N23" s="8"/>
      <c r="O23" s="8"/>
      <c r="P23" s="8"/>
      <c r="Q23" s="8"/>
      <c r="R23" s="8"/>
      <c r="S23" s="8"/>
      <c r="T23" s="8"/>
    </row>
    <row r="24" spans="1:20" ht="12.75" customHeight="1" x14ac:dyDescent="0.25">
      <c r="A24" s="17"/>
      <c r="B24" s="17"/>
      <c r="C24" s="671"/>
      <c r="D24" s="56"/>
      <c r="E24" s="56"/>
      <c r="F24" s="56"/>
      <c r="G24" s="56"/>
      <c r="H24" s="56"/>
      <c r="I24" s="56"/>
      <c r="J24" s="58"/>
      <c r="K24" s="17"/>
      <c r="L24" s="8"/>
      <c r="M24" s="8"/>
      <c r="N24" s="8"/>
      <c r="O24" s="8"/>
      <c r="P24" s="8"/>
      <c r="Q24" s="8"/>
      <c r="R24" s="8"/>
      <c r="S24" s="8"/>
      <c r="T24" s="8"/>
    </row>
    <row r="25" spans="1:20" ht="12.75" customHeight="1" x14ac:dyDescent="0.25">
      <c r="A25" s="17"/>
      <c r="B25" s="17"/>
      <c r="C25" s="671"/>
      <c r="D25" s="56"/>
      <c r="E25" s="56"/>
      <c r="F25" s="56"/>
      <c r="G25" s="1845">
        <f>A9</f>
        <v>44</v>
      </c>
      <c r="H25" s="50" t="s">
        <v>3641</v>
      </c>
      <c r="I25" s="56"/>
      <c r="J25" s="58"/>
      <c r="K25" s="17"/>
      <c r="L25" s="8"/>
      <c r="M25" s="8"/>
      <c r="N25" s="8"/>
      <c r="O25" s="8"/>
      <c r="P25" s="8"/>
      <c r="Q25" s="8"/>
      <c r="R25" s="8"/>
      <c r="S25" s="8"/>
      <c r="T25" s="8"/>
    </row>
    <row r="26" spans="1:20" x14ac:dyDescent="0.25">
      <c r="A26" s="17"/>
      <c r="B26" s="17"/>
      <c r="C26" s="671"/>
      <c r="D26" s="56"/>
      <c r="E26" s="56"/>
      <c r="F26" s="56"/>
      <c r="G26" s="56"/>
      <c r="H26" s="1846"/>
      <c r="I26" s="56"/>
      <c r="J26" s="58"/>
      <c r="K26" s="17"/>
      <c r="L26" s="8"/>
      <c r="M26" s="8"/>
      <c r="N26" s="8"/>
      <c r="O26" s="8"/>
      <c r="P26" s="8"/>
      <c r="Q26" s="8"/>
      <c r="R26" s="8"/>
      <c r="S26" s="8"/>
      <c r="T26" s="8"/>
    </row>
    <row r="27" spans="1:20" x14ac:dyDescent="0.25">
      <c r="A27" s="17"/>
      <c r="B27" s="17"/>
      <c r="C27" s="671"/>
      <c r="D27" s="56"/>
      <c r="E27" s="56"/>
      <c r="F27" s="56"/>
      <c r="G27" s="56"/>
      <c r="H27" s="56"/>
      <c r="I27" s="56"/>
      <c r="J27" s="58"/>
      <c r="K27" s="17"/>
      <c r="L27" s="8"/>
      <c r="M27" s="8"/>
      <c r="N27" s="8"/>
      <c r="O27" s="8"/>
      <c r="P27" s="8"/>
      <c r="Q27" s="8"/>
      <c r="R27" s="8"/>
      <c r="S27" s="8"/>
      <c r="T27" s="8"/>
    </row>
    <row r="28" spans="1:20" x14ac:dyDescent="0.25">
      <c r="A28" s="17"/>
      <c r="B28" s="17"/>
      <c r="C28" s="671"/>
      <c r="D28" s="56"/>
      <c r="E28" s="56"/>
      <c r="F28" s="56"/>
      <c r="G28" s="1845">
        <f>A10</f>
        <v>45</v>
      </c>
      <c r="H28" s="50" t="s">
        <v>5589</v>
      </c>
      <c r="I28" s="56"/>
      <c r="J28" s="58"/>
      <c r="K28" s="17"/>
      <c r="L28" s="8"/>
      <c r="M28" s="8"/>
      <c r="N28" s="8"/>
      <c r="O28" s="8"/>
      <c r="P28" s="8"/>
      <c r="Q28" s="8"/>
      <c r="R28" s="8"/>
      <c r="S28" s="8"/>
      <c r="T28" s="8"/>
    </row>
    <row r="29" spans="1:20" x14ac:dyDescent="0.25">
      <c r="A29" s="17"/>
      <c r="B29" s="17"/>
      <c r="C29" s="671"/>
      <c r="D29" s="56"/>
      <c r="E29" s="56"/>
      <c r="F29" s="56"/>
      <c r="G29" s="56"/>
      <c r="H29" s="1846"/>
      <c r="I29" s="56"/>
      <c r="J29" s="58"/>
      <c r="K29" s="17"/>
      <c r="L29" s="8"/>
      <c r="M29" s="8"/>
      <c r="N29" s="8"/>
      <c r="O29" s="8"/>
      <c r="P29" s="8"/>
      <c r="Q29" s="8"/>
      <c r="R29" s="8"/>
      <c r="S29" s="8"/>
      <c r="T29" s="8"/>
    </row>
    <row r="30" spans="1:20" x14ac:dyDescent="0.25">
      <c r="A30" s="17"/>
      <c r="B30" s="17"/>
      <c r="C30" s="1912"/>
      <c r="D30" s="1923"/>
      <c r="E30" s="1923"/>
      <c r="F30" s="1923"/>
      <c r="G30" s="1923"/>
      <c r="H30" s="1923"/>
      <c r="I30" s="1923"/>
      <c r="J30" s="1924"/>
      <c r="K30" s="17"/>
      <c r="L30" s="8"/>
      <c r="M30" s="8"/>
      <c r="N30" s="8"/>
      <c r="O30" s="8"/>
      <c r="P30" s="8"/>
      <c r="Q30" s="8"/>
      <c r="R30" s="8"/>
      <c r="S30" s="8"/>
      <c r="T30" s="8"/>
    </row>
    <row r="31" spans="1:20" x14ac:dyDescent="0.25">
      <c r="A31" s="8"/>
      <c r="B31" s="17"/>
      <c r="C31" s="17"/>
      <c r="D31" s="17"/>
      <c r="E31" s="17"/>
      <c r="F31" s="17"/>
      <c r="G31" s="21"/>
      <c r="H31" s="17"/>
      <c r="I31" s="17"/>
      <c r="J31" s="17"/>
      <c r="K31" s="17"/>
      <c r="L31" s="8"/>
      <c r="M31" s="8"/>
      <c r="N31" s="8"/>
      <c r="O31" s="8"/>
      <c r="P31" s="8"/>
      <c r="Q31" s="8"/>
      <c r="R31" s="8"/>
      <c r="S31" s="8"/>
      <c r="T31" s="8"/>
    </row>
    <row r="32" spans="1:20" x14ac:dyDescent="0.25">
      <c r="A32" s="8"/>
      <c r="B32" s="17"/>
      <c r="C32" s="17"/>
      <c r="D32" s="17"/>
      <c r="E32" s="17"/>
      <c r="F32" s="17"/>
      <c r="G32" s="21"/>
      <c r="H32" s="17"/>
      <c r="I32" s="17"/>
      <c r="J32" s="17"/>
      <c r="K32" s="17"/>
      <c r="L32" s="8"/>
      <c r="M32" s="8"/>
      <c r="N32" s="8"/>
      <c r="O32" s="8"/>
      <c r="P32" s="8"/>
      <c r="Q32" s="8"/>
      <c r="R32" s="8"/>
      <c r="S32" s="8"/>
      <c r="T32" s="8"/>
    </row>
    <row r="33" spans="2:11" x14ac:dyDescent="0.25">
      <c r="B33" s="17"/>
      <c r="C33" s="17"/>
      <c r="D33" s="17"/>
      <c r="E33" s="17"/>
      <c r="F33" s="17"/>
      <c r="G33" s="21"/>
      <c r="H33" s="17"/>
      <c r="I33" s="17"/>
      <c r="J33" s="17"/>
      <c r="K33" s="17"/>
    </row>
    <row r="34" spans="2:11" x14ac:dyDescent="0.25">
      <c r="B34" s="17"/>
      <c r="C34" s="17"/>
      <c r="D34" s="17"/>
      <c r="E34" s="17"/>
      <c r="F34" s="17"/>
      <c r="G34" s="21"/>
      <c r="H34" s="17"/>
      <c r="I34" s="17"/>
      <c r="J34" s="17"/>
      <c r="K34" s="17"/>
    </row>
    <row r="35" spans="2:11" x14ac:dyDescent="0.25">
      <c r="B35" s="17"/>
      <c r="C35" s="17"/>
      <c r="D35" s="17"/>
      <c r="E35" s="17"/>
      <c r="F35" s="17"/>
      <c r="G35" s="17"/>
      <c r="H35" s="17"/>
      <c r="I35" s="17"/>
      <c r="J35" s="17"/>
      <c r="K35" s="17"/>
    </row>
    <row r="36" spans="2:11" x14ac:dyDescent="0.25">
      <c r="B36" s="17"/>
      <c r="C36" s="17"/>
      <c r="D36" s="17"/>
      <c r="E36" s="17"/>
      <c r="F36" s="17"/>
      <c r="G36" s="17"/>
      <c r="H36" s="17"/>
      <c r="I36" s="17"/>
      <c r="J36" s="17"/>
      <c r="K36" s="17"/>
    </row>
    <row r="37" spans="2:11" x14ac:dyDescent="0.25">
      <c r="B37" s="17"/>
      <c r="C37" s="17"/>
      <c r="D37" s="17"/>
      <c r="E37" s="17"/>
      <c r="F37" s="17"/>
      <c r="G37" s="17"/>
      <c r="H37" s="17"/>
      <c r="I37" s="17"/>
      <c r="J37" s="17"/>
      <c r="K37" s="17"/>
    </row>
    <row r="38" spans="2:11" x14ac:dyDescent="0.25">
      <c r="B38" s="17"/>
      <c r="C38" s="17"/>
      <c r="D38" s="17"/>
      <c r="E38" s="17"/>
      <c r="F38" s="17"/>
      <c r="G38" s="17"/>
      <c r="H38" s="17"/>
      <c r="I38" s="17"/>
      <c r="J38" s="17"/>
      <c r="K38" s="17"/>
    </row>
    <row r="39" spans="2:11" x14ac:dyDescent="0.25">
      <c r="B39" s="17"/>
      <c r="C39" s="17"/>
      <c r="D39" s="17"/>
      <c r="E39" s="17"/>
      <c r="F39" s="17"/>
      <c r="G39" s="17"/>
      <c r="H39" s="17"/>
      <c r="I39" s="17"/>
      <c r="J39" s="17"/>
      <c r="K39" s="17"/>
    </row>
    <row r="40" spans="2:11" x14ac:dyDescent="0.25">
      <c r="B40" s="17"/>
      <c r="C40" s="17"/>
      <c r="D40" s="17"/>
      <c r="E40" s="17"/>
      <c r="F40" s="17"/>
      <c r="G40" s="17"/>
      <c r="H40" s="17"/>
      <c r="I40" s="17"/>
      <c r="J40" s="17"/>
      <c r="K40" s="17"/>
    </row>
    <row r="41" spans="2:11" x14ac:dyDescent="0.25">
      <c r="B41" s="17"/>
      <c r="C41" s="17"/>
      <c r="D41" s="17"/>
      <c r="E41" s="17"/>
      <c r="F41" s="17"/>
      <c r="G41" s="17"/>
      <c r="H41" s="17"/>
      <c r="I41" s="17"/>
      <c r="J41" s="17"/>
      <c r="K41" s="17"/>
    </row>
    <row r="42" spans="2:11" x14ac:dyDescent="0.25">
      <c r="B42" s="17"/>
      <c r="C42" s="17"/>
      <c r="D42" s="17"/>
      <c r="E42" s="17"/>
      <c r="F42" s="17"/>
      <c r="G42" s="17"/>
      <c r="H42" s="17"/>
      <c r="I42" s="17"/>
      <c r="J42" s="17"/>
      <c r="K42" s="17"/>
    </row>
    <row r="43" spans="2:11" x14ac:dyDescent="0.25">
      <c r="B43" s="17"/>
      <c r="C43" s="17"/>
      <c r="D43" s="17"/>
      <c r="E43" s="17"/>
      <c r="F43" s="17"/>
      <c r="G43" s="17"/>
      <c r="H43" s="17"/>
      <c r="I43" s="17"/>
      <c r="J43" s="17"/>
      <c r="K43" s="17"/>
    </row>
    <row r="44" spans="2:11" x14ac:dyDescent="0.25">
      <c r="B44" s="17"/>
      <c r="C44" s="17"/>
      <c r="D44" s="17"/>
      <c r="E44" s="17"/>
      <c r="F44" s="17"/>
      <c r="G44" s="17"/>
      <c r="H44" s="17"/>
      <c r="I44" s="17"/>
      <c r="J44" s="17"/>
      <c r="K44" s="17"/>
    </row>
    <row r="45" spans="2:11" x14ac:dyDescent="0.25">
      <c r="B45" s="17"/>
      <c r="C45" s="17"/>
      <c r="D45" s="17"/>
      <c r="E45" s="17"/>
      <c r="F45" s="17"/>
      <c r="G45" s="17"/>
      <c r="H45" s="17"/>
      <c r="I45" s="17"/>
      <c r="J45" s="17"/>
      <c r="K45" s="17"/>
    </row>
    <row r="46" spans="2:11" x14ac:dyDescent="0.25">
      <c r="B46" s="17"/>
      <c r="C46" s="17"/>
      <c r="D46" s="17"/>
      <c r="E46" s="17"/>
      <c r="F46" s="17"/>
      <c r="G46" s="17"/>
      <c r="H46" s="17"/>
      <c r="I46" s="17"/>
      <c r="J46" s="17"/>
      <c r="K46" s="17"/>
    </row>
    <row r="47" spans="2:11" x14ac:dyDescent="0.25">
      <c r="B47" s="17"/>
      <c r="C47" s="17"/>
      <c r="D47" s="17"/>
      <c r="E47" s="17"/>
      <c r="F47" s="17"/>
      <c r="G47" s="17"/>
      <c r="H47" s="17"/>
      <c r="I47" s="17"/>
      <c r="J47" s="17"/>
      <c r="K47" s="17"/>
    </row>
    <row r="48" spans="2:11" x14ac:dyDescent="0.25">
      <c r="B48" s="17"/>
      <c r="C48" s="17"/>
      <c r="D48" s="17"/>
      <c r="E48" s="17"/>
      <c r="F48" s="17"/>
      <c r="G48" s="17"/>
      <c r="H48" s="17"/>
      <c r="I48" s="17"/>
      <c r="J48" s="17"/>
      <c r="K48" s="17"/>
    </row>
  </sheetData>
  <phoneticPr fontId="58" type="noConversion"/>
  <pageMargins left="0.75" right="0.75" top="1" bottom="1" header="0.5" footer="0.5"/>
  <pageSetup paperSize="9" orientation="landscape" r:id="rId1"/>
  <headerFooter alignWithMargins="0">
    <oddFooter>&amp;C&amp;1#&amp;"Calibri"&amp;10&amp;K000000OFFICIAL-SENSITIVE</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W60"/>
  <sheetViews>
    <sheetView showGridLines="0" topLeftCell="B1" zoomScale="96" zoomScaleNormal="96" workbookViewId="0">
      <selection activeCell="S30" sqref="S30"/>
    </sheetView>
  </sheetViews>
  <sheetFormatPr defaultColWidth="9.1796875" defaultRowHeight="11.5" x14ac:dyDescent="0.25"/>
  <cols>
    <col min="1" max="1" width="9" style="39" hidden="1" customWidth="1"/>
    <col min="2" max="3" width="5" style="39" customWidth="1"/>
    <col min="4" max="4" width="14" style="39" customWidth="1"/>
    <col min="5" max="5" width="9.1796875" style="39"/>
    <col min="6" max="6" width="29.54296875" style="39" customWidth="1"/>
    <col min="7" max="7" width="5" style="39" customWidth="1"/>
    <col min="8" max="8" width="13.54296875" style="39" customWidth="1"/>
    <col min="9" max="9" width="9.1796875" style="39" customWidth="1"/>
    <col min="10" max="10" width="29.1796875" style="39" customWidth="1"/>
    <col min="11" max="11" width="2.1796875" style="39" customWidth="1"/>
    <col min="12" max="12" width="5.1796875" style="39" customWidth="1"/>
    <col min="13" max="13" width="14" style="39" customWidth="1"/>
    <col min="14" max="14" width="9.1796875" style="39"/>
    <col min="15" max="15" width="11.54296875" style="39" customWidth="1"/>
    <col min="16" max="16" width="5" style="39" customWidth="1"/>
    <col min="17" max="17" width="13.54296875" style="39" customWidth="1"/>
    <col min="18" max="18" width="9.1796875" style="39"/>
    <col min="19" max="19" width="38" style="39" customWidth="1"/>
    <col min="20" max="20" width="5" style="39" customWidth="1"/>
    <col min="21" max="21" width="9.1796875" style="39"/>
    <col min="22" max="23" width="9.1796875" style="39" hidden="1" customWidth="1"/>
    <col min="24" max="16384" width="9.1796875" style="39"/>
  </cols>
  <sheetData>
    <row r="1" spans="1:22" x14ac:dyDescent="0.25">
      <c r="A1" s="17" t="s">
        <v>37</v>
      </c>
      <c r="B1" s="17"/>
      <c r="C1" s="17"/>
      <c r="D1" s="17"/>
      <c r="E1" s="17"/>
      <c r="F1" s="17"/>
      <c r="G1" s="17"/>
      <c r="H1" s="17"/>
      <c r="I1" s="17"/>
      <c r="J1" s="17"/>
      <c r="K1" s="226"/>
      <c r="L1" s="17"/>
      <c r="M1" s="226"/>
      <c r="N1" s="226"/>
      <c r="O1" s="226"/>
      <c r="P1" s="226"/>
      <c r="Q1" s="226"/>
      <c r="R1" s="226"/>
      <c r="S1" s="226"/>
      <c r="T1" s="226"/>
      <c r="U1" s="226"/>
      <c r="V1" s="8"/>
    </row>
    <row r="2" spans="1:22" ht="13" x14ac:dyDescent="0.3">
      <c r="A2" s="17">
        <v>3</v>
      </c>
      <c r="B2" s="17"/>
      <c r="C2" s="1892" t="s">
        <v>5590</v>
      </c>
      <c r="D2" s="1856"/>
      <c r="E2" s="1856"/>
      <c r="F2" s="1856"/>
      <c r="G2" s="1856"/>
      <c r="H2" s="1856"/>
      <c r="I2" s="1856"/>
      <c r="J2" s="1857" t="s">
        <v>37</v>
      </c>
      <c r="K2" s="437"/>
      <c r="L2" s="1950" t="s">
        <v>5591</v>
      </c>
      <c r="M2" s="1856"/>
      <c r="N2" s="1856"/>
      <c r="O2" s="1856"/>
      <c r="P2" s="1856"/>
      <c r="Q2" s="1856"/>
      <c r="R2" s="1856"/>
      <c r="S2" s="1857" t="s">
        <v>37</v>
      </c>
      <c r="T2" s="226"/>
      <c r="U2" s="226"/>
      <c r="V2" s="8"/>
    </row>
    <row r="3" spans="1:22" ht="12" x14ac:dyDescent="0.3">
      <c r="A3" s="17">
        <v>4</v>
      </c>
      <c r="B3" s="17"/>
      <c r="C3" s="675" t="s">
        <v>5592</v>
      </c>
      <c r="D3" s="40"/>
      <c r="E3" s="40"/>
      <c r="F3" s="40"/>
      <c r="G3" s="44"/>
      <c r="H3" s="438"/>
      <c r="I3" s="438"/>
      <c r="J3" s="48"/>
      <c r="K3" s="226"/>
      <c r="L3" s="675" t="str">
        <f>"Losses set against "&amp;tax_year&amp;" capital gains"</f>
        <v>Losses set against 2025-26 capital gains</v>
      </c>
      <c r="M3" s="40"/>
      <c r="N3" s="40"/>
      <c r="O3" s="40"/>
      <c r="P3" s="44"/>
      <c r="Q3" s="438"/>
      <c r="R3" s="438"/>
      <c r="S3" s="48"/>
      <c r="T3" s="226"/>
      <c r="U3" s="226"/>
      <c r="V3" s="8"/>
    </row>
    <row r="4" spans="1:22" x14ac:dyDescent="0.25">
      <c r="A4" s="17">
        <v>5</v>
      </c>
      <c r="B4" s="17"/>
      <c r="C4" s="1845">
        <f>A5</f>
        <v>6</v>
      </c>
      <c r="D4" s="40" t="s">
        <v>5593</v>
      </c>
      <c r="E4" s="40"/>
      <c r="F4" s="40"/>
      <c r="G4" s="1845">
        <f>A10</f>
        <v>10</v>
      </c>
      <c r="H4" s="311" t="s">
        <v>5594</v>
      </c>
      <c r="I4" s="311"/>
      <c r="J4" s="514"/>
      <c r="K4" s="226"/>
      <c r="L4" s="1845">
        <f>A48</f>
        <v>45</v>
      </c>
      <c r="M4" s="40" t="s">
        <v>5595</v>
      </c>
      <c r="N4" s="40"/>
      <c r="O4" s="440"/>
      <c r="P4" s="1845">
        <f>A49</f>
        <v>46</v>
      </c>
      <c r="Q4" s="311" t="str">
        <f>"Income losses of "&amp;tax_year&amp;" set against gains"</f>
        <v>Income losses of 2025-26 set against gains</v>
      </c>
      <c r="R4" s="311"/>
      <c r="S4" s="439"/>
      <c r="T4" s="226"/>
      <c r="U4" s="226"/>
      <c r="V4" s="8"/>
    </row>
    <row r="5" spans="1:22" x14ac:dyDescent="0.25">
      <c r="A5" s="89">
        <v>6</v>
      </c>
      <c r="B5" s="17"/>
      <c r="C5" s="687"/>
      <c r="D5" s="1846"/>
      <c r="E5" s="40"/>
      <c r="F5" s="440"/>
      <c r="G5" s="311"/>
      <c r="H5" s="1949"/>
      <c r="I5" s="311"/>
      <c r="J5" s="514"/>
      <c r="K5" s="226"/>
      <c r="L5" s="655"/>
      <c r="M5" s="1846"/>
      <c r="N5" s="311"/>
      <c r="O5" s="311"/>
      <c r="P5" s="40"/>
      <c r="Q5" s="1949"/>
      <c r="R5" s="40"/>
      <c r="S5" s="48"/>
      <c r="T5" s="226"/>
      <c r="U5" s="226"/>
      <c r="V5" s="8"/>
    </row>
    <row r="6" spans="1:22" x14ac:dyDescent="0.25">
      <c r="A6" s="89">
        <v>6.1</v>
      </c>
      <c r="B6" s="17"/>
      <c r="C6" s="655"/>
      <c r="D6" s="40"/>
      <c r="E6" s="40"/>
      <c r="F6" s="40"/>
      <c r="G6" s="311"/>
      <c r="H6" s="311"/>
      <c r="I6" s="311"/>
      <c r="J6" s="514"/>
      <c r="K6" s="226"/>
      <c r="L6" s="686"/>
      <c r="M6" s="311"/>
      <c r="N6" s="311"/>
      <c r="O6" s="311"/>
      <c r="P6" s="311"/>
      <c r="Q6" s="40"/>
      <c r="R6" s="40"/>
      <c r="S6" s="48"/>
      <c r="T6" s="226"/>
      <c r="U6" s="226"/>
      <c r="V6" s="8"/>
    </row>
    <row r="7" spans="1:22" ht="12" x14ac:dyDescent="0.3">
      <c r="A7" s="89">
        <v>7</v>
      </c>
      <c r="B7" s="226"/>
      <c r="C7" s="1845">
        <f>A6</f>
        <v>6.1</v>
      </c>
      <c r="D7" s="40" t="s">
        <v>5596</v>
      </c>
      <c r="E7" s="40"/>
      <c r="F7" s="40"/>
      <c r="G7" s="311"/>
      <c r="H7" s="311"/>
      <c r="I7" s="311"/>
      <c r="J7" s="514"/>
      <c r="K7" s="226"/>
      <c r="L7" s="675" t="str">
        <f>tax_year&amp;" capital losses - other information"</f>
        <v>2025-26 capital losses - other information</v>
      </c>
      <c r="M7" s="40"/>
      <c r="N7" s="40"/>
      <c r="O7" s="40"/>
      <c r="P7" s="44"/>
      <c r="Q7" s="438"/>
      <c r="R7" s="438"/>
      <c r="S7" s="48"/>
      <c r="T7" s="226"/>
      <c r="U7" s="226"/>
      <c r="V7" s="8"/>
    </row>
    <row r="8" spans="1:22" x14ac:dyDescent="0.25">
      <c r="A8" s="17">
        <v>8</v>
      </c>
      <c r="B8" s="226"/>
      <c r="C8" s="687"/>
      <c r="D8" s="1846"/>
      <c r="E8" s="40"/>
      <c r="F8" s="40"/>
      <c r="G8" s="311"/>
      <c r="H8" s="311"/>
      <c r="I8" s="311"/>
      <c r="J8" s="514"/>
      <c r="K8" s="226"/>
      <c r="L8" s="686"/>
      <c r="M8" s="311"/>
      <c r="N8" s="40"/>
      <c r="O8" s="440"/>
      <c r="P8" s="1845">
        <f>A51</f>
        <v>48</v>
      </c>
      <c r="Q8" s="311" t="s">
        <v>5597</v>
      </c>
      <c r="R8" s="311"/>
      <c r="S8" s="439"/>
      <c r="T8" s="226"/>
      <c r="U8" s="226"/>
      <c r="V8" s="8"/>
    </row>
    <row r="9" spans="1:22" x14ac:dyDescent="0.25">
      <c r="A9" s="89">
        <v>9</v>
      </c>
      <c r="B9" s="226"/>
      <c r="C9" s="687"/>
      <c r="D9" s="40"/>
      <c r="E9" s="40"/>
      <c r="F9" s="40"/>
      <c r="G9" s="311"/>
      <c r="H9" s="311"/>
      <c r="I9" s="311"/>
      <c r="J9" s="514"/>
      <c r="K9" s="226"/>
      <c r="L9" s="686"/>
      <c r="M9" s="311"/>
      <c r="N9" s="311"/>
      <c r="O9" s="311"/>
      <c r="P9" s="40"/>
      <c r="Q9" s="1949"/>
      <c r="R9" s="40"/>
      <c r="S9" s="48"/>
      <c r="T9" s="226"/>
      <c r="U9" s="226"/>
      <c r="V9" s="8"/>
    </row>
    <row r="10" spans="1:22" x14ac:dyDescent="0.25">
      <c r="A10" s="17">
        <v>10</v>
      </c>
      <c r="B10" s="17"/>
      <c r="C10" s="1845">
        <f>A7</f>
        <v>7</v>
      </c>
      <c r="D10" s="311" t="s">
        <v>5598</v>
      </c>
      <c r="E10" s="311"/>
      <c r="F10" s="311"/>
      <c r="G10" s="1845">
        <f>A12</f>
        <v>12</v>
      </c>
      <c r="H10" s="311" t="s">
        <v>5599</v>
      </c>
      <c r="I10" s="311"/>
      <c r="J10" s="514"/>
      <c r="K10" s="226"/>
      <c r="L10" s="686"/>
      <c r="M10" s="311"/>
      <c r="N10" s="311"/>
      <c r="O10" s="311"/>
      <c r="P10" s="311"/>
      <c r="Q10" s="311"/>
      <c r="R10" s="311"/>
      <c r="S10" s="48"/>
      <c r="T10" s="226"/>
      <c r="U10" s="226"/>
      <c r="V10" s="8"/>
    </row>
    <row r="11" spans="1:22" ht="12" x14ac:dyDescent="0.3">
      <c r="A11" s="17">
        <v>11</v>
      </c>
      <c r="B11" s="17"/>
      <c r="C11" s="687"/>
      <c r="D11" s="1949"/>
      <c r="E11" s="40"/>
      <c r="F11" s="40"/>
      <c r="G11" s="440"/>
      <c r="H11" s="1949"/>
      <c r="I11" s="311"/>
      <c r="J11" s="514"/>
      <c r="K11" s="226"/>
      <c r="L11" s="675" t="s">
        <v>5600</v>
      </c>
      <c r="M11" s="311"/>
      <c r="N11" s="311"/>
      <c r="O11" s="311"/>
      <c r="P11" s="1845">
        <v>49</v>
      </c>
      <c r="Q11" s="311" t="s">
        <v>5601</v>
      </c>
      <c r="R11" s="311"/>
      <c r="S11" s="439"/>
      <c r="T11" s="226"/>
      <c r="U11" s="226"/>
      <c r="V11" s="8"/>
    </row>
    <row r="12" spans="1:22" x14ac:dyDescent="0.25">
      <c r="A12" s="17">
        <v>12</v>
      </c>
      <c r="B12" s="17"/>
      <c r="C12" s="655"/>
      <c r="D12" s="311"/>
      <c r="E12" s="311"/>
      <c r="F12" s="311"/>
      <c r="G12" s="311"/>
      <c r="H12" s="311"/>
      <c r="I12" s="311"/>
      <c r="J12" s="48"/>
      <c r="K12" s="226"/>
      <c r="L12" s="686"/>
      <c r="M12" s="311"/>
      <c r="N12" s="311"/>
      <c r="O12" s="311"/>
      <c r="P12" s="311"/>
      <c r="Q12" s="1949"/>
      <c r="R12" s="40"/>
      <c r="S12" s="48"/>
      <c r="T12" s="226"/>
      <c r="U12" s="226"/>
      <c r="V12" s="8"/>
    </row>
    <row r="13" spans="1:22" x14ac:dyDescent="0.25">
      <c r="A13" s="21" t="s">
        <v>1601</v>
      </c>
      <c r="B13" s="17"/>
      <c r="C13" s="1845" t="str">
        <f>A13</f>
        <v>13B</v>
      </c>
      <c r="D13" s="311" t="s">
        <v>5602</v>
      </c>
      <c r="E13" s="311"/>
      <c r="F13" s="311"/>
      <c r="G13" s="1845" t="str">
        <f>A14</f>
        <v>13C</v>
      </c>
      <c r="H13" s="311" t="s">
        <v>5596</v>
      </c>
      <c r="I13" s="311"/>
      <c r="J13" s="439"/>
      <c r="K13" s="226"/>
      <c r="L13" s="686"/>
      <c r="M13" s="311"/>
      <c r="N13" s="311"/>
      <c r="O13" s="311"/>
      <c r="P13" s="311"/>
      <c r="Q13" s="40"/>
      <c r="R13" s="40"/>
      <c r="S13" s="48"/>
      <c r="T13" s="226"/>
      <c r="U13" s="226"/>
      <c r="V13" s="8"/>
    </row>
    <row r="14" spans="1:22" ht="12" x14ac:dyDescent="0.3">
      <c r="A14" s="21" t="s">
        <v>1605</v>
      </c>
      <c r="B14" s="17"/>
      <c r="C14" s="687"/>
      <c r="D14" s="1949"/>
      <c r="E14" s="311"/>
      <c r="F14" s="311"/>
      <c r="G14" s="440"/>
      <c r="H14" s="1949"/>
      <c r="I14" s="311"/>
      <c r="J14" s="48"/>
      <c r="K14" s="226"/>
      <c r="L14" s="675" t="s">
        <v>5603</v>
      </c>
      <c r="M14" s="311"/>
      <c r="N14" s="311"/>
      <c r="O14" s="311"/>
      <c r="P14" s="311"/>
      <c r="Q14" s="311"/>
      <c r="R14" s="311"/>
      <c r="S14" s="48"/>
      <c r="T14" s="226"/>
      <c r="U14" s="226"/>
      <c r="V14" s="226"/>
    </row>
    <row r="15" spans="1:22" x14ac:dyDescent="0.25">
      <c r="A15" s="17">
        <v>13.4</v>
      </c>
      <c r="B15" s="17"/>
      <c r="C15" s="655"/>
      <c r="D15" s="311"/>
      <c r="E15" s="311"/>
      <c r="F15" s="311"/>
      <c r="G15" s="311"/>
      <c r="H15" s="311"/>
      <c r="I15" s="311"/>
      <c r="J15" s="48"/>
      <c r="K15" s="226"/>
      <c r="L15" s="686"/>
      <c r="M15" s="311"/>
      <c r="N15" s="40"/>
      <c r="O15" s="40"/>
      <c r="P15" s="1845">
        <f>A53</f>
        <v>50</v>
      </c>
      <c r="Q15" s="40" t="s">
        <v>5604</v>
      </c>
      <c r="R15" s="311"/>
      <c r="S15" s="48"/>
      <c r="T15" s="226"/>
      <c r="U15" s="226"/>
      <c r="V15" s="8"/>
    </row>
    <row r="16" spans="1:22" x14ac:dyDescent="0.25">
      <c r="A16" s="17">
        <v>13.5</v>
      </c>
      <c r="B16" s="17"/>
      <c r="C16" s="655"/>
      <c r="D16" s="311"/>
      <c r="E16" s="311"/>
      <c r="F16" s="311"/>
      <c r="G16" s="311"/>
      <c r="H16" s="311"/>
      <c r="I16" s="311"/>
      <c r="J16" s="48"/>
      <c r="K16" s="226"/>
      <c r="L16" s="686"/>
      <c r="M16" s="311"/>
      <c r="N16" s="440"/>
      <c r="O16" s="40"/>
      <c r="P16" s="40"/>
      <c r="Q16" s="1846"/>
      <c r="R16" s="311" t="s">
        <v>5605</v>
      </c>
      <c r="S16" s="48"/>
      <c r="T16" s="226"/>
      <c r="U16" s="226"/>
      <c r="V16" s="8"/>
    </row>
    <row r="17" spans="1:23" ht="12" x14ac:dyDescent="0.3">
      <c r="A17" s="17">
        <v>13.8</v>
      </c>
      <c r="B17" s="17"/>
      <c r="C17" s="675" t="s">
        <v>5606</v>
      </c>
      <c r="D17" s="311"/>
      <c r="E17" s="311"/>
      <c r="F17" s="311"/>
      <c r="G17" s="311"/>
      <c r="H17" s="311"/>
      <c r="I17" s="311"/>
      <c r="J17" s="514"/>
      <c r="K17" s="226"/>
      <c r="L17" s="675" t="s">
        <v>5607</v>
      </c>
      <c r="M17" s="311"/>
      <c r="N17" s="311"/>
      <c r="O17" s="311"/>
      <c r="P17" s="311"/>
      <c r="Q17" s="311"/>
      <c r="R17" s="311"/>
      <c r="S17" s="48"/>
      <c r="T17" s="226"/>
      <c r="U17" s="226"/>
      <c r="V17" s="8"/>
      <c r="W17" s="8"/>
    </row>
    <row r="18" spans="1:23" x14ac:dyDescent="0.25">
      <c r="A18" s="17">
        <v>14</v>
      </c>
      <c r="B18" s="17"/>
      <c r="C18" s="1845">
        <f>A15</f>
        <v>13.4</v>
      </c>
      <c r="D18" s="40" t="s">
        <v>4292</v>
      </c>
      <c r="E18" s="311"/>
      <c r="F18" s="311"/>
      <c r="G18" s="1845">
        <f>A17</f>
        <v>13.8</v>
      </c>
      <c r="H18" s="311" t="s">
        <v>5608</v>
      </c>
      <c r="I18" s="311"/>
      <c r="J18" s="514"/>
      <c r="K18" s="226"/>
      <c r="L18" s="1845">
        <f>A54</f>
        <v>51</v>
      </c>
      <c r="M18" s="40" t="s">
        <v>5609</v>
      </c>
      <c r="N18" s="40"/>
      <c r="O18" s="40"/>
      <c r="P18" s="1845">
        <f>A55</f>
        <v>52</v>
      </c>
      <c r="Q18" s="40" t="s">
        <v>4398</v>
      </c>
      <c r="R18" s="40"/>
      <c r="S18" s="48"/>
      <c r="T18" s="226"/>
      <c r="U18" s="226"/>
      <c r="V18" s="8"/>
      <c r="W18" s="8"/>
    </row>
    <row r="19" spans="1:23" x14ac:dyDescent="0.25">
      <c r="A19" s="17">
        <v>15</v>
      </c>
      <c r="B19" s="17"/>
      <c r="C19" s="687"/>
      <c r="D19" s="1846"/>
      <c r="E19" s="311"/>
      <c r="F19" s="311"/>
      <c r="G19" s="440"/>
      <c r="H19" s="1949"/>
      <c r="I19" s="311"/>
      <c r="J19" s="514"/>
      <c r="K19" s="226"/>
      <c r="L19" s="687"/>
      <c r="M19" s="1846"/>
      <c r="N19" s="440"/>
      <c r="O19" s="40"/>
      <c r="P19" s="40"/>
      <c r="Q19" s="1863"/>
      <c r="R19" s="40"/>
      <c r="S19" s="48"/>
      <c r="T19" s="226"/>
      <c r="U19" s="226"/>
      <c r="V19" s="8"/>
      <c r="W19" s="8"/>
    </row>
    <row r="20" spans="1:23" x14ac:dyDescent="0.25">
      <c r="A20" s="17">
        <v>16</v>
      </c>
      <c r="B20" s="17"/>
      <c r="C20" s="655"/>
      <c r="D20" s="311"/>
      <c r="E20" s="311"/>
      <c r="F20" s="311"/>
      <c r="G20" s="311"/>
      <c r="H20" s="311"/>
      <c r="I20" s="311"/>
      <c r="J20" s="514"/>
      <c r="K20" s="226"/>
      <c r="L20" s="1827"/>
      <c r="M20" s="1802"/>
      <c r="N20" s="1802"/>
      <c r="O20" s="1802"/>
      <c r="P20" s="1889"/>
      <c r="Q20" s="1802"/>
      <c r="R20" s="1802"/>
      <c r="S20" s="1803"/>
      <c r="T20" s="226"/>
      <c r="U20" s="226"/>
      <c r="V20" s="8"/>
      <c r="W20" s="8"/>
    </row>
    <row r="21" spans="1:23" x14ac:dyDescent="0.25">
      <c r="A21" s="89">
        <v>17</v>
      </c>
      <c r="B21" s="17"/>
      <c r="C21" s="1845">
        <f>A16</f>
        <v>13.5</v>
      </c>
      <c r="D21" s="311" t="s">
        <v>5610</v>
      </c>
      <c r="E21" s="311"/>
      <c r="F21" s="311"/>
      <c r="G21" s="311"/>
      <c r="H21" s="311"/>
      <c r="I21" s="311"/>
      <c r="J21" s="514"/>
      <c r="K21" s="226"/>
      <c r="L21" s="226"/>
      <c r="M21" s="226"/>
      <c r="N21" s="226"/>
      <c r="O21" s="226"/>
      <c r="P21" s="226"/>
      <c r="Q21" s="226"/>
      <c r="R21" s="226"/>
      <c r="S21" s="226"/>
      <c r="T21" s="226"/>
      <c r="U21" s="226"/>
      <c r="V21" s="8"/>
      <c r="W21" s="8"/>
    </row>
    <row r="22" spans="1:23" x14ac:dyDescent="0.25">
      <c r="A22" s="1090">
        <v>17</v>
      </c>
      <c r="B22" s="17"/>
      <c r="C22" s="655"/>
      <c r="D22" s="1949"/>
      <c r="E22" s="311"/>
      <c r="F22" s="311"/>
      <c r="G22" s="311"/>
      <c r="H22" s="311"/>
      <c r="I22" s="311"/>
      <c r="J22" s="514"/>
      <c r="K22" s="226"/>
      <c r="L22" s="226"/>
      <c r="M22" s="226"/>
      <c r="N22" s="226"/>
      <c r="O22" s="226"/>
      <c r="P22" s="226"/>
      <c r="Q22" s="226"/>
      <c r="R22" s="226"/>
      <c r="S22" s="226"/>
      <c r="T22" s="226"/>
      <c r="U22" s="226"/>
      <c r="V22" s="8"/>
      <c r="W22" s="8"/>
    </row>
    <row r="23" spans="1:23" ht="12" x14ac:dyDescent="0.3">
      <c r="A23" s="89">
        <v>18</v>
      </c>
      <c r="B23" s="17"/>
      <c r="C23" s="655"/>
      <c r="D23" s="311"/>
      <c r="E23" s="311"/>
      <c r="F23" s="311"/>
      <c r="G23" s="311"/>
      <c r="H23" s="311"/>
      <c r="I23" s="311"/>
      <c r="J23" s="514"/>
      <c r="K23" s="226"/>
      <c r="L23" s="831" t="s">
        <v>5611</v>
      </c>
      <c r="M23" s="512"/>
      <c r="N23" s="512"/>
      <c r="O23" s="512"/>
      <c r="P23" s="512"/>
      <c r="Q23" s="512"/>
      <c r="R23" s="512"/>
      <c r="S23" s="1857" t="s">
        <v>37</v>
      </c>
      <c r="T23" s="226"/>
      <c r="U23" s="226"/>
      <c r="V23" s="8"/>
      <c r="W23" s="8"/>
    </row>
    <row r="24" spans="1:23" x14ac:dyDescent="0.25">
      <c r="A24" s="89">
        <v>19</v>
      </c>
      <c r="B24" s="17"/>
      <c r="C24" s="655"/>
      <c r="D24" s="311"/>
      <c r="E24" s="311"/>
      <c r="F24" s="311"/>
      <c r="G24" s="311"/>
      <c r="H24" s="311"/>
      <c r="I24" s="311"/>
      <c r="J24" s="48"/>
      <c r="K24" s="226"/>
      <c r="L24" s="513"/>
      <c r="M24" s="311"/>
      <c r="N24" s="311"/>
      <c r="O24" s="311"/>
      <c r="P24" s="311"/>
      <c r="Q24" s="311"/>
      <c r="R24" s="311"/>
      <c r="S24" s="514"/>
      <c r="T24" s="226"/>
      <c r="U24" s="226"/>
      <c r="V24" s="8" t="s">
        <v>5612</v>
      </c>
      <c r="W24" s="59" t="b">
        <v>0</v>
      </c>
    </row>
    <row r="25" spans="1:23" ht="12" x14ac:dyDescent="0.3">
      <c r="A25" s="17">
        <v>20</v>
      </c>
      <c r="B25" s="17"/>
      <c r="C25" s="675" t="s">
        <v>5613</v>
      </c>
      <c r="D25" s="40"/>
      <c r="E25" s="40"/>
      <c r="F25" s="40"/>
      <c r="G25" s="40"/>
      <c r="H25" s="40"/>
      <c r="I25" s="40"/>
      <c r="J25" s="439"/>
      <c r="K25" s="226"/>
      <c r="L25" s="1850"/>
      <c r="M25" s="311" t="s">
        <v>5614</v>
      </c>
      <c r="N25" s="311"/>
      <c r="O25" s="311"/>
      <c r="P25" s="311"/>
      <c r="Q25" s="311"/>
      <c r="R25" s="311"/>
      <c r="S25" s="514"/>
      <c r="T25" s="226"/>
      <c r="U25" s="226"/>
      <c r="V25" s="8"/>
      <c r="W25" s="8"/>
    </row>
    <row r="26" spans="1:23" x14ac:dyDescent="0.25">
      <c r="A26" s="17">
        <v>21</v>
      </c>
      <c r="B26" s="17"/>
      <c r="C26" s="1845">
        <f>A21</f>
        <v>17</v>
      </c>
      <c r="D26" s="311" t="s">
        <v>5615</v>
      </c>
      <c r="E26" s="441"/>
      <c r="F26" s="441"/>
      <c r="G26" s="1845">
        <f>A24</f>
        <v>19</v>
      </c>
      <c r="H26" s="311" t="s">
        <v>4294</v>
      </c>
      <c r="I26" s="441"/>
      <c r="J26" s="48"/>
      <c r="K26" s="226"/>
      <c r="L26" s="1845">
        <f>A56</f>
        <v>52.1</v>
      </c>
      <c r="M26" s="311" t="s">
        <v>5616</v>
      </c>
      <c r="N26" s="311"/>
      <c r="O26" s="311"/>
      <c r="P26" s="1845">
        <f>A58</f>
        <v>52.3</v>
      </c>
      <c r="Q26" s="311" t="s">
        <v>5617</v>
      </c>
      <c r="R26" s="311"/>
      <c r="S26" s="514"/>
      <c r="T26" s="226"/>
      <c r="U26" s="226"/>
      <c r="V26" s="8"/>
      <c r="W26" s="8"/>
    </row>
    <row r="27" spans="1:23" x14ac:dyDescent="0.25">
      <c r="A27" s="17">
        <v>22</v>
      </c>
      <c r="B27" s="17"/>
      <c r="C27" s="687"/>
      <c r="D27" s="1949"/>
      <c r="E27" s="40"/>
      <c r="F27" s="40"/>
      <c r="G27" s="440"/>
      <c r="H27" s="1949"/>
      <c r="I27" s="40"/>
      <c r="J27" s="48"/>
      <c r="K27" s="226"/>
      <c r="L27" s="513"/>
      <c r="M27" s="1846"/>
      <c r="N27" s="311"/>
      <c r="O27" s="311"/>
      <c r="P27" s="311"/>
      <c r="Q27" s="311"/>
      <c r="R27" s="311"/>
      <c r="S27" s="514"/>
      <c r="T27" s="226"/>
      <c r="U27" s="226"/>
      <c r="V27" s="8"/>
      <c r="W27" s="8"/>
    </row>
    <row r="28" spans="1:23" x14ac:dyDescent="0.25">
      <c r="A28" s="17">
        <v>23</v>
      </c>
      <c r="B28" s="226"/>
      <c r="C28" s="655"/>
      <c r="D28" s="40"/>
      <c r="E28" s="40"/>
      <c r="F28" s="40"/>
      <c r="G28" s="40"/>
      <c r="H28" s="40"/>
      <c r="I28" s="40"/>
      <c r="J28" s="48"/>
      <c r="K28" s="226"/>
      <c r="L28" s="513"/>
      <c r="M28" s="311"/>
      <c r="N28" s="311"/>
      <c r="O28" s="311"/>
      <c r="P28" s="311"/>
      <c r="Q28" s="311"/>
      <c r="R28" s="311"/>
      <c r="S28" s="514"/>
      <c r="T28" s="226"/>
      <c r="U28" s="226"/>
      <c r="V28" s="8"/>
      <c r="W28" s="8"/>
    </row>
    <row r="29" spans="1:23" x14ac:dyDescent="0.25">
      <c r="A29" s="17">
        <v>24</v>
      </c>
      <c r="B29" s="226"/>
      <c r="C29" s="1951">
        <f>A22</f>
        <v>17</v>
      </c>
      <c r="D29" s="311" t="s">
        <v>5596</v>
      </c>
      <c r="E29" s="311"/>
      <c r="F29" s="311"/>
      <c r="G29" s="40"/>
      <c r="H29" s="40"/>
      <c r="I29" s="40"/>
      <c r="J29" s="48"/>
      <c r="K29" s="226"/>
      <c r="L29" s="513"/>
      <c r="M29" s="311"/>
      <c r="N29" s="311"/>
      <c r="O29" s="311"/>
      <c r="P29" s="311"/>
      <c r="Q29" s="311"/>
      <c r="R29" s="311"/>
      <c r="S29" s="514"/>
      <c r="T29" s="226"/>
      <c r="U29" s="226"/>
      <c r="V29" s="8"/>
      <c r="W29" s="8"/>
    </row>
    <row r="30" spans="1:23" x14ac:dyDescent="0.25">
      <c r="A30" s="17">
        <v>25</v>
      </c>
      <c r="B30" s="226"/>
      <c r="C30" s="687"/>
      <c r="D30" s="1949"/>
      <c r="E30" s="40"/>
      <c r="F30" s="40"/>
      <c r="G30" s="40"/>
      <c r="H30" s="40"/>
      <c r="I30" s="40"/>
      <c r="J30" s="48"/>
      <c r="K30" s="226"/>
      <c r="L30" s="513"/>
      <c r="M30" s="311"/>
      <c r="N30" s="311"/>
      <c r="O30" s="311"/>
      <c r="P30" s="1845">
        <f>A59</f>
        <v>52.4</v>
      </c>
      <c r="Q30" s="311" t="str">
        <f>"Tax on gains in boxes "&amp;L26&amp;" and "&amp;L34&amp;" already charged"</f>
        <v>Tax on gains in boxes 52.1 and 52.2 already charged</v>
      </c>
      <c r="R30" s="311"/>
      <c r="S30" s="514"/>
      <c r="T30" s="226"/>
      <c r="U30" s="226"/>
      <c r="V30" s="8"/>
      <c r="W30" s="8"/>
    </row>
    <row r="31" spans="1:23" x14ac:dyDescent="0.25">
      <c r="A31" s="89">
        <v>26</v>
      </c>
      <c r="B31" s="226"/>
      <c r="C31" s="655"/>
      <c r="D31" s="40"/>
      <c r="E31" s="40"/>
      <c r="F31" s="40"/>
      <c r="G31" s="40"/>
      <c r="H31" s="40"/>
      <c r="I31" s="40"/>
      <c r="J31" s="48"/>
      <c r="K31" s="226"/>
      <c r="L31" s="661"/>
      <c r="M31" s="311"/>
      <c r="N31" s="311"/>
      <c r="O31" s="311"/>
      <c r="P31" s="1847"/>
      <c r="Q31" s="1846"/>
      <c r="R31" s="311"/>
      <c r="S31" s="514"/>
      <c r="T31" s="226"/>
      <c r="U31" s="226"/>
      <c r="V31" s="8"/>
      <c r="W31" s="8"/>
    </row>
    <row r="32" spans="1:23" x14ac:dyDescent="0.25">
      <c r="A32" s="89">
        <v>26.1</v>
      </c>
      <c r="B32" s="226"/>
      <c r="C32" s="655"/>
      <c r="D32" s="311"/>
      <c r="E32" s="311"/>
      <c r="F32" s="311"/>
      <c r="G32" s="1845">
        <f>A27</f>
        <v>22</v>
      </c>
      <c r="H32" s="311" t="s">
        <v>5618</v>
      </c>
      <c r="I32" s="311"/>
      <c r="J32" s="439"/>
      <c r="K32" s="226"/>
      <c r="L32" s="513"/>
      <c r="M32" s="311"/>
      <c r="N32" s="311"/>
      <c r="O32" s="311"/>
      <c r="P32" s="311"/>
      <c r="Q32" s="311"/>
      <c r="R32" s="311"/>
      <c r="S32" s="514"/>
      <c r="T32" s="226"/>
      <c r="U32" s="226"/>
      <c r="V32" s="8"/>
      <c r="W32" s="8"/>
    </row>
    <row r="33" spans="1:21" x14ac:dyDescent="0.25">
      <c r="A33" s="89">
        <v>27</v>
      </c>
      <c r="B33" s="226"/>
      <c r="C33" s="655"/>
      <c r="D33" s="311"/>
      <c r="E33" s="311"/>
      <c r="F33" s="311"/>
      <c r="G33" s="440"/>
      <c r="H33" s="1949"/>
      <c r="I33" s="311"/>
      <c r="J33" s="48"/>
      <c r="K33" s="226"/>
      <c r="L33" s="513"/>
      <c r="M33" s="311" t="s">
        <v>5619</v>
      </c>
      <c r="N33" s="311"/>
      <c r="O33" s="311"/>
      <c r="P33" s="1851"/>
      <c r="Q33" s="311"/>
      <c r="R33" s="311"/>
      <c r="S33" s="514"/>
      <c r="T33" s="226"/>
      <c r="U33" s="226"/>
    </row>
    <row r="34" spans="1:21" x14ac:dyDescent="0.25">
      <c r="A34" s="226"/>
      <c r="B34" s="226"/>
      <c r="C34" s="655"/>
      <c r="D34" s="311"/>
      <c r="E34" s="311"/>
      <c r="F34" s="311"/>
      <c r="G34" s="311"/>
      <c r="H34" s="311"/>
      <c r="I34" s="311"/>
      <c r="J34" s="48"/>
      <c r="K34" s="226"/>
      <c r="L34" s="1845">
        <f>A57</f>
        <v>52.2</v>
      </c>
      <c r="M34" s="311" t="s">
        <v>5616</v>
      </c>
      <c r="N34" s="311"/>
      <c r="O34" s="311"/>
      <c r="P34" s="1845">
        <f>A60</f>
        <v>52.5</v>
      </c>
      <c r="Q34" s="311" t="s">
        <v>5620</v>
      </c>
      <c r="R34" s="311"/>
      <c r="S34" s="514"/>
      <c r="T34" s="226"/>
      <c r="U34" s="226"/>
    </row>
    <row r="35" spans="1:21" ht="12" x14ac:dyDescent="0.3">
      <c r="A35" s="310">
        <v>30</v>
      </c>
      <c r="B35" s="226"/>
      <c r="C35" s="675" t="s">
        <v>5621</v>
      </c>
      <c r="D35" s="40"/>
      <c r="E35" s="40"/>
      <c r="F35" s="40"/>
      <c r="G35" s="40"/>
      <c r="H35" s="40"/>
      <c r="I35" s="40"/>
      <c r="J35" s="48"/>
      <c r="K35" s="226"/>
      <c r="L35" s="513"/>
      <c r="M35" s="1846"/>
      <c r="N35" s="311"/>
      <c r="O35" s="311"/>
      <c r="P35" s="1952"/>
      <c r="Q35" s="1846"/>
      <c r="R35" s="311"/>
      <c r="S35" s="514"/>
      <c r="T35" s="226"/>
      <c r="U35" s="226"/>
    </row>
    <row r="36" spans="1:21" x14ac:dyDescent="0.25">
      <c r="A36" s="226"/>
      <c r="B36" s="226"/>
      <c r="C36" s="1845">
        <f>A31</f>
        <v>26</v>
      </c>
      <c r="D36" s="40" t="s">
        <v>4292</v>
      </c>
      <c r="E36" s="40"/>
      <c r="F36" s="40"/>
      <c r="G36" s="1845">
        <f>A33</f>
        <v>27</v>
      </c>
      <c r="H36" s="311" t="s">
        <v>4294</v>
      </c>
      <c r="I36" s="311"/>
      <c r="J36" s="48"/>
      <c r="K36" s="226"/>
      <c r="L36" s="513"/>
      <c r="M36" s="311"/>
      <c r="N36" s="311"/>
      <c r="O36" s="311"/>
      <c r="P36" s="311"/>
      <c r="Q36" s="311"/>
      <c r="R36" s="311"/>
      <c r="S36" s="514"/>
      <c r="T36" s="226"/>
      <c r="U36" s="226"/>
    </row>
    <row r="37" spans="1:21" x14ac:dyDescent="0.25">
      <c r="A37" s="310">
        <v>34</v>
      </c>
      <c r="B37" s="226"/>
      <c r="C37" s="687"/>
      <c r="D37" s="1949"/>
      <c r="E37" s="40"/>
      <c r="F37" s="40"/>
      <c r="G37" s="440"/>
      <c r="H37" s="1949"/>
      <c r="I37" s="40"/>
      <c r="J37" s="48"/>
      <c r="K37" s="226"/>
      <c r="L37" s="515"/>
      <c r="M37" s="516"/>
      <c r="N37" s="516"/>
      <c r="O37" s="516"/>
      <c r="P37" s="516"/>
      <c r="Q37" s="516"/>
      <c r="R37" s="516"/>
      <c r="S37" s="517"/>
      <c r="T37" s="226"/>
      <c r="U37" s="226"/>
    </row>
    <row r="38" spans="1:21" x14ac:dyDescent="0.25">
      <c r="A38" s="310">
        <v>34.1</v>
      </c>
      <c r="B38" s="226"/>
      <c r="C38" s="655"/>
      <c r="D38" s="40" t="s">
        <v>5622</v>
      </c>
      <c r="E38" s="40"/>
      <c r="F38" s="40"/>
      <c r="G38" s="40"/>
      <c r="H38" s="40"/>
      <c r="I38" s="40"/>
      <c r="J38" s="48"/>
      <c r="K38" s="226"/>
      <c r="L38" s="226"/>
      <c r="M38" s="226"/>
      <c r="N38" s="226"/>
      <c r="O38" s="226"/>
      <c r="P38" s="226"/>
      <c r="Q38" s="226"/>
      <c r="R38" s="226"/>
      <c r="S38" s="226"/>
      <c r="T38" s="226"/>
      <c r="U38" s="226"/>
    </row>
    <row r="39" spans="1:21" x14ac:dyDescent="0.25">
      <c r="A39" s="310">
        <v>35</v>
      </c>
      <c r="B39" s="226"/>
      <c r="C39" s="1845">
        <f>A32</f>
        <v>26.1</v>
      </c>
      <c r="D39" s="40" t="s">
        <v>5623</v>
      </c>
      <c r="E39" s="311"/>
      <c r="F39" s="311"/>
      <c r="G39" s="1845">
        <f>A35</f>
        <v>30</v>
      </c>
      <c r="H39" s="311" t="s">
        <v>5624</v>
      </c>
      <c r="I39" s="311"/>
      <c r="J39" s="439"/>
      <c r="K39" s="226"/>
      <c r="L39" s="226"/>
      <c r="M39" s="226"/>
      <c r="N39" s="226"/>
      <c r="O39" s="226"/>
      <c r="P39" s="226"/>
      <c r="Q39" s="226"/>
      <c r="R39" s="226"/>
      <c r="S39" s="226"/>
      <c r="T39" s="226"/>
      <c r="U39" s="226"/>
    </row>
    <row r="40" spans="1:21" x14ac:dyDescent="0.25">
      <c r="A40" s="226"/>
      <c r="B40" s="226"/>
      <c r="C40" s="687"/>
      <c r="D40" s="1949"/>
      <c r="E40" s="311"/>
      <c r="F40" s="311"/>
      <c r="G40" s="440"/>
      <c r="H40" s="1949"/>
      <c r="I40" s="311"/>
      <c r="J40" s="48"/>
      <c r="K40" s="226"/>
      <c r="L40" s="226"/>
      <c r="M40" s="226"/>
      <c r="N40" s="226"/>
      <c r="O40" s="226"/>
      <c r="P40" s="226"/>
      <c r="Q40" s="226"/>
      <c r="R40" s="226"/>
      <c r="S40" s="226"/>
      <c r="T40" s="226"/>
      <c r="U40" s="226"/>
    </row>
    <row r="41" spans="1:21" x14ac:dyDescent="0.25">
      <c r="A41" s="310">
        <v>38</v>
      </c>
      <c r="B41" s="226"/>
      <c r="C41" s="655"/>
      <c r="D41" s="311"/>
      <c r="E41" s="311"/>
      <c r="F41" s="311"/>
      <c r="G41" s="311"/>
      <c r="H41" s="311"/>
      <c r="I41" s="311"/>
      <c r="J41" s="48"/>
      <c r="K41" s="226"/>
      <c r="L41" s="226"/>
      <c r="M41" s="226"/>
      <c r="N41" s="759"/>
      <c r="O41" s="226"/>
      <c r="P41" s="226"/>
      <c r="Q41" s="226"/>
      <c r="R41" s="226"/>
      <c r="S41" s="226"/>
      <c r="T41" s="226"/>
      <c r="U41" s="226"/>
    </row>
    <row r="42" spans="1:21" ht="12" x14ac:dyDescent="0.3">
      <c r="A42" s="310">
        <v>39</v>
      </c>
      <c r="B42" s="226"/>
      <c r="C42" s="675" t="s">
        <v>5625</v>
      </c>
      <c r="D42" s="40"/>
      <c r="E42" s="440"/>
      <c r="F42" s="440"/>
      <c r="G42" s="311"/>
      <c r="H42" s="311"/>
      <c r="I42" s="40"/>
      <c r="J42" s="48"/>
      <c r="K42" s="226"/>
      <c r="L42" s="226"/>
      <c r="M42" s="226"/>
      <c r="N42" s="226"/>
      <c r="O42" s="226"/>
      <c r="P42" s="226"/>
      <c r="Q42" s="226"/>
      <c r="R42" s="226"/>
      <c r="S42" s="226"/>
      <c r="T42" s="226"/>
      <c r="U42" s="226"/>
    </row>
    <row r="43" spans="1:21" x14ac:dyDescent="0.25">
      <c r="A43" s="310">
        <v>40</v>
      </c>
      <c r="B43" s="226"/>
      <c r="C43" s="1845">
        <f>A37</f>
        <v>34</v>
      </c>
      <c r="D43" s="40" t="s">
        <v>4292</v>
      </c>
      <c r="E43" s="40"/>
      <c r="F43" s="440"/>
      <c r="G43" s="1845">
        <f>A38</f>
        <v>34.1</v>
      </c>
      <c r="H43" s="311" t="s">
        <v>5596</v>
      </c>
      <c r="I43" s="40"/>
      <c r="J43" s="439"/>
      <c r="K43" s="226"/>
      <c r="L43" s="226"/>
      <c r="M43" s="226"/>
      <c r="N43" s="226"/>
      <c r="O43" s="226"/>
      <c r="P43" s="226"/>
      <c r="Q43" s="226"/>
      <c r="R43" s="226"/>
      <c r="S43" s="226"/>
      <c r="T43" s="226"/>
      <c r="U43" s="226"/>
    </row>
    <row r="44" spans="1:21" x14ac:dyDescent="0.25">
      <c r="A44" s="310">
        <v>41</v>
      </c>
      <c r="B44" s="226"/>
      <c r="C44" s="687"/>
      <c r="D44" s="1949"/>
      <c r="E44" s="440"/>
      <c r="F44" s="440"/>
      <c r="G44" s="440"/>
      <c r="H44" s="1949"/>
      <c r="I44" s="40"/>
      <c r="J44" s="48"/>
      <c r="K44" s="226"/>
      <c r="L44" s="226"/>
      <c r="M44" s="226"/>
      <c r="N44" s="226"/>
      <c r="O44" s="226"/>
      <c r="P44" s="226"/>
      <c r="Q44" s="226"/>
      <c r="R44" s="226"/>
      <c r="S44" s="226"/>
      <c r="T44" s="226"/>
      <c r="U44" s="226"/>
    </row>
    <row r="45" spans="1:21" x14ac:dyDescent="0.25">
      <c r="A45" s="310">
        <v>42</v>
      </c>
      <c r="B45" s="226"/>
      <c r="C45" s="655"/>
      <c r="D45" s="40"/>
      <c r="E45" s="40"/>
      <c r="F45" s="40"/>
      <c r="G45" s="40"/>
      <c r="H45" s="40"/>
      <c r="I45" s="40"/>
      <c r="J45" s="48"/>
      <c r="K45" s="226"/>
      <c r="L45" s="226"/>
      <c r="M45" s="226"/>
      <c r="N45" s="226"/>
      <c r="O45" s="226"/>
      <c r="P45" s="226"/>
      <c r="Q45" s="226"/>
      <c r="R45" s="226"/>
      <c r="S45" s="226"/>
      <c r="T45" s="226"/>
      <c r="U45" s="226"/>
    </row>
    <row r="46" spans="1:21" x14ac:dyDescent="0.25">
      <c r="A46" s="310">
        <v>43</v>
      </c>
      <c r="B46" s="226"/>
      <c r="C46" s="1845">
        <f>A39</f>
        <v>35</v>
      </c>
      <c r="D46" s="311" t="s">
        <v>4294</v>
      </c>
      <c r="E46" s="311"/>
      <c r="F46" s="311"/>
      <c r="G46" s="1845">
        <f>A41</f>
        <v>38</v>
      </c>
      <c r="H46" s="311" t="s">
        <v>5626</v>
      </c>
      <c r="I46" s="311"/>
      <c r="J46" s="439"/>
      <c r="K46" s="226"/>
      <c r="L46" s="226"/>
      <c r="M46" s="226"/>
      <c r="N46" s="226"/>
      <c r="O46" s="226"/>
      <c r="P46" s="226"/>
      <c r="Q46" s="226"/>
      <c r="R46" s="226"/>
      <c r="S46" s="226"/>
      <c r="T46" s="226"/>
      <c r="U46" s="226"/>
    </row>
    <row r="47" spans="1:21" x14ac:dyDescent="0.25">
      <c r="A47" s="226">
        <v>44</v>
      </c>
      <c r="B47" s="226"/>
      <c r="C47" s="687"/>
      <c r="D47" s="1949"/>
      <c r="E47" s="40"/>
      <c r="F47" s="311"/>
      <c r="G47" s="440"/>
      <c r="H47" s="1949"/>
      <c r="I47" s="311"/>
      <c r="J47" s="48"/>
      <c r="K47" s="226"/>
      <c r="L47" s="226"/>
      <c r="M47" s="226"/>
      <c r="N47" s="226"/>
      <c r="O47" s="226"/>
      <c r="P47" s="226"/>
      <c r="Q47" s="226"/>
      <c r="R47" s="226"/>
      <c r="S47" s="226"/>
      <c r="T47" s="226"/>
      <c r="U47" s="226"/>
    </row>
    <row r="48" spans="1:21" x14ac:dyDescent="0.25">
      <c r="A48" s="310">
        <v>45</v>
      </c>
      <c r="B48" s="226"/>
      <c r="C48" s="655"/>
      <c r="D48" s="311"/>
      <c r="E48" s="311"/>
      <c r="F48" s="311"/>
      <c r="G48" s="311"/>
      <c r="H48" s="311"/>
      <c r="I48" s="311"/>
      <c r="J48" s="48"/>
      <c r="K48" s="226"/>
      <c r="L48" s="226"/>
      <c r="M48" s="226"/>
      <c r="N48" s="226"/>
      <c r="O48" s="226"/>
      <c r="P48" s="226"/>
      <c r="Q48" s="226"/>
      <c r="R48" s="226"/>
      <c r="S48" s="226"/>
      <c r="T48" s="226"/>
      <c r="U48" s="226"/>
    </row>
    <row r="49" spans="1:21" x14ac:dyDescent="0.25">
      <c r="A49" s="89">
        <v>46</v>
      </c>
      <c r="B49" s="226"/>
      <c r="C49" s="1845">
        <f>A44</f>
        <v>41</v>
      </c>
      <c r="D49" s="40" t="str">
        <f>"Losses used against income - amount claimed against "&amp;tax_year</f>
        <v>Losses used against income - amount claimed against 2025-26</v>
      </c>
      <c r="E49" s="40"/>
      <c r="F49" s="40"/>
      <c r="G49" s="311"/>
      <c r="H49" s="311"/>
      <c r="I49" s="40"/>
      <c r="J49" s="48"/>
      <c r="K49" s="226"/>
      <c r="L49" s="226"/>
      <c r="M49" s="226"/>
      <c r="N49" s="226"/>
      <c r="O49" s="226"/>
      <c r="P49" s="226"/>
      <c r="Q49" s="226"/>
      <c r="R49" s="226"/>
      <c r="S49" s="226"/>
      <c r="T49" s="226"/>
      <c r="U49" s="226"/>
    </row>
    <row r="50" spans="1:21" x14ac:dyDescent="0.25">
      <c r="A50" s="17">
        <v>47</v>
      </c>
      <c r="B50" s="226"/>
      <c r="C50" s="655"/>
      <c r="D50" s="1949"/>
      <c r="E50" s="311"/>
      <c r="F50" s="311"/>
      <c r="G50" s="311"/>
      <c r="H50" s="311"/>
      <c r="I50" s="40"/>
      <c r="J50" s="48"/>
      <c r="K50" s="226"/>
      <c r="L50" s="226"/>
      <c r="M50" s="226"/>
      <c r="N50" s="226"/>
      <c r="O50" s="226"/>
      <c r="P50" s="226"/>
      <c r="Q50" s="226"/>
      <c r="R50" s="226"/>
      <c r="S50" s="226"/>
      <c r="T50" s="226"/>
      <c r="U50" s="226"/>
    </row>
    <row r="51" spans="1:21" x14ac:dyDescent="0.25">
      <c r="A51" s="310">
        <v>48</v>
      </c>
      <c r="B51" s="226"/>
      <c r="C51" s="655"/>
      <c r="D51" s="40"/>
      <c r="E51" s="40"/>
      <c r="F51" s="40"/>
      <c r="G51" s="40"/>
      <c r="H51" s="40"/>
      <c r="I51" s="40"/>
      <c r="J51" s="48"/>
      <c r="K51" s="226"/>
      <c r="L51" s="226"/>
      <c r="M51" s="226"/>
      <c r="N51" s="226"/>
      <c r="O51" s="226"/>
      <c r="P51" s="226"/>
      <c r="Q51" s="226"/>
      <c r="R51" s="226"/>
      <c r="S51" s="226"/>
      <c r="T51" s="226"/>
      <c r="U51" s="226"/>
    </row>
    <row r="52" spans="1:21" x14ac:dyDescent="0.25">
      <c r="A52" s="226">
        <v>49</v>
      </c>
      <c r="B52" s="226"/>
      <c r="C52" s="1845">
        <f>A45</f>
        <v>42</v>
      </c>
      <c r="D52" s="311" t="str">
        <f>"Amount in box "&amp;C49&amp;" to which EIS/SEIS relief"</f>
        <v>Amount in box 41 to which EIS/SEIS relief</v>
      </c>
      <c r="E52" s="40"/>
      <c r="F52" s="40"/>
      <c r="G52" s="1845">
        <f>A46</f>
        <v>43</v>
      </c>
      <c r="H52" s="40" t="str">
        <f>"Losses used against income - amount claimed against "&amp;last_year</f>
        <v>Losses used against income - amount claimed against 2024-25</v>
      </c>
      <c r="I52" s="40"/>
      <c r="J52" s="48"/>
      <c r="K52" s="226"/>
      <c r="L52" s="226"/>
      <c r="M52" s="226"/>
      <c r="N52" s="226"/>
      <c r="O52" s="226"/>
      <c r="P52" s="226"/>
      <c r="Q52" s="226"/>
      <c r="R52" s="226"/>
      <c r="S52" s="226"/>
      <c r="T52" s="226"/>
      <c r="U52" s="226"/>
    </row>
    <row r="53" spans="1:21" x14ac:dyDescent="0.25">
      <c r="A53" s="310">
        <v>50</v>
      </c>
      <c r="B53" s="226"/>
      <c r="C53" s="655"/>
      <c r="D53" s="1949"/>
      <c r="E53" s="40"/>
      <c r="F53" s="40"/>
      <c r="G53" s="440"/>
      <c r="H53" s="1949"/>
      <c r="I53" s="40"/>
      <c r="J53" s="48"/>
      <c r="K53" s="226"/>
      <c r="L53" s="226"/>
      <c r="M53" s="226"/>
      <c r="N53" s="226"/>
      <c r="O53" s="226"/>
      <c r="P53" s="226"/>
      <c r="Q53" s="226"/>
      <c r="R53" s="226"/>
      <c r="S53" s="226"/>
      <c r="T53" s="226"/>
      <c r="U53" s="226"/>
    </row>
    <row r="54" spans="1:21" x14ac:dyDescent="0.25">
      <c r="A54" s="310">
        <v>51</v>
      </c>
      <c r="B54" s="226"/>
      <c r="C54" s="1827"/>
      <c r="D54" s="1802"/>
      <c r="E54" s="1802"/>
      <c r="F54" s="1802"/>
      <c r="G54" s="1889"/>
      <c r="H54" s="1802"/>
      <c r="I54" s="1802"/>
      <c r="J54" s="1803"/>
      <c r="K54" s="226"/>
      <c r="L54" s="226"/>
      <c r="M54" s="226"/>
      <c r="N54" s="226"/>
      <c r="O54" s="226"/>
      <c r="P54" s="226"/>
      <c r="Q54" s="226"/>
      <c r="R54" s="226"/>
      <c r="S54" s="226"/>
      <c r="T54" s="226"/>
      <c r="U54" s="226"/>
    </row>
    <row r="55" spans="1:21" x14ac:dyDescent="0.25">
      <c r="A55" s="310">
        <v>52</v>
      </c>
      <c r="B55" s="226"/>
      <c r="C55" s="226"/>
      <c r="D55" s="226"/>
      <c r="E55" s="226"/>
      <c r="F55" s="226"/>
      <c r="G55" s="226"/>
      <c r="H55" s="226"/>
      <c r="I55" s="226"/>
      <c r="J55" s="226"/>
      <c r="K55" s="226"/>
      <c r="L55" s="226"/>
      <c r="M55" s="226"/>
      <c r="N55" s="226"/>
      <c r="O55" s="226"/>
      <c r="P55" s="226"/>
      <c r="Q55" s="226"/>
      <c r="R55" s="226"/>
      <c r="S55" s="226"/>
      <c r="T55" s="226"/>
      <c r="U55" s="226"/>
    </row>
    <row r="56" spans="1:21" x14ac:dyDescent="0.25">
      <c r="A56" s="226">
        <v>52.1</v>
      </c>
      <c r="B56" s="8"/>
      <c r="C56" s="8"/>
      <c r="D56" s="8"/>
      <c r="E56" s="8"/>
      <c r="F56" s="8"/>
      <c r="G56" s="8"/>
      <c r="H56" s="8"/>
      <c r="I56" s="8"/>
      <c r="J56" s="8"/>
      <c r="K56" s="8"/>
      <c r="L56" s="8"/>
      <c r="M56" s="8"/>
      <c r="N56" s="8"/>
      <c r="O56" s="8"/>
      <c r="P56" s="8"/>
      <c r="Q56" s="8"/>
      <c r="R56" s="8"/>
      <c r="S56" s="8"/>
      <c r="T56" s="8"/>
      <c r="U56" s="8"/>
    </row>
    <row r="57" spans="1:21" x14ac:dyDescent="0.25">
      <c r="A57" s="226">
        <v>52.2</v>
      </c>
      <c r="B57" s="8"/>
      <c r="C57" s="8"/>
      <c r="D57" s="8"/>
      <c r="E57" s="8"/>
      <c r="F57" s="8"/>
      <c r="G57" s="8"/>
      <c r="H57" s="8"/>
      <c r="I57" s="8"/>
      <c r="J57" s="8"/>
      <c r="K57" s="8"/>
      <c r="L57" s="8"/>
      <c r="M57" s="8"/>
      <c r="N57" s="8"/>
      <c r="O57" s="8"/>
      <c r="P57" s="8"/>
      <c r="Q57" s="8"/>
      <c r="R57" s="8"/>
      <c r="S57" s="8"/>
      <c r="T57" s="8"/>
      <c r="U57" s="8"/>
    </row>
    <row r="58" spans="1:21" x14ac:dyDescent="0.25">
      <c r="A58" s="226">
        <v>52.3</v>
      </c>
      <c r="B58" s="8"/>
      <c r="C58" s="8"/>
      <c r="D58" s="8"/>
      <c r="E58" s="8"/>
      <c r="F58" s="8"/>
      <c r="G58" s="8"/>
      <c r="H58" s="8"/>
      <c r="I58" s="8"/>
      <c r="J58" s="8"/>
      <c r="K58" s="8"/>
      <c r="L58" s="8"/>
      <c r="M58" s="8"/>
      <c r="N58" s="8"/>
      <c r="O58" s="8"/>
      <c r="P58" s="8"/>
      <c r="Q58" s="8"/>
      <c r="R58" s="8"/>
      <c r="S58" s="8"/>
      <c r="T58" s="8"/>
      <c r="U58" s="8"/>
    </row>
    <row r="59" spans="1:21" x14ac:dyDescent="0.25">
      <c r="A59" s="226">
        <v>52.4</v>
      </c>
      <c r="B59" s="8"/>
      <c r="C59" s="8"/>
      <c r="D59" s="8"/>
      <c r="E59" s="8"/>
      <c r="F59" s="8"/>
      <c r="G59" s="8"/>
      <c r="H59" s="8"/>
      <c r="I59" s="8"/>
      <c r="J59" s="8"/>
      <c r="K59" s="8"/>
      <c r="L59" s="8"/>
      <c r="M59" s="8"/>
      <c r="N59" s="8"/>
      <c r="O59" s="8"/>
      <c r="P59" s="8"/>
      <c r="Q59" s="8"/>
      <c r="R59" s="8"/>
      <c r="S59" s="8"/>
      <c r="T59" s="8"/>
      <c r="U59" s="8"/>
    </row>
    <row r="60" spans="1:21" x14ac:dyDescent="0.25">
      <c r="A60" s="226">
        <v>52.5</v>
      </c>
      <c r="B60" s="8"/>
      <c r="C60" s="8"/>
      <c r="D60" s="8"/>
      <c r="E60" s="8"/>
      <c r="F60" s="8"/>
      <c r="G60" s="8"/>
      <c r="H60" s="8"/>
      <c r="I60" s="8"/>
      <c r="J60" s="8"/>
      <c r="K60" s="8"/>
      <c r="L60" s="8"/>
      <c r="M60" s="8"/>
      <c r="N60" s="8"/>
      <c r="O60" s="8"/>
      <c r="P60" s="8"/>
      <c r="Q60" s="8"/>
      <c r="R60" s="8"/>
      <c r="S60" s="8"/>
      <c r="T60" s="8"/>
      <c r="U60" s="8"/>
    </row>
  </sheetData>
  <phoneticPr fontId="58" type="noConversion"/>
  <pageMargins left="0.196850393700787" right="0.196850393700787" top="0.196850393700787" bottom="0.196850393700787" header="0" footer="0"/>
  <pageSetup paperSize="9" orientation="landscape" horizontalDpi="1200" verticalDpi="1200"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6308" r:id="rId4" name="Check Box 4">
              <controlPr defaultSize="0" autoFill="0" autoLine="0" autoPict="0">
                <anchor moveWithCells="1">
                  <from>
                    <xdr:col>15</xdr:col>
                    <xdr:colOff>298450</xdr:colOff>
                    <xdr:row>25</xdr:row>
                    <xdr:rowOff>114300</xdr:rowOff>
                  </from>
                  <to>
                    <xdr:col>16</xdr:col>
                    <xdr:colOff>260350</xdr:colOff>
                    <xdr:row>27</xdr:row>
                    <xdr:rowOff>31750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1"/>
  <dimension ref="A1:Z76"/>
  <sheetViews>
    <sheetView showGridLines="0" topLeftCell="B1" zoomScale="112" zoomScaleNormal="112" workbookViewId="0">
      <selection activeCell="I17" sqref="I17"/>
    </sheetView>
  </sheetViews>
  <sheetFormatPr defaultColWidth="9.1796875" defaultRowHeight="11.5" x14ac:dyDescent="0.25"/>
  <cols>
    <col min="1" max="1" width="8.453125" style="8" hidden="1" customWidth="1"/>
    <col min="2" max="2" width="1.54296875" style="8" customWidth="1"/>
    <col min="3" max="3" width="4.54296875" style="8" customWidth="1"/>
    <col min="4" max="4" width="13.54296875" style="22" customWidth="1"/>
    <col min="5" max="5" width="7" style="8" customWidth="1"/>
    <col min="6" max="6" width="6.54296875" style="8" customWidth="1"/>
    <col min="7" max="7" width="5.453125" style="8" customWidth="1"/>
    <col min="8" max="8" width="15.1796875" style="8" customWidth="1"/>
    <col min="9" max="9" width="7.54296875" style="8" customWidth="1"/>
    <col min="10" max="10" width="5.1796875" style="8" customWidth="1"/>
    <col min="11" max="11" width="5.453125" style="8" customWidth="1"/>
    <col min="12" max="12" width="13.54296875" style="8" customWidth="1"/>
    <col min="13" max="13" width="5.1796875" style="8" customWidth="1"/>
    <col min="14" max="14" width="4.1796875" style="8" customWidth="1"/>
    <col min="15" max="15" width="6" style="8" customWidth="1"/>
    <col min="16" max="16" width="13.81640625" style="8" customWidth="1"/>
    <col min="17" max="17" width="14.453125" style="8" customWidth="1"/>
    <col min="18" max="18" width="6" style="8" customWidth="1"/>
    <col min="19" max="19" width="13.54296875" style="8" customWidth="1"/>
    <col min="20" max="20" width="9.1796875" style="8"/>
    <col min="21" max="21" width="15.7265625" style="8" customWidth="1"/>
    <col min="22" max="22" width="6" style="8" customWidth="1"/>
    <col min="23" max="23" width="13.54296875" style="8" customWidth="1"/>
    <col min="24" max="24" width="14.453125" style="8" customWidth="1"/>
    <col min="25" max="25" width="9.1796875" style="8"/>
    <col min="26" max="26" width="0" style="8" hidden="1" customWidth="1"/>
    <col min="27" max="16384" width="9.1796875" style="8"/>
  </cols>
  <sheetData>
    <row r="1" spans="1:25" ht="7.4" customHeight="1" x14ac:dyDescent="0.25">
      <c r="A1" s="8" t="s">
        <v>34</v>
      </c>
      <c r="B1" s="17"/>
      <c r="C1" s="17"/>
      <c r="D1" s="64"/>
      <c r="E1" s="17"/>
      <c r="F1" s="17"/>
      <c r="G1" s="17"/>
      <c r="H1" s="17"/>
      <c r="I1" s="17"/>
      <c r="J1" s="17"/>
      <c r="K1" s="17"/>
      <c r="L1" s="17"/>
      <c r="M1" s="17"/>
      <c r="N1" s="17"/>
      <c r="O1" s="17"/>
      <c r="P1" s="17"/>
      <c r="Q1" s="17"/>
      <c r="R1" s="17"/>
      <c r="S1" s="17"/>
      <c r="T1" s="17"/>
      <c r="U1" s="17"/>
      <c r="V1" s="17"/>
      <c r="W1" s="17"/>
      <c r="X1" s="17"/>
      <c r="Y1" s="17"/>
    </row>
    <row r="2" spans="1:25" ht="12" customHeight="1" x14ac:dyDescent="0.3">
      <c r="A2" s="8">
        <v>2</v>
      </c>
      <c r="B2" s="17"/>
      <c r="C2" s="1947" t="s">
        <v>5627</v>
      </c>
      <c r="D2" s="1953"/>
      <c r="E2" s="1909"/>
      <c r="F2" s="1909"/>
      <c r="G2" s="1909"/>
      <c r="H2" s="1909"/>
      <c r="I2" s="1909"/>
      <c r="J2" s="1954" t="s">
        <v>34</v>
      </c>
      <c r="K2" s="1955"/>
      <c r="L2" s="1909"/>
      <c r="M2" s="1909"/>
      <c r="N2" s="1909"/>
      <c r="O2" s="1909"/>
      <c r="P2" s="1909"/>
      <c r="Q2" s="1907" t="s">
        <v>34</v>
      </c>
      <c r="R2" s="1955"/>
      <c r="S2" s="1909"/>
      <c r="T2" s="1909"/>
      <c r="U2" s="1909"/>
      <c r="V2" s="1909"/>
      <c r="W2" s="1909"/>
      <c r="X2" s="1907" t="s">
        <v>34</v>
      </c>
      <c r="Y2" s="17"/>
    </row>
    <row r="3" spans="1:25" ht="12" customHeight="1" x14ac:dyDescent="0.3">
      <c r="A3" s="8">
        <v>3</v>
      </c>
      <c r="B3" s="17"/>
      <c r="C3" s="681"/>
      <c r="D3" s="52"/>
      <c r="E3" s="56"/>
      <c r="F3" s="56"/>
      <c r="G3" s="56"/>
      <c r="H3" s="56"/>
      <c r="I3" s="56"/>
      <c r="J3" s="56"/>
      <c r="K3" s="682" t="s">
        <v>5628</v>
      </c>
      <c r="L3" s="56"/>
      <c r="M3" s="56"/>
      <c r="N3" s="56"/>
      <c r="O3" s="56"/>
      <c r="P3" s="56"/>
      <c r="Q3" s="58"/>
      <c r="R3" s="682" t="s">
        <v>5629</v>
      </c>
      <c r="S3" s="56"/>
      <c r="T3" s="56"/>
      <c r="U3" s="56"/>
      <c r="V3" s="56"/>
      <c r="W3" s="56"/>
      <c r="X3" s="58"/>
      <c r="Y3" s="17"/>
    </row>
    <row r="4" spans="1:25" x14ac:dyDescent="0.25">
      <c r="A4" s="8">
        <v>4</v>
      </c>
      <c r="B4" s="17"/>
      <c r="C4" s="673"/>
      <c r="D4" s="52"/>
      <c r="E4" s="56"/>
      <c r="F4" s="56"/>
      <c r="G4" s="56"/>
      <c r="H4" s="56"/>
      <c r="I4" s="56"/>
      <c r="J4" s="56"/>
      <c r="K4" s="671"/>
      <c r="L4" s="56"/>
      <c r="M4" s="56"/>
      <c r="N4" s="56"/>
      <c r="O4" s="56"/>
      <c r="P4" s="56"/>
      <c r="Q4" s="58"/>
      <c r="R4" s="632"/>
      <c r="S4" s="632"/>
      <c r="T4" s="632"/>
      <c r="U4" s="632"/>
      <c r="V4" s="632"/>
      <c r="W4" s="632"/>
      <c r="X4" s="58"/>
      <c r="Y4" s="17"/>
    </row>
    <row r="5" spans="1:25" ht="12" customHeight="1" x14ac:dyDescent="0.25">
      <c r="A5" s="8">
        <v>4.0999999999999996</v>
      </c>
      <c r="B5" s="17"/>
      <c r="C5" s="673"/>
      <c r="D5" s="52"/>
      <c r="E5" s="56"/>
      <c r="F5" s="56"/>
      <c r="G5" s="56"/>
      <c r="H5" s="56"/>
      <c r="I5" s="56"/>
      <c r="J5" s="56"/>
      <c r="K5" s="1845">
        <f>A26</f>
        <v>24</v>
      </c>
      <c r="L5" s="52" t="s">
        <v>3502</v>
      </c>
      <c r="M5" s="56"/>
      <c r="N5" s="56"/>
      <c r="O5" s="1845">
        <f>A27</f>
        <v>24.1</v>
      </c>
      <c r="P5" s="52" t="s">
        <v>3641</v>
      </c>
      <c r="Q5" s="58"/>
      <c r="R5" s="682" t="s">
        <v>5630</v>
      </c>
      <c r="S5" s="56"/>
      <c r="T5" s="52"/>
      <c r="U5" s="52"/>
      <c r="V5" s="65" t="s">
        <v>5631</v>
      </c>
      <c r="W5" s="52"/>
      <c r="X5" s="58"/>
      <c r="Y5" s="17"/>
    </row>
    <row r="6" spans="1:25" ht="12" customHeight="1" x14ac:dyDescent="0.25">
      <c r="A6" s="8">
        <v>5</v>
      </c>
      <c r="B6" s="17"/>
      <c r="C6" s="673"/>
      <c r="D6" s="52"/>
      <c r="E6" s="56"/>
      <c r="F6" s="56"/>
      <c r="G6" s="56"/>
      <c r="H6" s="56"/>
      <c r="I6" s="56"/>
      <c r="J6" s="56"/>
      <c r="K6" s="674"/>
      <c r="L6" s="1956"/>
      <c r="M6" s="56"/>
      <c r="N6" s="52"/>
      <c r="O6" s="52"/>
      <c r="P6" s="1956"/>
      <c r="Q6" s="58"/>
      <c r="R6" s="632"/>
      <c r="S6" s="632" t="s">
        <v>5632</v>
      </c>
      <c r="T6" s="632"/>
      <c r="U6" s="632"/>
      <c r="V6" s="632"/>
      <c r="W6" s="632" t="s">
        <v>5632</v>
      </c>
      <c r="X6" s="58"/>
      <c r="Y6" s="17"/>
    </row>
    <row r="7" spans="1:25" ht="12" customHeight="1" x14ac:dyDescent="0.25">
      <c r="A7" s="8">
        <v>6</v>
      </c>
      <c r="B7" s="17"/>
      <c r="C7" s="674"/>
      <c r="D7" s="52"/>
      <c r="E7" s="56"/>
      <c r="F7" s="56"/>
      <c r="G7" s="56"/>
      <c r="H7" s="56"/>
      <c r="I7" s="56"/>
      <c r="J7" s="56"/>
      <c r="K7" s="671"/>
      <c r="L7" s="56"/>
      <c r="M7" s="56"/>
      <c r="N7" s="56"/>
      <c r="O7" s="56"/>
      <c r="P7" s="56"/>
      <c r="Q7" s="58"/>
      <c r="R7" s="1845">
        <f>A52</f>
        <v>52</v>
      </c>
      <c r="S7" s="52" t="s">
        <v>5633</v>
      </c>
      <c r="T7" s="56"/>
      <c r="U7" s="56"/>
      <c r="V7" s="1845">
        <f>A53</f>
        <v>53</v>
      </c>
      <c r="W7" s="52" t="s">
        <v>5633</v>
      </c>
      <c r="X7" s="58"/>
      <c r="Y7" s="17"/>
    </row>
    <row r="8" spans="1:25" ht="12" customHeight="1" x14ac:dyDescent="0.25">
      <c r="A8" s="8">
        <v>6.1</v>
      </c>
      <c r="B8" s="17"/>
      <c r="C8" s="674"/>
      <c r="D8" s="52"/>
      <c r="E8" s="56"/>
      <c r="F8" s="56"/>
      <c r="G8" s="56"/>
      <c r="H8" s="56"/>
      <c r="I8" s="56"/>
      <c r="J8" s="56"/>
      <c r="K8" s="671"/>
      <c r="L8" s="56"/>
      <c r="M8" s="56"/>
      <c r="N8" s="56"/>
      <c r="O8" s="1845">
        <f>A28</f>
        <v>24.2</v>
      </c>
      <c r="P8" s="52" t="s">
        <v>5634</v>
      </c>
      <c r="Q8" s="58"/>
      <c r="R8" s="674"/>
      <c r="S8" s="1956"/>
      <c r="T8" s="56"/>
      <c r="U8" s="52"/>
      <c r="V8" s="52"/>
      <c r="W8" s="1956"/>
      <c r="X8" s="58"/>
      <c r="Y8" s="17"/>
    </row>
    <row r="9" spans="1:25" ht="12" customHeight="1" x14ac:dyDescent="0.25">
      <c r="A9" s="8">
        <v>7</v>
      </c>
      <c r="B9" s="17"/>
      <c r="C9" s="674"/>
      <c r="D9" s="52"/>
      <c r="E9" s="56"/>
      <c r="F9" s="56"/>
      <c r="G9" s="56"/>
      <c r="H9" s="56"/>
      <c r="I9" s="56"/>
      <c r="J9" s="56"/>
      <c r="K9" s="671"/>
      <c r="L9" s="56"/>
      <c r="M9" s="56"/>
      <c r="N9" s="56"/>
      <c r="O9" s="52"/>
      <c r="P9" s="1846"/>
      <c r="Q9" s="58"/>
      <c r="R9" s="632"/>
      <c r="S9" s="632"/>
      <c r="T9" s="632"/>
      <c r="U9" s="632"/>
      <c r="V9" s="52"/>
      <c r="W9" s="52"/>
      <c r="X9" s="58"/>
      <c r="Y9" s="17"/>
    </row>
    <row r="10" spans="1:25" ht="12" customHeight="1" x14ac:dyDescent="0.25">
      <c r="A10" s="8">
        <v>7.1</v>
      </c>
      <c r="B10" s="17"/>
      <c r="C10" s="1845">
        <f>A2</f>
        <v>2</v>
      </c>
      <c r="D10" s="52" t="s">
        <v>5635</v>
      </c>
      <c r="E10" s="56"/>
      <c r="F10" s="56"/>
      <c r="G10" s="56"/>
      <c r="H10" s="56"/>
      <c r="I10" s="56"/>
      <c r="J10" s="56"/>
      <c r="K10" s="1845">
        <f>A29</f>
        <v>26</v>
      </c>
      <c r="L10" s="52" t="s">
        <v>4025</v>
      </c>
      <c r="M10" s="56"/>
      <c r="N10" s="56"/>
      <c r="O10" s="56"/>
      <c r="P10" s="56"/>
      <c r="Q10" s="58"/>
      <c r="R10" s="671"/>
      <c r="S10" s="56"/>
      <c r="T10" s="56"/>
      <c r="U10" s="56"/>
      <c r="V10" s="1845">
        <f>A54</f>
        <v>53.1</v>
      </c>
      <c r="W10" s="52" t="s">
        <v>3890</v>
      </c>
      <c r="X10" s="58"/>
      <c r="Y10" s="17"/>
    </row>
    <row r="11" spans="1:25" ht="12" customHeight="1" x14ac:dyDescent="0.25">
      <c r="A11" s="8">
        <v>7.2</v>
      </c>
      <c r="B11" s="17"/>
      <c r="C11" s="674"/>
      <c r="D11" s="1957"/>
      <c r="E11" s="56"/>
      <c r="F11" s="56"/>
      <c r="G11" s="56"/>
      <c r="H11" s="56"/>
      <c r="I11" s="56"/>
      <c r="J11" s="58"/>
      <c r="K11" s="674"/>
      <c r="L11" s="1956"/>
      <c r="M11" s="56" t="s">
        <v>5605</v>
      </c>
      <c r="N11" s="56"/>
      <c r="O11" s="1845">
        <f>A30</f>
        <v>27</v>
      </c>
      <c r="P11" s="52" t="s">
        <v>5483</v>
      </c>
      <c r="Q11" s="58"/>
      <c r="R11" s="671"/>
      <c r="S11" s="56"/>
      <c r="T11" s="56"/>
      <c r="U11" s="56"/>
      <c r="V11" s="52"/>
      <c r="W11" s="1956"/>
      <c r="X11" s="58"/>
      <c r="Y11" s="17"/>
    </row>
    <row r="12" spans="1:25" ht="12" customHeight="1" x14ac:dyDescent="0.25">
      <c r="A12" s="8">
        <v>7.3</v>
      </c>
      <c r="B12" s="17"/>
      <c r="C12" s="1912"/>
      <c r="D12" s="1958"/>
      <c r="E12" s="1959"/>
      <c r="F12" s="1959"/>
      <c r="G12" s="1959"/>
      <c r="H12" s="1959"/>
      <c r="I12" s="1959"/>
      <c r="J12" s="1960"/>
      <c r="K12" s="56"/>
      <c r="L12" s="56"/>
      <c r="M12" s="228"/>
      <c r="N12" s="56"/>
      <c r="O12" s="52"/>
      <c r="P12" s="1846"/>
      <c r="Q12" s="58"/>
      <c r="R12" s="674"/>
      <c r="S12" s="52" t="s">
        <v>5636</v>
      </c>
      <c r="T12" s="56"/>
      <c r="U12" s="56"/>
      <c r="V12" s="52"/>
      <c r="W12" s="52"/>
      <c r="X12" s="58"/>
      <c r="Y12" s="17"/>
    </row>
    <row r="13" spans="1:25" ht="12" customHeight="1" x14ac:dyDescent="0.25">
      <c r="A13" s="8">
        <v>7.4</v>
      </c>
      <c r="B13" s="17"/>
      <c r="C13" s="1955"/>
      <c r="D13" s="1961"/>
      <c r="E13" s="1961"/>
      <c r="F13" s="1961"/>
      <c r="G13" s="1961"/>
      <c r="H13" s="1961"/>
      <c r="I13" s="1961"/>
      <c r="J13" s="1907" t="str">
        <f>FOR</f>
        <v>FOR</v>
      </c>
      <c r="K13" s="56"/>
      <c r="L13" s="56"/>
      <c r="M13" s="228"/>
      <c r="N13" s="56"/>
      <c r="O13" s="56"/>
      <c r="P13" s="56"/>
      <c r="Q13" s="58"/>
      <c r="R13" s="1845">
        <f>A55</f>
        <v>54</v>
      </c>
      <c r="S13" s="52" t="s">
        <v>5637</v>
      </c>
      <c r="T13" s="56"/>
      <c r="U13" s="56"/>
      <c r="V13" s="1845">
        <f>A56</f>
        <v>54.1</v>
      </c>
      <c r="W13" s="52" t="s">
        <v>3890</v>
      </c>
      <c r="X13" s="58"/>
      <c r="Y13" s="17"/>
    </row>
    <row r="14" spans="1:25" ht="12" customHeight="1" x14ac:dyDescent="0.25">
      <c r="A14" s="8">
        <v>7.5</v>
      </c>
      <c r="B14" s="17"/>
      <c r="C14" s="682" t="s">
        <v>5638</v>
      </c>
      <c r="D14" s="228"/>
      <c r="E14" s="228"/>
      <c r="F14" s="228"/>
      <c r="G14" s="228"/>
      <c r="H14" s="228"/>
      <c r="I14" s="228"/>
      <c r="J14" s="58"/>
      <c r="K14" s="682" t="s">
        <v>5630</v>
      </c>
      <c r="L14" s="56"/>
      <c r="M14" s="52"/>
      <c r="N14" s="52"/>
      <c r="O14" s="65" t="s">
        <v>5631</v>
      </c>
      <c r="P14" s="52"/>
      <c r="Q14" s="58"/>
      <c r="R14" s="674"/>
      <c r="S14" s="1956"/>
      <c r="T14" s="56"/>
      <c r="U14" s="52"/>
      <c r="V14" s="52"/>
      <c r="W14" s="1956"/>
      <c r="X14" s="58"/>
      <c r="Y14" s="17"/>
    </row>
    <row r="15" spans="1:25" ht="12" customHeight="1" x14ac:dyDescent="0.25">
      <c r="A15" s="8">
        <v>8</v>
      </c>
      <c r="B15" s="17"/>
      <c r="C15" s="674"/>
      <c r="D15" s="228"/>
      <c r="E15" s="228"/>
      <c r="F15" s="228"/>
      <c r="G15" s="228"/>
      <c r="H15" s="228"/>
      <c r="I15" s="228"/>
      <c r="J15" s="58"/>
      <c r="K15" s="1845">
        <f>A31</f>
        <v>29</v>
      </c>
      <c r="L15" s="52" t="s">
        <v>5639</v>
      </c>
      <c r="M15" s="52"/>
      <c r="N15" s="52"/>
      <c r="O15" s="1845">
        <f>A32</f>
        <v>30</v>
      </c>
      <c r="P15" s="52" t="s">
        <v>5639</v>
      </c>
      <c r="Q15" s="58"/>
      <c r="R15" s="674"/>
      <c r="S15" s="52" t="s">
        <v>9588</v>
      </c>
      <c r="T15" s="56"/>
      <c r="U15" s="56"/>
      <c r="V15" s="52"/>
      <c r="W15" s="52"/>
      <c r="X15" s="58"/>
      <c r="Y15" s="17"/>
    </row>
    <row r="16" spans="1:25" ht="12" customHeight="1" x14ac:dyDescent="0.25">
      <c r="A16" s="8">
        <v>9</v>
      </c>
      <c r="B16" s="17"/>
      <c r="C16" s="674"/>
      <c r="D16" s="65" t="s">
        <v>5630</v>
      </c>
      <c r="E16" s="52"/>
      <c r="F16" s="52"/>
      <c r="G16" s="52"/>
      <c r="H16" s="65" t="s">
        <v>5631</v>
      </c>
      <c r="I16" s="56"/>
      <c r="J16" s="58"/>
      <c r="K16" s="674"/>
      <c r="L16" s="1863"/>
      <c r="M16" s="52"/>
      <c r="N16" s="52"/>
      <c r="O16" s="52"/>
      <c r="P16" s="1863"/>
      <c r="Q16" s="58"/>
      <c r="R16" s="1845">
        <f>A57</f>
        <v>55</v>
      </c>
      <c r="S16" s="52" t="s">
        <v>5640</v>
      </c>
      <c r="T16" s="56"/>
      <c r="U16" s="56"/>
      <c r="V16" s="1845">
        <f>A58</f>
        <v>55.1</v>
      </c>
      <c r="W16" s="52" t="s">
        <v>3890</v>
      </c>
      <c r="X16" s="58"/>
      <c r="Y16" s="17"/>
    </row>
    <row r="17" spans="1:26" ht="12" customHeight="1" x14ac:dyDescent="0.25">
      <c r="A17" s="8">
        <v>9.1</v>
      </c>
      <c r="B17" s="17"/>
      <c r="C17" s="674"/>
      <c r="D17" s="56"/>
      <c r="E17" s="56"/>
      <c r="F17" s="56"/>
      <c r="G17" s="56"/>
      <c r="H17" s="56"/>
      <c r="I17" s="56"/>
      <c r="J17" s="58"/>
      <c r="K17" s="674"/>
      <c r="L17" s="52"/>
      <c r="M17" s="52"/>
      <c r="N17" s="52"/>
      <c r="O17" s="52"/>
      <c r="P17" s="52"/>
      <c r="Q17" s="58"/>
      <c r="R17" s="674"/>
      <c r="S17" s="1956"/>
      <c r="T17" s="56"/>
      <c r="U17" s="52"/>
      <c r="V17" s="52"/>
      <c r="W17" s="1956"/>
      <c r="X17" s="58"/>
      <c r="Y17" s="17"/>
    </row>
    <row r="18" spans="1:26" ht="12" customHeight="1" x14ac:dyDescent="0.25">
      <c r="A18" s="8">
        <v>10</v>
      </c>
      <c r="B18" s="63"/>
      <c r="C18" s="1845">
        <f>A3</f>
        <v>3</v>
      </c>
      <c r="D18" s="52" t="s">
        <v>5641</v>
      </c>
      <c r="E18" s="56"/>
      <c r="F18" s="56"/>
      <c r="G18" s="1845">
        <f>A4</f>
        <v>4</v>
      </c>
      <c r="H18" s="52" t="s">
        <v>5641</v>
      </c>
      <c r="I18" s="52"/>
      <c r="J18" s="58"/>
      <c r="K18" s="632"/>
      <c r="L18" s="632"/>
      <c r="M18" s="632"/>
      <c r="N18" s="632"/>
      <c r="O18" s="1845">
        <f>A33</f>
        <v>30.1</v>
      </c>
      <c r="P18" s="52" t="s">
        <v>3890</v>
      </c>
      <c r="Q18" s="58"/>
      <c r="R18" s="56"/>
      <c r="S18" s="56"/>
      <c r="T18" s="52"/>
      <c r="U18" s="52"/>
      <c r="V18" s="52"/>
      <c r="W18" s="52"/>
      <c r="X18" s="58"/>
      <c r="Y18" s="17"/>
    </row>
    <row r="19" spans="1:26" ht="12" customHeight="1" x14ac:dyDescent="0.25">
      <c r="A19" s="8">
        <v>11</v>
      </c>
      <c r="B19" s="17"/>
      <c r="C19" s="674"/>
      <c r="D19" s="1863"/>
      <c r="E19" s="56"/>
      <c r="F19" s="56"/>
      <c r="G19" s="56"/>
      <c r="H19" s="1949"/>
      <c r="I19" s="52"/>
      <c r="J19" s="58"/>
      <c r="K19" s="632"/>
      <c r="L19" s="632"/>
      <c r="M19" s="632"/>
      <c r="N19" s="632"/>
      <c r="O19" s="52"/>
      <c r="P19" s="1863"/>
      <c r="Q19" s="58"/>
      <c r="R19" s="1845">
        <f>A59</f>
        <v>56</v>
      </c>
      <c r="S19" s="52" t="s">
        <v>5642</v>
      </c>
      <c r="T19" s="56"/>
      <c r="U19" s="56"/>
      <c r="V19" s="1845">
        <f>A60</f>
        <v>56.1</v>
      </c>
      <c r="W19" s="52" t="s">
        <v>3890</v>
      </c>
      <c r="X19" s="58"/>
      <c r="Y19" s="17"/>
    </row>
    <row r="20" spans="1:26" ht="12" customHeight="1" x14ac:dyDescent="0.3">
      <c r="A20" s="8">
        <v>11.1</v>
      </c>
      <c r="B20" s="17"/>
      <c r="C20" s="674"/>
      <c r="D20" s="52"/>
      <c r="E20" s="56"/>
      <c r="F20" s="631"/>
      <c r="G20" s="632"/>
      <c r="H20" s="632"/>
      <c r="I20" s="632"/>
      <c r="J20" s="58"/>
      <c r="K20" s="683" t="s">
        <v>5485</v>
      </c>
      <c r="L20" s="56"/>
      <c r="M20" s="56"/>
      <c r="N20" s="56"/>
      <c r="O20" s="52"/>
      <c r="P20" s="52"/>
      <c r="Q20" s="58"/>
      <c r="R20" s="674"/>
      <c r="S20" s="1956"/>
      <c r="T20" s="56"/>
      <c r="U20" s="52"/>
      <c r="V20" s="52"/>
      <c r="W20" s="1956"/>
      <c r="X20" s="58"/>
      <c r="Y20" s="17"/>
      <c r="Z20" s="56" t="b">
        <v>0</v>
      </c>
    </row>
    <row r="21" spans="1:26" ht="12" customHeight="1" x14ac:dyDescent="0.25">
      <c r="A21" s="8">
        <v>12</v>
      </c>
      <c r="B21" s="17"/>
      <c r="C21" s="674"/>
      <c r="D21" s="52"/>
      <c r="E21" s="56"/>
      <c r="F21" s="56"/>
      <c r="G21" s="1845">
        <f>A5</f>
        <v>4.0999999999999996</v>
      </c>
      <c r="H21" s="52" t="s">
        <v>3890</v>
      </c>
      <c r="I21" s="56"/>
      <c r="J21" s="58"/>
      <c r="K21" s="1845">
        <f>A34</f>
        <v>31</v>
      </c>
      <c r="L21" s="52" t="s">
        <v>5643</v>
      </c>
      <c r="M21" s="56"/>
      <c r="N21" s="56"/>
      <c r="O21" s="1886">
        <f>A35</f>
        <v>32</v>
      </c>
      <c r="P21" s="52" t="s">
        <v>5644</v>
      </c>
      <c r="Q21" s="58"/>
      <c r="R21" s="674"/>
      <c r="S21" s="56"/>
      <c r="T21" s="56"/>
      <c r="U21" s="56"/>
      <c r="V21" s="52"/>
      <c r="W21" s="52"/>
      <c r="X21" s="58"/>
      <c r="Y21" s="17"/>
    </row>
    <row r="22" spans="1:26" ht="12" customHeight="1" x14ac:dyDescent="0.25">
      <c r="A22" s="8">
        <v>13</v>
      </c>
      <c r="B22" s="17"/>
      <c r="C22" s="674"/>
      <c r="D22" s="52"/>
      <c r="E22" s="56"/>
      <c r="F22" s="56"/>
      <c r="G22" s="56"/>
      <c r="H22" s="1949"/>
      <c r="I22" s="52"/>
      <c r="J22" s="58"/>
      <c r="K22" s="674"/>
      <c r="L22" s="1962"/>
      <c r="M22" s="56"/>
      <c r="N22" s="56"/>
      <c r="O22" s="56"/>
      <c r="P22" s="1963"/>
      <c r="Q22" s="58"/>
      <c r="R22" s="1845">
        <f>A61</f>
        <v>57</v>
      </c>
      <c r="S22" s="52" t="s">
        <v>5645</v>
      </c>
      <c r="T22" s="56"/>
      <c r="U22" s="56"/>
      <c r="V22" s="1845">
        <f>A62</f>
        <v>57.1</v>
      </c>
      <c r="W22" s="52" t="s">
        <v>3890</v>
      </c>
      <c r="X22" s="58"/>
      <c r="Y22" s="17"/>
    </row>
    <row r="23" spans="1:26" ht="12" customHeight="1" x14ac:dyDescent="0.25">
      <c r="A23" s="1047">
        <v>13</v>
      </c>
      <c r="B23" s="17"/>
      <c r="C23" s="674"/>
      <c r="D23" s="52"/>
      <c r="E23" s="56"/>
      <c r="F23" s="56"/>
      <c r="G23" s="632"/>
      <c r="H23" s="632"/>
      <c r="I23" s="52"/>
      <c r="J23" s="58"/>
      <c r="K23" s="1912"/>
      <c r="L23" s="1923"/>
      <c r="M23" s="1923"/>
      <c r="N23" s="1923"/>
      <c r="O23" s="1923"/>
      <c r="P23" s="1923"/>
      <c r="Q23" s="1924"/>
      <c r="R23" s="674"/>
      <c r="S23" s="1956"/>
      <c r="T23" s="56"/>
      <c r="U23" s="52"/>
      <c r="V23" s="52"/>
      <c r="W23" s="1956"/>
      <c r="X23" s="58"/>
      <c r="Y23" s="17"/>
    </row>
    <row r="24" spans="1:26" ht="12" customHeight="1" x14ac:dyDescent="0.25">
      <c r="A24" s="8">
        <v>13.1</v>
      </c>
      <c r="B24" s="17"/>
      <c r="C24" s="1845">
        <f>A6</f>
        <v>5</v>
      </c>
      <c r="D24" s="52" t="s">
        <v>861</v>
      </c>
      <c r="E24" s="56"/>
      <c r="F24" s="56"/>
      <c r="G24" s="1845">
        <f>A7</f>
        <v>6</v>
      </c>
      <c r="H24" s="52" t="s">
        <v>861</v>
      </c>
      <c r="I24" s="52"/>
      <c r="J24" s="58"/>
      <c r="K24" s="1909"/>
      <c r="L24" s="1909"/>
      <c r="M24" s="1909"/>
      <c r="N24" s="1909"/>
      <c r="O24" s="1909"/>
      <c r="P24" s="1909"/>
      <c r="Q24" s="1907" t="str">
        <f>FOR</f>
        <v>FOR</v>
      </c>
      <c r="R24" s="56"/>
      <c r="S24" s="56"/>
      <c r="T24" s="56"/>
      <c r="U24" s="56"/>
      <c r="V24" s="52"/>
      <c r="W24" s="52"/>
      <c r="X24" s="58"/>
      <c r="Y24" s="17"/>
    </row>
    <row r="25" spans="1:26" ht="12" customHeight="1" x14ac:dyDescent="0.25">
      <c r="A25" s="8">
        <v>13.2</v>
      </c>
      <c r="B25" s="17"/>
      <c r="C25" s="674"/>
      <c r="D25" s="1863"/>
      <c r="E25" s="56"/>
      <c r="F25" s="56"/>
      <c r="G25" s="56"/>
      <c r="H25" s="1964"/>
      <c r="I25" s="56"/>
      <c r="J25" s="58"/>
      <c r="K25" s="65" t="s">
        <v>1503</v>
      </c>
      <c r="L25" s="56"/>
      <c r="M25" s="56"/>
      <c r="N25" s="56"/>
      <c r="O25" s="56"/>
      <c r="P25" s="56"/>
      <c r="Q25" s="58"/>
      <c r="R25" s="1845">
        <f>A63</f>
        <v>58</v>
      </c>
      <c r="S25" s="52" t="s">
        <v>4126</v>
      </c>
      <c r="T25" s="56"/>
      <c r="U25" s="56"/>
      <c r="V25" s="1845">
        <f>A64</f>
        <v>58.1</v>
      </c>
      <c r="W25" s="52" t="s">
        <v>3890</v>
      </c>
      <c r="X25" s="58"/>
      <c r="Y25" s="17"/>
    </row>
    <row r="26" spans="1:26" ht="12" customHeight="1" x14ac:dyDescent="0.25">
      <c r="A26" s="8">
        <v>24</v>
      </c>
      <c r="B26" s="17"/>
      <c r="C26" s="674"/>
      <c r="D26" s="52"/>
      <c r="E26" s="56"/>
      <c r="F26" s="56"/>
      <c r="G26" s="56"/>
      <c r="H26" s="56"/>
      <c r="I26" s="56"/>
      <c r="J26" s="58"/>
      <c r="K26" s="56"/>
      <c r="L26" s="56"/>
      <c r="M26" s="56"/>
      <c r="N26" s="56"/>
      <c r="O26" s="56"/>
      <c r="P26" s="56"/>
      <c r="Q26" s="58"/>
      <c r="R26" s="674"/>
      <c r="S26" s="1956"/>
      <c r="T26" s="56"/>
      <c r="U26" s="52"/>
      <c r="V26" s="52"/>
      <c r="W26" s="1956"/>
      <c r="X26" s="58"/>
      <c r="Y26" s="17"/>
    </row>
    <row r="27" spans="1:26" ht="12" customHeight="1" x14ac:dyDescent="0.25">
      <c r="A27" s="8">
        <v>24.1</v>
      </c>
      <c r="B27" s="17"/>
      <c r="C27" s="674"/>
      <c r="D27" s="52"/>
      <c r="E27" s="56"/>
      <c r="F27" s="56"/>
      <c r="G27" s="1845">
        <f>A8</f>
        <v>6.1</v>
      </c>
      <c r="H27" s="52" t="s">
        <v>3890</v>
      </c>
      <c r="I27" s="56"/>
      <c r="J27" s="58"/>
      <c r="K27" s="1886">
        <f>A36</f>
        <v>39</v>
      </c>
      <c r="L27" s="52" t="s">
        <v>5646</v>
      </c>
      <c r="M27" s="56"/>
      <c r="N27" s="56"/>
      <c r="O27" s="1886">
        <f>A37</f>
        <v>40</v>
      </c>
      <c r="P27" s="52" t="s">
        <v>5647</v>
      </c>
      <c r="Q27" s="58"/>
      <c r="R27" s="674"/>
      <c r="S27" s="56"/>
      <c r="T27" s="56"/>
      <c r="U27" s="56"/>
      <c r="V27" s="52"/>
      <c r="W27" s="52"/>
      <c r="X27" s="58"/>
      <c r="Y27" s="17"/>
    </row>
    <row r="28" spans="1:26" ht="12" customHeight="1" x14ac:dyDescent="0.25">
      <c r="A28" s="8">
        <v>24.2</v>
      </c>
      <c r="B28" s="17"/>
      <c r="C28" s="674"/>
      <c r="D28" s="52"/>
      <c r="E28" s="56"/>
      <c r="F28" s="56"/>
      <c r="G28" s="56"/>
      <c r="H28" s="1964"/>
      <c r="I28" s="52"/>
      <c r="J28" s="53"/>
      <c r="K28" s="56"/>
      <c r="L28" s="1957"/>
      <c r="M28" s="56"/>
      <c r="N28" s="56"/>
      <c r="O28" s="56"/>
      <c r="P28" s="1957"/>
      <c r="Q28" s="58"/>
      <c r="R28" s="1845">
        <f>A65</f>
        <v>59</v>
      </c>
      <c r="S28" s="52" t="s">
        <v>4129</v>
      </c>
      <c r="T28" s="56"/>
      <c r="U28" s="56"/>
      <c r="V28" s="1845">
        <f>A66</f>
        <v>59.1</v>
      </c>
      <c r="W28" s="52" t="s">
        <v>3890</v>
      </c>
      <c r="X28" s="58"/>
      <c r="Y28" s="17"/>
    </row>
    <row r="29" spans="1:26" ht="12" customHeight="1" x14ac:dyDescent="0.25">
      <c r="A29" s="8">
        <v>26</v>
      </c>
      <c r="B29" s="17"/>
      <c r="C29" s="674"/>
      <c r="D29" s="52"/>
      <c r="E29" s="56"/>
      <c r="F29" s="56"/>
      <c r="G29" s="56"/>
      <c r="H29" s="56"/>
      <c r="I29" s="52"/>
      <c r="J29" s="53"/>
      <c r="K29" s="1923"/>
      <c r="L29" s="1923"/>
      <c r="M29" s="1923"/>
      <c r="N29" s="1923"/>
      <c r="O29" s="1923"/>
      <c r="P29" s="1923"/>
      <c r="Q29" s="1924"/>
      <c r="R29" s="674"/>
      <c r="S29" s="1956"/>
      <c r="T29" s="56"/>
      <c r="U29" s="52"/>
      <c r="V29" s="52"/>
      <c r="W29" s="1956"/>
      <c r="X29" s="58"/>
      <c r="Y29" s="17"/>
    </row>
    <row r="30" spans="1:26" x14ac:dyDescent="0.25">
      <c r="A30" s="8">
        <v>27</v>
      </c>
      <c r="B30" s="17"/>
      <c r="C30" s="1845">
        <f>A10</f>
        <v>7.1</v>
      </c>
      <c r="D30" s="52" t="s">
        <v>5648</v>
      </c>
      <c r="E30" s="56"/>
      <c r="F30" s="56"/>
      <c r="G30" s="1845">
        <f>A11</f>
        <v>7.2</v>
      </c>
      <c r="H30" s="52" t="s">
        <v>5648</v>
      </c>
      <c r="I30" s="52"/>
      <c r="J30" s="53"/>
      <c r="K30" s="65" t="s">
        <v>5649</v>
      </c>
      <c r="L30" s="56"/>
      <c r="M30" s="56"/>
      <c r="N30" s="56"/>
      <c r="O30" s="56"/>
      <c r="P30" s="56"/>
      <c r="Q30" s="1907" t="str">
        <f>FOR</f>
        <v>FOR</v>
      </c>
      <c r="R30" s="56"/>
      <c r="S30" s="52" t="s">
        <v>9579</v>
      </c>
      <c r="T30" s="52"/>
      <c r="U30" s="52"/>
      <c r="V30" s="52"/>
      <c r="W30" s="52"/>
      <c r="X30" s="58"/>
      <c r="Y30" s="17"/>
    </row>
    <row r="31" spans="1:26" ht="12" customHeight="1" x14ac:dyDescent="0.25">
      <c r="A31" s="8">
        <v>29</v>
      </c>
      <c r="B31" s="17"/>
      <c r="C31" s="674"/>
      <c r="D31" s="1863"/>
      <c r="E31" s="56"/>
      <c r="F31" s="56"/>
      <c r="G31" s="52"/>
      <c r="H31" s="1846"/>
      <c r="I31" s="52"/>
      <c r="J31" s="58"/>
      <c r="K31" s="56"/>
      <c r="L31" s="56"/>
      <c r="M31" s="56"/>
      <c r="N31" s="56"/>
      <c r="O31" s="56"/>
      <c r="P31" s="56"/>
      <c r="Q31" s="58"/>
      <c r="R31" s="1845">
        <f>A67</f>
        <v>60</v>
      </c>
      <c r="S31" s="2389" t="s">
        <v>5650</v>
      </c>
      <c r="T31" s="56"/>
      <c r="U31" s="56"/>
      <c r="V31" s="1845">
        <f>A68</f>
        <v>60.1</v>
      </c>
      <c r="W31" s="52" t="s">
        <v>3890</v>
      </c>
      <c r="X31" s="58"/>
      <c r="Y31" s="17"/>
    </row>
    <row r="32" spans="1:26" ht="12" customHeight="1" x14ac:dyDescent="0.25">
      <c r="A32" s="8">
        <v>30</v>
      </c>
      <c r="B32" s="17"/>
      <c r="C32" s="674"/>
      <c r="D32" s="52"/>
      <c r="E32" s="56"/>
      <c r="F32" s="56"/>
      <c r="G32" s="52"/>
      <c r="H32" s="56"/>
      <c r="I32" s="52"/>
      <c r="J32" s="58"/>
      <c r="K32" s="56"/>
      <c r="L32" s="56"/>
      <c r="M32" s="56"/>
      <c r="N32" s="56"/>
      <c r="O32" s="56"/>
      <c r="P32" s="56"/>
      <c r="Q32" s="58"/>
      <c r="R32" s="674"/>
      <c r="S32" s="1956"/>
      <c r="T32" s="56"/>
      <c r="U32" s="52"/>
      <c r="V32" s="52"/>
      <c r="W32" s="1956"/>
      <c r="X32" s="58"/>
      <c r="Y32" s="17"/>
    </row>
    <row r="33" spans="1:25" x14ac:dyDescent="0.25">
      <c r="A33" s="8">
        <v>30.1</v>
      </c>
      <c r="B33" s="17"/>
      <c r="C33" s="1845">
        <f>A12</f>
        <v>7.3</v>
      </c>
      <c r="D33" s="52" t="s">
        <v>5651</v>
      </c>
      <c r="E33" s="56"/>
      <c r="F33" s="56"/>
      <c r="G33" s="1845">
        <f>A13</f>
        <v>7.4</v>
      </c>
      <c r="H33" s="52" t="s">
        <v>5651</v>
      </c>
      <c r="I33" s="52"/>
      <c r="J33" s="58"/>
      <c r="K33" s="56"/>
      <c r="L33" s="56"/>
      <c r="M33" s="56"/>
      <c r="N33" s="56"/>
      <c r="O33" s="56"/>
      <c r="P33" s="56"/>
      <c r="Q33" s="58"/>
      <c r="R33" s="674"/>
      <c r="S33" s="52" t="s">
        <v>5652</v>
      </c>
      <c r="T33" s="56"/>
      <c r="U33" s="56"/>
      <c r="V33" s="52"/>
      <c r="W33" s="52"/>
      <c r="X33" s="58"/>
      <c r="Y33" s="17"/>
    </row>
    <row r="34" spans="1:25" x14ac:dyDescent="0.25">
      <c r="A34" s="8">
        <v>31</v>
      </c>
      <c r="B34" s="17"/>
      <c r="C34" s="674"/>
      <c r="D34" s="1863"/>
      <c r="E34" s="52"/>
      <c r="F34" s="52"/>
      <c r="G34" s="52"/>
      <c r="H34" s="1846"/>
      <c r="I34" s="52"/>
      <c r="J34" s="58"/>
      <c r="K34" s="56"/>
      <c r="L34" s="52"/>
      <c r="M34" s="56"/>
      <c r="N34" s="56"/>
      <c r="O34" s="56"/>
      <c r="P34" s="56"/>
      <c r="Q34" s="58"/>
      <c r="R34" s="1845">
        <f>A69</f>
        <v>61</v>
      </c>
      <c r="S34" s="52" t="s">
        <v>9581</v>
      </c>
      <c r="T34" s="56"/>
      <c r="U34" s="56"/>
      <c r="V34" s="1845">
        <f>A70</f>
        <v>61.1</v>
      </c>
      <c r="W34" s="52" t="s">
        <v>3890</v>
      </c>
      <c r="X34" s="58"/>
      <c r="Y34" s="17"/>
    </row>
    <row r="35" spans="1:25" x14ac:dyDescent="0.25">
      <c r="A35" s="8">
        <v>32</v>
      </c>
      <c r="B35" s="17"/>
      <c r="C35" s="674"/>
      <c r="D35" s="52"/>
      <c r="E35" s="52"/>
      <c r="F35" s="52"/>
      <c r="G35" s="52"/>
      <c r="H35" s="52"/>
      <c r="I35" s="52"/>
      <c r="J35" s="58"/>
      <c r="K35" s="1965">
        <f>A38</f>
        <v>41</v>
      </c>
      <c r="L35" s="52" t="s">
        <v>5653</v>
      </c>
      <c r="M35" s="56"/>
      <c r="N35" s="56"/>
      <c r="O35" s="1845">
        <f>A42</f>
        <v>44</v>
      </c>
      <c r="P35" s="52" t="s">
        <v>4079</v>
      </c>
      <c r="Q35" s="58"/>
      <c r="R35" s="674"/>
      <c r="S35" s="1956"/>
      <c r="T35" s="56"/>
      <c r="U35" s="52"/>
      <c r="V35" s="52"/>
      <c r="W35" s="1956"/>
      <c r="X35" s="58"/>
      <c r="Y35" s="17"/>
    </row>
    <row r="36" spans="1:25" x14ac:dyDescent="0.25">
      <c r="A36" s="8">
        <v>39</v>
      </c>
      <c r="B36" s="17"/>
      <c r="C36" s="674"/>
      <c r="D36" s="52"/>
      <c r="E36" s="52"/>
      <c r="F36" s="52"/>
      <c r="G36" s="52"/>
      <c r="H36" s="52" t="s">
        <v>5654</v>
      </c>
      <c r="I36" s="50"/>
      <c r="J36" s="58"/>
      <c r="K36" s="56"/>
      <c r="L36" s="1846"/>
      <c r="M36" s="56"/>
      <c r="N36" s="56"/>
      <c r="O36" s="52"/>
      <c r="P36" s="1865"/>
      <c r="Q36" s="58"/>
      <c r="R36" s="56"/>
      <c r="S36" s="56"/>
      <c r="T36" s="56"/>
      <c r="U36" s="56"/>
      <c r="V36" s="52"/>
      <c r="W36" s="52"/>
      <c r="X36" s="58"/>
      <c r="Y36" s="17"/>
    </row>
    <row r="37" spans="1:25" x14ac:dyDescent="0.25">
      <c r="A37" s="8">
        <v>40</v>
      </c>
      <c r="B37" s="17"/>
      <c r="C37" s="674"/>
      <c r="D37" s="52"/>
      <c r="E37" s="52"/>
      <c r="F37" s="52"/>
      <c r="G37" s="1845">
        <f>A14</f>
        <v>7.5</v>
      </c>
      <c r="H37" s="52" t="s">
        <v>5655</v>
      </c>
      <c r="I37" s="50"/>
      <c r="J37" s="58"/>
      <c r="K37" s="56"/>
      <c r="L37" s="52"/>
      <c r="M37" s="56"/>
      <c r="N37" s="56"/>
      <c r="O37" s="52"/>
      <c r="P37" s="52"/>
      <c r="Q37" s="58"/>
      <c r="R37" s="1845">
        <f>A71</f>
        <v>62</v>
      </c>
      <c r="S37" s="52" t="s">
        <v>4138</v>
      </c>
      <c r="T37" s="56"/>
      <c r="U37" s="56"/>
      <c r="V37" s="1845">
        <f>A72</f>
        <v>62.1</v>
      </c>
      <c r="W37" s="52" t="s">
        <v>3890</v>
      </c>
      <c r="X37" s="58"/>
      <c r="Y37" s="17"/>
    </row>
    <row r="38" spans="1:25" x14ac:dyDescent="0.25">
      <c r="A38" s="8">
        <v>41</v>
      </c>
      <c r="B38" s="17"/>
      <c r="C38" s="674"/>
      <c r="D38" s="52"/>
      <c r="E38" s="52"/>
      <c r="F38" s="52"/>
      <c r="G38" s="52"/>
      <c r="H38" s="1846"/>
      <c r="I38" s="50"/>
      <c r="J38" s="58"/>
      <c r="K38" s="56"/>
      <c r="L38" s="56"/>
      <c r="M38" s="56"/>
      <c r="N38" s="56"/>
      <c r="O38" s="56"/>
      <c r="P38" s="56"/>
      <c r="Q38" s="58"/>
      <c r="R38" s="674"/>
      <c r="S38" s="1956"/>
      <c r="T38" s="56"/>
      <c r="U38" s="52"/>
      <c r="V38" s="52"/>
      <c r="W38" s="1956"/>
      <c r="X38" s="58"/>
      <c r="Y38" s="17"/>
    </row>
    <row r="39" spans="1:25" x14ac:dyDescent="0.25">
      <c r="A39" s="8">
        <v>42</v>
      </c>
      <c r="B39" s="17"/>
      <c r="C39" s="1922"/>
      <c r="D39" s="56"/>
      <c r="E39" s="228"/>
      <c r="F39" s="228"/>
      <c r="G39" s="228"/>
      <c r="H39" s="228"/>
      <c r="I39" s="50"/>
      <c r="J39" s="58"/>
      <c r="K39" s="1965">
        <f>A39</f>
        <v>42</v>
      </c>
      <c r="L39" s="52" t="s">
        <v>5653</v>
      </c>
      <c r="M39" s="56"/>
      <c r="N39" s="56"/>
      <c r="O39" s="1845">
        <f>A43</f>
        <v>45</v>
      </c>
      <c r="P39" s="52" t="s">
        <v>5656</v>
      </c>
      <c r="Q39" s="58"/>
      <c r="R39" s="56"/>
      <c r="S39" s="56"/>
      <c r="T39" s="52"/>
      <c r="U39" s="52"/>
      <c r="V39" s="52"/>
      <c r="W39" s="52"/>
      <c r="X39" s="58"/>
      <c r="Y39" s="17"/>
    </row>
    <row r="40" spans="1:25" x14ac:dyDescent="0.25">
      <c r="A40" s="8">
        <v>43</v>
      </c>
      <c r="B40" s="17"/>
      <c r="C40" s="1845">
        <f>A15</f>
        <v>8</v>
      </c>
      <c r="D40" s="52" t="s">
        <v>5657</v>
      </c>
      <c r="E40" s="56"/>
      <c r="F40" s="56"/>
      <c r="G40" s="1845">
        <f>A16</f>
        <v>9</v>
      </c>
      <c r="H40" s="52" t="s">
        <v>5657</v>
      </c>
      <c r="I40" s="52"/>
      <c r="J40" s="53"/>
      <c r="K40" s="56"/>
      <c r="L40" s="1846"/>
      <c r="M40" s="56"/>
      <c r="N40" s="56"/>
      <c r="O40" s="56"/>
      <c r="P40" s="1966"/>
      <c r="Q40" s="58"/>
      <c r="R40" s="1845">
        <f>A73</f>
        <v>63</v>
      </c>
      <c r="S40" s="52" t="s">
        <v>4141</v>
      </c>
      <c r="T40" s="56"/>
      <c r="U40" s="56"/>
      <c r="V40" s="1845">
        <f>A74</f>
        <v>63.1</v>
      </c>
      <c r="W40" s="52" t="s">
        <v>3890</v>
      </c>
      <c r="X40" s="58"/>
      <c r="Y40" s="17"/>
    </row>
    <row r="41" spans="1:25" x14ac:dyDescent="0.25">
      <c r="B41" s="17"/>
      <c r="C41" s="674"/>
      <c r="D41" s="1863"/>
      <c r="E41" s="56"/>
      <c r="F41" s="56"/>
      <c r="G41" s="52"/>
      <c r="H41" s="1846"/>
      <c r="I41" s="52"/>
      <c r="J41" s="58"/>
      <c r="K41" s="50"/>
      <c r="L41" s="50"/>
      <c r="M41" s="50"/>
      <c r="N41" s="50"/>
      <c r="O41" s="50"/>
      <c r="P41" s="50"/>
      <c r="Q41" s="58"/>
      <c r="R41" s="674"/>
      <c r="S41" s="1956"/>
      <c r="T41" s="56"/>
      <c r="U41" s="52"/>
      <c r="V41" s="52"/>
      <c r="W41" s="1956"/>
      <c r="X41" s="58"/>
      <c r="Y41" s="17"/>
    </row>
    <row r="42" spans="1:25" x14ac:dyDescent="0.25">
      <c r="A42" s="8">
        <v>44</v>
      </c>
      <c r="B42" s="17"/>
      <c r="C42" s="674"/>
      <c r="D42" s="52"/>
      <c r="E42" s="56"/>
      <c r="F42" s="56"/>
      <c r="G42" s="52"/>
      <c r="H42" s="56"/>
      <c r="I42" s="52"/>
      <c r="J42" s="58"/>
      <c r="K42" s="1965">
        <f>A40</f>
        <v>43</v>
      </c>
      <c r="L42" s="52" t="s">
        <v>5658</v>
      </c>
      <c r="M42" s="50"/>
      <c r="N42" s="50"/>
      <c r="O42" s="50"/>
      <c r="P42" s="50"/>
      <c r="Q42" s="58"/>
      <c r="R42" s="674"/>
      <c r="S42" s="52" t="s">
        <v>5659</v>
      </c>
      <c r="T42" s="56"/>
      <c r="U42" s="56"/>
      <c r="V42" s="52"/>
      <c r="W42" s="52"/>
      <c r="X42" s="58"/>
      <c r="Y42" s="17"/>
    </row>
    <row r="43" spans="1:25" x14ac:dyDescent="0.25">
      <c r="A43" s="8">
        <v>45</v>
      </c>
      <c r="B43" s="17"/>
      <c r="C43" s="674"/>
      <c r="D43" s="52"/>
      <c r="E43" s="56"/>
      <c r="F43" s="56"/>
      <c r="G43" s="1845">
        <f>A17</f>
        <v>9.1</v>
      </c>
      <c r="H43" s="52" t="s">
        <v>3890</v>
      </c>
      <c r="I43" s="632"/>
      <c r="J43" s="58"/>
      <c r="K43" s="56"/>
      <c r="L43" s="1949"/>
      <c r="M43" s="50"/>
      <c r="N43" s="50"/>
      <c r="O43" s="50"/>
      <c r="P43" s="50"/>
      <c r="Q43" s="58"/>
      <c r="R43" s="1845">
        <f>A75</f>
        <v>64</v>
      </c>
      <c r="S43" s="52" t="s">
        <v>9582</v>
      </c>
      <c r="T43" s="56"/>
      <c r="U43" s="56"/>
      <c r="V43" s="1845">
        <f>A76</f>
        <v>64.099999999999994</v>
      </c>
      <c r="W43" s="52" t="s">
        <v>3890</v>
      </c>
      <c r="X43" s="58"/>
      <c r="Y43" s="17"/>
    </row>
    <row r="44" spans="1:25" x14ac:dyDescent="0.25">
      <c r="A44" s="8">
        <v>47</v>
      </c>
      <c r="B44" s="17"/>
      <c r="C44" s="674"/>
      <c r="D44" s="52"/>
      <c r="E44" s="56"/>
      <c r="F44" s="56"/>
      <c r="G44" s="52"/>
      <c r="H44" s="1846"/>
      <c r="I44" s="632"/>
      <c r="J44" s="58"/>
      <c r="K44" s="56"/>
      <c r="L44" s="56"/>
      <c r="M44" s="228"/>
      <c r="N44" s="228"/>
      <c r="O44" s="228"/>
      <c r="P44" s="228"/>
      <c r="Q44" s="58"/>
      <c r="R44" s="674"/>
      <c r="S44" s="1956"/>
      <c r="T44" s="56"/>
      <c r="U44" s="52"/>
      <c r="V44" s="52"/>
      <c r="W44" s="1956"/>
      <c r="X44" s="58"/>
      <c r="Y44" s="17"/>
    </row>
    <row r="45" spans="1:25" x14ac:dyDescent="0.25">
      <c r="A45" s="8">
        <v>48</v>
      </c>
      <c r="B45" s="17"/>
      <c r="C45" s="674"/>
      <c r="D45" s="1048"/>
      <c r="E45" s="632"/>
      <c r="F45" s="632"/>
      <c r="G45" s="632"/>
      <c r="H45" s="632"/>
      <c r="I45" s="632"/>
      <c r="J45" s="58"/>
      <c r="K45" s="682" t="s">
        <v>5630</v>
      </c>
      <c r="L45" s="56"/>
      <c r="M45" s="52"/>
      <c r="N45" s="52"/>
      <c r="O45" s="65" t="s">
        <v>5631</v>
      </c>
      <c r="P45" s="52"/>
      <c r="Q45" s="58"/>
      <c r="R45" s="56"/>
      <c r="S45" s="632"/>
      <c r="T45" s="52"/>
      <c r="U45" s="52"/>
      <c r="V45" s="52"/>
      <c r="W45" s="52"/>
      <c r="X45" s="58"/>
      <c r="Y45" s="17"/>
    </row>
    <row r="46" spans="1:25" x14ac:dyDescent="0.25">
      <c r="A46" s="8">
        <v>48.1</v>
      </c>
      <c r="B46" s="17"/>
      <c r="C46" s="1845">
        <f>A18</f>
        <v>10</v>
      </c>
      <c r="D46" s="52" t="s">
        <v>5660</v>
      </c>
      <c r="E46" s="56"/>
      <c r="F46" s="56"/>
      <c r="G46" s="1845">
        <f>A19</f>
        <v>11</v>
      </c>
      <c r="H46" s="52" t="s">
        <v>5660</v>
      </c>
      <c r="I46" s="52"/>
      <c r="J46" s="58"/>
      <c r="K46" s="632"/>
      <c r="L46" s="632" t="s">
        <v>5661</v>
      </c>
      <c r="M46" s="632"/>
      <c r="N46" s="632"/>
      <c r="O46" s="632"/>
      <c r="P46" s="632" t="s">
        <v>5661</v>
      </c>
      <c r="Q46" s="58"/>
      <c r="R46" s="56"/>
      <c r="S46" s="2402"/>
      <c r="T46" s="632"/>
      <c r="U46" s="632"/>
      <c r="V46" s="52"/>
      <c r="W46" s="52"/>
      <c r="X46" s="58"/>
      <c r="Y46" s="17"/>
    </row>
    <row r="47" spans="1:25" x14ac:dyDescent="0.25">
      <c r="A47" s="8">
        <v>49</v>
      </c>
      <c r="B47" s="226"/>
      <c r="C47" s="674"/>
      <c r="D47" s="1863"/>
      <c r="E47" s="52"/>
      <c r="F47" s="52"/>
      <c r="G47" s="52"/>
      <c r="H47" s="1846"/>
      <c r="I47" s="52"/>
      <c r="J47" s="58"/>
      <c r="K47" s="1845">
        <f>A44</f>
        <v>47</v>
      </c>
      <c r="L47" s="52" t="s">
        <v>5633</v>
      </c>
      <c r="M47" s="52"/>
      <c r="N47" s="52"/>
      <c r="O47" s="1845">
        <f>A45</f>
        <v>48</v>
      </c>
      <c r="P47" s="52" t="s">
        <v>5633</v>
      </c>
      <c r="Q47" s="58"/>
      <c r="R47" s="56"/>
      <c r="S47" s="632"/>
      <c r="T47" s="52"/>
      <c r="U47" s="52"/>
      <c r="V47" s="52"/>
      <c r="W47" s="52"/>
      <c r="X47" s="58"/>
      <c r="Y47" s="226"/>
    </row>
    <row r="48" spans="1:25" x14ac:dyDescent="0.25">
      <c r="A48" s="8">
        <v>49.1</v>
      </c>
      <c r="B48" s="17"/>
      <c r="C48" s="674"/>
      <c r="D48" s="52"/>
      <c r="E48" s="56"/>
      <c r="F48" s="56"/>
      <c r="G48" s="52"/>
      <c r="H48" s="632"/>
      <c r="I48" s="52"/>
      <c r="J48" s="58"/>
      <c r="K48" s="674"/>
      <c r="L48" s="1863"/>
      <c r="M48" s="52"/>
      <c r="N48" s="52"/>
      <c r="O48" s="52"/>
      <c r="P48" s="1863"/>
      <c r="Q48" s="58"/>
      <c r="R48" s="56"/>
      <c r="S48" s="632"/>
      <c r="T48" s="52"/>
      <c r="U48" s="52"/>
      <c r="V48" s="52"/>
      <c r="W48" s="52"/>
      <c r="X48" s="58"/>
      <c r="Y48" s="226"/>
    </row>
    <row r="49" spans="1:25" x14ac:dyDescent="0.25">
      <c r="A49" s="8">
        <v>50</v>
      </c>
      <c r="B49" s="17"/>
      <c r="C49" s="674"/>
      <c r="D49" s="1048"/>
      <c r="E49" s="632"/>
      <c r="F49" s="632"/>
      <c r="G49" s="1845">
        <f>A20</f>
        <v>11.1</v>
      </c>
      <c r="H49" s="52" t="s">
        <v>3890</v>
      </c>
      <c r="I49" s="52"/>
      <c r="J49" s="58"/>
      <c r="K49" s="632"/>
      <c r="L49" s="632"/>
      <c r="M49" s="632"/>
      <c r="N49" s="632"/>
      <c r="O49" s="632"/>
      <c r="P49" s="632"/>
      <c r="Q49" s="58"/>
      <c r="R49" s="56"/>
      <c r="S49" s="2402"/>
      <c r="T49" s="632"/>
      <c r="U49" s="632"/>
      <c r="V49" s="52"/>
      <c r="W49" s="52"/>
      <c r="X49" s="58"/>
      <c r="Y49" s="226"/>
    </row>
    <row r="50" spans="1:25" x14ac:dyDescent="0.25">
      <c r="A50" s="8">
        <v>51</v>
      </c>
      <c r="B50" s="17"/>
      <c r="C50" s="674"/>
      <c r="D50" s="1048"/>
      <c r="E50" s="632"/>
      <c r="F50" s="632"/>
      <c r="G50" s="52"/>
      <c r="H50" s="1846"/>
      <c r="I50" s="52"/>
      <c r="J50" s="58"/>
      <c r="K50" s="632"/>
      <c r="L50" s="632"/>
      <c r="M50" s="632"/>
      <c r="N50" s="632"/>
      <c r="O50" s="1845">
        <f>A46</f>
        <v>48.1</v>
      </c>
      <c r="P50" s="52" t="s">
        <v>3890</v>
      </c>
      <c r="Q50" s="58"/>
      <c r="R50" s="56"/>
      <c r="S50" s="2402"/>
      <c r="T50" s="632"/>
      <c r="U50" s="632"/>
      <c r="V50" s="52"/>
      <c r="W50" s="52"/>
      <c r="X50" s="58"/>
      <c r="Y50" s="226"/>
    </row>
    <row r="51" spans="1:25" x14ac:dyDescent="0.25">
      <c r="A51" s="8">
        <v>51.1</v>
      </c>
      <c r="B51" s="17"/>
      <c r="C51" s="674"/>
      <c r="D51" s="1048"/>
      <c r="E51" s="632"/>
      <c r="F51" s="632"/>
      <c r="G51" s="632"/>
      <c r="H51" s="632"/>
      <c r="I51" s="52"/>
      <c r="J51" s="58"/>
      <c r="K51" s="632"/>
      <c r="L51" s="632"/>
      <c r="M51" s="632"/>
      <c r="N51" s="632"/>
      <c r="O51" s="52"/>
      <c r="P51" s="1863"/>
      <c r="Q51" s="58"/>
      <c r="R51" s="56"/>
      <c r="S51" s="2402"/>
      <c r="T51" s="632"/>
      <c r="U51" s="632"/>
      <c r="V51" s="52"/>
      <c r="W51" s="52"/>
      <c r="X51" s="58"/>
      <c r="Y51" s="226"/>
    </row>
    <row r="52" spans="1:25" x14ac:dyDescent="0.25">
      <c r="A52" s="8">
        <v>52</v>
      </c>
      <c r="B52" s="226"/>
      <c r="C52" s="1845">
        <f>A21</f>
        <v>12</v>
      </c>
      <c r="D52" s="52" t="s">
        <v>5662</v>
      </c>
      <c r="E52" s="52"/>
      <c r="F52" s="52"/>
      <c r="G52" s="1845">
        <f>A22</f>
        <v>13</v>
      </c>
      <c r="H52" s="52" t="s">
        <v>5662</v>
      </c>
      <c r="I52" s="50"/>
      <c r="J52" s="58"/>
      <c r="K52" s="674"/>
      <c r="L52" s="52" t="s">
        <v>5663</v>
      </c>
      <c r="M52" s="52"/>
      <c r="N52" s="228"/>
      <c r="O52" s="56"/>
      <c r="P52" s="56"/>
      <c r="Q52" s="58"/>
      <c r="R52" s="56"/>
      <c r="S52" s="632"/>
      <c r="T52" s="52"/>
      <c r="U52" s="228"/>
      <c r="V52" s="52"/>
      <c r="W52" s="52"/>
      <c r="X52" s="58"/>
      <c r="Y52" s="226"/>
    </row>
    <row r="53" spans="1:25" x14ac:dyDescent="0.25">
      <c r="A53" s="8">
        <v>53</v>
      </c>
      <c r="B53" s="226"/>
      <c r="C53" s="674"/>
      <c r="D53" s="1863"/>
      <c r="E53" s="52"/>
      <c r="F53" s="52"/>
      <c r="G53" s="52"/>
      <c r="H53" s="1846"/>
      <c r="I53" s="50"/>
      <c r="J53" s="58"/>
      <c r="K53" s="1845">
        <f>A47</f>
        <v>49</v>
      </c>
      <c r="L53" s="52" t="s">
        <v>5664</v>
      </c>
      <c r="M53" s="52"/>
      <c r="N53" s="228"/>
      <c r="O53" s="1845">
        <f>A48</f>
        <v>49.1</v>
      </c>
      <c r="P53" s="52" t="s">
        <v>5634</v>
      </c>
      <c r="Q53" s="58"/>
      <c r="R53" s="56"/>
      <c r="S53" s="2402"/>
      <c r="T53" s="52"/>
      <c r="U53" s="228"/>
      <c r="V53" s="52"/>
      <c r="W53" s="52"/>
      <c r="X53" s="58"/>
      <c r="Y53" s="226"/>
    </row>
    <row r="54" spans="1:25" x14ac:dyDescent="0.25">
      <c r="A54" s="8">
        <v>53.1</v>
      </c>
      <c r="B54" s="226"/>
      <c r="C54" s="674"/>
      <c r="D54" s="228"/>
      <c r="E54" s="228"/>
      <c r="F54" s="228"/>
      <c r="G54" s="228"/>
      <c r="H54" s="228"/>
      <c r="I54" s="228"/>
      <c r="J54" s="58"/>
      <c r="K54" s="674"/>
      <c r="L54" s="1863"/>
      <c r="M54" s="50"/>
      <c r="N54" s="228"/>
      <c r="O54" s="52"/>
      <c r="P54" s="1846"/>
      <c r="Q54" s="58"/>
      <c r="R54" s="56"/>
      <c r="S54" s="632"/>
      <c r="T54" s="50"/>
      <c r="U54" s="228"/>
      <c r="V54" s="52"/>
      <c r="W54" s="52"/>
      <c r="X54" s="58"/>
      <c r="Y54" s="226"/>
    </row>
    <row r="55" spans="1:25" x14ac:dyDescent="0.25">
      <c r="A55" s="8">
        <v>54</v>
      </c>
      <c r="B55" s="226"/>
      <c r="C55" s="674"/>
      <c r="D55" s="228"/>
      <c r="E55" s="228"/>
      <c r="F55" s="228"/>
      <c r="G55" s="1951">
        <f>A23</f>
        <v>13</v>
      </c>
      <c r="H55" s="52" t="s">
        <v>3890</v>
      </c>
      <c r="I55" s="228"/>
      <c r="J55" s="58"/>
      <c r="K55" s="56"/>
      <c r="L55" s="56"/>
      <c r="M55" s="228"/>
      <c r="N55" s="228"/>
      <c r="O55" s="228"/>
      <c r="P55" s="228"/>
      <c r="Q55" s="58"/>
      <c r="R55" s="56"/>
      <c r="S55" s="632"/>
      <c r="T55" s="228"/>
      <c r="U55" s="228"/>
      <c r="V55" s="52"/>
      <c r="W55" s="52"/>
      <c r="X55" s="58"/>
      <c r="Y55" s="17"/>
    </row>
    <row r="56" spans="1:25" x14ac:dyDescent="0.25">
      <c r="A56" s="8">
        <v>54.1</v>
      </c>
      <c r="B56" s="226"/>
      <c r="C56" s="674"/>
      <c r="D56" s="228"/>
      <c r="E56" s="228"/>
      <c r="F56" s="228"/>
      <c r="G56" s="52"/>
      <c r="H56" s="1846"/>
      <c r="I56" s="228"/>
      <c r="J56" s="58"/>
      <c r="K56" s="682" t="s">
        <v>5630</v>
      </c>
      <c r="L56" s="56"/>
      <c r="M56" s="52"/>
      <c r="N56" s="52"/>
      <c r="O56" s="65" t="s">
        <v>5631</v>
      </c>
      <c r="P56" s="52"/>
      <c r="Q56" s="58"/>
      <c r="R56" s="56"/>
      <c r="S56" s="632"/>
      <c r="T56" s="52"/>
      <c r="U56" s="52"/>
      <c r="V56" s="52"/>
      <c r="W56" s="52"/>
      <c r="X56" s="58"/>
      <c r="Y56" s="17"/>
    </row>
    <row r="57" spans="1:25" x14ac:dyDescent="0.25">
      <c r="A57" s="8">
        <v>55</v>
      </c>
      <c r="B57" s="226"/>
      <c r="C57" s="674"/>
      <c r="D57" s="52" t="s">
        <v>5663</v>
      </c>
      <c r="E57" s="52"/>
      <c r="F57" s="228"/>
      <c r="G57" s="56"/>
      <c r="H57" s="56"/>
      <c r="I57" s="56"/>
      <c r="J57" s="58"/>
      <c r="K57" s="632"/>
      <c r="L57" s="632" t="s">
        <v>5665</v>
      </c>
      <c r="M57" s="632"/>
      <c r="N57" s="632"/>
      <c r="O57" s="632"/>
      <c r="P57" s="632" t="s">
        <v>5665</v>
      </c>
      <c r="Q57" s="58"/>
      <c r="R57" s="56"/>
      <c r="S57" s="632"/>
      <c r="T57" s="632"/>
      <c r="U57" s="632"/>
      <c r="V57" s="52"/>
      <c r="W57" s="52"/>
      <c r="X57" s="58"/>
      <c r="Y57" s="17"/>
    </row>
    <row r="58" spans="1:25" x14ac:dyDescent="0.25">
      <c r="A58" s="8">
        <v>55.1</v>
      </c>
      <c r="B58" s="226"/>
      <c r="C58" s="1845">
        <f>A24</f>
        <v>13.1</v>
      </c>
      <c r="D58" s="52" t="s">
        <v>5664</v>
      </c>
      <c r="E58" s="52"/>
      <c r="F58" s="228"/>
      <c r="G58" s="1845">
        <f>A25</f>
        <v>13.2</v>
      </c>
      <c r="H58" s="52" t="s">
        <v>5634</v>
      </c>
      <c r="I58" s="228"/>
      <c r="J58" s="58"/>
      <c r="K58" s="1845">
        <f>A49</f>
        <v>50</v>
      </c>
      <c r="L58" s="52" t="s">
        <v>5633</v>
      </c>
      <c r="M58" s="52"/>
      <c r="N58" s="52"/>
      <c r="O58" s="1845">
        <f>A50</f>
        <v>51</v>
      </c>
      <c r="P58" s="52" t="s">
        <v>5633</v>
      </c>
      <c r="Q58" s="58"/>
      <c r="R58" s="56"/>
      <c r="S58" s="632"/>
      <c r="T58" s="52"/>
      <c r="U58" s="52"/>
      <c r="V58" s="52"/>
      <c r="W58" s="52"/>
      <c r="X58" s="58"/>
      <c r="Y58" s="17"/>
    </row>
    <row r="59" spans="1:25" x14ac:dyDescent="0.25">
      <c r="A59" s="8">
        <v>56</v>
      </c>
      <c r="B59" s="226"/>
      <c r="C59" s="674"/>
      <c r="D59" s="1863"/>
      <c r="E59" s="50"/>
      <c r="F59" s="228"/>
      <c r="G59" s="52"/>
      <c r="H59" s="1846"/>
      <c r="I59" s="52"/>
      <c r="J59" s="58"/>
      <c r="K59" s="674"/>
      <c r="L59" s="1863"/>
      <c r="M59" s="52"/>
      <c r="N59" s="52"/>
      <c r="O59" s="52"/>
      <c r="P59" s="1863"/>
      <c r="Q59" s="58"/>
      <c r="R59" s="56"/>
      <c r="S59" s="632"/>
      <c r="T59" s="52"/>
      <c r="U59" s="52"/>
      <c r="V59" s="52"/>
      <c r="W59" s="52"/>
      <c r="X59" s="58"/>
      <c r="Y59" s="17"/>
    </row>
    <row r="60" spans="1:25" x14ac:dyDescent="0.25">
      <c r="A60" s="8">
        <v>56.1</v>
      </c>
      <c r="B60" s="226"/>
      <c r="C60" s="674"/>
      <c r="D60" s="1048"/>
      <c r="E60" s="632"/>
      <c r="F60" s="632"/>
      <c r="G60" s="632"/>
      <c r="H60" s="632"/>
      <c r="I60" s="632"/>
      <c r="J60" s="58"/>
      <c r="K60" s="632"/>
      <c r="L60" s="632"/>
      <c r="M60" s="632"/>
      <c r="N60" s="632"/>
      <c r="O60" s="632"/>
      <c r="P60" s="632"/>
      <c r="Q60" s="58"/>
      <c r="R60" s="632"/>
      <c r="S60" s="632"/>
      <c r="T60" s="632"/>
      <c r="U60" s="632"/>
      <c r="V60" s="632"/>
      <c r="W60" s="632"/>
      <c r="X60" s="58"/>
      <c r="Y60" s="17"/>
    </row>
    <row r="61" spans="1:25" x14ac:dyDescent="0.25">
      <c r="A61" s="8">
        <v>57</v>
      </c>
      <c r="B61" s="226"/>
      <c r="C61" s="674"/>
      <c r="D61" s="1048"/>
      <c r="E61" s="632"/>
      <c r="F61" s="632"/>
      <c r="G61" s="632"/>
      <c r="H61" s="632"/>
      <c r="I61" s="632"/>
      <c r="J61" s="58"/>
      <c r="K61" s="632"/>
      <c r="L61" s="632"/>
      <c r="M61" s="632"/>
      <c r="N61" s="632"/>
      <c r="O61" s="1845">
        <f>A51</f>
        <v>51.1</v>
      </c>
      <c r="P61" s="52" t="s">
        <v>3890</v>
      </c>
      <c r="Q61" s="58"/>
      <c r="R61" s="632"/>
      <c r="S61" s="632"/>
      <c r="T61" s="632"/>
      <c r="U61" s="632"/>
      <c r="V61" s="632"/>
      <c r="W61" s="632"/>
      <c r="X61" s="58"/>
      <c r="Y61" s="17"/>
    </row>
    <row r="62" spans="1:25" x14ac:dyDescent="0.25">
      <c r="A62" s="8">
        <v>57.1</v>
      </c>
      <c r="B62" s="226"/>
      <c r="C62" s="674"/>
      <c r="D62" s="1048"/>
      <c r="E62" s="632"/>
      <c r="F62" s="632"/>
      <c r="G62" s="632"/>
      <c r="H62" s="632"/>
      <c r="I62" s="632"/>
      <c r="J62" s="58"/>
      <c r="K62" s="632"/>
      <c r="L62" s="632"/>
      <c r="M62" s="632"/>
      <c r="N62" s="632"/>
      <c r="O62" s="632"/>
      <c r="P62" s="1863"/>
      <c r="Q62" s="58"/>
      <c r="R62" s="632"/>
      <c r="S62" s="632"/>
      <c r="T62" s="632"/>
      <c r="U62" s="632"/>
      <c r="V62" s="632"/>
      <c r="W62" s="632"/>
      <c r="X62" s="58"/>
      <c r="Y62" s="17"/>
    </row>
    <row r="63" spans="1:25" x14ac:dyDescent="0.25">
      <c r="A63" s="8">
        <v>58</v>
      </c>
      <c r="B63" s="226"/>
      <c r="C63" s="1922"/>
      <c r="D63" s="1967"/>
      <c r="E63" s="1967"/>
      <c r="F63" s="1967"/>
      <c r="G63" s="1967"/>
      <c r="H63" s="1967"/>
      <c r="I63" s="1923"/>
      <c r="J63" s="1924"/>
      <c r="K63" s="1923"/>
      <c r="L63" s="1967"/>
      <c r="M63" s="1923"/>
      <c r="N63" s="1923"/>
      <c r="O63" s="1923"/>
      <c r="P63" s="1923"/>
      <c r="Q63" s="1924"/>
      <c r="R63" s="1923"/>
      <c r="S63" s="1967"/>
      <c r="T63" s="1923"/>
      <c r="U63" s="1923"/>
      <c r="V63" s="1923"/>
      <c r="W63" s="1923"/>
      <c r="X63" s="1924"/>
      <c r="Y63" s="17"/>
    </row>
    <row r="64" spans="1:25" x14ac:dyDescent="0.25">
      <c r="A64" s="8">
        <v>58.1</v>
      </c>
      <c r="B64" s="226"/>
      <c r="C64" s="17"/>
      <c r="D64" s="17"/>
      <c r="E64" s="17"/>
      <c r="F64" s="17"/>
      <c r="G64" s="17"/>
      <c r="H64" s="17"/>
      <c r="I64" s="17"/>
      <c r="J64" s="17"/>
      <c r="K64" s="17"/>
      <c r="L64" s="17"/>
      <c r="M64" s="17"/>
      <c r="N64" s="17"/>
      <c r="O64" s="17"/>
      <c r="P64" s="17"/>
      <c r="Q64" s="17"/>
      <c r="R64" s="17"/>
      <c r="S64" s="17"/>
      <c r="T64" s="17"/>
      <c r="U64" s="17"/>
      <c r="V64" s="17"/>
      <c r="W64" s="17"/>
      <c r="X64" s="17"/>
      <c r="Y64" s="226"/>
    </row>
    <row r="65" spans="1:1" x14ac:dyDescent="0.25">
      <c r="A65" s="8">
        <v>59</v>
      </c>
    </row>
    <row r="66" spans="1:1" x14ac:dyDescent="0.25">
      <c r="A66" s="8">
        <v>59.1</v>
      </c>
    </row>
    <row r="67" spans="1:1" x14ac:dyDescent="0.25">
      <c r="A67" s="8">
        <v>60</v>
      </c>
    </row>
    <row r="68" spans="1:1" x14ac:dyDescent="0.25">
      <c r="A68" s="8">
        <v>60.1</v>
      </c>
    </row>
    <row r="69" spans="1:1" x14ac:dyDescent="0.25">
      <c r="A69" s="8">
        <v>61</v>
      </c>
    </row>
    <row r="70" spans="1:1" x14ac:dyDescent="0.25">
      <c r="A70" s="8">
        <v>61.1</v>
      </c>
    </row>
    <row r="71" spans="1:1" x14ac:dyDescent="0.25">
      <c r="A71" s="8">
        <v>62</v>
      </c>
    </row>
    <row r="72" spans="1:1" x14ac:dyDescent="0.25">
      <c r="A72" s="8">
        <v>62.1</v>
      </c>
    </row>
    <row r="73" spans="1:1" x14ac:dyDescent="0.25">
      <c r="A73" s="8">
        <v>63</v>
      </c>
    </row>
    <row r="74" spans="1:1" x14ac:dyDescent="0.25">
      <c r="A74" s="8">
        <v>63.1</v>
      </c>
    </row>
    <row r="75" spans="1:1" x14ac:dyDescent="0.25">
      <c r="A75" s="8">
        <v>64</v>
      </c>
    </row>
    <row r="76" spans="1:1" x14ac:dyDescent="0.25">
      <c r="A76" s="8">
        <v>64.099999999999994</v>
      </c>
    </row>
  </sheetData>
  <phoneticPr fontId="58" type="noConversion"/>
  <pageMargins left="0.196850393700787" right="0.196850393700787" top="0.196850393700787" bottom="0.196850393700787" header="0" footer="0"/>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autoFill="0" autoPict="0" macro="[0]!Show_TCR">
                <anchor>
                  <from>
                    <xdr:col>6</xdr:col>
                    <xdr:colOff>203200</xdr:colOff>
                    <xdr:row>7</xdr:row>
                    <xdr:rowOff>107950</xdr:rowOff>
                  </from>
                  <to>
                    <xdr:col>8</xdr:col>
                    <xdr:colOff>431800</xdr:colOff>
                    <xdr:row>10</xdr:row>
                    <xdr:rowOff>69850</xdr:rowOff>
                  </to>
                </anchor>
              </controlPr>
            </control>
          </mc:Choice>
        </mc:AlternateContent>
        <mc:AlternateContent xmlns:mc="http://schemas.openxmlformats.org/markup-compatibility/2006">
          <mc:Choice Requires="x14">
            <control shapeId="23563" r:id="rId5" name="Button 11">
              <controlPr defaultSize="0" print="0" autoFill="0" autoPict="0" macro="[0]!show_multi_foreign_gains">
                <anchor>
                  <from>
                    <xdr:col>13</xdr:col>
                    <xdr:colOff>88900</xdr:colOff>
                    <xdr:row>40</xdr:row>
                    <xdr:rowOff>146050</xdr:rowOff>
                  </from>
                  <to>
                    <xdr:col>16</xdr:col>
                    <xdr:colOff>488950</xdr:colOff>
                    <xdr:row>42</xdr:row>
                    <xdr:rowOff>107950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dimension ref="A1:O30"/>
  <sheetViews>
    <sheetView showRowColHeaders="0" workbookViewId="0">
      <selection activeCell="F29" sqref="F29"/>
    </sheetView>
  </sheetViews>
  <sheetFormatPr defaultRowHeight="12.5" x14ac:dyDescent="0.25"/>
  <cols>
    <col min="1" max="1" width="3.54296875" customWidth="1"/>
    <col min="4" max="4" width="4.54296875" customWidth="1"/>
    <col min="7" max="7" width="5.1796875" customWidth="1"/>
    <col min="8" max="8" width="13.1796875" customWidth="1"/>
    <col min="10" max="10" width="14.81640625" customWidth="1"/>
    <col min="11" max="11" width="4.453125" customWidth="1"/>
    <col min="12" max="12" width="5.453125" customWidth="1"/>
    <col min="13" max="13" width="8.453125" style="180" customWidth="1"/>
    <col min="14" max="14" width="10.1796875" customWidth="1"/>
    <col min="15" max="15" width="15.1796875" customWidth="1"/>
  </cols>
  <sheetData>
    <row r="1" spans="1:15" x14ac:dyDescent="0.25">
      <c r="A1" s="761"/>
      <c r="B1" s="761"/>
      <c r="C1" s="761"/>
      <c r="D1" s="761"/>
      <c r="E1" s="761"/>
      <c r="F1" s="761"/>
      <c r="G1" s="761"/>
      <c r="H1" s="761"/>
      <c r="I1" s="761"/>
      <c r="J1" s="761"/>
      <c r="K1" s="761"/>
      <c r="L1" s="761"/>
      <c r="M1" s="762"/>
      <c r="N1" s="761"/>
      <c r="O1" s="761"/>
    </row>
    <row r="2" spans="1:15" x14ac:dyDescent="0.25">
      <c r="A2" s="761"/>
      <c r="B2" s="761"/>
      <c r="C2" s="763" t="s">
        <v>5666</v>
      </c>
      <c r="D2" s="761"/>
      <c r="E2" s="761"/>
      <c r="F2" s="761"/>
      <c r="G2" s="761"/>
      <c r="H2" s="761"/>
      <c r="I2" s="761"/>
      <c r="J2" s="761"/>
      <c r="K2" s="761"/>
      <c r="L2" s="761"/>
      <c r="M2" s="762"/>
      <c r="N2" s="761"/>
      <c r="O2" s="761"/>
    </row>
    <row r="3" spans="1:15" x14ac:dyDescent="0.25">
      <c r="A3" s="761"/>
      <c r="B3" s="761"/>
      <c r="C3" s="763" t="str">
        <f>"meet his total UK tax liability."</f>
        <v>meet his total UK tax liability.</v>
      </c>
      <c r="D3" s="761"/>
      <c r="E3" s="761"/>
      <c r="F3" s="761"/>
      <c r="G3" s="761"/>
      <c r="H3" s="761"/>
      <c r="I3" s="761"/>
      <c r="J3" s="761"/>
      <c r="K3" s="761"/>
      <c r="L3" s="761"/>
      <c r="M3" s="762"/>
      <c r="N3" s="761"/>
      <c r="O3" s="761"/>
    </row>
    <row r="4" spans="1:15" x14ac:dyDescent="0.25">
      <c r="A4" s="761"/>
      <c r="B4" s="761"/>
      <c r="C4" s="761" t="str">
        <f>"Swiss income included in boxes "&amp;FOR!G18&amp;" and "&amp;FOR!G24&amp;" of the foreign pages."</f>
        <v>Swiss income included in boxes 4 and 6 of the foreign pages.</v>
      </c>
      <c r="D4" s="761"/>
      <c r="E4" s="761"/>
      <c r="F4" s="761"/>
      <c r="G4" s="761"/>
      <c r="H4" s="761"/>
      <c r="I4" s="761"/>
      <c r="J4" s="761"/>
      <c r="K4" s="761"/>
      <c r="L4" s="761"/>
      <c r="M4" s="762"/>
      <c r="N4" s="764" t="s">
        <v>5667</v>
      </c>
      <c r="O4" s="761"/>
    </row>
    <row r="5" spans="1:15" x14ac:dyDescent="0.25">
      <c r="A5" s="761"/>
      <c r="B5" s="761"/>
      <c r="C5" s="761"/>
      <c r="D5" s="761"/>
      <c r="E5" s="761"/>
      <c r="F5" s="761"/>
      <c r="G5" s="761"/>
      <c r="H5" s="761"/>
      <c r="I5" s="761"/>
      <c r="J5" s="761"/>
      <c r="K5" s="761"/>
      <c r="L5" s="761"/>
      <c r="M5" s="762"/>
      <c r="N5" s="764" t="s">
        <v>5668</v>
      </c>
      <c r="O5" s="761"/>
    </row>
    <row r="6" spans="1:15" x14ac:dyDescent="0.25">
      <c r="A6" s="761"/>
      <c r="B6" s="761"/>
      <c r="C6" s="763" t="s">
        <v>5669</v>
      </c>
      <c r="D6" s="761"/>
      <c r="E6" s="761"/>
      <c r="F6" s="761"/>
      <c r="G6" s="761"/>
      <c r="H6" s="761"/>
      <c r="I6" s="761"/>
      <c r="J6" s="761"/>
      <c r="K6" s="761"/>
      <c r="L6" s="761"/>
      <c r="M6" s="762"/>
      <c r="N6" s="761"/>
      <c r="O6" s="761"/>
    </row>
    <row r="7" spans="1:15" x14ac:dyDescent="0.25">
      <c r="A7" s="761"/>
      <c r="B7" s="761"/>
      <c r="C7" s="1968" t="s">
        <v>5670</v>
      </c>
      <c r="D7" s="1969"/>
      <c r="E7" s="1969"/>
      <c r="F7" s="1969"/>
      <c r="G7" s="1970" t="s">
        <v>5630</v>
      </c>
      <c r="H7" s="1969"/>
      <c r="I7" s="1969"/>
      <c r="J7" s="1971" t="s">
        <v>5631</v>
      </c>
      <c r="K7" s="1972"/>
      <c r="L7" s="761"/>
      <c r="M7" s="762"/>
      <c r="N7" s="761"/>
      <c r="O7" s="761"/>
    </row>
    <row r="8" spans="1:15" x14ac:dyDescent="0.25">
      <c r="A8" s="761"/>
      <c r="B8" s="761"/>
      <c r="C8" s="765"/>
      <c r="D8" s="766"/>
      <c r="E8" s="766"/>
      <c r="F8" s="766"/>
      <c r="G8" s="766"/>
      <c r="H8" s="766"/>
      <c r="I8" s="766"/>
      <c r="J8" s="766"/>
      <c r="K8" s="767"/>
      <c r="L8" s="761"/>
      <c r="M8" s="762"/>
      <c r="N8" s="761"/>
      <c r="O8" s="761"/>
    </row>
    <row r="9" spans="1:15" x14ac:dyDescent="0.25">
      <c r="A9" s="761"/>
      <c r="B9" s="761"/>
      <c r="C9" s="765"/>
      <c r="D9" s="1973" t="s">
        <v>3905</v>
      </c>
      <c r="E9" s="766"/>
      <c r="F9" s="766"/>
      <c r="G9" s="766"/>
      <c r="H9" s="1974"/>
      <c r="I9" s="766"/>
      <c r="J9" s="1975"/>
      <c r="K9" s="767"/>
      <c r="L9" s="761"/>
      <c r="M9" s="1976">
        <f>FOR!G18</f>
        <v>4</v>
      </c>
      <c r="N9" s="1977"/>
      <c r="O9" s="761"/>
    </row>
    <row r="10" spans="1:15" x14ac:dyDescent="0.25">
      <c r="A10" s="761"/>
      <c r="B10" s="761"/>
      <c r="C10" s="1978"/>
      <c r="D10" s="1979"/>
      <c r="E10" s="1979"/>
      <c r="F10" s="1979"/>
      <c r="G10" s="1979"/>
      <c r="H10" s="1979"/>
      <c r="I10" s="1979"/>
      <c r="J10" s="1979"/>
      <c r="K10" s="1980"/>
      <c r="L10" s="761"/>
      <c r="M10" s="762"/>
      <c r="N10" s="761"/>
      <c r="O10" s="761"/>
    </row>
    <row r="11" spans="1:15" x14ac:dyDescent="0.25">
      <c r="A11" s="761"/>
      <c r="B11" s="761"/>
      <c r="C11" s="761"/>
      <c r="D11" s="761"/>
      <c r="E11" s="761"/>
      <c r="F11" s="761"/>
      <c r="G11" s="761"/>
      <c r="H11" s="761"/>
      <c r="I11" s="761"/>
      <c r="J11" s="761"/>
      <c r="K11" s="761"/>
      <c r="L11" s="761"/>
      <c r="M11" s="762"/>
      <c r="N11" s="761"/>
      <c r="O11" s="761"/>
    </row>
    <row r="12" spans="1:15" x14ac:dyDescent="0.25">
      <c r="A12" s="761"/>
      <c r="B12" s="761"/>
      <c r="C12" s="763" t="s">
        <v>5671</v>
      </c>
      <c r="D12" s="761"/>
      <c r="E12" s="761"/>
      <c r="F12" s="761"/>
      <c r="G12" s="761"/>
      <c r="H12" s="761"/>
      <c r="I12" s="761"/>
      <c r="J12" s="761"/>
      <c r="K12" s="761"/>
      <c r="L12" s="761"/>
      <c r="M12" s="762"/>
      <c r="N12" s="761"/>
      <c r="O12" s="761"/>
    </row>
    <row r="13" spans="1:15" x14ac:dyDescent="0.25">
      <c r="A13" s="761"/>
      <c r="B13" s="761"/>
      <c r="C13" s="761" t="s">
        <v>5672</v>
      </c>
      <c r="D13" s="761"/>
      <c r="E13" s="761"/>
      <c r="F13" s="761"/>
      <c r="G13" s="761"/>
      <c r="H13" s="761"/>
      <c r="I13" s="761"/>
      <c r="J13" s="761"/>
      <c r="K13" s="761"/>
      <c r="L13" s="761"/>
      <c r="M13" s="762"/>
      <c r="N13" s="761"/>
      <c r="O13" s="761"/>
    </row>
    <row r="14" spans="1:15" x14ac:dyDescent="0.25">
      <c r="A14" s="761"/>
      <c r="B14" s="761"/>
      <c r="C14" s="1968" t="s">
        <v>5670</v>
      </c>
      <c r="D14" s="1969"/>
      <c r="E14" s="1969"/>
      <c r="F14" s="1969"/>
      <c r="G14" s="1970" t="s">
        <v>5630</v>
      </c>
      <c r="H14" s="1969"/>
      <c r="I14" s="1969"/>
      <c r="J14" s="1971" t="s">
        <v>5631</v>
      </c>
      <c r="K14" s="1972"/>
      <c r="L14" s="761"/>
      <c r="M14" s="762"/>
      <c r="N14" s="761"/>
      <c r="O14" s="761"/>
    </row>
    <row r="15" spans="1:15" x14ac:dyDescent="0.25">
      <c r="A15" s="761"/>
      <c r="B15" s="761"/>
      <c r="C15" s="765"/>
      <c r="D15" s="766"/>
      <c r="E15" s="766"/>
      <c r="F15" s="766"/>
      <c r="G15" s="766"/>
      <c r="H15" s="766"/>
      <c r="I15" s="766"/>
      <c r="J15" s="766"/>
      <c r="K15" s="767"/>
      <c r="L15" s="761"/>
      <c r="M15" s="762"/>
      <c r="N15" s="761"/>
      <c r="O15" s="761"/>
    </row>
    <row r="16" spans="1:15" x14ac:dyDescent="0.25">
      <c r="A16" s="761"/>
      <c r="B16" s="761"/>
      <c r="C16" s="765"/>
      <c r="D16" s="1973" t="s">
        <v>3905</v>
      </c>
      <c r="E16" s="766"/>
      <c r="F16" s="766"/>
      <c r="G16" s="766"/>
      <c r="H16" s="1974"/>
      <c r="I16" s="766"/>
      <c r="J16" s="1975"/>
      <c r="K16" s="767"/>
      <c r="L16" s="761"/>
      <c r="M16" s="1976" t="str">
        <f>FOR!G24&amp;" minus "&amp;FOR!G26</f>
        <v xml:space="preserve">6 minus </v>
      </c>
      <c r="N16" s="1977"/>
      <c r="O16" s="761"/>
    </row>
    <row r="17" spans="1:15" x14ac:dyDescent="0.25">
      <c r="A17" s="761"/>
      <c r="B17" s="761"/>
      <c r="C17" s="1978"/>
      <c r="D17" s="1979"/>
      <c r="E17" s="1979"/>
      <c r="F17" s="1979"/>
      <c r="G17" s="1979"/>
      <c r="H17" s="1979"/>
      <c r="I17" s="1979"/>
      <c r="J17" s="1979"/>
      <c r="K17" s="1980"/>
      <c r="L17" s="761"/>
      <c r="M17" s="762"/>
      <c r="N17" s="761"/>
      <c r="O17" s="761"/>
    </row>
    <row r="18" spans="1:15" ht="13" x14ac:dyDescent="0.3">
      <c r="A18" s="761"/>
      <c r="B18" s="761"/>
      <c r="C18" s="768" t="s">
        <v>5673</v>
      </c>
      <c r="D18" s="761"/>
      <c r="E18" s="761"/>
      <c r="F18" s="761"/>
      <c r="G18" s="761"/>
      <c r="H18" s="761"/>
      <c r="I18" s="761"/>
      <c r="J18" s="761"/>
      <c r="K18" s="761"/>
      <c r="L18" s="761"/>
      <c r="M18" s="762"/>
      <c r="N18" s="761"/>
      <c r="O18" s="761"/>
    </row>
    <row r="19" spans="1:15" x14ac:dyDescent="0.25">
      <c r="A19" s="761"/>
      <c r="B19" s="761"/>
      <c r="C19" s="761"/>
      <c r="D19" s="761"/>
      <c r="E19" s="761"/>
      <c r="F19" s="761"/>
      <c r="G19" s="761"/>
      <c r="H19" s="761"/>
      <c r="I19" s="761"/>
      <c r="J19" s="761"/>
      <c r="K19" s="761"/>
      <c r="L19" s="761"/>
      <c r="M19" s="762"/>
      <c r="N19" s="761"/>
      <c r="O19" s="761"/>
    </row>
    <row r="20" spans="1:15" x14ac:dyDescent="0.25">
      <c r="A20" s="761"/>
      <c r="B20" s="761"/>
      <c r="C20" s="761" t="s">
        <v>5674</v>
      </c>
      <c r="D20" s="761"/>
      <c r="E20" s="761"/>
      <c r="F20" s="761"/>
      <c r="G20" s="761"/>
      <c r="H20" s="761"/>
      <c r="I20" s="761"/>
      <c r="J20" s="761"/>
      <c r="K20" s="761"/>
      <c r="L20" s="761"/>
      <c r="M20" s="762"/>
      <c r="N20" s="761"/>
      <c r="O20" s="761"/>
    </row>
    <row r="21" spans="1:15" x14ac:dyDescent="0.25">
      <c r="A21" s="761"/>
      <c r="B21" s="761"/>
      <c r="C21" s="1968" t="s">
        <v>5670</v>
      </c>
      <c r="D21" s="1969"/>
      <c r="E21" s="1969"/>
      <c r="F21" s="1969"/>
      <c r="G21" s="1970" t="s">
        <v>5630</v>
      </c>
      <c r="H21" s="1969"/>
      <c r="I21" s="1969"/>
      <c r="J21" s="1971" t="s">
        <v>5631</v>
      </c>
      <c r="K21" s="1972"/>
      <c r="L21" s="761"/>
      <c r="M21" s="762"/>
      <c r="N21" s="761"/>
      <c r="O21" s="761"/>
    </row>
    <row r="22" spans="1:15" x14ac:dyDescent="0.25">
      <c r="A22" s="761"/>
      <c r="B22" s="761"/>
      <c r="C22" s="765"/>
      <c r="D22" s="766"/>
      <c r="E22" s="766"/>
      <c r="F22" s="766"/>
      <c r="G22" s="766"/>
      <c r="H22" s="766"/>
      <c r="I22" s="766"/>
      <c r="J22" s="766"/>
      <c r="K22" s="767"/>
      <c r="L22" s="761"/>
      <c r="M22" s="762"/>
      <c r="N22" s="761"/>
      <c r="O22" s="761"/>
    </row>
    <row r="23" spans="1:15" x14ac:dyDescent="0.25">
      <c r="A23" s="761"/>
      <c r="B23" s="761"/>
      <c r="C23" s="765"/>
      <c r="D23" s="1973" t="s">
        <v>3905</v>
      </c>
      <c r="E23" s="766"/>
      <c r="F23" s="766"/>
      <c r="G23" s="766"/>
      <c r="H23" s="1974"/>
      <c r="I23" s="766"/>
      <c r="J23" s="1975"/>
      <c r="K23" s="767"/>
      <c r="L23" s="761"/>
      <c r="M23" s="1976">
        <f>FOR!G26</f>
        <v>0</v>
      </c>
      <c r="N23" s="1977"/>
      <c r="O23" s="761"/>
    </row>
    <row r="24" spans="1:15" x14ac:dyDescent="0.25">
      <c r="A24" s="761"/>
      <c r="B24" s="761"/>
      <c r="C24" s="1978"/>
      <c r="D24" s="1979"/>
      <c r="E24" s="1979"/>
      <c r="F24" s="1979"/>
      <c r="G24" s="1979"/>
      <c r="H24" s="1979"/>
      <c r="I24" s="1979"/>
      <c r="J24" s="1979"/>
      <c r="K24" s="1980"/>
      <c r="L24" s="761"/>
      <c r="M24" s="762"/>
      <c r="N24" s="761"/>
      <c r="O24" s="761"/>
    </row>
    <row r="25" spans="1:15" ht="13" x14ac:dyDescent="0.3">
      <c r="A25" s="761"/>
      <c r="B25" s="761"/>
      <c r="C25" s="768" t="s">
        <v>5675</v>
      </c>
      <c r="D25" s="761"/>
      <c r="E25" s="761"/>
      <c r="F25" s="761"/>
      <c r="G25" s="761"/>
      <c r="H25" s="761"/>
      <c r="I25" s="761"/>
      <c r="J25" s="761"/>
      <c r="K25" s="761"/>
      <c r="L25" s="761"/>
      <c r="M25" s="762"/>
      <c r="N25" s="761"/>
      <c r="O25" s="761"/>
    </row>
    <row r="26" spans="1:15" ht="13" x14ac:dyDescent="0.3">
      <c r="A26" s="761"/>
      <c r="B26" s="761"/>
      <c r="C26" s="768"/>
      <c r="D26" s="761"/>
      <c r="E26" s="761"/>
      <c r="F26" s="761"/>
      <c r="G26" s="761"/>
      <c r="H26" s="761"/>
      <c r="I26" s="761"/>
      <c r="J26" s="761"/>
      <c r="K26" s="761"/>
      <c r="L26" s="761"/>
      <c r="M26" s="762"/>
      <c r="N26" s="761"/>
      <c r="O26" s="761"/>
    </row>
    <row r="27" spans="1:15" x14ac:dyDescent="0.25">
      <c r="A27" s="761"/>
      <c r="B27" s="761"/>
      <c r="C27" s="761"/>
      <c r="D27" s="761"/>
      <c r="E27" s="761"/>
      <c r="F27" s="761"/>
      <c r="G27" s="761"/>
      <c r="H27" s="761"/>
      <c r="I27" s="761"/>
      <c r="J27" s="761"/>
      <c r="K27" s="761"/>
      <c r="L27" s="761"/>
      <c r="M27" s="762"/>
      <c r="N27" s="761"/>
      <c r="O27" s="761"/>
    </row>
    <row r="28" spans="1:15" x14ac:dyDescent="0.25">
      <c r="A28" s="761"/>
      <c r="B28" s="761"/>
      <c r="C28" s="761"/>
      <c r="D28" s="761"/>
      <c r="E28" s="761"/>
      <c r="F28" s="761"/>
      <c r="G28" s="761"/>
      <c r="H28" s="761"/>
      <c r="I28" s="761"/>
      <c r="J28" s="761"/>
      <c r="K28" s="761"/>
      <c r="L28" s="761"/>
      <c r="M28" s="762"/>
      <c r="N28" s="761"/>
      <c r="O28" s="761"/>
    </row>
    <row r="29" spans="1:15" x14ac:dyDescent="0.25">
      <c r="A29" s="761"/>
      <c r="B29" s="761"/>
      <c r="C29" s="761"/>
      <c r="D29" s="761"/>
      <c r="E29" s="761"/>
      <c r="F29" s="761"/>
      <c r="G29" s="761"/>
      <c r="H29" s="761"/>
      <c r="I29" s="761"/>
      <c r="J29" s="761"/>
      <c r="K29" s="761"/>
      <c r="L29" s="761"/>
      <c r="M29" s="762"/>
      <c r="N29" s="761"/>
      <c r="O29" s="761"/>
    </row>
    <row r="30" spans="1:15" x14ac:dyDescent="0.25">
      <c r="A30" s="761"/>
      <c r="B30" s="761"/>
      <c r="C30" s="761"/>
      <c r="D30" s="761"/>
      <c r="E30" s="761"/>
      <c r="F30" s="761"/>
      <c r="G30" s="761"/>
      <c r="H30" s="761"/>
      <c r="I30" s="761"/>
      <c r="J30" s="761"/>
      <c r="K30" s="761"/>
      <c r="L30" s="761"/>
      <c r="M30" s="762"/>
      <c r="N30" s="761"/>
      <c r="O30" s="761"/>
    </row>
  </sheetData>
  <phoneticPr fontId="58" type="noConversion"/>
  <dataValidations count="3">
    <dataValidation type="whole" operator="lessThanOrEqual" allowBlank="1" showErrorMessage="1" error="Taxable amount cannot exceed box FOR7" prompt="Taxable amount cannot exceed box 7" sqref="J23" xr:uid="{00000000-0002-0000-2C00-000000000000}">
      <formula1>N23</formula1>
    </dataValidation>
    <dataValidation type="whole" operator="lessThanOrEqual" allowBlank="1" showErrorMessage="1" error="Taxable amount cannot exceed box FOR6 minus box FOR7" prompt="Taxable amount cannot exceed box FOR6" sqref="J16" xr:uid="{00000000-0002-0000-2C00-000001000000}">
      <formula1>N16</formula1>
    </dataValidation>
    <dataValidation type="whole" operator="lessThanOrEqual" allowBlank="1" showErrorMessage="1" error="Taxable amount cannot exceed box FOR4" prompt="Taxable amount cannot exceed box FOR4" sqref="J9" xr:uid="{00000000-0002-0000-2C00-000002000000}">
      <formula1>N9</formula1>
    </dataValidation>
  </dataValidations>
  <pageMargins left="0.75" right="0.75" top="1" bottom="1" header="0.5" footer="0.5"/>
  <pageSetup paperSize="9" orientation="portrait" r:id="rId1"/>
  <headerFooter alignWithMargins="0">
    <oddFooter>&amp;C&amp;1#&amp;"Calibri"&amp;10&amp;K000000OFFICIAL-SENSITIVE</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pageSetUpPr fitToPage="1"/>
  </sheetPr>
  <dimension ref="A1:AH245"/>
  <sheetViews>
    <sheetView zoomScale="90" workbookViewId="0">
      <selection activeCell="E9" sqref="E9"/>
    </sheetView>
  </sheetViews>
  <sheetFormatPr defaultRowHeight="12.5" x14ac:dyDescent="0.25"/>
  <cols>
    <col min="1" max="1" width="2.1796875" customWidth="1"/>
    <col min="2" max="2" width="7.1796875" customWidth="1"/>
    <col min="3" max="3" width="33" customWidth="1"/>
    <col min="4" max="4" width="6.1796875" customWidth="1"/>
    <col min="5" max="5" width="13.81640625" bestFit="1" customWidth="1"/>
    <col min="6" max="6" width="6.1796875" customWidth="1"/>
    <col min="7" max="7" width="14.54296875" customWidth="1"/>
    <col min="8" max="8" width="6.1796875" customWidth="1"/>
    <col min="9" max="9" width="14.54296875" customWidth="1"/>
    <col min="10" max="10" width="6.1796875" customWidth="1"/>
    <col min="11" max="11" width="16.54296875" customWidth="1"/>
    <col min="12" max="12" width="6.1796875" customWidth="1"/>
    <col min="13" max="13" width="14.54296875" customWidth="1"/>
    <col min="14" max="14" width="1.54296875" customWidth="1"/>
    <col min="15" max="15" width="35.81640625" customWidth="1"/>
    <col min="16" max="16" width="7.54296875" customWidth="1"/>
    <col min="17" max="17" width="7.26953125" customWidth="1"/>
    <col min="18" max="18" width="6.7265625" customWidth="1"/>
    <col min="19" max="19" width="38.1796875" customWidth="1"/>
    <col min="20" max="20" width="2.1796875" customWidth="1"/>
    <col min="21" max="21" width="8.7265625" customWidth="1"/>
    <col min="22" max="22" width="13.453125" customWidth="1"/>
    <col min="23" max="23" width="26.453125" customWidth="1"/>
    <col min="24" max="24" width="4.7265625" customWidth="1"/>
    <col min="25" max="25" width="39.7265625" customWidth="1"/>
    <col min="26" max="26" width="19.7265625" customWidth="1"/>
    <col min="27" max="27" width="11.7265625" customWidth="1"/>
    <col min="28" max="28" width="17.81640625" customWidth="1"/>
    <col min="29" max="29" width="37.54296875" customWidth="1"/>
    <col min="30" max="30" width="27.453125" customWidth="1"/>
    <col min="31" max="31" width="40.7265625" customWidth="1"/>
    <col min="32" max="32" width="35.81640625" customWidth="1"/>
    <col min="33" max="33" width="17.54296875" customWidth="1"/>
    <col min="34" max="34" width="124.1796875" customWidth="1"/>
  </cols>
  <sheetData>
    <row r="1" spans="1:34" ht="12.75" customHeight="1" x14ac:dyDescent="0.3">
      <c r="A1" s="14"/>
      <c r="B1" s="14"/>
      <c r="C1" s="14"/>
      <c r="D1" s="14"/>
      <c r="E1" s="14"/>
      <c r="F1" s="14"/>
      <c r="G1" s="14"/>
      <c r="H1" s="14"/>
      <c r="I1" s="14"/>
      <c r="J1" s="14"/>
      <c r="K1" s="14"/>
      <c r="L1" s="14"/>
      <c r="M1" s="14"/>
      <c r="N1" s="14"/>
      <c r="O1" s="14"/>
      <c r="P1" s="163"/>
      <c r="Q1" s="163"/>
      <c r="R1" s="605" t="s">
        <v>5676</v>
      </c>
      <c r="S1" s="163"/>
      <c r="T1" s="163"/>
      <c r="V1" s="2624" t="s">
        <v>5677</v>
      </c>
      <c r="W1" s="2624" t="s">
        <v>5678</v>
      </c>
      <c r="X1" s="2624" t="s">
        <v>5679</v>
      </c>
      <c r="Y1" s="2624" t="s">
        <v>5680</v>
      </c>
      <c r="Z1" s="2621" t="s">
        <v>5681</v>
      </c>
      <c r="AA1" s="2621" t="s">
        <v>5682</v>
      </c>
      <c r="AB1" s="2621" t="s">
        <v>5683</v>
      </c>
      <c r="AC1" s="2621" t="s">
        <v>5672</v>
      </c>
      <c r="AD1" s="2621" t="s">
        <v>5684</v>
      </c>
      <c r="AE1" s="2621" t="s">
        <v>5685</v>
      </c>
      <c r="AF1" s="2621" t="s">
        <v>5686</v>
      </c>
      <c r="AG1" s="2621" t="s">
        <v>5687</v>
      </c>
      <c r="AH1" s="2621" t="s">
        <v>462</v>
      </c>
    </row>
    <row r="2" spans="1:34" ht="12.75" customHeight="1" x14ac:dyDescent="0.3">
      <c r="A2" s="14"/>
      <c r="B2" s="1981" t="s">
        <v>5688</v>
      </c>
      <c r="C2" s="1982"/>
      <c r="D2" s="1982"/>
      <c r="E2" s="1982"/>
      <c r="F2" s="1982"/>
      <c r="G2" s="1982"/>
      <c r="H2" s="1983" t="s">
        <v>5689</v>
      </c>
      <c r="I2" s="1982"/>
      <c r="J2" s="1982"/>
      <c r="K2" s="1982"/>
      <c r="L2" s="1982"/>
      <c r="M2" s="1982"/>
      <c r="N2" s="1984"/>
      <c r="O2" s="14"/>
      <c r="R2">
        <v>1</v>
      </c>
      <c r="S2" t="s">
        <v>5681</v>
      </c>
      <c r="V2" s="2625"/>
      <c r="W2" s="2625"/>
      <c r="X2" s="2625"/>
      <c r="Y2" s="2625"/>
      <c r="Z2" s="2622"/>
      <c r="AA2" s="2622"/>
      <c r="AB2" s="2622"/>
      <c r="AC2" s="2622"/>
      <c r="AD2" s="2622"/>
      <c r="AE2" s="2622"/>
      <c r="AF2" s="2622"/>
      <c r="AG2" s="2622"/>
      <c r="AH2" s="2622"/>
    </row>
    <row r="3" spans="1:34" ht="12.75" customHeight="1" x14ac:dyDescent="0.25">
      <c r="A3" s="14"/>
      <c r="B3" s="626" t="s">
        <v>5690</v>
      </c>
      <c r="C3" s="66"/>
      <c r="D3" s="66"/>
      <c r="E3" s="66"/>
      <c r="F3" s="66"/>
      <c r="G3" s="66"/>
      <c r="H3" s="263" t="s">
        <v>5691</v>
      </c>
      <c r="I3" s="66"/>
      <c r="J3" s="66"/>
      <c r="K3" s="66"/>
      <c r="L3" s="66"/>
      <c r="M3" s="66"/>
      <c r="N3" s="68"/>
      <c r="O3" s="14"/>
      <c r="R3">
        <v>2</v>
      </c>
      <c r="S3" t="s">
        <v>5682</v>
      </c>
      <c r="V3" s="2625"/>
      <c r="W3" s="2625"/>
      <c r="X3" s="2625"/>
      <c r="Y3" s="2625"/>
      <c r="Z3" s="2622"/>
      <c r="AA3" s="2622"/>
      <c r="AB3" s="2622"/>
      <c r="AC3" s="2622"/>
      <c r="AD3" s="2622"/>
      <c r="AE3" s="2622"/>
      <c r="AF3" s="2622"/>
      <c r="AG3" s="2622"/>
      <c r="AH3" s="2622"/>
    </row>
    <row r="4" spans="1:34" ht="12.75" customHeight="1" x14ac:dyDescent="0.3">
      <c r="A4" s="14"/>
      <c r="B4" s="626" t="s">
        <v>5692</v>
      </c>
      <c r="C4" s="66"/>
      <c r="D4" s="66"/>
      <c r="E4" s="66"/>
      <c r="F4" s="66"/>
      <c r="G4" s="66"/>
      <c r="H4" s="264" t="s">
        <v>5693</v>
      </c>
      <c r="I4" s="203" t="s">
        <v>5694</v>
      </c>
      <c r="J4" s="66"/>
      <c r="K4" s="66"/>
      <c r="L4" s="265" t="s">
        <v>5695</v>
      </c>
      <c r="M4" s="66"/>
      <c r="N4" s="68"/>
      <c r="O4" s="14"/>
      <c r="R4">
        <v>3</v>
      </c>
      <c r="S4" t="s">
        <v>5683</v>
      </c>
      <c r="V4" s="2626"/>
      <c r="W4" s="2626"/>
      <c r="X4" s="2626"/>
      <c r="Y4" s="2626"/>
      <c r="Z4" s="2623"/>
      <c r="AA4" s="2623"/>
      <c r="AB4" s="2623"/>
      <c r="AC4" s="2623"/>
      <c r="AD4" s="2623"/>
      <c r="AE4" s="2623"/>
      <c r="AF4" s="2623"/>
      <c r="AG4" s="2623"/>
      <c r="AH4" s="2623"/>
    </row>
    <row r="5" spans="1:34" ht="12.75" customHeight="1" x14ac:dyDescent="0.3">
      <c r="A5" s="14"/>
      <c r="B5" s="626" t="s">
        <v>5696</v>
      </c>
      <c r="C5" s="203"/>
      <c r="D5" s="203"/>
      <c r="E5" s="203"/>
      <c r="F5" s="204"/>
      <c r="G5" s="204"/>
      <c r="H5" s="264" t="s">
        <v>5697</v>
      </c>
      <c r="I5" s="203" t="s">
        <v>5698</v>
      </c>
      <c r="J5" s="66"/>
      <c r="K5" s="265"/>
      <c r="L5" s="66"/>
      <c r="M5" s="66"/>
      <c r="N5" s="68"/>
      <c r="O5" s="14"/>
      <c r="R5" s="205">
        <v>4</v>
      </c>
      <c r="S5" s="220" t="s">
        <v>861</v>
      </c>
      <c r="V5" s="1985" t="s">
        <v>5699</v>
      </c>
      <c r="W5" s="1985" t="s">
        <v>5699</v>
      </c>
      <c r="X5" s="1986"/>
      <c r="Y5" s="1986"/>
      <c r="Z5" s="1987"/>
      <c r="AA5" s="1987"/>
      <c r="AB5" s="1988"/>
      <c r="AC5" s="1988"/>
      <c r="AD5" s="1988"/>
      <c r="AE5" s="1987"/>
      <c r="AF5" s="1987"/>
      <c r="AG5" s="1989"/>
      <c r="AH5" s="1990"/>
    </row>
    <row r="6" spans="1:34" ht="12.75" customHeight="1" x14ac:dyDescent="0.3">
      <c r="A6" s="14"/>
      <c r="B6" s="626" t="s">
        <v>5700</v>
      </c>
      <c r="C6" s="203"/>
      <c r="D6" s="203"/>
      <c r="E6" s="203"/>
      <c r="F6" s="66"/>
      <c r="G6" s="66"/>
      <c r="H6" s="66"/>
      <c r="I6" s="66"/>
      <c r="J6" s="66"/>
      <c r="K6" s="66"/>
      <c r="L6" s="66"/>
      <c r="M6" s="67"/>
      <c r="N6" s="68"/>
      <c r="O6" s="14"/>
      <c r="R6" s="205">
        <v>5</v>
      </c>
      <c r="S6" s="205" t="s">
        <v>5685</v>
      </c>
      <c r="V6" s="1989" t="s">
        <v>5701</v>
      </c>
      <c r="W6" s="1985" t="s">
        <v>5701</v>
      </c>
      <c r="X6" s="1991" t="s">
        <v>1615</v>
      </c>
      <c r="Y6" s="1985" t="s">
        <v>5702</v>
      </c>
      <c r="Z6" s="1987"/>
      <c r="AA6" s="1987"/>
      <c r="AB6" s="1988"/>
      <c r="AC6" s="1988"/>
      <c r="AD6" s="1988"/>
      <c r="AE6" s="1987"/>
      <c r="AF6" s="1987"/>
      <c r="AG6" s="1989" t="s">
        <v>5701</v>
      </c>
      <c r="AH6" s="1990"/>
    </row>
    <row r="7" spans="1:34" ht="12.75" customHeight="1" x14ac:dyDescent="0.3">
      <c r="A7" s="14"/>
      <c r="B7" s="626" t="s">
        <v>5703</v>
      </c>
      <c r="C7" s="66"/>
      <c r="D7" s="66"/>
      <c r="E7" s="66"/>
      <c r="F7" s="66"/>
      <c r="G7" s="66"/>
      <c r="H7" s="66"/>
      <c r="I7" s="66"/>
      <c r="J7" s="66"/>
      <c r="K7" s="66"/>
      <c r="L7" s="66"/>
      <c r="M7" s="93"/>
      <c r="N7" s="68"/>
      <c r="O7" s="14"/>
      <c r="R7" s="205">
        <v>6</v>
      </c>
      <c r="S7" s="205" t="s">
        <v>5686</v>
      </c>
      <c r="V7" s="1991" t="s">
        <v>5704</v>
      </c>
      <c r="W7" s="1985" t="s">
        <v>5704</v>
      </c>
      <c r="X7" s="1991" t="s">
        <v>1615</v>
      </c>
      <c r="Y7" s="1985" t="s">
        <v>5705</v>
      </c>
      <c r="Z7" s="1987"/>
      <c r="AA7" s="1987"/>
      <c r="AB7" s="1992"/>
      <c r="AC7" s="1992"/>
      <c r="AD7" s="1992"/>
      <c r="AE7" s="1987"/>
      <c r="AF7" s="1987"/>
      <c r="AG7" s="1991" t="s">
        <v>5704</v>
      </c>
      <c r="AH7" s="1993"/>
    </row>
    <row r="8" spans="1:34" ht="12.75" customHeight="1" x14ac:dyDescent="0.3">
      <c r="A8" s="14"/>
      <c r="B8" s="627"/>
      <c r="C8" s="70" t="s">
        <v>5706</v>
      </c>
      <c r="D8" s="70"/>
      <c r="E8" s="70" t="s">
        <v>5707</v>
      </c>
      <c r="F8" s="50"/>
      <c r="G8" s="70" t="s">
        <v>5708</v>
      </c>
      <c r="H8" s="50"/>
      <c r="I8" s="70" t="s">
        <v>4042</v>
      </c>
      <c r="J8" s="66"/>
      <c r="K8" s="70" t="s">
        <v>5709</v>
      </c>
      <c r="L8" s="66"/>
      <c r="M8" s="94" t="s">
        <v>5710</v>
      </c>
      <c r="N8" s="68"/>
      <c r="O8" s="14"/>
      <c r="V8" s="1991" t="s">
        <v>5711</v>
      </c>
      <c r="W8" s="1985" t="s">
        <v>5711</v>
      </c>
      <c r="X8" s="1991" t="s">
        <v>1615</v>
      </c>
      <c r="Y8" s="1985" t="s">
        <v>5712</v>
      </c>
      <c r="Z8" s="1987"/>
      <c r="AA8" s="1987"/>
      <c r="AB8" s="1992"/>
      <c r="AC8" s="1992"/>
      <c r="AD8" s="1992"/>
      <c r="AE8" s="1987"/>
      <c r="AF8" s="1987"/>
      <c r="AG8" s="1991" t="s">
        <v>5711</v>
      </c>
      <c r="AH8" s="1993"/>
    </row>
    <row r="9" spans="1:34" ht="12.75" customHeight="1" x14ac:dyDescent="0.3">
      <c r="A9" s="14"/>
      <c r="B9" s="628"/>
      <c r="C9" s="50"/>
      <c r="D9" s="50"/>
      <c r="E9" s="70" t="s">
        <v>5713</v>
      </c>
      <c r="F9" s="69"/>
      <c r="G9" s="153" t="s">
        <v>5714</v>
      </c>
      <c r="H9" s="69"/>
      <c r="I9" s="153" t="s">
        <v>5715</v>
      </c>
      <c r="J9" s="66"/>
      <c r="K9" s="164" t="s">
        <v>5716</v>
      </c>
      <c r="L9" s="66"/>
      <c r="M9" s="93" t="s">
        <v>5717</v>
      </c>
      <c r="N9" s="68"/>
      <c r="O9" s="14"/>
      <c r="V9" s="1991" t="s">
        <v>5718</v>
      </c>
      <c r="W9" s="1985" t="s">
        <v>5718</v>
      </c>
      <c r="X9" s="1991" t="s">
        <v>1615</v>
      </c>
      <c r="Y9" s="1985" t="s">
        <v>5719</v>
      </c>
      <c r="Z9" s="1987"/>
      <c r="AA9" s="1987"/>
      <c r="AB9" s="1992"/>
      <c r="AC9" s="1992"/>
      <c r="AD9" s="1992"/>
      <c r="AE9" s="1987"/>
      <c r="AF9" s="1987"/>
      <c r="AG9" s="1991" t="s">
        <v>5718</v>
      </c>
      <c r="AH9" s="1993"/>
    </row>
    <row r="10" spans="1:34" ht="12.75" customHeight="1" x14ac:dyDescent="0.3">
      <c r="A10" s="14"/>
      <c r="B10" s="629" t="s">
        <v>5720</v>
      </c>
      <c r="C10" s="66"/>
      <c r="D10" s="66"/>
      <c r="E10" s="1994"/>
      <c r="F10" s="66"/>
      <c r="G10" s="1995"/>
      <c r="H10" s="66"/>
      <c r="I10" s="1996"/>
      <c r="J10" s="66"/>
      <c r="K10" s="66"/>
      <c r="L10" s="66"/>
      <c r="M10" s="1995"/>
      <c r="N10" s="68"/>
      <c r="O10" s="14"/>
      <c r="Q10" t="s">
        <v>5721</v>
      </c>
      <c r="R10" t="s">
        <v>5676</v>
      </c>
      <c r="S10" s="162" t="s">
        <v>5716</v>
      </c>
      <c r="U10" t="s">
        <v>5722</v>
      </c>
      <c r="V10" s="1991" t="s">
        <v>5723</v>
      </c>
      <c r="W10" s="1985" t="s">
        <v>5723</v>
      </c>
      <c r="X10" s="1991" t="s">
        <v>1615</v>
      </c>
      <c r="Y10" s="1985" t="s">
        <v>5724</v>
      </c>
      <c r="Z10" s="1987"/>
      <c r="AA10" s="1987"/>
      <c r="AB10" s="1992"/>
      <c r="AC10" s="1992"/>
      <c r="AD10" s="1992"/>
      <c r="AE10" s="1987"/>
      <c r="AF10" s="1987"/>
      <c r="AG10" s="1991" t="s">
        <v>5723</v>
      </c>
      <c r="AH10" s="1993"/>
    </row>
    <row r="11" spans="1:34" ht="12.75" customHeight="1" x14ac:dyDescent="0.3">
      <c r="A11" s="14"/>
      <c r="B11" s="628"/>
      <c r="C11" s="66"/>
      <c r="D11" s="66"/>
      <c r="E11" s="66"/>
      <c r="F11" s="66"/>
      <c r="G11" s="66"/>
      <c r="H11" s="66"/>
      <c r="I11" s="66"/>
      <c r="J11" s="66"/>
      <c r="K11" s="97" t="s">
        <v>5725</v>
      </c>
      <c r="L11" s="66"/>
      <c r="M11" s="66"/>
      <c r="N11" s="68"/>
      <c r="O11" s="14"/>
      <c r="P11" s="3" t="s">
        <v>5726</v>
      </c>
      <c r="Q11" s="1843">
        <v>1</v>
      </c>
      <c r="R11" s="1997">
        <v>1</v>
      </c>
      <c r="S11" s="1986">
        <f>VLOOKUP(T11,Q$22:R$33,2,FALSE)</f>
        <v>1</v>
      </c>
      <c r="T11" s="1997">
        <v>1</v>
      </c>
      <c r="U11" s="1998">
        <f>MIN(TRUNC(G10*S11,2),I10)</f>
        <v>0</v>
      </c>
      <c r="V11" s="1991" t="s">
        <v>5727</v>
      </c>
      <c r="W11" s="1985" t="s">
        <v>5727</v>
      </c>
      <c r="X11" s="1991" t="s">
        <v>1615</v>
      </c>
      <c r="Y11" s="1985" t="s">
        <v>5728</v>
      </c>
      <c r="Z11" s="1987"/>
      <c r="AA11" s="1987"/>
      <c r="AB11" s="1992"/>
      <c r="AC11" s="1992"/>
      <c r="AD11" s="1992"/>
      <c r="AE11" s="1987"/>
      <c r="AF11" s="1987"/>
      <c r="AG11" s="1991" t="s">
        <v>5727</v>
      </c>
      <c r="AH11" s="1993"/>
    </row>
    <row r="12" spans="1:34" ht="12.75" customHeight="1" x14ac:dyDescent="0.3">
      <c r="A12" s="14"/>
      <c r="B12" s="627"/>
      <c r="C12" s="66"/>
      <c r="D12" s="66"/>
      <c r="E12" s="66"/>
      <c r="F12" s="66"/>
      <c r="G12" s="66"/>
      <c r="H12" s="71" t="s">
        <v>5729</v>
      </c>
      <c r="I12" s="1999"/>
      <c r="J12" s="66"/>
      <c r="K12" s="2000" t="str">
        <f>IF(ISNA(VLOOKUP(E10,V$5:AF$245,R11+4,FALSE)),"",IF(VLOOKUP(E10,V$5:AF$245,R11+4,FALSE)="","",VLOOKUP(E10,V$5:AF$245,R11+4,FALSE)))</f>
        <v/>
      </c>
      <c r="L12" s="66"/>
      <c r="M12" s="67"/>
      <c r="N12" s="68"/>
      <c r="O12" s="14"/>
      <c r="P12" s="3" t="s">
        <v>5730</v>
      </c>
      <c r="Q12" s="1843">
        <v>1</v>
      </c>
      <c r="R12" s="1997">
        <v>1</v>
      </c>
      <c r="S12" s="1986">
        <f t="shared" ref="S12:S20" si="0">VLOOKUP(T12,Q$22:R$33,2,FALSE)</f>
        <v>1</v>
      </c>
      <c r="T12" s="1997">
        <v>1</v>
      </c>
      <c r="U12" s="1998">
        <f>MIN(TRUNC(G14*S12,2),I14)</f>
        <v>0</v>
      </c>
      <c r="V12" s="1991" t="s">
        <v>5731</v>
      </c>
      <c r="W12" s="1985" t="s">
        <v>5731</v>
      </c>
      <c r="X12" s="1991" t="s">
        <v>1615</v>
      </c>
      <c r="Y12" s="1985" t="s">
        <v>5732</v>
      </c>
      <c r="Z12" s="1987"/>
      <c r="AA12" s="1987"/>
      <c r="AB12" s="2001"/>
      <c r="AC12" s="2001"/>
      <c r="AD12" s="2001"/>
      <c r="AE12" s="1987"/>
      <c r="AF12" s="1987"/>
      <c r="AG12" s="1991" t="s">
        <v>5731</v>
      </c>
      <c r="AH12" s="1993"/>
    </row>
    <row r="13" spans="1:34" ht="12.75" customHeight="1" x14ac:dyDescent="0.3">
      <c r="A13" s="14"/>
      <c r="B13" s="628"/>
      <c r="C13" s="66"/>
      <c r="D13" s="66"/>
      <c r="E13" s="66"/>
      <c r="F13" s="66"/>
      <c r="G13" s="66"/>
      <c r="H13" s="66"/>
      <c r="I13" s="66"/>
      <c r="J13" s="66"/>
      <c r="K13" s="66"/>
      <c r="L13" s="66"/>
      <c r="M13" s="66"/>
      <c r="N13" s="68"/>
      <c r="O13" s="14"/>
      <c r="P13" s="3" t="s">
        <v>5733</v>
      </c>
      <c r="Q13" s="1843">
        <v>1</v>
      </c>
      <c r="R13" s="1997">
        <v>1</v>
      </c>
      <c r="S13" s="1986">
        <f t="shared" si="0"/>
        <v>1</v>
      </c>
      <c r="T13" s="1997">
        <v>1</v>
      </c>
      <c r="U13" s="1998">
        <f>MIN(TRUNC(G18*S13,2),I18)</f>
        <v>0</v>
      </c>
      <c r="V13" s="1991" t="s">
        <v>3856</v>
      </c>
      <c r="W13" s="1985" t="s">
        <v>5734</v>
      </c>
      <c r="X13" s="1991" t="s">
        <v>1707</v>
      </c>
      <c r="Y13" s="1985" t="s">
        <v>5735</v>
      </c>
      <c r="Z13" s="1987"/>
      <c r="AA13" s="1987"/>
      <c r="AB13" s="2002">
        <v>0.12</v>
      </c>
      <c r="AC13" s="2002">
        <v>0.15</v>
      </c>
      <c r="AD13" s="2002"/>
      <c r="AE13" s="1987"/>
      <c r="AF13" s="1987"/>
      <c r="AG13" s="1991" t="s">
        <v>5736</v>
      </c>
      <c r="AH13" s="2003"/>
    </row>
    <row r="14" spans="1:34" ht="12.75" customHeight="1" x14ac:dyDescent="0.3">
      <c r="A14" s="14"/>
      <c r="B14" s="629" t="s">
        <v>5737</v>
      </c>
      <c r="C14" s="66"/>
      <c r="D14" s="66"/>
      <c r="E14" s="1994"/>
      <c r="F14" s="66"/>
      <c r="G14" s="1995"/>
      <c r="H14" s="66"/>
      <c r="I14" s="1996"/>
      <c r="J14" s="66"/>
      <c r="K14" s="66"/>
      <c r="L14" s="66"/>
      <c r="M14" s="1995"/>
      <c r="N14" s="68"/>
      <c r="O14" s="14"/>
      <c r="P14" s="3" t="s">
        <v>5738</v>
      </c>
      <c r="Q14" s="1843">
        <v>1</v>
      </c>
      <c r="R14" s="1997">
        <v>1</v>
      </c>
      <c r="S14" s="1986">
        <f t="shared" si="0"/>
        <v>1</v>
      </c>
      <c r="T14" s="1997">
        <v>1</v>
      </c>
      <c r="U14" s="1998">
        <f>MIN(TRUNC(G22*S14,2),I22)</f>
        <v>0</v>
      </c>
      <c r="V14" s="1991" t="s">
        <v>5739</v>
      </c>
      <c r="W14" s="1985" t="s">
        <v>5740</v>
      </c>
      <c r="X14" s="1991" t="s">
        <v>1707</v>
      </c>
      <c r="Y14" s="1985" t="s">
        <v>5741</v>
      </c>
      <c r="Z14" s="1987"/>
      <c r="AA14" s="1987"/>
      <c r="AB14" s="2002">
        <v>0.05</v>
      </c>
      <c r="AC14" s="2002">
        <v>0.1</v>
      </c>
      <c r="AD14" s="2002"/>
      <c r="AE14" s="1987"/>
      <c r="AF14" s="1987"/>
      <c r="AG14" s="1991" t="s">
        <v>5742</v>
      </c>
      <c r="AH14" s="2003" t="s">
        <v>5743</v>
      </c>
    </row>
    <row r="15" spans="1:34" ht="12.75" customHeight="1" x14ac:dyDescent="0.3">
      <c r="A15" s="14"/>
      <c r="B15" s="628"/>
      <c r="C15" s="66"/>
      <c r="D15" s="66"/>
      <c r="E15" s="66"/>
      <c r="F15" s="66"/>
      <c r="G15" s="66"/>
      <c r="H15" s="66"/>
      <c r="I15" s="66"/>
      <c r="J15" s="66"/>
      <c r="K15" s="97" t="s">
        <v>5725</v>
      </c>
      <c r="L15" s="66"/>
      <c r="M15" s="66"/>
      <c r="N15" s="68"/>
      <c r="O15" s="14"/>
      <c r="P15" s="3" t="s">
        <v>5744</v>
      </c>
      <c r="Q15" s="1843">
        <v>1</v>
      </c>
      <c r="R15" s="1997">
        <v>1</v>
      </c>
      <c r="S15" s="1986">
        <f t="shared" si="0"/>
        <v>1</v>
      </c>
      <c r="T15" s="1997">
        <v>1</v>
      </c>
      <c r="U15" s="1998">
        <f>MIN(TRUNC(G26*S15,2),I26)</f>
        <v>0</v>
      </c>
      <c r="V15" s="1991" t="s">
        <v>5745</v>
      </c>
      <c r="W15" s="1985" t="s">
        <v>5745</v>
      </c>
      <c r="X15" s="1991" t="s">
        <v>1615</v>
      </c>
      <c r="Y15" s="1985" t="s">
        <v>5746</v>
      </c>
      <c r="Z15" s="1987"/>
      <c r="AA15" s="1987"/>
      <c r="AB15" s="1992"/>
      <c r="AC15" s="1992"/>
      <c r="AD15" s="1992"/>
      <c r="AE15" s="1987"/>
      <c r="AF15" s="1987"/>
      <c r="AG15" s="1991" t="s">
        <v>5745</v>
      </c>
      <c r="AH15" s="1993"/>
    </row>
    <row r="16" spans="1:34" ht="12.75" customHeight="1" x14ac:dyDescent="0.3">
      <c r="A16" s="14"/>
      <c r="B16" s="628"/>
      <c r="C16" s="66"/>
      <c r="D16" s="66"/>
      <c r="E16" s="66"/>
      <c r="F16" s="66"/>
      <c r="G16" s="66"/>
      <c r="H16" s="71" t="s">
        <v>5747</v>
      </c>
      <c r="I16" s="1999"/>
      <c r="J16" s="66"/>
      <c r="K16" s="2000" t="str">
        <f>IF(ISNA(VLOOKUP(E14,V$5:AF$245,R12+4,FALSE)),"",IF(VLOOKUP(E14,V$5:AF$245,R12+4,FALSE)="","",VLOOKUP(E14,V$5:AF$245,R12+4,FALSE)))</f>
        <v/>
      </c>
      <c r="L16" s="66"/>
      <c r="M16" s="66"/>
      <c r="N16" s="68"/>
      <c r="O16" s="14"/>
      <c r="P16" s="3" t="s">
        <v>5748</v>
      </c>
      <c r="Q16" s="1843">
        <v>1</v>
      </c>
      <c r="R16" s="1997">
        <v>1</v>
      </c>
      <c r="S16" s="1986">
        <f>VLOOKUP(T16,Q$22:R$33,2,FALSE)</f>
        <v>1</v>
      </c>
      <c r="T16" s="1997">
        <v>1</v>
      </c>
      <c r="U16" s="1998">
        <f>MIN(TRUNC(G30*S16,2),I30)</f>
        <v>0</v>
      </c>
      <c r="V16" s="1991" t="s">
        <v>5749</v>
      </c>
      <c r="W16" s="1985" t="s">
        <v>5750</v>
      </c>
      <c r="X16" s="1991" t="s">
        <v>1707</v>
      </c>
      <c r="Y16" s="1985" t="s">
        <v>5751</v>
      </c>
      <c r="Z16" s="1987"/>
      <c r="AA16" s="1987"/>
      <c r="AB16" s="2004" t="s">
        <v>5752</v>
      </c>
      <c r="AC16" s="2004" t="s">
        <v>5753</v>
      </c>
      <c r="AD16" s="2004" t="s">
        <v>5753</v>
      </c>
      <c r="AE16" s="1987"/>
      <c r="AF16" s="1987"/>
      <c r="AG16" s="1991" t="s">
        <v>5754</v>
      </c>
      <c r="AH16" s="2003"/>
    </row>
    <row r="17" spans="1:34" ht="12.75" customHeight="1" x14ac:dyDescent="0.3">
      <c r="A17" s="14"/>
      <c r="B17" s="628"/>
      <c r="C17" s="66"/>
      <c r="D17" s="66"/>
      <c r="E17" s="66"/>
      <c r="F17" s="66"/>
      <c r="G17" s="66"/>
      <c r="H17" s="66"/>
      <c r="I17" s="66"/>
      <c r="J17" s="66"/>
      <c r="K17" s="66"/>
      <c r="L17" s="66"/>
      <c r="M17" s="66"/>
      <c r="N17" s="68"/>
      <c r="O17" s="14"/>
      <c r="P17" s="3" t="s">
        <v>5755</v>
      </c>
      <c r="Q17" s="1843">
        <v>1</v>
      </c>
      <c r="R17" s="1997">
        <v>1</v>
      </c>
      <c r="S17" s="1986">
        <f t="shared" si="0"/>
        <v>1</v>
      </c>
      <c r="T17" s="1997">
        <v>1</v>
      </c>
      <c r="U17" s="1998">
        <f>MIN(TRUNC(G34*S17,2),I34)</f>
        <v>0</v>
      </c>
      <c r="V17" s="1991" t="s">
        <v>3859</v>
      </c>
      <c r="W17" s="1985" t="s">
        <v>5756</v>
      </c>
      <c r="X17" s="1991" t="s">
        <v>1707</v>
      </c>
      <c r="Y17" s="1985" t="s">
        <v>5757</v>
      </c>
      <c r="Z17" s="1987"/>
      <c r="AA17" s="1987"/>
      <c r="AB17" s="2002">
        <v>0.1</v>
      </c>
      <c r="AC17" s="2002" t="s">
        <v>5758</v>
      </c>
      <c r="AD17" s="2002"/>
      <c r="AE17" s="1987"/>
      <c r="AF17" s="1987"/>
      <c r="AG17" s="1991" t="s">
        <v>5759</v>
      </c>
      <c r="AH17" s="2003" t="s">
        <v>5760</v>
      </c>
    </row>
    <row r="18" spans="1:34" ht="12.75" customHeight="1" x14ac:dyDescent="0.3">
      <c r="A18" s="14"/>
      <c r="B18" s="629" t="s">
        <v>5761</v>
      </c>
      <c r="C18" s="66"/>
      <c r="D18" s="66"/>
      <c r="E18" s="1994"/>
      <c r="F18" s="66"/>
      <c r="G18" s="1995"/>
      <c r="H18" s="66"/>
      <c r="I18" s="1996"/>
      <c r="J18" s="66"/>
      <c r="K18" s="66"/>
      <c r="L18" s="66"/>
      <c r="M18" s="1995"/>
      <c r="N18" s="68"/>
      <c r="O18" s="14"/>
      <c r="P18" s="3" t="s">
        <v>5762</v>
      </c>
      <c r="Q18" s="1843">
        <v>1</v>
      </c>
      <c r="R18" s="1997">
        <v>1</v>
      </c>
      <c r="S18" s="1986">
        <f t="shared" si="0"/>
        <v>1</v>
      </c>
      <c r="T18" s="1997">
        <v>1</v>
      </c>
      <c r="U18" s="1998">
        <f>MIN(TRUNC(G38*S18,2),I38)</f>
        <v>0</v>
      </c>
      <c r="V18" s="1991" t="s">
        <v>5763</v>
      </c>
      <c r="W18" s="1985" t="s">
        <v>5764</v>
      </c>
      <c r="X18" s="1991" t="s">
        <v>1707</v>
      </c>
      <c r="Y18" s="1985" t="s">
        <v>5765</v>
      </c>
      <c r="Z18" s="1987"/>
      <c r="AA18" s="1987"/>
      <c r="AB18" s="2002">
        <v>0</v>
      </c>
      <c r="AC18" s="2002">
        <v>0.15</v>
      </c>
      <c r="AD18" s="2002"/>
      <c r="AE18" s="1987"/>
      <c r="AF18" s="1987"/>
      <c r="AG18" s="1991" t="s">
        <v>5766</v>
      </c>
      <c r="AH18" s="2003"/>
    </row>
    <row r="19" spans="1:34" ht="12.75" customHeight="1" x14ac:dyDescent="0.3">
      <c r="A19" s="14"/>
      <c r="B19" s="628"/>
      <c r="C19" s="66"/>
      <c r="D19" s="66"/>
      <c r="E19" s="66"/>
      <c r="F19" s="66"/>
      <c r="G19" s="66"/>
      <c r="H19" s="66"/>
      <c r="I19" s="66"/>
      <c r="J19" s="66"/>
      <c r="K19" s="97" t="s">
        <v>5725</v>
      </c>
      <c r="L19" s="66"/>
      <c r="M19" s="66"/>
      <c r="N19" s="68"/>
      <c r="O19" s="14"/>
      <c r="P19" s="3" t="s">
        <v>5767</v>
      </c>
      <c r="Q19" s="1843">
        <v>1</v>
      </c>
      <c r="R19" s="1997">
        <v>1</v>
      </c>
      <c r="S19" s="1986">
        <f t="shared" si="0"/>
        <v>1</v>
      </c>
      <c r="T19" s="1997">
        <v>1</v>
      </c>
      <c r="U19" s="1998">
        <f>MIN(TRUNC(G42*S19,2),I42)</f>
        <v>0</v>
      </c>
      <c r="V19" s="1991" t="s">
        <v>5768</v>
      </c>
      <c r="W19" s="1985" t="s">
        <v>5769</v>
      </c>
      <c r="X19" s="1991" t="s">
        <v>1707</v>
      </c>
      <c r="Y19" s="1985" t="s">
        <v>5770</v>
      </c>
      <c r="Z19" s="1987"/>
      <c r="AA19" s="1987"/>
      <c r="AB19" s="2002">
        <v>0.1</v>
      </c>
      <c r="AC19" s="2002">
        <v>0.15</v>
      </c>
      <c r="AD19" s="2002"/>
      <c r="AE19" s="1987"/>
      <c r="AF19" s="1987"/>
      <c r="AG19" s="1991" t="s">
        <v>5771</v>
      </c>
      <c r="AH19" s="2003" t="s">
        <v>5772</v>
      </c>
    </row>
    <row r="20" spans="1:34" ht="12.75" customHeight="1" x14ac:dyDescent="0.3">
      <c r="A20" s="14"/>
      <c r="B20" s="628"/>
      <c r="C20" s="66"/>
      <c r="D20" s="66"/>
      <c r="E20" s="66"/>
      <c r="F20" s="66"/>
      <c r="G20" s="66"/>
      <c r="H20" s="71" t="s">
        <v>5773</v>
      </c>
      <c r="I20" s="1999"/>
      <c r="J20" s="66"/>
      <c r="K20" s="2000" t="str">
        <f>IF(ISNA(VLOOKUP(E18,V$5:AF$245,R13+4,FALSE)),"",IF(VLOOKUP(E18,V$5:AF$245,R13+4,FALSE)="","",VLOOKUP(E18,V$5:AF$245,R13+4,FALSE)))</f>
        <v/>
      </c>
      <c r="L20" s="66"/>
      <c r="M20" s="66"/>
      <c r="N20" s="68"/>
      <c r="O20" s="14"/>
      <c r="P20" s="3" t="s">
        <v>5774</v>
      </c>
      <c r="Q20" s="1843">
        <v>1</v>
      </c>
      <c r="R20" s="1997">
        <v>1</v>
      </c>
      <c r="S20" s="1986">
        <f t="shared" si="0"/>
        <v>1</v>
      </c>
      <c r="T20" s="1997">
        <v>1</v>
      </c>
      <c r="U20" s="1998">
        <f>MIN(TRUNC(G46*S20,2),I46)</f>
        <v>0</v>
      </c>
      <c r="V20" s="1991" t="s">
        <v>5775</v>
      </c>
      <c r="W20" s="1985" t="s">
        <v>5775</v>
      </c>
      <c r="X20" s="1991" t="s">
        <v>1615</v>
      </c>
      <c r="Y20" s="1985" t="s">
        <v>5776</v>
      </c>
      <c r="Z20" s="1987"/>
      <c r="AA20" s="1987"/>
      <c r="AB20" s="2005"/>
      <c r="AC20" s="2005"/>
      <c r="AD20" s="2005"/>
      <c r="AE20" s="1987"/>
      <c r="AF20" s="1987"/>
      <c r="AG20" s="1991" t="s">
        <v>5775</v>
      </c>
      <c r="AH20" s="2006"/>
    </row>
    <row r="21" spans="1:34" ht="12.75" customHeight="1" x14ac:dyDescent="0.3">
      <c r="A21" s="14"/>
      <c r="B21" s="628"/>
      <c r="C21" s="66"/>
      <c r="D21" s="66"/>
      <c r="E21" s="66"/>
      <c r="F21" s="66"/>
      <c r="G21" s="66"/>
      <c r="H21" s="66"/>
      <c r="I21" s="66"/>
      <c r="J21" s="66"/>
      <c r="K21" s="66"/>
      <c r="L21" s="66"/>
      <c r="M21" s="66"/>
      <c r="N21" s="68"/>
      <c r="O21" s="14"/>
      <c r="V21" s="1991" t="s">
        <v>3860</v>
      </c>
      <c r="W21" s="1985" t="s">
        <v>5777</v>
      </c>
      <c r="X21" s="1991" t="s">
        <v>1707</v>
      </c>
      <c r="Y21" s="1985" t="s">
        <v>5778</v>
      </c>
      <c r="Z21" s="2007"/>
      <c r="AA21" s="2007"/>
      <c r="AB21" s="2008">
        <v>0.15</v>
      </c>
      <c r="AC21" s="2008">
        <v>0.1</v>
      </c>
      <c r="AD21" s="2008"/>
      <c r="AE21" s="2007"/>
      <c r="AF21" s="2007"/>
      <c r="AG21" s="1991" t="s">
        <v>5779</v>
      </c>
      <c r="AH21" s="1993"/>
    </row>
    <row r="22" spans="1:34" ht="12.75" customHeight="1" x14ac:dyDescent="0.3">
      <c r="A22" s="14"/>
      <c r="B22" s="629" t="s">
        <v>5780</v>
      </c>
      <c r="C22" s="66"/>
      <c r="D22" s="66"/>
      <c r="E22" s="1994"/>
      <c r="F22" s="66"/>
      <c r="G22" s="1995"/>
      <c r="H22" s="66"/>
      <c r="I22" s="1996"/>
      <c r="J22" s="66"/>
      <c r="K22" s="66"/>
      <c r="L22" s="66"/>
      <c r="M22" s="1995"/>
      <c r="N22" s="68"/>
      <c r="O22" s="14"/>
      <c r="Q22" s="5">
        <v>1</v>
      </c>
      <c r="R22" s="160">
        <v>1</v>
      </c>
      <c r="V22" s="1991" t="s">
        <v>5781</v>
      </c>
      <c r="W22" s="1985" t="s">
        <v>5781</v>
      </c>
      <c r="X22" s="1991" t="s">
        <v>1615</v>
      </c>
      <c r="Y22" s="1985" t="s">
        <v>5782</v>
      </c>
      <c r="Z22" s="2007"/>
      <c r="AA22" s="2007"/>
      <c r="AB22" s="2001"/>
      <c r="AC22" s="2001"/>
      <c r="AD22" s="2001"/>
      <c r="AE22" s="2007"/>
      <c r="AF22" s="2007"/>
      <c r="AG22" s="1991" t="s">
        <v>5781</v>
      </c>
      <c r="AH22" s="1993"/>
    </row>
    <row r="23" spans="1:34" ht="12.75" customHeight="1" x14ac:dyDescent="0.3">
      <c r="A23" s="14"/>
      <c r="B23" s="628"/>
      <c r="C23" s="66"/>
      <c r="D23" s="66"/>
      <c r="E23" s="66"/>
      <c r="F23" s="66"/>
      <c r="G23" s="66"/>
      <c r="H23" s="66"/>
      <c r="I23" s="66"/>
      <c r="J23" s="66"/>
      <c r="K23" s="97" t="s">
        <v>5725</v>
      </c>
      <c r="L23" s="66"/>
      <c r="M23" s="66"/>
      <c r="N23" s="68"/>
      <c r="O23" s="14"/>
      <c r="Q23" s="5">
        <v>2</v>
      </c>
      <c r="R23" s="160">
        <v>0</v>
      </c>
      <c r="V23" s="1991" t="s">
        <v>5783</v>
      </c>
      <c r="W23" s="1985" t="s">
        <v>5784</v>
      </c>
      <c r="X23" s="1991" t="s">
        <v>1707</v>
      </c>
      <c r="Y23" s="1985" t="s">
        <v>5785</v>
      </c>
      <c r="Z23" s="2007"/>
      <c r="AA23" s="2007"/>
      <c r="AB23" s="2001"/>
      <c r="AC23" s="2001"/>
      <c r="AD23" s="2001"/>
      <c r="AE23" s="2007"/>
      <c r="AF23" s="2007"/>
      <c r="AG23" s="1991" t="s">
        <v>5786</v>
      </c>
      <c r="AH23" s="1993"/>
    </row>
    <row r="24" spans="1:34" ht="12.75" customHeight="1" x14ac:dyDescent="0.3">
      <c r="A24" s="14"/>
      <c r="B24" s="628"/>
      <c r="C24" s="66"/>
      <c r="D24" s="66"/>
      <c r="E24" s="66"/>
      <c r="F24" s="66"/>
      <c r="G24" s="66"/>
      <c r="H24" s="71" t="s">
        <v>5787</v>
      </c>
      <c r="I24" s="1999"/>
      <c r="J24" s="66"/>
      <c r="K24" s="2000" t="str">
        <f>IF(ISNA(VLOOKUP(E22,V$5:AF$245,R14+4,FALSE)),"",IF(VLOOKUP(E22,V$5:AF$245,R14+4,FALSE)="","",VLOOKUP(E22,V$5:AF$245,R14+4,FALSE)))</f>
        <v/>
      </c>
      <c r="L24" s="66"/>
      <c r="M24" s="66"/>
      <c r="N24" s="68"/>
      <c r="O24" s="14"/>
      <c r="Q24" s="5">
        <v>3</v>
      </c>
      <c r="R24" s="160">
        <v>0.05</v>
      </c>
      <c r="V24" s="1991" t="s">
        <v>5783</v>
      </c>
      <c r="W24" s="1985" t="s">
        <v>5784</v>
      </c>
      <c r="X24" s="1991" t="s">
        <v>1707</v>
      </c>
      <c r="Y24" s="1985" t="s">
        <v>5788</v>
      </c>
      <c r="Z24" s="2007"/>
      <c r="AA24" s="2007"/>
      <c r="AB24" s="2001"/>
      <c r="AC24" s="2001"/>
      <c r="AD24" s="2001"/>
      <c r="AE24" s="2007"/>
      <c r="AF24" s="2007"/>
      <c r="AG24" s="1991" t="s">
        <v>5786</v>
      </c>
      <c r="AH24" s="1993"/>
    </row>
    <row r="25" spans="1:34" ht="12.75" customHeight="1" x14ac:dyDescent="0.3">
      <c r="A25" s="14"/>
      <c r="B25" s="628"/>
      <c r="C25" s="66"/>
      <c r="D25" s="66"/>
      <c r="E25" s="66"/>
      <c r="F25" s="66"/>
      <c r="G25" s="66"/>
      <c r="H25" s="66"/>
      <c r="I25" s="66"/>
      <c r="J25" s="66"/>
      <c r="K25" s="66"/>
      <c r="L25" s="66"/>
      <c r="M25" s="66"/>
      <c r="N25" s="68"/>
      <c r="O25" s="14"/>
      <c r="Q25" s="5">
        <v>4</v>
      </c>
      <c r="R25" s="160">
        <v>7.0000000000000007E-2</v>
      </c>
      <c r="V25" s="1991" t="s">
        <v>5783</v>
      </c>
      <c r="W25" s="1985" t="s">
        <v>5784</v>
      </c>
      <c r="X25" s="1991" t="s">
        <v>1707</v>
      </c>
      <c r="Y25" s="1985" t="s">
        <v>5789</v>
      </c>
      <c r="Z25" s="2007"/>
      <c r="AA25" s="2007"/>
      <c r="AB25" s="2001"/>
      <c r="AC25" s="2001"/>
      <c r="AD25" s="2001"/>
      <c r="AE25" s="2007"/>
      <c r="AF25" s="2007"/>
      <c r="AG25" s="1991" t="s">
        <v>5786</v>
      </c>
      <c r="AH25" s="1993"/>
    </row>
    <row r="26" spans="1:34" ht="12.75" customHeight="1" x14ac:dyDescent="0.3">
      <c r="A26" s="14"/>
      <c r="B26" s="629" t="s">
        <v>5790</v>
      </c>
      <c r="C26" s="66"/>
      <c r="D26" s="66"/>
      <c r="E26" s="1994"/>
      <c r="F26" s="66"/>
      <c r="G26" s="1995"/>
      <c r="H26" s="66"/>
      <c r="I26" s="1996"/>
      <c r="J26" s="66"/>
      <c r="K26" s="66"/>
      <c r="L26" s="66"/>
      <c r="M26" s="1995"/>
      <c r="N26" s="68"/>
      <c r="O26" s="14"/>
      <c r="Q26" s="5">
        <v>5</v>
      </c>
      <c r="R26" s="160">
        <v>0.08</v>
      </c>
      <c r="V26" s="1991" t="s">
        <v>5791</v>
      </c>
      <c r="W26" s="1985" t="s">
        <v>5791</v>
      </c>
      <c r="X26" s="1991" t="s">
        <v>1615</v>
      </c>
      <c r="Y26" s="1985" t="s">
        <v>5792</v>
      </c>
      <c r="Z26" s="2007"/>
      <c r="AA26" s="2007"/>
      <c r="AB26" s="2001"/>
      <c r="AC26" s="2001"/>
      <c r="AD26" s="2001"/>
      <c r="AE26" s="2007"/>
      <c r="AF26" s="2007"/>
      <c r="AG26" s="1991" t="s">
        <v>5791</v>
      </c>
      <c r="AH26" s="1993"/>
    </row>
    <row r="27" spans="1:34" ht="12.75" customHeight="1" x14ac:dyDescent="0.3">
      <c r="A27" s="14"/>
      <c r="B27" s="628"/>
      <c r="C27" s="66"/>
      <c r="D27" s="66"/>
      <c r="E27" s="66"/>
      <c r="F27" s="66"/>
      <c r="G27" s="66"/>
      <c r="H27" s="66"/>
      <c r="I27" s="66"/>
      <c r="J27" s="66"/>
      <c r="K27" s="97" t="s">
        <v>5725</v>
      </c>
      <c r="L27" s="66"/>
      <c r="M27" s="66"/>
      <c r="N27" s="68"/>
      <c r="O27" s="14"/>
      <c r="Q27" s="5">
        <v>6</v>
      </c>
      <c r="R27" s="160">
        <v>0.1</v>
      </c>
      <c r="V27" s="1991" t="s">
        <v>5793</v>
      </c>
      <c r="W27" s="1985" t="s">
        <v>5794</v>
      </c>
      <c r="X27" s="1991" t="s">
        <v>1707</v>
      </c>
      <c r="Y27" s="1985" t="s">
        <v>5795</v>
      </c>
      <c r="Z27" s="2007"/>
      <c r="AA27" s="2007"/>
      <c r="AB27" s="2008">
        <v>0.1</v>
      </c>
      <c r="AC27" s="2008">
        <v>0.15</v>
      </c>
      <c r="AD27" s="2008"/>
      <c r="AE27" s="2007"/>
      <c r="AF27" s="2007"/>
      <c r="AG27" s="1991" t="s">
        <v>5796</v>
      </c>
      <c r="AH27" s="1993"/>
    </row>
    <row r="28" spans="1:34" ht="13" x14ac:dyDescent="0.3">
      <c r="A28" s="14"/>
      <c r="B28" s="628"/>
      <c r="C28" s="66"/>
      <c r="D28" s="66"/>
      <c r="E28" s="66"/>
      <c r="F28" s="66"/>
      <c r="G28" s="66"/>
      <c r="H28" s="71" t="s">
        <v>5797</v>
      </c>
      <c r="I28" s="1999"/>
      <c r="J28" s="66"/>
      <c r="K28" s="2000" t="str">
        <f>IF(ISNA(VLOOKUP(E26,V$5:AF$245,R15+4,FALSE)),"",IF(VLOOKUP(E26,V$5:AF$245,R15+4,FALSE)="","",VLOOKUP(E26,V$5:AF$245,R15+4,FALSE)))</f>
        <v/>
      </c>
      <c r="L28" s="66"/>
      <c r="M28" s="66"/>
      <c r="N28" s="68"/>
      <c r="O28" s="14"/>
      <c r="Q28" s="5">
        <v>7</v>
      </c>
      <c r="R28" s="160">
        <v>0.12</v>
      </c>
      <c r="V28" s="1991" t="s">
        <v>5798</v>
      </c>
      <c r="W28" s="1985" t="s">
        <v>5799</v>
      </c>
      <c r="X28" s="1991" t="s">
        <v>1707</v>
      </c>
      <c r="Y28" s="1985" t="s">
        <v>5800</v>
      </c>
      <c r="Z28" s="2007"/>
      <c r="AA28" s="2007"/>
      <c r="AB28" s="2002">
        <v>0</v>
      </c>
      <c r="AC28" s="2008">
        <v>0.1</v>
      </c>
      <c r="AD28" s="2008"/>
      <c r="AE28" s="2007"/>
      <c r="AF28" s="2007"/>
      <c r="AG28" s="1991" t="s">
        <v>5801</v>
      </c>
      <c r="AH28" s="1993"/>
    </row>
    <row r="29" spans="1:34" ht="13" x14ac:dyDescent="0.3">
      <c r="A29" s="14"/>
      <c r="B29" s="628"/>
      <c r="C29" s="66"/>
      <c r="D29" s="66"/>
      <c r="E29" s="66"/>
      <c r="F29" s="66"/>
      <c r="G29" s="66"/>
      <c r="H29" s="66"/>
      <c r="I29" s="66"/>
      <c r="J29" s="66"/>
      <c r="K29" s="66"/>
      <c r="L29" s="66"/>
      <c r="M29" s="66"/>
      <c r="N29" s="68"/>
      <c r="O29" s="14"/>
      <c r="Q29" s="5">
        <v>8</v>
      </c>
      <c r="R29" s="161">
        <v>0.125</v>
      </c>
      <c r="V29" s="1991" t="s">
        <v>5802</v>
      </c>
      <c r="W29" s="1985" t="s">
        <v>5803</v>
      </c>
      <c r="X29" s="1991" t="s">
        <v>1707</v>
      </c>
      <c r="Y29" s="1985" t="s">
        <v>5804</v>
      </c>
      <c r="Z29" s="2007"/>
      <c r="AA29" s="2007"/>
      <c r="AB29" s="2002">
        <v>0</v>
      </c>
      <c r="AC29" s="2008">
        <v>0</v>
      </c>
      <c r="AD29" s="2008"/>
      <c r="AE29" s="2007"/>
      <c r="AF29" s="2007"/>
      <c r="AG29" s="1991" t="s">
        <v>5805</v>
      </c>
      <c r="AH29" s="1993" t="s">
        <v>5806</v>
      </c>
    </row>
    <row r="30" spans="1:34" ht="13" x14ac:dyDescent="0.3">
      <c r="A30" s="14"/>
      <c r="B30" s="629" t="s">
        <v>5807</v>
      </c>
      <c r="C30" s="66"/>
      <c r="D30" s="66"/>
      <c r="E30" s="1994"/>
      <c r="F30" s="66"/>
      <c r="G30" s="1995"/>
      <c r="H30" s="66"/>
      <c r="I30" s="1996"/>
      <c r="J30" s="66"/>
      <c r="K30" s="66"/>
      <c r="L30" s="66"/>
      <c r="M30" s="1995"/>
      <c r="N30" s="68"/>
      <c r="O30" s="14"/>
      <c r="Q30" s="5">
        <v>9</v>
      </c>
      <c r="R30" s="160">
        <v>0.15</v>
      </c>
      <c r="V30" s="1991" t="s">
        <v>4458</v>
      </c>
      <c r="W30" s="1985" t="s">
        <v>4458</v>
      </c>
      <c r="X30" s="1991" t="s">
        <v>1615</v>
      </c>
      <c r="Y30" s="1985" t="s">
        <v>5808</v>
      </c>
      <c r="Z30" s="2007"/>
      <c r="AA30" s="2007"/>
      <c r="AB30" s="2001"/>
      <c r="AC30" s="2001"/>
      <c r="AD30" s="2001"/>
      <c r="AE30" s="2007"/>
      <c r="AF30" s="2007"/>
      <c r="AG30" s="1991" t="s">
        <v>4458</v>
      </c>
      <c r="AH30" s="1993"/>
    </row>
    <row r="31" spans="1:34" ht="13" x14ac:dyDescent="0.3">
      <c r="A31" s="14"/>
      <c r="B31" s="628"/>
      <c r="C31" s="66"/>
      <c r="D31" s="66"/>
      <c r="E31" s="66"/>
      <c r="F31" s="66"/>
      <c r="G31" s="66"/>
      <c r="H31" s="66"/>
      <c r="I31" s="66"/>
      <c r="J31" s="66"/>
      <c r="K31" s="97" t="s">
        <v>5725</v>
      </c>
      <c r="L31" s="66"/>
      <c r="M31" s="66"/>
      <c r="N31" s="68"/>
      <c r="O31" s="14"/>
      <c r="Q31" s="5">
        <v>10</v>
      </c>
      <c r="R31" s="160">
        <v>0.17</v>
      </c>
      <c r="V31" s="1991" t="s">
        <v>5809</v>
      </c>
      <c r="W31" s="1985" t="s">
        <v>5810</v>
      </c>
      <c r="X31" s="1991" t="s">
        <v>1707</v>
      </c>
      <c r="Y31" s="1985" t="s">
        <v>5811</v>
      </c>
      <c r="Z31" s="2007"/>
      <c r="AA31" s="2007"/>
      <c r="AB31" s="2008">
        <v>0.1</v>
      </c>
      <c r="AC31" s="2008">
        <v>0.15</v>
      </c>
      <c r="AD31" s="2008"/>
      <c r="AE31" s="2007"/>
      <c r="AF31" s="2007"/>
      <c r="AG31" s="1991" t="s">
        <v>5812</v>
      </c>
      <c r="AH31" s="1993"/>
    </row>
    <row r="32" spans="1:34" ht="13" x14ac:dyDescent="0.3">
      <c r="A32" s="14"/>
      <c r="B32" s="628"/>
      <c r="C32" s="66"/>
      <c r="D32" s="66"/>
      <c r="E32" s="66"/>
      <c r="F32" s="66"/>
      <c r="G32" s="66"/>
      <c r="H32" s="71" t="s">
        <v>5813</v>
      </c>
      <c r="I32" s="1999"/>
      <c r="J32" s="66"/>
      <c r="K32" s="2000" t="str">
        <f>IF(ISNA(VLOOKUP(E30,V$5:AF$245,R16+4,FALSE)),"",IF(VLOOKUP(E30,V$5:AF$245,R16+4,FALSE)="","",VLOOKUP(E30,V$5:AF$245,R16+4,FALSE)))</f>
        <v/>
      </c>
      <c r="L32" s="66"/>
      <c r="M32" s="66"/>
      <c r="N32" s="68"/>
      <c r="O32" s="14"/>
      <c r="Q32" s="5">
        <v>11</v>
      </c>
      <c r="R32" s="160">
        <v>0.2</v>
      </c>
      <c r="V32" s="1991" t="s">
        <v>5814</v>
      </c>
      <c r="W32" s="1985" t="s">
        <v>5815</v>
      </c>
      <c r="X32" s="1991" t="s">
        <v>1707</v>
      </c>
      <c r="Y32" s="1985" t="s">
        <v>5816</v>
      </c>
      <c r="Z32" s="2007"/>
      <c r="AA32" s="2007"/>
      <c r="AB32" s="2002">
        <v>0</v>
      </c>
      <c r="AC32" s="2008">
        <v>0</v>
      </c>
      <c r="AD32" s="2008"/>
      <c r="AE32" s="2007"/>
      <c r="AF32" s="2007"/>
      <c r="AG32" s="1991" t="s">
        <v>5817</v>
      </c>
      <c r="AH32" s="1993"/>
    </row>
    <row r="33" spans="1:34" ht="13" x14ac:dyDescent="0.3">
      <c r="A33" s="14"/>
      <c r="B33" s="628"/>
      <c r="C33" s="66"/>
      <c r="D33" s="66"/>
      <c r="E33" s="66"/>
      <c r="F33" s="66"/>
      <c r="G33" s="66"/>
      <c r="H33" s="66"/>
      <c r="I33" s="66"/>
      <c r="J33" s="66"/>
      <c r="K33" s="66"/>
      <c r="L33" s="66"/>
      <c r="M33" s="66"/>
      <c r="N33" s="68"/>
      <c r="O33" s="14"/>
      <c r="Q33" s="5">
        <v>12</v>
      </c>
      <c r="R33" s="160">
        <v>0.25</v>
      </c>
      <c r="V33" s="1991" t="s">
        <v>5818</v>
      </c>
      <c r="W33" s="1985" t="s">
        <v>5819</v>
      </c>
      <c r="X33" s="1991" t="s">
        <v>1707</v>
      </c>
      <c r="Y33" s="1985" t="s">
        <v>5820</v>
      </c>
      <c r="Z33" s="2007"/>
      <c r="AA33" s="2007"/>
      <c r="AB33" s="2001" t="s">
        <v>5752</v>
      </c>
      <c r="AC33" s="2004" t="s">
        <v>5753</v>
      </c>
      <c r="AD33" s="2004" t="s">
        <v>5753</v>
      </c>
      <c r="AE33" s="2007"/>
      <c r="AF33" s="2007"/>
      <c r="AG33" s="1991" t="s">
        <v>5821</v>
      </c>
      <c r="AH33" s="1993"/>
    </row>
    <row r="34" spans="1:34" ht="13" x14ac:dyDescent="0.3">
      <c r="A34" s="14"/>
      <c r="B34" s="629" t="s">
        <v>5822</v>
      </c>
      <c r="C34" s="66"/>
      <c r="D34" s="66"/>
      <c r="E34" s="1994"/>
      <c r="F34" s="66"/>
      <c r="G34" s="1995"/>
      <c r="H34" s="66"/>
      <c r="I34" s="1996"/>
      <c r="J34" s="66"/>
      <c r="K34" s="66"/>
      <c r="L34" s="66"/>
      <c r="M34" s="1995"/>
      <c r="N34" s="68"/>
      <c r="O34" s="14"/>
      <c r="V34" s="1991" t="s">
        <v>3895</v>
      </c>
      <c r="W34" s="1985" t="s">
        <v>3895</v>
      </c>
      <c r="X34" s="1991" t="s">
        <v>1615</v>
      </c>
      <c r="Y34" s="1985" t="s">
        <v>5823</v>
      </c>
      <c r="Z34" s="2007"/>
      <c r="AA34" s="2007"/>
      <c r="AB34" s="2001"/>
      <c r="AC34" s="2001"/>
      <c r="AD34" s="2001"/>
      <c r="AE34" s="2007"/>
      <c r="AF34" s="2007"/>
      <c r="AG34" s="1991" t="s">
        <v>3895</v>
      </c>
      <c r="AH34" s="1993"/>
    </row>
    <row r="35" spans="1:34" ht="13" x14ac:dyDescent="0.3">
      <c r="A35" s="14"/>
      <c r="B35" s="628"/>
      <c r="C35" s="66"/>
      <c r="D35" s="66"/>
      <c r="E35" s="66"/>
      <c r="F35" s="66"/>
      <c r="G35" s="66"/>
      <c r="H35" s="66"/>
      <c r="I35" s="66"/>
      <c r="J35" s="66"/>
      <c r="K35" s="97" t="s">
        <v>5725</v>
      </c>
      <c r="L35" s="66"/>
      <c r="M35" s="66"/>
      <c r="N35" s="68"/>
      <c r="O35" s="14"/>
      <c r="V35" s="1991" t="s">
        <v>5824</v>
      </c>
      <c r="W35" s="1985" t="s">
        <v>5825</v>
      </c>
      <c r="X35" s="1991" t="s">
        <v>1707</v>
      </c>
      <c r="Y35" s="1985" t="s">
        <v>5826</v>
      </c>
      <c r="Z35" s="2007"/>
      <c r="AA35" s="2007"/>
      <c r="AB35" s="2008">
        <v>0.15</v>
      </c>
      <c r="AC35" s="2008">
        <v>0.15</v>
      </c>
      <c r="AD35" s="2008"/>
      <c r="AE35" s="2007"/>
      <c r="AF35" s="2007"/>
      <c r="AG35" s="1991" t="s">
        <v>5827</v>
      </c>
      <c r="AH35" s="1993"/>
    </row>
    <row r="36" spans="1:34" ht="13" x14ac:dyDescent="0.3">
      <c r="A36" s="14"/>
      <c r="B36" s="628"/>
      <c r="C36" s="66"/>
      <c r="D36" s="66"/>
      <c r="E36" s="66"/>
      <c r="F36" s="66"/>
      <c r="G36" s="66"/>
      <c r="H36" s="71" t="s">
        <v>5828</v>
      </c>
      <c r="I36" s="1999"/>
      <c r="J36" s="66"/>
      <c r="K36" s="2000" t="str">
        <f>IF(ISNA(VLOOKUP(E34,V$5:AF$245,R17+4,FALSE)),"",IF(VLOOKUP(E34,V$5:AF$245,R17+4,FALSE)="","",VLOOKUP(E34,V$5:AF$245,R17+4,FALSE)))</f>
        <v/>
      </c>
      <c r="L36" s="66"/>
      <c r="M36" s="66"/>
      <c r="N36" s="68"/>
      <c r="O36" s="14"/>
      <c r="V36" s="1991" t="s">
        <v>5829</v>
      </c>
      <c r="W36" s="1985" t="s">
        <v>5829</v>
      </c>
      <c r="X36" s="1991" t="s">
        <v>1615</v>
      </c>
      <c r="Y36" s="1985" t="s">
        <v>5830</v>
      </c>
      <c r="Z36" s="2007"/>
      <c r="AA36" s="2007"/>
      <c r="AB36" s="2001"/>
      <c r="AC36" s="2001"/>
      <c r="AD36" s="2001"/>
      <c r="AE36" s="2007"/>
      <c r="AF36" s="2007"/>
      <c r="AG36" s="1991" t="s">
        <v>5829</v>
      </c>
      <c r="AH36" s="1993"/>
    </row>
    <row r="37" spans="1:34" ht="13" x14ac:dyDescent="0.3">
      <c r="A37" s="14"/>
      <c r="B37" s="628"/>
      <c r="C37" s="66"/>
      <c r="D37" s="66"/>
      <c r="E37" s="66"/>
      <c r="F37" s="66"/>
      <c r="G37" s="66"/>
      <c r="H37" s="66"/>
      <c r="I37" s="66"/>
      <c r="J37" s="66"/>
      <c r="K37" s="66"/>
      <c r="L37" s="66"/>
      <c r="M37" s="66"/>
      <c r="N37" s="68"/>
      <c r="O37" s="14"/>
      <c r="V37" s="1991" t="s">
        <v>5831</v>
      </c>
      <c r="W37" s="1985" t="s">
        <v>5832</v>
      </c>
      <c r="X37" s="1991" t="s">
        <v>1707</v>
      </c>
      <c r="Y37" s="1985" t="s">
        <v>5833</v>
      </c>
      <c r="Z37" s="2007"/>
      <c r="AA37" s="2007"/>
      <c r="AB37" s="2008" t="s">
        <v>5834</v>
      </c>
      <c r="AC37" s="2001" t="s">
        <v>5835</v>
      </c>
      <c r="AD37" s="2001"/>
      <c r="AE37" s="2007"/>
      <c r="AF37" s="2007"/>
      <c r="AG37" s="1991" t="s">
        <v>5836</v>
      </c>
      <c r="AH37" s="1993" t="s">
        <v>5837</v>
      </c>
    </row>
    <row r="38" spans="1:34" ht="13" x14ac:dyDescent="0.3">
      <c r="A38" s="14"/>
      <c r="B38" s="629" t="s">
        <v>5838</v>
      </c>
      <c r="C38" s="66"/>
      <c r="D38" s="66"/>
      <c r="E38" s="1994"/>
      <c r="F38" s="66"/>
      <c r="G38" s="1995"/>
      <c r="H38" s="66"/>
      <c r="I38" s="1996"/>
      <c r="J38" s="66"/>
      <c r="K38" s="66"/>
      <c r="L38" s="66"/>
      <c r="M38" s="1995"/>
      <c r="N38" s="68"/>
      <c r="O38" s="14"/>
      <c r="V38" s="1991" t="s">
        <v>3896</v>
      </c>
      <c r="W38" s="1985" t="s">
        <v>5839</v>
      </c>
      <c r="X38" s="1991" t="s">
        <v>1707</v>
      </c>
      <c r="Y38" s="1985" t="s">
        <v>5840</v>
      </c>
      <c r="Z38" s="2007"/>
      <c r="AA38" s="2007"/>
      <c r="AB38" s="2001" t="s">
        <v>5752</v>
      </c>
      <c r="AC38" s="2001" t="s">
        <v>5835</v>
      </c>
      <c r="AD38" s="2001" t="s">
        <v>5835</v>
      </c>
      <c r="AE38" s="2007"/>
      <c r="AF38" s="2007"/>
      <c r="AG38" s="1991" t="s">
        <v>5841</v>
      </c>
      <c r="AH38" s="1993"/>
    </row>
    <row r="39" spans="1:34" ht="13" x14ac:dyDescent="0.3">
      <c r="A39" s="14"/>
      <c r="B39" s="628"/>
      <c r="C39" s="66"/>
      <c r="D39" s="66"/>
      <c r="E39" s="66"/>
      <c r="F39" s="66"/>
      <c r="G39" s="66"/>
      <c r="H39" s="66"/>
      <c r="I39" s="66"/>
      <c r="J39" s="66"/>
      <c r="K39" s="97" t="s">
        <v>5725</v>
      </c>
      <c r="L39" s="66"/>
      <c r="M39" s="66"/>
      <c r="N39" s="68"/>
      <c r="O39" s="14"/>
      <c r="V39" s="1991" t="s">
        <v>5842</v>
      </c>
      <c r="W39" s="1985" t="s">
        <v>5842</v>
      </c>
      <c r="X39" s="1991" t="s">
        <v>1615</v>
      </c>
      <c r="Y39" s="1985" t="s">
        <v>5843</v>
      </c>
      <c r="Z39" s="2007"/>
      <c r="AA39" s="2007"/>
      <c r="AB39" s="2001"/>
      <c r="AC39" s="2001"/>
      <c r="AD39" s="2001"/>
      <c r="AE39" s="2007"/>
      <c r="AF39" s="2007"/>
      <c r="AG39" s="1991" t="s">
        <v>5842</v>
      </c>
      <c r="AH39" s="1993"/>
    </row>
    <row r="40" spans="1:34" ht="13" x14ac:dyDescent="0.3">
      <c r="A40" s="14"/>
      <c r="B40" s="628"/>
      <c r="C40" s="66"/>
      <c r="D40" s="66"/>
      <c r="E40" s="66"/>
      <c r="F40" s="66"/>
      <c r="G40" s="66"/>
      <c r="H40" s="71" t="s">
        <v>5844</v>
      </c>
      <c r="I40" s="1999"/>
      <c r="J40" s="66"/>
      <c r="K40" s="2000" t="str">
        <f>IF(ISNA(VLOOKUP(E38,V$5:AF$245,R18+4,FALSE)),"",IF(VLOOKUP(E38,V$5:AF$245,R18+4,FALSE)="","",VLOOKUP(E38,V$5:AF$245,R18+4,FALSE)))</f>
        <v/>
      </c>
      <c r="L40" s="66"/>
      <c r="M40" s="66"/>
      <c r="N40" s="68"/>
      <c r="O40" s="14"/>
      <c r="V40" s="1991" t="s">
        <v>5845</v>
      </c>
      <c r="W40" s="1985" t="s">
        <v>5846</v>
      </c>
      <c r="X40" s="1991" t="s">
        <v>1707</v>
      </c>
      <c r="Y40" s="1985" t="s">
        <v>5847</v>
      </c>
      <c r="Z40" s="2007"/>
      <c r="AA40" s="2007"/>
      <c r="AB40" s="2008">
        <v>0.1</v>
      </c>
      <c r="AC40" s="2008">
        <v>0.12</v>
      </c>
      <c r="AD40" s="2008"/>
      <c r="AE40" s="2007"/>
      <c r="AF40" s="2007"/>
      <c r="AG40" s="1991" t="s">
        <v>5848</v>
      </c>
      <c r="AH40" s="1993"/>
    </row>
    <row r="41" spans="1:34" ht="13" x14ac:dyDescent="0.3">
      <c r="A41" s="14"/>
      <c r="B41" s="628"/>
      <c r="C41" s="66"/>
      <c r="D41" s="66"/>
      <c r="E41" s="66"/>
      <c r="F41" s="66"/>
      <c r="G41" s="66"/>
      <c r="H41" s="66"/>
      <c r="I41" s="66"/>
      <c r="J41" s="66"/>
      <c r="K41" s="66"/>
      <c r="L41" s="66"/>
      <c r="M41" s="66"/>
      <c r="N41" s="68"/>
      <c r="O41" s="14"/>
      <c r="V41" s="1991" t="s">
        <v>5849</v>
      </c>
      <c r="W41" s="1985" t="s">
        <v>5849</v>
      </c>
      <c r="X41" s="1991" t="s">
        <v>1615</v>
      </c>
      <c r="Y41" s="1985" t="s">
        <v>5850</v>
      </c>
      <c r="Z41" s="2007"/>
      <c r="AA41" s="2007"/>
      <c r="AB41" s="2001"/>
      <c r="AC41" s="2001"/>
      <c r="AD41" s="2001"/>
      <c r="AE41" s="2007"/>
      <c r="AF41" s="2007"/>
      <c r="AG41" s="1991" t="s">
        <v>5849</v>
      </c>
      <c r="AH41" s="1993"/>
    </row>
    <row r="42" spans="1:34" ht="13" x14ac:dyDescent="0.3">
      <c r="A42" s="14"/>
      <c r="B42" s="629" t="s">
        <v>5851</v>
      </c>
      <c r="C42" s="66"/>
      <c r="D42" s="66"/>
      <c r="E42" s="1994"/>
      <c r="F42" s="66"/>
      <c r="G42" s="1995"/>
      <c r="H42" s="66"/>
      <c r="I42" s="1996"/>
      <c r="J42" s="66"/>
      <c r="K42" s="66"/>
      <c r="L42" s="66"/>
      <c r="M42" s="1995"/>
      <c r="N42" s="68"/>
      <c r="O42" s="14"/>
      <c r="V42" s="1991" t="s">
        <v>3853</v>
      </c>
      <c r="W42" s="1985" t="s">
        <v>5852</v>
      </c>
      <c r="X42" s="1991" t="s">
        <v>1707</v>
      </c>
      <c r="Y42" s="1985" t="s">
        <v>5853</v>
      </c>
      <c r="Z42" s="2007"/>
      <c r="AA42" s="2007"/>
      <c r="AB42" s="2001" t="s">
        <v>5854</v>
      </c>
      <c r="AC42" s="2008">
        <v>0.15</v>
      </c>
      <c r="AD42" s="2008"/>
      <c r="AE42" s="2007"/>
      <c r="AF42" s="2007"/>
      <c r="AG42" s="1991" t="s">
        <v>5855</v>
      </c>
      <c r="AH42" s="1993" t="s">
        <v>5856</v>
      </c>
    </row>
    <row r="43" spans="1:34" ht="13" x14ac:dyDescent="0.3">
      <c r="A43" s="14"/>
      <c r="B43" s="628"/>
      <c r="C43" s="66"/>
      <c r="D43" s="66"/>
      <c r="E43" s="66"/>
      <c r="F43" s="66"/>
      <c r="G43" s="66"/>
      <c r="H43" s="66"/>
      <c r="I43" s="66"/>
      <c r="J43" s="66"/>
      <c r="K43" s="97" t="s">
        <v>5725</v>
      </c>
      <c r="L43" s="66"/>
      <c r="M43" s="66"/>
      <c r="N43" s="68"/>
      <c r="O43" s="14"/>
      <c r="V43" s="1991" t="s">
        <v>5857</v>
      </c>
      <c r="W43" s="1985" t="s">
        <v>5858</v>
      </c>
      <c r="X43" s="1991" t="s">
        <v>1707</v>
      </c>
      <c r="Y43" s="1985" t="s">
        <v>5859</v>
      </c>
      <c r="Z43" s="2007"/>
      <c r="AA43" s="2007"/>
      <c r="AB43" s="2001"/>
      <c r="AC43" s="2001"/>
      <c r="AD43" s="2001"/>
      <c r="AE43" s="2007"/>
      <c r="AF43" s="2007"/>
      <c r="AG43" s="1991" t="s">
        <v>5860</v>
      </c>
      <c r="AH43" s="1993"/>
    </row>
    <row r="44" spans="1:34" ht="13" x14ac:dyDescent="0.3">
      <c r="A44" s="14"/>
      <c r="B44" s="628"/>
      <c r="C44" s="66"/>
      <c r="D44" s="66"/>
      <c r="E44" s="66"/>
      <c r="F44" s="66"/>
      <c r="G44" s="66"/>
      <c r="H44" s="71" t="s">
        <v>5861</v>
      </c>
      <c r="I44" s="1999"/>
      <c r="J44" s="66"/>
      <c r="K44" s="2000" t="str">
        <f>IF(ISNA(VLOOKUP(E42,V$5:AF$245,R19+4,FALSE)),"",IF(VLOOKUP(E42,V$5:AF$245,R19+4,FALSE)="","",VLOOKUP(E42,V$5:AF$245,R19+4,FALSE)))</f>
        <v/>
      </c>
      <c r="L44" s="66"/>
      <c r="M44" s="66"/>
      <c r="N44" s="68"/>
      <c r="O44" s="14"/>
      <c r="V44" s="1991" t="s">
        <v>3905</v>
      </c>
      <c r="W44" s="1985" t="s">
        <v>5862</v>
      </c>
      <c r="X44" s="1991" t="s">
        <v>1707</v>
      </c>
      <c r="Y44" s="1985" t="s">
        <v>5863</v>
      </c>
      <c r="Z44" s="2007"/>
      <c r="AA44" s="2007"/>
      <c r="AB44" s="2002">
        <v>0</v>
      </c>
      <c r="AC44" s="2008">
        <v>0.15</v>
      </c>
      <c r="AD44" s="2008"/>
      <c r="AE44" s="2007"/>
      <c r="AF44" s="2007"/>
      <c r="AG44" s="1991" t="s">
        <v>5864</v>
      </c>
      <c r="AH44" s="1993"/>
    </row>
    <row r="45" spans="1:34" ht="13" x14ac:dyDescent="0.3">
      <c r="A45" s="14"/>
      <c r="B45" s="628"/>
      <c r="C45" s="66"/>
      <c r="D45" s="66"/>
      <c r="E45" s="66"/>
      <c r="F45" s="66"/>
      <c r="G45" s="66"/>
      <c r="H45" s="66"/>
      <c r="I45" s="66"/>
      <c r="J45" s="66"/>
      <c r="K45" s="66"/>
      <c r="L45" s="66"/>
      <c r="M45" s="66"/>
      <c r="N45" s="68"/>
      <c r="O45" s="14"/>
      <c r="V45" s="1991" t="s">
        <v>5865</v>
      </c>
      <c r="W45" s="1985" t="s">
        <v>5866</v>
      </c>
      <c r="X45" s="1991" t="s">
        <v>1707</v>
      </c>
      <c r="Y45" s="1985" t="s">
        <v>5867</v>
      </c>
      <c r="Z45" s="2007"/>
      <c r="AA45" s="2007"/>
      <c r="AB45" s="2008">
        <v>0.15</v>
      </c>
      <c r="AC45" s="2008">
        <v>0.15</v>
      </c>
      <c r="AD45" s="2008"/>
      <c r="AE45" s="2007"/>
      <c r="AF45" s="2007"/>
      <c r="AG45" s="1991" t="s">
        <v>5868</v>
      </c>
      <c r="AH45" s="1993"/>
    </row>
    <row r="46" spans="1:34" ht="13" x14ac:dyDescent="0.3">
      <c r="A46" s="14"/>
      <c r="B46" s="629" t="s">
        <v>5869</v>
      </c>
      <c r="C46" s="66"/>
      <c r="D46" s="66"/>
      <c r="E46" s="1994"/>
      <c r="F46" s="66"/>
      <c r="G46" s="1995"/>
      <c r="H46" s="66"/>
      <c r="I46" s="1996"/>
      <c r="J46" s="66"/>
      <c r="K46" s="66"/>
      <c r="L46" s="66"/>
      <c r="M46" s="1995"/>
      <c r="N46" s="68"/>
      <c r="O46" s="14"/>
      <c r="V46" s="1991" t="s">
        <v>5870</v>
      </c>
      <c r="W46" s="1985" t="s">
        <v>5871</v>
      </c>
      <c r="X46" s="1991" t="s">
        <v>1707</v>
      </c>
      <c r="Y46" s="1985" t="s">
        <v>5872</v>
      </c>
      <c r="Z46" s="2007"/>
      <c r="AA46" s="2007"/>
      <c r="AB46" s="2001" t="s">
        <v>5854</v>
      </c>
      <c r="AC46" s="2008">
        <v>0.1</v>
      </c>
      <c r="AD46" s="2008"/>
      <c r="AE46" s="2007"/>
      <c r="AF46" s="2007"/>
      <c r="AG46" s="1991" t="s">
        <v>5873</v>
      </c>
      <c r="AH46" s="1993" t="s">
        <v>5874</v>
      </c>
    </row>
    <row r="47" spans="1:34" ht="13" x14ac:dyDescent="0.3">
      <c r="A47" s="299"/>
      <c r="B47" s="628"/>
      <c r="C47" s="66"/>
      <c r="D47" s="66"/>
      <c r="E47" s="66"/>
      <c r="F47" s="66"/>
      <c r="G47" s="66"/>
      <c r="H47" s="66"/>
      <c r="I47" s="66"/>
      <c r="J47" s="66"/>
      <c r="K47" s="97" t="s">
        <v>5725</v>
      </c>
      <c r="L47" s="66"/>
      <c r="M47" s="66"/>
      <c r="N47" s="68"/>
      <c r="O47" s="14"/>
      <c r="V47" s="1991" t="s">
        <v>5875</v>
      </c>
      <c r="W47" s="1985" t="s">
        <v>5876</v>
      </c>
      <c r="X47" s="1991" t="s">
        <v>1707</v>
      </c>
      <c r="Y47" s="1985" t="s">
        <v>5877</v>
      </c>
      <c r="Z47" s="2007"/>
      <c r="AA47" s="2007"/>
      <c r="AB47" s="2008">
        <v>0.15</v>
      </c>
      <c r="AC47" s="2001" t="s">
        <v>5758</v>
      </c>
      <c r="AD47" s="2001"/>
      <c r="AE47" s="2007"/>
      <c r="AF47" s="2007"/>
      <c r="AG47" s="1991" t="s">
        <v>5878</v>
      </c>
      <c r="AH47" s="1993" t="s">
        <v>5879</v>
      </c>
    </row>
    <row r="48" spans="1:34" ht="13" x14ac:dyDescent="0.3">
      <c r="A48" s="299"/>
      <c r="B48" s="628"/>
      <c r="C48" s="66"/>
      <c r="D48" s="66"/>
      <c r="E48" s="66"/>
      <c r="F48" s="66"/>
      <c r="G48" s="66"/>
      <c r="H48" s="71" t="s">
        <v>5880</v>
      </c>
      <c r="I48" s="1999"/>
      <c r="J48" s="66"/>
      <c r="K48" s="2000" t="str">
        <f>IF(ISNA(VLOOKUP(E46,V$5:AF$245,R20+4,FALSE)),"",IF(VLOOKUP(E46,V$5:AF$245,R20+4,FALSE)="","",VLOOKUP(E46,V$5:AF$245,R20+4,FALSE)))</f>
        <v/>
      </c>
      <c r="L48" s="66"/>
      <c r="M48" s="66"/>
      <c r="N48" s="68"/>
      <c r="O48" s="14"/>
      <c r="V48" s="1991" t="s">
        <v>5881</v>
      </c>
      <c r="W48" s="1985" t="s">
        <v>5881</v>
      </c>
      <c r="X48" s="1991" t="s">
        <v>1615</v>
      </c>
      <c r="Y48" s="1985" t="s">
        <v>5882</v>
      </c>
      <c r="Z48" s="2007"/>
      <c r="AA48" s="2007"/>
      <c r="AB48" s="2001"/>
      <c r="AC48" s="2001"/>
      <c r="AD48" s="2001"/>
      <c r="AE48" s="2007"/>
      <c r="AF48" s="2007"/>
      <c r="AG48" s="1991" t="s">
        <v>5881</v>
      </c>
      <c r="AH48" s="1993"/>
    </row>
    <row r="49" spans="1:34" ht="13" x14ac:dyDescent="0.3">
      <c r="A49" s="299"/>
      <c r="B49" s="2009"/>
      <c r="C49" s="2010"/>
      <c r="D49" s="2010"/>
      <c r="E49" s="2010"/>
      <c r="F49" s="2010"/>
      <c r="G49" s="2010"/>
      <c r="H49" s="2010"/>
      <c r="I49" s="2010"/>
      <c r="J49" s="2010"/>
      <c r="K49" s="2010"/>
      <c r="L49" s="2010"/>
      <c r="M49" s="2010"/>
      <c r="N49" s="2011"/>
      <c r="O49" s="14"/>
      <c r="V49" s="1991" t="s">
        <v>5883</v>
      </c>
      <c r="W49" s="1985" t="s">
        <v>5883</v>
      </c>
      <c r="X49" s="1991" t="s">
        <v>1615</v>
      </c>
      <c r="Y49" s="1985" t="s">
        <v>5884</v>
      </c>
      <c r="Z49" s="2007"/>
      <c r="AA49" s="2007"/>
      <c r="AB49" s="2001"/>
      <c r="AC49" s="2001"/>
      <c r="AD49" s="2001"/>
      <c r="AE49" s="2007"/>
      <c r="AF49" s="2007"/>
      <c r="AG49" s="1991" t="s">
        <v>5883</v>
      </c>
      <c r="AH49" s="1993"/>
    </row>
    <row r="50" spans="1:34" ht="13" x14ac:dyDescent="0.3">
      <c r="A50" s="299"/>
      <c r="B50" s="14"/>
      <c r="C50" s="14"/>
      <c r="D50" s="14"/>
      <c r="E50" s="14"/>
      <c r="F50" s="14"/>
      <c r="G50" s="14"/>
      <c r="H50" s="14"/>
      <c r="I50" s="14"/>
      <c r="J50" s="14"/>
      <c r="K50" s="14"/>
      <c r="L50" s="14"/>
      <c r="M50" s="14"/>
      <c r="N50" s="14"/>
      <c r="O50" s="14"/>
      <c r="V50" s="1991" t="s">
        <v>5885</v>
      </c>
      <c r="W50" s="1985" t="s">
        <v>5885</v>
      </c>
      <c r="X50" s="1991" t="s">
        <v>1615</v>
      </c>
      <c r="Y50" s="1985" t="s">
        <v>5886</v>
      </c>
      <c r="Z50" s="2007"/>
      <c r="AA50" s="2007"/>
      <c r="AB50" s="2001"/>
      <c r="AC50" s="2001"/>
      <c r="AD50" s="2001"/>
      <c r="AE50" s="2007"/>
      <c r="AF50" s="2007"/>
      <c r="AG50" s="1991" t="s">
        <v>5885</v>
      </c>
      <c r="AH50" s="1993"/>
    </row>
    <row r="51" spans="1:34" ht="13" x14ac:dyDescent="0.3">
      <c r="A51" s="299"/>
      <c r="B51" s="14"/>
      <c r="C51" s="14"/>
      <c r="D51" s="14"/>
      <c r="E51" s="14"/>
      <c r="F51" s="14"/>
      <c r="G51" s="14"/>
      <c r="H51" s="14"/>
      <c r="I51" s="14"/>
      <c r="J51" s="14"/>
      <c r="K51" s="14"/>
      <c r="L51" s="14"/>
      <c r="M51" s="14"/>
      <c r="N51" s="14"/>
      <c r="O51" s="14"/>
      <c r="V51" s="1991" t="s">
        <v>5887</v>
      </c>
      <c r="W51" s="1985" t="s">
        <v>5887</v>
      </c>
      <c r="X51" s="1991" t="s">
        <v>1615</v>
      </c>
      <c r="Y51" s="1985" t="s">
        <v>5888</v>
      </c>
      <c r="Z51" s="2007"/>
      <c r="AA51" s="2007"/>
      <c r="AB51" s="2001"/>
      <c r="AC51" s="2001"/>
      <c r="AD51" s="2001"/>
      <c r="AE51" s="2007"/>
      <c r="AF51" s="2007"/>
      <c r="AG51" s="1991" t="s">
        <v>5887</v>
      </c>
      <c r="AH51" s="1993"/>
    </row>
    <row r="52" spans="1:34" ht="13" x14ac:dyDescent="0.3">
      <c r="A52" s="299"/>
      <c r="B52" s="14"/>
      <c r="C52" s="14"/>
      <c r="D52" s="14"/>
      <c r="E52" s="14"/>
      <c r="F52" s="14"/>
      <c r="G52" s="14"/>
      <c r="H52" s="14"/>
      <c r="I52" s="14"/>
      <c r="J52" s="14"/>
      <c r="K52" s="14"/>
      <c r="L52" s="14"/>
      <c r="M52" s="14"/>
      <c r="N52" s="14"/>
      <c r="O52" s="14"/>
      <c r="V52" s="1991" t="s">
        <v>5889</v>
      </c>
      <c r="W52" s="1985" t="s">
        <v>5889</v>
      </c>
      <c r="X52" s="1991" t="s">
        <v>1615</v>
      </c>
      <c r="Y52" s="1985" t="s">
        <v>5890</v>
      </c>
      <c r="Z52" s="2007"/>
      <c r="AA52" s="2007"/>
      <c r="AB52" s="2001"/>
      <c r="AC52" s="2001"/>
      <c r="AD52" s="2001"/>
      <c r="AE52" s="2007"/>
      <c r="AF52" s="2007"/>
      <c r="AG52" s="1991" t="s">
        <v>5889</v>
      </c>
      <c r="AH52" s="1993"/>
    </row>
    <row r="53" spans="1:34" ht="13" x14ac:dyDescent="0.3">
      <c r="A53" s="299"/>
      <c r="B53" s="14"/>
      <c r="C53" s="14"/>
      <c r="D53" s="14"/>
      <c r="E53" s="14"/>
      <c r="F53" s="14"/>
      <c r="G53" s="14"/>
      <c r="H53" s="14"/>
      <c r="I53" s="14"/>
      <c r="J53" s="14"/>
      <c r="K53" s="14"/>
      <c r="L53" s="14"/>
      <c r="M53" s="14"/>
      <c r="N53" s="14"/>
      <c r="O53" s="14"/>
      <c r="V53" s="1991" t="s">
        <v>5891</v>
      </c>
      <c r="W53" s="1985" t="s">
        <v>5891</v>
      </c>
      <c r="X53" s="1991" t="s">
        <v>1615</v>
      </c>
      <c r="Y53" s="1985" t="s">
        <v>5892</v>
      </c>
      <c r="Z53" s="2007"/>
      <c r="AA53" s="2007"/>
      <c r="AB53" s="2001"/>
      <c r="AC53" s="2001"/>
      <c r="AD53" s="2001"/>
      <c r="AE53" s="2007"/>
      <c r="AF53" s="2007"/>
      <c r="AG53" s="1991" t="s">
        <v>5891</v>
      </c>
      <c r="AH53" s="1993"/>
    </row>
    <row r="54" spans="1:34" ht="13" x14ac:dyDescent="0.3">
      <c r="A54" s="299"/>
      <c r="B54" s="14"/>
      <c r="C54" s="14"/>
      <c r="D54" s="14"/>
      <c r="E54" s="14"/>
      <c r="F54" s="14"/>
      <c r="G54" s="14"/>
      <c r="H54" s="14"/>
      <c r="I54" s="14"/>
      <c r="J54" s="14"/>
      <c r="K54" s="14"/>
      <c r="L54" s="14"/>
      <c r="M54" s="14"/>
      <c r="N54" s="14"/>
      <c r="O54" s="14"/>
      <c r="V54" s="1991" t="s">
        <v>5893</v>
      </c>
      <c r="W54" s="1985" t="s">
        <v>5893</v>
      </c>
      <c r="X54" s="1991" t="s">
        <v>1615</v>
      </c>
      <c r="Y54" s="1985" t="s">
        <v>5894</v>
      </c>
      <c r="Z54" s="2007"/>
      <c r="AA54" s="2007"/>
      <c r="AB54" s="2001"/>
      <c r="AC54" s="2001"/>
      <c r="AD54" s="2001"/>
      <c r="AE54" s="2007"/>
      <c r="AF54" s="2007"/>
      <c r="AG54" s="1991" t="s">
        <v>5893</v>
      </c>
      <c r="AH54" s="1993"/>
    </row>
    <row r="55" spans="1:34" ht="13" x14ac:dyDescent="0.3">
      <c r="V55" s="1991" t="s">
        <v>5895</v>
      </c>
      <c r="W55" s="1985" t="s">
        <v>5895</v>
      </c>
      <c r="X55" s="1991" t="s">
        <v>1615</v>
      </c>
      <c r="Y55" s="1985" t="s">
        <v>5896</v>
      </c>
      <c r="Z55" s="2007"/>
      <c r="AA55" s="2007"/>
      <c r="AB55" s="2001"/>
      <c r="AC55" s="2001"/>
      <c r="AD55" s="2001"/>
      <c r="AE55" s="2007"/>
      <c r="AF55" s="2007"/>
      <c r="AG55" s="1991" t="s">
        <v>5895</v>
      </c>
      <c r="AH55" s="1993"/>
    </row>
    <row r="56" spans="1:34" ht="13" x14ac:dyDescent="0.3">
      <c r="V56" s="1991" t="s">
        <v>5897</v>
      </c>
      <c r="W56" s="1985" t="s">
        <v>5897</v>
      </c>
      <c r="X56" s="1991" t="s">
        <v>1615</v>
      </c>
      <c r="Y56" s="1985" t="s">
        <v>5898</v>
      </c>
      <c r="Z56" s="2007"/>
      <c r="AA56" s="2007"/>
      <c r="AB56" s="2001"/>
      <c r="AC56" s="2001"/>
      <c r="AD56" s="2001"/>
      <c r="AE56" s="2007"/>
      <c r="AF56" s="2007"/>
      <c r="AG56" s="1991" t="s">
        <v>5897</v>
      </c>
      <c r="AH56" s="1993"/>
    </row>
    <row r="57" spans="1:34" ht="13" x14ac:dyDescent="0.3">
      <c r="V57" s="1991" t="s">
        <v>5899</v>
      </c>
      <c r="W57" s="1985" t="s">
        <v>5900</v>
      </c>
      <c r="X57" s="1991" t="s">
        <v>1707</v>
      </c>
      <c r="Y57" s="1985" t="s">
        <v>5901</v>
      </c>
      <c r="Z57" s="2007"/>
      <c r="AA57" s="2007"/>
      <c r="AB57" s="2001"/>
      <c r="AC57" s="2001"/>
      <c r="AD57" s="2001"/>
      <c r="AE57" s="2007"/>
      <c r="AF57" s="2007"/>
      <c r="AG57" s="1991" t="s">
        <v>5902</v>
      </c>
      <c r="AH57" s="1993"/>
    </row>
    <row r="58" spans="1:34" ht="13" x14ac:dyDescent="0.3">
      <c r="V58" s="1991" t="s">
        <v>5903</v>
      </c>
      <c r="W58" s="1985" t="s">
        <v>5904</v>
      </c>
      <c r="X58" s="1991" t="s">
        <v>1707</v>
      </c>
      <c r="Y58" s="1985" t="s">
        <v>5905</v>
      </c>
      <c r="Z58" s="2007"/>
      <c r="AA58" s="2007"/>
      <c r="AB58" s="2001"/>
      <c r="AC58" s="2001"/>
      <c r="AD58" s="2001"/>
      <c r="AE58" s="2007"/>
      <c r="AF58" s="2007"/>
      <c r="AG58" s="1991" t="s">
        <v>5906</v>
      </c>
      <c r="AH58" s="1993"/>
    </row>
    <row r="59" spans="1:34" ht="21.5" x14ac:dyDescent="0.3">
      <c r="V59" s="1991" t="s">
        <v>5907</v>
      </c>
      <c r="W59" s="1985" t="s">
        <v>5908</v>
      </c>
      <c r="X59" s="1991" t="s">
        <v>1707</v>
      </c>
      <c r="Y59" s="1985" t="s">
        <v>5909</v>
      </c>
      <c r="Z59" s="2007"/>
      <c r="AA59" s="2007"/>
      <c r="AB59" s="2001" t="s">
        <v>5910</v>
      </c>
      <c r="AC59" s="2001" t="s">
        <v>5910</v>
      </c>
      <c r="AD59" s="2001" t="s">
        <v>5753</v>
      </c>
      <c r="AE59" s="2007"/>
      <c r="AF59" s="2007"/>
      <c r="AG59" s="1991" t="s">
        <v>5911</v>
      </c>
      <c r="AH59" s="2012" t="s">
        <v>5912</v>
      </c>
    </row>
    <row r="60" spans="1:34" ht="13" x14ac:dyDescent="0.3">
      <c r="V60" s="1991" t="s">
        <v>5913</v>
      </c>
      <c r="W60" s="1985" t="s">
        <v>5914</v>
      </c>
      <c r="X60" s="1991" t="s">
        <v>1707</v>
      </c>
      <c r="Y60" s="1985" t="s">
        <v>5915</v>
      </c>
      <c r="Z60" s="2007"/>
      <c r="AA60" s="2007"/>
      <c r="AB60" s="2008">
        <v>0.1</v>
      </c>
      <c r="AC60" s="2001" t="s">
        <v>5753</v>
      </c>
      <c r="AD60" s="2001" t="s">
        <v>5753</v>
      </c>
      <c r="AE60" s="2007"/>
      <c r="AF60" s="2007"/>
      <c r="AG60" s="1991" t="s">
        <v>5916</v>
      </c>
      <c r="AH60" s="2012" t="s">
        <v>5917</v>
      </c>
    </row>
    <row r="61" spans="1:34" ht="13" x14ac:dyDescent="0.3">
      <c r="V61" s="1991" t="s">
        <v>5918</v>
      </c>
      <c r="W61" s="1985" t="s">
        <v>5919</v>
      </c>
      <c r="X61" s="1991" t="s">
        <v>1707</v>
      </c>
      <c r="Y61" s="1985" t="s">
        <v>5920</v>
      </c>
      <c r="Z61" s="2007"/>
      <c r="AA61" s="2007"/>
      <c r="AB61" s="2002">
        <v>0</v>
      </c>
      <c r="AC61" s="2008">
        <v>0.15</v>
      </c>
      <c r="AD61" s="2008"/>
      <c r="AE61" s="2007"/>
      <c r="AF61" s="2007"/>
      <c r="AG61" s="1991" t="s">
        <v>5921</v>
      </c>
      <c r="AH61" s="2012" t="s">
        <v>5922</v>
      </c>
    </row>
    <row r="62" spans="1:34" ht="21.5" x14ac:dyDescent="0.3">
      <c r="V62" s="1991" t="s">
        <v>3893</v>
      </c>
      <c r="W62" s="1985" t="s">
        <v>5923</v>
      </c>
      <c r="X62" s="1991" t="s">
        <v>1707</v>
      </c>
      <c r="Y62" s="1985" t="s">
        <v>5924</v>
      </c>
      <c r="Z62" s="2007"/>
      <c r="AA62" s="2007"/>
      <c r="AB62" s="2001" t="s">
        <v>5925</v>
      </c>
      <c r="AC62" s="2001" t="s">
        <v>5926</v>
      </c>
      <c r="AD62" s="2001"/>
      <c r="AE62" s="2007"/>
      <c r="AF62" s="2007"/>
      <c r="AG62" s="1991" t="s">
        <v>5927</v>
      </c>
      <c r="AH62" s="2012" t="s">
        <v>5928</v>
      </c>
    </row>
    <row r="63" spans="1:34" ht="13" x14ac:dyDescent="0.3">
      <c r="V63" s="1991" t="s">
        <v>5929</v>
      </c>
      <c r="W63" s="1985" t="s">
        <v>5929</v>
      </c>
      <c r="X63" s="1991" t="s">
        <v>1615</v>
      </c>
      <c r="Y63" s="1985" t="s">
        <v>5930</v>
      </c>
      <c r="Z63" s="2007"/>
      <c r="AA63" s="2007"/>
      <c r="AB63" s="2001"/>
      <c r="AC63" s="2001"/>
      <c r="AD63" s="2001"/>
      <c r="AE63" s="2007"/>
      <c r="AF63" s="2007"/>
      <c r="AG63" s="1991" t="s">
        <v>5929</v>
      </c>
      <c r="AH63" s="2012"/>
    </row>
    <row r="64" spans="1:34" ht="13" x14ac:dyDescent="0.3">
      <c r="V64" s="1991" t="s">
        <v>5931</v>
      </c>
      <c r="W64" s="1985" t="s">
        <v>5931</v>
      </c>
      <c r="X64" s="1991" t="s">
        <v>1615</v>
      </c>
      <c r="Y64" s="1985" t="s">
        <v>5932</v>
      </c>
      <c r="Z64" s="2007"/>
      <c r="AA64" s="2007"/>
      <c r="AB64" s="2001"/>
      <c r="AC64" s="2001"/>
      <c r="AD64" s="2001"/>
      <c r="AE64" s="2007"/>
      <c r="AF64" s="2007"/>
      <c r="AG64" s="1991" t="s">
        <v>5931</v>
      </c>
      <c r="AH64" s="2012"/>
    </row>
    <row r="65" spans="22:34" ht="13" x14ac:dyDescent="0.3">
      <c r="V65" s="1991" t="s">
        <v>3855</v>
      </c>
      <c r="W65" s="1985" t="s">
        <v>5933</v>
      </c>
      <c r="X65" s="1991" t="s">
        <v>1707</v>
      </c>
      <c r="Y65" s="1985" t="s">
        <v>5934</v>
      </c>
      <c r="Z65" s="2007"/>
      <c r="AA65" s="2007"/>
      <c r="AB65" s="2002">
        <v>0</v>
      </c>
      <c r="AC65" s="2008">
        <v>0.15</v>
      </c>
      <c r="AD65" s="2008"/>
      <c r="AE65" s="2007"/>
      <c r="AF65" s="2007"/>
      <c r="AG65" s="1991" t="s">
        <v>5935</v>
      </c>
      <c r="AH65" s="2012"/>
    </row>
    <row r="66" spans="22:34" ht="13" x14ac:dyDescent="0.3">
      <c r="V66" s="1991" t="s">
        <v>5936</v>
      </c>
      <c r="W66" s="1985" t="s">
        <v>5936</v>
      </c>
      <c r="X66" s="1991" t="s">
        <v>1615</v>
      </c>
      <c r="Y66" s="1985" t="s">
        <v>5937</v>
      </c>
      <c r="Z66" s="2007"/>
      <c r="AA66" s="2007"/>
      <c r="AB66" s="2001"/>
      <c r="AC66" s="2001"/>
      <c r="AD66" s="2001"/>
      <c r="AE66" s="2007"/>
      <c r="AF66" s="2007"/>
      <c r="AG66" s="1991" t="s">
        <v>5936</v>
      </c>
      <c r="AH66" s="2012"/>
    </row>
    <row r="67" spans="22:34" ht="13" x14ac:dyDescent="0.3">
      <c r="V67" s="1991" t="s">
        <v>5938</v>
      </c>
      <c r="W67" s="1985" t="s">
        <v>5938</v>
      </c>
      <c r="X67" s="1991" t="s">
        <v>1615</v>
      </c>
      <c r="Y67" s="1985" t="s">
        <v>5939</v>
      </c>
      <c r="Z67" s="2007"/>
      <c r="AA67" s="2007"/>
      <c r="AB67" s="2001"/>
      <c r="AC67" s="2001"/>
      <c r="AD67" s="2001"/>
      <c r="AE67" s="2007"/>
      <c r="AF67" s="2007"/>
      <c r="AG67" s="1991" t="s">
        <v>5938</v>
      </c>
      <c r="AH67" s="2012"/>
    </row>
    <row r="68" spans="22:34" ht="13" x14ac:dyDescent="0.3">
      <c r="V68" s="1991" t="s">
        <v>5940</v>
      </c>
      <c r="W68" s="1985" t="s">
        <v>5940</v>
      </c>
      <c r="X68" s="1991" t="s">
        <v>1615</v>
      </c>
      <c r="Y68" s="1985" t="s">
        <v>5941</v>
      </c>
      <c r="Z68" s="2007"/>
      <c r="AA68" s="2007"/>
      <c r="AB68" s="2001"/>
      <c r="AC68" s="2001"/>
      <c r="AD68" s="2001"/>
      <c r="AE68" s="2007"/>
      <c r="AF68" s="2007"/>
      <c r="AG68" s="1991" t="s">
        <v>5940</v>
      </c>
      <c r="AH68" s="2012"/>
    </row>
    <row r="69" spans="22:34" ht="13" x14ac:dyDescent="0.3">
      <c r="V69" s="1991" t="s">
        <v>5942</v>
      </c>
      <c r="W69" s="1985" t="s">
        <v>5943</v>
      </c>
      <c r="X69" s="1991" t="s">
        <v>1707</v>
      </c>
      <c r="Y69" s="1985" t="s">
        <v>5944</v>
      </c>
      <c r="Z69" s="2007"/>
      <c r="AA69" s="2007"/>
      <c r="AB69" s="2001" t="s">
        <v>5758</v>
      </c>
      <c r="AC69" s="2008">
        <v>0.2</v>
      </c>
      <c r="AD69" s="2008"/>
      <c r="AE69" s="2007"/>
      <c r="AF69" s="2007"/>
      <c r="AG69" s="1991" t="s">
        <v>5945</v>
      </c>
      <c r="AH69" s="2012" t="s">
        <v>5946</v>
      </c>
    </row>
    <row r="70" spans="22:34" ht="13" x14ac:dyDescent="0.3">
      <c r="V70" s="1991" t="s">
        <v>5947</v>
      </c>
      <c r="W70" s="1985" t="s">
        <v>5947</v>
      </c>
      <c r="X70" s="1991" t="s">
        <v>1615</v>
      </c>
      <c r="Y70" s="1985" t="s">
        <v>5948</v>
      </c>
      <c r="Z70" s="2007"/>
      <c r="AA70" s="2007"/>
      <c r="AB70" s="2001"/>
      <c r="AC70" s="2001"/>
      <c r="AD70" s="2001"/>
      <c r="AE70" s="2007"/>
      <c r="AF70" s="2007"/>
      <c r="AG70" s="1991" t="s">
        <v>5947</v>
      </c>
      <c r="AH70" s="2012"/>
    </row>
    <row r="71" spans="22:34" ht="13" x14ac:dyDescent="0.3">
      <c r="V71" s="1991" t="s">
        <v>5949</v>
      </c>
      <c r="W71" s="1985" t="s">
        <v>5950</v>
      </c>
      <c r="X71" s="1991" t="s">
        <v>1707</v>
      </c>
      <c r="Y71" s="1985" t="s">
        <v>5951</v>
      </c>
      <c r="Z71" s="2007"/>
      <c r="AA71" s="2007"/>
      <c r="AB71" s="2008">
        <v>0.12</v>
      </c>
      <c r="AC71" s="2008">
        <v>0.15</v>
      </c>
      <c r="AD71" s="2008"/>
      <c r="AE71" s="2007"/>
      <c r="AF71" s="2007"/>
      <c r="AG71" s="1991" t="s">
        <v>5952</v>
      </c>
      <c r="AH71" s="2012"/>
    </row>
    <row r="72" spans="22:34" ht="21.5" x14ac:dyDescent="0.3">
      <c r="V72" s="1991" t="s">
        <v>5953</v>
      </c>
      <c r="W72" s="1985" t="s">
        <v>5954</v>
      </c>
      <c r="X72" s="1991" t="s">
        <v>1707</v>
      </c>
      <c r="Y72" s="1985" t="s">
        <v>5955</v>
      </c>
      <c r="Z72" s="2007"/>
      <c r="AA72" s="2007"/>
      <c r="AB72" s="2001" t="s">
        <v>5854</v>
      </c>
      <c r="AC72" s="2008">
        <v>0.15</v>
      </c>
      <c r="AD72" s="2008"/>
      <c r="AE72" s="2007"/>
      <c r="AF72" s="2007"/>
      <c r="AG72" s="1991" t="s">
        <v>5956</v>
      </c>
      <c r="AH72" s="2012" t="s">
        <v>5957</v>
      </c>
    </row>
    <row r="73" spans="22:34" ht="13" x14ac:dyDescent="0.3">
      <c r="V73" s="1991" t="s">
        <v>5958</v>
      </c>
      <c r="W73" s="1985" t="s">
        <v>5959</v>
      </c>
      <c r="X73" s="1991" t="s">
        <v>1707</v>
      </c>
      <c r="Y73" s="1985" t="s">
        <v>5960</v>
      </c>
      <c r="Z73" s="2007"/>
      <c r="AA73" s="2007"/>
      <c r="AB73" s="2008">
        <v>0.05</v>
      </c>
      <c r="AC73" s="2008">
        <v>0.1</v>
      </c>
      <c r="AD73" s="2008"/>
      <c r="AE73" s="2007"/>
      <c r="AF73" s="2007"/>
      <c r="AG73" s="1991" t="s">
        <v>5961</v>
      </c>
      <c r="AH73" s="2012" t="s">
        <v>5962</v>
      </c>
    </row>
    <row r="74" spans="22:34" ht="13" x14ac:dyDescent="0.3">
      <c r="V74" s="1991" t="s">
        <v>11</v>
      </c>
      <c r="W74" s="1985" t="s">
        <v>5963</v>
      </c>
      <c r="X74" s="1991" t="s">
        <v>1707</v>
      </c>
      <c r="Y74" s="1985" t="s">
        <v>5964</v>
      </c>
      <c r="Z74" s="2007"/>
      <c r="AA74" s="2007"/>
      <c r="AB74" s="2002">
        <v>0</v>
      </c>
      <c r="AC74" s="2008">
        <v>0</v>
      </c>
      <c r="AD74" s="2008"/>
      <c r="AE74" s="2007"/>
      <c r="AF74" s="2007"/>
      <c r="AG74" s="1991" t="s">
        <v>5965</v>
      </c>
      <c r="AH74" s="2012"/>
    </row>
    <row r="75" spans="22:34" ht="13" x14ac:dyDescent="0.3">
      <c r="V75" s="1991" t="s">
        <v>5966</v>
      </c>
      <c r="W75" s="1985" t="s">
        <v>5967</v>
      </c>
      <c r="X75" s="1991" t="s">
        <v>1707</v>
      </c>
      <c r="Y75" s="1985" t="s">
        <v>5968</v>
      </c>
      <c r="Z75" s="2007"/>
      <c r="AA75" s="2007"/>
      <c r="AB75" s="2008">
        <v>0.1</v>
      </c>
      <c r="AC75" s="2008">
        <v>0.15</v>
      </c>
      <c r="AD75" s="2008"/>
      <c r="AE75" s="2007"/>
      <c r="AF75" s="2007"/>
      <c r="AG75" s="1991" t="s">
        <v>5969</v>
      </c>
      <c r="AH75" s="2012" t="s">
        <v>5970</v>
      </c>
    </row>
    <row r="76" spans="22:34" ht="21.5" x14ac:dyDescent="0.3">
      <c r="V76" s="1991" t="s">
        <v>5971</v>
      </c>
      <c r="W76" s="1985" t="s">
        <v>5972</v>
      </c>
      <c r="X76" s="1991" t="s">
        <v>1707</v>
      </c>
      <c r="Y76" s="1985" t="s">
        <v>5973</v>
      </c>
      <c r="Z76" s="2007"/>
      <c r="AA76" s="2007"/>
      <c r="AB76" s="2001" t="s">
        <v>5974</v>
      </c>
      <c r="AC76" s="2001" t="s">
        <v>5975</v>
      </c>
      <c r="AD76" s="2001"/>
      <c r="AE76" s="2007"/>
      <c r="AF76" s="2007"/>
      <c r="AG76" s="1991" t="s">
        <v>5976</v>
      </c>
      <c r="AH76" s="2012" t="s">
        <v>5977</v>
      </c>
    </row>
    <row r="77" spans="22:34" ht="13" x14ac:dyDescent="0.3">
      <c r="V77" s="1991" t="s">
        <v>3854</v>
      </c>
      <c r="W77" s="1985" t="s">
        <v>5978</v>
      </c>
      <c r="X77" s="1991" t="s">
        <v>1707</v>
      </c>
      <c r="Y77" s="1985" t="s">
        <v>5979</v>
      </c>
      <c r="Z77" s="2007"/>
      <c r="AA77" s="2007"/>
      <c r="AB77" s="2002">
        <v>0</v>
      </c>
      <c r="AC77" s="2008">
        <v>0.15</v>
      </c>
      <c r="AD77" s="2008"/>
      <c r="AE77" s="2007"/>
      <c r="AF77" s="2007"/>
      <c r="AG77" s="1991" t="s">
        <v>5980</v>
      </c>
      <c r="AH77" s="2012"/>
    </row>
    <row r="78" spans="22:34" ht="13" x14ac:dyDescent="0.3">
      <c r="V78" s="1991" t="s">
        <v>5981</v>
      </c>
      <c r="W78" s="1985" t="s">
        <v>5982</v>
      </c>
      <c r="X78" s="1991" t="s">
        <v>1707</v>
      </c>
      <c r="Y78" s="1985" t="s">
        <v>5983</v>
      </c>
      <c r="Z78" s="2007"/>
      <c r="AA78" s="2007"/>
      <c r="AB78" s="2002">
        <v>0</v>
      </c>
      <c r="AC78" s="2008">
        <v>0.15</v>
      </c>
      <c r="AD78" s="2008"/>
      <c r="AE78" s="2007"/>
      <c r="AF78" s="2007"/>
      <c r="AG78" s="1991" t="s">
        <v>5984</v>
      </c>
      <c r="AH78" s="2012" t="s">
        <v>5985</v>
      </c>
    </row>
    <row r="79" spans="22:34" ht="13" x14ac:dyDescent="0.3">
      <c r="V79" s="1991" t="s">
        <v>5986</v>
      </c>
      <c r="W79" s="1985" t="s">
        <v>5986</v>
      </c>
      <c r="X79" s="1991" t="s">
        <v>1615</v>
      </c>
      <c r="Y79" s="1985" t="s">
        <v>5987</v>
      </c>
      <c r="Z79" s="2007"/>
      <c r="AA79" s="2007"/>
      <c r="AB79" s="2001"/>
      <c r="AC79" s="2001"/>
      <c r="AD79" s="2001"/>
      <c r="AE79" s="2007"/>
      <c r="AF79" s="2007"/>
      <c r="AG79" s="1991" t="s">
        <v>5986</v>
      </c>
      <c r="AH79" s="2012"/>
    </row>
    <row r="80" spans="22:34" ht="13" x14ac:dyDescent="0.3">
      <c r="V80" s="1991" t="s">
        <v>5988</v>
      </c>
      <c r="W80" s="1985" t="s">
        <v>5988</v>
      </c>
      <c r="X80" s="1991" t="s">
        <v>1615</v>
      </c>
      <c r="Y80" s="1985" t="s">
        <v>5989</v>
      </c>
      <c r="Z80" s="2007"/>
      <c r="AA80" s="2007"/>
      <c r="AB80" s="2001"/>
      <c r="AC80" s="2001"/>
      <c r="AD80" s="2001"/>
      <c r="AE80" s="2007"/>
      <c r="AF80" s="2007"/>
      <c r="AG80" s="1991" t="s">
        <v>5988</v>
      </c>
      <c r="AH80" s="2012"/>
    </row>
    <row r="81" spans="22:34" ht="13" x14ac:dyDescent="0.3">
      <c r="V81" s="1991" t="s">
        <v>3858</v>
      </c>
      <c r="W81" s="1985" t="s">
        <v>3858</v>
      </c>
      <c r="X81" s="1991" t="s">
        <v>1615</v>
      </c>
      <c r="Y81" s="1985" t="s">
        <v>5990</v>
      </c>
      <c r="Z81" s="2007"/>
      <c r="AA81" s="2007"/>
      <c r="AB81" s="2001"/>
      <c r="AC81" s="2001"/>
      <c r="AD81" s="2001"/>
      <c r="AE81" s="2007"/>
      <c r="AF81" s="2007"/>
      <c r="AG81" s="1991" t="s">
        <v>3858</v>
      </c>
      <c r="AH81" s="2012"/>
    </row>
    <row r="82" spans="22:34" ht="13" x14ac:dyDescent="0.3">
      <c r="V82" s="1991" t="s">
        <v>5991</v>
      </c>
      <c r="W82" s="1985" t="s">
        <v>5992</v>
      </c>
      <c r="X82" s="1991" t="s">
        <v>1707</v>
      </c>
      <c r="Y82" s="1985" t="s">
        <v>5993</v>
      </c>
      <c r="Z82" s="2007"/>
      <c r="AA82" s="2007"/>
      <c r="AB82" s="2002">
        <v>0</v>
      </c>
      <c r="AC82" s="2008">
        <v>0.1</v>
      </c>
      <c r="AD82" s="2008"/>
      <c r="AE82" s="2007"/>
      <c r="AF82" s="2007"/>
      <c r="AG82" s="1991" t="s">
        <v>5994</v>
      </c>
      <c r="AH82" s="2012"/>
    </row>
    <row r="83" spans="22:34" ht="13" x14ac:dyDescent="0.3">
      <c r="V83" s="1991" t="s">
        <v>3857</v>
      </c>
      <c r="W83" s="1985" t="s">
        <v>5995</v>
      </c>
      <c r="X83" s="1991" t="s">
        <v>1707</v>
      </c>
      <c r="Y83" s="1985" t="s">
        <v>5996</v>
      </c>
      <c r="Z83" s="2007"/>
      <c r="AA83" s="2007"/>
      <c r="AB83" s="2001" t="s">
        <v>5752</v>
      </c>
      <c r="AC83" s="2001" t="s">
        <v>5753</v>
      </c>
      <c r="AD83" s="2001" t="s">
        <v>5753</v>
      </c>
      <c r="AE83" s="2007"/>
      <c r="AF83" s="2007"/>
      <c r="AG83" s="1991" t="s">
        <v>5997</v>
      </c>
      <c r="AH83" s="2012"/>
    </row>
    <row r="84" spans="22:34" ht="13" x14ac:dyDescent="0.3">
      <c r="V84" s="1991" t="s">
        <v>5998</v>
      </c>
      <c r="W84" s="1985" t="s">
        <v>5999</v>
      </c>
      <c r="X84" s="1991" t="s">
        <v>1707</v>
      </c>
      <c r="Y84" s="1985" t="s">
        <v>6000</v>
      </c>
      <c r="Z84" s="2007"/>
      <c r="AA84" s="2007"/>
      <c r="AB84" s="2013" t="s">
        <v>6001</v>
      </c>
      <c r="AC84" s="2008">
        <v>0.15</v>
      </c>
      <c r="AD84" s="2008"/>
      <c r="AE84" s="2007"/>
      <c r="AF84" s="2007"/>
      <c r="AG84" s="1991" t="s">
        <v>6002</v>
      </c>
      <c r="AH84" s="2012"/>
    </row>
    <row r="85" spans="22:34" ht="13" x14ac:dyDescent="0.3">
      <c r="V85" s="1991" t="s">
        <v>6003</v>
      </c>
      <c r="W85" s="1985" t="s">
        <v>6003</v>
      </c>
      <c r="X85" s="1991" t="s">
        <v>1615</v>
      </c>
      <c r="Y85" s="1985" t="s">
        <v>6004</v>
      </c>
      <c r="Z85" s="2007"/>
      <c r="AA85" s="2007"/>
      <c r="AB85" s="2001"/>
      <c r="AC85" s="2001"/>
      <c r="AD85" s="2001"/>
      <c r="AE85" s="2007"/>
      <c r="AF85" s="2007"/>
      <c r="AG85" s="1991" t="s">
        <v>6003</v>
      </c>
      <c r="AH85" s="2012"/>
    </row>
    <row r="86" spans="22:34" ht="13" x14ac:dyDescent="0.3">
      <c r="V86" s="1991" t="s">
        <v>6005</v>
      </c>
      <c r="W86" s="1985" t="s">
        <v>6005</v>
      </c>
      <c r="X86" s="1991" t="s">
        <v>1615</v>
      </c>
      <c r="Y86" s="1985" t="s">
        <v>6006</v>
      </c>
      <c r="Z86" s="2007"/>
      <c r="AA86" s="2007"/>
      <c r="AB86" s="2001"/>
      <c r="AC86" s="2001"/>
      <c r="AD86" s="2001"/>
      <c r="AE86" s="2007"/>
      <c r="AF86" s="2007"/>
      <c r="AG86" s="1991" t="s">
        <v>6005</v>
      </c>
      <c r="AH86" s="2012"/>
    </row>
    <row r="87" spans="22:34" ht="13" x14ac:dyDescent="0.3">
      <c r="V87" s="1991" t="s">
        <v>6007</v>
      </c>
      <c r="W87" s="1985" t="s">
        <v>6008</v>
      </c>
      <c r="X87" s="1991" t="s">
        <v>1707</v>
      </c>
      <c r="Y87" s="1985" t="s">
        <v>6009</v>
      </c>
      <c r="Z87" s="2007"/>
      <c r="AA87" s="2007"/>
      <c r="AB87" s="2001"/>
      <c r="AC87" s="2001"/>
      <c r="AD87" s="2001"/>
      <c r="AE87" s="2007"/>
      <c r="AF87" s="2007"/>
      <c r="AG87" s="1991" t="s">
        <v>6010</v>
      </c>
      <c r="AH87" s="2012"/>
    </row>
    <row r="88" spans="22:34" ht="13" x14ac:dyDescent="0.3">
      <c r="V88" s="1991" t="s">
        <v>6011</v>
      </c>
      <c r="W88" s="1985" t="s">
        <v>6012</v>
      </c>
      <c r="X88" s="1991" t="s">
        <v>1707</v>
      </c>
      <c r="Y88" s="1985" t="s">
        <v>6013</v>
      </c>
      <c r="Z88" s="2007"/>
      <c r="AA88" s="2007"/>
      <c r="AB88" s="2008" t="s">
        <v>5834</v>
      </c>
      <c r="AC88" s="2001" t="s">
        <v>5753</v>
      </c>
      <c r="AD88" s="2001"/>
      <c r="AE88" s="2007"/>
      <c r="AF88" s="2007"/>
      <c r="AG88" s="1991" t="s">
        <v>6014</v>
      </c>
      <c r="AH88" s="2012"/>
    </row>
    <row r="89" spans="22:34" ht="13" x14ac:dyDescent="0.3">
      <c r="V89" s="1991" t="s">
        <v>6015</v>
      </c>
      <c r="W89" s="1985" t="s">
        <v>6015</v>
      </c>
      <c r="X89" s="1991" t="s">
        <v>1615</v>
      </c>
      <c r="Y89" s="1985" t="s">
        <v>6016</v>
      </c>
      <c r="Z89" s="2007"/>
      <c r="AA89" s="2007"/>
      <c r="AB89" s="2001"/>
      <c r="AC89" s="2001"/>
      <c r="AD89" s="2001"/>
      <c r="AE89" s="2007"/>
      <c r="AF89" s="2007"/>
      <c r="AG89" s="1991" t="s">
        <v>6015</v>
      </c>
      <c r="AH89" s="2012"/>
    </row>
    <row r="90" spans="22:34" ht="13" x14ac:dyDescent="0.3">
      <c r="V90" s="1991" t="s">
        <v>6017</v>
      </c>
      <c r="W90" s="1985" t="s">
        <v>6017</v>
      </c>
      <c r="X90" s="1991" t="s">
        <v>1615</v>
      </c>
      <c r="Y90" s="1985" t="s">
        <v>6018</v>
      </c>
      <c r="Z90" s="2007"/>
      <c r="AA90" s="2007"/>
      <c r="AB90" s="2001"/>
      <c r="AC90" s="2001"/>
      <c r="AD90" s="2001"/>
      <c r="AE90" s="2007"/>
      <c r="AF90" s="2007"/>
      <c r="AG90" s="1991" t="s">
        <v>6017</v>
      </c>
      <c r="AH90" s="2012"/>
    </row>
    <row r="91" spans="22:34" ht="13" x14ac:dyDescent="0.3">
      <c r="V91" s="1991" t="s">
        <v>6019</v>
      </c>
      <c r="W91" s="1985" t="s">
        <v>6020</v>
      </c>
      <c r="X91" s="1991" t="s">
        <v>1707</v>
      </c>
      <c r="Y91" s="1985" t="s">
        <v>6021</v>
      </c>
      <c r="Z91" s="2007"/>
      <c r="AA91" s="2007"/>
      <c r="AB91" s="2001" t="s">
        <v>5835</v>
      </c>
      <c r="AC91" s="2001" t="s">
        <v>5752</v>
      </c>
      <c r="AD91" s="2001"/>
      <c r="AE91" s="2007"/>
      <c r="AF91" s="2007"/>
      <c r="AG91" s="1991" t="s">
        <v>6022</v>
      </c>
      <c r="AH91" s="2012"/>
    </row>
    <row r="92" spans="22:34" ht="13" x14ac:dyDescent="0.3">
      <c r="V92" s="1991" t="s">
        <v>6023</v>
      </c>
      <c r="W92" s="1985" t="s">
        <v>6024</v>
      </c>
      <c r="X92" s="1991" t="s">
        <v>1707</v>
      </c>
      <c r="Y92" s="1985" t="s">
        <v>6025</v>
      </c>
      <c r="Z92" s="2007"/>
      <c r="AA92" s="2007"/>
      <c r="AB92" s="2001" t="s">
        <v>5752</v>
      </c>
      <c r="AC92" s="2001" t="s">
        <v>5835</v>
      </c>
      <c r="AD92" s="2001" t="s">
        <v>5835</v>
      </c>
      <c r="AE92" s="2007"/>
      <c r="AF92" s="2007"/>
      <c r="AG92" s="1991" t="s">
        <v>6026</v>
      </c>
      <c r="AH92" s="2012"/>
    </row>
    <row r="93" spans="22:34" ht="13" x14ac:dyDescent="0.3">
      <c r="V93" s="1991" t="s">
        <v>6027</v>
      </c>
      <c r="W93" s="1985" t="s">
        <v>6027</v>
      </c>
      <c r="X93" s="1991" t="s">
        <v>1615</v>
      </c>
      <c r="Y93" s="1985" t="s">
        <v>6028</v>
      </c>
      <c r="Z93" s="2007"/>
      <c r="AA93" s="2007"/>
      <c r="AB93" s="2001"/>
      <c r="AC93" s="2001"/>
      <c r="AD93" s="2001"/>
      <c r="AE93" s="2007"/>
      <c r="AF93" s="2007"/>
      <c r="AG93" s="1991" t="s">
        <v>6027</v>
      </c>
      <c r="AH93" s="2012"/>
    </row>
    <row r="94" spans="22:34" ht="13" x14ac:dyDescent="0.3">
      <c r="V94" s="1991" t="s">
        <v>6029</v>
      </c>
      <c r="W94" s="1985" t="s">
        <v>6029</v>
      </c>
      <c r="X94" s="1991" t="s">
        <v>1615</v>
      </c>
      <c r="Y94" s="1985" t="s">
        <v>6030</v>
      </c>
      <c r="Z94" s="2007"/>
      <c r="AA94" s="2007"/>
      <c r="AB94" s="2001"/>
      <c r="AC94" s="2001"/>
      <c r="AD94" s="2001"/>
      <c r="AE94" s="2007"/>
      <c r="AF94" s="2007"/>
      <c r="AG94" s="1991" t="s">
        <v>6029</v>
      </c>
      <c r="AH94" s="2012"/>
    </row>
    <row r="95" spans="22:34" ht="13" x14ac:dyDescent="0.3">
      <c r="V95" s="1991" t="s">
        <v>6031</v>
      </c>
      <c r="W95" s="1985" t="s">
        <v>6032</v>
      </c>
      <c r="X95" s="1991" t="s">
        <v>1707</v>
      </c>
      <c r="Y95" s="1985" t="s">
        <v>6033</v>
      </c>
      <c r="Z95" s="2007"/>
      <c r="AA95" s="2007"/>
      <c r="AB95" s="2001"/>
      <c r="AC95" s="2001"/>
      <c r="AD95" s="2001"/>
      <c r="AE95" s="2007"/>
      <c r="AF95" s="2007"/>
      <c r="AG95" s="1991" t="s">
        <v>6034</v>
      </c>
      <c r="AH95" s="2012"/>
    </row>
    <row r="96" spans="22:34" ht="13" x14ac:dyDescent="0.3">
      <c r="V96" s="1991" t="s">
        <v>6035</v>
      </c>
      <c r="W96" s="1985" t="s">
        <v>6035</v>
      </c>
      <c r="X96" s="1991" t="s">
        <v>1615</v>
      </c>
      <c r="Y96" s="1985" t="s">
        <v>6036</v>
      </c>
      <c r="Z96" s="2007"/>
      <c r="AA96" s="2007"/>
      <c r="AB96" s="2001"/>
      <c r="AC96" s="2001"/>
      <c r="AD96" s="2001"/>
      <c r="AE96" s="2007"/>
      <c r="AF96" s="2007"/>
      <c r="AG96" s="1991" t="s">
        <v>6035</v>
      </c>
      <c r="AH96" s="2012"/>
    </row>
    <row r="97" spans="22:34" ht="21.5" x14ac:dyDescent="0.3">
      <c r="V97" s="1991" t="s">
        <v>6037</v>
      </c>
      <c r="W97" s="1985" t="s">
        <v>6038</v>
      </c>
      <c r="X97" s="1991" t="s">
        <v>1707</v>
      </c>
      <c r="Y97" s="1985" t="s">
        <v>6039</v>
      </c>
      <c r="Z97" s="2007"/>
      <c r="AA97" s="2007"/>
      <c r="AB97" s="2001" t="s">
        <v>6040</v>
      </c>
      <c r="AC97" s="2008">
        <v>0.15</v>
      </c>
      <c r="AD97" s="2008"/>
      <c r="AE97" s="2007"/>
      <c r="AF97" s="2007"/>
      <c r="AG97" s="1991" t="s">
        <v>6041</v>
      </c>
      <c r="AH97" s="2012" t="s">
        <v>6042</v>
      </c>
    </row>
    <row r="98" spans="22:34" ht="13" x14ac:dyDescent="0.3">
      <c r="V98" s="1991" t="s">
        <v>3878</v>
      </c>
      <c r="W98" s="1985" t="s">
        <v>6043</v>
      </c>
      <c r="X98" s="1991" t="s">
        <v>1707</v>
      </c>
      <c r="Y98" s="1985" t="s">
        <v>6044</v>
      </c>
      <c r="Z98" s="2007"/>
      <c r="AA98" s="2007"/>
      <c r="AB98" s="2002">
        <v>0</v>
      </c>
      <c r="AC98" s="2008">
        <v>0</v>
      </c>
      <c r="AD98" s="2008"/>
      <c r="AE98" s="2007"/>
      <c r="AF98" s="2007"/>
      <c r="AG98" s="1991" t="s">
        <v>6045</v>
      </c>
      <c r="AH98" s="2012"/>
    </row>
    <row r="99" spans="22:34" ht="13" x14ac:dyDescent="0.3">
      <c r="V99" s="1991" t="s">
        <v>6046</v>
      </c>
      <c r="W99" s="1985" t="s">
        <v>6046</v>
      </c>
      <c r="X99" s="1991" t="s">
        <v>1615</v>
      </c>
      <c r="Y99" s="1985" t="s">
        <v>6047</v>
      </c>
      <c r="Z99" s="2007"/>
      <c r="AA99" s="2007"/>
      <c r="AB99" s="2001"/>
      <c r="AC99" s="2001"/>
      <c r="AD99" s="2001"/>
      <c r="AE99" s="2007"/>
      <c r="AF99" s="2007"/>
      <c r="AG99" s="1991" t="s">
        <v>6046</v>
      </c>
      <c r="AH99" s="2012"/>
    </row>
    <row r="100" spans="22:34" ht="13" x14ac:dyDescent="0.3">
      <c r="V100" s="1991" t="s">
        <v>6048</v>
      </c>
      <c r="W100" s="1985" t="s">
        <v>6049</v>
      </c>
      <c r="X100" s="1991" t="s">
        <v>1707</v>
      </c>
      <c r="Y100" s="1985" t="s">
        <v>6050</v>
      </c>
      <c r="Z100" s="2007"/>
      <c r="AA100" s="2007"/>
      <c r="AB100" s="2008">
        <v>0.1</v>
      </c>
      <c r="AC100" s="2008">
        <v>0.15</v>
      </c>
      <c r="AD100" s="2008"/>
      <c r="AE100" s="2007"/>
      <c r="AF100" s="2007"/>
      <c r="AG100" s="1991" t="s">
        <v>6051</v>
      </c>
      <c r="AH100" s="2012"/>
    </row>
    <row r="101" spans="22:34" ht="13" x14ac:dyDescent="0.3">
      <c r="V101" s="1991" t="s">
        <v>6052</v>
      </c>
      <c r="W101" s="1985" t="s">
        <v>6052</v>
      </c>
      <c r="X101" s="1991" t="s">
        <v>1615</v>
      </c>
      <c r="Y101" s="1985" t="s">
        <v>6053</v>
      </c>
      <c r="Z101" s="2007"/>
      <c r="AA101" s="2007"/>
      <c r="AB101" s="2001"/>
      <c r="AC101" s="2001"/>
      <c r="AD101" s="2001"/>
      <c r="AE101" s="2007"/>
      <c r="AF101" s="2007"/>
      <c r="AG101" s="1991" t="s">
        <v>6052</v>
      </c>
      <c r="AH101" s="2012"/>
    </row>
    <row r="102" spans="22:34" ht="21.5" x14ac:dyDescent="0.3">
      <c r="V102" s="1991" t="s">
        <v>4016</v>
      </c>
      <c r="W102" s="1985" t="s">
        <v>6054</v>
      </c>
      <c r="X102" s="1991" t="s">
        <v>1707</v>
      </c>
      <c r="Y102" s="1985" t="s">
        <v>6055</v>
      </c>
      <c r="Z102" s="2007"/>
      <c r="AA102" s="2007"/>
      <c r="AB102" s="2002">
        <v>0</v>
      </c>
      <c r="AC102" s="2001" t="s">
        <v>6056</v>
      </c>
      <c r="AD102" s="2001"/>
      <c r="AE102" s="2007"/>
      <c r="AF102" s="2007"/>
      <c r="AG102" s="1991" t="s">
        <v>6057</v>
      </c>
      <c r="AH102" s="2012" t="s">
        <v>6058</v>
      </c>
    </row>
    <row r="103" spans="22:34" ht="13" x14ac:dyDescent="0.3">
      <c r="V103" s="1991" t="s">
        <v>6059</v>
      </c>
      <c r="W103" s="1985" t="s">
        <v>6060</v>
      </c>
      <c r="X103" s="1991" t="s">
        <v>1707</v>
      </c>
      <c r="Y103" s="1985" t="s">
        <v>6061</v>
      </c>
      <c r="Z103" s="2007"/>
      <c r="AA103" s="2007"/>
      <c r="AB103" s="2008" t="s">
        <v>6062</v>
      </c>
      <c r="AC103" s="2008">
        <v>0.15</v>
      </c>
      <c r="AD103" s="2008"/>
      <c r="AE103" s="2007"/>
      <c r="AF103" s="2007"/>
      <c r="AG103" s="1991" t="s">
        <v>6063</v>
      </c>
      <c r="AH103" s="2012" t="s">
        <v>6064</v>
      </c>
    </row>
    <row r="104" spans="22:34" ht="13" x14ac:dyDescent="0.3">
      <c r="V104" s="1991" t="s">
        <v>6065</v>
      </c>
      <c r="W104" s="1985" t="s">
        <v>6066</v>
      </c>
      <c r="X104" s="1991" t="s">
        <v>1707</v>
      </c>
      <c r="Y104" s="1985" t="s">
        <v>6067</v>
      </c>
      <c r="Z104" s="2007"/>
      <c r="AA104" s="2007"/>
      <c r="AB104" s="2001" t="s">
        <v>5752</v>
      </c>
      <c r="AC104" s="2001" t="s">
        <v>5753</v>
      </c>
      <c r="AD104" s="2001" t="s">
        <v>5753</v>
      </c>
      <c r="AE104" s="2007"/>
      <c r="AF104" s="2007"/>
      <c r="AG104" s="1991" t="s">
        <v>6068</v>
      </c>
      <c r="AH104" s="2012"/>
    </row>
    <row r="105" spans="22:34" ht="13" x14ac:dyDescent="0.3">
      <c r="V105" s="1991" t="s">
        <v>3963</v>
      </c>
      <c r="W105" s="1985" t="s">
        <v>6069</v>
      </c>
      <c r="X105" s="1991" t="s">
        <v>1707</v>
      </c>
      <c r="Y105" s="1985" t="s">
        <v>6070</v>
      </c>
      <c r="Z105" s="2007"/>
      <c r="AA105" s="2007"/>
      <c r="AB105" s="2008">
        <v>0.15</v>
      </c>
      <c r="AC105" s="2008">
        <v>0.15</v>
      </c>
      <c r="AD105" s="2008"/>
      <c r="AE105" s="2007"/>
      <c r="AF105" s="2007"/>
      <c r="AG105" s="1991" t="s">
        <v>6071</v>
      </c>
      <c r="AH105" s="2012" t="s">
        <v>6072</v>
      </c>
    </row>
    <row r="106" spans="22:34" ht="13" x14ac:dyDescent="0.3">
      <c r="V106" s="1991" t="s">
        <v>3862</v>
      </c>
      <c r="W106" s="1985" t="s">
        <v>6073</v>
      </c>
      <c r="X106" s="1991" t="s">
        <v>1707</v>
      </c>
      <c r="Y106" s="1985" t="s">
        <v>6074</v>
      </c>
      <c r="Z106" s="2007"/>
      <c r="AA106" s="2007"/>
      <c r="AB106" s="2002">
        <v>0</v>
      </c>
      <c r="AC106" s="2001" t="s">
        <v>5758</v>
      </c>
      <c r="AD106" s="2001"/>
      <c r="AE106" s="2007"/>
      <c r="AF106" s="2007"/>
      <c r="AG106" s="1991" t="s">
        <v>6075</v>
      </c>
      <c r="AH106" s="2012" t="s">
        <v>6076</v>
      </c>
    </row>
    <row r="107" spans="22:34" ht="13" x14ac:dyDescent="0.3">
      <c r="V107" s="1991" t="s">
        <v>6077</v>
      </c>
      <c r="W107" s="1985" t="s">
        <v>6077</v>
      </c>
      <c r="X107" s="1991" t="s">
        <v>1615</v>
      </c>
      <c r="Y107" s="1985" t="s">
        <v>6078</v>
      </c>
      <c r="Z107" s="2007"/>
      <c r="AA107" s="2007"/>
      <c r="AB107" s="2001"/>
      <c r="AC107" s="2001"/>
      <c r="AD107" s="2001"/>
      <c r="AE107" s="2007"/>
      <c r="AF107" s="2007"/>
      <c r="AG107" s="1991" t="s">
        <v>6077</v>
      </c>
      <c r="AH107" s="2012"/>
    </row>
    <row r="108" spans="22:34" ht="13" x14ac:dyDescent="0.3">
      <c r="V108" s="1991" t="s">
        <v>6079</v>
      </c>
      <c r="W108" s="1985" t="s">
        <v>6079</v>
      </c>
      <c r="X108" s="1991" t="s">
        <v>1615</v>
      </c>
      <c r="Y108" s="1985" t="s">
        <v>6080</v>
      </c>
      <c r="Z108" s="2007"/>
      <c r="AA108" s="2007"/>
      <c r="AB108" s="2001"/>
      <c r="AC108" s="2001"/>
      <c r="AD108" s="2001"/>
      <c r="AE108" s="2007"/>
      <c r="AF108" s="2007"/>
      <c r="AG108" s="1991" t="s">
        <v>6079</v>
      </c>
      <c r="AH108" s="2012"/>
    </row>
    <row r="109" spans="22:34" ht="13" x14ac:dyDescent="0.3">
      <c r="V109" s="1991" t="s">
        <v>6081</v>
      </c>
      <c r="W109" s="1985" t="s">
        <v>6082</v>
      </c>
      <c r="X109" s="1991" t="s">
        <v>1707</v>
      </c>
      <c r="Y109" s="1985" t="s">
        <v>6083</v>
      </c>
      <c r="Z109" s="2007"/>
      <c r="AA109" s="2007"/>
      <c r="AB109" s="2002">
        <v>0</v>
      </c>
      <c r="AC109" s="2008">
        <v>0.15</v>
      </c>
      <c r="AD109" s="2008"/>
      <c r="AE109" s="2007"/>
      <c r="AF109" s="2007"/>
      <c r="AG109" s="1991" t="s">
        <v>6084</v>
      </c>
      <c r="AH109" s="2012"/>
    </row>
    <row r="110" spans="22:34" ht="13" x14ac:dyDescent="0.3">
      <c r="V110" s="1991" t="s">
        <v>6085</v>
      </c>
      <c r="W110" s="1985" t="s">
        <v>6086</v>
      </c>
      <c r="X110" s="1991" t="s">
        <v>1707</v>
      </c>
      <c r="Y110" s="1985" t="s">
        <v>6087</v>
      </c>
      <c r="Z110" s="2007"/>
      <c r="AA110" s="2007"/>
      <c r="AB110" s="2008" t="s">
        <v>5834</v>
      </c>
      <c r="AC110" s="2008" t="s">
        <v>5834</v>
      </c>
      <c r="AD110" s="2008"/>
      <c r="AE110" s="2007"/>
      <c r="AF110" s="2007"/>
      <c r="AG110" s="1991" t="s">
        <v>6088</v>
      </c>
      <c r="AH110" s="2012" t="s">
        <v>6089</v>
      </c>
    </row>
    <row r="111" spans="22:34" ht="13" x14ac:dyDescent="0.3">
      <c r="V111" s="1991" t="s">
        <v>3861</v>
      </c>
      <c r="W111" s="1985" t="s">
        <v>6090</v>
      </c>
      <c r="X111" s="1991" t="s">
        <v>1707</v>
      </c>
      <c r="Y111" s="1985" t="s">
        <v>6091</v>
      </c>
      <c r="Z111" s="2007"/>
      <c r="AA111" s="2007"/>
      <c r="AB111" s="2008">
        <v>0.1</v>
      </c>
      <c r="AC111" s="2008" t="s">
        <v>5834</v>
      </c>
      <c r="AD111" s="2008"/>
      <c r="AE111" s="2007"/>
      <c r="AF111" s="2007"/>
      <c r="AG111" s="1991" t="s">
        <v>6092</v>
      </c>
      <c r="AH111" s="2012"/>
    </row>
    <row r="112" spans="22:34" ht="13" x14ac:dyDescent="0.3">
      <c r="V112" s="1991" t="s">
        <v>6093</v>
      </c>
      <c r="W112" s="1985" t="s">
        <v>6094</v>
      </c>
      <c r="X112" s="1991" t="s">
        <v>1707</v>
      </c>
      <c r="Y112" s="1985" t="s">
        <v>6095</v>
      </c>
      <c r="Z112" s="2007"/>
      <c r="AA112" s="2007"/>
      <c r="AB112" s="2001" t="s">
        <v>6096</v>
      </c>
      <c r="AC112" s="2008">
        <v>0.15</v>
      </c>
      <c r="AD112" s="2008"/>
      <c r="AE112" s="2007"/>
      <c r="AF112" s="2007"/>
      <c r="AG112" s="1991" t="s">
        <v>6097</v>
      </c>
      <c r="AH112" s="2012" t="s">
        <v>5946</v>
      </c>
    </row>
    <row r="113" spans="22:34" ht="13" x14ac:dyDescent="0.3">
      <c r="V113" s="1991" t="s">
        <v>3879</v>
      </c>
      <c r="W113" s="1985" t="s">
        <v>6098</v>
      </c>
      <c r="X113" s="1991" t="s">
        <v>1707</v>
      </c>
      <c r="Y113" s="1985" t="s">
        <v>6099</v>
      </c>
      <c r="Z113" s="2007"/>
      <c r="AA113" s="2007"/>
      <c r="AB113" s="2001" t="s">
        <v>5752</v>
      </c>
      <c r="AC113" s="2001" t="s">
        <v>5753</v>
      </c>
      <c r="AD113" s="2001" t="s">
        <v>5753</v>
      </c>
      <c r="AE113" s="2007"/>
      <c r="AF113" s="2007"/>
      <c r="AG113" s="1991" t="s">
        <v>6100</v>
      </c>
      <c r="AH113" s="2012"/>
    </row>
    <row r="114" spans="22:34" ht="13" x14ac:dyDescent="0.3">
      <c r="V114" s="1991" t="s">
        <v>6101</v>
      </c>
      <c r="W114" s="1985" t="s">
        <v>6102</v>
      </c>
      <c r="X114" s="1991" t="s">
        <v>1707</v>
      </c>
      <c r="Y114" s="1985" t="s">
        <v>6103</v>
      </c>
      <c r="Z114" s="2007"/>
      <c r="AA114" s="2007"/>
      <c r="AB114" s="2008">
        <v>0.1</v>
      </c>
      <c r="AC114" s="2008">
        <v>0.1</v>
      </c>
      <c r="AD114" s="2008"/>
      <c r="AE114" s="2007"/>
      <c r="AF114" s="2007"/>
      <c r="AG114" s="1991" t="s">
        <v>6104</v>
      </c>
      <c r="AH114" s="2012"/>
    </row>
    <row r="115" spans="22:34" ht="13" x14ac:dyDescent="0.3">
      <c r="V115" s="1991" t="s">
        <v>3880</v>
      </c>
      <c r="W115" s="1985" t="s">
        <v>6105</v>
      </c>
      <c r="X115" s="1991" t="s">
        <v>1707</v>
      </c>
      <c r="Y115" s="1985" t="s">
        <v>6106</v>
      </c>
      <c r="Z115" s="2007"/>
      <c r="AA115" s="2007"/>
      <c r="AB115" s="2008">
        <v>0.1</v>
      </c>
      <c r="AC115" s="2008">
        <v>0.1</v>
      </c>
      <c r="AD115" s="2008"/>
      <c r="AE115" s="2007"/>
      <c r="AF115" s="2007"/>
      <c r="AG115" s="1991" t="s">
        <v>6107</v>
      </c>
      <c r="AH115" s="2012"/>
    </row>
    <row r="116" spans="22:34" ht="21.5" x14ac:dyDescent="0.3">
      <c r="V116" s="1991" t="s">
        <v>6108</v>
      </c>
      <c r="W116" s="1985" t="s">
        <v>6109</v>
      </c>
      <c r="X116" s="1991" t="s">
        <v>1707</v>
      </c>
      <c r="Y116" s="1985" t="s">
        <v>6110</v>
      </c>
      <c r="Z116" s="2007"/>
      <c r="AA116" s="2007"/>
      <c r="AB116" s="2001" t="s">
        <v>5854</v>
      </c>
      <c r="AC116" s="2008">
        <v>0.15</v>
      </c>
      <c r="AD116" s="2008"/>
      <c r="AE116" s="2007"/>
      <c r="AF116" s="2007"/>
      <c r="AG116" s="1991" t="s">
        <v>6111</v>
      </c>
      <c r="AH116" s="2012" t="s">
        <v>6112</v>
      </c>
    </row>
    <row r="117" spans="22:34" ht="13" x14ac:dyDescent="0.3">
      <c r="V117" s="1991" t="s">
        <v>6113</v>
      </c>
      <c r="W117" s="1985" t="s">
        <v>6114</v>
      </c>
      <c r="X117" s="1991" t="s">
        <v>1707</v>
      </c>
      <c r="Y117" s="1985" t="s">
        <v>6115</v>
      </c>
      <c r="Z117" s="2007"/>
      <c r="AA117" s="2007"/>
      <c r="AB117" s="2008" t="s">
        <v>5834</v>
      </c>
      <c r="AC117" s="2008" t="s">
        <v>5834</v>
      </c>
      <c r="AD117" s="2008"/>
      <c r="AE117" s="2007"/>
      <c r="AF117" s="2007"/>
      <c r="AG117" s="1991" t="s">
        <v>6116</v>
      </c>
      <c r="AH117" s="2012"/>
    </row>
    <row r="118" spans="22:34" ht="13" x14ac:dyDescent="0.3">
      <c r="V118" s="1991" t="s">
        <v>6117</v>
      </c>
      <c r="W118" s="1985" t="s">
        <v>6117</v>
      </c>
      <c r="X118" s="1991" t="s">
        <v>1615</v>
      </c>
      <c r="Y118" s="1985" t="s">
        <v>6118</v>
      </c>
      <c r="Z118" s="2007"/>
      <c r="AA118" s="2007"/>
      <c r="AB118" s="2001"/>
      <c r="AC118" s="2001"/>
      <c r="AD118" s="2001"/>
      <c r="AE118" s="2007"/>
      <c r="AF118" s="2007"/>
      <c r="AG118" s="1991" t="s">
        <v>6117</v>
      </c>
      <c r="AH118" s="2012"/>
    </row>
    <row r="119" spans="22:34" ht="13" x14ac:dyDescent="0.3">
      <c r="V119" s="1991" t="s">
        <v>6119</v>
      </c>
      <c r="W119" s="1985" t="s">
        <v>6119</v>
      </c>
      <c r="X119" s="1991" t="s">
        <v>1615</v>
      </c>
      <c r="Y119" s="1985" t="s">
        <v>6120</v>
      </c>
      <c r="Z119" s="2007"/>
      <c r="AA119" s="2007"/>
      <c r="AB119" s="2001"/>
      <c r="AC119" s="2001"/>
      <c r="AD119" s="2001"/>
      <c r="AE119" s="2007"/>
      <c r="AF119" s="2007"/>
      <c r="AG119" s="1991" t="s">
        <v>6119</v>
      </c>
      <c r="AH119" s="2012"/>
    </row>
    <row r="120" spans="22:34" ht="13" x14ac:dyDescent="0.3">
      <c r="V120" s="1991" t="s">
        <v>6121</v>
      </c>
      <c r="W120" s="1985" t="s">
        <v>6122</v>
      </c>
      <c r="X120" s="1991" t="s">
        <v>1707</v>
      </c>
      <c r="Y120" s="1985" t="s">
        <v>6123</v>
      </c>
      <c r="Z120" s="2007"/>
      <c r="AA120" s="2007"/>
      <c r="AB120" s="2001" t="s">
        <v>5752</v>
      </c>
      <c r="AC120" s="2001" t="s">
        <v>5753</v>
      </c>
      <c r="AD120" s="2001" t="s">
        <v>5753</v>
      </c>
      <c r="AE120" s="2007"/>
      <c r="AF120" s="2007"/>
      <c r="AG120" s="1991" t="s">
        <v>6124</v>
      </c>
      <c r="AH120" s="2012"/>
    </row>
    <row r="121" spans="22:34" ht="13" x14ac:dyDescent="0.3">
      <c r="V121" s="1991" t="s">
        <v>6125</v>
      </c>
      <c r="W121" s="1985" t="s">
        <v>6126</v>
      </c>
      <c r="X121" s="1991" t="s">
        <v>1707</v>
      </c>
      <c r="Y121" s="1985" t="s">
        <v>6127</v>
      </c>
      <c r="Z121" s="2007"/>
      <c r="AA121" s="2007"/>
      <c r="AB121" s="2001" t="s">
        <v>5752</v>
      </c>
      <c r="AC121" s="2001" t="s">
        <v>5835</v>
      </c>
      <c r="AD121" s="2001" t="s">
        <v>5835</v>
      </c>
      <c r="AE121" s="2007"/>
      <c r="AF121" s="2007"/>
      <c r="AG121" s="1991" t="s">
        <v>6128</v>
      </c>
      <c r="AH121" s="2012"/>
    </row>
    <row r="122" spans="22:34" ht="13" x14ac:dyDescent="0.3">
      <c r="V122" s="1991" t="s">
        <v>6129</v>
      </c>
      <c r="W122" s="1985" t="s">
        <v>6130</v>
      </c>
      <c r="X122" s="1991" t="s">
        <v>1707</v>
      </c>
      <c r="Y122" s="1985" t="s">
        <v>6131</v>
      </c>
      <c r="Z122" s="2007"/>
      <c r="AA122" s="2007"/>
      <c r="AB122" s="2001" t="s">
        <v>5854</v>
      </c>
      <c r="AC122" s="2008">
        <v>0.15</v>
      </c>
      <c r="AD122" s="2008"/>
      <c r="AE122" s="2007"/>
      <c r="AF122" s="2007"/>
      <c r="AG122" s="1991" t="s">
        <v>6132</v>
      </c>
      <c r="AH122" s="2012" t="s">
        <v>6133</v>
      </c>
    </row>
    <row r="123" spans="22:34" ht="13" x14ac:dyDescent="0.3">
      <c r="V123" s="1991" t="s">
        <v>6134</v>
      </c>
      <c r="W123" s="1985" t="s">
        <v>6135</v>
      </c>
      <c r="X123" s="1991" t="s">
        <v>1707</v>
      </c>
      <c r="Y123" s="1985" t="s">
        <v>6136</v>
      </c>
      <c r="Z123" s="2007"/>
      <c r="AA123" s="2007"/>
      <c r="AB123" s="2008">
        <v>0</v>
      </c>
      <c r="AC123" s="2008">
        <v>0.15</v>
      </c>
      <c r="AD123" s="2008"/>
      <c r="AE123" s="2007"/>
      <c r="AF123" s="2007"/>
      <c r="AG123" s="1991" t="s">
        <v>6137</v>
      </c>
      <c r="AH123" s="2012"/>
    </row>
    <row r="124" spans="22:34" ht="13" x14ac:dyDescent="0.3">
      <c r="V124" s="1991" t="s">
        <v>6138</v>
      </c>
      <c r="W124" s="1985" t="s">
        <v>6138</v>
      </c>
      <c r="X124" s="1991" t="s">
        <v>1615</v>
      </c>
      <c r="Y124" s="1985" t="s">
        <v>6139</v>
      </c>
      <c r="Z124" s="2007"/>
      <c r="AA124" s="2007"/>
      <c r="AB124" s="2001"/>
      <c r="AC124" s="2001"/>
      <c r="AD124" s="2001"/>
      <c r="AE124" s="2007"/>
      <c r="AF124" s="2007"/>
      <c r="AG124" s="1991" t="s">
        <v>6138</v>
      </c>
      <c r="AH124" s="2012"/>
    </row>
    <row r="125" spans="22:34" ht="13" x14ac:dyDescent="0.3">
      <c r="V125" s="1991" t="s">
        <v>6140</v>
      </c>
      <c r="W125" s="1985" t="s">
        <v>6140</v>
      </c>
      <c r="X125" s="1991" t="s">
        <v>1615</v>
      </c>
      <c r="Y125" s="1985" t="s">
        <v>6141</v>
      </c>
      <c r="Z125" s="2007"/>
      <c r="AA125" s="2007"/>
      <c r="AB125" s="2001"/>
      <c r="AC125" s="2001"/>
      <c r="AD125" s="2001"/>
      <c r="AE125" s="2007"/>
      <c r="AF125" s="2007"/>
      <c r="AG125" s="1991" t="s">
        <v>6140</v>
      </c>
      <c r="AH125" s="2012"/>
    </row>
    <row r="126" spans="22:34" ht="13" x14ac:dyDescent="0.3">
      <c r="V126" s="1991" t="s">
        <v>6142</v>
      </c>
      <c r="W126" s="1985" t="s">
        <v>6142</v>
      </c>
      <c r="X126" s="1991" t="s">
        <v>1615</v>
      </c>
      <c r="Y126" s="1985" t="s">
        <v>6143</v>
      </c>
      <c r="Z126" s="2007"/>
      <c r="AA126" s="2007"/>
      <c r="AB126" s="2001"/>
      <c r="AC126" s="2001"/>
      <c r="AD126" s="2001"/>
      <c r="AE126" s="2007"/>
      <c r="AF126" s="2007"/>
      <c r="AG126" s="1991" t="s">
        <v>6142</v>
      </c>
      <c r="AH126" s="2012"/>
    </row>
    <row r="127" spans="22:34" ht="13" x14ac:dyDescent="0.3">
      <c r="V127" s="1991" t="s">
        <v>4040</v>
      </c>
      <c r="W127" s="1985" t="s">
        <v>6144</v>
      </c>
      <c r="X127" s="1991" t="s">
        <v>1707</v>
      </c>
      <c r="Y127" s="1985" t="s">
        <v>6145</v>
      </c>
      <c r="Z127" s="2007"/>
      <c r="AA127" s="2007"/>
      <c r="AB127" s="2008">
        <v>0</v>
      </c>
      <c r="AC127" s="2008">
        <v>0</v>
      </c>
      <c r="AD127" s="2008"/>
      <c r="AE127" s="2007"/>
      <c r="AF127" s="2007"/>
      <c r="AG127" s="1991" t="s">
        <v>6146</v>
      </c>
      <c r="AH127" s="2012" t="s">
        <v>6147</v>
      </c>
    </row>
    <row r="128" spans="22:34" ht="13" x14ac:dyDescent="0.3">
      <c r="V128" s="1991" t="s">
        <v>6148</v>
      </c>
      <c r="W128" s="1985" t="s">
        <v>6148</v>
      </c>
      <c r="X128" s="1991" t="s">
        <v>1615</v>
      </c>
      <c r="Y128" s="1985" t="s">
        <v>6149</v>
      </c>
      <c r="Z128" s="2007"/>
      <c r="AA128" s="2007"/>
      <c r="AB128" s="2001"/>
      <c r="AC128" s="2001"/>
      <c r="AD128" s="2001"/>
      <c r="AE128" s="2007"/>
      <c r="AF128" s="2007"/>
      <c r="AG128" s="1991" t="s">
        <v>6148</v>
      </c>
      <c r="AH128" s="2012"/>
    </row>
    <row r="129" spans="22:34" ht="13" x14ac:dyDescent="0.3">
      <c r="V129" s="1991" t="s">
        <v>6150</v>
      </c>
      <c r="W129" s="1985" t="s">
        <v>6151</v>
      </c>
      <c r="X129" s="1991" t="s">
        <v>1707</v>
      </c>
      <c r="Y129" s="1985" t="s">
        <v>6152</v>
      </c>
      <c r="Z129" s="2007"/>
      <c r="AA129" s="2007"/>
      <c r="AB129" s="2008">
        <v>0</v>
      </c>
      <c r="AC129" s="2008">
        <v>0</v>
      </c>
      <c r="AD129" s="2008"/>
      <c r="AE129" s="2007"/>
      <c r="AF129" s="2007"/>
      <c r="AG129" s="1991" t="s">
        <v>6153</v>
      </c>
      <c r="AH129" s="2012" t="s">
        <v>6154</v>
      </c>
    </row>
    <row r="130" spans="22:34" ht="21.5" x14ac:dyDescent="0.3">
      <c r="V130" s="1991" t="s">
        <v>6155</v>
      </c>
      <c r="W130" s="1985" t="s">
        <v>6156</v>
      </c>
      <c r="X130" s="1991" t="s">
        <v>1707</v>
      </c>
      <c r="Y130" s="1985" t="s">
        <v>6157</v>
      </c>
      <c r="Z130" s="2007"/>
      <c r="AA130" s="2007"/>
      <c r="AB130" s="2001" t="s">
        <v>5854</v>
      </c>
      <c r="AC130" s="2001" t="s">
        <v>6158</v>
      </c>
      <c r="AD130" s="2001"/>
      <c r="AE130" s="2007"/>
      <c r="AF130" s="2007"/>
      <c r="AG130" s="1991" t="s">
        <v>6159</v>
      </c>
      <c r="AH130" s="2012" t="s">
        <v>6160</v>
      </c>
    </row>
    <row r="131" spans="22:34" ht="13" x14ac:dyDescent="0.3">
      <c r="V131" s="1991" t="s">
        <v>6161</v>
      </c>
      <c r="W131" s="1985" t="s">
        <v>6162</v>
      </c>
      <c r="X131" s="1991" t="s">
        <v>1707</v>
      </c>
      <c r="Y131" s="1985" t="s">
        <v>6163</v>
      </c>
      <c r="Z131" s="2007"/>
      <c r="AA131" s="2007"/>
      <c r="AB131" s="2001" t="s">
        <v>5752</v>
      </c>
      <c r="AC131" s="2001" t="s">
        <v>5835</v>
      </c>
      <c r="AD131" s="2001"/>
      <c r="AE131" s="2007"/>
      <c r="AF131" s="2007"/>
      <c r="AG131" s="1991" t="s">
        <v>6164</v>
      </c>
      <c r="AH131" s="2012"/>
    </row>
    <row r="132" spans="22:34" ht="21.5" x14ac:dyDescent="0.3">
      <c r="V132" s="1991" t="s">
        <v>6165</v>
      </c>
      <c r="W132" s="1985" t="s">
        <v>6166</v>
      </c>
      <c r="X132" s="1991" t="s">
        <v>1707</v>
      </c>
      <c r="Y132" s="1985" t="s">
        <v>6167</v>
      </c>
      <c r="Z132" s="2007"/>
      <c r="AA132" s="2007"/>
      <c r="AB132" s="2001" t="s">
        <v>5854</v>
      </c>
      <c r="AC132" s="2008">
        <v>0.15</v>
      </c>
      <c r="AD132" s="2008"/>
      <c r="AE132" s="2007"/>
      <c r="AF132" s="2007"/>
      <c r="AG132" s="1991" t="s">
        <v>6168</v>
      </c>
      <c r="AH132" s="2012" t="s">
        <v>6169</v>
      </c>
    </row>
    <row r="133" spans="22:34" ht="13" x14ac:dyDescent="0.3">
      <c r="V133" s="1991" t="s">
        <v>3865</v>
      </c>
      <c r="W133" s="1985" t="s">
        <v>6170</v>
      </c>
      <c r="X133" s="1991" t="s">
        <v>1707</v>
      </c>
      <c r="Y133" s="1985" t="s">
        <v>6171</v>
      </c>
      <c r="Z133" s="2007"/>
      <c r="AA133" s="2007"/>
      <c r="AB133" s="2002">
        <v>0</v>
      </c>
      <c r="AC133" s="2008">
        <v>0.15</v>
      </c>
      <c r="AD133" s="2008"/>
      <c r="AE133" s="2007"/>
      <c r="AF133" s="2007"/>
      <c r="AG133" s="1991" t="s">
        <v>6172</v>
      </c>
      <c r="AH133" s="2012"/>
    </row>
    <row r="134" spans="22:34" ht="13" x14ac:dyDescent="0.3">
      <c r="V134" s="1991" t="s">
        <v>6173</v>
      </c>
      <c r="W134" s="1985" t="s">
        <v>6174</v>
      </c>
      <c r="X134" s="1991" t="s">
        <v>1707</v>
      </c>
      <c r="Y134" s="1985" t="s">
        <v>6175</v>
      </c>
      <c r="Z134" s="2007"/>
      <c r="AA134" s="2007"/>
      <c r="AB134" s="2001" t="s">
        <v>5854</v>
      </c>
      <c r="AC134" s="2008">
        <v>0.15</v>
      </c>
      <c r="AD134" s="2008"/>
      <c r="AE134" s="2007"/>
      <c r="AF134" s="2007"/>
      <c r="AG134" s="1991" t="s">
        <v>6176</v>
      </c>
      <c r="AH134" s="2012" t="s">
        <v>6177</v>
      </c>
    </row>
    <row r="135" spans="22:34" ht="13" x14ac:dyDescent="0.3">
      <c r="V135" s="1991" t="s">
        <v>6178</v>
      </c>
      <c r="W135" s="1985" t="s">
        <v>6178</v>
      </c>
      <c r="X135" s="1991" t="s">
        <v>1615</v>
      </c>
      <c r="Y135" s="1985" t="s">
        <v>6179</v>
      </c>
      <c r="Z135" s="2007"/>
      <c r="AA135" s="2007"/>
      <c r="AB135" s="2001"/>
      <c r="AC135" s="2001"/>
      <c r="AD135" s="2001"/>
      <c r="AE135" s="2007"/>
      <c r="AF135" s="2007"/>
      <c r="AG135" s="1991" t="s">
        <v>6178</v>
      </c>
      <c r="AH135" s="2012"/>
    </row>
    <row r="136" spans="22:34" ht="13" x14ac:dyDescent="0.3">
      <c r="V136" s="1991" t="s">
        <v>6180</v>
      </c>
      <c r="W136" s="1985" t="s">
        <v>6181</v>
      </c>
      <c r="X136" s="1991" t="s">
        <v>1707</v>
      </c>
      <c r="Y136" s="1985" t="s">
        <v>6182</v>
      </c>
      <c r="Z136" s="2007"/>
      <c r="AA136" s="2007"/>
      <c r="AB136" s="2008">
        <v>0.1</v>
      </c>
      <c r="AC136" s="2008">
        <v>0.25</v>
      </c>
      <c r="AD136" s="2008"/>
      <c r="AE136" s="2007"/>
      <c r="AF136" s="2007"/>
      <c r="AG136" s="1991" t="s">
        <v>6183</v>
      </c>
      <c r="AH136" s="2012"/>
    </row>
    <row r="137" spans="22:34" ht="13" x14ac:dyDescent="0.3">
      <c r="V137" s="1991" t="s">
        <v>6184</v>
      </c>
      <c r="W137" s="1985" t="s">
        <v>6184</v>
      </c>
      <c r="X137" s="1991" t="s">
        <v>1615</v>
      </c>
      <c r="Y137" s="1985" t="s">
        <v>6185</v>
      </c>
      <c r="Z137" s="2007"/>
      <c r="AA137" s="2007"/>
      <c r="AB137" s="2001"/>
      <c r="AC137" s="2001"/>
      <c r="AD137" s="2001"/>
      <c r="AE137" s="2007"/>
      <c r="AF137" s="2007"/>
      <c r="AG137" s="1991" t="s">
        <v>6184</v>
      </c>
      <c r="AH137" s="2012"/>
    </row>
    <row r="138" spans="22:34" ht="13" x14ac:dyDescent="0.3">
      <c r="V138" s="1991" t="s">
        <v>6186</v>
      </c>
      <c r="W138" s="1985" t="s">
        <v>6187</v>
      </c>
      <c r="X138" s="1991" t="s">
        <v>1707</v>
      </c>
      <c r="Y138" s="1985" t="s">
        <v>6188</v>
      </c>
      <c r="Z138" s="2007"/>
      <c r="AA138" s="2007"/>
      <c r="AB138" s="2001" t="s">
        <v>6189</v>
      </c>
      <c r="AC138" s="2008">
        <v>0.1</v>
      </c>
      <c r="AD138" s="2008"/>
      <c r="AE138" s="2007"/>
      <c r="AF138" s="2007"/>
      <c r="AG138" s="1991" t="s">
        <v>6190</v>
      </c>
      <c r="AH138" s="2012" t="s">
        <v>6191</v>
      </c>
    </row>
    <row r="139" spans="22:34" ht="13" x14ac:dyDescent="0.3">
      <c r="V139" s="1991" t="s">
        <v>6192</v>
      </c>
      <c r="W139" s="1985" t="s">
        <v>6192</v>
      </c>
      <c r="X139" s="1991" t="s">
        <v>1615</v>
      </c>
      <c r="Y139" s="1985" t="s">
        <v>6193</v>
      </c>
      <c r="Z139" s="2007"/>
      <c r="AA139" s="2007"/>
      <c r="AB139" s="2001"/>
      <c r="AC139" s="2001"/>
      <c r="AD139" s="2001"/>
      <c r="AE139" s="2007"/>
      <c r="AF139" s="2007"/>
      <c r="AG139" s="1991" t="s">
        <v>6192</v>
      </c>
      <c r="AH139" s="2012"/>
    </row>
    <row r="140" spans="22:34" ht="13" x14ac:dyDescent="0.3">
      <c r="V140" s="1991" t="s">
        <v>6194</v>
      </c>
      <c r="W140" s="1985" t="s">
        <v>6194</v>
      </c>
      <c r="X140" s="1991" t="s">
        <v>1615</v>
      </c>
      <c r="Y140" s="1985" t="s">
        <v>6195</v>
      </c>
      <c r="Z140" s="2007"/>
      <c r="AA140" s="2007"/>
      <c r="AB140" s="2001"/>
      <c r="AC140" s="2001"/>
      <c r="AD140" s="2001"/>
      <c r="AE140" s="2007"/>
      <c r="AF140" s="2007"/>
      <c r="AG140" s="1991" t="s">
        <v>6194</v>
      </c>
      <c r="AH140" s="2012"/>
    </row>
    <row r="141" spans="22:34" ht="13" x14ac:dyDescent="0.3">
      <c r="V141" s="1991" t="s">
        <v>6196</v>
      </c>
      <c r="W141" s="1985" t="s">
        <v>6197</v>
      </c>
      <c r="X141" s="1991" t="s">
        <v>1707</v>
      </c>
      <c r="Y141" s="1985" t="s">
        <v>6198</v>
      </c>
      <c r="Z141" s="2007"/>
      <c r="AA141" s="2007"/>
      <c r="AB141" s="2001" t="s">
        <v>5758</v>
      </c>
      <c r="AC141" s="2008">
        <v>0</v>
      </c>
      <c r="AD141" s="2008"/>
      <c r="AE141" s="2007"/>
      <c r="AF141" s="2007"/>
      <c r="AG141" s="1991" t="s">
        <v>6199</v>
      </c>
      <c r="AH141" s="2012" t="s">
        <v>6200</v>
      </c>
    </row>
    <row r="142" spans="22:34" ht="13" x14ac:dyDescent="0.3">
      <c r="V142" s="1991" t="s">
        <v>6201</v>
      </c>
      <c r="W142" s="1985" t="s">
        <v>6201</v>
      </c>
      <c r="X142" s="1991" t="s">
        <v>1615</v>
      </c>
      <c r="Y142" s="1985" t="s">
        <v>6202</v>
      </c>
      <c r="Z142" s="2007"/>
      <c r="AA142" s="2007"/>
      <c r="AB142" s="2001"/>
      <c r="AC142" s="2001"/>
      <c r="AD142" s="2001"/>
      <c r="AE142" s="2007"/>
      <c r="AF142" s="2007"/>
      <c r="AG142" s="1991" t="s">
        <v>6201</v>
      </c>
      <c r="AH142" s="2012"/>
    </row>
    <row r="143" spans="22:34" ht="13" x14ac:dyDescent="0.3">
      <c r="V143" s="1991" t="s">
        <v>6203</v>
      </c>
      <c r="W143" s="1985" t="s">
        <v>6204</v>
      </c>
      <c r="X143" s="1991" t="s">
        <v>1707</v>
      </c>
      <c r="Y143" s="1985" t="s">
        <v>6205</v>
      </c>
      <c r="Z143" s="2007"/>
      <c r="AA143" s="2007"/>
      <c r="AB143" s="2008">
        <v>0.1</v>
      </c>
      <c r="AC143" s="2008">
        <v>0.15</v>
      </c>
      <c r="AD143" s="2008"/>
      <c r="AE143" s="2007"/>
      <c r="AF143" s="2007"/>
      <c r="AG143" s="1991" t="s">
        <v>6206</v>
      </c>
      <c r="AH143" s="2012"/>
    </row>
    <row r="144" spans="22:34" ht="13" x14ac:dyDescent="0.3">
      <c r="V144" s="1991" t="s">
        <v>6207</v>
      </c>
      <c r="W144" s="1985" t="s">
        <v>6207</v>
      </c>
      <c r="X144" s="1991" t="s">
        <v>1615</v>
      </c>
      <c r="Y144" s="1985" t="s">
        <v>6208</v>
      </c>
      <c r="Z144" s="2007"/>
      <c r="AA144" s="2007"/>
      <c r="AB144" s="2001"/>
      <c r="AC144" s="2001"/>
      <c r="AD144" s="2001"/>
      <c r="AE144" s="2007"/>
      <c r="AF144" s="2007"/>
      <c r="AG144" s="1991" t="s">
        <v>6207</v>
      </c>
      <c r="AH144" s="2012"/>
    </row>
    <row r="145" spans="22:34" ht="13" x14ac:dyDescent="0.3">
      <c r="V145" s="1991" t="s">
        <v>6209</v>
      </c>
      <c r="W145" s="1985" t="s">
        <v>6210</v>
      </c>
      <c r="X145" s="1991" t="s">
        <v>1707</v>
      </c>
      <c r="Y145" s="1985" t="s">
        <v>6211</v>
      </c>
      <c r="Z145" s="2007"/>
      <c r="AA145" s="2007"/>
      <c r="AB145" s="2008" t="s">
        <v>6062</v>
      </c>
      <c r="AC145" s="2001" t="s">
        <v>5753</v>
      </c>
      <c r="AD145" s="2001"/>
      <c r="AE145" s="2007"/>
      <c r="AF145" s="2007"/>
      <c r="AG145" s="1991" t="s">
        <v>6212</v>
      </c>
      <c r="AH145" s="2012"/>
    </row>
    <row r="146" spans="22:34" ht="13" x14ac:dyDescent="0.3">
      <c r="V146" s="1991" t="s">
        <v>6213</v>
      </c>
      <c r="W146" s="1985" t="s">
        <v>6214</v>
      </c>
      <c r="X146" s="1991" t="s">
        <v>1707</v>
      </c>
      <c r="Y146" s="1985" t="s">
        <v>6215</v>
      </c>
      <c r="Z146" s="2007"/>
      <c r="AA146" s="2007"/>
      <c r="AB146" s="2001" t="s">
        <v>5752</v>
      </c>
      <c r="AC146" s="2001" t="s">
        <v>5835</v>
      </c>
      <c r="AD146" s="2001"/>
      <c r="AE146" s="2007"/>
      <c r="AF146" s="2007"/>
      <c r="AG146" s="1991" t="s">
        <v>6216</v>
      </c>
      <c r="AH146" s="2012"/>
    </row>
    <row r="147" spans="22:34" ht="13" x14ac:dyDescent="0.3">
      <c r="V147" s="1991" t="s">
        <v>6217</v>
      </c>
      <c r="W147" s="1985" t="s">
        <v>6218</v>
      </c>
      <c r="X147" s="1991" t="s">
        <v>1707</v>
      </c>
      <c r="Y147" s="1985" t="s">
        <v>6219</v>
      </c>
      <c r="Z147" s="2007"/>
      <c r="AA147" s="2007"/>
      <c r="AB147" s="2008">
        <v>0.1</v>
      </c>
      <c r="AC147" s="2008">
        <v>0.15</v>
      </c>
      <c r="AD147" s="2008"/>
      <c r="AE147" s="2007"/>
      <c r="AF147" s="2007"/>
      <c r="AG147" s="1991" t="s">
        <v>6220</v>
      </c>
      <c r="AH147" s="2012"/>
    </row>
    <row r="148" spans="22:34" ht="13" x14ac:dyDescent="0.3">
      <c r="V148" s="1991" t="s">
        <v>6221</v>
      </c>
      <c r="W148" s="1985" t="s">
        <v>6222</v>
      </c>
      <c r="X148" s="1991" t="s">
        <v>1707</v>
      </c>
      <c r="Y148" s="1985" t="s">
        <v>6223</v>
      </c>
      <c r="Z148" s="2007"/>
      <c r="AA148" s="2007"/>
      <c r="AB148" s="2008">
        <v>0.1</v>
      </c>
      <c r="AC148" s="2008">
        <v>0.15</v>
      </c>
      <c r="AD148" s="2008"/>
      <c r="AE148" s="2007"/>
      <c r="AF148" s="2007"/>
      <c r="AG148" s="1991" t="s">
        <v>6224</v>
      </c>
      <c r="AH148" s="2012"/>
    </row>
    <row r="149" spans="22:34" ht="13" x14ac:dyDescent="0.3">
      <c r="V149" s="1991" t="s">
        <v>6225</v>
      </c>
      <c r="W149" s="1985" t="s">
        <v>6225</v>
      </c>
      <c r="X149" s="1991" t="s">
        <v>1615</v>
      </c>
      <c r="Y149" s="1985" t="s">
        <v>6226</v>
      </c>
      <c r="Z149" s="2007"/>
      <c r="AA149" s="2007"/>
      <c r="AB149" s="2001"/>
      <c r="AC149" s="2001"/>
      <c r="AD149" s="2001"/>
      <c r="AE149" s="2007"/>
      <c r="AF149" s="2007"/>
      <c r="AG149" s="1991" t="s">
        <v>6225</v>
      </c>
      <c r="AH149" s="2012"/>
    </row>
    <row r="150" spans="22:34" ht="13" x14ac:dyDescent="0.3">
      <c r="V150" s="1991" t="s">
        <v>6227</v>
      </c>
      <c r="W150" s="1985" t="s">
        <v>6227</v>
      </c>
      <c r="X150" s="1991" t="s">
        <v>1615</v>
      </c>
      <c r="Y150" s="1985" t="s">
        <v>6228</v>
      </c>
      <c r="Z150" s="2007"/>
      <c r="AA150" s="2007"/>
      <c r="AB150" s="2001"/>
      <c r="AC150" s="2001"/>
      <c r="AD150" s="2001"/>
      <c r="AE150" s="2007"/>
      <c r="AF150" s="2007"/>
      <c r="AG150" s="1991" t="s">
        <v>6227</v>
      </c>
      <c r="AH150" s="2012"/>
    </row>
    <row r="151" spans="22:34" ht="13" x14ac:dyDescent="0.3">
      <c r="V151" s="1991" t="s">
        <v>6229</v>
      </c>
      <c r="W151" s="1985" t="s">
        <v>6229</v>
      </c>
      <c r="X151" s="1991" t="s">
        <v>1615</v>
      </c>
      <c r="Y151" s="1985" t="s">
        <v>6230</v>
      </c>
      <c r="Z151" s="2007"/>
      <c r="AA151" s="2007"/>
      <c r="AB151" s="2001"/>
      <c r="AC151" s="2001"/>
      <c r="AD151" s="2001"/>
      <c r="AE151" s="2007"/>
      <c r="AF151" s="2007"/>
      <c r="AG151" s="1991" t="s">
        <v>6229</v>
      </c>
      <c r="AH151" s="2012"/>
    </row>
    <row r="152" spans="22:34" ht="13" x14ac:dyDescent="0.3">
      <c r="V152" s="1991" t="s">
        <v>6231</v>
      </c>
      <c r="W152" s="1985" t="s">
        <v>6232</v>
      </c>
      <c r="X152" s="1991" t="s">
        <v>1707</v>
      </c>
      <c r="Y152" s="1985" t="s">
        <v>6233</v>
      </c>
      <c r="Z152" s="2007"/>
      <c r="AA152" s="2007"/>
      <c r="AB152" s="2001" t="s">
        <v>5752</v>
      </c>
      <c r="AC152" s="2001" t="s">
        <v>5753</v>
      </c>
      <c r="AD152" s="2001"/>
      <c r="AE152" s="2007"/>
      <c r="AF152" s="2007"/>
      <c r="AG152" s="1991" t="s">
        <v>6234</v>
      </c>
      <c r="AH152" s="2012"/>
    </row>
    <row r="153" spans="22:34" ht="13" x14ac:dyDescent="0.3">
      <c r="V153" s="1991" t="s">
        <v>6235</v>
      </c>
      <c r="W153" s="1985" t="s">
        <v>6236</v>
      </c>
      <c r="X153" s="1991" t="s">
        <v>1707</v>
      </c>
      <c r="Y153" s="1985" t="s">
        <v>6237</v>
      </c>
      <c r="Z153" s="2007"/>
      <c r="AA153" s="2007"/>
      <c r="AB153" s="2001"/>
      <c r="AC153" s="2001"/>
      <c r="AD153" s="2001"/>
      <c r="AE153" s="2007"/>
      <c r="AF153" s="2007"/>
      <c r="AG153" s="1991" t="s">
        <v>6238</v>
      </c>
      <c r="AH153" s="2012"/>
    </row>
    <row r="154" spans="22:34" ht="13" x14ac:dyDescent="0.3">
      <c r="V154" s="1991" t="s">
        <v>3863</v>
      </c>
      <c r="W154" s="1985" t="s">
        <v>6239</v>
      </c>
      <c r="X154" s="1991" t="s">
        <v>1707</v>
      </c>
      <c r="Y154" s="1985" t="s">
        <v>6240</v>
      </c>
      <c r="Z154" s="2007"/>
      <c r="AA154" s="2007"/>
      <c r="AB154" s="2001" t="s">
        <v>6241</v>
      </c>
      <c r="AC154" s="2008">
        <v>0.15</v>
      </c>
      <c r="AD154" s="2008"/>
      <c r="AE154" s="2007"/>
      <c r="AF154" s="2007"/>
      <c r="AG154" s="1991" t="s">
        <v>6242</v>
      </c>
      <c r="AH154" s="2012" t="s">
        <v>6243</v>
      </c>
    </row>
    <row r="155" spans="22:34" ht="13" x14ac:dyDescent="0.3">
      <c r="V155" s="1991" t="s">
        <v>6244</v>
      </c>
      <c r="W155" s="1985" t="s">
        <v>6245</v>
      </c>
      <c r="X155" s="1991" t="s">
        <v>1707</v>
      </c>
      <c r="Y155" s="1985" t="s">
        <v>6246</v>
      </c>
      <c r="Z155" s="2007"/>
      <c r="AA155" s="2007"/>
      <c r="AB155" s="2001" t="s">
        <v>5835</v>
      </c>
      <c r="AC155" s="2001" t="s">
        <v>5835</v>
      </c>
      <c r="AD155" s="2001" t="s">
        <v>5835</v>
      </c>
      <c r="AE155" s="2007"/>
      <c r="AF155" s="2007"/>
      <c r="AG155" s="1991" t="s">
        <v>6247</v>
      </c>
      <c r="AH155" s="2012"/>
    </row>
    <row r="156" spans="22:34" ht="13" x14ac:dyDescent="0.3">
      <c r="V156" s="1991" t="s">
        <v>6248</v>
      </c>
      <c r="W156" s="1985" t="s">
        <v>6249</v>
      </c>
      <c r="X156" s="1991" t="s">
        <v>1707</v>
      </c>
      <c r="Y156" s="1985" t="s">
        <v>6250</v>
      </c>
      <c r="Z156" s="2007"/>
      <c r="AA156" s="2007"/>
      <c r="AB156" s="2001" t="s">
        <v>6251</v>
      </c>
      <c r="AC156" s="2008" t="s">
        <v>5753</v>
      </c>
      <c r="AD156" s="2008"/>
      <c r="AE156" s="2007"/>
      <c r="AF156" s="2007"/>
      <c r="AG156" s="1991" t="s">
        <v>6252</v>
      </c>
      <c r="AH156" s="2012" t="s">
        <v>6253</v>
      </c>
    </row>
    <row r="157" spans="22:34" ht="13" x14ac:dyDescent="0.3">
      <c r="V157" s="1991" t="s">
        <v>6254</v>
      </c>
      <c r="W157" s="1985" t="s">
        <v>6254</v>
      </c>
      <c r="X157" s="1991" t="s">
        <v>1615</v>
      </c>
      <c r="Y157" s="1985" t="s">
        <v>6255</v>
      </c>
      <c r="Z157" s="2007"/>
      <c r="AA157" s="2007"/>
      <c r="AB157" s="2001"/>
      <c r="AC157" s="2001"/>
      <c r="AD157" s="2001"/>
      <c r="AE157" s="2007"/>
      <c r="AF157" s="2007"/>
      <c r="AG157" s="1991" t="s">
        <v>6254</v>
      </c>
      <c r="AH157" s="2012"/>
    </row>
    <row r="158" spans="22:34" ht="13" x14ac:dyDescent="0.3">
      <c r="V158" s="1991" t="s">
        <v>3894</v>
      </c>
      <c r="W158" s="1985" t="s">
        <v>6256</v>
      </c>
      <c r="X158" s="1991" t="s">
        <v>1707</v>
      </c>
      <c r="Y158" s="1985" t="s">
        <v>6257</v>
      </c>
      <c r="Z158" s="2007"/>
      <c r="AA158" s="2007"/>
      <c r="AB158" s="2008">
        <v>0.2</v>
      </c>
      <c r="AC158" s="2008">
        <v>0.15</v>
      </c>
      <c r="AD158" s="2008"/>
      <c r="AE158" s="2007"/>
      <c r="AF158" s="2007"/>
      <c r="AG158" s="1991" t="s">
        <v>6258</v>
      </c>
      <c r="AH158" s="2012" t="s">
        <v>6259</v>
      </c>
    </row>
    <row r="159" spans="22:34" ht="13" x14ac:dyDescent="0.3">
      <c r="V159" s="1991" t="s">
        <v>6260</v>
      </c>
      <c r="W159" s="1985" t="s">
        <v>6260</v>
      </c>
      <c r="X159" s="1991" t="s">
        <v>1615</v>
      </c>
      <c r="Y159" s="1985" t="s">
        <v>6261</v>
      </c>
      <c r="Z159" s="2007"/>
      <c r="AA159" s="2007"/>
      <c r="AB159" s="2001"/>
      <c r="AC159" s="2001"/>
      <c r="AD159" s="2001"/>
      <c r="AE159" s="2007"/>
      <c r="AF159" s="2007"/>
      <c r="AG159" s="1991" t="s">
        <v>6260</v>
      </c>
      <c r="AH159" s="2012"/>
    </row>
    <row r="160" spans="22:34" ht="13" x14ac:dyDescent="0.3">
      <c r="V160" s="1991" t="s">
        <v>6262</v>
      </c>
      <c r="W160" s="1985" t="s">
        <v>6262</v>
      </c>
      <c r="X160" s="1991" t="s">
        <v>1615</v>
      </c>
      <c r="Y160" s="1985" t="s">
        <v>6263</v>
      </c>
      <c r="Z160" s="2007"/>
      <c r="AA160" s="2007"/>
      <c r="AB160" s="2001"/>
      <c r="AC160" s="2001"/>
      <c r="AD160" s="2001"/>
      <c r="AE160" s="2007"/>
      <c r="AF160" s="2007"/>
      <c r="AG160" s="1991" t="s">
        <v>6262</v>
      </c>
      <c r="AH160" s="2012"/>
    </row>
    <row r="161" spans="22:34" ht="13" x14ac:dyDescent="0.3">
      <c r="V161" s="1991" t="s">
        <v>6264</v>
      </c>
      <c r="W161" s="1985" t="s">
        <v>6265</v>
      </c>
      <c r="X161" s="1991" t="s">
        <v>1707</v>
      </c>
      <c r="Y161" s="1985" t="s">
        <v>6266</v>
      </c>
      <c r="Z161" s="2007"/>
      <c r="AA161" s="2007"/>
      <c r="AB161" s="2001"/>
      <c r="AC161" s="2001"/>
      <c r="AD161" s="2001"/>
      <c r="AE161" s="2007"/>
      <c r="AF161" s="2007"/>
      <c r="AG161" s="1991" t="s">
        <v>6267</v>
      </c>
      <c r="AH161" s="2012"/>
    </row>
    <row r="162" spans="22:34" ht="13" x14ac:dyDescent="0.3">
      <c r="V162" s="1991" t="s">
        <v>6268</v>
      </c>
      <c r="W162" s="1985" t="s">
        <v>6269</v>
      </c>
      <c r="X162" s="1991" t="s">
        <v>1707</v>
      </c>
      <c r="Y162" s="1985" t="s">
        <v>6270</v>
      </c>
      <c r="Z162" s="2007"/>
      <c r="AA162" s="2007"/>
      <c r="AB162" s="2013" t="s">
        <v>6001</v>
      </c>
      <c r="AC162" s="2008" t="s">
        <v>5834</v>
      </c>
      <c r="AD162" s="2008"/>
      <c r="AE162" s="2007"/>
      <c r="AF162" s="2007"/>
      <c r="AG162" s="1991" t="s">
        <v>6271</v>
      </c>
      <c r="AH162" s="2012"/>
    </row>
    <row r="163" spans="22:34" ht="13" x14ac:dyDescent="0.3">
      <c r="V163" s="1991" t="s">
        <v>434</v>
      </c>
      <c r="W163" s="1985" t="s">
        <v>434</v>
      </c>
      <c r="X163" s="1991" t="s">
        <v>1615</v>
      </c>
      <c r="Y163" s="1985" t="s">
        <v>6272</v>
      </c>
      <c r="Z163" s="2007"/>
      <c r="AA163" s="2007"/>
      <c r="AB163" s="2001"/>
      <c r="AC163" s="2001"/>
      <c r="AD163" s="2001"/>
      <c r="AE163" s="2007"/>
      <c r="AF163" s="2007"/>
      <c r="AG163" s="1991" t="s">
        <v>434</v>
      </c>
      <c r="AH163" s="2012"/>
    </row>
    <row r="164" spans="22:34" ht="13" x14ac:dyDescent="0.3">
      <c r="V164" s="1991" t="s">
        <v>6273</v>
      </c>
      <c r="W164" s="1985" t="s">
        <v>6273</v>
      </c>
      <c r="X164" s="1991" t="s">
        <v>1615</v>
      </c>
      <c r="Y164" s="1985" t="s">
        <v>6274</v>
      </c>
      <c r="Z164" s="2007"/>
      <c r="AA164" s="2007"/>
      <c r="AB164" s="2001"/>
      <c r="AC164" s="2001"/>
      <c r="AD164" s="2001"/>
      <c r="AE164" s="2007"/>
      <c r="AF164" s="2007"/>
      <c r="AG164" s="1991" t="s">
        <v>6273</v>
      </c>
      <c r="AH164" s="2012"/>
    </row>
    <row r="165" spans="22:34" ht="13" x14ac:dyDescent="0.3">
      <c r="V165" s="1991" t="s">
        <v>4174</v>
      </c>
      <c r="W165" s="1985" t="s">
        <v>6275</v>
      </c>
      <c r="X165" s="1991" t="s">
        <v>1707</v>
      </c>
      <c r="Y165" s="1985" t="s">
        <v>6276</v>
      </c>
      <c r="Z165" s="2007"/>
      <c r="AA165" s="2007"/>
      <c r="AB165" s="2002">
        <v>0</v>
      </c>
      <c r="AC165" s="2001" t="s">
        <v>5854</v>
      </c>
      <c r="AD165" s="2001"/>
      <c r="AE165" s="2007"/>
      <c r="AF165" s="2007"/>
      <c r="AG165" s="1991" t="s">
        <v>6277</v>
      </c>
      <c r="AH165" s="2012" t="s">
        <v>6278</v>
      </c>
    </row>
    <row r="166" spans="22:34" ht="13" x14ac:dyDescent="0.3">
      <c r="V166" s="1991" t="s">
        <v>3918</v>
      </c>
      <c r="W166" s="1985" t="s">
        <v>6279</v>
      </c>
      <c r="X166" s="1991" t="s">
        <v>1707</v>
      </c>
      <c r="Y166" s="1985" t="s">
        <v>6280</v>
      </c>
      <c r="Z166" s="2007"/>
      <c r="AA166" s="2007"/>
      <c r="AB166" s="2002">
        <v>0</v>
      </c>
      <c r="AC166" s="2008">
        <v>0.15</v>
      </c>
      <c r="AD166" s="2008"/>
      <c r="AE166" s="2007"/>
      <c r="AF166" s="2007"/>
      <c r="AG166" s="1991" t="s">
        <v>6281</v>
      </c>
      <c r="AH166" s="2012"/>
    </row>
    <row r="167" spans="22:34" ht="13" x14ac:dyDescent="0.3">
      <c r="V167" s="1991" t="s">
        <v>6282</v>
      </c>
      <c r="W167" s="1985" t="s">
        <v>6282</v>
      </c>
      <c r="X167" s="1991" t="s">
        <v>1615</v>
      </c>
      <c r="Y167" s="1985" t="s">
        <v>6283</v>
      </c>
      <c r="Z167" s="2007"/>
      <c r="AA167" s="2007"/>
      <c r="AB167" s="2001"/>
      <c r="AC167" s="2001"/>
      <c r="AD167" s="2001"/>
      <c r="AE167" s="2007"/>
      <c r="AF167" s="2007"/>
      <c r="AG167" s="1991" t="s">
        <v>6282</v>
      </c>
      <c r="AH167" s="2012"/>
    </row>
    <row r="168" spans="22:34" ht="13" x14ac:dyDescent="0.3">
      <c r="V168" s="1991" t="s">
        <v>6284</v>
      </c>
      <c r="W168" s="1985" t="s">
        <v>6284</v>
      </c>
      <c r="X168" s="1991" t="s">
        <v>1615</v>
      </c>
      <c r="Y168" s="1985" t="s">
        <v>6285</v>
      </c>
      <c r="Z168" s="2007"/>
      <c r="AA168" s="2007"/>
      <c r="AB168" s="2001"/>
      <c r="AC168" s="2001"/>
      <c r="AD168" s="2001"/>
      <c r="AE168" s="2007"/>
      <c r="AF168" s="2007"/>
      <c r="AG168" s="1991" t="s">
        <v>6284</v>
      </c>
      <c r="AH168" s="2012"/>
    </row>
    <row r="169" spans="22:34" ht="13" x14ac:dyDescent="0.3">
      <c r="V169" s="1991" t="s">
        <v>6286</v>
      </c>
      <c r="W169" s="1985" t="s">
        <v>6287</v>
      </c>
      <c r="X169" s="1991" t="s">
        <v>1707</v>
      </c>
      <c r="Y169" s="1985" t="s">
        <v>6288</v>
      </c>
      <c r="Z169" s="2007"/>
      <c r="AA169" s="2007"/>
      <c r="AB169" s="2008">
        <v>0.1</v>
      </c>
      <c r="AC169" s="2008">
        <v>0.15</v>
      </c>
      <c r="AD169" s="2008"/>
      <c r="AE169" s="2007"/>
      <c r="AF169" s="2007"/>
      <c r="AG169" s="1991" t="s">
        <v>6289</v>
      </c>
      <c r="AH169" s="2012"/>
    </row>
    <row r="170" spans="22:34" ht="21.5" x14ac:dyDescent="0.3">
      <c r="V170" s="1991" t="s">
        <v>6290</v>
      </c>
      <c r="W170" s="1985" t="s">
        <v>6291</v>
      </c>
      <c r="X170" s="1991" t="s">
        <v>1707</v>
      </c>
      <c r="Y170" s="1985" t="s">
        <v>6292</v>
      </c>
      <c r="Z170" s="2007"/>
      <c r="AA170" s="2007"/>
      <c r="AB170" s="2002">
        <v>0</v>
      </c>
      <c r="AC170" s="2008">
        <v>0.1</v>
      </c>
      <c r="AD170" s="2008"/>
      <c r="AE170" s="2007"/>
      <c r="AF170" s="2007"/>
      <c r="AG170" s="1991" t="s">
        <v>6293</v>
      </c>
      <c r="AH170" s="2012" t="s">
        <v>6294</v>
      </c>
    </row>
    <row r="171" spans="22:34" ht="13" x14ac:dyDescent="0.3">
      <c r="V171" s="1991" t="s">
        <v>6295</v>
      </c>
      <c r="W171" s="1985" t="s">
        <v>6296</v>
      </c>
      <c r="X171" s="1991" t="s">
        <v>1707</v>
      </c>
      <c r="Y171" s="1985" t="s">
        <v>6297</v>
      </c>
      <c r="Z171" s="2007"/>
      <c r="AA171" s="2007"/>
      <c r="AB171" s="2008">
        <v>0.15</v>
      </c>
      <c r="AC171" s="2001" t="s">
        <v>6298</v>
      </c>
      <c r="AD171" s="2001"/>
      <c r="AE171" s="2007"/>
      <c r="AF171" s="2007"/>
      <c r="AG171" s="1991" t="s">
        <v>6299</v>
      </c>
      <c r="AH171" s="2012" t="s">
        <v>6300</v>
      </c>
    </row>
    <row r="172" spans="22:34" ht="13" x14ac:dyDescent="0.3">
      <c r="V172" s="1991" t="s">
        <v>6301</v>
      </c>
      <c r="W172" s="1985" t="s">
        <v>6301</v>
      </c>
      <c r="X172" s="1991" t="s">
        <v>1615</v>
      </c>
      <c r="Y172" s="1985" t="s">
        <v>6302</v>
      </c>
      <c r="Z172" s="2007"/>
      <c r="AA172" s="2007"/>
      <c r="AB172" s="2001"/>
      <c r="AC172" s="2001"/>
      <c r="AD172" s="2001"/>
      <c r="AE172" s="2007"/>
      <c r="AF172" s="2007"/>
      <c r="AG172" s="1991" t="s">
        <v>6301</v>
      </c>
      <c r="AH172" s="2012"/>
    </row>
    <row r="173" spans="22:34" ht="13" x14ac:dyDescent="0.3">
      <c r="V173" s="1991" t="s">
        <v>6303</v>
      </c>
      <c r="W173" s="1985" t="s">
        <v>6303</v>
      </c>
      <c r="X173" s="1991" t="s">
        <v>1615</v>
      </c>
      <c r="Y173" s="1985" t="s">
        <v>6304</v>
      </c>
      <c r="Z173" s="2007"/>
      <c r="AA173" s="2007"/>
      <c r="AB173" s="2001"/>
      <c r="AC173" s="2001"/>
      <c r="AD173" s="2001"/>
      <c r="AE173" s="2007"/>
      <c r="AF173" s="2007"/>
      <c r="AG173" s="1991" t="s">
        <v>6303</v>
      </c>
      <c r="AH173" s="2012"/>
    </row>
    <row r="174" spans="22:34" ht="13" x14ac:dyDescent="0.3">
      <c r="V174" s="1991" t="s">
        <v>6305</v>
      </c>
      <c r="W174" s="1985" t="s">
        <v>6305</v>
      </c>
      <c r="X174" s="1991" t="s">
        <v>1615</v>
      </c>
      <c r="Y174" s="1985" t="s">
        <v>6306</v>
      </c>
      <c r="Z174" s="2007"/>
      <c r="AA174" s="2007"/>
      <c r="AB174" s="2001"/>
      <c r="AC174" s="2001"/>
      <c r="AD174" s="2001"/>
      <c r="AE174" s="2007"/>
      <c r="AF174" s="2007"/>
      <c r="AG174" s="1991" t="s">
        <v>6305</v>
      </c>
      <c r="AH174" s="2012"/>
    </row>
    <row r="175" spans="22:34" ht="21.5" x14ac:dyDescent="0.3">
      <c r="V175" s="1991" t="s">
        <v>4459</v>
      </c>
      <c r="W175" s="1985" t="s">
        <v>6307</v>
      </c>
      <c r="X175" s="1991" t="s">
        <v>1707</v>
      </c>
      <c r="Y175" s="1985" t="s">
        <v>6308</v>
      </c>
      <c r="Z175" s="2007"/>
      <c r="AA175" s="2007"/>
      <c r="AB175" s="2001" t="s">
        <v>5758</v>
      </c>
      <c r="AC175" s="2008">
        <v>0.25</v>
      </c>
      <c r="AD175" s="2008"/>
      <c r="AE175" s="2007"/>
      <c r="AF175" s="2007"/>
      <c r="AG175" s="1991" t="s">
        <v>6309</v>
      </c>
      <c r="AH175" s="2012" t="s">
        <v>6310</v>
      </c>
    </row>
    <row r="176" spans="22:34" ht="13" x14ac:dyDescent="0.3">
      <c r="V176" s="1991" t="s">
        <v>6311</v>
      </c>
      <c r="W176" s="1985" t="s">
        <v>6311</v>
      </c>
      <c r="X176" s="1991" t="s">
        <v>1615</v>
      </c>
      <c r="Y176" s="1985" t="s">
        <v>6312</v>
      </c>
      <c r="Z176" s="2007"/>
      <c r="AA176" s="2007"/>
      <c r="AB176" s="2001"/>
      <c r="AC176" s="2001"/>
      <c r="AD176" s="2001"/>
      <c r="AE176" s="2007"/>
      <c r="AF176" s="2007"/>
      <c r="AG176" s="1991" t="s">
        <v>6311</v>
      </c>
      <c r="AH176" s="2012"/>
    </row>
    <row r="177" spans="22:34" ht="13" x14ac:dyDescent="0.3">
      <c r="V177" s="1991" t="s">
        <v>6313</v>
      </c>
      <c r="W177" s="1985" t="s">
        <v>6314</v>
      </c>
      <c r="X177" s="1991" t="s">
        <v>1707</v>
      </c>
      <c r="Y177" s="1985" t="s">
        <v>6315</v>
      </c>
      <c r="Z177" s="2007"/>
      <c r="AA177" s="2007"/>
      <c r="AB177" s="2008">
        <v>0.1</v>
      </c>
      <c r="AC177" s="2008">
        <v>0.17</v>
      </c>
      <c r="AD177" s="2008"/>
      <c r="AE177" s="2007"/>
      <c r="AF177" s="2007"/>
      <c r="AG177" s="1991" t="s">
        <v>6316</v>
      </c>
      <c r="AH177" s="2012"/>
    </row>
    <row r="178" spans="22:34" ht="13" x14ac:dyDescent="0.3">
      <c r="V178" s="1991" t="s">
        <v>6317</v>
      </c>
      <c r="W178" s="1985" t="s">
        <v>6318</v>
      </c>
      <c r="X178" s="1991" t="s">
        <v>1707</v>
      </c>
      <c r="Y178" s="1985" t="s">
        <v>6319</v>
      </c>
      <c r="Z178" s="2007"/>
      <c r="AA178" s="2007"/>
      <c r="AB178" s="2008">
        <v>0.05</v>
      </c>
      <c r="AC178" s="2008">
        <v>0.1</v>
      </c>
      <c r="AD178" s="2008"/>
      <c r="AE178" s="2007"/>
      <c r="AF178" s="2007"/>
      <c r="AG178" s="1991" t="s">
        <v>6320</v>
      </c>
      <c r="AH178" s="2012"/>
    </row>
    <row r="179" spans="22:34" ht="13" x14ac:dyDescent="0.3">
      <c r="V179" s="1991" t="s">
        <v>6321</v>
      </c>
      <c r="W179" s="1985" t="s">
        <v>6321</v>
      </c>
      <c r="X179" s="1991" t="s">
        <v>1615</v>
      </c>
      <c r="Y179" s="1985" t="s">
        <v>6322</v>
      </c>
      <c r="Z179" s="2007"/>
      <c r="AA179" s="2007"/>
      <c r="AB179" s="2001"/>
      <c r="AC179" s="2001"/>
      <c r="AD179" s="2001"/>
      <c r="AE179" s="2007"/>
      <c r="AF179" s="2007"/>
      <c r="AG179" s="1991" t="s">
        <v>6321</v>
      </c>
      <c r="AH179" s="2012"/>
    </row>
    <row r="180" spans="22:34" ht="13" x14ac:dyDescent="0.3">
      <c r="V180" s="1991" t="s">
        <v>6323</v>
      </c>
      <c r="W180" s="1985" t="s">
        <v>6323</v>
      </c>
      <c r="X180" s="1991" t="s">
        <v>1615</v>
      </c>
      <c r="Y180" s="1985" t="s">
        <v>6324</v>
      </c>
      <c r="Z180" s="2007"/>
      <c r="AA180" s="2007"/>
      <c r="AB180" s="2001"/>
      <c r="AC180" s="2001"/>
      <c r="AD180" s="2001"/>
      <c r="AE180" s="2007"/>
      <c r="AF180" s="2007"/>
      <c r="AG180" s="1991" t="s">
        <v>6323</v>
      </c>
      <c r="AH180" s="2012"/>
    </row>
    <row r="181" spans="22:34" ht="13" x14ac:dyDescent="0.3">
      <c r="V181" s="1991" t="s">
        <v>4017</v>
      </c>
      <c r="W181" s="1985" t="s">
        <v>6325</v>
      </c>
      <c r="X181" s="1991" t="s">
        <v>1707</v>
      </c>
      <c r="Y181" s="1985" t="s">
        <v>6326</v>
      </c>
      <c r="Z181" s="2007"/>
      <c r="AA181" s="2007"/>
      <c r="AB181" s="2008" t="s">
        <v>6062</v>
      </c>
      <c r="AC181" s="2008">
        <v>0.15</v>
      </c>
      <c r="AD181" s="2008"/>
      <c r="AE181" s="2007"/>
      <c r="AF181" s="2007"/>
      <c r="AG181" s="1991" t="s">
        <v>6327</v>
      </c>
      <c r="AH181" s="2012"/>
    </row>
    <row r="182" spans="22:34" ht="13" x14ac:dyDescent="0.3">
      <c r="V182" s="1991" t="s">
        <v>6328</v>
      </c>
      <c r="W182" s="1985" t="s">
        <v>6328</v>
      </c>
      <c r="X182" s="1991" t="s">
        <v>1615</v>
      </c>
      <c r="Y182" s="1985" t="s">
        <v>6329</v>
      </c>
      <c r="Z182" s="2007"/>
      <c r="AA182" s="2007"/>
      <c r="AB182" s="2001"/>
      <c r="AC182" s="2001"/>
      <c r="AD182" s="2001"/>
      <c r="AE182" s="2007"/>
      <c r="AF182" s="2007"/>
      <c r="AG182" s="1991" t="s">
        <v>6328</v>
      </c>
      <c r="AH182" s="2012"/>
    </row>
    <row r="183" spans="22:34" ht="13" x14ac:dyDescent="0.3">
      <c r="V183" s="1991" t="s">
        <v>6330</v>
      </c>
      <c r="W183" s="1985" t="s">
        <v>6330</v>
      </c>
      <c r="X183" s="1991" t="s">
        <v>1615</v>
      </c>
      <c r="Y183" s="1985" t="s">
        <v>6331</v>
      </c>
      <c r="Z183" s="2007"/>
      <c r="AA183" s="2007"/>
      <c r="AB183" s="2001"/>
      <c r="AC183" s="2001"/>
      <c r="AD183" s="2001"/>
      <c r="AE183" s="2007"/>
      <c r="AF183" s="2007"/>
      <c r="AG183" s="1991" t="s">
        <v>6330</v>
      </c>
      <c r="AH183" s="2012"/>
    </row>
    <row r="184" spans="22:34" ht="13" x14ac:dyDescent="0.3">
      <c r="V184" s="1991" t="s">
        <v>6332</v>
      </c>
      <c r="W184" s="1985" t="s">
        <v>6333</v>
      </c>
      <c r="X184" s="1991" t="s">
        <v>1707</v>
      </c>
      <c r="Y184" s="1985" t="s">
        <v>6334</v>
      </c>
      <c r="Z184" s="2007"/>
      <c r="AA184" s="2007"/>
      <c r="AB184" s="2002">
        <v>0</v>
      </c>
      <c r="AC184" s="2008">
        <v>0</v>
      </c>
      <c r="AD184" s="2008"/>
      <c r="AE184" s="2007"/>
      <c r="AF184" s="2007"/>
      <c r="AG184" s="1991" t="s">
        <v>6335</v>
      </c>
      <c r="AH184" s="2012" t="s">
        <v>6336</v>
      </c>
    </row>
    <row r="185" spans="22:34" ht="13" x14ac:dyDescent="0.3">
      <c r="V185" s="1991" t="s">
        <v>6337</v>
      </c>
      <c r="W185" s="1985" t="s">
        <v>6338</v>
      </c>
      <c r="X185" s="1991" t="s">
        <v>1707</v>
      </c>
      <c r="Y185" s="1985" t="s">
        <v>6339</v>
      </c>
      <c r="Z185" s="2007"/>
      <c r="AA185" s="2007"/>
      <c r="AB185" s="2001"/>
      <c r="AC185" s="2001"/>
      <c r="AD185" s="2001"/>
      <c r="AE185" s="2007"/>
      <c r="AF185" s="2007"/>
      <c r="AG185" s="1991" t="s">
        <v>6340</v>
      </c>
      <c r="AH185" s="2012"/>
    </row>
    <row r="186" spans="22:34" ht="21.5" x14ac:dyDescent="0.3">
      <c r="V186" s="1991" t="s">
        <v>6341</v>
      </c>
      <c r="W186" s="1985" t="s">
        <v>6342</v>
      </c>
      <c r="X186" s="1991" t="s">
        <v>1707</v>
      </c>
      <c r="Y186" s="1985" t="s">
        <v>6343</v>
      </c>
      <c r="Z186" s="2007"/>
      <c r="AA186" s="2007"/>
      <c r="AB186" s="2008">
        <v>0.1</v>
      </c>
      <c r="AC186" s="2008">
        <v>0.15</v>
      </c>
      <c r="AD186" s="2008"/>
      <c r="AE186" s="2007"/>
      <c r="AF186" s="2007"/>
      <c r="AG186" s="1991" t="s">
        <v>6344</v>
      </c>
      <c r="AH186" s="2012" t="s">
        <v>6345</v>
      </c>
    </row>
    <row r="187" spans="22:34" ht="13" x14ac:dyDescent="0.3">
      <c r="V187" s="1991" t="s">
        <v>6346</v>
      </c>
      <c r="W187" s="1985" t="s">
        <v>6347</v>
      </c>
      <c r="X187" s="1991" t="s">
        <v>1707</v>
      </c>
      <c r="Y187" s="1985" t="s">
        <v>6348</v>
      </c>
      <c r="Z187" s="2007"/>
      <c r="AA187" s="2007"/>
      <c r="AB187" s="2002">
        <v>0</v>
      </c>
      <c r="AC187" s="2008" t="s">
        <v>6062</v>
      </c>
      <c r="AD187" s="2008"/>
      <c r="AE187" s="2007"/>
      <c r="AF187" s="2007"/>
      <c r="AG187" s="1991" t="s">
        <v>6349</v>
      </c>
      <c r="AH187" s="2012"/>
    </row>
    <row r="188" spans="22:34" ht="13" x14ac:dyDescent="0.3">
      <c r="V188" s="1991" t="s">
        <v>6350</v>
      </c>
      <c r="W188" s="1985" t="s">
        <v>6350</v>
      </c>
      <c r="X188" s="1991" t="s">
        <v>1615</v>
      </c>
      <c r="Y188" s="1985" t="s">
        <v>6351</v>
      </c>
      <c r="Z188" s="2007"/>
      <c r="AA188" s="2007"/>
      <c r="AB188" s="2001"/>
      <c r="AC188" s="2001"/>
      <c r="AD188" s="2001"/>
      <c r="AE188" s="2007"/>
      <c r="AF188" s="2007"/>
      <c r="AG188" s="1991" t="s">
        <v>6350</v>
      </c>
      <c r="AH188" s="2012"/>
    </row>
    <row r="189" spans="22:34" ht="32" x14ac:dyDescent="0.3">
      <c r="V189" s="1991" t="s">
        <v>4457</v>
      </c>
      <c r="W189" s="1985" t="s">
        <v>6352</v>
      </c>
      <c r="X189" s="1991" t="s">
        <v>1707</v>
      </c>
      <c r="Y189" s="1985" t="s">
        <v>6353</v>
      </c>
      <c r="Z189" s="2007"/>
      <c r="AA189" s="2007"/>
      <c r="AB189" s="2001" t="s">
        <v>5910</v>
      </c>
      <c r="AC189" s="2008">
        <v>0.05</v>
      </c>
      <c r="AD189" s="2008"/>
      <c r="AE189" s="2007"/>
      <c r="AF189" s="2007"/>
      <c r="AG189" s="1991" t="s">
        <v>6354</v>
      </c>
      <c r="AH189" s="2012" t="s">
        <v>6355</v>
      </c>
    </row>
    <row r="190" spans="22:34" ht="13" x14ac:dyDescent="0.3">
      <c r="V190" s="1991" t="s">
        <v>6356</v>
      </c>
      <c r="W190" s="1985" t="s">
        <v>6357</v>
      </c>
      <c r="X190" s="1991" t="s">
        <v>1707</v>
      </c>
      <c r="Y190" s="1985" t="s">
        <v>6358</v>
      </c>
      <c r="Z190" s="2007"/>
      <c r="AA190" s="2007"/>
      <c r="AB190" s="2008" t="s">
        <v>5834</v>
      </c>
      <c r="AC190" s="2001" t="s">
        <v>5758</v>
      </c>
      <c r="AD190" s="2001"/>
      <c r="AE190" s="2007"/>
      <c r="AF190" s="2007"/>
      <c r="AG190" s="1991" t="s">
        <v>6359</v>
      </c>
      <c r="AH190" s="2012" t="s">
        <v>6360</v>
      </c>
    </row>
    <row r="191" spans="22:34" ht="13" x14ac:dyDescent="0.3">
      <c r="V191" s="1991" t="s">
        <v>6361</v>
      </c>
      <c r="W191" s="1985" t="s">
        <v>6361</v>
      </c>
      <c r="X191" s="1991" t="s">
        <v>1615</v>
      </c>
      <c r="Y191" s="1985" t="s">
        <v>6362</v>
      </c>
      <c r="Z191" s="2007"/>
      <c r="AA191" s="2007"/>
      <c r="AB191" s="2001"/>
      <c r="AC191" s="2001"/>
      <c r="AD191" s="2001"/>
      <c r="AE191" s="2007"/>
      <c r="AF191" s="2007"/>
      <c r="AG191" s="1991" t="s">
        <v>6361</v>
      </c>
      <c r="AH191" s="2012"/>
    </row>
    <row r="192" spans="22:34" ht="13" x14ac:dyDescent="0.3">
      <c r="V192" s="1991" t="s">
        <v>3897</v>
      </c>
      <c r="W192" s="1985" t="s">
        <v>6363</v>
      </c>
      <c r="X192" s="1991" t="s">
        <v>1707</v>
      </c>
      <c r="Y192" s="1985" t="s">
        <v>6364</v>
      </c>
      <c r="Z192" s="2007"/>
      <c r="AA192" s="2007"/>
      <c r="AB192" s="2008">
        <v>0.1</v>
      </c>
      <c r="AC192" s="2001" t="s">
        <v>6365</v>
      </c>
      <c r="AD192" s="2001"/>
      <c r="AE192" s="2007"/>
      <c r="AF192" s="2007"/>
      <c r="AG192" s="1991" t="s">
        <v>6366</v>
      </c>
      <c r="AH192" s="2012" t="s">
        <v>6367</v>
      </c>
    </row>
    <row r="193" spans="22:34" ht="13" x14ac:dyDescent="0.3">
      <c r="V193" s="1991" t="s">
        <v>6368</v>
      </c>
      <c r="W193" s="1985" t="s">
        <v>6368</v>
      </c>
      <c r="X193" s="1991" t="s">
        <v>1615</v>
      </c>
      <c r="Y193" s="1985" t="s">
        <v>6369</v>
      </c>
      <c r="Z193" s="2007"/>
      <c r="AA193" s="2007"/>
      <c r="AB193" s="2001"/>
      <c r="AC193" s="2001"/>
      <c r="AD193" s="2001"/>
      <c r="AE193" s="2007"/>
      <c r="AF193" s="2007"/>
      <c r="AG193" s="1991" t="s">
        <v>6368</v>
      </c>
      <c r="AH193" s="2012"/>
    </row>
    <row r="194" spans="22:34" ht="13" x14ac:dyDescent="0.3">
      <c r="V194" s="1991" t="s">
        <v>6370</v>
      </c>
      <c r="W194" s="1985" t="s">
        <v>6370</v>
      </c>
      <c r="X194" s="1991" t="s">
        <v>1615</v>
      </c>
      <c r="Y194" s="1985" t="s">
        <v>6371</v>
      </c>
      <c r="Z194" s="2007"/>
      <c r="AA194" s="2007"/>
      <c r="AB194" s="2001"/>
      <c r="AC194" s="2001"/>
      <c r="AD194" s="2001"/>
      <c r="AE194" s="2007"/>
      <c r="AF194" s="2007"/>
      <c r="AG194" s="1991" t="s">
        <v>6370</v>
      </c>
      <c r="AH194" s="2012"/>
    </row>
    <row r="195" spans="22:34" ht="13" x14ac:dyDescent="0.3">
      <c r="V195" s="1991" t="s">
        <v>6372</v>
      </c>
      <c r="W195" s="1985" t="s">
        <v>6373</v>
      </c>
      <c r="X195" s="1991" t="s">
        <v>1707</v>
      </c>
      <c r="Y195" s="1985" t="s">
        <v>6374</v>
      </c>
      <c r="Z195" s="2007"/>
      <c r="AA195" s="2007"/>
      <c r="AB195" s="2001" t="s">
        <v>5752</v>
      </c>
      <c r="AC195" s="2001" t="s">
        <v>5835</v>
      </c>
      <c r="AD195" s="2001" t="s">
        <v>5835</v>
      </c>
      <c r="AE195" s="2007"/>
      <c r="AF195" s="2007"/>
      <c r="AG195" s="1991" t="s">
        <v>6375</v>
      </c>
      <c r="AH195" s="2012"/>
    </row>
    <row r="196" spans="22:34" ht="13" x14ac:dyDescent="0.3">
      <c r="V196" s="1991" t="s">
        <v>6376</v>
      </c>
      <c r="W196" s="1985" t="s">
        <v>6377</v>
      </c>
      <c r="X196" s="1991" t="s">
        <v>1707</v>
      </c>
      <c r="Y196" s="1985" t="s">
        <v>6378</v>
      </c>
      <c r="Z196" s="2007"/>
      <c r="AA196" s="2007"/>
      <c r="AB196" s="2001" t="s">
        <v>5752</v>
      </c>
      <c r="AC196" s="2001" t="s">
        <v>5835</v>
      </c>
      <c r="AD196" s="2001" t="s">
        <v>5835</v>
      </c>
      <c r="AE196" s="2007"/>
      <c r="AF196" s="2007"/>
      <c r="AG196" s="1991" t="s">
        <v>6379</v>
      </c>
      <c r="AH196" s="2012"/>
    </row>
    <row r="197" spans="22:34" ht="13" x14ac:dyDescent="0.3">
      <c r="V197" s="1991" t="s">
        <v>3953</v>
      </c>
      <c r="W197" s="1985" t="s">
        <v>3953</v>
      </c>
      <c r="X197" s="1991" t="s">
        <v>1615</v>
      </c>
      <c r="Y197" s="1985" t="s">
        <v>6380</v>
      </c>
      <c r="Z197" s="2007"/>
      <c r="AA197" s="2007"/>
      <c r="AB197" s="2001"/>
      <c r="AC197" s="2001"/>
      <c r="AD197" s="2001"/>
      <c r="AE197" s="2007"/>
      <c r="AF197" s="2007"/>
      <c r="AG197" s="1991" t="s">
        <v>3953</v>
      </c>
      <c r="AH197" s="2012"/>
    </row>
    <row r="198" spans="22:34" ht="13" x14ac:dyDescent="0.3">
      <c r="V198" s="1991" t="s">
        <v>6381</v>
      </c>
      <c r="W198" s="1985" t="s">
        <v>6381</v>
      </c>
      <c r="X198" s="1991" t="s">
        <v>1615</v>
      </c>
      <c r="Y198" s="1985" t="s">
        <v>6382</v>
      </c>
      <c r="Z198" s="2007"/>
      <c r="AA198" s="2007"/>
      <c r="AB198" s="2001"/>
      <c r="AC198" s="2001"/>
      <c r="AD198" s="2001"/>
      <c r="AE198" s="2007"/>
      <c r="AF198" s="2007"/>
      <c r="AG198" s="1991" t="s">
        <v>6381</v>
      </c>
      <c r="AH198" s="2012"/>
    </row>
    <row r="199" spans="22:34" ht="13" x14ac:dyDescent="0.3">
      <c r="V199" s="1991" t="s">
        <v>6383</v>
      </c>
      <c r="W199" s="1985" t="s">
        <v>6383</v>
      </c>
      <c r="X199" s="1991" t="s">
        <v>1615</v>
      </c>
      <c r="Y199" s="1985" t="s">
        <v>6384</v>
      </c>
      <c r="Z199" s="2007"/>
      <c r="AA199" s="2007"/>
      <c r="AB199" s="2001"/>
      <c r="AC199" s="2001"/>
      <c r="AD199" s="2001"/>
      <c r="AE199" s="2007"/>
      <c r="AF199" s="2007"/>
      <c r="AG199" s="1991" t="s">
        <v>6383</v>
      </c>
      <c r="AH199" s="2012"/>
    </row>
    <row r="200" spans="22:34" ht="13" x14ac:dyDescent="0.3">
      <c r="V200" s="1991" t="s">
        <v>6385</v>
      </c>
      <c r="W200" s="1985" t="s">
        <v>6385</v>
      </c>
      <c r="X200" s="1991" t="s">
        <v>1615</v>
      </c>
      <c r="Y200" s="1985" t="s">
        <v>6386</v>
      </c>
      <c r="Z200" s="2007"/>
      <c r="AA200" s="2007"/>
      <c r="AB200" s="2001"/>
      <c r="AC200" s="2001"/>
      <c r="AD200" s="2001"/>
      <c r="AE200" s="2007"/>
      <c r="AF200" s="2007"/>
      <c r="AG200" s="1991" t="s">
        <v>6385</v>
      </c>
      <c r="AH200" s="2012"/>
    </row>
    <row r="201" spans="22:34" ht="13" x14ac:dyDescent="0.3">
      <c r="V201" s="1991" t="s">
        <v>3864</v>
      </c>
      <c r="W201" s="1985" t="s">
        <v>6387</v>
      </c>
      <c r="X201" s="1991" t="s">
        <v>1707</v>
      </c>
      <c r="Y201" s="1985" t="s">
        <v>6388</v>
      </c>
      <c r="Z201" s="2007"/>
      <c r="AA201" s="2007"/>
      <c r="AB201" s="2008">
        <v>0.1</v>
      </c>
      <c r="AC201" s="2008">
        <v>0.15</v>
      </c>
      <c r="AD201" s="2008"/>
      <c r="AE201" s="2007"/>
      <c r="AF201" s="2007"/>
      <c r="AG201" s="1991" t="s">
        <v>6389</v>
      </c>
      <c r="AH201" s="2012"/>
    </row>
    <row r="202" spans="22:34" ht="13" x14ac:dyDescent="0.3">
      <c r="V202" s="1991" t="s">
        <v>6390</v>
      </c>
      <c r="W202" s="1985" t="s">
        <v>6390</v>
      </c>
      <c r="X202" s="1991" t="s">
        <v>1615</v>
      </c>
      <c r="Y202" s="1985" t="s">
        <v>6391</v>
      </c>
      <c r="Z202" s="2007"/>
      <c r="AA202" s="2007"/>
      <c r="AB202" s="2001"/>
      <c r="AC202" s="2001"/>
      <c r="AD202" s="2001"/>
      <c r="AE202" s="2007"/>
      <c r="AF202" s="2007"/>
      <c r="AG202" s="1991" t="s">
        <v>6390</v>
      </c>
      <c r="AH202" s="2012"/>
    </row>
    <row r="203" spans="22:34" ht="13" x14ac:dyDescent="0.3">
      <c r="V203" s="1991" t="s">
        <v>6392</v>
      </c>
      <c r="W203" s="1985" t="s">
        <v>6392</v>
      </c>
      <c r="X203" s="1991" t="s">
        <v>1615</v>
      </c>
      <c r="Y203" s="1985" t="s">
        <v>6393</v>
      </c>
      <c r="Z203" s="2007"/>
      <c r="AA203" s="2007"/>
      <c r="AB203" s="2001"/>
      <c r="AC203" s="2001"/>
      <c r="AD203" s="2001"/>
      <c r="AE203" s="2007"/>
      <c r="AF203" s="2007"/>
      <c r="AG203" s="1991" t="s">
        <v>6392</v>
      </c>
      <c r="AH203" s="2012"/>
    </row>
    <row r="204" spans="22:34" ht="13" x14ac:dyDescent="0.3">
      <c r="V204" s="1991" t="s">
        <v>6394</v>
      </c>
      <c r="W204" s="1985" t="s">
        <v>6394</v>
      </c>
      <c r="X204" s="1991" t="s">
        <v>1615</v>
      </c>
      <c r="Y204" s="1985" t="s">
        <v>6395</v>
      </c>
      <c r="Z204" s="2007"/>
      <c r="AA204" s="2007"/>
      <c r="AB204" s="2001"/>
      <c r="AC204" s="2001"/>
      <c r="AD204" s="2001"/>
      <c r="AE204" s="2007"/>
      <c r="AF204" s="2007"/>
      <c r="AG204" s="1991" t="s">
        <v>6394</v>
      </c>
      <c r="AH204" s="2012"/>
    </row>
    <row r="205" spans="22:34" ht="13" x14ac:dyDescent="0.3">
      <c r="V205" s="1991" t="s">
        <v>6396</v>
      </c>
      <c r="W205" s="1985" t="s">
        <v>6397</v>
      </c>
      <c r="X205" s="1991" t="s">
        <v>1707</v>
      </c>
      <c r="Y205" s="1985" t="s">
        <v>6398</v>
      </c>
      <c r="Z205" s="2007"/>
      <c r="AA205" s="2007"/>
      <c r="AB205" s="2002">
        <v>0</v>
      </c>
      <c r="AC205" s="2008">
        <v>0.15</v>
      </c>
      <c r="AD205" s="2008"/>
      <c r="AE205" s="2007"/>
      <c r="AF205" s="2007"/>
      <c r="AG205" s="1991" t="s">
        <v>6399</v>
      </c>
      <c r="AH205" s="2012" t="s">
        <v>6400</v>
      </c>
    </row>
    <row r="206" spans="22:34" ht="13" x14ac:dyDescent="0.3">
      <c r="V206" s="1991" t="s">
        <v>6401</v>
      </c>
      <c r="W206" s="1985" t="s">
        <v>6402</v>
      </c>
      <c r="X206" s="1991" t="s">
        <v>1707</v>
      </c>
      <c r="Y206" s="1985" t="s">
        <v>6403</v>
      </c>
      <c r="Z206" s="2007"/>
      <c r="AA206" s="2007"/>
      <c r="AB206" s="2008">
        <v>0.05</v>
      </c>
      <c r="AC206" s="2008">
        <v>0.15</v>
      </c>
      <c r="AD206" s="2008"/>
      <c r="AE206" s="2007"/>
      <c r="AF206" s="2007"/>
      <c r="AG206" s="1991" t="s">
        <v>6404</v>
      </c>
      <c r="AH206" s="2012"/>
    </row>
    <row r="207" spans="22:34" ht="13" x14ac:dyDescent="0.3">
      <c r="V207" s="1991" t="s">
        <v>4456</v>
      </c>
      <c r="W207" s="1985" t="s">
        <v>6405</v>
      </c>
      <c r="X207" s="1991" t="s">
        <v>1707</v>
      </c>
      <c r="Y207" s="1985" t="s">
        <v>6406</v>
      </c>
      <c r="Z207" s="2007"/>
      <c r="AA207" s="2007"/>
      <c r="AB207" s="2002">
        <v>0</v>
      </c>
      <c r="AC207" s="2008">
        <v>0.05</v>
      </c>
      <c r="AD207" s="2008"/>
      <c r="AE207" s="2007"/>
      <c r="AF207" s="2007"/>
      <c r="AG207" s="1991" t="s">
        <v>6407</v>
      </c>
      <c r="AH207" s="2012"/>
    </row>
    <row r="208" spans="22:34" ht="13" x14ac:dyDescent="0.3">
      <c r="V208" s="1991" t="s">
        <v>6408</v>
      </c>
      <c r="W208" s="1985" t="s">
        <v>6409</v>
      </c>
      <c r="X208" s="1991" t="s">
        <v>1707</v>
      </c>
      <c r="Y208" s="1985" t="s">
        <v>6410</v>
      </c>
      <c r="Z208" s="2007"/>
      <c r="AA208" s="2007"/>
      <c r="AB208" s="2001" t="s">
        <v>5752</v>
      </c>
      <c r="AC208" s="2008">
        <v>0.15</v>
      </c>
      <c r="AD208" s="2008"/>
      <c r="AE208" s="2007"/>
      <c r="AF208" s="2007"/>
      <c r="AG208" s="1991" t="s">
        <v>6411</v>
      </c>
      <c r="AH208" s="2012"/>
    </row>
    <row r="209" spans="22:34" ht="13" x14ac:dyDescent="0.3">
      <c r="V209" s="1991" t="s">
        <v>6412</v>
      </c>
      <c r="W209" s="1985" t="s">
        <v>6413</v>
      </c>
      <c r="X209" s="1991" t="s">
        <v>1707</v>
      </c>
      <c r="Y209" s="1985" t="s">
        <v>6414</v>
      </c>
      <c r="Z209" s="2007"/>
      <c r="AA209" s="2007"/>
      <c r="AB209" s="2001"/>
      <c r="AC209" s="2001"/>
      <c r="AD209" s="2001"/>
      <c r="AE209" s="2007"/>
      <c r="AF209" s="2007"/>
      <c r="AG209" s="1991" t="s">
        <v>6415</v>
      </c>
      <c r="AH209" s="2012"/>
    </row>
    <row r="210" spans="22:34" ht="13" x14ac:dyDescent="0.3">
      <c r="V210" s="1991" t="s">
        <v>6416</v>
      </c>
      <c r="W210" s="1985" t="s">
        <v>6416</v>
      </c>
      <c r="X210" s="1991" t="s">
        <v>1615</v>
      </c>
      <c r="Y210" s="1985" t="s">
        <v>6417</v>
      </c>
      <c r="Z210" s="2007"/>
      <c r="AA210" s="2007"/>
      <c r="AB210" s="2001"/>
      <c r="AC210" s="2001"/>
      <c r="AD210" s="2001"/>
      <c r="AE210" s="2007"/>
      <c r="AF210" s="2007"/>
      <c r="AG210" s="1991" t="s">
        <v>6416</v>
      </c>
      <c r="AH210" s="2012"/>
    </row>
    <row r="211" spans="22:34" ht="13" x14ac:dyDescent="0.3">
      <c r="V211" s="1991" t="s">
        <v>6418</v>
      </c>
      <c r="W211" s="1985" t="s">
        <v>6418</v>
      </c>
      <c r="X211" s="1991" t="s">
        <v>1615</v>
      </c>
      <c r="Y211" s="1985" t="s">
        <v>6419</v>
      </c>
      <c r="Z211" s="2007"/>
      <c r="AA211" s="2007"/>
      <c r="AB211" s="2001"/>
      <c r="AC211" s="2001"/>
      <c r="AD211" s="2001"/>
      <c r="AE211" s="2007"/>
      <c r="AF211" s="2007"/>
      <c r="AG211" s="1991" t="s">
        <v>6418</v>
      </c>
      <c r="AH211" s="2012"/>
    </row>
    <row r="212" spans="22:34" ht="13" x14ac:dyDescent="0.3">
      <c r="V212" s="1991" t="s">
        <v>3892</v>
      </c>
      <c r="W212" s="1985" t="s">
        <v>3892</v>
      </c>
      <c r="X212" s="1991" t="s">
        <v>1615</v>
      </c>
      <c r="Y212" s="1985" t="s">
        <v>6420</v>
      </c>
      <c r="Z212" s="2007"/>
      <c r="AA212" s="2007"/>
      <c r="AB212" s="2001"/>
      <c r="AC212" s="2001"/>
      <c r="AD212" s="2001"/>
      <c r="AE212" s="2007"/>
      <c r="AF212" s="2007"/>
      <c r="AG212" s="1991" t="s">
        <v>3892</v>
      </c>
      <c r="AH212" s="2012"/>
    </row>
    <row r="213" spans="22:34" ht="13" x14ac:dyDescent="0.3">
      <c r="V213" s="1991" t="s">
        <v>6421</v>
      </c>
      <c r="W213" s="1985" t="s">
        <v>6421</v>
      </c>
      <c r="X213" s="1991" t="s">
        <v>1615</v>
      </c>
      <c r="Y213" s="1985" t="s">
        <v>6422</v>
      </c>
      <c r="Z213" s="2007"/>
      <c r="AA213" s="2007"/>
      <c r="AB213" s="2001"/>
      <c r="AC213" s="2001"/>
      <c r="AD213" s="2001"/>
      <c r="AE213" s="2007"/>
      <c r="AF213" s="2007"/>
      <c r="AG213" s="1991" t="s">
        <v>6421</v>
      </c>
      <c r="AH213" s="2012"/>
    </row>
    <row r="214" spans="22:34" ht="13" x14ac:dyDescent="0.3">
      <c r="V214" s="1991" t="s">
        <v>6423</v>
      </c>
      <c r="W214" s="1985" t="s">
        <v>6423</v>
      </c>
      <c r="X214" s="1991" t="s">
        <v>1615</v>
      </c>
      <c r="Y214" s="1985" t="s">
        <v>6424</v>
      </c>
      <c r="Z214" s="2007"/>
      <c r="AA214" s="2007"/>
      <c r="AB214" s="2001"/>
      <c r="AC214" s="2001"/>
      <c r="AD214" s="2001"/>
      <c r="AE214" s="2007"/>
      <c r="AF214" s="2007"/>
      <c r="AG214" s="1991" t="s">
        <v>6423</v>
      </c>
      <c r="AH214" s="2012"/>
    </row>
    <row r="215" spans="22:34" ht="32" x14ac:dyDescent="0.3">
      <c r="V215" s="1991" t="s">
        <v>6425</v>
      </c>
      <c r="W215" s="1985" t="s">
        <v>6426</v>
      </c>
      <c r="X215" s="1991" t="s">
        <v>1707</v>
      </c>
      <c r="Y215" s="1985" t="s">
        <v>6427</v>
      </c>
      <c r="Z215" s="2007"/>
      <c r="AA215" s="2007"/>
      <c r="AB215" s="2001" t="s">
        <v>6428</v>
      </c>
      <c r="AC215" s="2001" t="s">
        <v>6298</v>
      </c>
      <c r="AD215" s="2001"/>
      <c r="AE215" s="2007"/>
      <c r="AF215" s="2007"/>
      <c r="AG215" s="1991" t="s">
        <v>6429</v>
      </c>
      <c r="AH215" s="2012" t="s">
        <v>6430</v>
      </c>
    </row>
    <row r="216" spans="22:34" ht="13" x14ac:dyDescent="0.3">
      <c r="V216" s="1991" t="s">
        <v>6431</v>
      </c>
      <c r="W216" s="1985" t="s">
        <v>6432</v>
      </c>
      <c r="X216" s="1991" t="s">
        <v>1707</v>
      </c>
      <c r="Y216" s="1985" t="s">
        <v>6433</v>
      </c>
      <c r="Z216" s="2007"/>
      <c r="AA216" s="2007"/>
      <c r="AB216" s="2002">
        <v>0</v>
      </c>
      <c r="AC216" s="2001">
        <v>0</v>
      </c>
      <c r="AD216" s="2001"/>
      <c r="AE216" s="2007"/>
      <c r="AF216" s="2007"/>
      <c r="AG216" s="1991" t="s">
        <v>6434</v>
      </c>
      <c r="AH216" s="2012"/>
    </row>
    <row r="217" spans="22:34" ht="13" x14ac:dyDescent="0.3">
      <c r="V217" s="1991" t="s">
        <v>6435</v>
      </c>
      <c r="W217" s="1985" t="s">
        <v>6435</v>
      </c>
      <c r="X217" s="1991" t="s">
        <v>1615</v>
      </c>
      <c r="Y217" s="1985" t="s">
        <v>6436</v>
      </c>
      <c r="Z217" s="2007"/>
      <c r="AA217" s="2007"/>
      <c r="AB217" s="2001"/>
      <c r="AC217" s="2001"/>
      <c r="AD217" s="2001"/>
      <c r="AE217" s="2007"/>
      <c r="AF217" s="2007"/>
      <c r="AG217" s="1991" t="s">
        <v>6435</v>
      </c>
      <c r="AH217" s="2012"/>
    </row>
    <row r="218" spans="22:34" ht="13" x14ac:dyDescent="0.3">
      <c r="V218" s="1991" t="s">
        <v>6437</v>
      </c>
      <c r="W218" s="1985" t="s">
        <v>6438</v>
      </c>
      <c r="X218" s="1991" t="s">
        <v>1707</v>
      </c>
      <c r="Y218" s="1985" t="s">
        <v>6439</v>
      </c>
      <c r="Z218" s="2007"/>
      <c r="AA218" s="2007"/>
      <c r="AB218" s="2002">
        <v>0</v>
      </c>
      <c r="AC218" s="2001">
        <v>0</v>
      </c>
      <c r="AD218" s="2001"/>
      <c r="AE218" s="2007"/>
      <c r="AF218" s="2007"/>
      <c r="AG218" s="1991" t="s">
        <v>6440</v>
      </c>
      <c r="AH218" s="2012"/>
    </row>
    <row r="219" spans="22:34" ht="13" x14ac:dyDescent="0.3">
      <c r="V219" s="1991" t="s">
        <v>6441</v>
      </c>
      <c r="W219" s="1985" t="s">
        <v>6441</v>
      </c>
      <c r="X219" s="1991" t="s">
        <v>1615</v>
      </c>
      <c r="Y219" s="1985" t="s">
        <v>6442</v>
      </c>
      <c r="Z219" s="2007"/>
      <c r="AA219" s="2007"/>
      <c r="AB219" s="2001"/>
      <c r="AC219" s="2001"/>
      <c r="AD219" s="2001"/>
      <c r="AE219" s="2007"/>
      <c r="AF219" s="2007"/>
      <c r="AG219" s="1991" t="s">
        <v>6441</v>
      </c>
      <c r="AH219" s="2012"/>
    </row>
    <row r="220" spans="22:34" ht="13" x14ac:dyDescent="0.3">
      <c r="V220" s="1991" t="s">
        <v>6443</v>
      </c>
      <c r="W220" s="1985" t="s">
        <v>6443</v>
      </c>
      <c r="X220" s="1991" t="s">
        <v>1615</v>
      </c>
      <c r="Y220" s="1985" t="s">
        <v>6444</v>
      </c>
      <c r="Z220" s="2007"/>
      <c r="AA220" s="2007"/>
      <c r="AB220" s="2001"/>
      <c r="AC220" s="2001"/>
      <c r="AD220" s="2001"/>
      <c r="AE220" s="2007"/>
      <c r="AF220" s="2007"/>
      <c r="AG220" s="1991" t="s">
        <v>6443</v>
      </c>
      <c r="AH220" s="2012"/>
    </row>
    <row r="221" spans="22:34" ht="13" x14ac:dyDescent="0.3">
      <c r="V221" s="1991" t="s">
        <v>6445</v>
      </c>
      <c r="W221" s="1985" t="s">
        <v>6446</v>
      </c>
      <c r="X221" s="1991" t="s">
        <v>1707</v>
      </c>
      <c r="Y221" s="1985" t="s">
        <v>6447</v>
      </c>
      <c r="Z221" s="2007"/>
      <c r="AA221" s="2007"/>
      <c r="AB221" s="2008">
        <v>0.1</v>
      </c>
      <c r="AC221" s="2008">
        <v>0.2</v>
      </c>
      <c r="AD221" s="2008"/>
      <c r="AE221" s="2007"/>
      <c r="AF221" s="2007"/>
      <c r="AG221" s="1991" t="s">
        <v>6448</v>
      </c>
      <c r="AH221" s="2012" t="s">
        <v>6449</v>
      </c>
    </row>
    <row r="222" spans="22:34" ht="13" x14ac:dyDescent="0.3">
      <c r="V222" s="1991" t="s">
        <v>6450</v>
      </c>
      <c r="W222" s="1985" t="s">
        <v>6451</v>
      </c>
      <c r="X222" s="1991" t="s">
        <v>1707</v>
      </c>
      <c r="Y222" s="1985" t="s">
        <v>6452</v>
      </c>
      <c r="Z222" s="2007"/>
      <c r="AA222" s="2007"/>
      <c r="AB222" s="2008">
        <v>0.12</v>
      </c>
      <c r="AC222" s="2008">
        <v>0.2</v>
      </c>
      <c r="AD222" s="2008"/>
      <c r="AE222" s="2007"/>
      <c r="AF222" s="2007"/>
      <c r="AG222" s="1991" t="s">
        <v>6453</v>
      </c>
      <c r="AH222" s="2012"/>
    </row>
    <row r="223" spans="22:34" ht="13" x14ac:dyDescent="0.3">
      <c r="V223" s="1991" t="s">
        <v>6454</v>
      </c>
      <c r="W223" s="1985" t="s">
        <v>6455</v>
      </c>
      <c r="X223" s="1991" t="s">
        <v>1707</v>
      </c>
      <c r="Y223" s="1985" t="s">
        <v>6456</v>
      </c>
      <c r="Z223" s="2007"/>
      <c r="AA223" s="2007"/>
      <c r="AB223" s="2008">
        <v>0.15</v>
      </c>
      <c r="AC223" s="2008">
        <v>0.2</v>
      </c>
      <c r="AD223" s="2008"/>
      <c r="AE223" s="2007"/>
      <c r="AF223" s="2007"/>
      <c r="AG223" s="1991" t="s">
        <v>6457</v>
      </c>
      <c r="AH223" s="2012"/>
    </row>
    <row r="224" spans="22:34" ht="13" x14ac:dyDescent="0.3">
      <c r="V224" s="1991" t="s">
        <v>6458</v>
      </c>
      <c r="W224" s="1985" t="s">
        <v>6459</v>
      </c>
      <c r="X224" s="1991" t="s">
        <v>1707</v>
      </c>
      <c r="Y224" s="1985" t="s">
        <v>6460</v>
      </c>
      <c r="Z224" s="2007"/>
      <c r="AA224" s="2007"/>
      <c r="AB224" s="2001" t="s">
        <v>5752</v>
      </c>
      <c r="AC224" s="2001" t="s">
        <v>5835</v>
      </c>
      <c r="AD224" s="2001" t="s">
        <v>5835</v>
      </c>
      <c r="AE224" s="2007"/>
      <c r="AF224" s="2007"/>
      <c r="AG224" s="1991" t="s">
        <v>6461</v>
      </c>
      <c r="AH224" s="2012"/>
    </row>
    <row r="225" spans="22:34" ht="13" x14ac:dyDescent="0.3">
      <c r="V225" s="1991" t="s">
        <v>6462</v>
      </c>
      <c r="W225" s="1985" t="s">
        <v>6463</v>
      </c>
      <c r="X225" s="1991" t="s">
        <v>1707</v>
      </c>
      <c r="Y225" s="1985" t="s">
        <v>6464</v>
      </c>
      <c r="Z225" s="2007"/>
      <c r="AA225" s="2007"/>
      <c r="AB225" s="2008" t="s">
        <v>6062</v>
      </c>
      <c r="AC225" s="2008" t="s">
        <v>6062</v>
      </c>
      <c r="AD225" s="2008"/>
      <c r="AE225" s="2007"/>
      <c r="AF225" s="2007"/>
      <c r="AG225" s="1991" t="s">
        <v>6465</v>
      </c>
      <c r="AH225" s="2012"/>
    </row>
    <row r="226" spans="22:34" ht="13" x14ac:dyDescent="0.3">
      <c r="V226" s="1991" t="s">
        <v>6466</v>
      </c>
      <c r="W226" s="1985" t="s">
        <v>6466</v>
      </c>
      <c r="X226" s="1991" t="s">
        <v>1615</v>
      </c>
      <c r="Y226" s="1985" t="s">
        <v>6467</v>
      </c>
      <c r="Z226" s="2007"/>
      <c r="AA226" s="2007"/>
      <c r="AB226" s="2001"/>
      <c r="AC226" s="2001"/>
      <c r="AD226" s="2001"/>
      <c r="AE226" s="2007"/>
      <c r="AF226" s="2007"/>
      <c r="AG226" s="1991" t="s">
        <v>6466</v>
      </c>
      <c r="AH226" s="2012"/>
    </row>
    <row r="227" spans="22:34" ht="13" x14ac:dyDescent="0.3">
      <c r="V227" s="1991" t="s">
        <v>6468</v>
      </c>
      <c r="W227" s="1985" t="s">
        <v>6469</v>
      </c>
      <c r="X227" s="1991" t="s">
        <v>1707</v>
      </c>
      <c r="Y227" s="1985" t="s">
        <v>6470</v>
      </c>
      <c r="Z227" s="2007"/>
      <c r="AA227" s="2007"/>
      <c r="AB227" s="2008">
        <v>0.15</v>
      </c>
      <c r="AC227" s="2008">
        <v>0.15</v>
      </c>
      <c r="AD227" s="2008"/>
      <c r="AE227" s="2007"/>
      <c r="AF227" s="2007"/>
      <c r="AG227" s="1991" t="s">
        <v>6471</v>
      </c>
      <c r="AH227" s="2012"/>
    </row>
    <row r="228" spans="22:34" ht="13" x14ac:dyDescent="0.3">
      <c r="V228" s="1991" t="s">
        <v>6472</v>
      </c>
      <c r="W228" s="1985" t="s">
        <v>6473</v>
      </c>
      <c r="X228" s="1991" t="s">
        <v>1707</v>
      </c>
      <c r="Y228" s="1985" t="s">
        <v>6474</v>
      </c>
      <c r="Z228" s="2007"/>
      <c r="AA228" s="2007"/>
      <c r="AB228" s="2001" t="s">
        <v>5835</v>
      </c>
      <c r="AC228" s="2008" t="s">
        <v>6062</v>
      </c>
      <c r="AD228" s="2008"/>
      <c r="AE228" s="2007"/>
      <c r="AF228" s="2007"/>
      <c r="AG228" s="1991" t="s">
        <v>6475</v>
      </c>
      <c r="AH228" s="2012"/>
    </row>
    <row r="229" spans="22:34" ht="13" x14ac:dyDescent="0.3">
      <c r="V229" s="1991" t="s">
        <v>6476</v>
      </c>
      <c r="W229" s="1985" t="s">
        <v>6476</v>
      </c>
      <c r="X229" s="1991" t="s">
        <v>1615</v>
      </c>
      <c r="Y229" s="1985" t="s">
        <v>6477</v>
      </c>
      <c r="Z229" s="2007"/>
      <c r="AA229" s="2007"/>
      <c r="AB229" s="2001"/>
      <c r="AC229" s="2001"/>
      <c r="AD229" s="2001"/>
      <c r="AE229" s="2007"/>
      <c r="AF229" s="2007"/>
      <c r="AG229" s="1991" t="s">
        <v>6476</v>
      </c>
      <c r="AH229" s="2012"/>
    </row>
    <row r="230" spans="22:34" ht="13" x14ac:dyDescent="0.3">
      <c r="V230" s="1991" t="s">
        <v>3852</v>
      </c>
      <c r="W230" s="1985" t="s">
        <v>6478</v>
      </c>
      <c r="X230" s="1991" t="s">
        <v>1707</v>
      </c>
      <c r="Y230" s="1985" t="s">
        <v>6479</v>
      </c>
      <c r="Z230" s="2007"/>
      <c r="AA230" s="2007"/>
      <c r="AB230" s="2002">
        <v>0</v>
      </c>
      <c r="AC230" s="2008">
        <v>0.15</v>
      </c>
      <c r="AD230" s="2008"/>
      <c r="AE230" s="2007"/>
      <c r="AF230" s="2007"/>
      <c r="AG230" s="1991" t="s">
        <v>6480</v>
      </c>
      <c r="AH230" s="2012"/>
    </row>
    <row r="231" spans="22:34" ht="13" x14ac:dyDescent="0.3">
      <c r="V231" s="1991" t="s">
        <v>6481</v>
      </c>
      <c r="W231" s="1985" t="s">
        <v>6482</v>
      </c>
      <c r="X231" s="1991" t="s">
        <v>1707</v>
      </c>
      <c r="Y231" s="1985" t="s">
        <v>6483</v>
      </c>
      <c r="Z231" s="2007"/>
      <c r="AA231" s="2007"/>
      <c r="AB231" s="2008">
        <v>0.05</v>
      </c>
      <c r="AC231" s="2008">
        <v>0.1</v>
      </c>
      <c r="AD231" s="2008"/>
      <c r="AE231" s="2007"/>
      <c r="AF231" s="2007"/>
      <c r="AG231" s="1991" t="s">
        <v>6484</v>
      </c>
      <c r="AH231" s="2012"/>
    </row>
    <row r="232" spans="22:34" ht="13" x14ac:dyDescent="0.3">
      <c r="V232" s="1991" t="s">
        <v>6485</v>
      </c>
      <c r="W232" s="1985" t="s">
        <v>6485</v>
      </c>
      <c r="X232" s="1991" t="s">
        <v>1615</v>
      </c>
      <c r="Y232" s="1985" t="s">
        <v>6486</v>
      </c>
      <c r="Z232" s="2007"/>
      <c r="AA232" s="2007"/>
      <c r="AB232" s="2001"/>
      <c r="AC232" s="2001"/>
      <c r="AD232" s="2001"/>
      <c r="AE232" s="2007"/>
      <c r="AF232" s="2007"/>
      <c r="AG232" s="1991" t="s">
        <v>6485</v>
      </c>
      <c r="AH232" s="2012"/>
    </row>
    <row r="233" spans="22:34" ht="13" x14ac:dyDescent="0.3">
      <c r="V233" s="1991" t="s">
        <v>5265</v>
      </c>
      <c r="W233" s="1985" t="s">
        <v>5265</v>
      </c>
      <c r="X233" s="1991" t="s">
        <v>1615</v>
      </c>
      <c r="Y233" s="1985" t="s">
        <v>6487</v>
      </c>
      <c r="Z233" s="2007"/>
      <c r="AA233" s="2007"/>
      <c r="AB233" s="2001"/>
      <c r="AC233" s="2001"/>
      <c r="AD233" s="2001"/>
      <c r="AE233" s="2007"/>
      <c r="AF233" s="2007"/>
      <c r="AG233" s="1991" t="s">
        <v>5265</v>
      </c>
      <c r="AH233" s="2012"/>
    </row>
    <row r="234" spans="22:34" ht="13" x14ac:dyDescent="0.3">
      <c r="V234" s="1991" t="s">
        <v>6488</v>
      </c>
      <c r="W234" s="1985" t="s">
        <v>6489</v>
      </c>
      <c r="X234" s="1991" t="s">
        <v>1707</v>
      </c>
      <c r="Y234" s="1985" t="s">
        <v>6490</v>
      </c>
      <c r="Z234" s="2007"/>
      <c r="AA234" s="2007"/>
      <c r="AB234" s="2001" t="s">
        <v>6189</v>
      </c>
      <c r="AC234" s="2008">
        <v>0.1</v>
      </c>
      <c r="AD234" s="2008"/>
      <c r="AE234" s="2007"/>
      <c r="AF234" s="2007"/>
      <c r="AG234" s="1991" t="s">
        <v>6491</v>
      </c>
      <c r="AH234" s="2012" t="s">
        <v>6492</v>
      </c>
    </row>
    <row r="235" spans="22:34" ht="32" x14ac:dyDescent="0.3">
      <c r="V235" s="1991" t="s">
        <v>6493</v>
      </c>
      <c r="W235" s="1985" t="s">
        <v>6494</v>
      </c>
      <c r="X235" s="1991" t="s">
        <v>1707</v>
      </c>
      <c r="Y235" s="1985" t="s">
        <v>6495</v>
      </c>
      <c r="Z235" s="2007"/>
      <c r="AA235" s="2007"/>
      <c r="AB235" s="2001" t="s">
        <v>5910</v>
      </c>
      <c r="AC235" s="2001" t="s">
        <v>5910</v>
      </c>
      <c r="AD235" s="2001" t="s">
        <v>5753</v>
      </c>
      <c r="AE235" s="2007"/>
      <c r="AF235" s="2007"/>
      <c r="AG235" s="1991" t="s">
        <v>6496</v>
      </c>
      <c r="AH235" s="2012" t="s">
        <v>6497</v>
      </c>
    </row>
    <row r="236" spans="22:34" ht="13" x14ac:dyDescent="0.3">
      <c r="V236" s="1991" t="s">
        <v>6498</v>
      </c>
      <c r="W236" s="1985" t="s">
        <v>6498</v>
      </c>
      <c r="X236" s="1991" t="s">
        <v>1615</v>
      </c>
      <c r="Y236" s="1985" t="s">
        <v>6499</v>
      </c>
      <c r="Z236" s="2007"/>
      <c r="AA236" s="2007"/>
      <c r="AB236" s="2001"/>
      <c r="AC236" s="2001"/>
      <c r="AD236" s="2001"/>
      <c r="AE236" s="2007"/>
      <c r="AF236" s="2007"/>
      <c r="AG236" s="1991" t="s">
        <v>6498</v>
      </c>
      <c r="AH236" s="2012"/>
    </row>
    <row r="237" spans="22:34" ht="13" x14ac:dyDescent="0.3">
      <c r="V237" s="1991" t="s">
        <v>6500</v>
      </c>
      <c r="W237" s="1985" t="s">
        <v>6501</v>
      </c>
      <c r="X237" s="1991" t="s">
        <v>1707</v>
      </c>
      <c r="Y237" s="1985" t="s">
        <v>6502</v>
      </c>
      <c r="Z237" s="2007"/>
      <c r="AA237" s="2007"/>
      <c r="AB237" s="2008" t="s">
        <v>6062</v>
      </c>
      <c r="AC237" s="2008">
        <v>0.15</v>
      </c>
      <c r="AD237" s="2008"/>
      <c r="AE237" s="2007"/>
      <c r="AF237" s="2007"/>
      <c r="AG237" s="1991" t="s">
        <v>6503</v>
      </c>
      <c r="AH237" s="2012"/>
    </row>
    <row r="238" spans="22:34" ht="13" x14ac:dyDescent="0.3">
      <c r="V238" s="1991" t="s">
        <v>6504</v>
      </c>
      <c r="W238" s="1985" t="s">
        <v>6504</v>
      </c>
      <c r="X238" s="1991" t="s">
        <v>1615</v>
      </c>
      <c r="Y238" s="1985" t="s">
        <v>6505</v>
      </c>
      <c r="Z238" s="2007"/>
      <c r="AA238" s="2007"/>
      <c r="AB238" s="2001"/>
      <c r="AC238" s="2001"/>
      <c r="AD238" s="2001"/>
      <c r="AE238" s="2007"/>
      <c r="AF238" s="2007"/>
      <c r="AG238" s="1991" t="s">
        <v>6504</v>
      </c>
      <c r="AH238" s="2012"/>
    </row>
    <row r="239" spans="22:34" ht="13" x14ac:dyDescent="0.3">
      <c r="V239" s="1991" t="s">
        <v>6506</v>
      </c>
      <c r="W239" s="1985" t="s">
        <v>6506</v>
      </c>
      <c r="X239" s="1991" t="s">
        <v>1615</v>
      </c>
      <c r="Y239" s="1985" t="s">
        <v>6507</v>
      </c>
      <c r="Z239" s="2007"/>
      <c r="AA239" s="2007"/>
      <c r="AB239" s="2001"/>
      <c r="AC239" s="2001"/>
      <c r="AD239" s="2001"/>
      <c r="AE239" s="2007"/>
      <c r="AF239" s="2007"/>
      <c r="AG239" s="1991" t="s">
        <v>6506</v>
      </c>
      <c r="AH239" s="2012"/>
    </row>
    <row r="240" spans="22:34" ht="13" x14ac:dyDescent="0.3">
      <c r="V240" s="1991" t="s">
        <v>6508</v>
      </c>
      <c r="W240" s="1985" t="s">
        <v>6508</v>
      </c>
      <c r="X240" s="1991" t="s">
        <v>1615</v>
      </c>
      <c r="Y240" s="1985" t="s">
        <v>6509</v>
      </c>
      <c r="Z240" s="2007"/>
      <c r="AA240" s="2007"/>
      <c r="AB240" s="2001"/>
      <c r="AC240" s="2001"/>
      <c r="AD240" s="2001"/>
      <c r="AE240" s="2007"/>
      <c r="AF240" s="2007"/>
      <c r="AG240" s="1991" t="s">
        <v>6508</v>
      </c>
      <c r="AH240" s="2012"/>
    </row>
    <row r="241" spans="22:34" ht="13" x14ac:dyDescent="0.3">
      <c r="V241" s="1991" t="s">
        <v>6510</v>
      </c>
      <c r="W241" s="1985" t="s">
        <v>6510</v>
      </c>
      <c r="X241" s="1991" t="s">
        <v>1615</v>
      </c>
      <c r="Y241" s="1985" t="s">
        <v>6511</v>
      </c>
      <c r="Z241" s="2007"/>
      <c r="AA241" s="2007"/>
      <c r="AB241" s="2001"/>
      <c r="AC241" s="2001"/>
      <c r="AD241" s="2001"/>
      <c r="AE241" s="2007"/>
      <c r="AF241" s="2007"/>
      <c r="AG241" s="1991" t="s">
        <v>6510</v>
      </c>
      <c r="AH241" s="2012"/>
    </row>
    <row r="242" spans="22:34" ht="13" x14ac:dyDescent="0.3">
      <c r="V242" s="1991" t="s">
        <v>3877</v>
      </c>
      <c r="W242" s="1985" t="s">
        <v>6512</v>
      </c>
      <c r="X242" s="1991" t="s">
        <v>1707</v>
      </c>
      <c r="Y242" s="1985" t="s">
        <v>6513</v>
      </c>
      <c r="Z242" s="2007"/>
      <c r="AA242" s="2007"/>
      <c r="AB242" s="2001" t="s">
        <v>5835</v>
      </c>
      <c r="AC242" s="2008">
        <v>0.15</v>
      </c>
      <c r="AD242" s="2008"/>
      <c r="AE242" s="2007"/>
      <c r="AF242" s="2007"/>
      <c r="AG242" s="1991" t="s">
        <v>6514</v>
      </c>
      <c r="AH242" s="2012"/>
    </row>
    <row r="243" spans="22:34" ht="13" x14ac:dyDescent="0.3">
      <c r="V243" s="1991" t="s">
        <v>6515</v>
      </c>
      <c r="W243" s="1985" t="s">
        <v>6516</v>
      </c>
      <c r="X243" s="1991" t="s">
        <v>1707</v>
      </c>
      <c r="Y243" s="1985" t="s">
        <v>6517</v>
      </c>
      <c r="Z243" s="2007"/>
      <c r="AA243" s="2007"/>
      <c r="AB243" s="2008" t="s">
        <v>6062</v>
      </c>
      <c r="AC243" s="2008" t="s">
        <v>5834</v>
      </c>
      <c r="AD243" s="2008"/>
      <c r="AE243" s="2007"/>
      <c r="AF243" s="2007"/>
      <c r="AG243" s="1991" t="s">
        <v>6518</v>
      </c>
      <c r="AH243" s="2012"/>
    </row>
    <row r="244" spans="22:34" ht="13" x14ac:dyDescent="0.3">
      <c r="V244" s="1991" t="s">
        <v>6519</v>
      </c>
      <c r="W244" s="1985" t="s">
        <v>6520</v>
      </c>
      <c r="X244" s="1991" t="s">
        <v>1707</v>
      </c>
      <c r="Y244" s="1985" t="s">
        <v>6521</v>
      </c>
      <c r="Z244" s="2007"/>
      <c r="AA244" s="2007"/>
      <c r="AB244" s="2001" t="s">
        <v>6251</v>
      </c>
      <c r="AC244" s="2008">
        <v>0.2</v>
      </c>
      <c r="AD244" s="2008"/>
      <c r="AE244" s="2007"/>
      <c r="AF244" s="2007"/>
      <c r="AG244" s="1991" t="s">
        <v>6522</v>
      </c>
      <c r="AH244" s="2012" t="s">
        <v>6492</v>
      </c>
    </row>
    <row r="245" spans="22:34" ht="13" x14ac:dyDescent="0.3">
      <c r="V245" s="1991" t="s">
        <v>6523</v>
      </c>
      <c r="W245" s="1985" t="s">
        <v>6523</v>
      </c>
      <c r="X245" s="1991" t="s">
        <v>1615</v>
      </c>
      <c r="Y245" s="1985" t="s">
        <v>6524</v>
      </c>
      <c r="Z245" s="2007"/>
      <c r="AA245" s="2007"/>
      <c r="AB245" s="2001"/>
      <c r="AC245" s="2008"/>
      <c r="AD245" s="2002"/>
      <c r="AE245" s="2007"/>
      <c r="AF245" s="2007"/>
      <c r="AG245" s="1991" t="s">
        <v>6523</v>
      </c>
      <c r="AH245" s="2012"/>
    </row>
  </sheetData>
  <mergeCells count="13">
    <mergeCell ref="AA1:AA4"/>
    <mergeCell ref="V1:V4"/>
    <mergeCell ref="W1:W4"/>
    <mergeCell ref="X1:X4"/>
    <mergeCell ref="Y1:Y4"/>
    <mergeCell ref="Z1:Z4"/>
    <mergeCell ref="AH1:AH4"/>
    <mergeCell ref="AB1:AB4"/>
    <mergeCell ref="AC1:AC4"/>
    <mergeCell ref="AD1:AD4"/>
    <mergeCell ref="AE1:AE4"/>
    <mergeCell ref="AF1:AF4"/>
    <mergeCell ref="AG1:AG4"/>
  </mergeCells>
  <phoneticPr fontId="58" type="noConversion"/>
  <dataValidations xWindow="764" yWindow="715" count="1">
    <dataValidation type="list" allowBlank="1" showInputMessage="1" showErrorMessage="1" prompt="Select from drop-down or enter country code" sqref="E10 E14 E18 E22 E26 E30 E34 E38 E42 E46" xr:uid="{00000000-0002-0000-2D00-000000000000}">
      <formula1>$V$5:$V$245</formula1>
    </dataValidation>
  </dataValidations>
  <hyperlinks>
    <hyperlink ref="I4" r:id="rId1" xr:uid="{1C92F4C0-2990-4744-B22B-7D75369C0B64}"/>
    <hyperlink ref="I5" r:id="rId2" xr:uid="{2672C959-349F-489B-A3B5-F0F945A77CF2}"/>
  </hyperlinks>
  <pageMargins left="0.19685039370078741" right="0.19685039370078741" top="0.19685039370078741" bottom="0.19685039370078741" header="0" footer="0"/>
  <pageSetup paperSize="9" scale="79" orientation="landscape" r:id="rId3"/>
  <headerFooter alignWithMargins="0">
    <oddFooter>&amp;C&amp;1#&amp;"Calibri"&amp;10&amp;K000000OFFICIAL-SENSITIVE</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4582" r:id="rId6" name="Button 6">
              <controlPr defaultSize="0" print="0" autoFill="0" autoPict="0" macro="[0]!calculate_TCR">
                <anchor moveWithCells="1" sizeWithCells="1">
                  <from>
                    <xdr:col>7</xdr:col>
                    <xdr:colOff>374650</xdr:colOff>
                    <xdr:row>5</xdr:row>
                    <xdr:rowOff>31750</xdr:rowOff>
                  </from>
                  <to>
                    <xdr:col>12</xdr:col>
                    <xdr:colOff>793750</xdr:colOff>
                    <xdr:row>7</xdr:row>
                    <xdr:rowOff>12700</xdr:rowOff>
                  </to>
                </anchor>
              </controlPr>
            </control>
          </mc:Choice>
        </mc:AlternateContent>
        <mc:AlternateContent xmlns:mc="http://schemas.openxmlformats.org/markup-compatibility/2006">
          <mc:Choice Requires="x14">
            <control shapeId="24584" r:id="rId7" name="Drop Down 8">
              <controlPr defaultSize="0" autoLine="0" autoPict="0">
                <anchor moveWithCells="1">
                  <from>
                    <xdr:col>2</xdr:col>
                    <xdr:colOff>31750</xdr:colOff>
                    <xdr:row>9</xdr:row>
                    <xdr:rowOff>0</xdr:rowOff>
                  </from>
                  <to>
                    <xdr:col>3</xdr:col>
                    <xdr:colOff>38100</xdr:colOff>
                    <xdr:row>10</xdr:row>
                    <xdr:rowOff>38100</xdr:rowOff>
                  </to>
                </anchor>
              </controlPr>
            </control>
          </mc:Choice>
        </mc:AlternateContent>
        <mc:AlternateContent xmlns:mc="http://schemas.openxmlformats.org/markup-compatibility/2006">
          <mc:Choice Requires="x14">
            <control shapeId="24585" r:id="rId8" name="Drop Down 9">
              <controlPr defaultSize="0" autoLine="0" autoPict="0">
                <anchor moveWithCells="1">
                  <from>
                    <xdr:col>2</xdr:col>
                    <xdr:colOff>31750</xdr:colOff>
                    <xdr:row>13</xdr:row>
                    <xdr:rowOff>0</xdr:rowOff>
                  </from>
                  <to>
                    <xdr:col>3</xdr:col>
                    <xdr:colOff>31750</xdr:colOff>
                    <xdr:row>14</xdr:row>
                    <xdr:rowOff>38100</xdr:rowOff>
                  </to>
                </anchor>
              </controlPr>
            </control>
          </mc:Choice>
        </mc:AlternateContent>
        <mc:AlternateContent xmlns:mc="http://schemas.openxmlformats.org/markup-compatibility/2006">
          <mc:Choice Requires="x14">
            <control shapeId="24586" r:id="rId9" name="Drop Down 10">
              <controlPr defaultSize="0" autoLine="0" autoPict="0">
                <anchor moveWithCells="1">
                  <from>
                    <xdr:col>2</xdr:col>
                    <xdr:colOff>31750</xdr:colOff>
                    <xdr:row>17</xdr:row>
                    <xdr:rowOff>0</xdr:rowOff>
                  </from>
                  <to>
                    <xdr:col>3</xdr:col>
                    <xdr:colOff>50800</xdr:colOff>
                    <xdr:row>18</xdr:row>
                    <xdr:rowOff>38100</xdr:rowOff>
                  </to>
                </anchor>
              </controlPr>
            </control>
          </mc:Choice>
        </mc:AlternateContent>
        <mc:AlternateContent xmlns:mc="http://schemas.openxmlformats.org/markup-compatibility/2006">
          <mc:Choice Requires="x14">
            <control shapeId="24587" r:id="rId10" name="Drop Down 11">
              <controlPr defaultSize="0" autoLine="0" autoPict="0">
                <anchor moveWithCells="1">
                  <from>
                    <xdr:col>2</xdr:col>
                    <xdr:colOff>31750</xdr:colOff>
                    <xdr:row>21</xdr:row>
                    <xdr:rowOff>0</xdr:rowOff>
                  </from>
                  <to>
                    <xdr:col>3</xdr:col>
                    <xdr:colOff>50800</xdr:colOff>
                    <xdr:row>22</xdr:row>
                    <xdr:rowOff>38100</xdr:rowOff>
                  </to>
                </anchor>
              </controlPr>
            </control>
          </mc:Choice>
        </mc:AlternateContent>
        <mc:AlternateContent xmlns:mc="http://schemas.openxmlformats.org/markup-compatibility/2006">
          <mc:Choice Requires="x14">
            <control shapeId="24589" r:id="rId11" name="Drop Down 13">
              <controlPr defaultSize="0" autoLine="0" autoPict="0">
                <anchor moveWithCells="1">
                  <from>
                    <xdr:col>10</xdr:col>
                    <xdr:colOff>0</xdr:colOff>
                    <xdr:row>8</xdr:row>
                    <xdr:rowOff>146050</xdr:rowOff>
                  </from>
                  <to>
                    <xdr:col>10</xdr:col>
                    <xdr:colOff>641350</xdr:colOff>
                    <xdr:row>10</xdr:row>
                    <xdr:rowOff>12700</xdr:rowOff>
                  </to>
                </anchor>
              </controlPr>
            </control>
          </mc:Choice>
        </mc:AlternateContent>
        <mc:AlternateContent xmlns:mc="http://schemas.openxmlformats.org/markup-compatibility/2006">
          <mc:Choice Requires="x14">
            <control shapeId="24590" r:id="rId12" name="Drop Down 14">
              <controlPr defaultSize="0" autoLine="0" autoPict="0">
                <anchor moveWithCells="1">
                  <from>
                    <xdr:col>10</xdr:col>
                    <xdr:colOff>0</xdr:colOff>
                    <xdr:row>12</xdr:row>
                    <xdr:rowOff>146050</xdr:rowOff>
                  </from>
                  <to>
                    <xdr:col>10</xdr:col>
                    <xdr:colOff>641350</xdr:colOff>
                    <xdr:row>14</xdr:row>
                    <xdr:rowOff>12700</xdr:rowOff>
                  </to>
                </anchor>
              </controlPr>
            </control>
          </mc:Choice>
        </mc:AlternateContent>
        <mc:AlternateContent xmlns:mc="http://schemas.openxmlformats.org/markup-compatibility/2006">
          <mc:Choice Requires="x14">
            <control shapeId="24591" r:id="rId13" name="Drop Down 15">
              <controlPr defaultSize="0" autoLine="0" autoPict="0">
                <anchor moveWithCells="1">
                  <from>
                    <xdr:col>10</xdr:col>
                    <xdr:colOff>12700</xdr:colOff>
                    <xdr:row>16</xdr:row>
                    <xdr:rowOff>127000</xdr:rowOff>
                  </from>
                  <to>
                    <xdr:col>10</xdr:col>
                    <xdr:colOff>641350</xdr:colOff>
                    <xdr:row>18</xdr:row>
                    <xdr:rowOff>12700</xdr:rowOff>
                  </to>
                </anchor>
              </controlPr>
            </control>
          </mc:Choice>
        </mc:AlternateContent>
        <mc:AlternateContent xmlns:mc="http://schemas.openxmlformats.org/markup-compatibility/2006">
          <mc:Choice Requires="x14">
            <control shapeId="24592" r:id="rId14" name="Drop Down 16">
              <controlPr defaultSize="0" autoLine="0" autoPict="0">
                <anchor moveWithCells="1">
                  <from>
                    <xdr:col>10</xdr:col>
                    <xdr:colOff>0</xdr:colOff>
                    <xdr:row>20</xdr:row>
                    <xdr:rowOff>146050</xdr:rowOff>
                  </from>
                  <to>
                    <xdr:col>10</xdr:col>
                    <xdr:colOff>641350</xdr:colOff>
                    <xdr:row>22</xdr:row>
                    <xdr:rowOff>31750</xdr:rowOff>
                  </to>
                </anchor>
              </controlPr>
            </control>
          </mc:Choice>
        </mc:AlternateContent>
        <mc:AlternateContent xmlns:mc="http://schemas.openxmlformats.org/markup-compatibility/2006">
          <mc:Choice Requires="x14">
            <control shapeId="24594" r:id="rId15" name="Drop Down 18">
              <controlPr defaultSize="0" autoLine="0" autoPict="0">
                <anchor moveWithCells="1">
                  <from>
                    <xdr:col>2</xdr:col>
                    <xdr:colOff>31750</xdr:colOff>
                    <xdr:row>25</xdr:row>
                    <xdr:rowOff>0</xdr:rowOff>
                  </from>
                  <to>
                    <xdr:col>3</xdr:col>
                    <xdr:colOff>50800</xdr:colOff>
                    <xdr:row>26</xdr:row>
                    <xdr:rowOff>38100</xdr:rowOff>
                  </to>
                </anchor>
              </controlPr>
            </control>
          </mc:Choice>
        </mc:AlternateContent>
        <mc:AlternateContent xmlns:mc="http://schemas.openxmlformats.org/markup-compatibility/2006">
          <mc:Choice Requires="x14">
            <control shapeId="24595" r:id="rId16" name="Drop Down 19">
              <controlPr defaultSize="0" autoLine="0" autoPict="0">
                <anchor moveWithCells="1">
                  <from>
                    <xdr:col>10</xdr:col>
                    <xdr:colOff>0</xdr:colOff>
                    <xdr:row>24</xdr:row>
                    <xdr:rowOff>146050</xdr:rowOff>
                  </from>
                  <to>
                    <xdr:col>10</xdr:col>
                    <xdr:colOff>641350</xdr:colOff>
                    <xdr:row>26</xdr:row>
                    <xdr:rowOff>12700</xdr:rowOff>
                  </to>
                </anchor>
              </controlPr>
            </control>
          </mc:Choice>
        </mc:AlternateContent>
        <mc:AlternateContent xmlns:mc="http://schemas.openxmlformats.org/markup-compatibility/2006">
          <mc:Choice Requires="x14">
            <control shapeId="24596" r:id="rId17" name="Drop Down 20">
              <controlPr defaultSize="0" autoLine="0" autoPict="0">
                <anchor moveWithCells="1">
                  <from>
                    <xdr:col>2</xdr:col>
                    <xdr:colOff>31750</xdr:colOff>
                    <xdr:row>29</xdr:row>
                    <xdr:rowOff>0</xdr:rowOff>
                  </from>
                  <to>
                    <xdr:col>3</xdr:col>
                    <xdr:colOff>50800</xdr:colOff>
                    <xdr:row>30</xdr:row>
                    <xdr:rowOff>38100</xdr:rowOff>
                  </to>
                </anchor>
              </controlPr>
            </control>
          </mc:Choice>
        </mc:AlternateContent>
        <mc:AlternateContent xmlns:mc="http://schemas.openxmlformats.org/markup-compatibility/2006">
          <mc:Choice Requires="x14">
            <control shapeId="24597" r:id="rId18" name="Drop Down 21">
              <controlPr defaultSize="0" autoLine="0" autoPict="0">
                <anchor moveWithCells="1">
                  <from>
                    <xdr:col>10</xdr:col>
                    <xdr:colOff>0</xdr:colOff>
                    <xdr:row>28</xdr:row>
                    <xdr:rowOff>146050</xdr:rowOff>
                  </from>
                  <to>
                    <xdr:col>10</xdr:col>
                    <xdr:colOff>641350</xdr:colOff>
                    <xdr:row>30</xdr:row>
                    <xdr:rowOff>31750</xdr:rowOff>
                  </to>
                </anchor>
              </controlPr>
            </control>
          </mc:Choice>
        </mc:AlternateContent>
        <mc:AlternateContent xmlns:mc="http://schemas.openxmlformats.org/markup-compatibility/2006">
          <mc:Choice Requires="x14">
            <control shapeId="24598" r:id="rId19" name="Drop Down 22">
              <controlPr defaultSize="0" autoLine="0" autoPict="0">
                <anchor moveWithCells="1">
                  <from>
                    <xdr:col>2</xdr:col>
                    <xdr:colOff>31750</xdr:colOff>
                    <xdr:row>33</xdr:row>
                    <xdr:rowOff>0</xdr:rowOff>
                  </from>
                  <to>
                    <xdr:col>3</xdr:col>
                    <xdr:colOff>50800</xdr:colOff>
                    <xdr:row>34</xdr:row>
                    <xdr:rowOff>38100</xdr:rowOff>
                  </to>
                </anchor>
              </controlPr>
            </control>
          </mc:Choice>
        </mc:AlternateContent>
        <mc:AlternateContent xmlns:mc="http://schemas.openxmlformats.org/markup-compatibility/2006">
          <mc:Choice Requires="x14">
            <control shapeId="24599" r:id="rId20" name="Drop Down 23">
              <controlPr defaultSize="0" autoLine="0" autoPict="0">
                <anchor moveWithCells="1">
                  <from>
                    <xdr:col>10</xdr:col>
                    <xdr:colOff>0</xdr:colOff>
                    <xdr:row>32</xdr:row>
                    <xdr:rowOff>146050</xdr:rowOff>
                  </from>
                  <to>
                    <xdr:col>10</xdr:col>
                    <xdr:colOff>641350</xdr:colOff>
                    <xdr:row>34</xdr:row>
                    <xdr:rowOff>31750</xdr:rowOff>
                  </to>
                </anchor>
              </controlPr>
            </control>
          </mc:Choice>
        </mc:AlternateContent>
        <mc:AlternateContent xmlns:mc="http://schemas.openxmlformats.org/markup-compatibility/2006">
          <mc:Choice Requires="x14">
            <control shapeId="24600" r:id="rId21" name="Drop Down 24">
              <controlPr defaultSize="0" autoLine="0" autoPict="0">
                <anchor moveWithCells="1">
                  <from>
                    <xdr:col>2</xdr:col>
                    <xdr:colOff>31750</xdr:colOff>
                    <xdr:row>37</xdr:row>
                    <xdr:rowOff>0</xdr:rowOff>
                  </from>
                  <to>
                    <xdr:col>3</xdr:col>
                    <xdr:colOff>50800</xdr:colOff>
                    <xdr:row>38</xdr:row>
                    <xdr:rowOff>38100</xdr:rowOff>
                  </to>
                </anchor>
              </controlPr>
            </control>
          </mc:Choice>
        </mc:AlternateContent>
        <mc:AlternateContent xmlns:mc="http://schemas.openxmlformats.org/markup-compatibility/2006">
          <mc:Choice Requires="x14">
            <control shapeId="24601" r:id="rId22" name="Drop Down 25">
              <controlPr defaultSize="0" autoLine="0" autoPict="0">
                <anchor moveWithCells="1">
                  <from>
                    <xdr:col>10</xdr:col>
                    <xdr:colOff>0</xdr:colOff>
                    <xdr:row>36</xdr:row>
                    <xdr:rowOff>146050</xdr:rowOff>
                  </from>
                  <to>
                    <xdr:col>10</xdr:col>
                    <xdr:colOff>641350</xdr:colOff>
                    <xdr:row>38</xdr:row>
                    <xdr:rowOff>31750</xdr:rowOff>
                  </to>
                </anchor>
              </controlPr>
            </control>
          </mc:Choice>
        </mc:AlternateContent>
        <mc:AlternateContent xmlns:mc="http://schemas.openxmlformats.org/markup-compatibility/2006">
          <mc:Choice Requires="x14">
            <control shapeId="24618" r:id="rId23" name="Drop Down 42">
              <controlPr defaultSize="0" autoLine="0" autoPict="0">
                <anchor moveWithCells="1">
                  <from>
                    <xdr:col>2</xdr:col>
                    <xdr:colOff>31750</xdr:colOff>
                    <xdr:row>41</xdr:row>
                    <xdr:rowOff>0</xdr:rowOff>
                  </from>
                  <to>
                    <xdr:col>3</xdr:col>
                    <xdr:colOff>50800</xdr:colOff>
                    <xdr:row>42</xdr:row>
                    <xdr:rowOff>38100</xdr:rowOff>
                  </to>
                </anchor>
              </controlPr>
            </control>
          </mc:Choice>
        </mc:AlternateContent>
        <mc:AlternateContent xmlns:mc="http://schemas.openxmlformats.org/markup-compatibility/2006">
          <mc:Choice Requires="x14">
            <control shapeId="24619" r:id="rId24" name="Drop Down 43">
              <controlPr defaultSize="0" autoLine="0" autoPict="0">
                <anchor moveWithCells="1">
                  <from>
                    <xdr:col>10</xdr:col>
                    <xdr:colOff>0</xdr:colOff>
                    <xdr:row>40</xdr:row>
                    <xdr:rowOff>146050</xdr:rowOff>
                  </from>
                  <to>
                    <xdr:col>10</xdr:col>
                    <xdr:colOff>641350</xdr:colOff>
                    <xdr:row>42</xdr:row>
                    <xdr:rowOff>12700</xdr:rowOff>
                  </to>
                </anchor>
              </controlPr>
            </control>
          </mc:Choice>
        </mc:AlternateContent>
        <mc:AlternateContent xmlns:mc="http://schemas.openxmlformats.org/markup-compatibility/2006">
          <mc:Choice Requires="x14">
            <control shapeId="24620" r:id="rId25" name="Drop Down 44">
              <controlPr defaultSize="0" autoLine="0" autoPict="0">
                <anchor moveWithCells="1">
                  <from>
                    <xdr:col>2</xdr:col>
                    <xdr:colOff>31750</xdr:colOff>
                    <xdr:row>45</xdr:row>
                    <xdr:rowOff>0</xdr:rowOff>
                  </from>
                  <to>
                    <xdr:col>3</xdr:col>
                    <xdr:colOff>50800</xdr:colOff>
                    <xdr:row>46</xdr:row>
                    <xdr:rowOff>38100</xdr:rowOff>
                  </to>
                </anchor>
              </controlPr>
            </control>
          </mc:Choice>
        </mc:AlternateContent>
        <mc:AlternateContent xmlns:mc="http://schemas.openxmlformats.org/markup-compatibility/2006">
          <mc:Choice Requires="x14">
            <control shapeId="24621" r:id="rId26" name="Drop Down 45">
              <controlPr defaultSize="0" autoLine="0" autoPict="0">
                <anchor moveWithCells="1">
                  <from>
                    <xdr:col>10</xdr:col>
                    <xdr:colOff>0</xdr:colOff>
                    <xdr:row>44</xdr:row>
                    <xdr:rowOff>146050</xdr:rowOff>
                  </from>
                  <to>
                    <xdr:col>10</xdr:col>
                    <xdr:colOff>641350</xdr:colOff>
                    <xdr:row>46</xdr:row>
                    <xdr:rowOff>31750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1"/>
  <dimension ref="A1:Q31"/>
  <sheetViews>
    <sheetView showGridLines="0" showRowColHeaders="0" workbookViewId="0">
      <selection activeCell="M8" sqref="M8"/>
    </sheetView>
  </sheetViews>
  <sheetFormatPr defaultColWidth="9.1796875" defaultRowHeight="11.5" x14ac:dyDescent="0.25"/>
  <cols>
    <col min="1" max="1" width="11" style="8" customWidth="1"/>
    <col min="2" max="2" width="5.453125" style="8" customWidth="1"/>
    <col min="3" max="3" width="6.1796875" style="8" customWidth="1"/>
    <col min="4" max="4" width="13.54296875" style="8" customWidth="1"/>
    <col min="5" max="5" width="8.81640625" style="8" customWidth="1"/>
    <col min="6" max="6" width="7.1796875" style="8" customWidth="1"/>
    <col min="7" max="7" width="7.81640625" style="8" customWidth="1"/>
    <col min="8" max="8" width="10.1796875" style="8" customWidth="1"/>
    <col min="9" max="9" width="6.453125" style="8" customWidth="1"/>
    <col min="10" max="10" width="14.81640625" style="8" customWidth="1"/>
    <col min="11" max="11" width="7.81640625" style="8" customWidth="1"/>
    <col min="12" max="12" width="16" style="8" customWidth="1"/>
    <col min="13" max="13" width="11" style="8" customWidth="1"/>
    <col min="14" max="14" width="4.453125" style="8" hidden="1" customWidth="1"/>
    <col min="15" max="15" width="13.1796875" style="8" hidden="1" customWidth="1"/>
    <col min="16" max="16" width="10.81640625" style="8" hidden="1" customWidth="1"/>
    <col min="17" max="17" width="10" style="8" hidden="1" customWidth="1"/>
    <col min="18" max="16384" width="9.1796875" style="8"/>
  </cols>
  <sheetData>
    <row r="1" spans="1:17" x14ac:dyDescent="0.25">
      <c r="A1" s="17"/>
      <c r="B1" s="17"/>
      <c r="C1" s="17"/>
      <c r="D1" s="17"/>
      <c r="E1" s="17"/>
      <c r="F1" s="17"/>
      <c r="G1" s="17"/>
      <c r="H1" s="17"/>
      <c r="I1" s="17"/>
      <c r="J1" s="17"/>
      <c r="K1" s="17"/>
      <c r="L1" s="17"/>
      <c r="M1" s="17"/>
    </row>
    <row r="2" spans="1:17" x14ac:dyDescent="0.25">
      <c r="A2" s="17"/>
      <c r="B2" s="17"/>
      <c r="C2" s="17"/>
      <c r="D2" s="17"/>
      <c r="E2" s="17"/>
      <c r="F2" s="17"/>
      <c r="G2" s="17"/>
      <c r="H2" s="17"/>
      <c r="I2" s="17"/>
      <c r="J2" s="17"/>
      <c r="K2" s="17"/>
      <c r="L2" s="17"/>
      <c r="M2" s="17"/>
    </row>
    <row r="3" spans="1:17" x14ac:dyDescent="0.25">
      <c r="A3" s="17"/>
      <c r="B3" s="2014" t="s">
        <v>6525</v>
      </c>
      <c r="C3" s="2015"/>
      <c r="D3" s="2016"/>
      <c r="E3" s="2016"/>
      <c r="F3" s="2016"/>
      <c r="G3" s="2016"/>
      <c r="H3" s="2016"/>
      <c r="I3" s="2016"/>
      <c r="J3" s="2016"/>
      <c r="K3" s="2017"/>
      <c r="L3" s="17"/>
      <c r="M3" s="17"/>
    </row>
    <row r="4" spans="1:17" x14ac:dyDescent="0.25">
      <c r="A4" s="17"/>
      <c r="B4" s="630"/>
      <c r="C4" s="50"/>
      <c r="D4" s="67"/>
      <c r="E4" s="50"/>
      <c r="F4" s="50"/>
      <c r="G4" s="69"/>
      <c r="H4" s="50"/>
      <c r="I4" s="50"/>
      <c r="J4" s="95"/>
      <c r="K4" s="96"/>
      <c r="L4" s="17"/>
      <c r="M4" s="17"/>
    </row>
    <row r="5" spans="1:17" x14ac:dyDescent="0.25">
      <c r="A5" s="17"/>
      <c r="B5" s="630"/>
      <c r="C5" s="2018">
        <f>FOR!K42</f>
        <v>43</v>
      </c>
      <c r="D5" s="97" t="s">
        <v>5658</v>
      </c>
      <c r="E5" s="50"/>
      <c r="F5" s="2018">
        <f>FOR!$O$35</f>
        <v>44</v>
      </c>
      <c r="G5" s="98" t="s">
        <v>4079</v>
      </c>
      <c r="H5" s="50"/>
      <c r="I5" s="2018">
        <f>FOR!O39</f>
        <v>45</v>
      </c>
      <c r="J5" s="97" t="s">
        <v>6526</v>
      </c>
      <c r="K5" s="96"/>
      <c r="L5" s="17"/>
      <c r="M5" s="17"/>
      <c r="O5" s="8" t="s">
        <v>5397</v>
      </c>
      <c r="P5" s="8" t="s">
        <v>5398</v>
      </c>
      <c r="Q5" s="8" t="s">
        <v>5399</v>
      </c>
    </row>
    <row r="6" spans="1:17" x14ac:dyDescent="0.25">
      <c r="A6" s="17"/>
      <c r="B6" s="630"/>
      <c r="C6" s="50"/>
      <c r="D6" s="1860"/>
      <c r="E6" s="50"/>
      <c r="F6" s="50"/>
      <c r="G6" s="1860"/>
      <c r="H6" s="50"/>
      <c r="I6" s="50"/>
      <c r="J6" s="1860"/>
      <c r="K6" s="96"/>
      <c r="L6" s="17"/>
      <c r="M6" s="17"/>
      <c r="O6" s="8">
        <f t="shared" ref="O6:O15" si="0">IF(D6&gt;0,1,0)</f>
        <v>0</v>
      </c>
      <c r="P6" s="8">
        <f t="shared" ref="P6:P15" si="1">MAX(G6,1)</f>
        <v>1</v>
      </c>
      <c r="Q6" s="8">
        <f t="shared" ref="Q6:Q15" si="2">TRUNC(D6/P6,0)</f>
        <v>0</v>
      </c>
    </row>
    <row r="7" spans="1:17" x14ac:dyDescent="0.25">
      <c r="A7" s="17"/>
      <c r="B7" s="630"/>
      <c r="C7" s="50"/>
      <c r="D7" s="1860"/>
      <c r="E7" s="50"/>
      <c r="F7" s="50"/>
      <c r="G7" s="1860"/>
      <c r="H7" s="50"/>
      <c r="I7" s="50"/>
      <c r="J7" s="1860"/>
      <c r="K7" s="96"/>
      <c r="L7" s="17"/>
      <c r="M7" s="17"/>
      <c r="O7" s="8">
        <f t="shared" si="0"/>
        <v>0</v>
      </c>
      <c r="P7" s="8">
        <f t="shared" si="1"/>
        <v>1</v>
      </c>
      <c r="Q7" s="8">
        <f t="shared" si="2"/>
        <v>0</v>
      </c>
    </row>
    <row r="8" spans="1:17" x14ac:dyDescent="0.25">
      <c r="A8" s="17"/>
      <c r="B8" s="630"/>
      <c r="C8" s="50"/>
      <c r="D8" s="1860"/>
      <c r="E8" s="50"/>
      <c r="F8" s="50"/>
      <c r="G8" s="1860"/>
      <c r="H8" s="50"/>
      <c r="I8" s="50"/>
      <c r="J8" s="1860"/>
      <c r="K8" s="96"/>
      <c r="L8" s="17"/>
      <c r="M8" s="17"/>
      <c r="O8" s="8">
        <f t="shared" si="0"/>
        <v>0</v>
      </c>
      <c r="P8" s="8">
        <f t="shared" si="1"/>
        <v>1</v>
      </c>
      <c r="Q8" s="8">
        <f t="shared" si="2"/>
        <v>0</v>
      </c>
    </row>
    <row r="9" spans="1:17" x14ac:dyDescent="0.25">
      <c r="A9" s="17"/>
      <c r="B9" s="630"/>
      <c r="C9" s="50"/>
      <c r="D9" s="1860"/>
      <c r="E9" s="50"/>
      <c r="F9" s="50"/>
      <c r="G9" s="1860"/>
      <c r="H9" s="50"/>
      <c r="I9" s="50"/>
      <c r="J9" s="1860"/>
      <c r="K9" s="96"/>
      <c r="L9" s="17"/>
      <c r="M9" s="17"/>
      <c r="O9" s="8">
        <f t="shared" si="0"/>
        <v>0</v>
      </c>
      <c r="P9" s="8">
        <f t="shared" si="1"/>
        <v>1</v>
      </c>
      <c r="Q9" s="8">
        <f t="shared" si="2"/>
        <v>0</v>
      </c>
    </row>
    <row r="10" spans="1:17" x14ac:dyDescent="0.25">
      <c r="A10" s="17"/>
      <c r="B10" s="630"/>
      <c r="C10" s="50"/>
      <c r="D10" s="1860"/>
      <c r="E10" s="50"/>
      <c r="F10" s="50"/>
      <c r="G10" s="1860"/>
      <c r="H10" s="50"/>
      <c r="I10" s="50"/>
      <c r="J10" s="1860"/>
      <c r="K10" s="96"/>
      <c r="L10" s="17"/>
      <c r="M10" s="17"/>
      <c r="O10" s="8">
        <f t="shared" si="0"/>
        <v>0</v>
      </c>
      <c r="P10" s="8">
        <f t="shared" si="1"/>
        <v>1</v>
      </c>
      <c r="Q10" s="8">
        <f t="shared" si="2"/>
        <v>0</v>
      </c>
    </row>
    <row r="11" spans="1:17" x14ac:dyDescent="0.25">
      <c r="A11" s="17"/>
      <c r="B11" s="630"/>
      <c r="C11" s="50"/>
      <c r="D11" s="1860"/>
      <c r="E11" s="50"/>
      <c r="F11" s="50"/>
      <c r="G11" s="1860"/>
      <c r="H11" s="50"/>
      <c r="I11" s="50"/>
      <c r="J11" s="1860"/>
      <c r="K11" s="96"/>
      <c r="L11" s="17"/>
      <c r="M11" s="17"/>
      <c r="O11" s="8">
        <f t="shared" si="0"/>
        <v>0</v>
      </c>
      <c r="P11" s="8">
        <f t="shared" si="1"/>
        <v>1</v>
      </c>
      <c r="Q11" s="8">
        <f t="shared" si="2"/>
        <v>0</v>
      </c>
    </row>
    <row r="12" spans="1:17" x14ac:dyDescent="0.25">
      <c r="A12" s="17"/>
      <c r="B12" s="630"/>
      <c r="C12" s="50"/>
      <c r="D12" s="1860"/>
      <c r="E12" s="50"/>
      <c r="F12" s="50"/>
      <c r="G12" s="1860"/>
      <c r="H12" s="50"/>
      <c r="I12" s="50"/>
      <c r="J12" s="1860"/>
      <c r="K12" s="96"/>
      <c r="L12" s="17"/>
      <c r="M12" s="17"/>
      <c r="O12" s="8">
        <f t="shared" si="0"/>
        <v>0</v>
      </c>
      <c r="P12" s="8">
        <f t="shared" si="1"/>
        <v>1</v>
      </c>
      <c r="Q12" s="8">
        <f t="shared" si="2"/>
        <v>0</v>
      </c>
    </row>
    <row r="13" spans="1:17" x14ac:dyDescent="0.25">
      <c r="A13" s="17"/>
      <c r="B13" s="630"/>
      <c r="C13" s="50"/>
      <c r="D13" s="1860"/>
      <c r="E13" s="50"/>
      <c r="F13" s="50"/>
      <c r="G13" s="1860"/>
      <c r="H13" s="50"/>
      <c r="I13" s="50"/>
      <c r="J13" s="1860"/>
      <c r="K13" s="96"/>
      <c r="L13" s="17"/>
      <c r="M13" s="17"/>
      <c r="O13" s="8">
        <f t="shared" si="0"/>
        <v>0</v>
      </c>
      <c r="P13" s="8">
        <f t="shared" si="1"/>
        <v>1</v>
      </c>
      <c r="Q13" s="8">
        <f t="shared" si="2"/>
        <v>0</v>
      </c>
    </row>
    <row r="14" spans="1:17" x14ac:dyDescent="0.25">
      <c r="A14" s="17"/>
      <c r="B14" s="630"/>
      <c r="C14" s="50"/>
      <c r="D14" s="1860"/>
      <c r="E14" s="50"/>
      <c r="F14" s="50"/>
      <c r="G14" s="1860"/>
      <c r="H14" s="50"/>
      <c r="I14" s="50"/>
      <c r="J14" s="1860"/>
      <c r="K14" s="96"/>
      <c r="L14" s="17"/>
      <c r="M14" s="17"/>
      <c r="O14" s="8">
        <f t="shared" si="0"/>
        <v>0</v>
      </c>
      <c r="P14" s="8">
        <f t="shared" si="1"/>
        <v>1</v>
      </c>
      <c r="Q14" s="8">
        <f t="shared" si="2"/>
        <v>0</v>
      </c>
    </row>
    <row r="15" spans="1:17" x14ac:dyDescent="0.25">
      <c r="A15" s="17"/>
      <c r="B15" s="630"/>
      <c r="C15" s="50"/>
      <c r="D15" s="1860"/>
      <c r="E15" s="50"/>
      <c r="F15" s="50"/>
      <c r="G15" s="1860"/>
      <c r="H15" s="50"/>
      <c r="I15" s="50"/>
      <c r="J15" s="1860"/>
      <c r="K15" s="96"/>
      <c r="L15" s="17"/>
      <c r="M15" s="17"/>
      <c r="O15" s="8">
        <f t="shared" si="0"/>
        <v>0</v>
      </c>
      <c r="P15" s="8">
        <f t="shared" si="1"/>
        <v>1</v>
      </c>
      <c r="Q15" s="8">
        <f t="shared" si="2"/>
        <v>0</v>
      </c>
    </row>
    <row r="16" spans="1:17" x14ac:dyDescent="0.25">
      <c r="A16" s="17"/>
      <c r="B16" s="630"/>
      <c r="C16" s="50"/>
      <c r="D16" s="2019">
        <f>SUM(D6:D15)</f>
        <v>0</v>
      </c>
      <c r="E16" s="50"/>
      <c r="F16" s="50"/>
      <c r="G16" s="50"/>
      <c r="H16" s="50"/>
      <c r="I16" s="50"/>
      <c r="J16" s="2019">
        <f>SUM(J6:J15)</f>
        <v>0</v>
      </c>
      <c r="K16" s="96"/>
      <c r="L16" s="17"/>
      <c r="M16" s="17"/>
      <c r="O16" s="2020">
        <f>SUM(O6:O15)</f>
        <v>0</v>
      </c>
      <c r="P16" s="2020">
        <f>SUM(G6:G15)</f>
        <v>0</v>
      </c>
      <c r="Q16" s="2020">
        <f>SUM(Q6:Q15)</f>
        <v>0</v>
      </c>
    </row>
    <row r="17" spans="1:13" x14ac:dyDescent="0.25">
      <c r="A17" s="17"/>
      <c r="B17" s="2021"/>
      <c r="C17" s="2022"/>
      <c r="D17" s="2022"/>
      <c r="E17" s="2022"/>
      <c r="F17" s="2022"/>
      <c r="G17" s="2022"/>
      <c r="H17" s="2022"/>
      <c r="I17" s="2022"/>
      <c r="J17" s="2022"/>
      <c r="K17" s="2023"/>
      <c r="L17" s="17"/>
      <c r="M17" s="17"/>
    </row>
    <row r="18" spans="1:13" x14ac:dyDescent="0.25">
      <c r="A18" s="17"/>
      <c r="B18" s="17"/>
      <c r="C18" s="17"/>
      <c r="D18" s="17"/>
      <c r="E18" s="17"/>
      <c r="F18" s="17"/>
      <c r="G18" s="17"/>
      <c r="H18" s="17"/>
      <c r="I18" s="17"/>
      <c r="J18" s="17"/>
      <c r="K18" s="17"/>
      <c r="L18" s="17"/>
      <c r="M18" s="17"/>
    </row>
    <row r="19" spans="1:13" x14ac:dyDescent="0.25">
      <c r="A19" s="17"/>
      <c r="B19" s="17"/>
      <c r="C19" s="17"/>
      <c r="D19" s="17"/>
      <c r="E19" s="17"/>
      <c r="F19" s="17"/>
      <c r="G19" s="17"/>
      <c r="H19" s="17"/>
      <c r="I19" s="17"/>
      <c r="J19" s="17"/>
      <c r="K19" s="17"/>
      <c r="L19" s="17"/>
      <c r="M19" s="17"/>
    </row>
    <row r="20" spans="1:13" x14ac:dyDescent="0.25">
      <c r="A20" s="17"/>
      <c r="B20" s="17"/>
      <c r="C20" s="17"/>
      <c r="D20" s="17"/>
      <c r="E20" s="17"/>
      <c r="F20" s="17"/>
      <c r="G20" s="17"/>
      <c r="H20" s="17"/>
      <c r="I20" s="17"/>
      <c r="J20" s="17"/>
      <c r="K20" s="17"/>
      <c r="L20" s="17"/>
      <c r="M20" s="17"/>
    </row>
    <row r="21" spans="1:13" x14ac:dyDescent="0.25">
      <c r="A21" s="17"/>
      <c r="B21" s="17"/>
      <c r="C21" s="17"/>
      <c r="D21" s="17"/>
      <c r="E21" s="17"/>
      <c r="F21" s="17"/>
      <c r="G21" s="17"/>
      <c r="H21" s="17"/>
      <c r="I21" s="2018" t="s">
        <v>5401</v>
      </c>
      <c r="J21" s="100" t="s">
        <v>5400</v>
      </c>
      <c r="K21" s="17"/>
      <c r="L21" s="17"/>
      <c r="M21" s="99"/>
    </row>
    <row r="22" spans="1:13" x14ac:dyDescent="0.25">
      <c r="A22" s="17"/>
      <c r="B22" s="17"/>
      <c r="C22" s="17"/>
      <c r="D22" s="17"/>
      <c r="E22" s="17"/>
      <c r="F22" s="17"/>
      <c r="G22" s="17"/>
      <c r="H22" s="17"/>
      <c r="I22" s="17"/>
      <c r="J22" s="2024" t="str">
        <f>IF(total_all_gains,'TSR (c17)'!M101,"")</f>
        <v/>
      </c>
      <c r="K22" s="17"/>
      <c r="L22" s="17"/>
      <c r="M22" s="99"/>
    </row>
    <row r="23" spans="1:13" x14ac:dyDescent="0.25">
      <c r="A23" s="17"/>
      <c r="B23" s="17"/>
      <c r="C23" s="17"/>
      <c r="D23" s="17"/>
      <c r="E23" s="17"/>
      <c r="F23" s="17"/>
      <c r="G23" s="17"/>
      <c r="H23" s="17"/>
      <c r="I23" s="17"/>
      <c r="J23" s="17"/>
      <c r="K23" s="17"/>
      <c r="L23" s="17"/>
      <c r="M23" s="17"/>
    </row>
    <row r="24" spans="1:13" x14ac:dyDescent="0.25">
      <c r="A24" s="17"/>
      <c r="B24" s="17"/>
      <c r="C24" s="17"/>
      <c r="D24" s="17"/>
      <c r="E24" s="17"/>
      <c r="F24" s="17"/>
      <c r="G24" s="17"/>
      <c r="H24" s="17"/>
      <c r="I24" s="17"/>
      <c r="J24" s="17"/>
      <c r="K24" s="17"/>
      <c r="L24" s="17"/>
      <c r="M24" s="17"/>
    </row>
    <row r="25" spans="1:13" x14ac:dyDescent="0.25">
      <c r="A25" s="17"/>
      <c r="B25" s="17"/>
      <c r="C25" s="17"/>
      <c r="D25" s="17"/>
      <c r="E25" s="17"/>
      <c r="F25" s="17"/>
      <c r="G25" s="17"/>
      <c r="H25" s="17"/>
      <c r="I25" s="17"/>
      <c r="J25" s="17"/>
      <c r="K25" s="17"/>
      <c r="L25" s="17"/>
      <c r="M25" s="17"/>
    </row>
    <row r="26" spans="1:13" x14ac:dyDescent="0.25">
      <c r="A26" s="17"/>
      <c r="B26" s="17"/>
      <c r="C26" s="17"/>
      <c r="D26" s="17"/>
      <c r="E26" s="17"/>
      <c r="F26" s="17"/>
      <c r="G26" s="17"/>
      <c r="H26" s="17"/>
      <c r="I26" s="17"/>
      <c r="J26" s="17"/>
      <c r="K26" s="17"/>
      <c r="L26" s="17"/>
      <c r="M26" s="17"/>
    </row>
    <row r="27" spans="1:13" x14ac:dyDescent="0.25">
      <c r="A27" s="17"/>
      <c r="B27" s="17"/>
      <c r="C27" s="17"/>
      <c r="D27" s="17"/>
      <c r="E27" s="17"/>
      <c r="F27" s="17"/>
      <c r="G27" s="17"/>
      <c r="H27" s="17"/>
      <c r="I27" s="17"/>
      <c r="J27" s="17"/>
      <c r="K27" s="17"/>
      <c r="L27" s="17"/>
      <c r="M27" s="17"/>
    </row>
    <row r="28" spans="1:13" x14ac:dyDescent="0.25">
      <c r="A28" s="17"/>
      <c r="B28" s="17"/>
      <c r="C28" s="17"/>
      <c r="D28" s="17"/>
      <c r="E28" s="17"/>
      <c r="F28" s="17"/>
      <c r="G28" s="17"/>
      <c r="H28" s="17"/>
      <c r="I28" s="17"/>
      <c r="J28" s="17"/>
      <c r="K28" s="17"/>
      <c r="L28" s="17"/>
      <c r="M28" s="17"/>
    </row>
    <row r="29" spans="1:13" x14ac:dyDescent="0.25">
      <c r="A29" s="17"/>
      <c r="B29" s="17"/>
      <c r="C29" s="17"/>
      <c r="D29" s="17"/>
      <c r="E29" s="17"/>
      <c r="F29" s="17"/>
      <c r="G29" s="17"/>
      <c r="H29" s="17"/>
      <c r="I29" s="17"/>
      <c r="J29" s="17"/>
      <c r="K29" s="17"/>
      <c r="L29" s="17"/>
      <c r="M29" s="17"/>
    </row>
    <row r="30" spans="1:13" x14ac:dyDescent="0.25">
      <c r="A30" s="17"/>
      <c r="B30" s="17"/>
      <c r="C30" s="17"/>
      <c r="D30" s="17"/>
      <c r="E30" s="17"/>
      <c r="F30" s="17"/>
      <c r="G30" s="17"/>
      <c r="H30" s="17"/>
      <c r="I30" s="17"/>
      <c r="J30" s="17"/>
      <c r="K30" s="17"/>
      <c r="L30" s="17"/>
      <c r="M30" s="17"/>
    </row>
    <row r="31" spans="1:13" x14ac:dyDescent="0.25">
      <c r="A31" s="17"/>
      <c r="B31" s="17"/>
      <c r="C31" s="17"/>
      <c r="D31" s="17"/>
      <c r="E31" s="17"/>
      <c r="F31" s="17"/>
      <c r="G31" s="21"/>
      <c r="H31" s="17"/>
      <c r="I31" s="17"/>
      <c r="J31" s="17"/>
      <c r="K31" s="17"/>
      <c r="L31" s="17"/>
      <c r="M31" s="17"/>
    </row>
  </sheetData>
  <phoneticPr fontId="58" type="noConversion"/>
  <pageMargins left="0.75" right="0.75" top="1" bottom="1" header="0.5" footer="0.5"/>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ulti_foreign_gains">
                <anchor>
                  <from>
                    <xdr:col>1</xdr:col>
                    <xdr:colOff>184150</xdr:colOff>
                    <xdr:row>20</xdr:row>
                    <xdr:rowOff>12700</xdr:rowOff>
                  </from>
                  <to>
                    <xdr:col>7</xdr:col>
                    <xdr:colOff>0</xdr:colOff>
                    <xdr:row>22</xdr:row>
                    <xdr:rowOff>31750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R46"/>
  <sheetViews>
    <sheetView showGridLines="0" topLeftCell="B1" workbookViewId="0">
      <selection activeCell="T27" sqref="T27"/>
    </sheetView>
  </sheetViews>
  <sheetFormatPr defaultColWidth="9.1796875" defaultRowHeight="11.5" x14ac:dyDescent="0.25"/>
  <cols>
    <col min="1" max="1" width="3.54296875" style="39" hidden="1" customWidth="1"/>
    <col min="2" max="2" width="3.54296875" style="39" customWidth="1"/>
    <col min="3" max="3" width="4.54296875" style="39" customWidth="1"/>
    <col min="4" max="4" width="14.54296875" style="39" customWidth="1"/>
    <col min="5" max="5" width="14.1796875" style="39" customWidth="1"/>
    <col min="6" max="6" width="5" style="39" customWidth="1"/>
    <col min="7" max="7" width="4.1796875" style="39" customWidth="1"/>
    <col min="8" max="8" width="14.1796875" style="39" customWidth="1"/>
    <col min="9" max="9" width="19.1796875" style="39" customWidth="1"/>
    <col min="10" max="10" width="3.453125" style="39" customWidth="1"/>
    <col min="11" max="11" width="6.1796875" style="39" customWidth="1"/>
    <col min="12" max="12" width="13.1796875" style="39" customWidth="1"/>
    <col min="13" max="13" width="14.1796875" style="39" customWidth="1"/>
    <col min="14" max="14" width="3.54296875" style="39" customWidth="1"/>
    <col min="15" max="15" width="6.1796875" style="39" customWidth="1"/>
    <col min="16" max="16" width="13" style="39" customWidth="1"/>
    <col min="17" max="17" width="22.54296875" style="39" customWidth="1"/>
    <col min="18" max="18" width="16.81640625" style="39" customWidth="1"/>
    <col min="19" max="16384" width="9.1796875" style="39"/>
  </cols>
  <sheetData>
    <row r="1" spans="1:18" ht="6" customHeight="1" x14ac:dyDescent="0.25">
      <c r="A1" s="8" t="s">
        <v>36</v>
      </c>
      <c r="B1" s="17"/>
      <c r="C1" s="17"/>
      <c r="D1" s="17"/>
      <c r="E1" s="17"/>
      <c r="F1" s="17"/>
      <c r="G1" s="17"/>
      <c r="H1" s="17"/>
      <c r="I1" s="17"/>
      <c r="J1" s="17"/>
      <c r="K1" s="17"/>
      <c r="L1" s="17"/>
      <c r="M1" s="17"/>
      <c r="N1" s="17"/>
      <c r="O1" s="17"/>
      <c r="P1" s="17"/>
      <c r="Q1" s="17"/>
      <c r="R1" s="17"/>
    </row>
    <row r="2" spans="1:18" ht="12.75" customHeight="1" x14ac:dyDescent="0.3">
      <c r="A2" s="8"/>
      <c r="B2" s="17"/>
      <c r="C2" s="1947" t="s">
        <v>6527</v>
      </c>
      <c r="D2" s="1909"/>
      <c r="E2" s="1909"/>
      <c r="F2" s="1909"/>
      <c r="G2" s="1909"/>
      <c r="H2" s="1909"/>
      <c r="I2" s="1909"/>
      <c r="J2" s="1907" t="s">
        <v>36</v>
      </c>
      <c r="K2" s="1955"/>
      <c r="L2" s="1909"/>
      <c r="M2" s="1909"/>
      <c r="N2" s="1909"/>
      <c r="O2" s="1909"/>
      <c r="P2" s="1909"/>
      <c r="Q2" s="1907" t="s">
        <v>36</v>
      </c>
      <c r="R2" s="17"/>
    </row>
    <row r="3" spans="1:18" x14ac:dyDescent="0.25">
      <c r="A3" s="8"/>
      <c r="B3" s="17"/>
      <c r="C3" s="682" t="s">
        <v>6528</v>
      </c>
      <c r="D3" s="56"/>
      <c r="E3" s="56"/>
      <c r="F3" s="56"/>
      <c r="G3" s="56"/>
      <c r="H3" s="56"/>
      <c r="I3" s="56"/>
      <c r="J3" s="58"/>
      <c r="K3" s="682" t="s">
        <v>6529</v>
      </c>
      <c r="L3" s="56"/>
      <c r="M3" s="56"/>
      <c r="N3" s="56"/>
      <c r="O3" s="56"/>
      <c r="P3" s="56"/>
      <c r="Q3" s="58"/>
      <c r="R3" s="17"/>
    </row>
    <row r="4" spans="1:18" ht="12.75" customHeight="1" x14ac:dyDescent="0.3">
      <c r="A4" s="8">
        <v>1</v>
      </c>
      <c r="B4" s="17"/>
      <c r="C4" s="684" t="s">
        <v>6530</v>
      </c>
      <c r="D4" s="56"/>
      <c r="E4" s="56"/>
      <c r="F4" s="56"/>
      <c r="G4" s="56"/>
      <c r="H4" s="56"/>
      <c r="I4" s="56"/>
      <c r="J4" s="58"/>
      <c r="K4" s="684" t="s">
        <v>6531</v>
      </c>
      <c r="L4" s="56"/>
      <c r="M4" s="56"/>
      <c r="N4" s="56"/>
      <c r="O4" s="56"/>
      <c r="P4" s="56"/>
      <c r="Q4" s="58"/>
      <c r="R4" s="17"/>
    </row>
    <row r="5" spans="1:18" ht="12.75" customHeight="1" x14ac:dyDescent="0.25">
      <c r="A5" s="8">
        <v>2</v>
      </c>
      <c r="B5" s="17"/>
      <c r="C5" s="671"/>
      <c r="D5" s="56"/>
      <c r="E5" s="56"/>
      <c r="F5" s="56"/>
      <c r="G5" s="56"/>
      <c r="H5" s="52" t="s">
        <v>9586</v>
      </c>
      <c r="I5" s="56"/>
      <c r="J5" s="58"/>
      <c r="K5" s="671"/>
      <c r="L5" s="52" t="s">
        <v>6532</v>
      </c>
      <c r="M5" s="56"/>
      <c r="N5" s="56"/>
      <c r="O5" s="56"/>
      <c r="P5" s="52" t="s">
        <v>6533</v>
      </c>
      <c r="Q5" s="58"/>
      <c r="R5" s="17"/>
    </row>
    <row r="6" spans="1:18" ht="12.75" customHeight="1" x14ac:dyDescent="0.25">
      <c r="A6" s="8">
        <v>3</v>
      </c>
      <c r="B6" s="17"/>
      <c r="C6" s="1845">
        <f>A4</f>
        <v>1</v>
      </c>
      <c r="D6" s="52" t="s">
        <v>6534</v>
      </c>
      <c r="E6" s="56"/>
      <c r="F6" s="56"/>
      <c r="G6" s="1845">
        <f>A5</f>
        <v>2</v>
      </c>
      <c r="H6" s="52" t="s">
        <v>6535</v>
      </c>
      <c r="I6" s="56"/>
      <c r="J6" s="58"/>
      <c r="K6" s="1845">
        <f>A18</f>
        <v>16</v>
      </c>
      <c r="L6" s="318" t="s">
        <v>6536</v>
      </c>
      <c r="M6" s="56"/>
      <c r="N6" s="56"/>
      <c r="O6" s="1845">
        <f>A22</f>
        <v>19</v>
      </c>
      <c r="P6" s="52" t="s">
        <v>6537</v>
      </c>
      <c r="Q6" s="58"/>
      <c r="R6" s="17"/>
    </row>
    <row r="7" spans="1:18" ht="12.75" customHeight="1" x14ac:dyDescent="0.25">
      <c r="A7" s="8">
        <v>4</v>
      </c>
      <c r="B7" s="17"/>
      <c r="C7" s="671"/>
      <c r="D7" s="1846"/>
      <c r="E7" s="56"/>
      <c r="F7" s="56"/>
      <c r="G7" s="56"/>
      <c r="H7" s="1846"/>
      <c r="I7" s="56"/>
      <c r="J7" s="58"/>
      <c r="K7" s="671"/>
      <c r="L7" s="1846"/>
      <c r="M7" s="56"/>
      <c r="N7" s="56"/>
      <c r="O7" s="56"/>
      <c r="P7" s="1949"/>
      <c r="Q7" s="58"/>
      <c r="R7" s="17"/>
    </row>
    <row r="8" spans="1:18" ht="7.5" customHeight="1" x14ac:dyDescent="0.25">
      <c r="A8" s="8">
        <v>5</v>
      </c>
      <c r="B8" s="17"/>
      <c r="C8" s="671"/>
      <c r="D8" s="56"/>
      <c r="E8" s="56"/>
      <c r="F8" s="56"/>
      <c r="G8" s="56"/>
      <c r="H8" s="56"/>
      <c r="I8" s="56"/>
      <c r="J8" s="58"/>
      <c r="K8" s="671"/>
      <c r="L8" s="56"/>
      <c r="M8" s="56"/>
      <c r="N8" s="56"/>
      <c r="O8" s="56"/>
      <c r="P8" s="56"/>
      <c r="Q8" s="58"/>
      <c r="R8" s="17"/>
    </row>
    <row r="9" spans="1:18" ht="12.75" customHeight="1" x14ac:dyDescent="0.3">
      <c r="A9" s="8">
        <v>7</v>
      </c>
      <c r="B9" s="17"/>
      <c r="C9" s="684" t="s">
        <v>6538</v>
      </c>
      <c r="D9" s="56"/>
      <c r="E9" s="56"/>
      <c r="F9" s="56"/>
      <c r="G9" s="56"/>
      <c r="H9" s="56"/>
      <c r="I9" s="56"/>
      <c r="J9" s="58"/>
      <c r="K9" s="671"/>
      <c r="L9" s="56"/>
      <c r="M9" s="56"/>
      <c r="N9" s="56"/>
      <c r="O9" s="56"/>
      <c r="P9" s="56"/>
      <c r="Q9" s="58"/>
      <c r="R9" s="17"/>
    </row>
    <row r="10" spans="1:18" ht="12.75" customHeight="1" x14ac:dyDescent="0.25">
      <c r="A10" s="8">
        <v>8</v>
      </c>
      <c r="B10" s="17"/>
      <c r="C10" s="671"/>
      <c r="D10" s="52" t="s">
        <v>6539</v>
      </c>
      <c r="E10" s="56"/>
      <c r="F10" s="56"/>
      <c r="G10" s="56"/>
      <c r="H10" s="52" t="s">
        <v>6540</v>
      </c>
      <c r="I10" s="56"/>
      <c r="J10" s="58"/>
      <c r="K10" s="671"/>
      <c r="L10" s="52" t="s">
        <v>6541</v>
      </c>
      <c r="M10" s="56"/>
      <c r="N10" s="56"/>
      <c r="O10" s="56"/>
      <c r="P10" s="52"/>
      <c r="Q10" s="58"/>
      <c r="R10" s="17"/>
    </row>
    <row r="11" spans="1:18" ht="12.75" customHeight="1" x14ac:dyDescent="0.25">
      <c r="A11" s="8">
        <v>9</v>
      </c>
      <c r="B11" s="17"/>
      <c r="C11" s="1845">
        <f>A6</f>
        <v>3</v>
      </c>
      <c r="D11" s="318" t="s">
        <v>6536</v>
      </c>
      <c r="E11" s="56"/>
      <c r="F11" s="56"/>
      <c r="G11" s="1845">
        <f>A8</f>
        <v>5</v>
      </c>
      <c r="H11" s="52" t="s">
        <v>6542</v>
      </c>
      <c r="I11" s="56"/>
      <c r="J11" s="58"/>
      <c r="K11" s="1845">
        <f>A19</f>
        <v>17</v>
      </c>
      <c r="L11" s="318" t="s">
        <v>6536</v>
      </c>
      <c r="M11" s="56"/>
      <c r="N11" s="56"/>
      <c r="O11" s="56"/>
      <c r="P11" s="318"/>
      <c r="Q11" s="58"/>
      <c r="R11" s="17"/>
    </row>
    <row r="12" spans="1:18" ht="12.75" customHeight="1" x14ac:dyDescent="0.25">
      <c r="A12" s="8">
        <v>10</v>
      </c>
      <c r="B12" s="17"/>
      <c r="C12" s="671"/>
      <c r="D12" s="1846"/>
      <c r="E12" s="56"/>
      <c r="F12" s="56"/>
      <c r="G12" s="56"/>
      <c r="H12" s="1949"/>
      <c r="I12" s="56"/>
      <c r="J12" s="58"/>
      <c r="K12" s="671"/>
      <c r="L12" s="1949"/>
      <c r="M12" s="56"/>
      <c r="N12" s="56"/>
      <c r="O12" s="56"/>
      <c r="P12" s="56"/>
      <c r="Q12" s="58"/>
      <c r="R12" s="17"/>
    </row>
    <row r="13" spans="1:18" ht="6" customHeight="1" x14ac:dyDescent="0.25">
      <c r="A13" s="8">
        <v>11</v>
      </c>
      <c r="B13" s="17"/>
      <c r="C13" s="671"/>
      <c r="D13" s="56"/>
      <c r="E13" s="56"/>
      <c r="F13" s="56"/>
      <c r="G13" s="56"/>
      <c r="H13" s="56"/>
      <c r="I13" s="56"/>
      <c r="J13" s="58"/>
      <c r="K13" s="671"/>
      <c r="L13" s="56"/>
      <c r="M13" s="56"/>
      <c r="N13" s="56"/>
      <c r="O13" s="56"/>
      <c r="P13" s="56"/>
      <c r="Q13" s="58"/>
      <c r="R13" s="17"/>
    </row>
    <row r="14" spans="1:18" ht="12.75" customHeight="1" x14ac:dyDescent="0.25">
      <c r="A14" s="8">
        <v>12</v>
      </c>
      <c r="B14" s="17"/>
      <c r="C14" s="671"/>
      <c r="D14" s="52" t="s">
        <v>6543</v>
      </c>
      <c r="E14" s="56"/>
      <c r="F14" s="56"/>
      <c r="G14" s="56"/>
      <c r="H14" s="56"/>
      <c r="I14" s="56"/>
      <c r="J14" s="58"/>
      <c r="K14" s="671"/>
      <c r="L14" s="52" t="s">
        <v>6544</v>
      </c>
      <c r="M14" s="56"/>
      <c r="N14" s="56"/>
      <c r="O14" s="56"/>
      <c r="P14" s="56"/>
      <c r="Q14" s="58"/>
      <c r="R14" s="17"/>
    </row>
    <row r="15" spans="1:18" ht="12.75" customHeight="1" x14ac:dyDescent="0.25">
      <c r="A15" s="8">
        <v>13</v>
      </c>
      <c r="B15" s="17"/>
      <c r="C15" s="1845">
        <f>A7</f>
        <v>4</v>
      </c>
      <c r="D15" s="318" t="s">
        <v>6536</v>
      </c>
      <c r="E15" s="56"/>
      <c r="F15" s="56"/>
      <c r="G15" s="56"/>
      <c r="H15" s="56"/>
      <c r="I15" s="56"/>
      <c r="J15" s="58"/>
      <c r="K15" s="1845">
        <f>A20</f>
        <v>18</v>
      </c>
      <c r="L15" s="318" t="s">
        <v>6536</v>
      </c>
      <c r="M15" s="56"/>
      <c r="N15" s="56"/>
      <c r="O15" s="56"/>
      <c r="P15" s="56"/>
      <c r="Q15" s="58"/>
      <c r="R15" s="17"/>
    </row>
    <row r="16" spans="1:18" ht="12.75" customHeight="1" x14ac:dyDescent="0.25">
      <c r="A16" s="8">
        <v>14</v>
      </c>
      <c r="B16" s="17"/>
      <c r="C16" s="671"/>
      <c r="D16" s="1949"/>
      <c r="E16" s="56"/>
      <c r="F16" s="56"/>
      <c r="G16" s="56"/>
      <c r="H16" s="56"/>
      <c r="I16" s="56"/>
      <c r="J16" s="58"/>
      <c r="K16" s="671"/>
      <c r="L16" s="1949"/>
      <c r="M16" s="56"/>
      <c r="N16" s="56"/>
      <c r="O16" s="56"/>
      <c r="P16" s="56"/>
      <c r="Q16" s="58"/>
      <c r="R16" s="17"/>
    </row>
    <row r="17" spans="1:18" ht="8.25" customHeight="1" x14ac:dyDescent="0.25">
      <c r="A17" s="8">
        <v>15</v>
      </c>
      <c r="B17" s="17"/>
      <c r="C17" s="671"/>
      <c r="D17" s="56"/>
      <c r="E17" s="56"/>
      <c r="F17" s="56"/>
      <c r="G17" s="56"/>
      <c r="H17" s="56"/>
      <c r="I17" s="56"/>
      <c r="J17" s="58"/>
      <c r="K17" s="671"/>
      <c r="L17" s="631"/>
      <c r="M17" s="56"/>
      <c r="N17" s="56"/>
      <c r="O17" s="56"/>
      <c r="P17" s="56"/>
      <c r="Q17" s="58"/>
      <c r="R17" s="17"/>
    </row>
    <row r="18" spans="1:18" ht="12.75" customHeight="1" x14ac:dyDescent="0.25">
      <c r="A18" s="8">
        <v>16</v>
      </c>
      <c r="B18" s="17"/>
      <c r="C18" s="682" t="s">
        <v>6545</v>
      </c>
      <c r="D18" s="56"/>
      <c r="E18" s="56"/>
      <c r="F18" s="56"/>
      <c r="G18" s="56"/>
      <c r="H18" s="56"/>
      <c r="I18" s="56"/>
      <c r="J18" s="58"/>
      <c r="K18" s="671"/>
      <c r="L18" s="52"/>
      <c r="M18" s="632"/>
      <c r="N18" s="632"/>
      <c r="O18" s="632"/>
      <c r="P18" s="632"/>
      <c r="Q18" s="58"/>
      <c r="R18" s="17"/>
    </row>
    <row r="19" spans="1:18" ht="12.75" customHeight="1" x14ac:dyDescent="0.25">
      <c r="A19" s="8">
        <v>17</v>
      </c>
      <c r="B19" s="17"/>
      <c r="C19" s="671"/>
      <c r="D19" s="52" t="s">
        <v>6539</v>
      </c>
      <c r="E19" s="56"/>
      <c r="F19" s="56"/>
      <c r="G19" s="56"/>
      <c r="H19" s="52" t="s">
        <v>6543</v>
      </c>
      <c r="I19" s="56"/>
      <c r="J19" s="58"/>
      <c r="K19" s="632"/>
      <c r="L19" s="318" t="s">
        <v>4234</v>
      </c>
      <c r="M19" s="632"/>
      <c r="N19" s="632"/>
      <c r="O19" s="632"/>
      <c r="P19" s="632"/>
      <c r="Q19" s="58"/>
      <c r="R19" s="17"/>
    </row>
    <row r="20" spans="1:18" ht="12.75" customHeight="1" x14ac:dyDescent="0.25">
      <c r="A20" s="8">
        <v>18</v>
      </c>
      <c r="B20" s="17"/>
      <c r="C20" s="1845">
        <f>A9</f>
        <v>7</v>
      </c>
      <c r="D20" s="52" t="s">
        <v>6546</v>
      </c>
      <c r="E20" s="56"/>
      <c r="F20" s="56"/>
      <c r="G20" s="1845">
        <f>A13</f>
        <v>11</v>
      </c>
      <c r="H20" s="52" t="s">
        <v>6547</v>
      </c>
      <c r="I20" s="56"/>
      <c r="J20" s="58"/>
      <c r="K20" s="1845">
        <f>A21</f>
        <v>18.100000000000001</v>
      </c>
      <c r="L20" s="318" t="s">
        <v>6536</v>
      </c>
      <c r="M20" s="632"/>
      <c r="N20" s="632"/>
      <c r="O20" s="632"/>
      <c r="P20" s="632"/>
      <c r="Q20" s="58"/>
      <c r="R20" s="17"/>
    </row>
    <row r="21" spans="1:18" ht="12.75" customHeight="1" x14ac:dyDescent="0.25">
      <c r="A21" s="8">
        <v>18.100000000000001</v>
      </c>
      <c r="B21" s="17"/>
      <c r="C21" s="671"/>
      <c r="D21" s="1846"/>
      <c r="E21" s="56"/>
      <c r="F21" s="56"/>
      <c r="G21" s="56"/>
      <c r="H21" s="1846"/>
      <c r="I21" s="56"/>
      <c r="J21" s="58"/>
      <c r="K21" s="671"/>
      <c r="L21" s="1949"/>
      <c r="M21" s="632"/>
      <c r="N21" s="632"/>
      <c r="O21" s="632"/>
      <c r="P21" s="632"/>
      <c r="Q21" s="58"/>
      <c r="R21" s="17"/>
    </row>
    <row r="22" spans="1:18" ht="6" customHeight="1" x14ac:dyDescent="0.25">
      <c r="A22" s="8">
        <v>19</v>
      </c>
      <c r="B22" s="17"/>
      <c r="C22" s="671"/>
      <c r="D22" s="56"/>
      <c r="E22" s="56"/>
      <c r="F22" s="56"/>
      <c r="G22" s="56"/>
      <c r="H22" s="56"/>
      <c r="I22" s="56"/>
      <c r="J22" s="58"/>
      <c r="K22" s="632"/>
      <c r="L22" s="632"/>
      <c r="M22" s="632"/>
      <c r="N22" s="632"/>
      <c r="O22" s="632"/>
      <c r="P22" s="632"/>
      <c r="Q22" s="58"/>
      <c r="R22" s="17"/>
    </row>
    <row r="23" spans="1:18" ht="12.75" customHeight="1" x14ac:dyDescent="0.3">
      <c r="A23" s="8">
        <v>20</v>
      </c>
      <c r="B23" s="17"/>
      <c r="C23" s="671"/>
      <c r="D23" s="52" t="s">
        <v>6543</v>
      </c>
      <c r="E23" s="56"/>
      <c r="F23" s="56"/>
      <c r="G23" s="56"/>
      <c r="H23" s="52" t="s">
        <v>6548</v>
      </c>
      <c r="I23" s="56"/>
      <c r="J23" s="58"/>
      <c r="K23" s="684" t="s">
        <v>6549</v>
      </c>
      <c r="L23" s="56"/>
      <c r="M23" s="56"/>
      <c r="N23" s="56"/>
      <c r="O23" s="56"/>
      <c r="P23" s="56" t="s">
        <v>6550</v>
      </c>
      <c r="Q23" s="58"/>
      <c r="R23" s="17"/>
    </row>
    <row r="24" spans="1:18" ht="12.75" customHeight="1" x14ac:dyDescent="0.25">
      <c r="A24" s="8">
        <v>21</v>
      </c>
      <c r="B24" s="17"/>
      <c r="C24" s="1845">
        <f>A10</f>
        <v>8</v>
      </c>
      <c r="D24" s="52" t="s">
        <v>6546</v>
      </c>
      <c r="E24" s="56"/>
      <c r="F24" s="56"/>
      <c r="G24" s="1845">
        <f>A14</f>
        <v>12</v>
      </c>
      <c r="H24" s="52" t="s">
        <v>6551</v>
      </c>
      <c r="I24" s="56"/>
      <c r="J24" s="58"/>
      <c r="K24" s="1893">
        <f>A25</f>
        <v>22</v>
      </c>
      <c r="L24" s="52" t="s">
        <v>6552</v>
      </c>
      <c r="M24" s="56"/>
      <c r="N24" s="56"/>
      <c r="O24" s="1893">
        <f>A27</f>
        <v>23</v>
      </c>
      <c r="P24" s="52" t="s">
        <v>6553</v>
      </c>
      <c r="Q24" s="58"/>
      <c r="R24" s="17"/>
    </row>
    <row r="25" spans="1:18" ht="12.75" customHeight="1" x14ac:dyDescent="0.25">
      <c r="A25" s="8">
        <v>22</v>
      </c>
      <c r="B25" s="17"/>
      <c r="C25" s="671"/>
      <c r="D25" s="1846"/>
      <c r="E25" s="56"/>
      <c r="F25" s="56"/>
      <c r="G25" s="56"/>
      <c r="H25" s="1863"/>
      <c r="I25" s="56"/>
      <c r="J25" s="58"/>
      <c r="K25" s="671"/>
      <c r="L25" s="1949"/>
      <c r="M25" s="56"/>
      <c r="N25" s="56"/>
      <c r="O25" s="56"/>
      <c r="P25" s="1949"/>
      <c r="Q25" s="58"/>
      <c r="R25" s="17"/>
    </row>
    <row r="26" spans="1:18" ht="6" customHeight="1" x14ac:dyDescent="0.25">
      <c r="A26" s="8">
        <v>22.1</v>
      </c>
      <c r="B26" s="17"/>
      <c r="C26" s="671"/>
      <c r="D26" s="56"/>
      <c r="E26" s="56"/>
      <c r="F26" s="56"/>
      <c r="G26" s="56"/>
      <c r="H26" s="56"/>
      <c r="I26" s="56"/>
      <c r="J26" s="58"/>
      <c r="K26" s="632"/>
      <c r="L26" s="632"/>
      <c r="M26" s="632"/>
      <c r="N26" s="632"/>
      <c r="O26" s="632"/>
      <c r="P26" s="632"/>
      <c r="Q26" s="58"/>
      <c r="R26" s="17"/>
    </row>
    <row r="27" spans="1:18" ht="12.75" customHeight="1" x14ac:dyDescent="0.25">
      <c r="A27" s="8">
        <v>23</v>
      </c>
      <c r="B27" s="17"/>
      <c r="C27" s="671"/>
      <c r="D27" s="52" t="s">
        <v>6548</v>
      </c>
      <c r="E27" s="56"/>
      <c r="F27" s="56"/>
      <c r="G27" s="56"/>
      <c r="H27" s="52"/>
      <c r="I27" s="56"/>
      <c r="J27" s="58"/>
      <c r="K27" s="632"/>
      <c r="L27" s="632"/>
      <c r="M27" s="632"/>
      <c r="N27" s="632"/>
      <c r="O27" s="632"/>
      <c r="P27" s="632"/>
      <c r="Q27" s="58"/>
      <c r="R27" s="17"/>
    </row>
    <row r="28" spans="1:18" ht="12.75" customHeight="1" x14ac:dyDescent="0.25">
      <c r="A28" s="8">
        <v>24</v>
      </c>
      <c r="B28" s="17"/>
      <c r="C28" s="1845">
        <f>A11</f>
        <v>9</v>
      </c>
      <c r="D28" s="52" t="s">
        <v>6554</v>
      </c>
      <c r="E28" s="56"/>
      <c r="F28" s="56"/>
      <c r="G28" s="1845">
        <f>A15</f>
        <v>13</v>
      </c>
      <c r="H28" s="52" t="s">
        <v>6555</v>
      </c>
      <c r="I28" s="56"/>
      <c r="J28" s="58"/>
      <c r="K28" s="2025">
        <f>A26</f>
        <v>22.1</v>
      </c>
      <c r="L28" s="52" t="s">
        <v>5596</v>
      </c>
      <c r="M28" s="632"/>
      <c r="N28" s="632"/>
      <c r="O28" s="632"/>
      <c r="P28" s="632"/>
      <c r="Q28" s="58"/>
      <c r="R28" s="17"/>
    </row>
    <row r="29" spans="1:18" x14ac:dyDescent="0.25">
      <c r="A29" s="8">
        <v>25</v>
      </c>
      <c r="B29" s="17"/>
      <c r="C29" s="671"/>
      <c r="D29" s="1846"/>
      <c r="E29" s="56"/>
      <c r="F29" s="56"/>
      <c r="G29" s="56"/>
      <c r="H29" s="1846"/>
      <c r="I29" s="56"/>
      <c r="J29" s="58"/>
      <c r="K29" s="671"/>
      <c r="L29" s="1949"/>
      <c r="M29" s="632"/>
      <c r="N29" s="632"/>
      <c r="O29" s="632"/>
      <c r="P29" s="632"/>
      <c r="Q29" s="58"/>
      <c r="R29" s="17"/>
    </row>
    <row r="30" spans="1:18" ht="6" customHeight="1" x14ac:dyDescent="0.25">
      <c r="A30" s="8">
        <v>25.1</v>
      </c>
      <c r="B30" s="17"/>
      <c r="C30" s="671"/>
      <c r="D30" s="56"/>
      <c r="E30" s="56"/>
      <c r="F30" s="56"/>
      <c r="G30" s="56"/>
      <c r="H30" s="56"/>
      <c r="I30" s="56"/>
      <c r="J30" s="58"/>
      <c r="K30" s="632"/>
      <c r="L30" s="632"/>
      <c r="M30" s="632"/>
      <c r="N30" s="632"/>
      <c r="O30" s="632"/>
      <c r="P30" s="632"/>
      <c r="Q30" s="58"/>
      <c r="R30" s="17"/>
    </row>
    <row r="31" spans="1:18" x14ac:dyDescent="0.25">
      <c r="A31" s="8">
        <v>26</v>
      </c>
      <c r="B31" s="17"/>
      <c r="C31" s="671"/>
      <c r="D31" s="52" t="s">
        <v>6539</v>
      </c>
      <c r="E31" s="56"/>
      <c r="F31" s="56"/>
      <c r="G31" s="56"/>
      <c r="H31" s="56"/>
      <c r="I31" s="56"/>
      <c r="J31" s="58"/>
      <c r="K31" s="632"/>
      <c r="L31" s="632"/>
      <c r="M31" s="632"/>
      <c r="N31" s="632"/>
      <c r="O31" s="632"/>
      <c r="P31" s="632"/>
      <c r="Q31" s="58"/>
      <c r="R31" s="17"/>
    </row>
    <row r="32" spans="1:18" x14ac:dyDescent="0.25">
      <c r="A32" s="8"/>
      <c r="B32" s="17"/>
      <c r="C32" s="1845">
        <f>A12</f>
        <v>10</v>
      </c>
      <c r="D32" s="52" t="s">
        <v>6547</v>
      </c>
      <c r="E32" s="56"/>
      <c r="F32" s="56"/>
      <c r="G32" s="1845">
        <f>A16</f>
        <v>14</v>
      </c>
      <c r="H32" s="52" t="s">
        <v>6556</v>
      </c>
      <c r="I32" s="56"/>
      <c r="J32" s="58"/>
      <c r="K32" s="632"/>
      <c r="L32" s="632"/>
      <c r="M32" s="632"/>
      <c r="N32" s="632"/>
      <c r="O32" s="632"/>
      <c r="P32" s="632"/>
      <c r="Q32" s="58"/>
      <c r="R32" s="17"/>
    </row>
    <row r="33" spans="2:18" ht="12" x14ac:dyDescent="0.3">
      <c r="B33" s="17"/>
      <c r="C33" s="671"/>
      <c r="D33" s="1846"/>
      <c r="E33" s="56"/>
      <c r="F33" s="56"/>
      <c r="G33" s="56"/>
      <c r="H33" s="1846"/>
      <c r="I33" s="56"/>
      <c r="J33" s="58"/>
      <c r="K33" s="685" t="s">
        <v>6557</v>
      </c>
      <c r="L33" s="632"/>
      <c r="M33" s="632"/>
      <c r="N33" s="632"/>
      <c r="O33" s="632"/>
      <c r="P33" s="632"/>
      <c r="Q33" s="58"/>
      <c r="R33" s="17"/>
    </row>
    <row r="34" spans="2:18" ht="12" customHeight="1" x14ac:dyDescent="0.25">
      <c r="B34" s="17"/>
      <c r="C34" s="671"/>
      <c r="D34" s="56"/>
      <c r="E34" s="56"/>
      <c r="F34" s="56"/>
      <c r="G34" s="56"/>
      <c r="H34" s="56"/>
      <c r="I34" s="56"/>
      <c r="J34" s="58"/>
      <c r="K34" s="671"/>
      <c r="L34" s="52" t="s">
        <v>6558</v>
      </c>
      <c r="M34" s="56"/>
      <c r="N34" s="56"/>
      <c r="O34" s="56"/>
      <c r="P34" s="56"/>
      <c r="Q34" s="58"/>
      <c r="R34" s="17"/>
    </row>
    <row r="35" spans="2:18" x14ac:dyDescent="0.25">
      <c r="B35" s="17"/>
      <c r="C35" s="671"/>
      <c r="D35" s="56"/>
      <c r="E35" s="56"/>
      <c r="F35" s="56"/>
      <c r="G35" s="56"/>
      <c r="H35" s="52" t="s">
        <v>6559</v>
      </c>
      <c r="I35" s="56"/>
      <c r="J35" s="58"/>
      <c r="K35" s="1845">
        <f>A28</f>
        <v>24</v>
      </c>
      <c r="L35" s="52" t="s">
        <v>6560</v>
      </c>
      <c r="M35" s="56"/>
      <c r="N35" s="56"/>
      <c r="O35" s="56"/>
      <c r="P35" s="56"/>
      <c r="Q35" s="58"/>
      <c r="R35" s="17"/>
    </row>
    <row r="36" spans="2:18" x14ac:dyDescent="0.25">
      <c r="B36" s="17"/>
      <c r="C36" s="671"/>
      <c r="D36" s="56"/>
      <c r="E36" s="56"/>
      <c r="F36" s="56"/>
      <c r="G36" s="1845">
        <f>A17</f>
        <v>15</v>
      </c>
      <c r="H36" s="52" t="s">
        <v>6561</v>
      </c>
      <c r="I36" s="56"/>
      <c r="J36" s="58"/>
      <c r="K36" s="671"/>
      <c r="L36" s="1949"/>
      <c r="M36" s="56"/>
      <c r="N36" s="56"/>
      <c r="O36" s="56"/>
      <c r="P36" s="56"/>
      <c r="Q36" s="58"/>
      <c r="R36" s="17"/>
    </row>
    <row r="37" spans="2:18" x14ac:dyDescent="0.25">
      <c r="B37" s="17"/>
      <c r="C37" s="671"/>
      <c r="D37" s="56"/>
      <c r="E37" s="56"/>
      <c r="F37" s="56"/>
      <c r="G37" s="56"/>
      <c r="H37" s="1846"/>
      <c r="I37" s="56"/>
      <c r="J37" s="58"/>
      <c r="K37" s="671"/>
      <c r="L37" s="56"/>
      <c r="M37" s="56"/>
      <c r="N37" s="56"/>
      <c r="O37" s="56"/>
      <c r="P37" s="56"/>
      <c r="Q37" s="58"/>
      <c r="R37" s="17"/>
    </row>
    <row r="38" spans="2:18" x14ac:dyDescent="0.25">
      <c r="B38" s="17"/>
      <c r="C38" s="671"/>
      <c r="D38" s="56"/>
      <c r="E38" s="56"/>
      <c r="F38" s="56"/>
      <c r="G38" s="56"/>
      <c r="H38" s="56"/>
      <c r="I38" s="56"/>
      <c r="J38" s="58"/>
      <c r="K38" s="671"/>
      <c r="L38" s="56"/>
      <c r="M38" s="56"/>
      <c r="N38" s="56"/>
      <c r="O38" s="56"/>
      <c r="P38" s="56"/>
      <c r="Q38" s="58"/>
      <c r="R38" s="17"/>
    </row>
    <row r="39" spans="2:18" ht="12" x14ac:dyDescent="0.3">
      <c r="B39" s="17"/>
      <c r="C39" s="671"/>
      <c r="D39" s="56"/>
      <c r="E39" s="56"/>
      <c r="F39" s="56"/>
      <c r="G39" s="56"/>
      <c r="H39" s="56"/>
      <c r="I39" s="56"/>
      <c r="J39" s="58"/>
      <c r="K39" s="684" t="s">
        <v>6562</v>
      </c>
      <c r="L39" s="56"/>
      <c r="M39" s="56"/>
      <c r="N39" s="56"/>
      <c r="O39" s="56"/>
      <c r="P39" s="56"/>
      <c r="Q39" s="58"/>
      <c r="R39" s="17"/>
    </row>
    <row r="40" spans="2:18" ht="12" customHeight="1" x14ac:dyDescent="0.25">
      <c r="B40" s="17"/>
      <c r="C40" s="671"/>
      <c r="D40" s="56"/>
      <c r="E40" s="56"/>
      <c r="F40" s="56"/>
      <c r="G40" s="56"/>
      <c r="H40" s="52"/>
      <c r="I40" s="56"/>
      <c r="J40" s="58"/>
      <c r="K40" s="1893">
        <f>A29</f>
        <v>25</v>
      </c>
      <c r="L40" s="52" t="s">
        <v>4244</v>
      </c>
      <c r="M40" s="56"/>
      <c r="N40" s="56"/>
      <c r="O40" s="56"/>
      <c r="P40" s="56"/>
      <c r="Q40" s="408"/>
      <c r="R40" s="17"/>
    </row>
    <row r="41" spans="2:18" ht="12" customHeight="1" x14ac:dyDescent="0.25">
      <c r="B41" s="17"/>
      <c r="C41" s="671"/>
      <c r="D41" s="56"/>
      <c r="E41" s="56"/>
      <c r="F41" s="56"/>
      <c r="G41" s="56"/>
      <c r="H41" s="56"/>
      <c r="I41" s="56"/>
      <c r="J41" s="58"/>
      <c r="K41" s="671"/>
      <c r="L41" s="1949"/>
      <c r="M41" s="56"/>
      <c r="N41" s="56"/>
      <c r="O41" s="56"/>
      <c r="P41" s="56"/>
      <c r="Q41" s="58"/>
      <c r="R41" s="226"/>
    </row>
    <row r="42" spans="2:18" x14ac:dyDescent="0.25">
      <c r="B42" s="17"/>
      <c r="C42" s="671"/>
      <c r="D42" s="56"/>
      <c r="E42" s="56"/>
      <c r="F42" s="56"/>
      <c r="G42" s="56"/>
      <c r="H42" s="56"/>
      <c r="I42" s="56"/>
      <c r="J42" s="58"/>
      <c r="K42" s="671"/>
      <c r="L42" s="56"/>
      <c r="M42" s="56"/>
      <c r="N42" s="56"/>
      <c r="O42" s="56"/>
      <c r="P42" s="56"/>
      <c r="Q42" s="58"/>
      <c r="R42" s="226"/>
    </row>
    <row r="43" spans="2:18" x14ac:dyDescent="0.25">
      <c r="B43" s="17"/>
      <c r="C43" s="671"/>
      <c r="D43" s="56"/>
      <c r="E43" s="56"/>
      <c r="F43" s="56"/>
      <c r="G43" s="56"/>
      <c r="H43" s="56"/>
      <c r="I43" s="56"/>
      <c r="J43" s="58"/>
      <c r="K43" s="671"/>
      <c r="L43" s="56"/>
      <c r="M43" s="56"/>
      <c r="N43" s="56"/>
      <c r="O43" s="1886">
        <f>A30</f>
        <v>25.1</v>
      </c>
      <c r="P43" s="52" t="s">
        <v>6563</v>
      </c>
      <c r="Q43" s="58"/>
      <c r="R43" s="226"/>
    </row>
    <row r="44" spans="2:18" x14ac:dyDescent="0.25">
      <c r="B44" s="17"/>
      <c r="C44" s="671"/>
      <c r="D44" s="56"/>
      <c r="E44" s="56"/>
      <c r="F44" s="56"/>
      <c r="G44" s="56"/>
      <c r="H44" s="56"/>
      <c r="I44" s="56"/>
      <c r="J44" s="58"/>
      <c r="K44" s="671"/>
      <c r="L44" s="56"/>
      <c r="M44" s="56"/>
      <c r="N44" s="56"/>
      <c r="O44" s="407"/>
      <c r="P44" s="1949"/>
      <c r="Q44" s="58"/>
      <c r="R44" s="226"/>
    </row>
    <row r="45" spans="2:18" x14ac:dyDescent="0.25">
      <c r="B45" s="17"/>
      <c r="C45" s="1912"/>
      <c r="D45" s="1923"/>
      <c r="E45" s="1923"/>
      <c r="F45" s="1923"/>
      <c r="G45" s="1923"/>
      <c r="H45" s="1923"/>
      <c r="I45" s="1923"/>
      <c r="J45" s="1924"/>
      <c r="K45" s="1912"/>
      <c r="L45" s="1923"/>
      <c r="M45" s="1923"/>
      <c r="N45" s="1923"/>
      <c r="O45" s="1923"/>
      <c r="P45" s="1923"/>
      <c r="Q45" s="1924"/>
      <c r="R45" s="17"/>
    </row>
    <row r="46" spans="2:18" x14ac:dyDescent="0.25">
      <c r="B46" s="17"/>
      <c r="C46" s="17"/>
      <c r="D46" s="17"/>
      <c r="E46" s="17"/>
      <c r="F46" s="17"/>
      <c r="G46" s="17"/>
      <c r="H46" s="17"/>
      <c r="I46" s="17"/>
      <c r="J46" s="17"/>
      <c r="K46" s="226"/>
      <c r="L46" s="226"/>
      <c r="M46" s="226"/>
      <c r="N46" s="226"/>
      <c r="O46" s="226"/>
      <c r="P46" s="226"/>
      <c r="Q46" s="226"/>
      <c r="R46" s="226"/>
    </row>
  </sheetData>
  <phoneticPr fontId="58" type="noConversion"/>
  <pageMargins left="0.196850393700787" right="0.196850393700787" top="0.196850393700787" bottom="0.196850393700787" header="0" footer="0"/>
  <pageSetup paperSize="9" orientation="landscape" r:id="rId1"/>
  <headerFooter alignWithMargins="0">
    <oddFooter>&amp;C&amp;1#&amp;"Calibri"&amp;10&amp;K000000OFFICIAL-SENSITIVE</oddFooter>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
    <pageSetUpPr fitToPage="1"/>
  </sheetPr>
  <dimension ref="A1:W37"/>
  <sheetViews>
    <sheetView showGridLines="0" topLeftCell="B1" zoomScale="106" zoomScaleNormal="106" workbookViewId="0">
      <selection activeCell="N33" sqref="N33"/>
    </sheetView>
  </sheetViews>
  <sheetFormatPr defaultColWidth="9.1796875" defaultRowHeight="11.5" x14ac:dyDescent="0.25"/>
  <cols>
    <col min="1" max="1" width="4.26953125" style="39" hidden="1" customWidth="1"/>
    <col min="2" max="2" width="7.54296875" style="39" customWidth="1"/>
    <col min="3" max="4" width="5.1796875" style="39" customWidth="1"/>
    <col min="5" max="5" width="12.1796875" style="39" customWidth="1"/>
    <col min="6" max="6" width="20.54296875" style="39" customWidth="1"/>
    <col min="7" max="7" width="4.81640625" style="39" customWidth="1"/>
    <col min="8" max="8" width="5.1796875" style="39" customWidth="1"/>
    <col min="9" max="9" width="14.453125" style="39" customWidth="1"/>
    <col min="10" max="10" width="17.453125" style="39" customWidth="1"/>
    <col min="11" max="11" width="5.1796875" style="39" customWidth="1"/>
    <col min="12" max="12" width="13.453125" style="39" customWidth="1"/>
    <col min="13" max="13" width="3" style="39" customWidth="1"/>
    <col min="14" max="14" width="17.54296875" style="39" customWidth="1"/>
    <col min="15" max="15" width="7.1796875" style="39" hidden="1" customWidth="1"/>
    <col min="16" max="16" width="20" style="39" hidden="1" customWidth="1"/>
    <col min="17" max="17" width="10.1796875" style="39" hidden="1" customWidth="1"/>
    <col min="18" max="18" width="12.1796875" style="39" hidden="1" customWidth="1"/>
    <col min="19" max="20" width="9.1796875" style="39" customWidth="1"/>
    <col min="21" max="16384" width="9.1796875" style="39"/>
  </cols>
  <sheetData>
    <row r="1" spans="1:23" ht="12.75" customHeight="1" x14ac:dyDescent="0.25">
      <c r="A1" s="8" t="s">
        <v>38</v>
      </c>
      <c r="B1" s="17"/>
      <c r="C1" s="17"/>
      <c r="D1" s="17"/>
      <c r="E1" s="17"/>
      <c r="F1" s="17"/>
      <c r="G1" s="17"/>
      <c r="H1" s="17"/>
      <c r="I1" s="17"/>
      <c r="J1" s="17"/>
      <c r="K1" s="17"/>
      <c r="L1" s="17"/>
      <c r="M1" s="17"/>
      <c r="N1" s="17"/>
      <c r="O1" s="8">
        <v>200</v>
      </c>
      <c r="P1" s="8"/>
      <c r="Q1" s="8"/>
      <c r="R1" s="8"/>
      <c r="S1" s="8"/>
      <c r="T1" s="8"/>
      <c r="U1" s="8"/>
      <c r="V1" s="8"/>
      <c r="W1" s="8"/>
    </row>
    <row r="2" spans="1:23" ht="12.75" customHeight="1" x14ac:dyDescent="0.3">
      <c r="A2" s="8">
        <v>1</v>
      </c>
      <c r="B2" s="17"/>
      <c r="C2" s="2026" t="s">
        <v>738</v>
      </c>
      <c r="D2" s="1856"/>
      <c r="E2" s="1943"/>
      <c r="F2" s="1861"/>
      <c r="G2" s="1857" t="str">
        <f>NRD</f>
        <v>NRD</v>
      </c>
      <c r="H2" s="2027"/>
      <c r="I2" s="1943"/>
      <c r="J2" s="1856"/>
      <c r="K2" s="1856"/>
      <c r="L2" s="1856"/>
      <c r="M2" s="1857" t="s">
        <v>38</v>
      </c>
      <c r="N2" s="17"/>
      <c r="O2" s="8"/>
      <c r="P2" s="8"/>
      <c r="Q2" s="8"/>
      <c r="R2" s="8"/>
      <c r="S2" s="8"/>
      <c r="T2" s="8"/>
      <c r="U2" s="8"/>
      <c r="V2" s="8"/>
      <c r="W2" s="8"/>
    </row>
    <row r="3" spans="1:23" ht="12.75" customHeight="1" x14ac:dyDescent="0.25">
      <c r="A3" s="8">
        <v>15</v>
      </c>
      <c r="B3" s="17"/>
      <c r="C3" s="655"/>
      <c r="D3" s="40"/>
      <c r="E3" s="40"/>
      <c r="F3" s="40"/>
      <c r="G3" s="48"/>
      <c r="H3" s="655"/>
      <c r="I3" s="40"/>
      <c r="J3" s="40"/>
      <c r="K3" s="40"/>
      <c r="L3" s="40"/>
      <c r="M3" s="48"/>
      <c r="N3" s="17"/>
      <c r="O3" s="8"/>
      <c r="P3" s="8"/>
      <c r="Q3" s="8"/>
      <c r="R3" s="8"/>
      <c r="S3" s="8"/>
      <c r="T3" s="8"/>
      <c r="U3" s="8"/>
      <c r="V3" s="8"/>
      <c r="W3" s="8"/>
    </row>
    <row r="4" spans="1:23" ht="12.75" customHeight="1" x14ac:dyDescent="0.3">
      <c r="A4" s="8">
        <v>16</v>
      </c>
      <c r="B4" s="17"/>
      <c r="C4" s="675" t="s">
        <v>6564</v>
      </c>
      <c r="D4" s="40"/>
      <c r="E4" s="40"/>
      <c r="F4" s="40"/>
      <c r="G4" s="48"/>
      <c r="H4" s="675" t="s">
        <v>6565</v>
      </c>
      <c r="I4" s="40"/>
      <c r="J4" s="40"/>
      <c r="K4" s="40"/>
      <c r="L4" s="40"/>
      <c r="M4" s="48"/>
      <c r="N4" s="17"/>
      <c r="O4" s="8"/>
      <c r="P4" s="9" t="str">
        <f>"box_"&amp;NRD&amp;C5</f>
        <v>box_NRD1</v>
      </c>
      <c r="Q4" s="2028" t="b">
        <v>0</v>
      </c>
      <c r="R4" s="8"/>
      <c r="S4" s="8"/>
      <c r="T4" s="8"/>
      <c r="U4" s="8"/>
      <c r="V4" s="8"/>
      <c r="W4" s="8"/>
    </row>
    <row r="5" spans="1:23" ht="12.75" customHeight="1" x14ac:dyDescent="0.25">
      <c r="A5" s="8">
        <v>20</v>
      </c>
      <c r="B5" s="17"/>
      <c r="C5" s="1886">
        <f>A2</f>
        <v>1</v>
      </c>
      <c r="D5" s="40" t="s">
        <v>6566</v>
      </c>
      <c r="E5" s="40"/>
      <c r="F5" s="44"/>
      <c r="G5" s="61"/>
      <c r="H5" s="1845">
        <f>NRD!A8</f>
        <v>28</v>
      </c>
      <c r="I5" s="46" t="s">
        <v>6567</v>
      </c>
      <c r="J5" s="40"/>
      <c r="K5" s="40"/>
      <c r="L5" s="40"/>
      <c r="M5" s="48"/>
      <c r="N5" s="17"/>
      <c r="O5" s="8"/>
      <c r="P5" s="9" t="s">
        <v>6568</v>
      </c>
      <c r="Q5" s="2029" t="b">
        <f>NOT(box_NRD1)</f>
        <v>1</v>
      </c>
      <c r="R5" s="8"/>
      <c r="S5" s="8"/>
      <c r="T5" s="8"/>
      <c r="U5" s="8"/>
      <c r="V5" s="8"/>
      <c r="W5" s="8"/>
    </row>
    <row r="6" spans="1:23" ht="12.75" customHeight="1" x14ac:dyDescent="0.25">
      <c r="A6" s="8">
        <v>21</v>
      </c>
      <c r="B6" s="17"/>
      <c r="C6" s="655"/>
      <c r="D6" s="40"/>
      <c r="E6" s="40"/>
      <c r="F6" s="44"/>
      <c r="G6" s="48"/>
      <c r="H6" s="45"/>
      <c r="I6" s="46"/>
      <c r="J6" s="40"/>
      <c r="K6" s="40"/>
      <c r="L6" s="40"/>
      <c r="M6" s="48"/>
      <c r="N6" s="17"/>
      <c r="O6" s="8"/>
      <c r="P6" s="9" t="s">
        <v>6569</v>
      </c>
      <c r="Q6" s="2028" t="b">
        <v>0</v>
      </c>
      <c r="R6" s="8"/>
      <c r="S6" s="8"/>
      <c r="T6" s="8"/>
      <c r="U6" s="8"/>
      <c r="V6" s="8"/>
      <c r="W6" s="8"/>
    </row>
    <row r="7" spans="1:23" ht="12.75" customHeight="1" x14ac:dyDescent="0.25">
      <c r="A7" s="8">
        <v>22</v>
      </c>
      <c r="B7" s="17"/>
      <c r="C7" s="655"/>
      <c r="D7" s="40"/>
      <c r="E7" s="40"/>
      <c r="F7" s="44"/>
      <c r="G7" s="48"/>
      <c r="H7" s="688"/>
      <c r="I7" s="46"/>
      <c r="J7" s="40"/>
      <c r="K7" s="40"/>
      <c r="L7" s="40"/>
      <c r="M7" s="48"/>
      <c r="N7" s="17"/>
      <c r="O7" s="8"/>
      <c r="P7" s="9" t="s">
        <v>6570</v>
      </c>
      <c r="Q7" s="2029" t="b">
        <f>AND(OR(box_NRD15,box_NRD16,Resident),NON_DOM_Allowances)</f>
        <v>1</v>
      </c>
      <c r="R7" s="8"/>
      <c r="S7" s="8"/>
      <c r="T7" s="8"/>
      <c r="U7" s="8"/>
      <c r="V7" s="8"/>
      <c r="W7" s="8"/>
    </row>
    <row r="8" spans="1:23" ht="12.75" customHeight="1" x14ac:dyDescent="0.3">
      <c r="A8" s="8">
        <v>28</v>
      </c>
      <c r="B8" s="17"/>
      <c r="C8" s="675" t="s">
        <v>6571</v>
      </c>
      <c r="D8" s="40"/>
      <c r="E8" s="45"/>
      <c r="F8" s="618"/>
      <c r="G8" s="61"/>
      <c r="H8" s="1886">
        <f>A9</f>
        <v>29</v>
      </c>
      <c r="I8" s="40" t="s">
        <v>6572</v>
      </c>
      <c r="J8" s="40"/>
      <c r="K8" s="40"/>
      <c r="L8" s="40"/>
      <c r="M8" s="48"/>
      <c r="N8" s="17"/>
      <c r="O8" s="8"/>
      <c r="P8" s="9" t="str">
        <f>"box_"&amp;NRD&amp;A3</f>
        <v>box_NRD15</v>
      </c>
      <c r="Q8" s="2028" t="b">
        <v>0</v>
      </c>
      <c r="R8" s="136" t="s">
        <v>6573</v>
      </c>
      <c r="S8" s="8"/>
      <c r="T8" s="8"/>
      <c r="U8" s="8"/>
      <c r="V8" s="8"/>
      <c r="W8" s="8"/>
    </row>
    <row r="9" spans="1:23" ht="12.75" customHeight="1" x14ac:dyDescent="0.25">
      <c r="A9" s="8">
        <v>29</v>
      </c>
      <c r="B9" s="17"/>
      <c r="C9" s="1886">
        <f>A3</f>
        <v>15</v>
      </c>
      <c r="D9" s="40" t="s">
        <v>6574</v>
      </c>
      <c r="E9" s="45"/>
      <c r="F9" s="618"/>
      <c r="G9" s="61"/>
      <c r="H9" s="655"/>
      <c r="I9" s="40"/>
      <c r="J9" s="40"/>
      <c r="K9" s="40"/>
      <c r="L9" s="40"/>
      <c r="M9" s="48"/>
      <c r="N9" s="17"/>
      <c r="O9" s="8"/>
      <c r="P9" s="9" t="str">
        <f>"box_"&amp;NRD&amp;A4</f>
        <v>box_NRD16</v>
      </c>
      <c r="Q9" s="2028" t="b">
        <v>0</v>
      </c>
      <c r="R9" s="136" t="s">
        <v>6573</v>
      </c>
      <c r="S9" s="8"/>
      <c r="T9" s="8"/>
      <c r="U9" s="8"/>
      <c r="V9" s="8"/>
      <c r="W9" s="8"/>
    </row>
    <row r="10" spans="1:23" ht="12.75" customHeight="1" x14ac:dyDescent="0.25">
      <c r="A10" s="8">
        <v>40</v>
      </c>
      <c r="B10" s="17"/>
      <c r="C10" s="688"/>
      <c r="D10" s="40"/>
      <c r="E10" s="40"/>
      <c r="F10" s="618"/>
      <c r="G10" s="48"/>
      <c r="H10" s="655"/>
      <c r="I10" s="40"/>
      <c r="J10" s="40"/>
      <c r="K10" s="40"/>
      <c r="L10" s="40"/>
      <c r="M10" s="48"/>
      <c r="N10" s="17"/>
      <c r="O10" s="8"/>
      <c r="P10" s="1062" t="str">
        <f>"box_"&amp;NRD&amp;H5</f>
        <v>box_NRD28</v>
      </c>
      <c r="Q10" s="2030" t="b">
        <v>0</v>
      </c>
      <c r="R10" s="1063" t="s">
        <v>9532</v>
      </c>
      <c r="S10" s="8"/>
      <c r="T10" s="8"/>
      <c r="U10" s="8"/>
      <c r="V10" s="8"/>
      <c r="W10" s="8"/>
    </row>
    <row r="11" spans="1:23" ht="12.75" customHeight="1" x14ac:dyDescent="0.3">
      <c r="A11" s="8">
        <v>41</v>
      </c>
      <c r="B11" s="17"/>
      <c r="C11" s="655"/>
      <c r="D11" s="40"/>
      <c r="E11" s="440"/>
      <c r="F11" s="618"/>
      <c r="G11" s="48"/>
      <c r="H11" s="675" t="s">
        <v>6575</v>
      </c>
      <c r="I11" s="40"/>
      <c r="J11" s="40"/>
      <c r="K11" s="40"/>
      <c r="L11" s="40"/>
      <c r="M11" s="48"/>
      <c r="N11" s="17"/>
      <c r="O11" s="8"/>
      <c r="P11" s="1062" t="str">
        <f>"box_"&amp;NRD&amp;H8</f>
        <v>box_NRD29</v>
      </c>
      <c r="Q11" s="2030" t="b">
        <v>0</v>
      </c>
      <c r="R11" s="1063" t="s">
        <v>9533</v>
      </c>
      <c r="S11" s="8"/>
      <c r="T11" s="8"/>
      <c r="U11" s="8"/>
      <c r="V11" s="8"/>
      <c r="W11" s="8"/>
    </row>
    <row r="12" spans="1:23" ht="12.75" customHeight="1" x14ac:dyDescent="0.25">
      <c r="A12" s="8">
        <v>49</v>
      </c>
      <c r="B12" s="17"/>
      <c r="C12" s="1886">
        <f>A4</f>
        <v>16</v>
      </c>
      <c r="D12" s="40" t="s">
        <v>6576</v>
      </c>
      <c r="E12" s="440"/>
      <c r="F12" s="618"/>
      <c r="G12" s="48"/>
      <c r="H12" s="1886">
        <f>A10</f>
        <v>40</v>
      </c>
      <c r="I12" s="40" t="s">
        <v>6577</v>
      </c>
      <c r="J12" s="40"/>
      <c r="K12" s="40"/>
      <c r="L12" s="40"/>
      <c r="M12" s="48"/>
      <c r="N12" s="17"/>
      <c r="O12" s="8"/>
      <c r="P12" s="1062" t="s">
        <v>9528</v>
      </c>
      <c r="Q12" s="2030" t="b">
        <v>0</v>
      </c>
      <c r="R12" s="1063" t="s">
        <v>9534</v>
      </c>
      <c r="U12" s="8"/>
      <c r="V12" s="8"/>
      <c r="W12" s="8"/>
    </row>
    <row r="13" spans="1:23" ht="12.75" customHeight="1" x14ac:dyDescent="0.25">
      <c r="A13" s="8">
        <v>50</v>
      </c>
      <c r="B13" s="17"/>
      <c r="C13" s="655"/>
      <c r="D13" s="45"/>
      <c r="E13" s="45"/>
      <c r="F13" s="45"/>
      <c r="G13" s="48"/>
      <c r="H13" s="655"/>
      <c r="I13" s="40"/>
      <c r="J13" s="40"/>
      <c r="K13" s="40"/>
      <c r="L13" s="40"/>
      <c r="M13" s="48"/>
      <c r="N13" s="17"/>
      <c r="O13" s="8"/>
      <c r="P13" s="1062" t="s">
        <v>9529</v>
      </c>
      <c r="Q13" s="2030" t="b">
        <v>0</v>
      </c>
      <c r="R13" s="1063" t="s">
        <v>6578</v>
      </c>
      <c r="U13" s="8"/>
      <c r="V13" s="8"/>
      <c r="W13" s="8"/>
    </row>
    <row r="14" spans="1:23" ht="12.75" customHeight="1" x14ac:dyDescent="0.25">
      <c r="A14" s="8">
        <v>51</v>
      </c>
      <c r="B14" s="17"/>
      <c r="C14" s="655"/>
      <c r="D14" s="45"/>
      <c r="E14" s="40"/>
      <c r="F14" s="40"/>
      <c r="G14" s="48"/>
      <c r="H14" s="655"/>
      <c r="I14" s="40"/>
      <c r="J14" s="40"/>
      <c r="K14" s="40"/>
      <c r="L14" s="40"/>
      <c r="M14" s="48"/>
      <c r="N14" s="17"/>
      <c r="O14" s="8"/>
      <c r="P14" s="1062" t="s">
        <v>9530</v>
      </c>
      <c r="Q14" s="2030" t="b">
        <v>0</v>
      </c>
      <c r="R14" s="1063" t="s">
        <v>6579</v>
      </c>
      <c r="U14" s="8"/>
      <c r="V14" s="8"/>
      <c r="W14" s="8"/>
    </row>
    <row r="15" spans="1:23" ht="12.75" customHeight="1" x14ac:dyDescent="0.3">
      <c r="A15" s="8">
        <v>52</v>
      </c>
      <c r="B15" s="17"/>
      <c r="C15" s="675" t="s">
        <v>6580</v>
      </c>
      <c r="D15" s="40"/>
      <c r="E15" s="40"/>
      <c r="F15" s="40"/>
      <c r="G15" s="48"/>
      <c r="H15" s="1886">
        <f>A12</f>
        <v>49</v>
      </c>
      <c r="I15" s="40" t="s">
        <v>6581</v>
      </c>
      <c r="J15" s="40"/>
      <c r="K15" s="40"/>
      <c r="L15" s="40"/>
      <c r="M15" s="48"/>
      <c r="N15" s="17"/>
      <c r="O15" s="8"/>
      <c r="P15" s="1062" t="s">
        <v>9531</v>
      </c>
      <c r="Q15" s="2030" t="b">
        <v>0</v>
      </c>
      <c r="R15" s="1063" t="s">
        <v>6582</v>
      </c>
      <c r="U15" s="8"/>
      <c r="V15" s="8"/>
      <c r="W15" s="8"/>
    </row>
    <row r="16" spans="1:23" ht="12.75" customHeight="1" x14ac:dyDescent="0.25">
      <c r="A16" s="8"/>
      <c r="B16" s="17"/>
      <c r="C16" s="655"/>
      <c r="D16" s="1886">
        <f>A5</f>
        <v>20</v>
      </c>
      <c r="E16" s="40" t="s">
        <v>6583</v>
      </c>
      <c r="F16" s="40"/>
      <c r="G16" s="48"/>
      <c r="H16" s="655"/>
      <c r="I16" s="1866"/>
      <c r="J16" s="40"/>
      <c r="K16" s="40"/>
      <c r="L16" s="40"/>
      <c r="M16" s="48"/>
      <c r="N16" s="17"/>
      <c r="O16" s="8"/>
      <c r="P16" s="9" t="s">
        <v>6584</v>
      </c>
      <c r="Q16" s="2028" t="b">
        <f>NOT(AND(FIG_claim_election,box_NRD29=FALSE,box_NRD16=FALSE))</f>
        <v>1</v>
      </c>
      <c r="U16" s="8"/>
      <c r="V16" s="8"/>
      <c r="W16" s="8"/>
    </row>
    <row r="17" spans="1:23" ht="12.75" customHeight="1" x14ac:dyDescent="0.25">
      <c r="A17" s="8"/>
      <c r="B17" s="17"/>
      <c r="C17" s="655"/>
      <c r="D17" s="45"/>
      <c r="E17" s="1866"/>
      <c r="F17" s="40"/>
      <c r="G17" s="48"/>
      <c r="H17" s="655"/>
      <c r="I17" s="40"/>
      <c r="J17" s="40"/>
      <c r="K17" s="40"/>
      <c r="L17" s="40"/>
      <c r="M17" s="48"/>
      <c r="N17" s="17"/>
      <c r="O17" s="8"/>
      <c r="P17" s="9" t="s">
        <v>6585</v>
      </c>
      <c r="Q17" s="2028" t="b">
        <v>0</v>
      </c>
      <c r="U17" s="8"/>
      <c r="V17" s="8"/>
      <c r="W17" s="8"/>
    </row>
    <row r="18" spans="1:23" ht="12.75" customHeight="1" x14ac:dyDescent="0.3">
      <c r="A18" s="8"/>
      <c r="B18" s="17"/>
      <c r="C18" s="655"/>
      <c r="D18" s="45"/>
      <c r="E18" s="40"/>
      <c r="F18" s="40"/>
      <c r="G18" s="48"/>
      <c r="H18" s="675" t="s">
        <v>6586</v>
      </c>
      <c r="I18" s="40"/>
      <c r="J18" s="40"/>
      <c r="K18" s="40"/>
      <c r="L18" s="40"/>
      <c r="M18" s="48"/>
      <c r="N18" s="17"/>
      <c r="O18" s="8"/>
      <c r="P18" s="1067" t="s">
        <v>6587</v>
      </c>
      <c r="Q18" s="2350" t="b">
        <v>0</v>
      </c>
      <c r="U18" s="8"/>
      <c r="V18" s="8"/>
      <c r="W18" s="8"/>
    </row>
    <row r="19" spans="1:23" ht="12.75" customHeight="1" x14ac:dyDescent="0.25">
      <c r="A19" s="8"/>
      <c r="B19" s="17"/>
      <c r="C19" s="655"/>
      <c r="D19" s="1886">
        <f>A6</f>
        <v>21</v>
      </c>
      <c r="E19" s="40" t="s">
        <v>6588</v>
      </c>
      <c r="F19" s="40"/>
      <c r="G19" s="48"/>
      <c r="H19" s="1886">
        <f>A14</f>
        <v>51</v>
      </c>
      <c r="I19" s="40" t="s">
        <v>6589</v>
      </c>
      <c r="J19" s="40"/>
      <c r="K19" s="1886">
        <f>A15</f>
        <v>52</v>
      </c>
      <c r="L19" s="40" t="s">
        <v>6590</v>
      </c>
      <c r="M19" s="48"/>
      <c r="N19" s="17"/>
      <c r="O19" s="8"/>
      <c r="P19" s="1067" t="s">
        <v>6591</v>
      </c>
      <c r="Q19" s="2350" t="b">
        <f>OR(box_NRD28,box_NRD29,box_NRD40)</f>
        <v>0</v>
      </c>
      <c r="U19" s="8"/>
      <c r="V19" s="8"/>
      <c r="W19" s="8"/>
    </row>
    <row r="20" spans="1:23" ht="12.75" customHeight="1" x14ac:dyDescent="0.25">
      <c r="A20" s="8"/>
      <c r="B20" s="17"/>
      <c r="C20" s="655"/>
      <c r="D20" s="40"/>
      <c r="E20" s="1866"/>
      <c r="F20" s="40"/>
      <c r="G20" s="48"/>
      <c r="H20" s="40"/>
      <c r="I20" s="1866"/>
      <c r="J20" s="40"/>
      <c r="K20" s="40"/>
      <c r="L20" s="1866"/>
      <c r="M20" s="48"/>
      <c r="N20" s="17"/>
      <c r="O20" s="8"/>
      <c r="R20" s="2349"/>
      <c r="S20" s="8"/>
      <c r="T20" s="8"/>
      <c r="U20" s="8"/>
      <c r="V20" s="8"/>
      <c r="W20" s="8"/>
    </row>
    <row r="21" spans="1:23" ht="12.75" customHeight="1" x14ac:dyDescent="0.25">
      <c r="A21" s="8"/>
      <c r="B21" s="17"/>
      <c r="C21" s="655"/>
      <c r="D21" s="40"/>
      <c r="E21" s="40"/>
      <c r="F21" s="40"/>
      <c r="G21" s="48"/>
      <c r="H21" s="655"/>
      <c r="I21" s="40"/>
      <c r="J21" s="40"/>
      <c r="K21" s="40"/>
      <c r="L21" s="40"/>
      <c r="M21" s="48"/>
      <c r="N21" s="17"/>
      <c r="O21" s="8"/>
      <c r="R21" s="2349"/>
      <c r="S21" s="8"/>
      <c r="T21" s="8"/>
      <c r="U21" s="8"/>
      <c r="V21" s="8"/>
      <c r="W21" s="8"/>
    </row>
    <row r="22" spans="1:23" ht="12.75" customHeight="1" x14ac:dyDescent="0.25">
      <c r="A22" s="8"/>
      <c r="B22" s="17"/>
      <c r="C22" s="655"/>
      <c r="D22" s="1886">
        <f>A7</f>
        <v>22</v>
      </c>
      <c r="E22" s="40" t="s">
        <v>6592</v>
      </c>
      <c r="F22" s="40"/>
      <c r="G22" s="48"/>
      <c r="H22" s="655"/>
      <c r="I22" s="40"/>
      <c r="J22" s="40"/>
      <c r="K22" s="40"/>
      <c r="L22" s="40"/>
      <c r="M22" s="48"/>
      <c r="N22" s="17"/>
      <c r="O22" s="8"/>
      <c r="R22" s="2349"/>
      <c r="S22" s="8"/>
      <c r="T22" s="8"/>
      <c r="U22" s="8"/>
      <c r="V22" s="8"/>
      <c r="W22" s="8"/>
    </row>
    <row r="23" spans="1:23" ht="12.75" customHeight="1" x14ac:dyDescent="0.25">
      <c r="A23" s="8"/>
      <c r="B23" s="17"/>
      <c r="C23" s="655"/>
      <c r="D23" s="40"/>
      <c r="E23" s="1866"/>
      <c r="F23" s="40"/>
      <c r="G23" s="48"/>
      <c r="H23" s="655"/>
      <c r="I23" s="40"/>
      <c r="J23" s="40"/>
      <c r="K23" s="40"/>
      <c r="L23" s="40"/>
      <c r="M23" s="48"/>
      <c r="N23" s="17"/>
      <c r="O23" s="8"/>
      <c r="U23" s="8"/>
      <c r="V23" s="8"/>
      <c r="W23" s="8"/>
    </row>
    <row r="24" spans="1:23" ht="12.75" customHeight="1" x14ac:dyDescent="0.25">
      <c r="A24" s="8"/>
      <c r="B24" s="17"/>
      <c r="C24" s="655"/>
      <c r="D24" s="40"/>
      <c r="E24" s="40"/>
      <c r="F24" s="40"/>
      <c r="G24" s="48"/>
      <c r="H24" s="655"/>
      <c r="I24" s="40"/>
      <c r="J24" s="40"/>
      <c r="K24" s="40"/>
      <c r="L24" s="40"/>
      <c r="M24" s="48"/>
      <c r="N24" s="17"/>
      <c r="O24" s="8"/>
      <c r="R24" s="8"/>
      <c r="S24" s="8"/>
      <c r="T24" s="8"/>
      <c r="U24" s="8"/>
      <c r="V24" s="8"/>
      <c r="W24" s="8"/>
    </row>
    <row r="25" spans="1:23" x14ac:dyDescent="0.25">
      <c r="A25" s="8"/>
      <c r="B25" s="17"/>
      <c r="C25" s="655"/>
      <c r="D25" s="40"/>
      <c r="E25" s="40"/>
      <c r="F25" s="40"/>
      <c r="G25" s="48"/>
      <c r="H25" s="655"/>
      <c r="I25" s="40"/>
      <c r="J25" s="40"/>
      <c r="K25" s="40"/>
      <c r="L25" s="40"/>
      <c r="M25" s="48"/>
      <c r="N25" s="17"/>
      <c r="O25" s="8"/>
      <c r="R25" s="8"/>
      <c r="S25" s="8"/>
      <c r="T25" s="8"/>
      <c r="U25" s="8"/>
      <c r="V25" s="8"/>
      <c r="W25" s="8"/>
    </row>
    <row r="26" spans="1:23" x14ac:dyDescent="0.25">
      <c r="A26" s="8"/>
      <c r="B26" s="17"/>
      <c r="C26" s="655"/>
      <c r="D26" s="40"/>
      <c r="E26" s="40"/>
      <c r="F26" s="40"/>
      <c r="G26" s="48"/>
      <c r="H26" s="655"/>
      <c r="I26" s="40"/>
      <c r="J26" s="40"/>
      <c r="K26" s="40"/>
      <c r="L26" s="40"/>
      <c r="M26" s="48"/>
      <c r="N26" s="17"/>
      <c r="O26" s="8"/>
      <c r="R26" s="9"/>
      <c r="S26" s="8"/>
      <c r="T26" s="8"/>
      <c r="U26" s="8"/>
      <c r="V26" s="8"/>
      <c r="W26" s="8"/>
    </row>
    <row r="27" spans="1:23" x14ac:dyDescent="0.25">
      <c r="A27" s="8"/>
      <c r="B27" s="17"/>
      <c r="C27" s="655"/>
      <c r="D27" s="40"/>
      <c r="E27" s="40"/>
      <c r="F27" s="40"/>
      <c r="G27" s="48"/>
      <c r="H27" s="40"/>
      <c r="I27" s="311"/>
      <c r="J27" s="311"/>
      <c r="K27" s="311"/>
      <c r="L27" s="311"/>
      <c r="M27" s="48"/>
      <c r="N27" s="17"/>
      <c r="O27" s="8"/>
      <c r="R27" s="8"/>
      <c r="S27" s="8"/>
      <c r="T27" s="8"/>
      <c r="U27" s="8"/>
      <c r="V27" s="8"/>
      <c r="W27" s="8"/>
    </row>
    <row r="28" spans="1:23" x14ac:dyDescent="0.25">
      <c r="A28" s="8"/>
      <c r="B28" s="17"/>
      <c r="C28" s="655"/>
      <c r="D28" s="40"/>
      <c r="E28" s="40"/>
      <c r="F28" s="40"/>
      <c r="G28" s="48"/>
      <c r="H28" s="40"/>
      <c r="I28" s="311"/>
      <c r="J28" s="40"/>
      <c r="K28" s="311"/>
      <c r="L28" s="311"/>
      <c r="M28" s="48"/>
      <c r="N28" s="17"/>
      <c r="O28" s="8"/>
      <c r="P28" s="8"/>
      <c r="Q28" s="8"/>
      <c r="R28" s="8"/>
      <c r="S28" s="8"/>
      <c r="T28" s="8"/>
      <c r="U28" s="8"/>
      <c r="V28" s="8"/>
      <c r="W28" s="8"/>
    </row>
    <row r="29" spans="1:23" x14ac:dyDescent="0.25">
      <c r="A29" s="8"/>
      <c r="B29" s="17"/>
      <c r="C29" s="1827"/>
      <c r="D29" s="1889"/>
      <c r="E29" s="1802"/>
      <c r="F29" s="1802"/>
      <c r="G29" s="1803"/>
      <c r="H29" s="1827"/>
      <c r="I29" s="1802"/>
      <c r="J29" s="1802"/>
      <c r="K29" s="1802"/>
      <c r="L29" s="1802"/>
      <c r="M29" s="1803"/>
      <c r="N29" s="17"/>
      <c r="O29" s="8"/>
      <c r="P29" s="8"/>
      <c r="Q29" s="8"/>
      <c r="R29" s="8"/>
      <c r="S29" s="8"/>
      <c r="T29" s="8"/>
      <c r="U29" s="8"/>
      <c r="V29" s="8"/>
      <c r="W29" s="8"/>
    </row>
    <row r="30" spans="1:23" x14ac:dyDescent="0.25">
      <c r="A30" s="8"/>
      <c r="B30" s="17"/>
      <c r="C30" s="17"/>
      <c r="D30" s="17"/>
      <c r="E30" s="17"/>
      <c r="F30" s="21"/>
      <c r="G30" s="17"/>
      <c r="H30" s="17"/>
      <c r="I30" s="17"/>
      <c r="J30" s="17"/>
      <c r="K30" s="17"/>
      <c r="L30" s="17"/>
      <c r="M30" s="17"/>
      <c r="N30" s="17"/>
      <c r="O30" s="8"/>
      <c r="P30" s="8"/>
      <c r="Q30" s="8"/>
      <c r="R30" s="8"/>
      <c r="S30" s="8"/>
      <c r="T30" s="8"/>
      <c r="U30" s="8"/>
      <c r="V30" s="8"/>
      <c r="W30" s="8"/>
    </row>
    <row r="31" spans="1:23" x14ac:dyDescent="0.25">
      <c r="A31" s="8"/>
      <c r="B31" s="17"/>
      <c r="C31" s="17"/>
      <c r="D31" s="17"/>
      <c r="E31" s="17"/>
      <c r="F31" s="17"/>
      <c r="G31" s="17"/>
      <c r="H31" s="17"/>
      <c r="I31" s="17"/>
      <c r="J31" s="17"/>
      <c r="K31" s="17"/>
      <c r="L31" s="17"/>
      <c r="M31" s="17"/>
      <c r="N31" s="17"/>
      <c r="O31" s="8"/>
      <c r="P31" s="8"/>
      <c r="Q31" s="8"/>
      <c r="R31" s="8"/>
      <c r="S31" s="8"/>
      <c r="T31" s="8"/>
      <c r="U31" s="8"/>
      <c r="V31" s="8"/>
      <c r="W31" s="8"/>
    </row>
    <row r="32" spans="1:23" x14ac:dyDescent="0.25">
      <c r="A32" s="8"/>
      <c r="B32" s="17"/>
      <c r="C32" s="17"/>
      <c r="D32" s="17"/>
      <c r="E32" s="17"/>
      <c r="F32" s="17"/>
      <c r="G32" s="17"/>
      <c r="H32" s="17"/>
      <c r="I32" s="17"/>
      <c r="J32" s="17"/>
      <c r="K32" s="17"/>
      <c r="L32" s="17"/>
      <c r="M32" s="17"/>
      <c r="N32" s="17"/>
      <c r="O32" s="8"/>
      <c r="P32" s="8"/>
      <c r="Q32" s="8"/>
      <c r="R32" s="8"/>
      <c r="S32" s="8"/>
      <c r="T32" s="8"/>
      <c r="U32" s="8"/>
      <c r="V32" s="8"/>
      <c r="W32" s="8"/>
    </row>
    <row r="33" spans="2:14" x14ac:dyDescent="0.25">
      <c r="B33" s="17"/>
      <c r="C33" s="17"/>
      <c r="D33" s="17"/>
      <c r="E33" s="17"/>
      <c r="F33" s="17"/>
      <c r="G33" s="17"/>
      <c r="H33" s="17"/>
      <c r="I33" s="17"/>
      <c r="J33" s="17"/>
      <c r="K33" s="17"/>
      <c r="L33" s="17"/>
      <c r="M33" s="17"/>
      <c r="N33" s="17"/>
    </row>
    <row r="34" spans="2:14" x14ac:dyDescent="0.25">
      <c r="B34" s="17"/>
      <c r="C34" s="17"/>
      <c r="D34" s="17"/>
      <c r="E34" s="17"/>
      <c r="F34" s="17"/>
      <c r="G34" s="17"/>
      <c r="H34" s="17"/>
      <c r="I34" s="17"/>
      <c r="J34" s="17"/>
      <c r="K34" s="17"/>
      <c r="L34" s="17"/>
      <c r="M34" s="17"/>
      <c r="N34" s="17"/>
    </row>
    <row r="35" spans="2:14" x14ac:dyDescent="0.25">
      <c r="B35" s="17"/>
      <c r="C35" s="17"/>
      <c r="D35" s="17"/>
      <c r="E35" s="17"/>
      <c r="F35" s="17"/>
      <c r="G35" s="17"/>
      <c r="H35" s="17"/>
      <c r="I35" s="17"/>
      <c r="J35" s="17"/>
      <c r="K35" s="17"/>
      <c r="L35" s="17"/>
      <c r="M35" s="17"/>
      <c r="N35" s="17"/>
    </row>
    <row r="36" spans="2:14" x14ac:dyDescent="0.25">
      <c r="B36" s="17"/>
      <c r="C36" s="17"/>
      <c r="D36" s="17"/>
      <c r="E36" s="17"/>
      <c r="F36" s="17"/>
      <c r="G36" s="17"/>
      <c r="H36" s="17"/>
      <c r="I36" s="17"/>
      <c r="J36" s="17"/>
      <c r="K36" s="17"/>
      <c r="L36" s="17"/>
      <c r="M36" s="17"/>
      <c r="N36" s="17"/>
    </row>
    <row r="37" spans="2:14" x14ac:dyDescent="0.25">
      <c r="B37" s="17"/>
      <c r="C37" s="17"/>
      <c r="D37" s="17"/>
      <c r="E37" s="17"/>
      <c r="F37" s="17"/>
      <c r="G37" s="17"/>
      <c r="H37" s="17"/>
      <c r="I37" s="17"/>
      <c r="J37" s="17"/>
      <c r="K37" s="17"/>
      <c r="L37" s="17"/>
      <c r="M37" s="17"/>
      <c r="N37" s="17"/>
    </row>
  </sheetData>
  <phoneticPr fontId="58" type="noConversion"/>
  <pageMargins left="0.19685039370078741" right="0.19685039370078741" top="0.19685039370078741" bottom="0.19685039370078741" header="0" footer="0"/>
  <pageSetup paperSize="9" orientation="landscape" r:id="rId1"/>
  <headerFooter alignWithMargins="0">
    <oddFooter>&amp;C&amp;1#&amp;"Calibri"&amp;10&amp;K000000OFFICIAL-SENSITIVE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anchor moveWithCells="1">
                  <from>
                    <xdr:col>2</xdr:col>
                    <xdr:colOff>298450</xdr:colOff>
                    <xdr:row>4</xdr:row>
                    <xdr:rowOff>107950</xdr:rowOff>
                  </from>
                  <to>
                    <xdr:col>3</xdr:col>
                    <xdr:colOff>241300</xdr:colOff>
                    <xdr:row>6</xdr:row>
                    <xdr:rowOff>0</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2</xdr:col>
                    <xdr:colOff>298450</xdr:colOff>
                    <xdr:row>8</xdr:row>
                    <xdr:rowOff>114300</xdr:rowOff>
                  </from>
                  <to>
                    <xdr:col>3</xdr:col>
                    <xdr:colOff>241300</xdr:colOff>
                    <xdr:row>10</xdr:row>
                    <xdr:rowOff>12700</xdr:rowOff>
                  </to>
                </anchor>
              </controlPr>
            </control>
          </mc:Choice>
        </mc:AlternateContent>
        <mc:AlternateContent xmlns:mc="http://schemas.openxmlformats.org/markup-compatibility/2006">
          <mc:Choice Requires="x14">
            <control shapeId="3079" r:id="rId6" name="Check Box 7">
              <controlPr defaultSize="0" autoFill="0" autoLine="0" autoPict="0">
                <anchor moveWithCells="1">
                  <from>
                    <xdr:col>2</xdr:col>
                    <xdr:colOff>298450</xdr:colOff>
                    <xdr:row>11</xdr:row>
                    <xdr:rowOff>114300</xdr:rowOff>
                  </from>
                  <to>
                    <xdr:col>3</xdr:col>
                    <xdr:colOff>241300</xdr:colOff>
                    <xdr:row>13</xdr:row>
                    <xdr:rowOff>12700</xdr:rowOff>
                  </to>
                </anchor>
              </controlPr>
            </control>
          </mc:Choice>
        </mc:AlternateContent>
        <mc:AlternateContent xmlns:mc="http://schemas.openxmlformats.org/markup-compatibility/2006">
          <mc:Choice Requires="x14">
            <control shapeId="3080" r:id="rId7" name="Check Box 8">
              <controlPr defaultSize="0" autoFill="0" autoLine="0" autoPict="0">
                <anchor moveWithCells="1">
                  <from>
                    <xdr:col>7</xdr:col>
                    <xdr:colOff>317500</xdr:colOff>
                    <xdr:row>4</xdr:row>
                    <xdr:rowOff>114300</xdr:rowOff>
                  </from>
                  <to>
                    <xdr:col>8</xdr:col>
                    <xdr:colOff>266700</xdr:colOff>
                    <xdr:row>6</xdr:row>
                    <xdr:rowOff>12700</xdr:rowOff>
                  </to>
                </anchor>
              </controlPr>
            </control>
          </mc:Choice>
        </mc:AlternateContent>
        <mc:AlternateContent xmlns:mc="http://schemas.openxmlformats.org/markup-compatibility/2006">
          <mc:Choice Requires="x14">
            <control shapeId="3082" r:id="rId8" name="Check Box 10">
              <controlPr defaultSize="0" autoFill="0" autoLine="0" autoPict="0">
                <anchor moveWithCells="1">
                  <from>
                    <xdr:col>7</xdr:col>
                    <xdr:colOff>317500</xdr:colOff>
                    <xdr:row>7</xdr:row>
                    <xdr:rowOff>107950</xdr:rowOff>
                  </from>
                  <to>
                    <xdr:col>8</xdr:col>
                    <xdr:colOff>266700</xdr:colOff>
                    <xdr:row>9</xdr:row>
                    <xdr:rowOff>0</xdr:rowOff>
                  </to>
                </anchor>
              </controlPr>
            </control>
          </mc:Choice>
        </mc:AlternateContent>
        <mc:AlternateContent xmlns:mc="http://schemas.openxmlformats.org/markup-compatibility/2006">
          <mc:Choice Requires="x14">
            <control shapeId="3196" r:id="rId9" name="Check Box 124">
              <controlPr defaultSize="0" autoFill="0" autoLine="0" autoPict="0">
                <anchor moveWithCells="1">
                  <from>
                    <xdr:col>7</xdr:col>
                    <xdr:colOff>317500</xdr:colOff>
                    <xdr:row>11</xdr:row>
                    <xdr:rowOff>114300</xdr:rowOff>
                  </from>
                  <to>
                    <xdr:col>8</xdr:col>
                    <xdr:colOff>279400</xdr:colOff>
                    <xdr:row>13</xdr:row>
                    <xdr:rowOff>12700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dimension ref="A1:N39"/>
  <sheetViews>
    <sheetView showGridLines="0" showRowColHeaders="0" topLeftCell="B1" workbookViewId="0">
      <selection activeCell="H34" sqref="H34"/>
    </sheetView>
  </sheetViews>
  <sheetFormatPr defaultColWidth="9.1796875" defaultRowHeight="11.5" x14ac:dyDescent="0.25"/>
  <cols>
    <col min="1" max="1" width="4.54296875" style="39" hidden="1" customWidth="1"/>
    <col min="2" max="2" width="8.1796875" style="39" customWidth="1"/>
    <col min="3" max="3" width="4.54296875" style="39" customWidth="1"/>
    <col min="4" max="4" width="13.453125" style="39" customWidth="1"/>
    <col min="5" max="5" width="27.81640625" style="39" customWidth="1"/>
    <col min="6" max="6" width="6.453125" style="39" customWidth="1"/>
    <col min="7" max="7" width="4.1796875" style="39" customWidth="1"/>
    <col min="8" max="8" width="13.1796875" style="39" customWidth="1"/>
    <col min="9" max="9" width="33.453125" style="39" customWidth="1"/>
    <col min="10" max="10" width="29.1796875" style="39" customWidth="1"/>
    <col min="11" max="16384" width="9.1796875" style="39"/>
  </cols>
  <sheetData>
    <row r="1" spans="1:14" ht="12.75" customHeight="1" x14ac:dyDescent="0.25">
      <c r="A1" s="8" t="s">
        <v>39</v>
      </c>
      <c r="B1" s="17"/>
      <c r="C1" s="17"/>
      <c r="D1" s="17"/>
      <c r="E1" s="17"/>
      <c r="F1" s="17"/>
      <c r="G1" s="17"/>
      <c r="H1" s="17"/>
      <c r="I1" s="17"/>
      <c r="J1" s="17"/>
      <c r="K1" s="8"/>
      <c r="L1" s="8"/>
      <c r="M1" s="8"/>
      <c r="N1" s="8"/>
    </row>
    <row r="2" spans="1:14" ht="12.75" customHeight="1" x14ac:dyDescent="0.25">
      <c r="A2" s="8"/>
      <c r="B2" s="17"/>
      <c r="C2" s="2031" t="s">
        <v>6593</v>
      </c>
      <c r="D2" s="2032"/>
      <c r="E2" s="1898"/>
      <c r="F2" s="1898"/>
      <c r="G2" s="2033"/>
      <c r="H2" s="2034"/>
      <c r="I2" s="1900" t="s">
        <v>39</v>
      </c>
      <c r="J2" s="17"/>
      <c r="K2" s="8"/>
      <c r="L2" s="8"/>
      <c r="M2" s="8"/>
      <c r="N2" s="8"/>
    </row>
    <row r="3" spans="1:14" ht="12.75" customHeight="1" x14ac:dyDescent="0.25">
      <c r="A3" s="8">
        <v>1</v>
      </c>
      <c r="B3" s="17"/>
      <c r="C3" s="655"/>
      <c r="D3" s="40"/>
      <c r="E3" s="40"/>
      <c r="F3" s="40"/>
      <c r="G3" s="46"/>
      <c r="H3" s="633"/>
      <c r="I3" s="48"/>
      <c r="J3" s="17"/>
      <c r="K3" s="8"/>
      <c r="L3" s="8"/>
      <c r="M3" s="8"/>
      <c r="N3" s="8"/>
    </row>
    <row r="4" spans="1:14" ht="12.75" customHeight="1" x14ac:dyDescent="0.3">
      <c r="A4" s="8">
        <v>2</v>
      </c>
      <c r="B4" s="17"/>
      <c r="C4" s="675" t="s">
        <v>6594</v>
      </c>
      <c r="D4" s="40"/>
      <c r="E4" s="40"/>
      <c r="F4" s="40"/>
      <c r="G4" s="46"/>
      <c r="H4" s="633"/>
      <c r="I4" s="48"/>
      <c r="J4" s="17"/>
      <c r="K4" s="8"/>
      <c r="L4" s="8"/>
      <c r="M4" s="8"/>
      <c r="N4" s="8"/>
    </row>
    <row r="5" spans="1:14" ht="6" customHeight="1" x14ac:dyDescent="0.25">
      <c r="A5" s="8">
        <v>3</v>
      </c>
      <c r="B5" s="17"/>
      <c r="C5" s="655"/>
      <c r="D5" s="40"/>
      <c r="E5" s="40"/>
      <c r="F5" s="40"/>
      <c r="G5" s="46"/>
      <c r="H5" s="633"/>
      <c r="I5" s="48"/>
      <c r="J5" s="17"/>
      <c r="K5" s="8"/>
      <c r="L5" s="8"/>
      <c r="M5" s="8"/>
      <c r="N5" s="8"/>
    </row>
    <row r="6" spans="1:14" ht="12.75" customHeight="1" x14ac:dyDescent="0.25">
      <c r="A6" s="8">
        <v>4</v>
      </c>
      <c r="B6" s="17"/>
      <c r="C6" s="1852">
        <f>A9</f>
        <v>7</v>
      </c>
      <c r="D6" s="76" t="str">
        <f>"Underpaid tax for earlier years included in "&amp;tax_year&amp;" tax code"</f>
        <v>Underpaid tax for earlier years included in 2025-26 tax code</v>
      </c>
      <c r="E6" s="40"/>
      <c r="F6" s="40"/>
      <c r="G6" s="46"/>
      <c r="H6" s="633"/>
      <c r="I6" s="48"/>
      <c r="J6" s="17"/>
      <c r="K6" s="8"/>
      <c r="L6" s="8"/>
      <c r="M6" s="8"/>
      <c r="N6" s="8"/>
    </row>
    <row r="7" spans="1:14" ht="12.75" customHeight="1" x14ac:dyDescent="0.25">
      <c r="A7" s="8">
        <v>5</v>
      </c>
      <c r="B7" s="17"/>
      <c r="C7" s="689"/>
      <c r="D7" s="1866"/>
      <c r="E7" s="40"/>
      <c r="F7" s="40"/>
      <c r="G7" s="46"/>
      <c r="H7" s="633"/>
      <c r="I7" s="48"/>
      <c r="J7" s="17"/>
      <c r="K7" s="8"/>
      <c r="L7" s="8"/>
      <c r="M7" s="8"/>
      <c r="N7" s="8"/>
    </row>
    <row r="8" spans="1:14" ht="12.75" customHeight="1" x14ac:dyDescent="0.25">
      <c r="A8" s="8">
        <v>6</v>
      </c>
      <c r="B8" s="17"/>
      <c r="C8" s="689"/>
      <c r="D8" s="40"/>
      <c r="E8" s="40"/>
      <c r="F8" s="40"/>
      <c r="G8" s="76"/>
      <c r="H8" s="633"/>
      <c r="I8" s="48"/>
      <c r="J8" s="17"/>
      <c r="K8" s="8"/>
      <c r="L8" s="8"/>
      <c r="M8" s="8"/>
      <c r="N8" s="8"/>
    </row>
    <row r="9" spans="1:14" ht="12.75" customHeight="1" x14ac:dyDescent="0.25">
      <c r="A9" s="8">
        <v>7</v>
      </c>
      <c r="B9" s="17"/>
      <c r="C9" s="1852">
        <f>A10</f>
        <v>8</v>
      </c>
      <c r="D9" s="76" t="str">
        <f>tax_year&amp;" underpaid tax included in "&amp;next_year&amp;" tax code"</f>
        <v>2025-26 underpaid tax included in 2026-27 tax code</v>
      </c>
      <c r="E9" s="40"/>
      <c r="F9" s="40"/>
      <c r="G9" s="1852">
        <f>A11</f>
        <v>9</v>
      </c>
      <c r="H9" s="40" t="str">
        <f>"Outstanding debt included in "&amp;tax_year&amp;" tax code"</f>
        <v>Outstanding debt included in 2025-26 tax code</v>
      </c>
      <c r="I9" s="48"/>
      <c r="J9" s="17"/>
      <c r="K9" s="8"/>
      <c r="L9" s="8"/>
      <c r="M9" s="8"/>
      <c r="N9" s="8"/>
    </row>
    <row r="10" spans="1:14" ht="12.75" customHeight="1" x14ac:dyDescent="0.25">
      <c r="A10" s="8">
        <v>8</v>
      </c>
      <c r="B10" s="17"/>
      <c r="C10" s="689"/>
      <c r="D10" s="1866"/>
      <c r="E10" s="40"/>
      <c r="F10" s="40"/>
      <c r="G10" s="76"/>
      <c r="H10" s="1866"/>
      <c r="I10" s="48"/>
      <c r="J10" s="17"/>
      <c r="K10" s="8"/>
      <c r="L10" s="8"/>
      <c r="M10" s="8"/>
      <c r="N10" s="8"/>
    </row>
    <row r="11" spans="1:14" ht="12.75" customHeight="1" x14ac:dyDescent="0.25">
      <c r="A11" s="8">
        <v>9</v>
      </c>
      <c r="B11" s="17"/>
      <c r="C11" s="689"/>
      <c r="D11" s="40"/>
      <c r="E11" s="40"/>
      <c r="F11" s="40"/>
      <c r="G11" s="76"/>
      <c r="H11" s="633"/>
      <c r="I11" s="48"/>
      <c r="J11" s="17"/>
      <c r="K11" s="8"/>
      <c r="L11" s="8"/>
      <c r="M11" s="8"/>
      <c r="N11" s="8"/>
    </row>
    <row r="12" spans="1:14" ht="12.75" hidden="1" customHeight="1" x14ac:dyDescent="0.3">
      <c r="A12" s="8">
        <v>10</v>
      </c>
      <c r="B12" s="17"/>
      <c r="C12" s="690" t="s">
        <v>6595</v>
      </c>
      <c r="D12" s="40"/>
      <c r="E12" s="40"/>
      <c r="F12" s="40"/>
      <c r="G12" s="76"/>
      <c r="H12" s="633"/>
      <c r="I12" s="48"/>
      <c r="J12" s="17"/>
      <c r="K12" s="8"/>
      <c r="L12" s="8"/>
      <c r="M12" s="8"/>
      <c r="N12" s="8"/>
    </row>
    <row r="13" spans="1:14" ht="12.75" hidden="1" customHeight="1" x14ac:dyDescent="0.25">
      <c r="A13" s="8">
        <v>11</v>
      </c>
      <c r="B13" s="17"/>
      <c r="C13" s="689"/>
      <c r="D13" s="40"/>
      <c r="E13" s="40"/>
      <c r="F13" s="40"/>
      <c r="G13" s="76"/>
      <c r="H13" s="633"/>
      <c r="I13" s="48"/>
      <c r="J13" s="17"/>
      <c r="K13" s="8"/>
      <c r="L13" s="8"/>
      <c r="M13" s="8"/>
      <c r="N13" s="8"/>
    </row>
    <row r="14" spans="1:14" ht="12.75" hidden="1" customHeight="1" x14ac:dyDescent="0.25">
      <c r="A14" s="8">
        <v>12</v>
      </c>
      <c r="B14" s="17"/>
      <c r="C14" s="1852">
        <f>A12</f>
        <v>10</v>
      </c>
      <c r="D14" s="40" t="s">
        <v>6596</v>
      </c>
      <c r="E14" s="40"/>
      <c r="F14" s="40"/>
      <c r="G14" s="1852">
        <f>A13</f>
        <v>11</v>
      </c>
      <c r="H14" s="40" t="str">
        <f>"First Payment on account for "&amp;next_year</f>
        <v>First Payment on account for 2026-27</v>
      </c>
      <c r="I14" s="48"/>
      <c r="J14" s="17"/>
      <c r="K14" s="8"/>
      <c r="L14" s="8"/>
      <c r="M14" s="8"/>
      <c r="N14" s="8"/>
    </row>
    <row r="15" spans="1:14" ht="12.75" hidden="1" customHeight="1" x14ac:dyDescent="0.25">
      <c r="A15" s="8">
        <v>13</v>
      </c>
      <c r="B15" s="17"/>
      <c r="C15" s="689"/>
      <c r="D15" s="40"/>
      <c r="E15" s="40"/>
      <c r="F15" s="40"/>
      <c r="G15" s="88"/>
      <c r="H15" s="1866"/>
      <c r="I15" s="48" t="str">
        <f>" (only required if box "&amp;C14&amp;" ticked)"</f>
        <v xml:space="preserve"> (only required if box 10 ticked)</v>
      </c>
      <c r="J15" s="17"/>
      <c r="K15" s="2028" t="b">
        <v>0</v>
      </c>
      <c r="L15" s="8"/>
      <c r="M15" s="8"/>
      <c r="N15" s="8"/>
    </row>
    <row r="16" spans="1:14" ht="12.75" hidden="1" customHeight="1" x14ac:dyDescent="0.25">
      <c r="A16" s="8">
        <v>14</v>
      </c>
      <c r="B16" s="17"/>
      <c r="C16" s="689"/>
      <c r="D16" s="40"/>
      <c r="E16" s="40"/>
      <c r="F16" s="40"/>
      <c r="G16" s="88"/>
      <c r="H16" s="633"/>
      <c r="I16" s="48"/>
      <c r="J16" s="17"/>
      <c r="K16" s="8"/>
      <c r="L16" s="8"/>
      <c r="M16" s="8"/>
      <c r="N16" s="8"/>
    </row>
    <row r="17" spans="1:14" ht="12.75" customHeight="1" x14ac:dyDescent="0.3">
      <c r="A17" s="8">
        <v>15</v>
      </c>
      <c r="B17" s="17"/>
      <c r="C17" s="690" t="s">
        <v>6597</v>
      </c>
      <c r="D17" s="40"/>
      <c r="E17" s="40"/>
      <c r="F17" s="40"/>
      <c r="G17" s="88"/>
      <c r="H17" s="633"/>
      <c r="I17" s="48"/>
      <c r="J17" s="17"/>
      <c r="K17" s="8"/>
      <c r="L17" s="8"/>
      <c r="M17" s="8"/>
      <c r="N17" s="8"/>
    </row>
    <row r="18" spans="1:14" ht="6" customHeight="1" x14ac:dyDescent="0.25">
      <c r="A18" s="8">
        <v>16</v>
      </c>
      <c r="B18" s="17"/>
      <c r="C18" s="689"/>
      <c r="D18" s="40"/>
      <c r="E18" s="40"/>
      <c r="F18" s="40"/>
      <c r="G18" s="88"/>
      <c r="H18" s="633"/>
      <c r="I18" s="48"/>
      <c r="J18" s="17"/>
      <c r="K18" s="8"/>
      <c r="L18" s="8"/>
      <c r="M18" s="8"/>
      <c r="N18" s="8"/>
    </row>
    <row r="19" spans="1:14" ht="12.75" customHeight="1" x14ac:dyDescent="0.25">
      <c r="A19" s="8"/>
      <c r="B19" s="17"/>
      <c r="C19" s="1852">
        <f>A14</f>
        <v>12</v>
      </c>
      <c r="D19" s="46" t="s">
        <v>6598</v>
      </c>
      <c r="E19" s="40"/>
      <c r="F19" s="40"/>
      <c r="G19" s="1852">
        <f>A15</f>
        <v>13</v>
      </c>
      <c r="H19" s="76" t="s">
        <v>6599</v>
      </c>
      <c r="I19" s="48"/>
      <c r="J19" s="17"/>
      <c r="K19" s="8"/>
      <c r="L19" s="8"/>
      <c r="M19" s="8"/>
      <c r="N19" s="8"/>
    </row>
    <row r="20" spans="1:14" ht="12.75" customHeight="1" x14ac:dyDescent="0.25">
      <c r="A20" s="8"/>
      <c r="B20" s="17"/>
      <c r="C20" s="689"/>
      <c r="D20" s="1846"/>
      <c r="E20" s="40"/>
      <c r="F20" s="40"/>
      <c r="G20" s="623"/>
      <c r="H20" s="1846"/>
      <c r="I20" s="48"/>
      <c r="J20" s="17"/>
      <c r="K20" s="8"/>
      <c r="L20" s="8"/>
      <c r="M20" s="8"/>
      <c r="N20" s="8"/>
    </row>
    <row r="21" spans="1:14" ht="12.75" customHeight="1" x14ac:dyDescent="0.25">
      <c r="A21" s="8"/>
      <c r="B21" s="17"/>
      <c r="C21" s="689"/>
      <c r="D21" s="40"/>
      <c r="E21" s="40"/>
      <c r="F21" s="40"/>
      <c r="G21" s="88"/>
      <c r="H21" s="633"/>
      <c r="I21" s="48"/>
      <c r="J21" s="17"/>
      <c r="K21" s="8"/>
      <c r="L21" s="8"/>
      <c r="M21" s="8"/>
      <c r="N21" s="8"/>
    </row>
    <row r="22" spans="1:14" ht="12.75" customHeight="1" x14ac:dyDescent="0.25">
      <c r="A22" s="8"/>
      <c r="B22" s="17"/>
      <c r="C22" s="1852">
        <f>A16</f>
        <v>14</v>
      </c>
      <c r="D22" s="76" t="s">
        <v>6600</v>
      </c>
      <c r="E22" s="40"/>
      <c r="F22" s="40"/>
      <c r="G22" s="1852">
        <f>A17</f>
        <v>15</v>
      </c>
      <c r="H22" s="76" t="s">
        <v>6601</v>
      </c>
      <c r="I22" s="48"/>
      <c r="J22" s="17"/>
      <c r="K22" s="8"/>
      <c r="L22" s="8"/>
      <c r="M22" s="8"/>
      <c r="N22" s="8"/>
    </row>
    <row r="23" spans="1:14" ht="12.75" customHeight="1" x14ac:dyDescent="0.25">
      <c r="A23" s="8"/>
      <c r="B23" s="17"/>
      <c r="C23" s="689"/>
      <c r="D23" s="1866"/>
      <c r="E23" s="40"/>
      <c r="F23" s="77"/>
      <c r="G23" s="77"/>
      <c r="H23" s="1866"/>
      <c r="I23" s="48"/>
      <c r="J23" s="17"/>
      <c r="K23" s="8"/>
      <c r="L23" s="8"/>
      <c r="M23" s="8"/>
      <c r="N23" s="8"/>
    </row>
    <row r="24" spans="1:14" ht="12.75" customHeight="1" x14ac:dyDescent="0.25">
      <c r="A24" s="8"/>
      <c r="B24" s="17"/>
      <c r="C24" s="689"/>
      <c r="D24" s="40"/>
      <c r="E24" s="40"/>
      <c r="F24" s="40"/>
      <c r="G24" s="40"/>
      <c r="H24" s="40"/>
      <c r="I24" s="48"/>
      <c r="J24" s="17"/>
      <c r="K24" s="8"/>
      <c r="L24" s="8"/>
      <c r="M24" s="8"/>
      <c r="N24" s="8"/>
    </row>
    <row r="25" spans="1:14" ht="12.75" customHeight="1" x14ac:dyDescent="0.25">
      <c r="A25" s="8"/>
      <c r="B25" s="17"/>
      <c r="C25" s="689"/>
      <c r="D25" s="40"/>
      <c r="E25" s="40"/>
      <c r="F25" s="77"/>
      <c r="G25" s="1852">
        <f>A18</f>
        <v>16</v>
      </c>
      <c r="H25" s="40" t="str">
        <f>"Any "&amp;next_year&amp;" repayment claimed now"</f>
        <v>Any 2026-27 repayment claimed now</v>
      </c>
      <c r="I25" s="48"/>
      <c r="J25" s="17"/>
      <c r="K25" s="8"/>
      <c r="L25" s="8"/>
      <c r="M25" s="8"/>
      <c r="N25" s="8"/>
    </row>
    <row r="26" spans="1:14" ht="12.75" customHeight="1" x14ac:dyDescent="0.25">
      <c r="A26" s="8"/>
      <c r="B26" s="17"/>
      <c r="C26" s="655"/>
      <c r="D26" s="40"/>
      <c r="E26" s="40"/>
      <c r="F26" s="40"/>
      <c r="G26" s="43"/>
      <c r="H26" s="1866"/>
      <c r="I26" s="48"/>
      <c r="J26" s="17"/>
      <c r="K26" s="8"/>
      <c r="L26" s="8"/>
      <c r="M26" s="8"/>
      <c r="N26" s="8"/>
    </row>
    <row r="27" spans="1:14" ht="12.75" customHeight="1" x14ac:dyDescent="0.25">
      <c r="A27" s="8"/>
      <c r="B27" s="17"/>
      <c r="C27" s="1827"/>
      <c r="D27" s="1802"/>
      <c r="E27" s="1802"/>
      <c r="F27" s="1802"/>
      <c r="G27" s="1890"/>
      <c r="H27" s="1802"/>
      <c r="I27" s="1803"/>
      <c r="J27" s="17"/>
      <c r="K27" s="8"/>
      <c r="L27" s="8"/>
      <c r="M27" s="8"/>
      <c r="N27" s="8"/>
    </row>
    <row r="28" spans="1:14" ht="12.75" customHeight="1" x14ac:dyDescent="0.25">
      <c r="A28" s="8"/>
      <c r="B28" s="17"/>
      <c r="C28" s="21"/>
      <c r="D28" s="21"/>
      <c r="E28" s="17"/>
      <c r="F28" s="17"/>
      <c r="G28" s="17"/>
      <c r="H28" s="17"/>
      <c r="I28" s="17"/>
      <c r="J28" s="17"/>
      <c r="K28" s="8"/>
      <c r="L28" s="8"/>
      <c r="M28" s="8"/>
      <c r="N28" s="8"/>
    </row>
    <row r="29" spans="1:14" ht="12.75" customHeight="1" x14ac:dyDescent="0.25">
      <c r="A29" s="8"/>
      <c r="B29" s="17"/>
      <c r="C29" s="21"/>
      <c r="D29" s="21"/>
      <c r="E29" s="17"/>
      <c r="F29" s="17"/>
      <c r="G29" s="17"/>
      <c r="H29" s="17"/>
      <c r="I29" s="17"/>
      <c r="J29" s="17"/>
      <c r="K29" s="8"/>
      <c r="L29" s="8"/>
      <c r="M29" s="8"/>
      <c r="N29" s="8"/>
    </row>
    <row r="30" spans="1:14" ht="12.75" customHeight="1" x14ac:dyDescent="0.25">
      <c r="A30" s="8"/>
      <c r="B30" s="17"/>
      <c r="C30" s="17"/>
      <c r="D30" s="17"/>
      <c r="E30" s="17"/>
      <c r="F30" s="17"/>
      <c r="G30" s="17"/>
      <c r="H30" s="17"/>
      <c r="I30" s="17"/>
      <c r="J30" s="17"/>
      <c r="K30" s="8"/>
      <c r="L30" s="8"/>
      <c r="M30" s="8"/>
      <c r="N30" s="8"/>
    </row>
    <row r="31" spans="1:14" x14ac:dyDescent="0.25">
      <c r="A31" s="8"/>
      <c r="B31" s="17"/>
      <c r="C31" s="17"/>
      <c r="D31" s="17"/>
      <c r="E31" s="17"/>
      <c r="F31" s="17"/>
      <c r="G31" s="17"/>
      <c r="H31" s="17"/>
      <c r="I31" s="17"/>
      <c r="J31" s="17"/>
      <c r="K31" s="8"/>
      <c r="L31" s="8"/>
      <c r="M31" s="8"/>
      <c r="N31" s="8"/>
    </row>
    <row r="32" spans="1:14" x14ac:dyDescent="0.25">
      <c r="A32" s="8"/>
      <c r="B32" s="17"/>
      <c r="C32" s="17"/>
      <c r="D32" s="17"/>
      <c r="E32" s="17"/>
      <c r="F32" s="17"/>
      <c r="G32" s="17"/>
      <c r="H32" s="17"/>
      <c r="I32" s="17"/>
      <c r="J32" s="17"/>
      <c r="K32" s="8"/>
      <c r="L32" s="8"/>
      <c r="M32" s="8"/>
      <c r="N32" s="8"/>
    </row>
    <row r="33" spans="2:10" x14ac:dyDescent="0.25">
      <c r="B33" s="17"/>
      <c r="C33" s="17"/>
      <c r="D33" s="17"/>
      <c r="E33" s="17"/>
      <c r="F33" s="17"/>
      <c r="G33" s="17"/>
      <c r="H33" s="17"/>
      <c r="I33" s="17"/>
      <c r="J33" s="17"/>
    </row>
    <row r="34" spans="2:10" x14ac:dyDescent="0.25">
      <c r="B34" s="17"/>
      <c r="C34" s="21"/>
      <c r="D34" s="21"/>
      <c r="E34" s="17"/>
      <c r="F34" s="17"/>
      <c r="G34" s="17"/>
      <c r="H34" s="17"/>
      <c r="I34" s="17"/>
      <c r="J34" s="17"/>
    </row>
    <row r="35" spans="2:10" x14ac:dyDescent="0.25">
      <c r="B35" s="17"/>
      <c r="C35" s="17"/>
      <c r="D35" s="17"/>
      <c r="E35" s="17"/>
      <c r="F35" s="17"/>
      <c r="G35" s="17"/>
      <c r="H35" s="17"/>
      <c r="I35" s="17"/>
      <c r="J35" s="17"/>
    </row>
    <row r="36" spans="2:10" x14ac:dyDescent="0.25">
      <c r="B36" s="17"/>
      <c r="C36" s="17"/>
      <c r="D36" s="17"/>
      <c r="E36" s="17"/>
      <c r="F36" s="17"/>
      <c r="G36" s="17"/>
      <c r="H36" s="17"/>
      <c r="I36" s="17"/>
      <c r="J36" s="17"/>
    </row>
    <row r="37" spans="2:10" x14ac:dyDescent="0.25">
      <c r="B37" s="17"/>
      <c r="C37" s="17"/>
      <c r="D37" s="17"/>
      <c r="E37" s="17"/>
      <c r="F37" s="17"/>
      <c r="G37" s="17"/>
      <c r="H37" s="17"/>
      <c r="I37" s="17"/>
      <c r="J37" s="17"/>
    </row>
    <row r="38" spans="2:10" x14ac:dyDescent="0.25">
      <c r="B38" s="17"/>
      <c r="C38" s="17"/>
      <c r="D38" s="17"/>
      <c r="E38" s="17"/>
      <c r="F38" s="17"/>
      <c r="G38" s="17"/>
      <c r="H38" s="17"/>
      <c r="I38" s="17"/>
      <c r="J38" s="17"/>
    </row>
    <row r="39" spans="2:10" x14ac:dyDescent="0.25">
      <c r="B39" s="17"/>
      <c r="C39" s="21"/>
      <c r="D39" s="21"/>
      <c r="E39" s="17"/>
      <c r="F39" s="17"/>
      <c r="G39" s="17"/>
      <c r="H39" s="17"/>
      <c r="I39" s="17"/>
      <c r="J39" s="17"/>
    </row>
  </sheetData>
  <phoneticPr fontId="58" type="noConversion"/>
  <pageMargins left="0.75" right="0.75" top="1" bottom="1" header="0.5" footer="0.5"/>
  <pageSetup paperSize="9" orientation="landscape" r:id="rId1"/>
  <headerFooter alignWithMargins="0">
    <oddFooter>&amp;C&amp;1#&amp;"Calibri"&amp;10&amp;K000000OFFICIAL-SENSITIVE</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dimension ref="A1:I130"/>
  <sheetViews>
    <sheetView showGridLines="0" workbookViewId="0">
      <selection activeCell="D12" sqref="D12"/>
    </sheetView>
  </sheetViews>
  <sheetFormatPr defaultColWidth="9.1796875" defaultRowHeight="12.5" x14ac:dyDescent="0.25"/>
  <cols>
    <col min="1" max="1" width="4.54296875" style="1" customWidth="1"/>
    <col min="2" max="2" width="23" style="178" bestFit="1" customWidth="1"/>
    <col min="3" max="3" width="31" style="178" bestFit="1" customWidth="1"/>
    <col min="4" max="4" width="12.81640625" style="178" customWidth="1"/>
    <col min="5" max="5" width="1" style="8" customWidth="1"/>
    <col min="6" max="6" width="5.1796875" style="1" customWidth="1"/>
    <col min="7" max="7" width="24.453125" style="178" bestFit="1" customWidth="1"/>
    <col min="8" max="8" width="21.54296875" style="178" bestFit="1" customWidth="1"/>
    <col min="9" max="9" width="12.81640625" style="178" customWidth="1"/>
    <col min="10" max="10" width="2.54296875" style="8" customWidth="1"/>
    <col min="11" max="16384" width="9.1796875" style="8"/>
  </cols>
  <sheetData>
    <row r="1" spans="1:9" ht="12" customHeight="1" x14ac:dyDescent="0.3">
      <c r="A1" s="2068" t="s">
        <v>4740</v>
      </c>
      <c r="B1" s="2069" t="s">
        <v>4741</v>
      </c>
      <c r="C1" s="2070" t="s">
        <v>4742</v>
      </c>
      <c r="D1" s="2070" t="s">
        <v>4743</v>
      </c>
      <c r="F1" s="2068" t="s">
        <v>4740</v>
      </c>
      <c r="G1" s="2069" t="s">
        <v>4741</v>
      </c>
      <c r="H1" s="2070" t="s">
        <v>4742</v>
      </c>
      <c r="I1" s="2070" t="s">
        <v>4743</v>
      </c>
    </row>
    <row r="2" spans="1:9" x14ac:dyDescent="0.25">
      <c r="A2" s="2071" t="s">
        <v>4744</v>
      </c>
      <c r="B2" s="2072" t="s">
        <v>4745</v>
      </c>
      <c r="C2" s="2073" t="str">
        <f>'NS income (c1)'!I11</f>
        <v>c1.4</v>
      </c>
      <c r="D2" s="2074">
        <f>'NS income (c1)'!J11</f>
        <v>0</v>
      </c>
      <c r="F2" s="2071" t="s">
        <v>4747</v>
      </c>
      <c r="G2" s="2072" t="s">
        <v>4748</v>
      </c>
      <c r="H2" s="2074" t="str">
        <f>'Tax adj (c9)'!I51</f>
        <v>c9.16</v>
      </c>
      <c r="I2" s="2074">
        <f>'Tax adj (c9)'!J51</f>
        <v>0</v>
      </c>
    </row>
    <row r="3" spans="1:9" x14ac:dyDescent="0.25">
      <c r="A3" s="2071" t="s">
        <v>4750</v>
      </c>
      <c r="B3" s="2072" t="s">
        <v>4751</v>
      </c>
      <c r="C3" s="2074" t="str">
        <f>'NS income (c1)'!I14</f>
        <v>c1.5</v>
      </c>
      <c r="D3" s="2074">
        <f>'NS income (c1)'!J14</f>
        <v>0</v>
      </c>
      <c r="F3" s="2071" t="s">
        <v>4747</v>
      </c>
      <c r="G3" s="2072" t="s">
        <v>4753</v>
      </c>
      <c r="H3" s="2074" t="str">
        <f>'Tax adj (c9)'!I51&amp;" x "&amp;A_rate*100&amp;"%"</f>
        <v>c9.16 x 10%</v>
      </c>
      <c r="I3" s="2075">
        <f>'Tax adj (c9)'!J51*A_rate</f>
        <v>0</v>
      </c>
    </row>
    <row r="4" spans="1:9" x14ac:dyDescent="0.25">
      <c r="A4" s="2071" t="s">
        <v>1862</v>
      </c>
      <c r="B4" s="2072" t="s">
        <v>4755</v>
      </c>
      <c r="C4" s="2074" t="str">
        <f>'NS income (c1)'!I21</f>
        <v>c1.8</v>
      </c>
      <c r="D4" s="2074">
        <f>'NS income (c1)'!J21</f>
        <v>0</v>
      </c>
      <c r="F4" s="2076" t="s">
        <v>4757</v>
      </c>
      <c r="G4" s="2072" t="s">
        <v>4758</v>
      </c>
      <c r="H4" s="2074" t="str">
        <f>'Tax adj (c9)'!I54</f>
        <v>c9.17</v>
      </c>
      <c r="I4" s="2074">
        <f>'Tax adj (c9)'!J54</f>
        <v>0</v>
      </c>
    </row>
    <row r="5" spans="1:9" x14ac:dyDescent="0.25">
      <c r="A5" s="2071" t="s">
        <v>1942</v>
      </c>
      <c r="B5" s="2072" t="s">
        <v>4760</v>
      </c>
      <c r="C5" s="2074" t="str">
        <f>'NS income (c1)'!I31</f>
        <v>c1.9</v>
      </c>
      <c r="D5" s="2074">
        <f>'NS income (c1)'!J31</f>
        <v>0</v>
      </c>
      <c r="F5" s="2076" t="s">
        <v>4757</v>
      </c>
      <c r="G5" s="2072" t="s">
        <v>4762</v>
      </c>
      <c r="H5" s="2074" t="str">
        <f>'Tax adj (c9)'!I54&amp;" x "&amp;A_rate*100&amp;"%"</f>
        <v>c9.17 x 10%</v>
      </c>
      <c r="I5" s="2075">
        <f>'Tax adj (c9)'!J54*A_rate</f>
        <v>0</v>
      </c>
    </row>
    <row r="6" spans="1:9" x14ac:dyDescent="0.25">
      <c r="A6" s="2071" t="s">
        <v>2131</v>
      </c>
      <c r="B6" s="2072" t="s">
        <v>4764</v>
      </c>
      <c r="C6" s="2074" t="str">
        <f>'NS income (c1)'!I35</f>
        <v>c1.10</v>
      </c>
      <c r="D6" s="2074">
        <f>'NS income (c1)'!J35</f>
        <v>0</v>
      </c>
      <c r="F6" s="2076" t="s">
        <v>4766</v>
      </c>
      <c r="G6" s="2072" t="s">
        <v>4767</v>
      </c>
      <c r="H6" s="2074" t="str">
        <f>'Tax adj (c9)'!I75</f>
        <v>c9.20</v>
      </c>
      <c r="I6" s="2074">
        <f>'Tax adj (c9)'!J75</f>
        <v>0</v>
      </c>
    </row>
    <row r="7" spans="1:9" x14ac:dyDescent="0.25">
      <c r="A7" s="2071" t="s">
        <v>1864</v>
      </c>
      <c r="B7" s="2072" t="s">
        <v>4769</v>
      </c>
      <c r="C7" s="2074" t="str">
        <f>'NS income (c1)'!I55&amp;" + "&amp;'NS income (c1)'!I64</f>
        <v>c1.17 + c1.20</v>
      </c>
      <c r="D7" s="2074">
        <f>'NS income (c1)'!J55+'NS income (c1)'!J64</f>
        <v>0</v>
      </c>
      <c r="F7" s="2076" t="s">
        <v>4766</v>
      </c>
      <c r="G7" s="2072" t="s">
        <v>4771</v>
      </c>
      <c r="H7" s="2074" t="str">
        <f>'Tax adj (c9)'!L75</f>
        <v>c9.21</v>
      </c>
      <c r="I7" s="2077">
        <f>'Tax adj (c9)'!M75</f>
        <v>0</v>
      </c>
    </row>
    <row r="8" spans="1:9" x14ac:dyDescent="0.25">
      <c r="A8" s="2071" t="s">
        <v>4773</v>
      </c>
      <c r="B8" s="2072" t="s">
        <v>4774</v>
      </c>
      <c r="C8" s="2074" t="str">
        <f>'NS income (c1)'!I82</f>
        <v>c1.27</v>
      </c>
      <c r="D8" s="2074">
        <f>'NS income (c1)'!J82</f>
        <v>0</v>
      </c>
      <c r="F8" s="2076" t="s">
        <v>4776</v>
      </c>
      <c r="G8" s="2072" t="s">
        <v>4777</v>
      </c>
      <c r="H8" s="2074" t="str">
        <f>'LLIR (c24)'!E78</f>
        <v>c24.15a</v>
      </c>
      <c r="I8" s="2077">
        <f>'LLIR (c24)'!F78</f>
        <v>0</v>
      </c>
    </row>
    <row r="9" spans="1:9" ht="12" customHeight="1" x14ac:dyDescent="0.25">
      <c r="A9" s="2071" t="s">
        <v>4779</v>
      </c>
      <c r="B9" s="2072" t="s">
        <v>4780</v>
      </c>
      <c r="C9" s="2074" t="str">
        <f>'Savings (c2)'!H11</f>
        <v>c2.3</v>
      </c>
      <c r="D9" s="2074">
        <f>'Savings (c2)'!I11</f>
        <v>0</v>
      </c>
      <c r="F9" s="2076" t="s">
        <v>4776</v>
      </c>
      <c r="G9" s="2072" t="s">
        <v>4782</v>
      </c>
      <c r="H9" s="2074" t="str">
        <f>'Tax adj (c9)'!I78</f>
        <v>c9.22</v>
      </c>
      <c r="I9" s="2077">
        <f>'Tax adj (c9)'!J78</f>
        <v>0</v>
      </c>
    </row>
    <row r="10" spans="1:9" ht="12" customHeight="1" x14ac:dyDescent="0.25">
      <c r="A10" s="2071" t="s">
        <v>4784</v>
      </c>
      <c r="B10" s="2072" t="s">
        <v>4785</v>
      </c>
      <c r="C10" s="2074" t="str">
        <f>'Divs (c3)'!G5</f>
        <v>c3.1</v>
      </c>
      <c r="D10" s="2078">
        <f>'Divs (c3)'!H5</f>
        <v>0</v>
      </c>
      <c r="F10" s="2076" t="s">
        <v>4776</v>
      </c>
      <c r="G10" s="2072" t="s">
        <v>4787</v>
      </c>
      <c r="H10" s="2074" t="str">
        <f>'Tax adj (c9)'!L78</f>
        <v>c9.23</v>
      </c>
      <c r="I10" s="2077">
        <f>'Tax adj (c9)'!M78</f>
        <v>0</v>
      </c>
    </row>
    <row r="11" spans="1:9" ht="12" customHeight="1" x14ac:dyDescent="0.25">
      <c r="A11" s="2071" t="s">
        <v>4789</v>
      </c>
      <c r="B11" s="2072" t="s">
        <v>4790</v>
      </c>
      <c r="C11" s="2079" t="str">
        <f>'NS income (c1)'!I100</f>
        <v>c1.33</v>
      </c>
      <c r="D11" s="2074">
        <f>'NS income (c1)'!J100</f>
        <v>0</v>
      </c>
      <c r="F11" s="2076" t="s">
        <v>4792</v>
      </c>
      <c r="G11" s="2072" t="s">
        <v>4793</v>
      </c>
      <c r="H11" s="2074" t="str">
        <f>'Tax adj (c9)'!I81</f>
        <v>c9.23a</v>
      </c>
      <c r="I11" s="2077">
        <f>'Tax adj (c9)'!J81</f>
        <v>0</v>
      </c>
    </row>
    <row r="12" spans="1:9" x14ac:dyDescent="0.25">
      <c r="A12" s="2071" t="s">
        <v>1865</v>
      </c>
      <c r="B12" s="2072" t="s">
        <v>4795</v>
      </c>
      <c r="C12" s="2074" t="str">
        <f>'NS income (c1)'!I120&amp;" + "&amp;'NS income (c1)'!I135&amp;" + "&amp;'NS income (c1)'!I155</f>
        <v>c1.35 + c1.40 + c1.44</v>
      </c>
      <c r="D12" s="2074">
        <f>'NS income (c1)'!J120+'NS income (c1)'!J135+'NS income (c1)'!J155</f>
        <v>0</v>
      </c>
      <c r="F12" s="2076" t="s">
        <v>4792</v>
      </c>
      <c r="G12" s="2072" t="s">
        <v>4797</v>
      </c>
      <c r="H12" s="2074" t="str">
        <f>'Tax adj (c9)'!L81</f>
        <v>c9.23b</v>
      </c>
      <c r="I12" s="2077">
        <f>'Tax adj (c9)'!M81</f>
        <v>0</v>
      </c>
    </row>
    <row r="13" spans="1:9" x14ac:dyDescent="0.25">
      <c r="A13" s="2071" t="s">
        <v>4799</v>
      </c>
      <c r="B13" s="2072" t="s">
        <v>4800</v>
      </c>
      <c r="C13" s="2080" t="str">
        <f>'Divs (c3)'!G21</f>
        <v>c3.5</v>
      </c>
      <c r="D13" s="2074">
        <f>'Divs (c3)'!H21</f>
        <v>0</v>
      </c>
      <c r="F13" s="2076" t="s">
        <v>4802</v>
      </c>
      <c r="G13" s="963" t="s">
        <v>4803</v>
      </c>
      <c r="H13" s="964" t="str">
        <f>'Tax adj (c9)'!L95</f>
        <v>c9.28</v>
      </c>
      <c r="I13" s="2077">
        <f>'Tax adj (c9)'!M95</f>
        <v>0</v>
      </c>
    </row>
    <row r="14" spans="1:9" x14ac:dyDescent="0.25">
      <c r="A14" s="2071" t="s">
        <v>4805</v>
      </c>
      <c r="B14" s="2072" t="s">
        <v>4806</v>
      </c>
      <c r="C14" s="2074" t="str">
        <f>'Savings (c2)'!H40</f>
        <v>c2.9</v>
      </c>
      <c r="D14" s="2074">
        <f>'Savings (c2)'!I40</f>
        <v>0</v>
      </c>
      <c r="F14" s="2076" t="s">
        <v>4808</v>
      </c>
      <c r="G14" s="2072" t="s">
        <v>4809</v>
      </c>
      <c r="H14" s="2074" t="str">
        <f>'Tax adj (c9)'!L114</f>
        <v>c9.30c</v>
      </c>
      <c r="I14" s="2077">
        <f>'Tax adj (c9)'!M114</f>
        <v>0</v>
      </c>
    </row>
    <row r="15" spans="1:9" x14ac:dyDescent="0.25">
      <c r="A15" s="2071" t="s">
        <v>4811</v>
      </c>
      <c r="B15" s="2072" t="s">
        <v>4812</v>
      </c>
      <c r="C15" s="2080" t="str">
        <f>'Divs (c3)'!G63</f>
        <v>c3.16</v>
      </c>
      <c r="D15" s="2074">
        <f>'Divs (c3)'!H63</f>
        <v>0</v>
      </c>
      <c r="F15" s="2076" t="s">
        <v>4814</v>
      </c>
      <c r="G15" s="2072" t="s">
        <v>4815</v>
      </c>
      <c r="H15" s="2073" t="s">
        <v>4816</v>
      </c>
      <c r="I15" s="2081"/>
    </row>
    <row r="16" spans="1:9" x14ac:dyDescent="0.25">
      <c r="A16" s="2071" t="s">
        <v>2132</v>
      </c>
      <c r="B16" s="2072" t="s">
        <v>4817</v>
      </c>
      <c r="C16" s="2074" t="str">
        <f>'NS income (c1)'!I164&amp;" + "&amp;'Savings (c2)'!H54&amp;" + "&amp;'Divs (c3)'!G44&amp;" + "&amp;'Divs (c3)'!G75&amp;" + "&amp;'Divs (c3)'!G80</f>
        <v>c1.51 + c2.13 + c3.9 + c3.19 + c3.20</v>
      </c>
      <c r="D16" s="2074">
        <f>'NS income (c1)'!J164+'Savings (c2)'!I54+'Divs (c3)'!H44+'Divs (c3)'!H75+'Divs (c3)'!H80</f>
        <v>0</v>
      </c>
      <c r="F16" s="2071" t="s">
        <v>4819</v>
      </c>
      <c r="G16" s="2072" t="s">
        <v>2060</v>
      </c>
      <c r="H16" s="2074" t="str">
        <f>'Tax adj (c9)'!F199</f>
        <v>c9.41</v>
      </c>
      <c r="I16" s="2075">
        <f>'Tax adj (c9)'!G199</f>
        <v>0</v>
      </c>
    </row>
    <row r="17" spans="1:9" x14ac:dyDescent="0.25">
      <c r="A17" s="2071" t="s">
        <v>4821</v>
      </c>
      <c r="B17" s="2072" t="s">
        <v>4822</v>
      </c>
      <c r="C17" s="2074" t="str">
        <f>'Savings (c2)'!H69</f>
        <v>c2.17</v>
      </c>
      <c r="D17" s="2074">
        <f>'Savings (c2)'!I69</f>
        <v>0</v>
      </c>
      <c r="F17" s="2071" t="s">
        <v>4819</v>
      </c>
      <c r="G17" s="2072" t="s">
        <v>4824</v>
      </c>
      <c r="H17" s="2075" t="str">
        <f>'Tax adj (c9)'!I208</f>
        <v>c9.41c</v>
      </c>
      <c r="I17" s="2075">
        <f>'Tax adj (c9)'!J208</f>
        <v>0</v>
      </c>
    </row>
    <row r="18" spans="1:9" x14ac:dyDescent="0.25">
      <c r="A18" s="2071" t="s">
        <v>4826</v>
      </c>
      <c r="B18" s="2072" t="s">
        <v>4827</v>
      </c>
      <c r="C18" s="2073" t="str">
        <f>'Divs (c3)'!G54</f>
        <v>c3.14</v>
      </c>
      <c r="D18" s="2074">
        <f>'Divs (c3)'!H54</f>
        <v>0</v>
      </c>
      <c r="F18" s="2071" t="s">
        <v>4829</v>
      </c>
      <c r="G18" s="2072" t="s">
        <v>4830</v>
      </c>
      <c r="H18" s="2075" t="str">
        <f>'Pensions (c25c26)'!J162</f>
        <v>c25.57</v>
      </c>
      <c r="I18" s="2075">
        <f>'Pensions (c25c26)'!K162</f>
        <v>0</v>
      </c>
    </row>
    <row r="19" spans="1:9" x14ac:dyDescent="0.25">
      <c r="A19" s="2071" t="s">
        <v>4832</v>
      </c>
      <c r="B19" s="2072" t="s">
        <v>4833</v>
      </c>
      <c r="C19" s="2074" t="str">
        <f>'NS income (c1)'!I168</f>
        <v>c1.52</v>
      </c>
      <c r="D19" s="2074">
        <f>'NS income (c1)'!J168</f>
        <v>0</v>
      </c>
      <c r="F19" s="2071" t="s">
        <v>4835</v>
      </c>
      <c r="G19" s="2072" t="s">
        <v>4836</v>
      </c>
      <c r="H19" s="2073" t="str">
        <f>'Tax adj (c9)'!L98</f>
        <v>c9.29</v>
      </c>
      <c r="I19" s="2074">
        <f>'Tax adj (c9)'!M98</f>
        <v>0</v>
      </c>
    </row>
    <row r="20" spans="1:9" x14ac:dyDescent="0.25">
      <c r="A20" s="2071" t="s">
        <v>1946</v>
      </c>
      <c r="B20" s="2072" t="s">
        <v>4838</v>
      </c>
      <c r="C20" s="2074" t="str">
        <f>'Savings (c2)'!H75</f>
        <v>c2.18</v>
      </c>
      <c r="D20" s="2074">
        <f>'Savings (c2)'!I75</f>
        <v>0</v>
      </c>
      <c r="F20" s="2071" t="s">
        <v>4840</v>
      </c>
      <c r="G20" s="2072" t="s">
        <v>4841</v>
      </c>
      <c r="H20" s="2074" t="str">
        <f>'Tax adj (c9)'!I211</f>
        <v>c9.42</v>
      </c>
      <c r="I20" s="2075">
        <f>'Tax adj (c9)'!J211</f>
        <v>0</v>
      </c>
    </row>
    <row r="21" spans="1:9" x14ac:dyDescent="0.25">
      <c r="A21" s="2071" t="s">
        <v>4843</v>
      </c>
      <c r="B21" s="2072" t="s">
        <v>4844</v>
      </c>
      <c r="C21" s="2074" t="str">
        <f>'Divs (c3)'!G66</f>
        <v>c3.17</v>
      </c>
      <c r="D21" s="2074">
        <f>'Divs (c3)'!H66</f>
        <v>0</v>
      </c>
      <c r="F21" s="2071" t="s">
        <v>4846</v>
      </c>
      <c r="G21" s="2072" t="s">
        <v>4847</v>
      </c>
      <c r="H21" s="2074" t="str">
        <f>'Tax adj (c9)'!C139</f>
        <v>c9.33</v>
      </c>
      <c r="I21" s="2074">
        <f>'Tax adj (c9)'!D139</f>
        <v>0</v>
      </c>
    </row>
    <row r="22" spans="1:9" x14ac:dyDescent="0.25">
      <c r="A22" s="2071" t="s">
        <v>1867</v>
      </c>
      <c r="B22" s="2072" t="s">
        <v>4849</v>
      </c>
      <c r="C22" s="2074" t="str">
        <f>'NS income (c1)'!I176</f>
        <v>c1.56</v>
      </c>
      <c r="D22" s="2074">
        <f>'NS income (c1)'!J176</f>
        <v>0</v>
      </c>
      <c r="F22" s="2071" t="s">
        <v>4846</v>
      </c>
      <c r="G22" s="2072" t="s">
        <v>4851</v>
      </c>
      <c r="H22" s="2074" t="str">
        <f>'Tax adj (c9)'!F139</f>
        <v>c9.34</v>
      </c>
      <c r="I22" s="2075">
        <f>'Tax adj (c9)'!G139</f>
        <v>0</v>
      </c>
    </row>
    <row r="23" spans="1:9" x14ac:dyDescent="0.25">
      <c r="A23" s="2071" t="s">
        <v>4853</v>
      </c>
      <c r="B23" s="2072" t="s">
        <v>4854</v>
      </c>
      <c r="C23" s="2074" t="str">
        <f>'NS income (c1)'!I188</f>
        <v>c1.58</v>
      </c>
      <c r="D23" s="2074">
        <f>'NS income (c1)'!J188</f>
        <v>0</v>
      </c>
      <c r="F23" s="2071" t="s">
        <v>4856</v>
      </c>
      <c r="G23" s="2072" t="s">
        <v>4857</v>
      </c>
      <c r="H23" s="2074" t="s">
        <v>4858</v>
      </c>
      <c r="I23" s="2075">
        <f>'Tax adj (c9)'!G142</f>
        <v>0</v>
      </c>
    </row>
    <row r="24" spans="1:9" x14ac:dyDescent="0.25">
      <c r="A24" s="2071" t="s">
        <v>4859</v>
      </c>
      <c r="B24" s="2072" t="s">
        <v>4860</v>
      </c>
      <c r="C24" s="2073" t="str">
        <f>'Divs (c3)'!G87</f>
        <v>c3.21</v>
      </c>
      <c r="D24" s="2074">
        <f>'Divs (c3)'!H87</f>
        <v>0</v>
      </c>
      <c r="F24" s="2071" t="s">
        <v>4856</v>
      </c>
      <c r="G24" s="2072" t="str">
        <f>G113</f>
        <v>total-CG-due</v>
      </c>
      <c r="H24" s="2074" t="s">
        <v>4816</v>
      </c>
      <c r="I24" s="2082"/>
    </row>
    <row r="25" spans="1:9" x14ac:dyDescent="0.25">
      <c r="A25" s="2071" t="s">
        <v>1948</v>
      </c>
      <c r="B25" s="2072" t="s">
        <v>4863</v>
      </c>
      <c r="C25" s="2074" t="str">
        <f>'Deductions (c4)'!H326</f>
        <v>c4.48</v>
      </c>
      <c r="D25" s="2074">
        <f>'Deductions (c4)'!I326</f>
        <v>0</v>
      </c>
      <c r="F25" s="2071" t="s">
        <v>4865</v>
      </c>
      <c r="G25" s="2072" t="str">
        <f>G68</f>
        <v>non-dom-charge-amount</v>
      </c>
      <c r="H25" s="2083" t="str">
        <f>H68</f>
        <v>not used</v>
      </c>
      <c r="I25" s="2073">
        <f>I68</f>
        <v>0</v>
      </c>
    </row>
    <row r="26" spans="1:9" x14ac:dyDescent="0.25">
      <c r="A26" s="2071" t="s">
        <v>1869</v>
      </c>
      <c r="B26" s="2072" t="s">
        <v>4868</v>
      </c>
      <c r="C26" s="2083" t="str">
        <f>'Deductions (c4)'!H339</f>
        <v>c4.54</v>
      </c>
      <c r="D26" s="2074">
        <f>'Deductions (c4)'!I339</f>
        <v>0</v>
      </c>
      <c r="F26" s="2071" t="s">
        <v>4870</v>
      </c>
      <c r="G26" s="2072" t="s">
        <v>4871</v>
      </c>
      <c r="H26" s="2074" t="str">
        <f>'Tax adj (c9)'!F151</f>
        <v>c9.38</v>
      </c>
      <c r="I26" s="2077">
        <f>'Tax adj (c9)'!G151</f>
        <v>0</v>
      </c>
    </row>
    <row r="27" spans="1:9" x14ac:dyDescent="0.25">
      <c r="A27" s="2071" t="s">
        <v>2134</v>
      </c>
      <c r="B27" s="2072" t="s">
        <v>4873</v>
      </c>
      <c r="C27" s="2083" t="str">
        <f>'Deductions (c4)'!D188</f>
        <v>c4.39</v>
      </c>
      <c r="D27" s="2074">
        <f>'Deductions (c4)'!E188</f>
        <v>0</v>
      </c>
      <c r="F27" s="2071" t="s">
        <v>4875</v>
      </c>
      <c r="G27" s="2072" t="s">
        <v>4876</v>
      </c>
      <c r="H27" s="2074" t="str">
        <f>'Tax adj (c9)'!I158</f>
        <v>c9.39</v>
      </c>
      <c r="I27" s="2075">
        <f>'Tax adj (c9)'!J158</f>
        <v>0</v>
      </c>
    </row>
    <row r="28" spans="1:9" x14ac:dyDescent="0.25">
      <c r="A28" s="2071" t="s">
        <v>2134</v>
      </c>
      <c r="B28" s="2072" t="s">
        <v>4878</v>
      </c>
      <c r="C28" s="178" t="str">
        <f>'Deductions (c4)'!D216</f>
        <v>c4.47</v>
      </c>
      <c r="D28" s="2073">
        <f>'Deductions (c4)'!E216</f>
        <v>0</v>
      </c>
      <c r="F28" s="2071" t="s">
        <v>4880</v>
      </c>
      <c r="G28" s="2072" t="s">
        <v>4881</v>
      </c>
      <c r="H28" s="2074" t="str">
        <f>'Tax adj (c9)'!I177</f>
        <v>c9.39f</v>
      </c>
      <c r="I28" s="2075">
        <f>'Tax adj (c9)'!J177</f>
        <v>0</v>
      </c>
    </row>
    <row r="29" spans="1:9" x14ac:dyDescent="0.25">
      <c r="A29" s="2071" t="s">
        <v>1870</v>
      </c>
      <c r="B29" s="2072" t="s">
        <v>4883</v>
      </c>
      <c r="C29" s="2074" t="str">
        <f>'Deductions (c4)'!H333</f>
        <v>c4.51</v>
      </c>
      <c r="D29" s="2074">
        <f>'Deductions (c4)'!I333</f>
        <v>0</v>
      </c>
      <c r="F29" s="2368" t="s">
        <v>9564</v>
      </c>
      <c r="G29" s="2087" t="s">
        <v>9567</v>
      </c>
      <c r="H29" s="2088" t="str">
        <f>'Tax adj (c9)'!F190</f>
        <v>c9.39i</v>
      </c>
      <c r="I29" s="2089">
        <f>'Tax adj (c9)'!G190</f>
        <v>0</v>
      </c>
    </row>
    <row r="30" spans="1:9" x14ac:dyDescent="0.25">
      <c r="A30" s="2071" t="s">
        <v>4888</v>
      </c>
      <c r="B30" s="2072" t="s">
        <v>4889</v>
      </c>
      <c r="C30" s="2074" t="str">
        <f>'Deductions (c4)'!H329</f>
        <v>c4.49</v>
      </c>
      <c r="D30" s="2074">
        <f>'Deductions (c4)'!I329</f>
        <v>0</v>
      </c>
      <c r="F30" s="2368" t="s">
        <v>9564</v>
      </c>
      <c r="G30" s="2087" t="s">
        <v>9568</v>
      </c>
      <c r="H30" s="2088" t="str">
        <f>'Tax adj (c9)'!I190</f>
        <v>c9.39j</v>
      </c>
      <c r="I30" s="2089">
        <f>'Tax adj (c9)'!J190</f>
        <v>0</v>
      </c>
    </row>
    <row r="31" spans="1:9" x14ac:dyDescent="0.25">
      <c r="A31" s="2084" t="s">
        <v>4893</v>
      </c>
      <c r="B31" s="2085" t="s">
        <v>4894</v>
      </c>
      <c r="C31" s="2086" t="str">
        <f>'Deductions (c4)'!H281&amp;" + "&amp;'Deductions (c4)'!H294&amp;" + "&amp;'Deductions (c4)'!H310</f>
        <v>c4.47.19 + c4.47.23 + c4.47.27</v>
      </c>
      <c r="D31" s="2086">
        <f>'Deductions (c4)'!I281+'Deductions (c4)'!I294+'Deductions (c4)'!I310</f>
        <v>0</v>
      </c>
      <c r="F31" s="2071" t="s">
        <v>4885</v>
      </c>
      <c r="G31" s="2072" t="s">
        <v>4886</v>
      </c>
      <c r="H31" s="2083" t="str">
        <f>'Pensions (c25c26)'!D141</f>
        <v>c25.51</v>
      </c>
      <c r="I31" s="2075">
        <f>'Pensions (c25c26)'!E141</f>
        <v>0</v>
      </c>
    </row>
    <row r="32" spans="1:9" x14ac:dyDescent="0.25">
      <c r="A32" s="2084" t="s">
        <v>4898</v>
      </c>
      <c r="B32" s="2085" t="s">
        <v>4899</v>
      </c>
      <c r="C32" s="2086" t="str">
        <f>'Deductions (c4)'!H321</f>
        <v>c4.47.30</v>
      </c>
      <c r="D32" s="2086">
        <f>'Deductions (c4)'!I321</f>
        <v>0</v>
      </c>
      <c r="F32" s="2071" t="s">
        <v>4885</v>
      </c>
      <c r="G32" s="2072" t="s">
        <v>4891</v>
      </c>
      <c r="H32" s="2083" t="str">
        <f>'Pensions (c25c26)'!D144</f>
        <v>c25.52</v>
      </c>
      <c r="I32" s="2075">
        <f>'Pensions (c25c26)'!E144</f>
        <v>0</v>
      </c>
    </row>
    <row r="33" spans="1:9" x14ac:dyDescent="0.25">
      <c r="A33" s="2084" t="s">
        <v>4898</v>
      </c>
      <c r="B33" s="2085" t="s">
        <v>9572</v>
      </c>
      <c r="C33" s="2086" t="str">
        <f>'Deductions (c4)'!D318</f>
        <v>c4.47.29</v>
      </c>
      <c r="D33" s="2086">
        <f>'Deductions (c4)'!E318</f>
        <v>0</v>
      </c>
      <c r="F33" s="2071" t="s">
        <v>4885</v>
      </c>
      <c r="G33" s="2072" t="s">
        <v>4896</v>
      </c>
      <c r="H33" s="2074" t="str">
        <f>'Tax adj (c9)'!I161</f>
        <v>c9.39a</v>
      </c>
      <c r="I33" s="2075">
        <f>'Tax adj (c9)'!J161</f>
        <v>0</v>
      </c>
    </row>
    <row r="34" spans="1:9" ht="12.75" customHeight="1" x14ac:dyDescent="0.25">
      <c r="A34" s="2071" t="s">
        <v>2135</v>
      </c>
      <c r="B34" s="2072" t="s">
        <v>4907</v>
      </c>
      <c r="C34" s="2083" t="str">
        <f>'Deductions (c4)'!H435</f>
        <v>c4.64</v>
      </c>
      <c r="D34" s="2074">
        <f>'Deductions (c4)'!I435</f>
        <v>12570</v>
      </c>
      <c r="F34" s="2071" t="s">
        <v>4901</v>
      </c>
      <c r="G34" s="2072" t="s">
        <v>4902</v>
      </c>
      <c r="H34" s="2074" t="str">
        <f>'Pensions (c25c26)'!G169</f>
        <v>c26.1</v>
      </c>
      <c r="I34" s="2075">
        <f>'Pensions (c25c26)'!H169</f>
        <v>0</v>
      </c>
    </row>
    <row r="35" spans="1:9" x14ac:dyDescent="0.25">
      <c r="A35" s="2071" t="s">
        <v>4911</v>
      </c>
      <c r="B35" s="2072" t="s">
        <v>4912</v>
      </c>
      <c r="C35" s="2073" t="str">
        <f>'Deductions (c4)'!H473</f>
        <v>c4.68</v>
      </c>
      <c r="D35" s="2074">
        <f>'Deductions (c4)'!I473</f>
        <v>0</v>
      </c>
      <c r="F35" s="2071" t="s">
        <v>4901</v>
      </c>
      <c r="G35" s="2072" t="s">
        <v>4905</v>
      </c>
      <c r="H35" s="2074" t="str">
        <f>'Pensions (c25c26)'!G198</f>
        <v>c26.2</v>
      </c>
      <c r="I35" s="2075">
        <f>'Pensions (c25c26)'!H198</f>
        <v>0</v>
      </c>
    </row>
    <row r="36" spans="1:9" x14ac:dyDescent="0.25">
      <c r="A36" s="2071" t="s">
        <v>1875</v>
      </c>
      <c r="B36" s="2072" t="s">
        <v>4917</v>
      </c>
      <c r="C36" s="2083" t="str">
        <f>'Deductions (c4)'!H442</f>
        <v>c4.65</v>
      </c>
      <c r="D36" s="2074">
        <f>'Deductions (c4)'!I442</f>
        <v>0</v>
      </c>
      <c r="F36" s="2071" t="s">
        <v>4901</v>
      </c>
      <c r="G36" s="2072" t="s">
        <v>4909</v>
      </c>
      <c r="H36" s="2074" t="str">
        <f>'Tax adj (c9)'!I164</f>
        <v>c9.39b</v>
      </c>
      <c r="I36" s="2075">
        <f>'Tax adj (c9)'!J164</f>
        <v>0</v>
      </c>
    </row>
    <row r="37" spans="1:9" x14ac:dyDescent="0.25">
      <c r="A37" s="2071" t="s">
        <v>4922</v>
      </c>
      <c r="B37" s="2072" t="s">
        <v>4923</v>
      </c>
      <c r="C37" s="2083" t="str">
        <f>'Deductions (c4)'!H445</f>
        <v>c4.66</v>
      </c>
      <c r="D37" s="2074">
        <f>'Deductions (c4)'!I445</f>
        <v>0</v>
      </c>
      <c r="F37" s="2071" t="s">
        <v>4914</v>
      </c>
      <c r="G37" s="2072" t="s">
        <v>4915</v>
      </c>
      <c r="H37" s="2074" t="str">
        <f>'Tax adj (c9)'!I167</f>
        <v>c9.39c</v>
      </c>
      <c r="I37" s="2075">
        <f>'Tax adj (c9)'!J167</f>
        <v>0</v>
      </c>
    </row>
    <row r="38" spans="1:9" x14ac:dyDescent="0.25">
      <c r="A38" s="2071" t="s">
        <v>1876</v>
      </c>
      <c r="B38" s="2072" t="s">
        <v>4926</v>
      </c>
      <c r="C38" s="2083" t="str">
        <f>'Deductions (c4)'!L502</f>
        <v>c4.72</v>
      </c>
      <c r="D38" s="2074">
        <f>'Deductions (c4)'!M502</f>
        <v>12570</v>
      </c>
      <c r="F38" s="2071" t="s">
        <v>4919</v>
      </c>
      <c r="G38" s="2072" t="s">
        <v>4920</v>
      </c>
      <c r="H38" s="2074" t="str">
        <f>'Pensions (c25c26)'!J158</f>
        <v>c25.56</v>
      </c>
      <c r="I38" s="2075">
        <f>'Pensions (c25c26)'!K158</f>
        <v>0</v>
      </c>
    </row>
    <row r="39" spans="1:9" x14ac:dyDescent="0.25">
      <c r="A39" s="2071" t="s">
        <v>1952</v>
      </c>
      <c r="B39" s="2072" t="s">
        <v>4928</v>
      </c>
      <c r="C39" s="2073" t="str">
        <f>'Taxable (c5)'!BA338</f>
        <v>c5.86</v>
      </c>
      <c r="D39" s="2074">
        <f>'Taxable (c5)'!BB338</f>
        <v>0</v>
      </c>
      <c r="F39" s="2071" t="s">
        <v>4925</v>
      </c>
      <c r="G39" s="2085" t="s">
        <v>5066</v>
      </c>
      <c r="H39" s="2086" t="str">
        <f>'Tax adj (c9)'!F180&amp;" + "&amp;'Tax adj (c9)'!F183</f>
        <v>c9.39g + c9.39g1</v>
      </c>
      <c r="I39" s="2375">
        <f>'Tax adj (c9)'!G180+'Tax adj (c9)'!G183</f>
        <v>0</v>
      </c>
    </row>
    <row r="40" spans="1:9" x14ac:dyDescent="0.25">
      <c r="A40" s="2071" t="s">
        <v>4932</v>
      </c>
      <c r="B40" s="2072" t="s">
        <v>4933</v>
      </c>
      <c r="C40" s="2074" t="str">
        <f>'Deductions (c4)'!H379</f>
        <v>c4.58</v>
      </c>
      <c r="D40" s="2074">
        <f>'Deductions (c4)'!I379</f>
        <v>0</v>
      </c>
      <c r="F40" s="2071" t="s">
        <v>4925</v>
      </c>
      <c r="G40" s="2085" t="s">
        <v>5070</v>
      </c>
      <c r="H40" s="2086" t="str">
        <f>'Tax adj (c9)'!I183</f>
        <v>c9.39h</v>
      </c>
      <c r="I40" s="2375">
        <f>'Tax adj (c9)'!J183</f>
        <v>0</v>
      </c>
    </row>
    <row r="41" spans="1:9" x14ac:dyDescent="0.25">
      <c r="A41" s="2071" t="s">
        <v>4932</v>
      </c>
      <c r="B41" s="2072" t="s">
        <v>4936</v>
      </c>
      <c r="C41" s="2073" t="str">
        <f>'Deductions (c4)'!H360</f>
        <v>c4.57</v>
      </c>
      <c r="D41" s="2074">
        <f>'Deductions (c4)'!I360</f>
        <v>0</v>
      </c>
      <c r="F41" s="2071" t="s">
        <v>4930</v>
      </c>
      <c r="G41" s="2072" t="s">
        <v>4931</v>
      </c>
      <c r="H41" s="2074" t="s">
        <v>4816</v>
      </c>
      <c r="I41" s="2075">
        <v>0</v>
      </c>
    </row>
    <row r="42" spans="1:9" x14ac:dyDescent="0.25">
      <c r="A42" s="2071" t="s">
        <v>4932</v>
      </c>
      <c r="B42" s="2072" t="s">
        <v>4939</v>
      </c>
      <c r="C42" s="2073" t="str">
        <f>'Taxable (c5)'!AK8</f>
        <v>c5.2a</v>
      </c>
      <c r="D42" s="2074">
        <f>'Taxable (c5)'!AL8</f>
        <v>37700</v>
      </c>
      <c r="F42" s="2076" t="s">
        <v>4930</v>
      </c>
      <c r="G42" s="2072" t="s">
        <v>4935</v>
      </c>
      <c r="H42" s="2074" t="s">
        <v>4816</v>
      </c>
      <c r="I42" s="2075">
        <v>0</v>
      </c>
    </row>
    <row r="43" spans="1:9" x14ac:dyDescent="0.25">
      <c r="A43" s="2071" t="s">
        <v>4944</v>
      </c>
      <c r="B43" s="2072" t="s">
        <v>4945</v>
      </c>
      <c r="C43" s="2074" t="s">
        <v>4816</v>
      </c>
      <c r="D43" s="2074">
        <v>0</v>
      </c>
      <c r="F43" s="2076" t="s">
        <v>4941</v>
      </c>
      <c r="G43" s="2072" t="s">
        <v>4942</v>
      </c>
      <c r="H43" s="2074" t="str">
        <f>'Tax due (c12)'!I14</f>
        <v>c12.1a</v>
      </c>
      <c r="I43" s="2075">
        <f>box_c12_1_s23</f>
        <v>0</v>
      </c>
    </row>
    <row r="44" spans="1:9" x14ac:dyDescent="0.25">
      <c r="A44" s="2071" t="s">
        <v>4944</v>
      </c>
      <c r="B44" s="2072" t="s">
        <v>4936</v>
      </c>
      <c r="C44" s="2073" t="str">
        <f>'Deductions (c4)'!H360</f>
        <v>c4.57</v>
      </c>
      <c r="D44" s="2074">
        <f>'Deductions (c4)'!I360</f>
        <v>0</v>
      </c>
      <c r="F44" s="2076" t="s">
        <v>4946</v>
      </c>
      <c r="G44" s="2072" t="s">
        <v>4947</v>
      </c>
      <c r="H44" s="2075" t="str">
        <f>'non-res (c91)'!H119</f>
        <v>c91.27</v>
      </c>
      <c r="I44" s="2075">
        <f>'non-res (c91)'!I119</f>
        <v>0</v>
      </c>
    </row>
    <row r="45" spans="1:9" x14ac:dyDescent="0.25">
      <c r="A45" s="2071" t="s">
        <v>4944</v>
      </c>
      <c r="B45" s="2072" t="s">
        <v>4952</v>
      </c>
      <c r="C45" s="2073" t="s">
        <v>4816</v>
      </c>
      <c r="D45" s="2074"/>
      <c r="F45" s="2076" t="s">
        <v>4949</v>
      </c>
      <c r="G45" s="2072" t="s">
        <v>4950</v>
      </c>
      <c r="H45" s="2074" t="str">
        <f>'Tax due (c12)'!I22</f>
        <v>c12.1c</v>
      </c>
      <c r="I45" s="2075">
        <f>'Tax due (c12)'!J22</f>
        <v>0</v>
      </c>
    </row>
    <row r="46" spans="1:9" x14ac:dyDescent="0.25">
      <c r="A46" s="2071" t="s">
        <v>4932</v>
      </c>
      <c r="B46" s="2072" t="s">
        <v>4933</v>
      </c>
      <c r="C46" s="2074" t="str">
        <f>'Deductions (c4)'!H389</f>
        <v>c4.60</v>
      </c>
      <c r="D46" s="2074">
        <f>'Deductions (c4)'!I379</f>
        <v>0</v>
      </c>
      <c r="F46" s="2076" t="s">
        <v>4953</v>
      </c>
      <c r="G46" s="2072" t="s">
        <v>4954</v>
      </c>
      <c r="H46" s="2074" t="str">
        <f>'Tax due (c12)'!I25</f>
        <v>c12.1d</v>
      </c>
      <c r="I46" s="2075">
        <f>'Tax due (c12)'!J25</f>
        <v>0</v>
      </c>
    </row>
    <row r="47" spans="1:9" ht="12" customHeight="1" x14ac:dyDescent="0.25">
      <c r="A47" s="2407" t="s">
        <v>1953</v>
      </c>
      <c r="B47" s="2403" t="s">
        <v>9607</v>
      </c>
      <c r="C47" s="2405" t="str">
        <f>'Deductions (c4)'!H364</f>
        <v>c4.57.1</v>
      </c>
      <c r="D47" s="2406">
        <f>'Deductions (c4)'!I364</f>
        <v>0</v>
      </c>
      <c r="F47" s="2076" t="s">
        <v>4957</v>
      </c>
      <c r="G47" s="2072" t="s">
        <v>4958</v>
      </c>
      <c r="H47" s="2074" t="str">
        <f>'Tax due (c12)'!I18</f>
        <v>c12.1b</v>
      </c>
      <c r="I47" s="2075">
        <f>box_c12_1_s811</f>
        <v>0</v>
      </c>
    </row>
    <row r="48" spans="1:9" ht="12" customHeight="1" x14ac:dyDescent="0.25">
      <c r="A48" s="2071" t="s">
        <v>4960</v>
      </c>
      <c r="B48" s="2072" t="s">
        <v>4961</v>
      </c>
      <c r="C48" s="2075" t="str">
        <f>'tax it (c8)'!C8</f>
        <v>c8.1</v>
      </c>
      <c r="D48" s="2073">
        <f>'tax it (c8)'!D8</f>
        <v>0</v>
      </c>
      <c r="F48" s="2071" t="s">
        <v>4963</v>
      </c>
      <c r="G48" s="2072" t="s">
        <v>4964</v>
      </c>
      <c r="H48" s="2074" t="str">
        <f>'Tax due (c12)'!L32</f>
        <v>c12.1e</v>
      </c>
      <c r="I48" s="2075">
        <f>'Tax due (c12)'!M32</f>
        <v>0</v>
      </c>
    </row>
    <row r="49" spans="1:9" x14ac:dyDescent="0.25">
      <c r="A49" s="2071" t="s">
        <v>4960</v>
      </c>
      <c r="B49" s="2072" t="s">
        <v>4966</v>
      </c>
      <c r="C49" s="2075" t="str">
        <f>'tax it (c8)'!G8</f>
        <v>c8.1a</v>
      </c>
      <c r="D49" s="2077">
        <f>'tax it (c8)'!H8</f>
        <v>0</v>
      </c>
      <c r="F49" s="2071" t="s">
        <v>4968</v>
      </c>
      <c r="G49" s="2072" t="s">
        <v>4969</v>
      </c>
      <c r="H49" s="2075" t="str">
        <f>'Div Cr (c10)'!I27</f>
        <v>c10.4</v>
      </c>
      <c r="I49" s="2075">
        <f>'Div Cr (c10)'!J27</f>
        <v>0</v>
      </c>
    </row>
    <row r="50" spans="1:9" x14ac:dyDescent="0.25">
      <c r="A50" s="2071" t="s">
        <v>1954</v>
      </c>
      <c r="B50" s="2072" t="s">
        <v>4971</v>
      </c>
      <c r="C50" s="2073" t="str">
        <f>'tax it (c8)'!C11</f>
        <v>c8.1b</v>
      </c>
      <c r="D50" s="2074">
        <f>'tax it (c8)'!D11</f>
        <v>0</v>
      </c>
      <c r="F50" s="2071" t="s">
        <v>4973</v>
      </c>
      <c r="G50" s="2072" t="s">
        <v>4974</v>
      </c>
      <c r="H50" s="2075" t="str">
        <f>'Div Cr (c10)'!I44</f>
        <v>c10.5</v>
      </c>
      <c r="I50" s="2075">
        <f>'Div Cr (c10)'!J44</f>
        <v>0</v>
      </c>
    </row>
    <row r="51" spans="1:9" x14ac:dyDescent="0.25">
      <c r="A51" s="2071" t="s">
        <v>1954</v>
      </c>
      <c r="B51" s="2072" t="s">
        <v>4976</v>
      </c>
      <c r="C51" s="2077" t="str">
        <f>'tax it (c8)'!G11</f>
        <v>c8.2</v>
      </c>
      <c r="D51" s="2075">
        <f>'tax it (c8)'!H11</f>
        <v>0</v>
      </c>
      <c r="F51" s="2071" t="s">
        <v>4978</v>
      </c>
      <c r="G51" s="2072" t="s">
        <v>4979</v>
      </c>
      <c r="H51" s="2074" t="str">
        <f>'Div Cr (c10)'!I57</f>
        <v>c10.9</v>
      </c>
      <c r="I51" s="2075">
        <f>'Div Cr (c10)'!J57</f>
        <v>0</v>
      </c>
    </row>
    <row r="52" spans="1:9" x14ac:dyDescent="0.25">
      <c r="A52" s="2071" t="s">
        <v>4981</v>
      </c>
      <c r="B52" s="2072" t="s">
        <v>4982</v>
      </c>
      <c r="C52" s="2075" t="str">
        <f>'tax it (c8)'!C14</f>
        <v>c8.2a</v>
      </c>
      <c r="D52" s="2073">
        <f>'tax it (c8)'!D14</f>
        <v>0</v>
      </c>
      <c r="F52" s="2071" t="s">
        <v>4984</v>
      </c>
      <c r="G52" s="2072" t="s">
        <v>4985</v>
      </c>
      <c r="H52" s="2073" t="str">
        <f>'Div Cr (c10)'!I69&amp;" + "&amp;'Div Cr (c10)'!I82</f>
        <v>c10.13 + c10.17</v>
      </c>
      <c r="I52" s="2075">
        <f>'Div Cr (c10)'!J69+'Div Cr (c10)'!J82</f>
        <v>0</v>
      </c>
    </row>
    <row r="53" spans="1:9" x14ac:dyDescent="0.25">
      <c r="A53" s="2071" t="s">
        <v>4981</v>
      </c>
      <c r="B53" s="2072" t="s">
        <v>4987</v>
      </c>
      <c r="C53" s="2075" t="str">
        <f>'tax it (c8)'!G14</f>
        <v>c8.2b</v>
      </c>
      <c r="D53" s="2077">
        <f>'tax it (c8)'!H14</f>
        <v>0</v>
      </c>
      <c r="F53" s="2071" t="s">
        <v>4989</v>
      </c>
      <c r="G53" s="2072" t="s">
        <v>4990</v>
      </c>
      <c r="H53" s="2075" t="str">
        <f>'Tax due (c12)'!L36</f>
        <v>c12.1f</v>
      </c>
      <c r="I53" s="2075">
        <f>'Tax due (c12)'!M36</f>
        <v>0</v>
      </c>
    </row>
    <row r="54" spans="1:9" x14ac:dyDescent="0.25">
      <c r="A54" s="2071" t="s">
        <v>4992</v>
      </c>
      <c r="B54" s="2072" t="s">
        <v>4993</v>
      </c>
      <c r="C54" s="2073" t="str">
        <f>'tax it (c8)'!C17</f>
        <v>c8.3</v>
      </c>
      <c r="D54" s="2074">
        <f>'tax it (c8)'!D17</f>
        <v>0</v>
      </c>
      <c r="F54" s="2071" t="s">
        <v>4995</v>
      </c>
      <c r="G54" s="2072" t="s">
        <v>4996</v>
      </c>
      <c r="H54" s="2073" t="str">
        <f>'Class 4 NIC (c16)'!G97</f>
        <v>c16.15</v>
      </c>
      <c r="I54" s="2073">
        <f>'Class 4 NIC (c16)'!H97</f>
        <v>0</v>
      </c>
    </row>
    <row r="55" spans="1:9" x14ac:dyDescent="0.25">
      <c r="A55" s="2071" t="s">
        <v>4992</v>
      </c>
      <c r="B55" s="2072" t="s">
        <v>4998</v>
      </c>
      <c r="C55" s="2077" t="str">
        <f>'tax it (c8)'!G17</f>
        <v>c8.4</v>
      </c>
      <c r="D55" s="2075">
        <f>'tax it (c8)'!H17</f>
        <v>0</v>
      </c>
      <c r="F55" s="2071" t="s">
        <v>4995</v>
      </c>
      <c r="G55" s="2072" t="s">
        <v>5000</v>
      </c>
      <c r="H55" s="2073" t="str">
        <f>'Class 4 NIC (c16)'!J97</f>
        <v>c16.16</v>
      </c>
      <c r="I55" s="2073">
        <f>'Class 4 NIC (c16)'!K97</f>
        <v>0</v>
      </c>
    </row>
    <row r="56" spans="1:9" x14ac:dyDescent="0.25">
      <c r="A56" s="2071" t="s">
        <v>5002</v>
      </c>
      <c r="B56" s="2072" t="s">
        <v>5003</v>
      </c>
      <c r="C56" s="2077" t="str">
        <f>'tax it (c8)'!C20</f>
        <v>c8.4a</v>
      </c>
      <c r="D56" s="2075">
        <f>'tax it (c8)'!D20</f>
        <v>0</v>
      </c>
      <c r="F56" s="2076" t="s">
        <v>5005</v>
      </c>
      <c r="G56" s="2072" t="s">
        <v>5006</v>
      </c>
      <c r="H56" s="2073" t="str">
        <f>'Class 4 NIC (c16)'!G100</f>
        <v>c16.17</v>
      </c>
      <c r="I56" s="2073">
        <f>'Class 4 NIC (c16)'!H100</f>
        <v>0</v>
      </c>
    </row>
    <row r="57" spans="1:9" x14ac:dyDescent="0.25">
      <c r="A57" s="2071" t="s">
        <v>5002</v>
      </c>
      <c r="B57" s="2072" t="s">
        <v>5008</v>
      </c>
      <c r="C57" s="2077" t="str">
        <f>'tax it (c8)'!G20</f>
        <v>c8.4b</v>
      </c>
      <c r="D57" s="2075">
        <f>'tax it (c8)'!H20</f>
        <v>0</v>
      </c>
      <c r="F57" s="2076" t="s">
        <v>5005</v>
      </c>
      <c r="G57" s="2072" t="s">
        <v>5010</v>
      </c>
      <c r="H57" s="2077" t="str">
        <f>'Class 4 NIC (c16)'!J100</f>
        <v>c16.18</v>
      </c>
      <c r="I57" s="2077">
        <f>'Class 4 NIC (c16)'!K100</f>
        <v>0</v>
      </c>
    </row>
    <row r="58" spans="1:9" x14ac:dyDescent="0.25">
      <c r="A58" s="2071" t="s">
        <v>5012</v>
      </c>
      <c r="B58" s="2072" t="s">
        <v>5013</v>
      </c>
      <c r="C58" s="2075" t="str">
        <f>'tax it (c8)'!C23</f>
        <v>c8.5</v>
      </c>
      <c r="D58" s="2073">
        <f>'tax it (c8)'!D23</f>
        <v>0</v>
      </c>
      <c r="F58" s="2076" t="s">
        <v>5015</v>
      </c>
      <c r="G58" s="2072" t="s">
        <v>5016</v>
      </c>
      <c r="H58" s="2077" t="str">
        <f>'Tax due (c12)'!I39</f>
        <v>c12.2</v>
      </c>
      <c r="I58" s="2077">
        <f>'Tax due (c12)'!J39</f>
        <v>0</v>
      </c>
    </row>
    <row r="59" spans="1:9" x14ac:dyDescent="0.25">
      <c r="A59" s="2071" t="s">
        <v>5012</v>
      </c>
      <c r="B59" s="2072" t="s">
        <v>5017</v>
      </c>
      <c r="C59" s="2075" t="str">
        <f>'tax it (c8)'!G23</f>
        <v>c8.6</v>
      </c>
      <c r="D59" s="2075">
        <f>'tax it (c8)'!H23</f>
        <v>0</v>
      </c>
      <c r="F59" s="2076" t="s">
        <v>5019</v>
      </c>
      <c r="G59" s="2072" t="s">
        <v>5020</v>
      </c>
      <c r="H59" s="2077" t="str">
        <f>'Class 4 NIC (c16)'!J113</f>
        <v>c16.21</v>
      </c>
      <c r="I59" s="2077">
        <f>'Class 4 NIC (c16)'!K113</f>
        <v>0</v>
      </c>
    </row>
    <row r="60" spans="1:9" x14ac:dyDescent="0.25">
      <c r="A60" s="2071" t="s">
        <v>5022</v>
      </c>
      <c r="B60" s="2072" t="s">
        <v>5023</v>
      </c>
      <c r="C60" s="2073" t="str">
        <f>'tax it (c8)'!C32</f>
        <v>c8.7</v>
      </c>
      <c r="D60" s="2074">
        <f>'tax it (c8)'!D32</f>
        <v>0</v>
      </c>
      <c r="F60" s="2071" t="s">
        <v>5025</v>
      </c>
      <c r="G60" s="2072" t="s">
        <v>5026</v>
      </c>
      <c r="H60" s="2077" t="str">
        <f>'Tax due (c12)'!I47</f>
        <v>c12.3</v>
      </c>
      <c r="I60" s="2077">
        <f>'Tax due (c12)'!J47</f>
        <v>0</v>
      </c>
    </row>
    <row r="61" spans="1:9" x14ac:dyDescent="0.25">
      <c r="A61" s="2071" t="s">
        <v>5022</v>
      </c>
      <c r="B61" s="2072" t="s">
        <v>5027</v>
      </c>
      <c r="C61" s="2077" t="str">
        <f>'tax it (c8)'!G32</f>
        <v>c8.8</v>
      </c>
      <c r="D61" s="2075">
        <f>'tax it (c8)'!H32</f>
        <v>0</v>
      </c>
      <c r="F61" s="2071" t="s">
        <v>5029</v>
      </c>
      <c r="G61" s="2072" t="s">
        <v>5030</v>
      </c>
      <c r="H61" s="2075" t="str">
        <f>'Tax due (c12)'!L52</f>
        <v>c12.4</v>
      </c>
      <c r="I61" s="2075">
        <f>'Tax due (c12)'!M52</f>
        <v>0</v>
      </c>
    </row>
    <row r="62" spans="1:9" x14ac:dyDescent="0.25">
      <c r="A62" s="2071" t="s">
        <v>5032</v>
      </c>
      <c r="B62" s="2072" t="s">
        <v>5033</v>
      </c>
      <c r="C62" s="2077" t="s">
        <v>4816</v>
      </c>
      <c r="D62" s="2074"/>
      <c r="F62" s="2076" t="s">
        <v>5029</v>
      </c>
      <c r="G62" s="2072" t="s">
        <v>5034</v>
      </c>
      <c r="H62" s="2075" t="str">
        <f>'Class 4 NIC (c16)'!J202</f>
        <v>c16.33</v>
      </c>
      <c r="I62" s="2075">
        <f>'Class 4 NIC (c16)'!K202</f>
        <v>0</v>
      </c>
    </row>
    <row r="63" spans="1:9" x14ac:dyDescent="0.25">
      <c r="A63" s="2071" t="s">
        <v>5032</v>
      </c>
      <c r="B63" s="2072" t="s">
        <v>5036</v>
      </c>
      <c r="C63" s="2073" t="str">
        <f>'tax it (c6)'!L62</f>
        <v>c6.17c</v>
      </c>
      <c r="D63" s="2074">
        <f>'tax it (c6)'!M62</f>
        <v>0</v>
      </c>
      <c r="F63" s="2076" t="s">
        <v>5038</v>
      </c>
      <c r="G63" s="2072" t="s">
        <v>5039</v>
      </c>
      <c r="H63" s="2075" t="str">
        <f>'Tax due (c12)'!I58</f>
        <v>c12.6</v>
      </c>
      <c r="I63" s="2075">
        <f>'Tax due (c12)'!J58</f>
        <v>0</v>
      </c>
    </row>
    <row r="64" spans="1:9" x14ac:dyDescent="0.25">
      <c r="A64" s="2071" t="s">
        <v>5041</v>
      </c>
      <c r="B64" s="2072" t="s">
        <v>5042</v>
      </c>
      <c r="C64" s="2073" t="str">
        <f>'tax it (c8)'!C38</f>
        <v>c8.11</v>
      </c>
      <c r="D64" s="2074">
        <f>'tax it (c8)'!D38</f>
        <v>0</v>
      </c>
      <c r="F64" s="2076" t="s">
        <v>5044</v>
      </c>
      <c r="G64" s="2072" t="s">
        <v>5045</v>
      </c>
      <c r="H64" s="2074" t="str">
        <f>'Tax due (c12)'!I61</f>
        <v>c12.7</v>
      </c>
      <c r="I64" s="2075">
        <f>'Tax due (c12)'!J61</f>
        <v>0</v>
      </c>
    </row>
    <row r="65" spans="1:9" x14ac:dyDescent="0.25">
      <c r="A65" s="2071" t="s">
        <v>5041</v>
      </c>
      <c r="B65" s="2072" t="s">
        <v>5046</v>
      </c>
      <c r="C65" s="2077" t="str">
        <f>'tax it (c8)'!G38</f>
        <v>c8.12</v>
      </c>
      <c r="D65" s="2075">
        <f>'tax it (c8)'!H38</f>
        <v>0</v>
      </c>
      <c r="F65" s="2071" t="s">
        <v>5048</v>
      </c>
      <c r="G65" s="2072" t="s">
        <v>5049</v>
      </c>
      <c r="H65" s="2074" t="str">
        <f>'Tax due (c12)'!I64</f>
        <v>c12.7b</v>
      </c>
      <c r="I65" s="2075">
        <f>'Tax due (c12)'!J64</f>
        <v>0</v>
      </c>
    </row>
    <row r="66" spans="1:9" x14ac:dyDescent="0.25">
      <c r="A66" s="2071" t="s">
        <v>5050</v>
      </c>
      <c r="B66" s="2072" t="s">
        <v>5051</v>
      </c>
      <c r="C66" s="2073" t="str">
        <f>'tax it (c6)'!L91</f>
        <v>c6.20b</v>
      </c>
      <c r="D66" s="2074">
        <f>'tax it (c6)'!M91</f>
        <v>0</v>
      </c>
      <c r="F66" s="2071" t="s">
        <v>5053</v>
      </c>
      <c r="G66" s="2072" t="s">
        <v>5054</v>
      </c>
      <c r="H66" s="2074" t="str">
        <f>'Tax due (c12)'!F67</f>
        <v>c12.8</v>
      </c>
      <c r="I66" s="2074">
        <f>'Tax due (c12)'!G67</f>
        <v>0</v>
      </c>
    </row>
    <row r="67" spans="1:9" x14ac:dyDescent="0.25">
      <c r="A67" s="2071" t="s">
        <v>1957</v>
      </c>
      <c r="B67" s="2072" t="s">
        <v>5056</v>
      </c>
      <c r="C67" s="2073" t="str">
        <f>'tax it (c8)'!C41</f>
        <v>c8.13</v>
      </c>
      <c r="D67" s="2074">
        <f>'tax it (c8)'!D41</f>
        <v>0</v>
      </c>
      <c r="F67" s="2071" t="s">
        <v>5053</v>
      </c>
      <c r="G67" s="2072" t="s">
        <v>5058</v>
      </c>
      <c r="H67" s="2074" t="str">
        <f>'Tax due (c12)'!I70</f>
        <v>c12.9</v>
      </c>
      <c r="I67" s="2074">
        <f>'Tax due (c12)'!J70</f>
        <v>0</v>
      </c>
    </row>
    <row r="68" spans="1:9" x14ac:dyDescent="0.25">
      <c r="A68" s="2071" t="s">
        <v>1957</v>
      </c>
      <c r="B68" s="2072" t="s">
        <v>5060</v>
      </c>
      <c r="C68" s="2077" t="str">
        <f>'tax it (c8)'!G41</f>
        <v>c8.14</v>
      </c>
      <c r="D68" s="2075">
        <f>'tax it (c8)'!H41</f>
        <v>0</v>
      </c>
      <c r="F68" s="2076" t="s">
        <v>5062</v>
      </c>
      <c r="G68" s="2072" t="s">
        <v>4866</v>
      </c>
      <c r="H68" s="2086" t="s">
        <v>4867</v>
      </c>
      <c r="I68" s="2077">
        <v>0</v>
      </c>
    </row>
    <row r="69" spans="1:9" x14ac:dyDescent="0.25">
      <c r="A69" s="2071" t="s">
        <v>5063</v>
      </c>
      <c r="B69" s="2072" t="s">
        <v>5064</v>
      </c>
      <c r="C69" s="2075" t="str">
        <f>'tax it (c8)'!C44</f>
        <v>c8.15</v>
      </c>
      <c r="D69" s="2074">
        <f>'tax it (c8)'!D44</f>
        <v>0</v>
      </c>
      <c r="F69" s="2090" t="s">
        <v>5074</v>
      </c>
      <c r="G69" s="2072" t="s">
        <v>5075</v>
      </c>
      <c r="H69" s="2075" t="str">
        <f>'Tax due (c12)'!L79</f>
        <v>c12.12</v>
      </c>
      <c r="I69" s="2075">
        <f>ROUND('Tax due (c12)'!M79,2)</f>
        <v>0</v>
      </c>
    </row>
    <row r="70" spans="1:9" x14ac:dyDescent="0.25">
      <c r="A70" s="2071" t="s">
        <v>5063</v>
      </c>
      <c r="B70" s="2072" t="s">
        <v>5068</v>
      </c>
      <c r="C70" s="2075" t="str">
        <f>'tax it (c8)'!G44</f>
        <v>c8.16</v>
      </c>
      <c r="D70" s="2075">
        <f>'tax it (c8)'!H44</f>
        <v>0</v>
      </c>
      <c r="F70" s="2071" t="s">
        <v>5080</v>
      </c>
      <c r="G70" s="2091" t="s">
        <v>5081</v>
      </c>
      <c r="H70" s="2092" t="str">
        <f>'Tax paid (c11)'!I18</f>
        <v>c11.5</v>
      </c>
      <c r="I70" s="2093">
        <f>'Tax paid (c11)'!J18</f>
        <v>0</v>
      </c>
    </row>
    <row r="71" spans="1:9" x14ac:dyDescent="0.25">
      <c r="A71" s="2071" t="s">
        <v>5071</v>
      </c>
      <c r="B71" s="2072" t="s">
        <v>5072</v>
      </c>
      <c r="C71" s="2073" t="str">
        <f>'tax it (c6)'!Q62</f>
        <v>c6.27</v>
      </c>
      <c r="D71" s="2074">
        <f>'tax it (c6)'!R62</f>
        <v>0</v>
      </c>
      <c r="F71" s="2071" t="s">
        <v>5085</v>
      </c>
      <c r="G71" s="2072" t="s">
        <v>5086</v>
      </c>
      <c r="H71" s="2093" t="str">
        <f>'Tax paid (c11)'!I21</f>
        <v>c11.6</v>
      </c>
      <c r="I71" s="2093">
        <f>'Tax paid (c11)'!J21</f>
        <v>0</v>
      </c>
    </row>
    <row r="72" spans="1:9" x14ac:dyDescent="0.25">
      <c r="A72" s="2071" t="s">
        <v>5077</v>
      </c>
      <c r="B72" s="2072" t="s">
        <v>5078</v>
      </c>
      <c r="C72" s="2073" t="str">
        <f>'tax it (c8)'!C56</f>
        <v>c8.19</v>
      </c>
      <c r="D72" s="2074">
        <f>'tax it (c8)'!D56</f>
        <v>0</v>
      </c>
      <c r="F72" s="2071" t="s">
        <v>5085</v>
      </c>
      <c r="G72" s="2072" t="s">
        <v>5091</v>
      </c>
      <c r="H72" s="2093" t="str">
        <f>'Tax paid (c11)'!I32</f>
        <v>c11.7</v>
      </c>
      <c r="I72" s="2093">
        <f>'Tax paid (c11)'!J32</f>
        <v>0</v>
      </c>
    </row>
    <row r="73" spans="1:9" x14ac:dyDescent="0.25">
      <c r="A73" s="2071" t="s">
        <v>5077</v>
      </c>
      <c r="B73" s="2072" t="s">
        <v>5083</v>
      </c>
      <c r="C73" s="2077" t="str">
        <f>'tax it (c8)'!G56</f>
        <v>c8.20</v>
      </c>
      <c r="D73" s="2075">
        <f>'tax it (c8)'!H56</f>
        <v>0</v>
      </c>
      <c r="F73" s="2076" t="s">
        <v>5095</v>
      </c>
      <c r="G73" s="2072" t="s">
        <v>5096</v>
      </c>
      <c r="H73" s="2093" t="str">
        <f>'Tax paid (c11)'!I35</f>
        <v>c11.8</v>
      </c>
      <c r="I73" s="2093">
        <f>'Tax paid (c11)'!J35</f>
        <v>0</v>
      </c>
    </row>
    <row r="74" spans="1:9" x14ac:dyDescent="0.25">
      <c r="A74" s="2076" t="s">
        <v>5088</v>
      </c>
      <c r="B74" s="2072" t="s">
        <v>5089</v>
      </c>
      <c r="C74" s="2073" t="str">
        <f>'tax it (c6)'!Q91</f>
        <v>c6.32</v>
      </c>
      <c r="D74" s="2075">
        <f>'tax it (c6)'!R91</f>
        <v>0</v>
      </c>
      <c r="F74" s="2076" t="s">
        <v>5100</v>
      </c>
      <c r="G74" s="2072" t="s">
        <v>5101</v>
      </c>
      <c r="H74" s="2074" t="str">
        <f>'Tax paid (c11)'!I38&amp;" + "&amp;'Tax paid (c11)'!I41&amp;" + "&amp;'Tax paid (c11)'!I44</f>
        <v>c11.9 + c11.10 + c11.11</v>
      </c>
      <c r="I74" s="2075">
        <f>'Tax paid (c11)'!J38+'Tax paid (c11)'!J41+'Tax paid (c11)'!J44</f>
        <v>0</v>
      </c>
    </row>
    <row r="75" spans="1:9" x14ac:dyDescent="0.25">
      <c r="A75" s="2071" t="s">
        <v>5092</v>
      </c>
      <c r="B75" s="2072" t="s">
        <v>5093</v>
      </c>
      <c r="C75" s="2073" t="str">
        <f>'tax it (c8)'!C59</f>
        <v>c8.21</v>
      </c>
      <c r="D75" s="2074">
        <f>'tax it (c8)'!D59</f>
        <v>0</v>
      </c>
      <c r="F75" s="2076" t="s">
        <v>5106</v>
      </c>
      <c r="G75" s="2072" t="s">
        <v>5107</v>
      </c>
      <c r="H75" s="2083" t="str">
        <f>'Tax paid (c11)'!I47&amp;" + "&amp;'Tax paid (c11)'!I50</f>
        <v>c11.12 + c11.13</v>
      </c>
      <c r="I75" s="2075">
        <f>'Tax paid (c11)'!J47+'Tax paid (c11)'!J50</f>
        <v>0</v>
      </c>
    </row>
    <row r="76" spans="1:9" x14ac:dyDescent="0.25">
      <c r="A76" s="2071" t="s">
        <v>5092</v>
      </c>
      <c r="B76" s="2072" t="s">
        <v>5098</v>
      </c>
      <c r="C76" s="2077" t="str">
        <f>'tax it (c8)'!G59</f>
        <v>c8.22</v>
      </c>
      <c r="D76" s="2075">
        <f>'tax it (c8)'!H59</f>
        <v>0</v>
      </c>
      <c r="F76" s="2076" t="s">
        <v>5112</v>
      </c>
      <c r="G76" s="2072" t="s">
        <v>5113</v>
      </c>
      <c r="H76" s="2083" t="str">
        <f>'Tax paid (c11)'!I53</f>
        <v>c11.14</v>
      </c>
      <c r="I76" s="2075">
        <f>'Tax paid (c11)'!J53</f>
        <v>0</v>
      </c>
    </row>
    <row r="77" spans="1:9" x14ac:dyDescent="0.25">
      <c r="A77" s="2076" t="s">
        <v>5103</v>
      </c>
      <c r="B77" s="2072" t="s">
        <v>5104</v>
      </c>
      <c r="C77" s="2073" t="str">
        <f>'tax it (c6)'!Q47&amp;" minus ("&amp;'tax it (c6)'!Q62&amp;" + "&amp;'tax it (c6)'!Q91&amp;")"</f>
        <v>c6.25 minus (c6.27 + c6.32)</v>
      </c>
      <c r="D77" s="2075">
        <f>'tax it (c6)'!R47-('tax it (c6)'!R62+'tax it (c6)'!R91)</f>
        <v>0</v>
      </c>
      <c r="F77" s="2076" t="s">
        <v>5117</v>
      </c>
      <c r="G77" s="2072" t="s">
        <v>5118</v>
      </c>
      <c r="H77" s="2083" t="str">
        <f>'Tax paid (c11)'!I56</f>
        <v>c11.15</v>
      </c>
      <c r="I77" s="2075">
        <f>'Tax paid (c11)'!J56</f>
        <v>0</v>
      </c>
    </row>
    <row r="78" spans="1:9" x14ac:dyDescent="0.25">
      <c r="A78" s="2071" t="s">
        <v>5109</v>
      </c>
      <c r="B78" s="2072" t="s">
        <v>5110</v>
      </c>
      <c r="C78" s="2075" t="str">
        <f>'tax it (c8)'!C62</f>
        <v>c8.23</v>
      </c>
      <c r="D78" s="2074">
        <f>'tax it (c8)'!D62</f>
        <v>0</v>
      </c>
      <c r="F78" s="2076" t="s">
        <v>5123</v>
      </c>
      <c r="G78" s="2072" t="s">
        <v>5124</v>
      </c>
      <c r="H78" s="2083" t="str">
        <f>'Tax paid (c11)'!I70</f>
        <v>c11.25</v>
      </c>
      <c r="I78" s="2075">
        <f>'Tax paid (c11)'!J70</f>
        <v>0</v>
      </c>
    </row>
    <row r="79" spans="1:9" x14ac:dyDescent="0.25">
      <c r="A79" s="2071" t="s">
        <v>5109</v>
      </c>
      <c r="B79" s="2072" t="s">
        <v>5115</v>
      </c>
      <c r="C79" s="2075" t="str">
        <f>'tax it (c8)'!G62</f>
        <v>c8.24</v>
      </c>
      <c r="D79" s="2075">
        <f>'tax it (c8)'!H62</f>
        <v>0</v>
      </c>
      <c r="F79" s="2076" t="s">
        <v>5128</v>
      </c>
      <c r="G79" s="2072" t="s">
        <v>5129</v>
      </c>
      <c r="H79" s="2083" t="str">
        <f>'Tax paid (c11)'!I73</f>
        <v>c11.26</v>
      </c>
      <c r="I79" s="2075">
        <f>'Tax paid (c11)'!J73</f>
        <v>0</v>
      </c>
    </row>
    <row r="80" spans="1:9" x14ac:dyDescent="0.25">
      <c r="A80" s="2071" t="s">
        <v>5120</v>
      </c>
      <c r="B80" s="2072" t="s">
        <v>5121</v>
      </c>
      <c r="C80" s="2075" t="str">
        <f>'tax it (c8)'!C71</f>
        <v>c8.24b</v>
      </c>
      <c r="D80" s="2077">
        <f>'tax it (c8)'!D71</f>
        <v>0</v>
      </c>
      <c r="F80" s="2076" t="s">
        <v>5134</v>
      </c>
      <c r="G80" s="2072" t="s">
        <v>5135</v>
      </c>
      <c r="H80" s="2074" t="str">
        <f>'Tax paid (c11)'!I76&amp;" + "&amp;'Tax paid (c11)'!I80</f>
        <v>c11.27 + c11.28</v>
      </c>
      <c r="I80" s="2075">
        <f>'Tax paid (c11)'!J76+'Tax paid (c11)'!J80</f>
        <v>0</v>
      </c>
    </row>
    <row r="81" spans="1:9" x14ac:dyDescent="0.25">
      <c r="A81" s="2071" t="s">
        <v>5120</v>
      </c>
      <c r="B81" s="2072" t="s">
        <v>5126</v>
      </c>
      <c r="C81" s="2075" t="str">
        <f>'tax it (c8)'!G71</f>
        <v>c8.24c</v>
      </c>
      <c r="D81" s="2077">
        <f>'tax it (c8)'!H71</f>
        <v>0</v>
      </c>
      <c r="F81" s="2076" t="s">
        <v>5139</v>
      </c>
      <c r="G81" s="2072" t="s">
        <v>5140</v>
      </c>
      <c r="H81" s="2083" t="str">
        <f>'Tax paid (c11)'!I83</f>
        <v>c11.29</v>
      </c>
      <c r="I81" s="2075">
        <f>'Tax paid (c11)'!J83</f>
        <v>0</v>
      </c>
    </row>
    <row r="82" spans="1:9" x14ac:dyDescent="0.25">
      <c r="A82" s="2071" t="s">
        <v>5131</v>
      </c>
      <c r="B82" s="2072" t="s">
        <v>5132</v>
      </c>
      <c r="C82" s="2073" t="str">
        <f>'tax it (c8)'!C74</f>
        <v>c8.24d</v>
      </c>
      <c r="D82" s="2074">
        <f>'tax it (c8)'!D74</f>
        <v>0</v>
      </c>
      <c r="F82" s="2076" t="s">
        <v>5145</v>
      </c>
      <c r="G82" s="2072" t="s">
        <v>5146</v>
      </c>
      <c r="H82" s="2074" t="str">
        <f>'Tax paid (c11)'!I86</f>
        <v>c11.30</v>
      </c>
      <c r="I82" s="2075">
        <f>'Tax paid (c11)'!J86</f>
        <v>0</v>
      </c>
    </row>
    <row r="83" spans="1:9" x14ac:dyDescent="0.25">
      <c r="A83" s="2071" t="s">
        <v>5131</v>
      </c>
      <c r="B83" s="2072" t="s">
        <v>5137</v>
      </c>
      <c r="C83" s="2077" t="str">
        <f>'tax it (c8)'!G74</f>
        <v>c8.24e</v>
      </c>
      <c r="D83" s="2075">
        <f>'tax it (c8)'!H74</f>
        <v>0</v>
      </c>
      <c r="F83" s="2076" t="s">
        <v>5150</v>
      </c>
      <c r="G83" s="2072" t="s">
        <v>5151</v>
      </c>
      <c r="H83" s="2074" t="str">
        <f>'Tax due (c12)'!I85</f>
        <v>c12.14</v>
      </c>
      <c r="I83" s="2075">
        <f>'Tax due (c12)'!J85</f>
        <v>0</v>
      </c>
    </row>
    <row r="84" spans="1:9" x14ac:dyDescent="0.25">
      <c r="A84" s="2071" t="s">
        <v>5142</v>
      </c>
      <c r="B84" s="2072" t="s">
        <v>5143</v>
      </c>
      <c r="C84" s="2075" t="str">
        <f>'tax it (c8)'!C77</f>
        <v>c8.24f</v>
      </c>
      <c r="D84" s="2073">
        <f>'tax it (c8)'!D77</f>
        <v>0</v>
      </c>
      <c r="F84" s="2076" t="s">
        <v>5156</v>
      </c>
      <c r="G84" s="2072" t="s">
        <v>5157</v>
      </c>
      <c r="H84" s="2074" t="str">
        <f>'Tax due (c12)'!L88</f>
        <v>c12.15</v>
      </c>
      <c r="I84" s="2075">
        <f>ROUND('Tax due (c12)'!M88,2)</f>
        <v>0</v>
      </c>
    </row>
    <row r="85" spans="1:9" x14ac:dyDescent="0.25">
      <c r="A85" s="2071" t="s">
        <v>5142</v>
      </c>
      <c r="B85" s="2072" t="s">
        <v>5148</v>
      </c>
      <c r="C85" s="2075" t="str">
        <f>'tax it (c8)'!G77</f>
        <v>c8.24g</v>
      </c>
      <c r="D85" s="2077">
        <f>'tax it (c8)'!H77</f>
        <v>0</v>
      </c>
      <c r="F85" s="2076" t="s">
        <v>5161</v>
      </c>
      <c r="G85" s="2072" t="s">
        <v>5162</v>
      </c>
      <c r="H85" s="2083" t="str">
        <f>'Tax due (c12)'!L91&amp;" (Absolute value)"</f>
        <v>c12.16 (Absolute value)</v>
      </c>
      <c r="I85" s="2075">
        <f>ABS('Tax due (c12)'!M91)</f>
        <v>0</v>
      </c>
    </row>
    <row r="86" spans="1:9" x14ac:dyDescent="0.25">
      <c r="A86" s="2071" t="s">
        <v>5153</v>
      </c>
      <c r="B86" s="2072" t="s">
        <v>5154</v>
      </c>
      <c r="C86" s="2073" t="str">
        <f>'tax it (c8)'!C80</f>
        <v>c8.24h</v>
      </c>
      <c r="D86" s="2074">
        <f>'tax it (c8)'!D80</f>
        <v>0</v>
      </c>
      <c r="F86" s="2071" t="s">
        <v>5167</v>
      </c>
      <c r="G86" s="2072" t="s">
        <v>5168</v>
      </c>
      <c r="H86" s="2083" t="str">
        <f>'CG (c18)'!W83</f>
        <v>c18.29</v>
      </c>
      <c r="I86" s="2077">
        <f>'CG (c18)'!X83</f>
        <v>0</v>
      </c>
    </row>
    <row r="87" spans="1:9" x14ac:dyDescent="0.25">
      <c r="A87" s="2071" t="s">
        <v>5153</v>
      </c>
      <c r="B87" s="2072" t="s">
        <v>5159</v>
      </c>
      <c r="C87" s="2077" t="str">
        <f>'tax it (c8)'!G80</f>
        <v>c8.24i</v>
      </c>
      <c r="D87" s="2075">
        <f>'tax it (c8)'!H80</f>
        <v>0</v>
      </c>
      <c r="F87" s="2071" t="s">
        <v>5167</v>
      </c>
      <c r="G87" s="2072" t="s">
        <v>5172</v>
      </c>
      <c r="H87" s="2073" t="str">
        <f>'CG (c18)'!AA88</f>
        <v>c18.30</v>
      </c>
      <c r="I87" s="2073">
        <f>'CG (c18)'!AB88</f>
        <v>0</v>
      </c>
    </row>
    <row r="88" spans="1:9" x14ac:dyDescent="0.25">
      <c r="A88" s="2071" t="s">
        <v>5164</v>
      </c>
      <c r="B88" s="2072" t="s">
        <v>5165</v>
      </c>
      <c r="C88" s="2077" t="str">
        <f>'tax it (c8)'!C83</f>
        <v>c8.24ia</v>
      </c>
      <c r="D88" s="2075">
        <f>'tax it (c8)'!D83</f>
        <v>0</v>
      </c>
      <c r="F88" s="2071" t="s">
        <v>5177</v>
      </c>
      <c r="G88" s="2072" t="s">
        <v>5178</v>
      </c>
      <c r="H88" s="2073" t="s">
        <v>4816</v>
      </c>
      <c r="I88" s="2077">
        <v>0</v>
      </c>
    </row>
    <row r="89" spans="1:9" x14ac:dyDescent="0.25">
      <c r="A89" s="2071" t="s">
        <v>5164</v>
      </c>
      <c r="B89" s="2072" t="s">
        <v>5170</v>
      </c>
      <c r="C89" s="2077" t="str">
        <f>'tax it (c8)'!G83</f>
        <v>c8.24ib</v>
      </c>
      <c r="D89" s="2075">
        <f>'tax it (c8)'!H83</f>
        <v>0</v>
      </c>
      <c r="F89" s="2071" t="s">
        <v>5177</v>
      </c>
      <c r="G89" s="2072" t="s">
        <v>5181</v>
      </c>
      <c r="H89" s="2083" t="s">
        <v>4816</v>
      </c>
      <c r="I89" s="2077">
        <v>0</v>
      </c>
    </row>
    <row r="90" spans="1:9" x14ac:dyDescent="0.25">
      <c r="A90" s="2071" t="s">
        <v>5174</v>
      </c>
      <c r="B90" s="2072" t="s">
        <v>5175</v>
      </c>
      <c r="C90" s="2075" t="str">
        <f>'tax it (c8)'!C86</f>
        <v>c8.24j</v>
      </c>
      <c r="D90" s="2073">
        <f>'tax it (c8)'!D86</f>
        <v>0</v>
      </c>
      <c r="F90" s="2071" t="s">
        <v>5185</v>
      </c>
      <c r="G90" s="2072" t="s">
        <v>5186</v>
      </c>
      <c r="H90" s="2083" t="s">
        <v>4816</v>
      </c>
      <c r="I90" s="2077">
        <v>0</v>
      </c>
    </row>
    <row r="91" spans="1:9" x14ac:dyDescent="0.25">
      <c r="A91" s="2071" t="s">
        <v>5174</v>
      </c>
      <c r="B91" s="2072" t="s">
        <v>5179</v>
      </c>
      <c r="C91" s="2075" t="str">
        <f>'tax it (c8)'!G86</f>
        <v>c8.24k</v>
      </c>
      <c r="D91" s="2075">
        <f>'tax it (c8)'!H86</f>
        <v>0</v>
      </c>
      <c r="F91" s="2071" t="s">
        <v>5185</v>
      </c>
      <c r="G91" s="2072" t="s">
        <v>5189</v>
      </c>
      <c r="H91" s="2083" t="s">
        <v>4816</v>
      </c>
      <c r="I91" s="2077">
        <v>0</v>
      </c>
    </row>
    <row r="92" spans="1:9" x14ac:dyDescent="0.25">
      <c r="A92" s="2071" t="s">
        <v>5182</v>
      </c>
      <c r="B92" s="2072" t="s">
        <v>5183</v>
      </c>
      <c r="C92" s="2073" t="str">
        <f>'tax it (c8)'!C95</f>
        <v>c8.24m</v>
      </c>
      <c r="D92" s="2074">
        <f>'tax it (c8)'!D95</f>
        <v>0</v>
      </c>
      <c r="F92" s="2071" t="s">
        <v>5177</v>
      </c>
      <c r="G92" s="2072" t="s">
        <v>5193</v>
      </c>
      <c r="H92" s="2073" t="str">
        <f>'CG (c18)'!S122</f>
        <v>c18.41</v>
      </c>
      <c r="I92" s="2077">
        <f>'CG (c18)'!T122</f>
        <v>0</v>
      </c>
    </row>
    <row r="93" spans="1:9" x14ac:dyDescent="0.25">
      <c r="A93" s="2071" t="s">
        <v>5182</v>
      </c>
      <c r="B93" s="2072" t="s">
        <v>5187</v>
      </c>
      <c r="C93" s="2077" t="str">
        <f>'tax it (c8)'!G95</f>
        <v>c8.24n</v>
      </c>
      <c r="D93" s="2075">
        <f>'tax it (c8)'!H95</f>
        <v>0</v>
      </c>
      <c r="F93" s="2071" t="s">
        <v>5177</v>
      </c>
      <c r="G93" s="2072" t="s">
        <v>5198</v>
      </c>
      <c r="H93" s="2083" t="str">
        <f>'CG (c18)'!AA122</f>
        <v>c18.42</v>
      </c>
      <c r="I93" s="2077">
        <f>'CG (c18)'!AB122</f>
        <v>0</v>
      </c>
    </row>
    <row r="94" spans="1:9" x14ac:dyDescent="0.25">
      <c r="A94" s="2071" t="s">
        <v>5190</v>
      </c>
      <c r="B94" s="2072" t="s">
        <v>5191</v>
      </c>
      <c r="C94" s="2073" t="str">
        <f>'tax it (c8)'!C98</f>
        <v>c8.24o</v>
      </c>
      <c r="D94" s="2074">
        <f>'tax it (c8)'!D98</f>
        <v>0</v>
      </c>
      <c r="F94" s="2071" t="s">
        <v>5185</v>
      </c>
      <c r="G94" s="2072" t="s">
        <v>5202</v>
      </c>
      <c r="H94" s="2083" t="str">
        <f>'CG (c18)'!S125</f>
        <v>c18.43</v>
      </c>
      <c r="I94" s="2077">
        <f>'CG (c18)'!T125</f>
        <v>0</v>
      </c>
    </row>
    <row r="95" spans="1:9" x14ac:dyDescent="0.25">
      <c r="A95" s="2071" t="s">
        <v>5195</v>
      </c>
      <c r="B95" s="2072" t="s">
        <v>5196</v>
      </c>
      <c r="C95" s="2073" t="str">
        <f>'tax it (c8)'!C101</f>
        <v>c8.24q</v>
      </c>
      <c r="D95" s="2074">
        <f>'tax it (c8)'!D101</f>
        <v>0</v>
      </c>
      <c r="F95" s="2071" t="s">
        <v>5185</v>
      </c>
      <c r="G95" s="2072" t="s">
        <v>5207</v>
      </c>
      <c r="H95" s="2083" t="str">
        <f>'CG (c18)'!AA125</f>
        <v>c18.44</v>
      </c>
      <c r="I95" s="2077">
        <f>'CG (c18)'!AB125</f>
        <v>0</v>
      </c>
    </row>
    <row r="96" spans="1:9" x14ac:dyDescent="0.25">
      <c r="A96" s="2071" t="s">
        <v>5195</v>
      </c>
      <c r="B96" s="2072" t="s">
        <v>5200</v>
      </c>
      <c r="C96" s="2077" t="str">
        <f>'tax it (c8)'!G101</f>
        <v>c8.24r</v>
      </c>
      <c r="D96" s="2075">
        <f>'tax it (c8)'!H101</f>
        <v>0</v>
      </c>
      <c r="F96" s="2071" t="s">
        <v>5212</v>
      </c>
      <c r="G96" s="2072" t="s">
        <v>5213</v>
      </c>
      <c r="H96" s="2073" t="str">
        <f>'CG (c18)'!S131</f>
        <v>c18.45.1</v>
      </c>
      <c r="I96" s="2077">
        <f>'CG (c18)'!T131</f>
        <v>0</v>
      </c>
    </row>
    <row r="97" spans="1:9" x14ac:dyDescent="0.25">
      <c r="A97" s="2071" t="s">
        <v>5204</v>
      </c>
      <c r="B97" s="2072" t="s">
        <v>5205</v>
      </c>
      <c r="C97" s="2073" t="str">
        <f>'tax it (c8)'!C104</f>
        <v>c8.24s</v>
      </c>
      <c r="D97" s="2074">
        <f>'tax it (c8)'!D104</f>
        <v>0</v>
      </c>
      <c r="F97" s="2071" t="s">
        <v>5212</v>
      </c>
      <c r="G97" s="2072" t="s">
        <v>5217</v>
      </c>
      <c r="H97" s="2083" t="str">
        <f>'CG (c18)'!AA131</f>
        <v>c18.45.2</v>
      </c>
      <c r="I97" s="2077">
        <f>'CG (c18)'!AB131</f>
        <v>0</v>
      </c>
    </row>
    <row r="98" spans="1:9" x14ac:dyDescent="0.25">
      <c r="A98" s="2071" t="s">
        <v>5209</v>
      </c>
      <c r="B98" s="2072" t="s">
        <v>5210</v>
      </c>
      <c r="C98" s="2073" t="str">
        <f>'tax it (c8)'!C107</f>
        <v>c8.24u</v>
      </c>
      <c r="D98" s="2074">
        <f>'tax it (c8)'!D107</f>
        <v>0</v>
      </c>
      <c r="F98" s="2071" t="s">
        <v>5222</v>
      </c>
      <c r="G98" s="2072" t="s">
        <v>5223</v>
      </c>
      <c r="H98" s="2083" t="str">
        <f>'CG (c18)'!S134</f>
        <v>c18.45.3</v>
      </c>
      <c r="I98" s="2077">
        <f>'CG (c18)'!T134</f>
        <v>0</v>
      </c>
    </row>
    <row r="99" spans="1:9" x14ac:dyDescent="0.25">
      <c r="A99" s="2071" t="s">
        <v>5209</v>
      </c>
      <c r="B99" s="2072" t="s">
        <v>5215</v>
      </c>
      <c r="C99" s="2077" t="str">
        <f>'tax it (c8)'!G107</f>
        <v>c8.24v</v>
      </c>
      <c r="D99" s="2075">
        <f>'tax it (c8)'!H107</f>
        <v>0</v>
      </c>
      <c r="F99" s="2071" t="s">
        <v>5222</v>
      </c>
      <c r="G99" s="2072" t="s">
        <v>5227</v>
      </c>
      <c r="H99" s="2083" t="str">
        <f>'CG (c18)'!AA134</f>
        <v>c18.45.4</v>
      </c>
      <c r="I99" s="2077">
        <f>'CG (c18)'!AB134</f>
        <v>0</v>
      </c>
    </row>
    <row r="100" spans="1:9" x14ac:dyDescent="0.25">
      <c r="A100" s="2071" t="s">
        <v>5219</v>
      </c>
      <c r="B100" s="2072" t="s">
        <v>5220</v>
      </c>
      <c r="C100" s="2075" t="str">
        <f>'tax it (c8)'!C110</f>
        <v>c8.24w</v>
      </c>
      <c r="D100" s="2074">
        <f>'tax it (c8)'!D110</f>
        <v>0</v>
      </c>
      <c r="F100" s="2071" t="s">
        <v>5229</v>
      </c>
      <c r="G100" s="2072" t="s">
        <v>5230</v>
      </c>
      <c r="H100" s="2083" t="str">
        <f>'CG (c18)'!S140</f>
        <v>c18.46</v>
      </c>
      <c r="I100" s="2077">
        <f>'CG (c18)'!T140</f>
        <v>0</v>
      </c>
    </row>
    <row r="101" spans="1:9" x14ac:dyDescent="0.25">
      <c r="A101" s="2071" t="s">
        <v>5219</v>
      </c>
      <c r="B101" s="2072" t="s">
        <v>5225</v>
      </c>
      <c r="C101" s="2075" t="str">
        <f>'tax it (c8)'!G110</f>
        <v>c8.24x</v>
      </c>
      <c r="D101" s="2075">
        <f>'tax it (c8)'!H110</f>
        <v>0</v>
      </c>
      <c r="F101" s="2071" t="s">
        <v>5229</v>
      </c>
      <c r="G101" s="2072" t="s">
        <v>5235</v>
      </c>
      <c r="H101" s="2083" t="str">
        <f>'CG (c18)'!AA140</f>
        <v>c18.47</v>
      </c>
      <c r="I101" s="2077">
        <f>'CG (c18)'!AB140</f>
        <v>0</v>
      </c>
    </row>
    <row r="102" spans="1:9" x14ac:dyDescent="0.25">
      <c r="A102" s="2071" t="s">
        <v>1960</v>
      </c>
      <c r="B102" s="2072" t="str">
        <f>B39</f>
        <v>taxable-income</v>
      </c>
      <c r="C102" s="2083" t="str">
        <f>C39</f>
        <v>c5.86</v>
      </c>
      <c r="D102" s="2073">
        <f>D39</f>
        <v>0</v>
      </c>
      <c r="F102" s="2071" t="s">
        <v>5240</v>
      </c>
      <c r="G102" s="2072" t="s">
        <v>5241</v>
      </c>
      <c r="H102" s="2083" t="str">
        <f>'CG (c18)'!S143</f>
        <v>c18.48</v>
      </c>
      <c r="I102" s="2077">
        <f>'CG (c18)'!T143</f>
        <v>0</v>
      </c>
    </row>
    <row r="103" spans="1:9" x14ac:dyDescent="0.25">
      <c r="A103" s="2071" t="s">
        <v>5232</v>
      </c>
      <c r="B103" s="2072" t="s">
        <v>5233</v>
      </c>
      <c r="C103" s="2077" t="str">
        <f>'tax it (c8)'!G146</f>
        <v>c8.25b</v>
      </c>
      <c r="D103" s="2094">
        <f>'tax it (c8)'!H146</f>
        <v>0</v>
      </c>
      <c r="F103" s="2076" t="s">
        <v>5240</v>
      </c>
      <c r="G103" s="2072" t="s">
        <v>5245</v>
      </c>
      <c r="H103" s="2083" t="str">
        <f>'CG (c18)'!AA143</f>
        <v>c18.49</v>
      </c>
      <c r="I103" s="2077">
        <f>'CG (c18)'!AB143</f>
        <v>0</v>
      </c>
    </row>
    <row r="104" spans="1:9" x14ac:dyDescent="0.25">
      <c r="A104" s="2071" t="s">
        <v>5237</v>
      </c>
      <c r="B104" s="2072" t="s">
        <v>5238</v>
      </c>
      <c r="C104" s="2077" t="str">
        <f>'Deductions (c4)'!D195&amp;" + "&amp;'Deductions (c4)'!D198</f>
        <v>c4.40.1 + c4.40.2</v>
      </c>
      <c r="D104" s="2094">
        <f>'Deductions (c4)'!E195+'Deductions (c4)'!E198</f>
        <v>0</v>
      </c>
      <c r="F104" s="2076" t="s">
        <v>5250</v>
      </c>
      <c r="G104" s="2072" t="s">
        <v>5251</v>
      </c>
      <c r="H104" s="2083" t="str">
        <f>'CG (c18)'!C83&amp;" + "&amp;'CG (c18)'!G83&amp;" + "&amp;'CG (c18)'!S83&amp;" + "&amp;'CG (c18)'!W83</f>
        <v>c18.27 + c18.27.1 + c18.28 + c18.29</v>
      </c>
      <c r="I104" s="2077">
        <f>'CG (c18)'!D83+'CG (c18)'!H83+'CG (c18)'!T83+'CG (c18)'!X83</f>
        <v>0</v>
      </c>
    </row>
    <row r="105" spans="1:9" x14ac:dyDescent="0.25">
      <c r="A105" s="2071" t="s">
        <v>5237</v>
      </c>
      <c r="B105" s="2072" t="s">
        <v>5243</v>
      </c>
      <c r="C105" s="2077" t="str">
        <f>'tax it (c8)'!G150</f>
        <v>c8.25c</v>
      </c>
      <c r="D105" s="2094">
        <f>'tax it (c8)'!H150</f>
        <v>0</v>
      </c>
      <c r="F105" s="2071" t="s">
        <v>5256</v>
      </c>
      <c r="G105" s="2072" t="s">
        <v>5257</v>
      </c>
      <c r="H105" s="2083" t="str">
        <f>'CG (c18)'!AA146</f>
        <v>c18.50</v>
      </c>
      <c r="I105" s="2075">
        <f>'CG (c18)'!AB146</f>
        <v>0</v>
      </c>
    </row>
    <row r="106" spans="1:9" x14ac:dyDescent="0.25">
      <c r="A106" s="2071" t="s">
        <v>5247</v>
      </c>
      <c r="B106" s="2072" t="s">
        <v>5248</v>
      </c>
      <c r="C106" s="2075" t="str">
        <f>'tax it (c8)'!G153</f>
        <v>c8.26</v>
      </c>
      <c r="D106" s="2075">
        <f>'tax it (c8)'!H153</f>
        <v>0</v>
      </c>
      <c r="F106" s="2076" t="s">
        <v>5262</v>
      </c>
      <c r="G106" s="2072" t="s">
        <v>5263</v>
      </c>
      <c r="H106" s="2083" t="str">
        <f>'CG (c18)'!AA149</f>
        <v>c18.51</v>
      </c>
      <c r="I106" s="2077">
        <f>'CG (c18)'!AB149</f>
        <v>0</v>
      </c>
    </row>
    <row r="107" spans="1:9" x14ac:dyDescent="0.25">
      <c r="A107" s="2071" t="s">
        <v>5253</v>
      </c>
      <c r="B107" s="2072" t="s">
        <v>5254</v>
      </c>
      <c r="C107" s="2075" t="str">
        <f>'Tax adj (c9)'!I8</f>
        <v>c9.2</v>
      </c>
      <c r="D107" s="2075">
        <f>'Tax adj (c9)'!J8</f>
        <v>0</v>
      </c>
      <c r="F107" s="2076" t="s">
        <v>5267</v>
      </c>
      <c r="G107" s="2072" t="s">
        <v>5268</v>
      </c>
      <c r="H107" s="2083" t="str">
        <f>'CG (c18)'!AA152</f>
        <v>c18.51a</v>
      </c>
      <c r="I107" s="2075">
        <f>'CG (c18)'!AB152</f>
        <v>0</v>
      </c>
    </row>
    <row r="108" spans="1:9" x14ac:dyDescent="0.25">
      <c r="A108" s="2071" t="s">
        <v>5259</v>
      </c>
      <c r="B108" s="2072" t="s">
        <v>5260</v>
      </c>
      <c r="C108" s="2074" t="str">
        <f>'Tax adj (c9)'!I11</f>
        <v>c9.3</v>
      </c>
      <c r="D108" s="2075">
        <f>'Tax adj (c9)'!J11</f>
        <v>0</v>
      </c>
      <c r="F108" s="2076" t="s">
        <v>5273</v>
      </c>
      <c r="G108" s="2072" t="s">
        <v>5274</v>
      </c>
      <c r="H108" s="2083" t="str">
        <f>'CG (c18)'!AA155</f>
        <v>c18.52</v>
      </c>
      <c r="I108" s="2075">
        <f>'CG (c18)'!AB155</f>
        <v>0</v>
      </c>
    </row>
    <row r="109" spans="1:9" x14ac:dyDescent="0.25">
      <c r="A109" s="2071" t="s">
        <v>1962</v>
      </c>
      <c r="B109" s="2072" t="s">
        <v>5265</v>
      </c>
      <c r="C109" s="2074" t="str">
        <f>'Tax adj (c9)'!I14</f>
        <v>c9.5</v>
      </c>
      <c r="D109" s="2075">
        <f>'Tax adj (c9)'!J14</f>
        <v>0</v>
      </c>
      <c r="F109" s="2076" t="s">
        <v>5279</v>
      </c>
      <c r="G109" s="2072" t="s">
        <v>5280</v>
      </c>
      <c r="H109" s="2083" t="str">
        <f>'CG (c18)'!AA159</f>
        <v>c18.53</v>
      </c>
      <c r="I109" s="2075">
        <f>'CG (c18)'!AB159</f>
        <v>0</v>
      </c>
    </row>
    <row r="110" spans="1:9" x14ac:dyDescent="0.25">
      <c r="A110" s="2071" t="s">
        <v>5270</v>
      </c>
      <c r="B110" s="2072" t="s">
        <v>5271</v>
      </c>
      <c r="C110" s="2074" t="str">
        <f>'Tax adj (c9)'!I17</f>
        <v>c9.7</v>
      </c>
      <c r="D110" s="2075">
        <f>'Tax adj (c9)'!J17</f>
        <v>0</v>
      </c>
      <c r="F110" s="2076" t="s">
        <v>5279</v>
      </c>
      <c r="G110" s="2072" t="s">
        <v>5285</v>
      </c>
      <c r="H110" s="2083" t="str">
        <f>'CG (c18)'!AA165</f>
        <v>c18.54</v>
      </c>
      <c r="I110" s="2077">
        <f>'CG (c18)'!AB165</f>
        <v>0</v>
      </c>
    </row>
    <row r="111" spans="1:9" x14ac:dyDescent="0.25">
      <c r="A111" s="2071" t="s">
        <v>5276</v>
      </c>
      <c r="B111" s="2072" t="s">
        <v>5277</v>
      </c>
      <c r="C111" s="2075" t="str">
        <f>'Tax adj (c9)'!I20</f>
        <v>c9.9</v>
      </c>
      <c r="D111" s="2075">
        <f>'Tax adj (c9)'!J20</f>
        <v>0</v>
      </c>
      <c r="F111" s="2071" t="s">
        <v>5289</v>
      </c>
      <c r="G111" s="2072" t="s">
        <v>5290</v>
      </c>
      <c r="H111" s="2083" t="str">
        <f>'CG (c18)'!AA155&amp;" minus "&amp;'CG (c18)'!AA165</f>
        <v>c18.52 minus c18.54</v>
      </c>
      <c r="I111" s="2077">
        <f>MAX(0,'CG (c18)'!AB155-'CG (c18)'!AB165)</f>
        <v>0</v>
      </c>
    </row>
    <row r="112" spans="1:9" x14ac:dyDescent="0.25">
      <c r="A112" s="2071" t="s">
        <v>5282</v>
      </c>
      <c r="B112" s="2072" t="s">
        <v>5283</v>
      </c>
      <c r="C112" s="2074" t="str">
        <f>'Tax adj (c9)'!I23</f>
        <v>c9.11</v>
      </c>
      <c r="D112" s="2075">
        <f>'Tax adj (c9)'!J23</f>
        <v>0</v>
      </c>
      <c r="F112" s="2076" t="s">
        <v>5295</v>
      </c>
      <c r="G112" s="2072" t="s">
        <v>5296</v>
      </c>
      <c r="H112" s="2083" t="str">
        <f>'CG (c18)'!AA171&amp;" + "&amp;'CG (c18)'!AA174</f>
        <v>c18.56 + c18.57</v>
      </c>
      <c r="I112" s="2077">
        <f>'CG (c18)'!AB171+'CG (c18)'!AB174</f>
        <v>0</v>
      </c>
    </row>
    <row r="113" spans="1:9" x14ac:dyDescent="0.25">
      <c r="A113" s="2071" t="s">
        <v>5287</v>
      </c>
      <c r="B113" s="2072" t="s">
        <v>5288</v>
      </c>
      <c r="C113" s="2074" t="s">
        <v>4816</v>
      </c>
      <c r="D113" s="2075">
        <v>0</v>
      </c>
      <c r="F113" s="2076" t="s">
        <v>5298</v>
      </c>
      <c r="G113" s="2072" t="s">
        <v>4862</v>
      </c>
      <c r="H113" s="2074" t="str">
        <f>'Tax due (c12)'!I95</f>
        <v>c12.17</v>
      </c>
      <c r="I113" s="2075">
        <f>'Tax due (c12)'!J95</f>
        <v>0</v>
      </c>
    </row>
    <row r="114" spans="1:9" x14ac:dyDescent="0.25">
      <c r="A114" s="2071" t="s">
        <v>5292</v>
      </c>
      <c r="B114" s="2072" t="s">
        <v>5293</v>
      </c>
      <c r="C114" s="2074" t="str">
        <f>'Tax adj (c9)'!I33&amp;" x "&amp;A_rate*100&amp;"%"</f>
        <v>c9.15 x 10%</v>
      </c>
      <c r="D114" s="2075">
        <f>'Tax adj (c9)'!J33*A_rate</f>
        <v>0</v>
      </c>
      <c r="F114" s="2076" t="s">
        <v>5300</v>
      </c>
      <c r="G114" s="2072" t="s">
        <v>5301</v>
      </c>
      <c r="H114" s="2074" t="str">
        <f>'CG (c18)'!AA181</f>
        <v>c18.59</v>
      </c>
      <c r="I114" s="2075">
        <f>'CG (c18)'!AB181</f>
        <v>0</v>
      </c>
    </row>
    <row r="115" spans="1:9" x14ac:dyDescent="0.25">
      <c r="A115" s="8"/>
      <c r="B115" s="8"/>
      <c r="C115" s="8"/>
      <c r="D115" s="8"/>
      <c r="F115" s="2076" t="s">
        <v>5303</v>
      </c>
      <c r="G115" s="2072" t="s">
        <v>5304</v>
      </c>
      <c r="H115" s="2083" t="str">
        <f>'Tax due (c12)'!I98&amp;" (Absolute value)"</f>
        <v>c12.17a (Absolute value)</v>
      </c>
      <c r="I115" s="2075">
        <f>ABS('Tax due (c12)'!J98)</f>
        <v>0</v>
      </c>
    </row>
    <row r="116" spans="1:9" x14ac:dyDescent="0.25">
      <c r="A116" s="8"/>
      <c r="B116" s="8"/>
      <c r="C116" s="8"/>
      <c r="D116" s="8"/>
      <c r="F116" s="2076" t="s">
        <v>5306</v>
      </c>
      <c r="G116" s="2072" t="s">
        <v>5307</v>
      </c>
      <c r="H116" s="2074" t="str">
        <f>'CG (c18)'!AA187</f>
        <v>c18.61</v>
      </c>
      <c r="I116" s="2075">
        <f>'CG (c18)'!AB187</f>
        <v>0</v>
      </c>
    </row>
    <row r="117" spans="1:9" x14ac:dyDescent="0.25">
      <c r="A117" s="8"/>
      <c r="B117" s="8"/>
      <c r="C117" s="8"/>
      <c r="D117" s="8"/>
      <c r="F117" s="2076" t="s">
        <v>5309</v>
      </c>
      <c r="G117" s="2072" t="s">
        <v>5310</v>
      </c>
      <c r="H117" s="2083" t="str">
        <f>'Tax due (c12)'!L107&amp;" (Absolute value)"</f>
        <v>c12.18 (Absolute value)</v>
      </c>
      <c r="I117" s="2075">
        <f>ABS(box_18_3)</f>
        <v>0</v>
      </c>
    </row>
    <row r="118" spans="1:9" x14ac:dyDescent="0.25">
      <c r="A118" s="8"/>
      <c r="B118" s="8"/>
      <c r="C118" s="8"/>
      <c r="D118" s="8"/>
      <c r="F118" s="2076" t="s">
        <v>5312</v>
      </c>
      <c r="G118" s="2072" t="s">
        <v>5313</v>
      </c>
      <c r="H118" s="2083" t="str">
        <f>'CG (c18)'!AA191</f>
        <v>c18.62</v>
      </c>
      <c r="I118" s="2075">
        <f>'CG (c18)'!AB191</f>
        <v>0</v>
      </c>
    </row>
    <row r="119" spans="1:9" x14ac:dyDescent="0.25">
      <c r="A119" s="8"/>
      <c r="B119" s="8"/>
      <c r="C119" s="8"/>
      <c r="D119" s="8"/>
      <c r="F119" s="2076" t="s">
        <v>5315</v>
      </c>
      <c r="G119" s="2072" t="s">
        <v>5316</v>
      </c>
      <c r="H119" s="2074" t="str">
        <f>'Tax due (c12)'!I113</f>
        <v>c12.19</v>
      </c>
      <c r="I119" s="2075">
        <f>'Tax due (c12)'!J113</f>
        <v>0</v>
      </c>
    </row>
    <row r="120" spans="1:9" x14ac:dyDescent="0.25">
      <c r="A120" s="8"/>
      <c r="B120" s="8"/>
      <c r="C120" s="8"/>
      <c r="D120" s="8"/>
      <c r="F120" s="2076" t="s">
        <v>5318</v>
      </c>
      <c r="G120" s="2072" t="s">
        <v>5319</v>
      </c>
      <c r="H120" s="2074" t="str">
        <f>'Tax due (c12)'!I116</f>
        <v>c12.20</v>
      </c>
      <c r="I120" s="2075">
        <f>'Tax due (c12)'!J116</f>
        <v>0</v>
      </c>
    </row>
    <row r="121" spans="1:9" x14ac:dyDescent="0.25">
      <c r="F121" s="2071" t="s">
        <v>5321</v>
      </c>
      <c r="G121" s="2072" t="s">
        <v>5322</v>
      </c>
      <c r="H121" s="2074" t="str">
        <f>'Tax due (c12)'!I119&amp;" (Absolute value)"</f>
        <v>c12.21 (Absolute value)</v>
      </c>
      <c r="I121" s="2077">
        <f>ABS('Tax due (c12)'!J119)</f>
        <v>0</v>
      </c>
    </row>
    <row r="125" spans="1:9" ht="13" x14ac:dyDescent="0.3">
      <c r="A125" s="8"/>
      <c r="B125" s="2095" t="s">
        <v>6804</v>
      </c>
      <c r="C125" s="2096"/>
      <c r="D125" s="2096"/>
      <c r="E125" s="2097"/>
      <c r="F125" s="2098"/>
      <c r="G125" s="2096"/>
      <c r="H125" s="2099"/>
    </row>
    <row r="126" spans="1:9" x14ac:dyDescent="0.25">
      <c r="B126" s="2100"/>
      <c r="C126" s="2101"/>
      <c r="D126" s="2101"/>
      <c r="E126" s="1222"/>
      <c r="F126" s="1339"/>
      <c r="G126" s="2101"/>
      <c r="H126" s="2102"/>
    </row>
    <row r="128" spans="1:9" ht="13" x14ac:dyDescent="0.3">
      <c r="A128" s="2" t="s">
        <v>9563</v>
      </c>
      <c r="F128" s="8"/>
      <c r="G128" s="8"/>
      <c r="H128" s="8"/>
    </row>
    <row r="130" spans="1:1" ht="13" x14ac:dyDescent="0.3">
      <c r="A130" s="2" t="s">
        <v>9560</v>
      </c>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dimension ref="A1:R329"/>
  <sheetViews>
    <sheetView showGridLines="0" topLeftCell="A22" zoomScaleNormal="100" workbookViewId="0">
      <selection activeCell="J178" sqref="J178"/>
    </sheetView>
  </sheetViews>
  <sheetFormatPr defaultColWidth="9.1796875" defaultRowHeight="12.5" x14ac:dyDescent="0.25"/>
  <cols>
    <col min="1" max="1" width="4.54296875" customWidth="1"/>
    <col min="2" max="2" width="1.1796875" style="1" customWidth="1"/>
    <col min="3" max="3" width="6.453125" style="4" customWidth="1"/>
    <col min="4" max="4" width="5.81640625" style="4" customWidth="1"/>
    <col min="5" max="5" width="26.7265625" style="8" customWidth="1"/>
    <col min="6" max="6" width="17.54296875" style="8" customWidth="1"/>
    <col min="7" max="7" width="10.54296875" style="8" customWidth="1"/>
    <col min="8" max="8" width="13.1796875" style="8" customWidth="1"/>
    <col min="9" max="9" width="11" style="8" customWidth="1"/>
    <col min="10" max="10" width="12.81640625" customWidth="1"/>
    <col min="11" max="11" width="2" customWidth="1"/>
    <col min="12" max="12" width="12.1796875" customWidth="1"/>
    <col min="13" max="13" width="11.54296875" customWidth="1"/>
    <col min="14" max="14" width="11.1796875" customWidth="1"/>
    <col min="15" max="15" width="10.453125" customWidth="1"/>
  </cols>
  <sheetData>
    <row r="1" spans="1:12" ht="33" customHeight="1" thickBot="1" x14ac:dyDescent="0.4">
      <c r="A1" s="200"/>
      <c r="B1" s="201"/>
      <c r="C1" s="364"/>
      <c r="D1" s="365"/>
      <c r="E1" s="192"/>
      <c r="F1" s="192"/>
      <c r="G1" s="192"/>
      <c r="H1" s="364" t="s">
        <v>4603</v>
      </c>
      <c r="I1" s="200"/>
      <c r="J1" s="200"/>
      <c r="K1" s="178"/>
      <c r="L1">
        <v>1</v>
      </c>
    </row>
    <row r="2" spans="1:12" ht="12.75" customHeight="1" thickTop="1" x14ac:dyDescent="0.25">
      <c r="C2" s="178"/>
      <c r="D2" s="178"/>
      <c r="E2" s="189"/>
      <c r="J2" s="8"/>
      <c r="K2" s="178"/>
      <c r="L2">
        <v>1</v>
      </c>
    </row>
    <row r="3" spans="1:12" ht="12.75" customHeight="1" x14ac:dyDescent="0.25">
      <c r="C3" s="178"/>
      <c r="D3" s="190" t="str">
        <f>IF('Add pages'!C4="","",'Add pages'!C4)</f>
        <v/>
      </c>
      <c r="I3" s="38"/>
      <c r="J3" s="38"/>
      <c r="K3" s="178"/>
      <c r="L3">
        <v>1</v>
      </c>
    </row>
    <row r="4" spans="1:12" ht="12.75" customHeight="1" x14ac:dyDescent="0.25">
      <c r="C4" s="178"/>
      <c r="D4" s="190" t="str">
        <f>IF('Add pages'!C5="","",'Add pages'!C5)</f>
        <v/>
      </c>
      <c r="H4" s="25"/>
      <c r="I4" s="413" t="str">
        <f>"Unique Taxpayer Reference (UTR) "&amp;IF(Taxpayer_Reference="","",Taxpayer_Reference)</f>
        <v xml:space="preserve">Unique Taxpayer Reference (UTR) </v>
      </c>
      <c r="J4" s="8"/>
      <c r="K4" s="178"/>
      <c r="L4">
        <v>1</v>
      </c>
    </row>
    <row r="5" spans="1:12" ht="12.75" customHeight="1" x14ac:dyDescent="0.25">
      <c r="B5" s="1" t="str">
        <f>IF('Add pages'!C6="","",'Add pages'!C6)</f>
        <v/>
      </c>
      <c r="C5" s="1"/>
      <c r="D5" s="1"/>
      <c r="E5" s="1"/>
      <c r="F5" s="1"/>
      <c r="G5" s="1"/>
      <c r="H5" s="1"/>
      <c r="I5" s="1"/>
      <c r="J5" s="1"/>
      <c r="K5" s="178"/>
      <c r="L5">
        <v>1</v>
      </c>
    </row>
    <row r="6" spans="1:12" ht="12.75" customHeight="1" x14ac:dyDescent="0.25">
      <c r="C6" s="178"/>
      <c r="D6" s="190" t="str">
        <f>IF('Add pages'!C7="","",'Add pages'!C7)</f>
        <v/>
      </c>
      <c r="E6" s="113"/>
      <c r="F6" s="113"/>
      <c r="J6" s="8"/>
      <c r="K6" s="178"/>
      <c r="L6">
        <v>1</v>
      </c>
    </row>
    <row r="7" spans="1:12" ht="12.75" customHeight="1" x14ac:dyDescent="0.25">
      <c r="C7" s="178"/>
      <c r="D7" s="178"/>
      <c r="H7" s="25" t="s">
        <v>4604</v>
      </c>
      <c r="I7" s="191" t="str">
        <f ca="1">date_formatted</f>
        <v>26 February 2026</v>
      </c>
      <c r="J7" s="8"/>
      <c r="K7" s="178"/>
      <c r="L7">
        <v>1</v>
      </c>
    </row>
    <row r="8" spans="1:12" ht="12.75" customHeight="1" x14ac:dyDescent="0.25">
      <c r="C8" s="178"/>
      <c r="D8" s="178"/>
      <c r="E8" s="1"/>
      <c r="F8" s="1"/>
      <c r="G8" s="1"/>
      <c r="H8" s="1"/>
      <c r="I8" s="1"/>
      <c r="J8" s="1"/>
      <c r="K8" s="1"/>
      <c r="L8">
        <v>1</v>
      </c>
    </row>
    <row r="9" spans="1:12" ht="12.75" customHeight="1" x14ac:dyDescent="0.3">
      <c r="C9" s="28" t="str">
        <f>"Tax Calculation for "&amp;tax_year</f>
        <v>Tax Calculation for 2025-26</v>
      </c>
      <c r="D9" s="178"/>
      <c r="F9" s="9" t="str">
        <f>" (year ended 5 April "&amp;Tax_year_end&amp;")"</f>
        <v xml:space="preserve"> (year ended 5 April 2026)</v>
      </c>
      <c r="J9" s="8"/>
      <c r="L9">
        <v>1</v>
      </c>
    </row>
    <row r="10" spans="1:12" x14ac:dyDescent="0.25">
      <c r="C10" s="178"/>
      <c r="D10" s="178"/>
      <c r="J10" s="8"/>
      <c r="L10">
        <v>1</v>
      </c>
    </row>
    <row r="11" spans="1:12" ht="13" x14ac:dyDescent="0.3">
      <c r="A11" s="2035" t="s">
        <v>6602</v>
      </c>
      <c r="C11" s="2609" t="s">
        <v>4605</v>
      </c>
      <c r="D11" s="2610"/>
      <c r="E11" s="2610"/>
      <c r="F11" s="2611"/>
      <c r="J11" s="8"/>
      <c r="L11">
        <v>1</v>
      </c>
    </row>
    <row r="12" spans="1:12" ht="12" customHeight="1" x14ac:dyDescent="0.3">
      <c r="A12" s="2035" t="s">
        <v>6603</v>
      </c>
      <c r="C12" s="2"/>
      <c r="D12" s="2"/>
      <c r="F12" s="12"/>
      <c r="J12" s="8"/>
      <c r="L12">
        <v>1</v>
      </c>
    </row>
    <row r="13" spans="1:12" x14ac:dyDescent="0.25">
      <c r="A13" s="2035" t="s">
        <v>4744</v>
      </c>
      <c r="C13" s="2613" t="s">
        <v>4606</v>
      </c>
      <c r="D13" s="2613"/>
      <c r="E13" s="2613"/>
      <c r="F13" s="154">
        <f>Pay_Emp</f>
        <v>0</v>
      </c>
      <c r="J13" s="8"/>
      <c r="L13">
        <f>IF(AND(Pay_Emp&gt;0,(Benefits_Emp+Exps_Emp)&gt;0),1,0)</f>
        <v>0</v>
      </c>
    </row>
    <row r="14" spans="1:12" x14ac:dyDescent="0.25">
      <c r="A14" s="2035" t="s">
        <v>4750</v>
      </c>
      <c r="C14" s="1" t="s">
        <v>6604</v>
      </c>
      <c r="D14" s="2613" t="s">
        <v>6605</v>
      </c>
      <c r="E14" s="2613"/>
      <c r="F14" s="154">
        <f>Benefits_Emp</f>
        <v>0</v>
      </c>
      <c r="J14" s="8"/>
      <c r="L14">
        <f>IF(Benefits_Emp&gt;0,1,0)</f>
        <v>0</v>
      </c>
    </row>
    <row r="15" spans="1:12" x14ac:dyDescent="0.25">
      <c r="A15" s="2035" t="s">
        <v>1862</v>
      </c>
      <c r="C15" s="1" t="s">
        <v>4607</v>
      </c>
      <c r="D15" s="2613" t="s">
        <v>4608</v>
      </c>
      <c r="E15" s="2613"/>
      <c r="F15" s="154">
        <f>Exps_Emp</f>
        <v>0</v>
      </c>
      <c r="J15" s="8"/>
      <c r="L15">
        <f>IF(Exps_Emp&gt;0,1,0)</f>
        <v>0</v>
      </c>
    </row>
    <row r="16" spans="1:12" x14ac:dyDescent="0.25">
      <c r="A16" s="2036" t="s">
        <v>1942</v>
      </c>
      <c r="C16" s="2613" t="s">
        <v>4606</v>
      </c>
      <c r="D16" s="2613"/>
      <c r="E16" s="2613"/>
      <c r="F16" s="2613"/>
      <c r="G16" s="154">
        <f>income_E</f>
        <v>0</v>
      </c>
      <c r="H16" s="84"/>
      <c r="J16" s="8"/>
      <c r="L16">
        <f>IF(AND(Benefits_Emp+Exps_Emp=0,income_E&gt;0),1,0)</f>
        <v>0</v>
      </c>
    </row>
    <row r="17" spans="1:12" x14ac:dyDescent="0.25">
      <c r="A17" s="2037" t="s">
        <v>6606</v>
      </c>
      <c r="C17" s="2613" t="s">
        <v>4609</v>
      </c>
      <c r="D17" s="2613"/>
      <c r="E17" s="2613"/>
      <c r="F17" s="2613"/>
      <c r="G17" s="154">
        <f>income_E</f>
        <v>0</v>
      </c>
      <c r="H17" s="84"/>
      <c r="J17" s="8"/>
      <c r="L17">
        <f>IF(AND(Benefits_Emp+Exps_Emp&gt;0,income_E&gt;0),1,0)</f>
        <v>0</v>
      </c>
    </row>
    <row r="18" spans="1:12" x14ac:dyDescent="0.25">
      <c r="A18" s="2035" t="s">
        <v>2131</v>
      </c>
      <c r="C18" s="2613" t="s">
        <v>2444</v>
      </c>
      <c r="D18" s="2613"/>
      <c r="E18" s="2613"/>
      <c r="F18" s="2613"/>
      <c r="G18" s="154">
        <f>income_Shares</f>
        <v>0</v>
      </c>
      <c r="H18" s="84"/>
      <c r="J18" s="8"/>
      <c r="L18">
        <f>IF(income_Shares&gt;0,1,0)</f>
        <v>0</v>
      </c>
    </row>
    <row r="19" spans="1:12" x14ac:dyDescent="0.25">
      <c r="A19" s="2035" t="s">
        <v>1864</v>
      </c>
      <c r="C19" s="2613" t="s">
        <v>6607</v>
      </c>
      <c r="D19" s="2613"/>
      <c r="E19" s="2613"/>
      <c r="F19" s="2613"/>
      <c r="G19" s="154">
        <f>income_D</f>
        <v>0</v>
      </c>
      <c r="H19" s="84"/>
      <c r="J19" s="8"/>
      <c r="L19">
        <f>IF(income_D&gt;0,1,0)</f>
        <v>0</v>
      </c>
    </row>
    <row r="20" spans="1:12" x14ac:dyDescent="0.25">
      <c r="A20" s="2035" t="s">
        <v>4773</v>
      </c>
      <c r="C20" s="2613" t="s">
        <v>6608</v>
      </c>
      <c r="D20" s="2613"/>
      <c r="E20" s="2613"/>
      <c r="F20" s="2613"/>
      <c r="G20" s="154">
        <f>income_D_PTR</f>
        <v>0</v>
      </c>
      <c r="H20" s="84"/>
      <c r="J20" s="8"/>
      <c r="L20">
        <f>IF(income_D_PTR&gt;0,1,0)</f>
        <v>0</v>
      </c>
    </row>
    <row r="21" spans="1:12" x14ac:dyDescent="0.25">
      <c r="A21" s="2035" t="s">
        <v>4779</v>
      </c>
      <c r="C21" s="2613" t="s">
        <v>6609</v>
      </c>
      <c r="D21" s="2613"/>
      <c r="E21" s="2613"/>
      <c r="F21" s="2613"/>
      <c r="G21" s="154">
        <f>income_S_PTR</f>
        <v>0</v>
      </c>
      <c r="H21" s="84"/>
      <c r="J21" s="8"/>
      <c r="L21">
        <f>IF(income_S_PTR&gt;0,1,0)</f>
        <v>0</v>
      </c>
    </row>
    <row r="22" spans="1:12" x14ac:dyDescent="0.25">
      <c r="A22" s="2035" t="s">
        <v>4784</v>
      </c>
      <c r="C22" s="2613" t="s">
        <v>6610</v>
      </c>
      <c r="D22" s="2613"/>
      <c r="E22" s="2613"/>
      <c r="F22" s="2613"/>
      <c r="G22" s="154">
        <f>income_DV_PTR</f>
        <v>0</v>
      </c>
      <c r="H22" s="84"/>
      <c r="J22" s="8"/>
      <c r="L22">
        <f>IF(income_DV_PTR&gt;0,1,0)</f>
        <v>0</v>
      </c>
    </row>
    <row r="23" spans="1:12" x14ac:dyDescent="0.25">
      <c r="A23" s="2035" t="s">
        <v>4789</v>
      </c>
      <c r="C23" s="2613" t="s">
        <v>6611</v>
      </c>
      <c r="D23" s="2613"/>
      <c r="E23" s="2613"/>
      <c r="F23" s="2613"/>
      <c r="G23" s="154">
        <f>income_IFP</f>
        <v>0</v>
      </c>
      <c r="H23" s="84"/>
      <c r="J23" s="8"/>
      <c r="L23">
        <f>IF(income_IFP&gt;0,1,0)</f>
        <v>0</v>
      </c>
    </row>
    <row r="24" spans="1:12" x14ac:dyDescent="0.25">
      <c r="A24" s="2035" t="s">
        <v>1865</v>
      </c>
      <c r="C24" s="2613" t="s">
        <v>1502</v>
      </c>
      <c r="D24" s="2613"/>
      <c r="E24" s="2613"/>
      <c r="F24" s="2613"/>
      <c r="G24" s="154">
        <f>income_Foreign</f>
        <v>0</v>
      </c>
      <c r="H24" s="84"/>
      <c r="J24" s="8"/>
      <c r="L24">
        <f>IF(income_Foreign&gt;0,1,0)</f>
        <v>0</v>
      </c>
    </row>
    <row r="25" spans="1:12" x14ac:dyDescent="0.25">
      <c r="A25" s="2035" t="s">
        <v>4799</v>
      </c>
      <c r="C25" s="2613" t="s">
        <v>5671</v>
      </c>
      <c r="D25" s="2613"/>
      <c r="E25" s="2613"/>
      <c r="F25" s="2613"/>
      <c r="G25" s="154">
        <f>foreign_dividends</f>
        <v>0</v>
      </c>
      <c r="H25" s="84"/>
      <c r="J25" s="8"/>
      <c r="L25">
        <f>IF(foreign_dividends&gt;0,1,0)</f>
        <v>0</v>
      </c>
    </row>
    <row r="26" spans="1:12" x14ac:dyDescent="0.25">
      <c r="A26" s="2035" t="s">
        <v>4805</v>
      </c>
      <c r="C26" s="2613" t="s">
        <v>6612</v>
      </c>
      <c r="D26" s="2613"/>
      <c r="E26" s="2613"/>
      <c r="F26" s="2613"/>
      <c r="G26" s="154">
        <f>foreign_savings</f>
        <v>0</v>
      </c>
      <c r="H26" s="84"/>
      <c r="J26" s="8"/>
      <c r="L26">
        <f>IF(foreign_savings&gt;0,1,0)</f>
        <v>0</v>
      </c>
    </row>
    <row r="27" spans="1:12" x14ac:dyDescent="0.25">
      <c r="A27" s="2035" t="s">
        <v>6613</v>
      </c>
      <c r="C27" s="2613" t="s">
        <v>6614</v>
      </c>
      <c r="D27" s="2613"/>
      <c r="E27" s="2613"/>
      <c r="F27" s="2613"/>
      <c r="G27" s="154">
        <f>Foreign_CEG_dedn</f>
        <v>0</v>
      </c>
      <c r="H27" s="84"/>
      <c r="J27" s="8"/>
      <c r="L27">
        <f>IF(Foreign_CEG_dedn&gt;0,1,0)</f>
        <v>0</v>
      </c>
    </row>
    <row r="28" spans="1:12" x14ac:dyDescent="0.25">
      <c r="A28" s="2035" t="s">
        <v>2132</v>
      </c>
      <c r="C28" s="2613" t="s">
        <v>6615</v>
      </c>
      <c r="D28" s="2613"/>
      <c r="E28" s="2613"/>
      <c r="F28" s="2613"/>
      <c r="G28" s="154">
        <f>income_Trust</f>
        <v>0</v>
      </c>
      <c r="H28" s="84"/>
      <c r="J28" s="8"/>
      <c r="L28">
        <f>IF(income_Trust&gt;0,1,0)</f>
        <v>0</v>
      </c>
    </row>
    <row r="29" spans="1:12" x14ac:dyDescent="0.25">
      <c r="A29" s="2035" t="s">
        <v>4821</v>
      </c>
      <c r="C29" s="2613" t="s">
        <v>4610</v>
      </c>
      <c r="D29" s="2613"/>
      <c r="E29" s="2613"/>
      <c r="F29" s="2613"/>
      <c r="G29" s="154">
        <f>income_Case3</f>
        <v>0</v>
      </c>
      <c r="H29" s="84"/>
      <c r="J29" s="8"/>
      <c r="L29">
        <f>IF(income_Case3&gt;0,1,0)</f>
        <v>0</v>
      </c>
    </row>
    <row r="30" spans="1:12" x14ac:dyDescent="0.25">
      <c r="A30" s="2035" t="s">
        <v>4826</v>
      </c>
      <c r="C30" s="2613" t="s">
        <v>2231</v>
      </c>
      <c r="D30" s="2613"/>
      <c r="E30" s="2613"/>
      <c r="F30" s="2613"/>
      <c r="G30" s="154">
        <f>income_F</f>
        <v>0</v>
      </c>
      <c r="H30" s="84"/>
      <c r="J30" s="8"/>
      <c r="L30">
        <f>IF(income_F&gt;0,1,0)</f>
        <v>0</v>
      </c>
    </row>
    <row r="31" spans="1:12" x14ac:dyDescent="0.25">
      <c r="A31" s="2035" t="s">
        <v>4832</v>
      </c>
      <c r="C31" s="2613" t="s">
        <v>6616</v>
      </c>
      <c r="D31" s="2613"/>
      <c r="E31" s="2613"/>
      <c r="F31" s="2613"/>
      <c r="G31" s="154">
        <f>income_Pensions</f>
        <v>0</v>
      </c>
      <c r="H31" s="84"/>
      <c r="J31" s="8"/>
      <c r="L31">
        <f>IF(income_Pensions&gt;0,1,0)</f>
        <v>0</v>
      </c>
    </row>
    <row r="32" spans="1:12" x14ac:dyDescent="0.25">
      <c r="A32" s="2035" t="s">
        <v>1946</v>
      </c>
      <c r="C32" s="2613" t="s">
        <v>6617</v>
      </c>
      <c r="D32" s="2613"/>
      <c r="E32" s="2613"/>
      <c r="F32" s="2613"/>
      <c r="G32" s="154">
        <f>income_CEG</f>
        <v>0</v>
      </c>
      <c r="H32" s="84"/>
      <c r="J32" s="8"/>
      <c r="L32">
        <f>IF(income_CEG&gt;0,1,0)</f>
        <v>0</v>
      </c>
    </row>
    <row r="33" spans="1:12" x14ac:dyDescent="0.25">
      <c r="A33" s="2035" t="s">
        <v>4843</v>
      </c>
      <c r="C33" s="2613" t="s">
        <v>6618</v>
      </c>
      <c r="D33" s="2613"/>
      <c r="E33" s="2613"/>
      <c r="F33" s="2613"/>
      <c r="G33" s="154">
        <f>income_CEG_dedn</f>
        <v>0</v>
      </c>
      <c r="H33" s="84"/>
      <c r="J33" s="8"/>
      <c r="L33">
        <f>IF(income_CEG_dedn&gt;0,1,0)</f>
        <v>0</v>
      </c>
    </row>
    <row r="34" spans="1:12" ht="12" customHeight="1" x14ac:dyDescent="0.25">
      <c r="A34" s="2035" t="s">
        <v>1867</v>
      </c>
      <c r="C34" s="2613" t="s">
        <v>5649</v>
      </c>
      <c r="D34" s="2613"/>
      <c r="E34" s="2613"/>
      <c r="F34" s="2613"/>
      <c r="G34" s="154">
        <f>income_Other</f>
        <v>0</v>
      </c>
      <c r="H34" s="84"/>
      <c r="J34" s="8"/>
      <c r="L34">
        <f>IF(income_Other&gt;0,1,0)</f>
        <v>0</v>
      </c>
    </row>
    <row r="35" spans="1:12" ht="12" customHeight="1" x14ac:dyDescent="0.25">
      <c r="A35" s="2035" t="s">
        <v>4853</v>
      </c>
      <c r="C35" s="2613" t="s">
        <v>6619</v>
      </c>
      <c r="D35" s="2613"/>
      <c r="E35" s="2613"/>
      <c r="F35" s="2613"/>
      <c r="G35" s="154">
        <f>income_termination</f>
        <v>0</v>
      </c>
      <c r="H35" s="84"/>
      <c r="J35" s="8"/>
      <c r="L35">
        <f>IF(income_termination&gt;0,1,0)</f>
        <v>0</v>
      </c>
    </row>
    <row r="36" spans="1:12" x14ac:dyDescent="0.25">
      <c r="A36" s="2035" t="s">
        <v>4859</v>
      </c>
      <c r="C36" s="2612" t="s">
        <v>4611</v>
      </c>
      <c r="D36" s="2612"/>
      <c r="E36" s="2612"/>
      <c r="F36" s="2612"/>
      <c r="G36" s="84"/>
      <c r="H36" s="154">
        <f>income_Total</f>
        <v>0</v>
      </c>
      <c r="J36" s="8"/>
      <c r="L36">
        <v>1</v>
      </c>
    </row>
    <row r="37" spans="1:12" ht="12" customHeight="1" x14ac:dyDescent="0.25">
      <c r="A37" s="2035" t="s">
        <v>6620</v>
      </c>
      <c r="C37" s="178"/>
      <c r="D37" s="178"/>
      <c r="F37" s="26"/>
      <c r="G37" s="26"/>
      <c r="J37" s="8"/>
      <c r="L37">
        <v>1</v>
      </c>
    </row>
    <row r="38" spans="1:12" ht="12" customHeight="1" x14ac:dyDescent="0.3">
      <c r="A38" s="2035" t="s">
        <v>1868</v>
      </c>
      <c r="C38" s="2609" t="s">
        <v>6621</v>
      </c>
      <c r="D38" s="2610"/>
      <c r="E38" s="2610"/>
      <c r="F38" s="2611"/>
      <c r="G38" s="26"/>
      <c r="J38" s="8"/>
      <c r="L38">
        <f>IF(Allce_PA=Allce_dedn_total,0,1)</f>
        <v>0</v>
      </c>
    </row>
    <row r="39" spans="1:12" ht="12" customHeight="1" x14ac:dyDescent="0.3">
      <c r="A39" s="2035" t="s">
        <v>1879</v>
      </c>
      <c r="C39" s="29"/>
      <c r="D39" s="29"/>
      <c r="F39" s="26"/>
      <c r="G39" s="26"/>
      <c r="J39" s="8"/>
      <c r="L39">
        <f>IF(Allce_PA=Allce_dedn_total,0,1)</f>
        <v>0</v>
      </c>
    </row>
    <row r="40" spans="1:12" ht="12" customHeight="1" x14ac:dyDescent="0.25">
      <c r="A40" s="2035" t="s">
        <v>1948</v>
      </c>
      <c r="C40" s="2613" t="s">
        <v>6622</v>
      </c>
      <c r="D40" s="2613"/>
      <c r="E40" s="2613"/>
      <c r="F40" s="2613"/>
      <c r="G40" s="154">
        <f>dedn_RAR</f>
        <v>0</v>
      </c>
      <c r="H40" s="84"/>
      <c r="J40" s="8"/>
      <c r="L40">
        <f>IF(dedn_RAR&gt;0,1,0)</f>
        <v>0</v>
      </c>
    </row>
    <row r="41" spans="1:12" ht="12" customHeight="1" x14ac:dyDescent="0.25">
      <c r="A41" s="2035" t="s">
        <v>1869</v>
      </c>
      <c r="C41" s="2613" t="s">
        <v>6623</v>
      </c>
      <c r="D41" s="2613"/>
      <c r="E41" s="2613"/>
      <c r="F41" s="2613"/>
      <c r="G41" s="154">
        <f>dedn_Trust</f>
        <v>0</v>
      </c>
      <c r="H41" s="84"/>
      <c r="J41" s="8"/>
      <c r="L41">
        <f>IF(dedn_Trust&gt;0,1,0)</f>
        <v>0</v>
      </c>
    </row>
    <row r="42" spans="1:12" x14ac:dyDescent="0.25">
      <c r="A42" s="2036" t="s">
        <v>2134</v>
      </c>
      <c r="C42" s="2613" t="s">
        <v>6624</v>
      </c>
      <c r="D42" s="2613"/>
      <c r="E42" s="2613"/>
      <c r="F42" s="2613"/>
      <c r="G42" s="154">
        <f>ded_Loss</f>
        <v>0</v>
      </c>
      <c r="H42" s="84"/>
      <c r="J42" s="8"/>
      <c r="L42">
        <f>IF(AND(ded_Loss&gt;0,ded_Loss=ded_loss_restricted),1,0)</f>
        <v>0</v>
      </c>
    </row>
    <row r="43" spans="1:12" x14ac:dyDescent="0.25">
      <c r="A43" s="2037" t="s">
        <v>6606</v>
      </c>
      <c r="C43" s="2613" t="str">
        <f>"Income tax relief "&amp;DOLLAR(ded_Loss,0)&amp;" reduced to maximum allowable "</f>
        <v xml:space="preserve">Income tax relief £0 reduced to maximum allowable </v>
      </c>
      <c r="D43" s="2613"/>
      <c r="E43" s="2613"/>
      <c r="F43" s="2613"/>
      <c r="G43" s="154">
        <f>ded_loss_restricted</f>
        <v>0</v>
      </c>
      <c r="J43" s="8"/>
      <c r="L43">
        <f>IF(AND(ded_Loss&gt;0,ded_Loss&gt;ded_loss_restricted),1,0)</f>
        <v>0</v>
      </c>
    </row>
    <row r="44" spans="1:12" x14ac:dyDescent="0.25">
      <c r="A44" s="2035" t="s">
        <v>1870</v>
      </c>
      <c r="C44" s="2613" t="s">
        <v>6625</v>
      </c>
      <c r="D44" s="2613"/>
      <c r="E44" s="2613"/>
      <c r="F44" s="2613"/>
      <c r="G44" s="154">
        <f>dedn_Annuity</f>
        <v>0</v>
      </c>
      <c r="H44" s="84"/>
      <c r="J44" s="8"/>
      <c r="L44">
        <f>IF(dedn_Annuity&gt;0,1,0)</f>
        <v>0</v>
      </c>
    </row>
    <row r="45" spans="1:12" x14ac:dyDescent="0.25">
      <c r="A45" s="2035" t="s">
        <v>4888</v>
      </c>
      <c r="C45" s="2613" t="s">
        <v>6626</v>
      </c>
      <c r="D45" s="2613"/>
      <c r="E45" s="2613"/>
      <c r="F45" s="2613"/>
      <c r="G45" s="154">
        <f>dedn_Gift</f>
        <v>0</v>
      </c>
      <c r="H45" s="84"/>
      <c r="J45" s="8"/>
      <c r="L45">
        <f>IF(dedn_Gift&gt;0,1,0)</f>
        <v>0</v>
      </c>
    </row>
    <row r="46" spans="1:12" x14ac:dyDescent="0.25">
      <c r="A46" s="2038" t="s">
        <v>4893</v>
      </c>
      <c r="B46" s="1079"/>
      <c r="C46" s="2639" t="s">
        <v>6627</v>
      </c>
      <c r="D46" s="2639"/>
      <c r="E46" s="2639"/>
      <c r="F46" s="2639"/>
      <c r="G46" s="1081">
        <f>Fi_Rel</f>
        <v>0</v>
      </c>
      <c r="H46" s="1105"/>
      <c r="I46" s="1065"/>
      <c r="J46" s="1065"/>
      <c r="K46" s="1078"/>
      <c r="L46" s="1078">
        <f>IF(Fi_Rel&gt;0,1,0)</f>
        <v>0</v>
      </c>
    </row>
    <row r="47" spans="1:12" x14ac:dyDescent="0.25">
      <c r="A47" s="2038" t="s">
        <v>4898</v>
      </c>
      <c r="B47" s="1079"/>
      <c r="C47" s="2639" t="s">
        <v>6628</v>
      </c>
      <c r="D47" s="2639"/>
      <c r="E47" s="2639"/>
      <c r="F47" s="2639"/>
      <c r="G47" s="1081">
        <f>Fe_Rel_restricted</f>
        <v>0</v>
      </c>
      <c r="H47" s="1105"/>
      <c r="I47" s="1065"/>
      <c r="J47" s="1065"/>
      <c r="K47" s="1078"/>
      <c r="L47" s="1078">
        <f>IF(AND(Fe_Rel_claimed&gt;0,Fe_Rel_claimed=Fe_Rel_restricted),1,0)</f>
        <v>0</v>
      </c>
    </row>
    <row r="48" spans="1:12" x14ac:dyDescent="0.25">
      <c r="A48" s="2039" t="s">
        <v>6606</v>
      </c>
      <c r="B48" s="1079"/>
      <c r="C48" s="2639" t="str">
        <f>"Foreign employment relief "&amp;DOLLAR(Fe_Rel_claimed,0)&amp;" reduced to maximum allowable "</f>
        <v xml:space="preserve">Foreign employment relief £0 reduced to maximum allowable </v>
      </c>
      <c r="D48" s="2639"/>
      <c r="E48" s="2639"/>
      <c r="F48" s="2639"/>
      <c r="G48" s="1081">
        <f>Fe_Rel_restricted</f>
        <v>0</v>
      </c>
      <c r="H48" s="1105"/>
      <c r="I48" s="1065"/>
      <c r="J48" s="1065"/>
      <c r="K48" s="1078"/>
      <c r="L48" s="1078">
        <f>IF(AND(Fe_Rel_claimed&gt;0,Fe_Rel_claimed&gt;Fe_Rel_restricted),1,0)</f>
        <v>0</v>
      </c>
    </row>
    <row r="49" spans="1:12" x14ac:dyDescent="0.25">
      <c r="A49" s="2036" t="s">
        <v>2135</v>
      </c>
      <c r="C49" s="2613" t="s">
        <v>330</v>
      </c>
      <c r="D49" s="2613"/>
      <c r="E49" s="2613"/>
      <c r="F49" s="2613"/>
      <c r="G49" s="154">
        <f>Allce_PA</f>
        <v>12570</v>
      </c>
      <c r="J49" s="8"/>
      <c r="L49">
        <f>IF(AND(Allce_PA&lt;&gt;Allce_dedn_total,Allce_PA&gt;0,Allce_PA=P_A),1,0)</f>
        <v>0</v>
      </c>
    </row>
    <row r="50" spans="1:12" x14ac:dyDescent="0.25">
      <c r="A50" s="519" t="s">
        <v>6606</v>
      </c>
      <c r="C50" s="2613" t="s">
        <v>6629</v>
      </c>
      <c r="D50" s="2613"/>
      <c r="E50" s="2613"/>
      <c r="F50" s="2613"/>
      <c r="G50" s="154">
        <f>Allce_PA</f>
        <v>12570</v>
      </c>
      <c r="J50" s="8"/>
      <c r="L50">
        <f>IF(AND(Allce_PA&lt;&gt;Allce_dedn_total,Allce_PA&gt;0,Allce_PA&lt;&gt;P_A),1,0)</f>
        <v>0</v>
      </c>
    </row>
    <row r="51" spans="1:12" x14ac:dyDescent="0.25">
      <c r="A51" s="519" t="s">
        <v>6606</v>
      </c>
      <c r="C51" s="1" t="s">
        <v>4607</v>
      </c>
      <c r="D51" s="2613" t="str">
        <f>C49</f>
        <v>Personal Allowance</v>
      </c>
      <c r="E51" s="2613"/>
      <c r="F51" s="2613"/>
      <c r="G51" s="154"/>
      <c r="H51" s="154">
        <f>Allce_PA</f>
        <v>12570</v>
      </c>
      <c r="J51" s="8"/>
      <c r="L51">
        <f>IF(AND(Allce_PA=Allce_dedn_total,Allce_PA&gt;0,Allce_PA=P_A),1,0)</f>
        <v>1</v>
      </c>
    </row>
    <row r="52" spans="1:12" x14ac:dyDescent="0.25">
      <c r="A52" s="2037" t="s">
        <v>6606</v>
      </c>
      <c r="C52" s="1" t="s">
        <v>4607</v>
      </c>
      <c r="D52" s="2613" t="str">
        <f>C50</f>
        <v>Reduced Personal Allowance</v>
      </c>
      <c r="E52" s="2613"/>
      <c r="F52" s="2613"/>
      <c r="G52" s="154"/>
      <c r="H52" s="154">
        <f>Allce_PA</f>
        <v>12570</v>
      </c>
      <c r="J52" s="8"/>
      <c r="L52">
        <f>IF(AND(Allce_PA=Allce_dedn_total,Allce_PA&gt;0,Allce_PA&lt;P_A),1,0)</f>
        <v>0</v>
      </c>
    </row>
    <row r="53" spans="1:12" x14ac:dyDescent="0.25">
      <c r="A53" s="2036" t="s">
        <v>4911</v>
      </c>
      <c r="C53" s="1" t="s">
        <v>6630</v>
      </c>
      <c r="D53" s="2613" t="s">
        <v>6631</v>
      </c>
      <c r="E53" s="2613"/>
      <c r="F53" s="2613"/>
      <c r="G53" s="154">
        <f>AllceOut_TPA</f>
        <v>0</v>
      </c>
      <c r="H53" s="154"/>
      <c r="L53">
        <f>IF(AllceOut_TPA&gt;0,IF(AND(Allce_PA&lt;&gt;Allce_dedn_total,Allce_PA&gt;0),1,0),0)</f>
        <v>0</v>
      </c>
    </row>
    <row r="54" spans="1:12" x14ac:dyDescent="0.25">
      <c r="A54" s="2037" t="s">
        <v>6606</v>
      </c>
      <c r="C54" s="1" t="s">
        <v>6630</v>
      </c>
      <c r="D54" s="2613" t="s">
        <v>6631</v>
      </c>
      <c r="E54" s="2613"/>
      <c r="F54" s="2613"/>
      <c r="H54" s="154">
        <f>AllceOut_TPA</f>
        <v>0</v>
      </c>
      <c r="L54">
        <f>IF(AllceOut_TPA&gt;0,IF(AND(Allce_PA=Allce_dedn_total,Allce_PA&gt;0),1,0),0)</f>
        <v>0</v>
      </c>
    </row>
    <row r="55" spans="1:12" ht="12" customHeight="1" x14ac:dyDescent="0.25">
      <c r="A55" s="2035" t="s">
        <v>1875</v>
      </c>
      <c r="C55" s="2613" t="s">
        <v>353</v>
      </c>
      <c r="D55" s="2613"/>
      <c r="E55" s="2613"/>
      <c r="F55" s="2613"/>
      <c r="G55" s="154">
        <f>Allce_BPA</f>
        <v>0</v>
      </c>
      <c r="H55" s="84"/>
      <c r="J55" s="8"/>
      <c r="L55">
        <f>IF(Allce_BPA&gt;0,1,0)</f>
        <v>0</v>
      </c>
    </row>
    <row r="56" spans="1:12" x14ac:dyDescent="0.25">
      <c r="A56" s="2035" t="s">
        <v>4922</v>
      </c>
      <c r="C56" s="2613" t="s">
        <v>6632</v>
      </c>
      <c r="D56" s="2613"/>
      <c r="E56" s="2613"/>
      <c r="F56" s="2613"/>
      <c r="G56" s="154">
        <f>Allce_BPA_Spare</f>
        <v>0</v>
      </c>
      <c r="H56" s="84"/>
      <c r="J56" s="8"/>
      <c r="L56">
        <f>IF(Allce_BPA_Spare&gt;0,1,0)</f>
        <v>0</v>
      </c>
    </row>
    <row r="57" spans="1:12" x14ac:dyDescent="0.25">
      <c r="A57" s="2035" t="s">
        <v>1876</v>
      </c>
      <c r="C57" s="2617" t="s">
        <v>6633</v>
      </c>
      <c r="D57" s="2617"/>
      <c r="E57" s="2617"/>
      <c r="F57" s="2617"/>
      <c r="G57" s="84"/>
      <c r="H57" s="154">
        <f>Allce_dedn_total</f>
        <v>12570</v>
      </c>
      <c r="J57" s="8"/>
      <c r="L57">
        <f>IF(Allce_PA=Allce_dedn_total,0,1)</f>
        <v>0</v>
      </c>
    </row>
    <row r="58" spans="1:12" x14ac:dyDescent="0.25">
      <c r="A58" s="2035" t="s">
        <v>6634</v>
      </c>
      <c r="C58" s="178"/>
      <c r="D58" s="178"/>
      <c r="E58" s="579"/>
      <c r="G58" s="154"/>
      <c r="H58" s="84"/>
      <c r="J58" s="8"/>
      <c r="L58">
        <v>1</v>
      </c>
    </row>
    <row r="59" spans="1:12" ht="13" x14ac:dyDescent="0.3">
      <c r="A59" s="2036" t="s">
        <v>1952</v>
      </c>
      <c r="C59" s="2609" t="s">
        <v>4612</v>
      </c>
      <c r="D59" s="2610"/>
      <c r="E59" s="2610"/>
      <c r="F59" s="2610"/>
      <c r="G59" s="2610"/>
      <c r="H59" s="2040">
        <f>taxable_income</f>
        <v>0</v>
      </c>
      <c r="J59" s="8"/>
      <c r="L59">
        <f>IF(taxable_income&gt;0,1,0)</f>
        <v>0</v>
      </c>
    </row>
    <row r="60" spans="1:12" ht="13" x14ac:dyDescent="0.3">
      <c r="A60" s="2037" t="s">
        <v>6606</v>
      </c>
      <c r="C60" s="2609" t="s">
        <v>6635</v>
      </c>
      <c r="D60" s="2610"/>
      <c r="E60" s="2610"/>
      <c r="F60" s="2610"/>
      <c r="G60" s="2610"/>
      <c r="H60" s="2040">
        <f>taxable_income</f>
        <v>0</v>
      </c>
      <c r="J60" s="8"/>
      <c r="L60">
        <f>IF(taxable_income&lt;=0,1,0)</f>
        <v>1</v>
      </c>
    </row>
    <row r="61" spans="1:12" ht="13" x14ac:dyDescent="0.3">
      <c r="A61" s="2035" t="s">
        <v>6636</v>
      </c>
      <c r="C61" s="2"/>
      <c r="D61" s="2"/>
      <c r="G61" s="26"/>
      <c r="J61" s="8"/>
      <c r="L61">
        <v>1</v>
      </c>
    </row>
    <row r="62" spans="1:12" x14ac:dyDescent="0.25">
      <c r="A62" s="2036" t="s">
        <v>6637</v>
      </c>
      <c r="C62" s="2612" t="s">
        <v>4613</v>
      </c>
      <c r="D62" s="2612"/>
      <c r="E62" s="2612"/>
      <c r="F62" s="2612"/>
      <c r="G62" s="2612"/>
      <c r="H62" s="2612"/>
      <c r="I62" s="2612"/>
      <c r="J62" s="2612"/>
      <c r="L62">
        <v>1</v>
      </c>
    </row>
    <row r="63" spans="1:12" x14ac:dyDescent="0.25">
      <c r="A63" s="2036" t="s">
        <v>4932</v>
      </c>
      <c r="C63" s="2616" t="str">
        <f>"Your basic rate limit has been increased by "&amp;DOLLAR(ppr_extender,0)&amp;" and "&amp;DOLLAR(gift_extender,0)&amp;" to "&amp;DOLLAR(extended_BR,0)</f>
        <v>Your basic rate limit has been increased by £0 and £0 to £37,700</v>
      </c>
      <c r="D63" s="2616"/>
      <c r="E63" s="2616"/>
      <c r="F63" s="2616"/>
      <c r="G63" s="2616"/>
      <c r="H63" s="2616"/>
      <c r="I63" s="2616"/>
      <c r="J63" s="2616"/>
      <c r="K63" s="8"/>
      <c r="L63">
        <f>IF(AND('Status (c3a)'!E21=1,ppr_extender&gt;0,gift_extender&gt;0),1,IF(AND('Status (c3a)'!E21=3,ppr_extender&gt;0,gift_extender&gt;0),1,0))</f>
        <v>0</v>
      </c>
    </row>
    <row r="64" spans="1:12" x14ac:dyDescent="0.25">
      <c r="A64" s="519"/>
      <c r="C64" s="2616" t="s">
        <v>6638</v>
      </c>
      <c r="D64" s="2616"/>
      <c r="E64" s="2616"/>
      <c r="F64" s="2616"/>
      <c r="G64" s="2616"/>
      <c r="H64" s="2616"/>
      <c r="I64" s="2616"/>
      <c r="J64" s="2616"/>
      <c r="K64" s="8"/>
      <c r="L64">
        <f>IF(AND('Status (c3a)'!E21=1,ppr_extender&gt;0,gift_extender&gt;0),1,IF(AND('Status (c3a)'!E21=3,ppr_extender&gt;0,gift_extender&gt;0),1,0))</f>
        <v>0</v>
      </c>
    </row>
    <row r="65" spans="1:18" x14ac:dyDescent="0.25">
      <c r="A65" s="519" t="s">
        <v>6606</v>
      </c>
      <c r="B65" s="158"/>
      <c r="C65" s="2616" t="str">
        <f>"Your basic rate limit has been increased by "&amp;DOLLAR(ppr_extender,0)&amp;" to "&amp;DOLLAR(extended_BR,0)&amp;" for pension payments."</f>
        <v>Your basic rate limit has been increased by £0 to £37,700 for pension payments.</v>
      </c>
      <c r="D65" s="2616"/>
      <c r="E65" s="2616"/>
      <c r="F65" s="2616"/>
      <c r="G65" s="2616"/>
      <c r="H65" s="2616"/>
      <c r="I65" s="2616"/>
      <c r="J65" s="2616"/>
      <c r="K65" s="8"/>
      <c r="L65">
        <f>IF(AND('Status (c3a)'!E21=1,ppr_extender&gt;0,gift_extender=0),1,IF(AND('Status (c3a)'!E21=3,ppr_extender&gt;0,gift_extender=0),1,0))</f>
        <v>0</v>
      </c>
    </row>
    <row r="66" spans="1:18" x14ac:dyDescent="0.25">
      <c r="A66" s="519"/>
      <c r="B66" s="158"/>
      <c r="C66" s="2616" t="s">
        <v>6639</v>
      </c>
      <c r="D66" s="2616"/>
      <c r="E66" s="2616"/>
      <c r="F66" s="2616"/>
      <c r="G66" s="2616"/>
      <c r="H66" s="2616"/>
      <c r="I66" s="2616"/>
      <c r="J66" s="2616"/>
      <c r="K66" s="8"/>
      <c r="L66">
        <f>IF(AND('Status (c3a)'!E21=1,ppr_extender&gt;0,gift_extender=0),1,IF(AND('Status (c3a)'!E21=3,ppr_extender&gt;0,gift_extender=0),1,0))</f>
        <v>0</v>
      </c>
      <c r="R66" s="478"/>
    </row>
    <row r="67" spans="1:18" x14ac:dyDescent="0.25">
      <c r="A67" s="519" t="s">
        <v>6606</v>
      </c>
      <c r="B67" s="158"/>
      <c r="C67" s="2616" t="str">
        <f>"Your basic rate limit has been increased by "&amp;DOLLAR(gift_extender,0)&amp;" to "&amp;DOLLAR(extended_BR,0)&amp;" for Gift Aid payments."</f>
        <v>Your basic rate limit has been increased by £0 to £37,700 for Gift Aid payments.</v>
      </c>
      <c r="D67" s="2616"/>
      <c r="E67" s="2616"/>
      <c r="F67" s="2616"/>
      <c r="G67" s="2616"/>
      <c r="H67" s="2616"/>
      <c r="I67" s="2616"/>
      <c r="J67" s="2616"/>
      <c r="K67" s="8"/>
      <c r="L67">
        <f>IF(AND('Status (c3a)'!E21=1,ppr_extender=0,gift_extender&gt;0),1,IF(AND('Status (c3a)'!E21=3,ppr_extender=0,gift_extender&gt;0),1,0))</f>
        <v>0</v>
      </c>
      <c r="R67" s="478"/>
    </row>
    <row r="68" spans="1:18" x14ac:dyDescent="0.25">
      <c r="A68" s="2037"/>
      <c r="B68" s="158"/>
      <c r="C68" s="2616" t="s">
        <v>4614</v>
      </c>
      <c r="D68" s="2616"/>
      <c r="E68" s="2616"/>
      <c r="F68" s="2616"/>
      <c r="G68" s="2616"/>
      <c r="H68" s="2616"/>
      <c r="I68" s="2616"/>
      <c r="J68" s="2616"/>
      <c r="K68" s="8"/>
      <c r="L68">
        <f>IF(AND('Status (c3a)'!E21=1,ppr_extender=0,gift_extender&gt;0),1,IF(AND('Status (c3a)'!E21=3,ppr_extender=0,gift_extender&gt;0),1,0))</f>
        <v>0</v>
      </c>
      <c r="R68" s="478"/>
    </row>
    <row r="69" spans="1:18" x14ac:dyDescent="0.25">
      <c r="A69" s="2036" t="s">
        <v>4944</v>
      </c>
      <c r="C69" s="2616" t="str">
        <f>"Your pension payments of "&amp;DOLLAR(ppr_extender,0)&amp;" and Gift Aid contributions of "&amp;DOLLAR(gift_extender,0)&amp;" have increased your basic rate limits."</f>
        <v>Your pension payments of £0 and Gift Aid contributions of £0 have increased your basic rate limits.</v>
      </c>
      <c r="D69" s="2616"/>
      <c r="E69" s="2616"/>
      <c r="F69" s="2616"/>
      <c r="G69" s="2616"/>
      <c r="H69" s="2616"/>
      <c r="I69" s="2616"/>
      <c r="J69" s="2616"/>
      <c r="K69" s="8"/>
      <c r="L69" s="178">
        <f>IF(AND('Status (c3a)'!E21=2,ppr_extender&gt;0,gift_extender&gt;0),1,0)</f>
        <v>0</v>
      </c>
      <c r="R69" s="478"/>
    </row>
    <row r="70" spans="1:18" x14ac:dyDescent="0.25">
      <c r="A70" s="519"/>
      <c r="B70" s="158"/>
      <c r="C70" s="2616" t="s">
        <v>6640</v>
      </c>
      <c r="D70" s="2616"/>
      <c r="E70" s="2616"/>
      <c r="F70" s="2616"/>
      <c r="G70" s="2616"/>
      <c r="H70" s="2616"/>
      <c r="I70" s="2616"/>
      <c r="J70" s="2616"/>
      <c r="K70" s="8"/>
      <c r="L70" s="178">
        <f>IF(AND('Status (c3a)'!E21=2,ppr_extender&gt;0,gift_extender&gt;0),1,0)</f>
        <v>0</v>
      </c>
    </row>
    <row r="71" spans="1:18" x14ac:dyDescent="0.25">
      <c r="A71" s="519" t="s">
        <v>6606</v>
      </c>
      <c r="B71" s="158"/>
      <c r="C71" s="2616" t="str">
        <f>"Your pension payments of "&amp;DOLLAR(ppr_extender,0)&amp;" have increased your basic rate limits."</f>
        <v>Your pension payments of £0 have increased your basic rate limits.</v>
      </c>
      <c r="D71" s="2616"/>
      <c r="E71" s="2616"/>
      <c r="F71" s="2616"/>
      <c r="G71" s="2616"/>
      <c r="H71" s="2616"/>
      <c r="I71" s="2616"/>
      <c r="J71" s="2616"/>
      <c r="K71" s="8"/>
      <c r="L71" s="178">
        <f>IF(AND('Status (c3a)'!E21=2,ppr_extender&gt;0,gift_extender=0),1,0)</f>
        <v>0</v>
      </c>
    </row>
    <row r="72" spans="1:18" x14ac:dyDescent="0.25">
      <c r="A72" s="519"/>
      <c r="B72" s="158"/>
      <c r="C72" s="2616" t="s">
        <v>6640</v>
      </c>
      <c r="D72" s="2616"/>
      <c r="E72" s="2616"/>
      <c r="F72" s="2616"/>
      <c r="G72" s="2616"/>
      <c r="H72" s="2616"/>
      <c r="I72" s="2616"/>
      <c r="J72" s="2616"/>
      <c r="K72" s="8"/>
      <c r="L72" s="178">
        <f>IF(AND('Status (c3a)'!E21=2,ppr_extender&gt;0,gift_extender=0),1,0)</f>
        <v>0</v>
      </c>
    </row>
    <row r="73" spans="1:18" x14ac:dyDescent="0.25">
      <c r="A73" s="519" t="s">
        <v>6606</v>
      </c>
      <c r="B73" s="158"/>
      <c r="C73" s="2616" t="str">
        <f>"Your gift aid contributions of "&amp;DOLLAR(gift_extender,0)&amp;" have increased your basic rate limits."</f>
        <v>Your gift aid contributions of £0 have increased your basic rate limits.</v>
      </c>
      <c r="D73" s="2616"/>
      <c r="E73" s="2616"/>
      <c r="F73" s="2616"/>
      <c r="G73" s="2616"/>
      <c r="H73" s="2616"/>
      <c r="I73" s="2616"/>
      <c r="J73" s="2616"/>
      <c r="K73" s="8"/>
      <c r="L73" s="178">
        <f>IF(AND('Status (c3a)'!E21=2,ppr_extender=0,gift_extender&gt;0),1,0)</f>
        <v>0</v>
      </c>
    </row>
    <row r="74" spans="1:18" x14ac:dyDescent="0.25">
      <c r="A74" s="2037"/>
      <c r="B74" s="158"/>
      <c r="C74" s="2616" t="s">
        <v>6640</v>
      </c>
      <c r="D74" s="2616"/>
      <c r="E74" s="2616"/>
      <c r="F74" s="2616"/>
      <c r="G74" s="2616"/>
      <c r="H74" s="2616"/>
      <c r="I74" s="2616"/>
      <c r="J74" s="2616"/>
      <c r="K74" s="8"/>
      <c r="L74" s="178">
        <f>IF(AND('Status (c3a)'!E21=2,ppr_extender=0,gift_extender&gt;0),1,0)</f>
        <v>0</v>
      </c>
    </row>
    <row r="75" spans="1:18" x14ac:dyDescent="0.25">
      <c r="A75" s="2408" t="s">
        <v>1953</v>
      </c>
      <c r="B75" s="158"/>
      <c r="C75" s="2642" t="str">
        <f>"Your pension payments of "&amp;DOLLAR(ppr_claim,0)&amp;" have been restricted to"</f>
        <v>Your pension payments of £0 have been restricted to</v>
      </c>
      <c r="D75" s="2642"/>
      <c r="E75" s="2642"/>
      <c r="F75" s="2642"/>
      <c r="G75" s="2642"/>
      <c r="H75" s="2410"/>
      <c r="I75" s="2410"/>
      <c r="J75" s="2410"/>
      <c r="K75" s="406"/>
      <c r="L75" s="2404">
        <f>IF(ppr_claim&gt;ppr_extender,1,0)</f>
        <v>0</v>
      </c>
    </row>
    <row r="76" spans="1:18" x14ac:dyDescent="0.25">
      <c r="A76" s="2409"/>
      <c r="B76" s="158"/>
      <c r="C76" s="2642" t="str">
        <f>"the greater of the basic amount ("&amp;DOLLAR(min_relevant_earns,0)&amp;") and your relevant earnings."</f>
        <v>the greater of the basic amount (£3,600) and your relevant earnings.</v>
      </c>
      <c r="D76" s="2642"/>
      <c r="E76" s="2642"/>
      <c r="F76" s="2642"/>
      <c r="G76" s="2642"/>
      <c r="H76" s="2410"/>
      <c r="I76" s="2410"/>
      <c r="J76" s="2410"/>
      <c r="K76" s="406"/>
      <c r="L76" s="2404">
        <f>IF(ppr_claim&gt;ppr_extender,1,0)</f>
        <v>0</v>
      </c>
    </row>
    <row r="77" spans="1:18" x14ac:dyDescent="0.25">
      <c r="A77" s="2035" t="s">
        <v>2137</v>
      </c>
      <c r="C77" s="178"/>
      <c r="D77" s="178"/>
      <c r="G77" s="26"/>
      <c r="I77" s="155"/>
      <c r="J77" s="8"/>
      <c r="L77">
        <v>1</v>
      </c>
    </row>
    <row r="78" spans="1:18" x14ac:dyDescent="0.25">
      <c r="A78" s="2036" t="s">
        <v>6641</v>
      </c>
      <c r="C78" s="2615" t="s">
        <v>6642</v>
      </c>
      <c r="D78" s="2615"/>
      <c r="E78" s="2615"/>
      <c r="F78" s="2615"/>
      <c r="G78" s="2615"/>
      <c r="I78" s="816"/>
      <c r="J78" s="82"/>
      <c r="L78">
        <f>IF(AND(box_NRD1= FALSE,Residency_Status_in_UK=1,(taxable_pay_SSR+taxable_pay_BR+taxable_pay_SIR+taxable_pay_HR+taxable_pay_SAR+taxable_pay_AHR)&gt;0),1,0)</f>
        <v>0</v>
      </c>
    </row>
    <row r="79" spans="1:18" x14ac:dyDescent="0.25">
      <c r="A79" s="519" t="s">
        <v>6606</v>
      </c>
      <c r="C79" s="2615" t="s">
        <v>6643</v>
      </c>
      <c r="D79" s="2615"/>
      <c r="E79" s="2615"/>
      <c r="F79" s="2615"/>
      <c r="G79" s="2615"/>
      <c r="I79" s="816"/>
      <c r="J79" s="82"/>
      <c r="L79">
        <f>IF(AND('Status (c3a)'!E21=2,(taxable_pay_SSR+taxable_pay_BR+taxable_pay_SIR+taxable_pay_HR+taxable_pay_SAR+taxable_pay_AHR)&gt;0),1,0)</f>
        <v>0</v>
      </c>
    </row>
    <row r="80" spans="1:18" x14ac:dyDescent="0.25">
      <c r="A80" s="519" t="s">
        <v>6606</v>
      </c>
      <c r="C80" s="9"/>
      <c r="D80" s="2615" t="s">
        <v>4615</v>
      </c>
      <c r="E80" s="2615"/>
      <c r="F80" s="2615"/>
      <c r="G80" s="2615"/>
      <c r="I80" s="816"/>
      <c r="J80" s="82"/>
      <c r="L80">
        <f>IF(AND('Status (c3a)'!E21=3,(taxable_pay_SSR+taxable_pay_BR+taxable_pay_SIR+taxable_pay_HR+taxable_pay_SAR+taxable_pay_AHR)&gt;0),1,0)</f>
        <v>0</v>
      </c>
    </row>
    <row r="81" spans="1:15" x14ac:dyDescent="0.25">
      <c r="A81" s="2037" t="s">
        <v>6606</v>
      </c>
      <c r="C81" s="2615" t="s">
        <v>6644</v>
      </c>
      <c r="D81" s="2615"/>
      <c r="E81" s="2615"/>
      <c r="F81" s="2615"/>
      <c r="G81" s="2615"/>
      <c r="I81" s="816"/>
      <c r="J81" s="82"/>
      <c r="L81">
        <f>IF(AND(box_NRD1,(taxable_pay_SSR+taxable_pay_BR+taxable_pay_SIR+taxable_pay_HR+taxable_pay_SAR+taxable_pay_AHR)&gt;0),1,0)</f>
        <v>0</v>
      </c>
    </row>
    <row r="82" spans="1:15" x14ac:dyDescent="0.25">
      <c r="A82" s="2035" t="s">
        <v>4960</v>
      </c>
      <c r="C82" s="178"/>
      <c r="D82" s="178"/>
      <c r="F82" s="2615" t="s">
        <v>6645</v>
      </c>
      <c r="G82" s="2615"/>
      <c r="H82" s="154">
        <f>taxable_pay_SSR</f>
        <v>0</v>
      </c>
      <c r="I82" s="816" t="str">
        <f>"x "&amp;SSR_rate*100&amp;"% ="</f>
        <v>x 19% =</v>
      </c>
      <c r="J82" s="82">
        <f>tax_on_pay_SSR</f>
        <v>0</v>
      </c>
      <c r="L82">
        <f>IF(AND('Status (c3a)'!E21=2,(taxable_pay_SSR+taxable_pay_BR+taxable_pay_SIR+taxable_pay_HR+taxable_pay_SAR+taxable_pay_AHR)&gt;0),1,0)</f>
        <v>0</v>
      </c>
    </row>
    <row r="83" spans="1:15" x14ac:dyDescent="0.25">
      <c r="A83" s="2036" t="s">
        <v>1954</v>
      </c>
      <c r="C83" s="178"/>
      <c r="D83" s="178"/>
      <c r="F83" s="2615" t="s">
        <v>4616</v>
      </c>
      <c r="G83" s="2615"/>
      <c r="H83" s="154">
        <f>taxable_pay_BR</f>
        <v>0</v>
      </c>
      <c r="I83" s="816" t="str">
        <f>"x "&amp;BR_rate*100&amp;"% ="</f>
        <v>x 20% =</v>
      </c>
      <c r="J83" s="82">
        <f>tax_on_pay_BR</f>
        <v>0</v>
      </c>
      <c r="L83">
        <f>IF(AND('Status (c3a)'!E21=1,(taxable_pay_BR+taxable_pay_HR+taxable_pay_AHR)&gt;0),1,0)</f>
        <v>0</v>
      </c>
    </row>
    <row r="84" spans="1:15" x14ac:dyDescent="0.25">
      <c r="A84" s="519" t="s">
        <v>6606</v>
      </c>
      <c r="C84" s="178"/>
      <c r="D84" s="178"/>
      <c r="F84" s="2615" t="s">
        <v>4616</v>
      </c>
      <c r="G84" s="2615"/>
      <c r="H84" s="154">
        <f>taxable_pay_BR</f>
        <v>0</v>
      </c>
      <c r="I84" s="816" t="str">
        <f>"x "&amp;SBR_rate*100&amp;"% ="</f>
        <v>x 20% =</v>
      </c>
      <c r="J84" s="82">
        <f>tax_on_pay_BR</f>
        <v>0</v>
      </c>
      <c r="L84">
        <f>IF(AND('Status (c3a)'!E21=2,(taxable_pay_BR+taxable_pay_HR+taxable_pay_SAR+taxable_pay_AHR)&gt;0),1,0)</f>
        <v>0</v>
      </c>
    </row>
    <row r="85" spans="1:15" x14ac:dyDescent="0.25">
      <c r="A85" s="519" t="s">
        <v>6606</v>
      </c>
      <c r="C85" s="178"/>
      <c r="D85" s="178"/>
      <c r="F85" s="2615" t="s">
        <v>4616</v>
      </c>
      <c r="G85" s="2615"/>
      <c r="H85" s="154">
        <f>taxable_pay_BR</f>
        <v>0</v>
      </c>
      <c r="I85" s="816" t="str">
        <f>"x "&amp;WBR_rate*100&amp;"% ="</f>
        <v>x 20% =</v>
      </c>
      <c r="J85" s="82">
        <f>tax_on_pay_BR</f>
        <v>0</v>
      </c>
      <c r="L85">
        <f>IF(AND('Status (c3a)'!E21=3,(taxable_pay_BR+taxable_pay_HR+taxable_pay_AHR)&gt;0),1,0)</f>
        <v>0</v>
      </c>
    </row>
    <row r="86" spans="1:15" x14ac:dyDescent="0.25">
      <c r="A86" s="2035" t="s">
        <v>4981</v>
      </c>
      <c r="C86" s="178"/>
      <c r="D86" s="178"/>
      <c r="F86" s="2615" t="s">
        <v>6646</v>
      </c>
      <c r="G86" s="2615"/>
      <c r="H86" s="154">
        <f>taxable_pay_SIR</f>
        <v>0</v>
      </c>
      <c r="I86" s="816" t="s">
        <v>6647</v>
      </c>
      <c r="J86" s="82">
        <f>tax_on_pay_SIR</f>
        <v>0</v>
      </c>
      <c r="L86">
        <f>IF(AND('Status (c3a)'!E21=2,(taxable_pay_SIR+taxable_pay_HR+taxable_pay_SAR+taxable_pay_AHR)&gt;0),1,0)</f>
        <v>0</v>
      </c>
    </row>
    <row r="87" spans="1:15" x14ac:dyDescent="0.25">
      <c r="A87" s="2036" t="s">
        <v>4992</v>
      </c>
      <c r="C87" s="178"/>
      <c r="D87" s="178"/>
      <c r="F87" s="2615" t="s">
        <v>6648</v>
      </c>
      <c r="G87" s="2615"/>
      <c r="H87" s="154">
        <f>taxable_pay_HR</f>
        <v>0</v>
      </c>
      <c r="I87" s="816" t="str">
        <f>"x "&amp;HR_rate*100&amp;"% ="</f>
        <v>x 40% =</v>
      </c>
      <c r="J87" s="82">
        <f>tax_on_pay_HR</f>
        <v>0</v>
      </c>
      <c r="L87">
        <f>IF(AND('Status (c3a)'!E21=1,taxable_pay_HR+taxable_pay_AHR&gt;0),1,0)</f>
        <v>0</v>
      </c>
    </row>
    <row r="88" spans="1:15" x14ac:dyDescent="0.25">
      <c r="A88" s="519" t="s">
        <v>6606</v>
      </c>
      <c r="C88" s="178"/>
      <c r="D88" s="178"/>
      <c r="F88" s="2615" t="s">
        <v>6648</v>
      </c>
      <c r="G88" s="2615"/>
      <c r="H88" s="154">
        <f>taxable_pay_HR</f>
        <v>0</v>
      </c>
      <c r="I88" s="816" t="str">
        <f>"x "&amp;SHR_rate*100&amp;"% ="</f>
        <v>x 42% =</v>
      </c>
      <c r="J88" s="82">
        <f>tax_on_pay_HR</f>
        <v>0</v>
      </c>
      <c r="L88">
        <f>IF(AND('Status (c3a)'!E21=2,taxable_pay_HR+taxable_pay_SAR+taxable_pay_AHR&gt;0),1,0)</f>
        <v>0</v>
      </c>
    </row>
    <row r="89" spans="1:15" x14ac:dyDescent="0.25">
      <c r="A89" s="519" t="s">
        <v>6606</v>
      </c>
      <c r="C89" s="178"/>
      <c r="D89" s="178"/>
      <c r="F89" s="2615" t="s">
        <v>6648</v>
      </c>
      <c r="G89" s="2615"/>
      <c r="H89" s="154">
        <f>taxable_pay_HR</f>
        <v>0</v>
      </c>
      <c r="I89" s="816" t="str">
        <f>"x "&amp;WHR_rate*100&amp;"% ="</f>
        <v>x 40% =</v>
      </c>
      <c r="J89" s="82">
        <f>tax_on_pay_HR</f>
        <v>0</v>
      </c>
      <c r="L89">
        <f>IF(AND('Status (c3a)'!E21=3,taxable_pay_HR+taxable_pay_AHR&gt;0),1,0)</f>
        <v>0</v>
      </c>
    </row>
    <row r="90" spans="1:15" x14ac:dyDescent="0.25">
      <c r="A90" s="2036" t="s">
        <v>5002</v>
      </c>
      <c r="C90" s="178"/>
      <c r="D90" s="178"/>
      <c r="F90" s="9"/>
      <c r="G90" s="9" t="s">
        <v>6649</v>
      </c>
      <c r="H90" s="154">
        <f>taxable_pay_SAR</f>
        <v>0</v>
      </c>
      <c r="I90" s="816" t="str">
        <f>"x "&amp;SAR_rate*100&amp;"% ="</f>
        <v>x 45% =</v>
      </c>
      <c r="J90" s="82">
        <f>tax_on_pay_SAR</f>
        <v>0</v>
      </c>
      <c r="L90">
        <f>IF(AND('Status (c3a)'!E21=2,taxable_pay_SAR+taxable_pay_AHR&gt;0),1,0)</f>
        <v>0</v>
      </c>
      <c r="O90" s="178"/>
    </row>
    <row r="91" spans="1:15" x14ac:dyDescent="0.25">
      <c r="A91" s="2036" t="s">
        <v>5012</v>
      </c>
      <c r="C91" s="178"/>
      <c r="D91" s="178"/>
      <c r="F91" s="2615" t="s">
        <v>6650</v>
      </c>
      <c r="G91" s="2615"/>
      <c r="H91" s="154">
        <f>taxable_pay_AHR</f>
        <v>0</v>
      </c>
      <c r="I91" s="816" t="str">
        <f>"x "&amp;AHR_rate*100&amp;"% ="</f>
        <v>x 45% =</v>
      </c>
      <c r="J91" s="82">
        <f>tax_on_pay_AHR</f>
        <v>0</v>
      </c>
      <c r="L91">
        <f>IF(AND('Status (c3a)'!E21=1,taxable_pay_AHR&gt;0),1,0)</f>
        <v>0</v>
      </c>
      <c r="O91" s="178"/>
    </row>
    <row r="92" spans="1:15" x14ac:dyDescent="0.25">
      <c r="A92" s="519" t="s">
        <v>6606</v>
      </c>
      <c r="C92" s="178"/>
      <c r="D92" s="178"/>
      <c r="F92" s="2615" t="s">
        <v>6651</v>
      </c>
      <c r="G92" s="2615"/>
      <c r="H92" s="154">
        <f>taxable_pay_AHR</f>
        <v>0</v>
      </c>
      <c r="I92" s="816" t="str">
        <f>"x "&amp;SAHR_rate*100&amp;"% ="</f>
        <v>x 48% =</v>
      </c>
      <c r="J92" s="82">
        <f>tax_on_pay_AHR</f>
        <v>0</v>
      </c>
      <c r="L92">
        <f>IF(AND('Status (c3a)'!E21=2,taxable_pay_AHR&gt;0),1,0)</f>
        <v>0</v>
      </c>
      <c r="O92" s="178"/>
    </row>
    <row r="93" spans="1:15" x14ac:dyDescent="0.25">
      <c r="A93" s="2037" t="s">
        <v>6606</v>
      </c>
      <c r="C93" s="178"/>
      <c r="D93" s="178"/>
      <c r="F93" s="2615" t="s">
        <v>6650</v>
      </c>
      <c r="G93" s="2615"/>
      <c r="H93" s="154">
        <f>taxable_pay_AHR</f>
        <v>0</v>
      </c>
      <c r="I93" s="816" t="str">
        <f>"x "&amp;WAHR_rate*100&amp;"% ="</f>
        <v>x 45% =</v>
      </c>
      <c r="J93" s="82">
        <f>tax_on_pay_AHR</f>
        <v>0</v>
      </c>
      <c r="L93">
        <f>IF(AND('Status (c3a)'!E21=3,taxable_pay_AHR&gt;0),1,0)</f>
        <v>0</v>
      </c>
      <c r="O93" s="178"/>
    </row>
    <row r="94" spans="1:15" x14ac:dyDescent="0.25">
      <c r="A94" s="2035" t="s">
        <v>6652</v>
      </c>
      <c r="C94" s="178"/>
      <c r="D94" s="178"/>
      <c r="G94"/>
      <c r="H94" s="84"/>
      <c r="I94" s="9"/>
      <c r="J94" s="85"/>
      <c r="L94">
        <f>IF(AND((taxable_pay_BR+taxable_pay_HR+taxable_pay_AHR)&gt;0,OR(income_Savings_taxfree_BR+Income_Savings_taxfree_HR+taxable_int_SR+taxable_int_BR+taxable_int_HR+taxable_int_AHR&gt;0,divs_taxfree_BR+taxable_divs_BR+divs_taxfree_HR+taxable_divs_HR+taxable_divs_AHR+divs_taxfree_AHR&gt;0,taxable_redundancy_SSR+taxable_redundancy_BR+taxable_redundancy_SIR+taxable_redundancy_HR+taxable_redundancy_SAR+taxable_redundancy_AHR&gt;0,income_CEG_taxfree_BR+taxable_CEG_SR+taxable_CEG_BR+income_CEG_taxfree_BR+taxable_CEG_HR+income_CEG_taxfree_HR+taxable_CEG_AHR&gt;0)),1,0)</f>
        <v>0</v>
      </c>
    </row>
    <row r="95" spans="1:15" x14ac:dyDescent="0.25">
      <c r="A95" s="2036" t="s">
        <v>6653</v>
      </c>
      <c r="C95" s="2615" t="s">
        <v>4618</v>
      </c>
      <c r="D95" s="2615"/>
      <c r="E95" s="2615"/>
      <c r="F95" s="2615"/>
      <c r="G95" s="2615"/>
      <c r="I95" s="816"/>
      <c r="J95" s="82"/>
      <c r="L95">
        <f>IF(income_Savings_taxfree_BR+Income_Savings_taxfree_HR+taxable_int_SR+taxable_int_BR+taxable_int_HR+taxable_int_AHR&gt;0,1,0)</f>
        <v>0</v>
      </c>
    </row>
    <row r="96" spans="1:15" x14ac:dyDescent="0.25">
      <c r="A96" s="2035" t="s">
        <v>5022</v>
      </c>
      <c r="C96" s="178"/>
      <c r="D96" s="178"/>
      <c r="F96" s="2615" t="s">
        <v>4619</v>
      </c>
      <c r="G96" s="2615"/>
      <c r="H96" s="154">
        <f>taxable_int_SR</f>
        <v>0</v>
      </c>
      <c r="I96" s="816" t="s">
        <v>4620</v>
      </c>
      <c r="J96" s="82">
        <f>tax_on_int_SR</f>
        <v>0</v>
      </c>
      <c r="L96">
        <f>IF(OR(income_Savings_taxfree_BR&gt;0,taxable_int_SR+taxable_int_BR+taxable_int_HR+taxable_int_AHR&gt;0),1,0)</f>
        <v>0</v>
      </c>
    </row>
    <row r="97" spans="1:13" x14ac:dyDescent="0.25">
      <c r="A97" s="2036" t="s">
        <v>5032</v>
      </c>
      <c r="C97" s="178"/>
      <c r="D97" s="178"/>
      <c r="F97" s="2615" t="s">
        <v>4621</v>
      </c>
      <c r="G97" s="2615"/>
      <c r="H97" s="967">
        <f>income_Savings_taxfree_BR</f>
        <v>0</v>
      </c>
      <c r="I97" s="816" t="s">
        <v>4620</v>
      </c>
      <c r="J97" s="82">
        <v>0</v>
      </c>
      <c r="L97">
        <f>IF(income_Savings_taxfree_BR&gt;0,1,0)</f>
        <v>0</v>
      </c>
    </row>
    <row r="98" spans="1:13" x14ac:dyDescent="0.25">
      <c r="A98" s="2035" t="s">
        <v>5041</v>
      </c>
      <c r="C98" s="178"/>
      <c r="D98" s="178"/>
      <c r="F98" s="2615" t="s">
        <v>4616</v>
      </c>
      <c r="G98" s="2615"/>
      <c r="H98" s="154">
        <f>taxable_int_BR</f>
        <v>0</v>
      </c>
      <c r="I98" s="816" t="s">
        <v>4617</v>
      </c>
      <c r="J98" s="82">
        <f>tax_on_int_BR</f>
        <v>0</v>
      </c>
      <c r="L98">
        <f>IF(taxable_int_BR+taxable_int_HR+taxable_int_AHR&gt;0,1,0)</f>
        <v>0</v>
      </c>
    </row>
    <row r="99" spans="1:13" x14ac:dyDescent="0.25">
      <c r="A99" s="2036" t="s">
        <v>6654</v>
      </c>
      <c r="C99" s="178"/>
      <c r="D99" s="178"/>
      <c r="F99" s="2615" t="s">
        <v>4622</v>
      </c>
      <c r="G99" s="2615"/>
      <c r="H99" s="967">
        <f>Income_Savings_taxfree_HR</f>
        <v>0</v>
      </c>
      <c r="I99" s="816" t="s">
        <v>4620</v>
      </c>
      <c r="J99" s="82">
        <v>0</v>
      </c>
      <c r="L99">
        <f>IF(Income_Savings_taxfree_HR&gt;0,1,0)</f>
        <v>0</v>
      </c>
    </row>
    <row r="100" spans="1:13" x14ac:dyDescent="0.25">
      <c r="A100" s="2035" t="s">
        <v>1957</v>
      </c>
      <c r="C100" s="178"/>
      <c r="D100" s="178"/>
      <c r="F100" s="2615" t="s">
        <v>6648</v>
      </c>
      <c r="G100" s="2615"/>
      <c r="H100" s="154">
        <f>taxable_int_HR</f>
        <v>0</v>
      </c>
      <c r="I100" s="816" t="s">
        <v>6655</v>
      </c>
      <c r="J100" s="82">
        <f>tax_on_int_HR</f>
        <v>0</v>
      </c>
      <c r="L100">
        <f>IF(taxable_int_HR+taxable_int_AHR&gt;0,1,0)</f>
        <v>0</v>
      </c>
    </row>
    <row r="101" spans="1:13" x14ac:dyDescent="0.25">
      <c r="A101" s="2035" t="s">
        <v>5063</v>
      </c>
      <c r="C101" s="178"/>
      <c r="D101" s="178"/>
      <c r="F101" s="2615" t="s">
        <v>6650</v>
      </c>
      <c r="G101" s="2615"/>
      <c r="H101" s="154">
        <f>taxable_int_AHR</f>
        <v>0</v>
      </c>
      <c r="I101" s="816" t="s">
        <v>6656</v>
      </c>
      <c r="J101" s="82">
        <f>tax_on_int_AHR</f>
        <v>0</v>
      </c>
      <c r="L101">
        <f>IF(taxable_int_AHR&gt;0,1,0)</f>
        <v>0</v>
      </c>
    </row>
    <row r="102" spans="1:13" x14ac:dyDescent="0.25">
      <c r="A102" s="2035" t="s">
        <v>6657</v>
      </c>
      <c r="C102" s="178"/>
      <c r="D102" s="178"/>
      <c r="G102" s="9"/>
      <c r="H102" s="84"/>
      <c r="I102" s="9"/>
      <c r="J102" s="85"/>
      <c r="L102">
        <f>IF(AND(income_Savings_taxfree_BR+taxable_int_SR+taxable_int_BR+income_Savings_taxfree_BR+taxable_int_HR+Income_Savings_taxfree_HR+taxable_int_AHR&gt;0,divs_taxfree_BR+taxable_divs_BR+taxable_divs_HR+divs_taxfree_HR+taxable_divs_AHR+divs_taxfree_AHR&gt;0),1,0)</f>
        <v>0</v>
      </c>
    </row>
    <row r="103" spans="1:13" x14ac:dyDescent="0.25">
      <c r="A103" s="2035" t="s">
        <v>6658</v>
      </c>
      <c r="C103" s="178"/>
      <c r="D103" s="178"/>
      <c r="F103" s="2615" t="s">
        <v>6659</v>
      </c>
      <c r="G103" s="2615"/>
      <c r="I103" s="816"/>
      <c r="J103" s="85"/>
      <c r="L103">
        <f>IF(OR(taxable_divs_BR+taxable_divs_HR+taxable_divs_AHR&gt;0,divs_taxfree_BR+divs_taxfree_HR+divs_taxfree_AHR&gt;0),1,0)</f>
        <v>0</v>
      </c>
    </row>
    <row r="104" spans="1:13" x14ac:dyDescent="0.25">
      <c r="A104" s="2035" t="s">
        <v>5071</v>
      </c>
      <c r="C104" s="178"/>
      <c r="D104" s="178"/>
      <c r="F104" s="2615" t="s">
        <v>4621</v>
      </c>
      <c r="G104" s="2615"/>
      <c r="H104" s="967">
        <f>divs_taxfree_BR</f>
        <v>0</v>
      </c>
      <c r="I104" s="816" t="s">
        <v>4620</v>
      </c>
      <c r="J104" s="82">
        <v>0</v>
      </c>
      <c r="L104">
        <f>IF(divs_taxfree_BR&gt;0,1,0)</f>
        <v>0</v>
      </c>
    </row>
    <row r="105" spans="1:13" x14ac:dyDescent="0.25">
      <c r="A105" s="2035" t="s">
        <v>5077</v>
      </c>
      <c r="C105" s="178"/>
      <c r="D105" s="178"/>
      <c r="F105" s="2615" t="s">
        <v>4616</v>
      </c>
      <c r="G105" s="2615"/>
      <c r="H105" s="154">
        <f>taxable_divs_BR</f>
        <v>0</v>
      </c>
      <c r="I105" s="9" t="str">
        <f>"x "&amp;DivBR_rate*100&amp;"% ="</f>
        <v>x 8.75% =</v>
      </c>
      <c r="J105" s="82">
        <f>tax_on_divs_BR</f>
        <v>0</v>
      </c>
      <c r="L105">
        <f>IF((taxable_divs_BR+taxable_divs_HR+taxable_divs_AHR)&gt;0,1,0)</f>
        <v>0</v>
      </c>
    </row>
    <row r="106" spans="1:13" x14ac:dyDescent="0.25">
      <c r="A106" s="2035" t="s">
        <v>5088</v>
      </c>
      <c r="C106" s="178"/>
      <c r="D106" s="178"/>
      <c r="F106" s="2615" t="s">
        <v>4622</v>
      </c>
      <c r="G106" s="2615"/>
      <c r="H106" s="967">
        <f>divs_taxfree_HR</f>
        <v>0</v>
      </c>
      <c r="I106" s="816" t="s">
        <v>4620</v>
      </c>
      <c r="J106" s="82">
        <v>0</v>
      </c>
      <c r="L106">
        <f>IF(divs_taxfree_HR&gt;0,1,0)</f>
        <v>0</v>
      </c>
    </row>
    <row r="107" spans="1:13" x14ac:dyDescent="0.25">
      <c r="A107" s="2035" t="s">
        <v>5092</v>
      </c>
      <c r="C107" s="178"/>
      <c r="D107" s="178"/>
      <c r="F107" s="2615" t="s">
        <v>6648</v>
      </c>
      <c r="G107" s="2615"/>
      <c r="H107" s="154">
        <f>taxable_divs_HR</f>
        <v>0</v>
      </c>
      <c r="I107" s="9" t="str">
        <f>"x "&amp;DivHR_rate*100&amp;"% ="</f>
        <v>x 33.75% =</v>
      </c>
      <c r="J107" s="82">
        <f>tax_on_divs_HR</f>
        <v>0</v>
      </c>
      <c r="L107">
        <f>IF((taxable_divs_HR+taxable_divs_AHR)&gt;0,1,0)</f>
        <v>0</v>
      </c>
      <c r="M107" s="178"/>
    </row>
    <row r="108" spans="1:13" x14ac:dyDescent="0.25">
      <c r="A108" s="2035" t="s">
        <v>5103</v>
      </c>
      <c r="C108" s="178"/>
      <c r="D108" s="178"/>
      <c r="F108" s="2615" t="s">
        <v>6660</v>
      </c>
      <c r="G108" s="2615"/>
      <c r="H108" s="967">
        <f>divs_taxfree_AHR</f>
        <v>0</v>
      </c>
      <c r="I108" s="816" t="s">
        <v>4620</v>
      </c>
      <c r="J108" s="82">
        <v>0</v>
      </c>
      <c r="L108">
        <f>IF(divs_taxfree_AHR&gt;0,1,0)</f>
        <v>0</v>
      </c>
      <c r="M108" s="178"/>
    </row>
    <row r="109" spans="1:13" x14ac:dyDescent="0.25">
      <c r="A109" s="2035" t="s">
        <v>5109</v>
      </c>
      <c r="C109" s="178"/>
      <c r="D109" s="178"/>
      <c r="F109" s="2615" t="s">
        <v>6650</v>
      </c>
      <c r="G109" s="2615"/>
      <c r="H109" s="154">
        <f>taxable_divs_AHR</f>
        <v>0</v>
      </c>
      <c r="I109" s="9" t="str">
        <f>"x "&amp;DivAR_rate*100&amp;"% ="</f>
        <v>x 39.35% =</v>
      </c>
      <c r="J109" s="82">
        <f>tax_on_divs_AHR</f>
        <v>0</v>
      </c>
      <c r="L109">
        <f>IF(taxable_divs_AHR&gt;0,1,0)</f>
        <v>0</v>
      </c>
      <c r="M109" s="178"/>
    </row>
    <row r="110" spans="1:13" x14ac:dyDescent="0.25">
      <c r="A110" s="2035" t="s">
        <v>6661</v>
      </c>
      <c r="C110" s="178"/>
      <c r="D110" s="178"/>
      <c r="G110"/>
      <c r="H110" s="84"/>
      <c r="I110" s="9"/>
      <c r="J110" s="85"/>
      <c r="L110">
        <f>IF(AND(divs_taxfree_BR+taxable_divs_BR+taxable_divs_HR+divs_taxfree_HR+taxable_divs_AHR+divs_taxfree_AHR&gt;0,taxable_redundancy_SSR+taxable_redundancy_BR+taxable_redundancy_SIR+taxable_redundancy_HR+taxable_redundancy_SAR+taxable_redundancy_AHR&gt;0),1,0)</f>
        <v>0</v>
      </c>
    </row>
    <row r="111" spans="1:13" x14ac:dyDescent="0.25">
      <c r="A111" s="2036" t="s">
        <v>6662</v>
      </c>
      <c r="C111" s="2615" t="s">
        <v>6663</v>
      </c>
      <c r="D111" s="2615"/>
      <c r="E111" s="2615"/>
      <c r="F111" s="2615"/>
      <c r="G111" s="2615"/>
      <c r="I111" s="816"/>
      <c r="J111" s="82"/>
      <c r="L111">
        <f>IF(AND(box_NRD1= FALSE,Residency_Status_in_UK=1,(taxable_redundancy_SSR+taxable_redundancy_BR+taxable_redundancy_SIR+taxable_redundancy_HR+taxable_redundancy_SAR+taxable_redundancy_AHR)&gt;0),1,0)</f>
        <v>0</v>
      </c>
    </row>
    <row r="112" spans="1:13" x14ac:dyDescent="0.25">
      <c r="A112" s="519" t="s">
        <v>6606</v>
      </c>
      <c r="C112" s="2615" t="s">
        <v>6664</v>
      </c>
      <c r="D112" s="2615"/>
      <c r="E112" s="2615"/>
      <c r="F112" s="2615"/>
      <c r="G112" s="2615"/>
      <c r="I112" s="816"/>
      <c r="J112" s="82"/>
      <c r="L112">
        <f>IF(AND('Status (c3a)'!E21=2,(taxable_redundancy_SSR+taxable_redundancy_BR+taxable_redundancy_SIR+taxable_redundancy_HR+taxable_redundancy_SAR+taxable_redundancy_AHR)&gt;0),1,0)</f>
        <v>0</v>
      </c>
    </row>
    <row r="113" spans="1:12" x14ac:dyDescent="0.25">
      <c r="A113" s="519" t="s">
        <v>6606</v>
      </c>
      <c r="C113" s="9"/>
      <c r="D113" s="2615" t="s">
        <v>6665</v>
      </c>
      <c r="E113" s="2615"/>
      <c r="F113" s="2615"/>
      <c r="G113" s="2615"/>
      <c r="I113" s="816"/>
      <c r="J113" s="82"/>
      <c r="L113">
        <f>IF(AND('Status (c3a)'!E21=3,(taxable_redundancy_SSR+taxable_redundancy_BR+taxable_redundancy_SIR+taxable_redundancy_HR+taxable_redundancy_SAR+taxable_redundancy_AHR)&gt;0),1,0)</f>
        <v>0</v>
      </c>
    </row>
    <row r="114" spans="1:12" x14ac:dyDescent="0.25">
      <c r="A114" s="2037" t="s">
        <v>6606</v>
      </c>
      <c r="C114" s="2615" t="s">
        <v>6619</v>
      </c>
      <c r="D114" s="2615"/>
      <c r="E114" s="2615"/>
      <c r="F114" s="2615"/>
      <c r="G114" s="2615"/>
      <c r="I114" s="816"/>
      <c r="J114" s="82"/>
      <c r="L114">
        <f>IF(AND(box_NRD1,(taxable_redundancy_SSR+taxable_redundancy_BR+taxable_redundancy_SIR+taxable_redundancy_HR+taxable_redundancy_SAR+taxable_redundancy_AHR)&gt;0),1,0)</f>
        <v>0</v>
      </c>
    </row>
    <row r="115" spans="1:12" x14ac:dyDescent="0.25">
      <c r="A115" s="2035" t="s">
        <v>5120</v>
      </c>
      <c r="C115" s="178"/>
      <c r="D115" s="178"/>
      <c r="F115" s="2615" t="s">
        <v>6645</v>
      </c>
      <c r="G115" s="2615"/>
      <c r="H115" s="154">
        <f>taxable_redundancy_SSR</f>
        <v>0</v>
      </c>
      <c r="I115" s="816" t="str">
        <f>"x "&amp;SSR_rate*100&amp;"% ="</f>
        <v>x 19% =</v>
      </c>
      <c r="J115" s="82">
        <f>tax_on_redundancy_SSR</f>
        <v>0</v>
      </c>
      <c r="L115">
        <f>IF(AND('Status (c3a)'!E21=2,(taxable_redundancy_SSR+taxable_redundancy_BR+taxable_redundancy_SIR+taxable_redundancy_HR+taxable_redundancy_SAR+taxable_redundancy_AHR)&gt;0),1,0)</f>
        <v>0</v>
      </c>
    </row>
    <row r="116" spans="1:12" x14ac:dyDescent="0.25">
      <c r="A116" s="2036" t="s">
        <v>5131</v>
      </c>
      <c r="C116" s="178"/>
      <c r="D116" s="178"/>
      <c r="F116" s="2615" t="s">
        <v>4616</v>
      </c>
      <c r="G116" s="2615"/>
      <c r="H116" s="154">
        <f>taxable_redundancy_BR</f>
        <v>0</v>
      </c>
      <c r="I116" s="816" t="str">
        <f>"x "&amp;BR_rate*100&amp;"% ="</f>
        <v>x 20% =</v>
      </c>
      <c r="J116" s="82">
        <f>tax_on_redundancy_BR</f>
        <v>0</v>
      </c>
      <c r="L116">
        <f>IF(AND('Status (c3a)'!E21=1,(taxable_redundancy_BR+taxable_redundancy_HR+taxable_redundancy_AHR)&gt;0),1,0)</f>
        <v>0</v>
      </c>
    </row>
    <row r="117" spans="1:12" x14ac:dyDescent="0.25">
      <c r="A117" s="519" t="s">
        <v>6606</v>
      </c>
      <c r="C117" s="178"/>
      <c r="D117" s="178"/>
      <c r="F117" s="2615" t="s">
        <v>4616</v>
      </c>
      <c r="G117" s="2615"/>
      <c r="H117" s="154">
        <f>taxable_redundancy_BR</f>
        <v>0</v>
      </c>
      <c r="I117" s="816" t="str">
        <f>"x "&amp;SBR_rate*100&amp;"% ="</f>
        <v>x 20% =</v>
      </c>
      <c r="J117" s="82">
        <f>tax_on_redundancy_BR</f>
        <v>0</v>
      </c>
      <c r="L117">
        <f>IF(AND('Status (c3a)'!E21=2,(taxable_redundancy_BR+taxable_redundancy_HR+taxable_redundancy_SAR+taxable_redundancy_AHR)&gt;0),1,0)</f>
        <v>0</v>
      </c>
    </row>
    <row r="118" spans="1:12" x14ac:dyDescent="0.25">
      <c r="A118" s="519" t="s">
        <v>6606</v>
      </c>
      <c r="C118" s="178"/>
      <c r="D118" s="178"/>
      <c r="F118" s="2615" t="s">
        <v>4616</v>
      </c>
      <c r="G118" s="2615"/>
      <c r="H118" s="154">
        <f>taxable_redundancy_BR</f>
        <v>0</v>
      </c>
      <c r="I118" s="816" t="str">
        <f>"x "&amp;WBR_rate*100&amp;"% ="</f>
        <v>x 20% =</v>
      </c>
      <c r="J118" s="82">
        <f>tax_on_redundancy_BR</f>
        <v>0</v>
      </c>
      <c r="L118">
        <f>IF(AND('Status (c3a)'!E21=3,(taxable_redundancy_BR+taxable_redundancy_HR+taxable_redundancy_AHR)&gt;0),1,0)</f>
        <v>0</v>
      </c>
    </row>
    <row r="119" spans="1:12" x14ac:dyDescent="0.25">
      <c r="A119" s="2035" t="s">
        <v>5142</v>
      </c>
      <c r="C119" s="178"/>
      <c r="D119" s="178"/>
      <c r="F119" s="2615" t="s">
        <v>6646</v>
      </c>
      <c r="G119" s="2615"/>
      <c r="H119" s="154">
        <f>taxable_redundancy_SIR</f>
        <v>0</v>
      </c>
      <c r="I119" s="816" t="s">
        <v>6647</v>
      </c>
      <c r="J119" s="82">
        <f>tax_on_redundancy_SIR</f>
        <v>0</v>
      </c>
      <c r="L119">
        <f>IF(AND('Status (c3a)'!E21=2,(taxable_redundancy_SIR+taxable_redundancy_HR+taxable_redundancy_SAR+taxable_redundancy_AHR)&gt;0),1,0)</f>
        <v>0</v>
      </c>
    </row>
    <row r="120" spans="1:12" x14ac:dyDescent="0.25">
      <c r="A120" s="2036" t="s">
        <v>5153</v>
      </c>
      <c r="C120" s="178"/>
      <c r="D120" s="178"/>
      <c r="F120" s="2615" t="s">
        <v>6648</v>
      </c>
      <c r="G120" s="2615"/>
      <c r="H120" s="154">
        <f>taxable_redundancy_HR</f>
        <v>0</v>
      </c>
      <c r="I120" s="816" t="str">
        <f>"x "&amp;HR_rate*100&amp;"% ="</f>
        <v>x 40% =</v>
      </c>
      <c r="J120" s="82">
        <f>tax_on_redundancy_HR</f>
        <v>0</v>
      </c>
      <c r="L120">
        <f>IF(AND('Status (c3a)'!E21=1,taxable_redundancy_HR+taxable_redundancy_AHR&gt;0),1,0)</f>
        <v>0</v>
      </c>
    </row>
    <row r="121" spans="1:12" x14ac:dyDescent="0.25">
      <c r="A121" s="519" t="s">
        <v>6606</v>
      </c>
      <c r="C121" s="178"/>
      <c r="D121" s="178"/>
      <c r="F121" s="2615" t="s">
        <v>6648</v>
      </c>
      <c r="G121" s="2615"/>
      <c r="H121" s="154">
        <f>taxable_redundancy_HR</f>
        <v>0</v>
      </c>
      <c r="I121" s="816" t="str">
        <f>"x "&amp;SHR_rate*100&amp;"% ="</f>
        <v>x 42% =</v>
      </c>
      <c r="J121" s="82">
        <f>tax_on_redundancy_HR</f>
        <v>0</v>
      </c>
      <c r="L121">
        <f>IF(AND('Status (c3a)'!E21=2,taxable_redundancy_HR+taxable_redundancy_SAR+taxable_redundancy_AHR&gt;0),1,0)</f>
        <v>0</v>
      </c>
    </row>
    <row r="122" spans="1:12" x14ac:dyDescent="0.25">
      <c r="A122" s="519" t="s">
        <v>6606</v>
      </c>
      <c r="C122" s="178"/>
      <c r="D122" s="178"/>
      <c r="F122" s="2615" t="s">
        <v>6648</v>
      </c>
      <c r="G122" s="2615"/>
      <c r="H122" s="154">
        <f>taxable_redundancy_HR</f>
        <v>0</v>
      </c>
      <c r="I122" s="816" t="str">
        <f>"x "&amp;WHR_rate*100&amp;"% ="</f>
        <v>x 40% =</v>
      </c>
      <c r="J122" s="82">
        <f>tax_on_redundancy_HR</f>
        <v>0</v>
      </c>
      <c r="L122">
        <f>IF(AND('Status (c3a)'!E21=3,taxable_redundancy_HR+taxable_redundancy_AHR&gt;0),1,0)</f>
        <v>0</v>
      </c>
    </row>
    <row r="123" spans="1:12" x14ac:dyDescent="0.25">
      <c r="A123" s="2035" t="s">
        <v>5164</v>
      </c>
      <c r="C123" s="178"/>
      <c r="D123" s="178"/>
      <c r="F123" s="9"/>
      <c r="G123" s="9" t="s">
        <v>6649</v>
      </c>
      <c r="H123" s="154">
        <f>taxable_redundancy_SAR</f>
        <v>0</v>
      </c>
      <c r="I123" s="816" t="str">
        <f>"x "&amp;SAR_rate*100&amp;"% ="</f>
        <v>x 45% =</v>
      </c>
      <c r="J123" s="82">
        <f>tax_on_redundancy_SAR</f>
        <v>0</v>
      </c>
      <c r="L123">
        <f>IF(AND('Status (c3a)'!E21=2,taxable_redundancy_SAR+taxable_redundancy_AHR&gt;0),1,0)</f>
        <v>0</v>
      </c>
    </row>
    <row r="124" spans="1:12" x14ac:dyDescent="0.25">
      <c r="A124" s="2036" t="s">
        <v>5174</v>
      </c>
      <c r="C124" s="178"/>
      <c r="D124" s="178"/>
      <c r="F124" s="2615" t="s">
        <v>6650</v>
      </c>
      <c r="G124" s="2615"/>
      <c r="H124" s="154">
        <f>taxable_redundancy_AHR</f>
        <v>0</v>
      </c>
      <c r="I124" s="816" t="str">
        <f>"x "&amp;AHR_rate*100&amp;"% ="</f>
        <v>x 45% =</v>
      </c>
      <c r="J124" s="82">
        <f>tax_on_redundancy_AHR</f>
        <v>0</v>
      </c>
      <c r="L124">
        <f>IF(AND('Status (c3a)'!E21=1,taxable_redundancy_AHR&gt;0),1,0)</f>
        <v>0</v>
      </c>
    </row>
    <row r="125" spans="1:12" x14ac:dyDescent="0.25">
      <c r="A125" s="519" t="s">
        <v>6606</v>
      </c>
      <c r="C125" s="178"/>
      <c r="D125" s="178"/>
      <c r="F125" s="2615" t="s">
        <v>6651</v>
      </c>
      <c r="G125" s="2615"/>
      <c r="H125" s="154">
        <f>taxable_redundancy_AHR</f>
        <v>0</v>
      </c>
      <c r="I125" s="816" t="str">
        <f>"x "&amp;SAHR_rate*100&amp;"% ="</f>
        <v>x 48% =</v>
      </c>
      <c r="J125" s="82">
        <f>tax_on_redundancy_AHR</f>
        <v>0</v>
      </c>
      <c r="L125">
        <f>IF(AND('Status (c3a)'!E21=2,taxable_redundancy_AHR&gt;0),1,0)</f>
        <v>0</v>
      </c>
    </row>
    <row r="126" spans="1:12" x14ac:dyDescent="0.25">
      <c r="A126" s="2037" t="s">
        <v>6606</v>
      </c>
      <c r="C126" s="178"/>
      <c r="D126" s="178"/>
      <c r="F126" s="2615" t="s">
        <v>6650</v>
      </c>
      <c r="G126" s="2615"/>
      <c r="H126" s="154">
        <f>taxable_redundancy_AHR</f>
        <v>0</v>
      </c>
      <c r="I126" s="816" t="str">
        <f>"x "&amp;WAHR_rate*100&amp;"% ="</f>
        <v>x 45% =</v>
      </c>
      <c r="J126" s="82">
        <f>tax_on_redundancy_AHR</f>
        <v>0</v>
      </c>
      <c r="L126">
        <f>IF(AND('Status (c3a)'!E21=3,taxable_redundancy_AHR&gt;0),1,0)</f>
        <v>0</v>
      </c>
    </row>
    <row r="127" spans="1:12" x14ac:dyDescent="0.25">
      <c r="A127" s="2035" t="s">
        <v>6666</v>
      </c>
      <c r="C127" s="178"/>
      <c r="D127" s="178"/>
      <c r="G127"/>
      <c r="H127" s="84"/>
      <c r="I127" s="9"/>
      <c r="J127" s="85"/>
      <c r="L127">
        <f>IF(AND(taxable_redundancy_SSR+taxable_redundancy_BR+taxable_redundancy_SIR+taxable_redundancy_HR+taxable_redundancy_SAR+taxable_redundancy_AHR+taxable_redundancy_AHR&gt;0,income_CEG_taxfree_BR+taxable_CEG_SR+taxable_CEG_BR+income_CEG_taxfree_BR+taxable_CEG_HR+income_CEG_taxfree_HR+taxable_CEG_AHR&gt;0),1,0)</f>
        <v>0</v>
      </c>
    </row>
    <row r="128" spans="1:12" x14ac:dyDescent="0.25">
      <c r="A128" s="2036" t="s">
        <v>6667</v>
      </c>
      <c r="C128" s="2615" t="s">
        <v>6618</v>
      </c>
      <c r="D128" s="2615"/>
      <c r="E128" s="2615"/>
      <c r="F128" s="2615"/>
      <c r="G128" s="2615"/>
      <c r="I128" s="816"/>
      <c r="J128" s="82"/>
      <c r="L128">
        <f>IF(income_CEG_taxfree_BR+income_CEG_taxfree_HR+taxable_CEG_SR+taxable_CEG_BR+taxable_CEG_HR+taxable_CEG_AHR&gt;0,1,0)</f>
        <v>0</v>
      </c>
    </row>
    <row r="129" spans="1:12" x14ac:dyDescent="0.25">
      <c r="A129" s="2035" t="s">
        <v>5182</v>
      </c>
      <c r="C129" s="178"/>
      <c r="D129" s="178"/>
      <c r="F129" s="2615" t="s">
        <v>4619</v>
      </c>
      <c r="G129" s="2615"/>
      <c r="H129" s="154">
        <f>taxable_CEG_SR</f>
        <v>0</v>
      </c>
      <c r="I129" s="816" t="s">
        <v>4620</v>
      </c>
      <c r="J129" s="82">
        <f>tax_on_CEG_SR</f>
        <v>0</v>
      </c>
      <c r="L129">
        <f>IF(OR(income_CEG_taxfree_BR&gt;0,taxable_CEG_SR+taxable_CEG_BR+taxable_CEG_HR+taxable_CEG_AHR&gt;0),1,0)</f>
        <v>0</v>
      </c>
    </row>
    <row r="130" spans="1:12" x14ac:dyDescent="0.25">
      <c r="A130" s="2036" t="s">
        <v>5190</v>
      </c>
      <c r="C130" s="178"/>
      <c r="D130" s="178"/>
      <c r="F130" s="2615" t="s">
        <v>4621</v>
      </c>
      <c r="G130" s="2615"/>
      <c r="H130" s="967">
        <f>income_CEG_taxfree_BR</f>
        <v>0</v>
      </c>
      <c r="I130" s="816" t="s">
        <v>4620</v>
      </c>
      <c r="J130" s="82">
        <v>0</v>
      </c>
      <c r="L130">
        <f>IF(income_CEG_taxfree_BR&gt;0,1,0)</f>
        <v>0</v>
      </c>
    </row>
    <row r="131" spans="1:12" x14ac:dyDescent="0.25">
      <c r="A131" s="2035" t="s">
        <v>5195</v>
      </c>
      <c r="C131" s="178"/>
      <c r="D131" s="178"/>
      <c r="F131" s="2615" t="s">
        <v>4616</v>
      </c>
      <c r="G131" s="2615"/>
      <c r="H131" s="154">
        <f>taxable_CEG_BR</f>
        <v>0</v>
      </c>
      <c r="I131" s="816" t="s">
        <v>4617</v>
      </c>
      <c r="J131" s="82">
        <f>tax_on_CEG_BR</f>
        <v>0</v>
      </c>
      <c r="L131">
        <f>IF(taxable_CEG_BR+taxable_CEG_HR+taxable_CEG_AHR&gt;0,1,0)</f>
        <v>0</v>
      </c>
    </row>
    <row r="132" spans="1:12" x14ac:dyDescent="0.25">
      <c r="A132" s="2036" t="s">
        <v>5204</v>
      </c>
      <c r="C132" s="178"/>
      <c r="D132" s="178"/>
      <c r="F132" s="2615" t="s">
        <v>4622</v>
      </c>
      <c r="G132" s="2615"/>
      <c r="H132" s="967">
        <f>income_CEG_taxfree_HR</f>
        <v>0</v>
      </c>
      <c r="I132" s="816" t="s">
        <v>4620</v>
      </c>
      <c r="J132" s="82">
        <v>0</v>
      </c>
      <c r="L132">
        <f>IF(income_CEG_taxfree_HR&gt;0,1,0)</f>
        <v>0</v>
      </c>
    </row>
    <row r="133" spans="1:12" x14ac:dyDescent="0.25">
      <c r="A133" s="2035" t="s">
        <v>5209</v>
      </c>
      <c r="C133" s="178"/>
      <c r="D133" s="178"/>
      <c r="F133" s="2615" t="s">
        <v>6648</v>
      </c>
      <c r="G133" s="2615"/>
      <c r="H133" s="154">
        <f>taxable_CEG_HR</f>
        <v>0</v>
      </c>
      <c r="I133" s="816" t="s">
        <v>6655</v>
      </c>
      <c r="J133" s="82">
        <f>tax_on_CEG_HR</f>
        <v>0</v>
      </c>
      <c r="L133">
        <f>IF(taxable_CEG_HR+taxable_CEG_AHR&gt;0,1,0)</f>
        <v>0</v>
      </c>
    </row>
    <row r="134" spans="1:12" x14ac:dyDescent="0.25">
      <c r="A134" s="2035" t="s">
        <v>5219</v>
      </c>
      <c r="C134" s="178"/>
      <c r="D134" s="178"/>
      <c r="F134" s="2615" t="s">
        <v>6650</v>
      </c>
      <c r="G134" s="2615"/>
      <c r="H134" s="154">
        <f>taxable_CEG_AHR</f>
        <v>0</v>
      </c>
      <c r="I134" s="816" t="s">
        <v>6656</v>
      </c>
      <c r="J134" s="82">
        <f>tax_on_CEG_AHR</f>
        <v>0</v>
      </c>
      <c r="L134">
        <f>IF(taxable_CEG_AHR&gt;0,1,0)</f>
        <v>0</v>
      </c>
    </row>
    <row r="135" spans="1:12" x14ac:dyDescent="0.25">
      <c r="A135" s="2035" t="s">
        <v>1960</v>
      </c>
      <c r="C135" s="2612" t="s">
        <v>4623</v>
      </c>
      <c r="D135" s="2612"/>
      <c r="E135" s="2612"/>
      <c r="F135" s="2612"/>
      <c r="H135" s="2041">
        <f>taxable_income</f>
        <v>0</v>
      </c>
      <c r="J135" s="85"/>
      <c r="L135">
        <v>1</v>
      </c>
    </row>
    <row r="136" spans="1:12" x14ac:dyDescent="0.25">
      <c r="A136" s="2035" t="s">
        <v>6668</v>
      </c>
      <c r="C136" s="178"/>
      <c r="D136" s="178"/>
      <c r="J136" s="85"/>
      <c r="L136">
        <v>1</v>
      </c>
    </row>
    <row r="137" spans="1:12" ht="13" x14ac:dyDescent="0.3">
      <c r="A137" s="2036" t="s">
        <v>5232</v>
      </c>
      <c r="C137" s="2609" t="s">
        <v>6669</v>
      </c>
      <c r="D137" s="2610"/>
      <c r="E137" s="2610"/>
      <c r="F137" s="2610"/>
      <c r="G137" s="2610"/>
      <c r="H137" s="2042"/>
      <c r="I137" s="2043"/>
      <c r="J137" s="2044">
        <f>pre_TP_tax_charged</f>
        <v>0</v>
      </c>
      <c r="L137" s="178">
        <f>IF(AND(transition_profit&gt;0,tax_charged=Total_tax_NIC_due),1,0)</f>
        <v>0</v>
      </c>
    </row>
    <row r="138" spans="1:12" ht="13" x14ac:dyDescent="0.3">
      <c r="A138" s="519" t="s">
        <v>6606</v>
      </c>
      <c r="C138" s="2609" t="s">
        <v>4624</v>
      </c>
      <c r="D138" s="2610"/>
      <c r="E138" s="2610"/>
      <c r="F138" s="2610"/>
      <c r="G138" s="2610"/>
      <c r="H138" s="2043"/>
      <c r="I138" s="2043"/>
      <c r="J138" s="2044">
        <f>pre_TP_tax_charged</f>
        <v>0</v>
      </c>
      <c r="L138" s="178">
        <f>IF(AND(transition_profit&gt;0,tax_charged&lt;&gt;Total_tax_NIC_due),1,0)</f>
        <v>0</v>
      </c>
    </row>
    <row r="139" spans="1:12" ht="13" x14ac:dyDescent="0.3">
      <c r="A139" s="2045" t="s">
        <v>6670</v>
      </c>
      <c r="C139" s="2"/>
      <c r="D139" s="2"/>
      <c r="E139" s="2"/>
      <c r="F139" s="2"/>
      <c r="G139" s="2"/>
      <c r="J139" s="82"/>
      <c r="L139" s="178">
        <f>IF(transition_profit&gt;0,1,0)</f>
        <v>0</v>
      </c>
    </row>
    <row r="140" spans="1:12" x14ac:dyDescent="0.25">
      <c r="A140" s="2037" t="s">
        <v>5237</v>
      </c>
      <c r="C140" s="1" t="s">
        <v>6604</v>
      </c>
      <c r="D140" s="2638" t="str">
        <f>"Tax due on transition profit of "&amp;DOLLAR(transition_profit,0)&amp;""</f>
        <v>Tax due on transition profit of £0</v>
      </c>
      <c r="E140" s="2638"/>
      <c r="F140" s="2638"/>
      <c r="G140" s="2638"/>
      <c r="J140" s="82">
        <f>tax_on_transition_profit</f>
        <v>0</v>
      </c>
      <c r="L140" s="178">
        <f>IF(transition_profit&gt;0,1,0)</f>
        <v>0</v>
      </c>
    </row>
    <row r="141" spans="1:12" ht="13" x14ac:dyDescent="0.3">
      <c r="A141" s="2037" t="s">
        <v>6671</v>
      </c>
      <c r="C141" s="2"/>
      <c r="D141" s="2"/>
      <c r="E141" s="2"/>
      <c r="F141" s="2"/>
      <c r="G141" s="2"/>
      <c r="J141" s="82"/>
      <c r="L141" s="178">
        <f>IF(transition_profit&gt;0,1,0)</f>
        <v>0</v>
      </c>
    </row>
    <row r="142" spans="1:12" ht="13" x14ac:dyDescent="0.3">
      <c r="A142" s="2036" t="s">
        <v>5247</v>
      </c>
      <c r="C142" s="2609" t="s">
        <v>6669</v>
      </c>
      <c r="D142" s="2610"/>
      <c r="E142" s="2610"/>
      <c r="F142" s="2610"/>
      <c r="G142" s="2610"/>
      <c r="H142" s="2042"/>
      <c r="I142" s="2043"/>
      <c r="J142" s="2044">
        <f>tax_charged</f>
        <v>0</v>
      </c>
      <c r="L142" s="178">
        <f>IF(tax_charged=Total_tax_NIC_due,1,0)</f>
        <v>1</v>
      </c>
    </row>
    <row r="143" spans="1:12" ht="13" x14ac:dyDescent="0.3">
      <c r="A143" s="2037" t="s">
        <v>6606</v>
      </c>
      <c r="C143" s="2609" t="s">
        <v>4624</v>
      </c>
      <c r="D143" s="2610"/>
      <c r="E143" s="2610"/>
      <c r="F143" s="2610"/>
      <c r="G143" s="2610"/>
      <c r="H143" s="2043"/>
      <c r="I143" s="2043"/>
      <c r="J143" s="2044">
        <f>tax_charged</f>
        <v>0</v>
      </c>
      <c r="L143" s="178">
        <f>IF(tax_charged&lt;&gt;Total_tax_NIC_due,1,0)</f>
        <v>0</v>
      </c>
    </row>
    <row r="144" spans="1:12" x14ac:dyDescent="0.25">
      <c r="A144" s="2037" t="s">
        <v>6672</v>
      </c>
      <c r="C144" s="178"/>
      <c r="D144" s="178"/>
      <c r="J144" s="85"/>
      <c r="L144">
        <v>1</v>
      </c>
    </row>
    <row r="145" spans="1:12" x14ac:dyDescent="0.25">
      <c r="A145" s="2037" t="s">
        <v>5253</v>
      </c>
      <c r="C145" s="1" t="s">
        <v>4607</v>
      </c>
      <c r="D145" s="2638" t="s">
        <v>6673</v>
      </c>
      <c r="E145" s="2638"/>
      <c r="F145" s="2638"/>
      <c r="G145" s="2638"/>
      <c r="J145" s="82">
        <f>deficiency_relief</f>
        <v>0</v>
      </c>
      <c r="L145">
        <f>IF(deficiency_relief&gt;0,1,0)</f>
        <v>0</v>
      </c>
    </row>
    <row r="146" spans="1:12" x14ac:dyDescent="0.25">
      <c r="A146" s="2035" t="s">
        <v>5259</v>
      </c>
      <c r="C146" s="1" t="s">
        <v>4607</v>
      </c>
      <c r="D146" s="2613" t="s">
        <v>6674</v>
      </c>
      <c r="E146" s="2613"/>
      <c r="F146" s="2613"/>
      <c r="G146" s="2613"/>
      <c r="H146" s="2613"/>
      <c r="J146" s="82">
        <f>TSR</f>
        <v>0</v>
      </c>
      <c r="L146">
        <f>IF(TSR&gt;0,1,0)</f>
        <v>0</v>
      </c>
    </row>
    <row r="147" spans="1:12" x14ac:dyDescent="0.25">
      <c r="A147" s="2035" t="s">
        <v>1962</v>
      </c>
      <c r="C147" s="1" t="s">
        <v>4607</v>
      </c>
      <c r="D147" s="2613" t="s">
        <v>6675</v>
      </c>
      <c r="E147" s="2613"/>
      <c r="F147" s="2613"/>
      <c r="G147" s="2613"/>
      <c r="H147" s="2613"/>
      <c r="J147" s="82">
        <f>VCT</f>
        <v>0</v>
      </c>
      <c r="L147">
        <f>IF(VCT&gt;0,1,0)</f>
        <v>0</v>
      </c>
    </row>
    <row r="148" spans="1:12" x14ac:dyDescent="0.25">
      <c r="A148" s="2035" t="s">
        <v>5270</v>
      </c>
      <c r="C148" s="1" t="s">
        <v>4607</v>
      </c>
      <c r="D148" s="2613" t="s">
        <v>6676</v>
      </c>
      <c r="E148" s="2613"/>
      <c r="F148" s="2613"/>
      <c r="G148" s="2613"/>
      <c r="H148" s="2613"/>
      <c r="I148" s="27"/>
      <c r="J148" s="82">
        <f>EIS</f>
        <v>0</v>
      </c>
      <c r="K148" s="26"/>
      <c r="L148">
        <f>IF(EIS&gt;0,1,0)</f>
        <v>0</v>
      </c>
    </row>
    <row r="149" spans="1:12" x14ac:dyDescent="0.25">
      <c r="A149" s="2035" t="s">
        <v>5276</v>
      </c>
      <c r="C149" s="1" t="s">
        <v>4607</v>
      </c>
      <c r="D149" s="2613" t="s">
        <v>6677</v>
      </c>
      <c r="E149" s="2613"/>
      <c r="F149" s="2613"/>
      <c r="G149" s="2613"/>
      <c r="I149" s="27"/>
      <c r="J149" s="82">
        <f>SEIS_Relief</f>
        <v>0</v>
      </c>
      <c r="K149" s="26"/>
      <c r="L149">
        <f>IF(SEIS_Relief&gt;0,1,0)</f>
        <v>0</v>
      </c>
    </row>
    <row r="150" spans="1:12" x14ac:dyDescent="0.25">
      <c r="A150" s="2035" t="s">
        <v>5282</v>
      </c>
      <c r="C150" s="1" t="s">
        <v>4607</v>
      </c>
      <c r="D150" s="2613" t="s">
        <v>2487</v>
      </c>
      <c r="E150" s="2613"/>
      <c r="F150" s="2613"/>
      <c r="J150" s="82">
        <f>CITR</f>
        <v>0</v>
      </c>
      <c r="K150" s="8"/>
      <c r="L150">
        <f>IF(CITR&gt;0,1,0)</f>
        <v>0</v>
      </c>
    </row>
    <row r="151" spans="1:12" x14ac:dyDescent="0.25">
      <c r="A151" s="2035" t="s">
        <v>5292</v>
      </c>
      <c r="C151" s="1" t="s">
        <v>4607</v>
      </c>
      <c r="D151" s="2613" t="s">
        <v>6678</v>
      </c>
      <c r="E151" s="2613"/>
      <c r="F151" s="2613"/>
      <c r="G151" s="2613"/>
      <c r="I151" s="27"/>
      <c r="J151" s="82">
        <f>Alimony</f>
        <v>0</v>
      </c>
      <c r="L151">
        <f>IF(Alimony&gt;0,1,0)</f>
        <v>0</v>
      </c>
    </row>
    <row r="152" spans="1:12" x14ac:dyDescent="0.25">
      <c r="A152" s="2035" t="s">
        <v>4747</v>
      </c>
      <c r="C152" s="1" t="s">
        <v>4607</v>
      </c>
      <c r="D152" s="2613" t="s">
        <v>6679</v>
      </c>
      <c r="E152" s="2613"/>
      <c r="F152" s="2613"/>
      <c r="G152" s="2613"/>
      <c r="H152" s="154">
        <f>MCA_amount</f>
        <v>0</v>
      </c>
      <c r="I152" s="968" t="s">
        <v>6680</v>
      </c>
      <c r="J152" s="82">
        <f>MCA_relief</f>
        <v>0</v>
      </c>
      <c r="L152">
        <f>IF(MCA_amount&gt;0,1,0)</f>
        <v>0</v>
      </c>
    </row>
    <row r="153" spans="1:12" x14ac:dyDescent="0.25">
      <c r="A153" s="2035" t="s">
        <v>4757</v>
      </c>
      <c r="C153" s="1" t="s">
        <v>4607</v>
      </c>
      <c r="D153" s="2613" t="s">
        <v>6681</v>
      </c>
      <c r="E153" s="2613"/>
      <c r="F153" s="2613"/>
      <c r="G153" s="2613"/>
      <c r="H153" s="154">
        <f>spare_MCA_amount</f>
        <v>0</v>
      </c>
      <c r="I153" s="968" t="s">
        <v>6680</v>
      </c>
      <c r="J153" s="82">
        <f>spare_MCA_relief</f>
        <v>0</v>
      </c>
      <c r="L153">
        <f>IF(spare_MCA_amount&gt;0,1,0)</f>
        <v>0</v>
      </c>
    </row>
    <row r="154" spans="1:12" x14ac:dyDescent="0.25">
      <c r="A154" s="2035" t="s">
        <v>4766</v>
      </c>
      <c r="C154" s="1" t="s">
        <v>4607</v>
      </c>
      <c r="D154" s="2613" t="s">
        <v>717</v>
      </c>
      <c r="E154" s="2613"/>
      <c r="F154" s="2613"/>
      <c r="G154" s="2613"/>
      <c r="H154" s="154">
        <f>AllceIn_TPA</f>
        <v>0</v>
      </c>
      <c r="I154" s="968" t="s">
        <v>4617</v>
      </c>
      <c r="J154" s="82">
        <f>AllceIn_TPA_relief</f>
        <v>0</v>
      </c>
      <c r="L154">
        <f>IF(AllceIn_TPA&gt;0,1,0)</f>
        <v>0</v>
      </c>
    </row>
    <row r="155" spans="1:12" x14ac:dyDescent="0.25">
      <c r="A155" s="2036" t="s">
        <v>4776</v>
      </c>
      <c r="C155" s="1" t="s">
        <v>4607</v>
      </c>
      <c r="D155" s="2613" t="s">
        <v>6682</v>
      </c>
      <c r="E155" s="2613"/>
      <c r="F155" s="2613"/>
      <c r="G155" s="2613"/>
      <c r="H155" s="154">
        <f>Llir_amount</f>
        <v>0</v>
      </c>
      <c r="I155" s="968" t="s">
        <v>4617</v>
      </c>
      <c r="J155" s="82">
        <f>Llir_relief</f>
        <v>0</v>
      </c>
      <c r="L155">
        <f>IF(AND(Llir_amount&gt;0,Llir_amount=Llir_amount_restricted),1,0)</f>
        <v>0</v>
      </c>
    </row>
    <row r="156" spans="1:12" x14ac:dyDescent="0.25">
      <c r="A156" s="2037" t="s">
        <v>6606</v>
      </c>
      <c r="C156" s="1" t="s">
        <v>4607</v>
      </c>
      <c r="D156" s="2613" t="str">
        <f>"Relief for finance costs "&amp;DOLLAR(Llir_amount,0)&amp;" reduced to maximum allowable "</f>
        <v xml:space="preserve">Relief for finance costs £0 reduced to maximum allowable </v>
      </c>
      <c r="E156" s="2613"/>
      <c r="F156" s="2613"/>
      <c r="G156" s="2613"/>
      <c r="H156" s="154">
        <f>Llir_amount_restricted</f>
        <v>0</v>
      </c>
      <c r="I156" s="968" t="s">
        <v>4617</v>
      </c>
      <c r="J156" s="82">
        <f>Llir_relief</f>
        <v>0</v>
      </c>
      <c r="L156">
        <f>IF(AND(Llir_amount&gt;0,Llir_amount&gt;Llir_amount_restricted),1,0)</f>
        <v>0</v>
      </c>
    </row>
    <row r="157" spans="1:12" x14ac:dyDescent="0.25">
      <c r="A157" s="2037" t="s">
        <v>4792</v>
      </c>
      <c r="C157" s="1" t="s">
        <v>4607</v>
      </c>
      <c r="D157" s="2613" t="s">
        <v>6683</v>
      </c>
      <c r="E157" s="2613"/>
      <c r="F157" s="2613"/>
      <c r="G157" s="2613"/>
      <c r="H157" s="154">
        <f>LFI_amount</f>
        <v>0</v>
      </c>
      <c r="I157" s="968" t="s">
        <v>4617</v>
      </c>
      <c r="J157" s="82">
        <f>LFI_relief</f>
        <v>0</v>
      </c>
      <c r="L157">
        <f>IF(LFI_relief&gt;0,1,0)</f>
        <v>0</v>
      </c>
    </row>
    <row r="158" spans="1:12" x14ac:dyDescent="0.25">
      <c r="A158" s="519" t="s">
        <v>4802</v>
      </c>
      <c r="C158" s="1" t="s">
        <v>4607</v>
      </c>
      <c r="D158" s="2613" t="s">
        <v>6684</v>
      </c>
      <c r="E158" s="2613"/>
      <c r="F158" s="2613"/>
      <c r="G158" s="2613"/>
      <c r="H158" s="154"/>
      <c r="I158" s="968"/>
      <c r="J158" s="82">
        <f>rel_tax_acct_for</f>
        <v>0</v>
      </c>
      <c r="L158">
        <f>IF(rel_tax_acct_for&gt;0,1,0)</f>
        <v>0</v>
      </c>
    </row>
    <row r="159" spans="1:12" x14ac:dyDescent="0.25">
      <c r="A159" s="2035" t="s">
        <v>4808</v>
      </c>
      <c r="C159" s="1" t="s">
        <v>4607</v>
      </c>
      <c r="D159" s="2613" t="s">
        <v>6685</v>
      </c>
      <c r="E159" s="2613"/>
      <c r="F159" s="2613"/>
      <c r="G159" s="2613"/>
      <c r="H159" s="154"/>
      <c r="I159" s="968"/>
      <c r="J159" s="82">
        <f>BRD_reduction</f>
        <v>0</v>
      </c>
      <c r="L159">
        <f>IF(BRD_reduction&gt;0,1,0)</f>
        <v>0</v>
      </c>
    </row>
    <row r="160" spans="1:12" x14ac:dyDescent="0.25">
      <c r="A160" s="2036" t="s">
        <v>4819</v>
      </c>
      <c r="C160" s="1" t="s">
        <v>4607</v>
      </c>
      <c r="D160" s="2613" t="s">
        <v>6686</v>
      </c>
      <c r="E160" s="2613"/>
      <c r="F160" s="2613"/>
      <c r="G160" s="2613"/>
      <c r="I160" s="27"/>
      <c r="J160" s="82">
        <f>FTCR</f>
        <v>0</v>
      </c>
      <c r="L160">
        <f>IF(AND(FTCR&gt;0,FTCR=FTCR_restricted),1,0)</f>
        <v>0</v>
      </c>
    </row>
    <row r="161" spans="1:12" x14ac:dyDescent="0.25">
      <c r="A161" s="2037" t="s">
        <v>6606</v>
      </c>
      <c r="C161" s="1" t="s">
        <v>4607</v>
      </c>
      <c r="D161" s="2613" t="str">
        <f>"Foreign Tax Credit Relief "&amp;DOLLAR(FTCR,0)&amp;" reduced to maximum allowable "</f>
        <v xml:space="preserve">Foreign Tax Credit Relief £0 reduced to maximum allowable </v>
      </c>
      <c r="E161" s="2613"/>
      <c r="F161" s="2613"/>
      <c r="G161" s="2613"/>
      <c r="H161" s="2613"/>
      <c r="I161" s="27"/>
      <c r="J161" s="82">
        <f>FTCR_restricted</f>
        <v>0</v>
      </c>
      <c r="L161">
        <f>IF(AND(FTCR&gt;0,FTCR&gt;FTCR_restricted),1,0)</f>
        <v>0</v>
      </c>
    </row>
    <row r="162" spans="1:12" x14ac:dyDescent="0.25">
      <c r="A162" s="2037" t="s">
        <v>4829</v>
      </c>
      <c r="B162" s="969"/>
      <c r="C162" s="1" t="s">
        <v>4607</v>
      </c>
      <c r="D162" s="2616" t="s">
        <v>6687</v>
      </c>
      <c r="E162" s="2616"/>
      <c r="F162" s="2616"/>
      <c r="G162" s="210"/>
      <c r="H162" s="210"/>
      <c r="I162" s="549"/>
      <c r="J162" s="82">
        <f>pens_tax_rel_due</f>
        <v>0</v>
      </c>
      <c r="K162" s="211"/>
      <c r="L162">
        <f>IF(pens_tax_rel_due&gt;0,1,0)</f>
        <v>0</v>
      </c>
    </row>
    <row r="163" spans="1:12" x14ac:dyDescent="0.25">
      <c r="A163" s="2035" t="s">
        <v>4835</v>
      </c>
      <c r="C163" s="1" t="s">
        <v>4607</v>
      </c>
      <c r="D163" s="2613" t="s">
        <v>6688</v>
      </c>
      <c r="E163" s="2613"/>
      <c r="F163" s="2613"/>
      <c r="G163" s="2613"/>
      <c r="I163" s="434"/>
      <c r="J163" s="82">
        <f>relief_on_qual_distn</f>
        <v>0</v>
      </c>
      <c r="K163" s="178"/>
      <c r="L163" s="178">
        <f>IF(relief_on_qual_distn&gt;0,1,0)</f>
        <v>0</v>
      </c>
    </row>
    <row r="164" spans="1:12" ht="13" x14ac:dyDescent="0.3">
      <c r="A164" s="519" t="s">
        <v>4840</v>
      </c>
      <c r="C164" s="2609" t="s">
        <v>4625</v>
      </c>
      <c r="D164" s="2610"/>
      <c r="E164" s="2610"/>
      <c r="F164" s="2610"/>
      <c r="G164" s="2610"/>
      <c r="H164" s="970"/>
      <c r="I164" s="971"/>
      <c r="J164" s="2044">
        <f>IT_after_allces</f>
        <v>0</v>
      </c>
      <c r="L164">
        <f>IF(tax_charged&gt;IT_after_allces,1,0)</f>
        <v>0</v>
      </c>
    </row>
    <row r="165" spans="1:12" ht="13" x14ac:dyDescent="0.3">
      <c r="A165" s="2037" t="s">
        <v>6606</v>
      </c>
      <c r="C165" s="2609" t="s">
        <v>4625</v>
      </c>
      <c r="D165" s="2610"/>
      <c r="E165" s="2610"/>
      <c r="F165" s="2610"/>
      <c r="G165" s="2610"/>
      <c r="H165" s="970"/>
      <c r="I165" s="971"/>
      <c r="J165" s="2044">
        <f>IT_after_allces</f>
        <v>0</v>
      </c>
      <c r="L165">
        <f>IF(AND(tax_charged=IT_after_allces,deficiency_relief+TSR+VCT+EIS+SEIS_Relief+CITR+SITR+Alimony+MCA_relief+spare_MCA_relief+AllceIn_TPA_relief+Llir_amount+LFI_relief+rel_tax_acct_for+pens_tax_rel_due+FTCR+relief_on_qual_distn+BRD_reduction&gt;0),1,0)</f>
        <v>0</v>
      </c>
    </row>
    <row r="166" spans="1:12" ht="13" x14ac:dyDescent="0.3">
      <c r="A166" s="2036" t="s">
        <v>6689</v>
      </c>
      <c r="C166" s="972"/>
      <c r="D166" s="972"/>
      <c r="E166" s="156"/>
      <c r="F166" s="156"/>
      <c r="G166" s="156"/>
      <c r="H166" s="973"/>
      <c r="I166" s="974"/>
      <c r="J166" s="157"/>
      <c r="L166">
        <f>IF(OR(tax_charged&gt;IT_after_allces,deficiency_relief+TSR+VCT+EIS+SEIS_Relief+CITR+SITR+Alimony+MCA_relief+spare_MCA_relief+AllceIn_TPA_relief+notional_CEG+notional_other+FTCR+pens_tax_rel_due+relief_on_qual_distn+BRD_reduction&gt;tax_charged),1,0)</f>
        <v>0</v>
      </c>
    </row>
    <row r="167" spans="1:12" x14ac:dyDescent="0.25">
      <c r="A167" s="2036" t="s">
        <v>4846</v>
      </c>
      <c r="C167" s="1012" t="s">
        <v>6604</v>
      </c>
      <c r="D167" s="2614" t="s">
        <v>6690</v>
      </c>
      <c r="E167" s="2614"/>
      <c r="F167" s="2614"/>
      <c r="G167" s="2614"/>
      <c r="H167" s="154">
        <f>Gift_aid_amount</f>
        <v>0</v>
      </c>
      <c r="I167" s="968" t="s">
        <v>4617</v>
      </c>
      <c r="J167" s="82">
        <f>Gift_aid_tax_due</f>
        <v>0</v>
      </c>
      <c r="L167" s="2377">
        <f>IF(AND(Gift_aid_tax_reduced&gt;0,(CGTax+income_tax_gift_aid)=0),1,0)</f>
        <v>0</v>
      </c>
    </row>
    <row r="168" spans="1:12" x14ac:dyDescent="0.25">
      <c r="A168" s="2037" t="s">
        <v>6606</v>
      </c>
      <c r="B168" s="158"/>
      <c r="C168" s="1012" t="s">
        <v>6604</v>
      </c>
      <c r="D168" s="2614" t="s">
        <v>6690</v>
      </c>
      <c r="E168" s="2614"/>
      <c r="F168" s="2614"/>
      <c r="G168" s="154">
        <f>Gift_aid_amount</f>
        <v>0</v>
      </c>
      <c r="H168" s="22" t="s">
        <v>4617</v>
      </c>
      <c r="I168" s="82">
        <f>Gift_aid_tax_due</f>
        <v>0</v>
      </c>
      <c r="J168" s="85"/>
      <c r="L168" s="2377">
        <f>IF(AND(Gift_aid_tax_reduced&gt;0,(CGTax+income_tax_gift_aid)&lt;&gt;0),1,0)</f>
        <v>0</v>
      </c>
    </row>
    <row r="169" spans="1:12" x14ac:dyDescent="0.25">
      <c r="A169" s="2035" t="s">
        <v>4856</v>
      </c>
      <c r="C169" s="178"/>
      <c r="D169" s="1" t="s">
        <v>4607</v>
      </c>
      <c r="E169" s="2616" t="s">
        <v>4645</v>
      </c>
      <c r="F169" s="2616"/>
      <c r="G169" s="2616"/>
      <c r="H169" s="2616"/>
      <c r="I169" s="82">
        <f>CGTax</f>
        <v>0</v>
      </c>
      <c r="J169" s="85"/>
      <c r="L169" s="370">
        <f>IF(AND(Gift_aid_tax_reduced&gt;0,CGTax&gt;0),1,0)</f>
        <v>0</v>
      </c>
    </row>
    <row r="170" spans="1:12" x14ac:dyDescent="0.25">
      <c r="A170" s="2057" t="s">
        <v>4865</v>
      </c>
      <c r="B170" s="1069"/>
      <c r="C170" s="1073"/>
      <c r="D170" s="1069" t="s">
        <v>4607</v>
      </c>
      <c r="E170" s="2646" t="s">
        <v>6691</v>
      </c>
      <c r="F170" s="2646"/>
      <c r="G170" s="2646"/>
      <c r="H170" s="2646"/>
      <c r="I170" s="1072">
        <v>0</v>
      </c>
      <c r="J170" s="2378"/>
      <c r="K170" s="1073"/>
      <c r="L170" s="2379">
        <v>0</v>
      </c>
    </row>
    <row r="171" spans="1:12" x14ac:dyDescent="0.25">
      <c r="A171" s="2035" t="s">
        <v>4870</v>
      </c>
      <c r="C171" s="178"/>
      <c r="D171" s="1" t="s">
        <v>4607</v>
      </c>
      <c r="E171" s="2613" t="s">
        <v>6692</v>
      </c>
      <c r="F171" s="2613"/>
      <c r="G171" s="2613"/>
      <c r="H171" s="2613"/>
      <c r="I171" s="82">
        <f>income_tax_gift_aid</f>
        <v>0</v>
      </c>
      <c r="J171" s="85"/>
      <c r="K171" s="178"/>
      <c r="L171" s="370">
        <f>IF(AND(Gift_aid_tax_reduced&gt;0,income_tax_gift_aid&lt;&gt;0),1,0)</f>
        <v>0</v>
      </c>
    </row>
    <row r="172" spans="1:12" x14ac:dyDescent="0.25">
      <c r="A172" s="2035" t="s">
        <v>4875</v>
      </c>
      <c r="C172" s="1"/>
      <c r="D172" s="2645" t="s">
        <v>6693</v>
      </c>
      <c r="E172" s="2645"/>
      <c r="F172" s="12"/>
      <c r="H172" s="135"/>
      <c r="J172" s="82">
        <f>Gift_aid_tax_reduced</f>
        <v>0</v>
      </c>
      <c r="L172" s="2377">
        <f>IF(AND(Gift_aid_tax_reduced&gt;0,(CGTax+income_tax_gift_aid)&lt;&gt;0),1,0)</f>
        <v>0</v>
      </c>
    </row>
    <row r="173" spans="1:12" x14ac:dyDescent="0.25">
      <c r="A173" s="2046" t="s">
        <v>4880</v>
      </c>
      <c r="C173" s="1" t="s">
        <v>6604</v>
      </c>
      <c r="D173" s="2613" t="s">
        <v>6694</v>
      </c>
      <c r="E173" s="2613"/>
      <c r="F173" s="2613"/>
      <c r="G173" s="2613"/>
      <c r="H173" s="154"/>
      <c r="I173" s="968"/>
      <c r="J173" s="82">
        <f>BRD_charge</f>
        <v>0</v>
      </c>
      <c r="K173" s="178"/>
      <c r="L173" s="178">
        <f>IF(BRD_charge&gt;0,1,0)</f>
        <v>0</v>
      </c>
    </row>
    <row r="174" spans="1:12" x14ac:dyDescent="0.25">
      <c r="A174" s="2367" t="s">
        <v>9564</v>
      </c>
      <c r="B174" s="1129"/>
      <c r="C174" s="1129" t="s">
        <v>6604</v>
      </c>
      <c r="D174" s="2643" t="s">
        <v>6698</v>
      </c>
      <c r="E174" s="2643"/>
      <c r="F174" s="2366"/>
      <c r="G174" s="2365">
        <f>WFP_amount</f>
        <v>0</v>
      </c>
      <c r="H174" s="1130" t="str">
        <f>"x "&amp;WFP_rate*100&amp;"%"</f>
        <v>x 100%</v>
      </c>
      <c r="I174" s="1131"/>
      <c r="J174" s="1132">
        <f>WFP_charge</f>
        <v>0</v>
      </c>
      <c r="K174" s="1133"/>
      <c r="L174" s="1133">
        <f>IF(AND('Status (c3a)'!E21&lt;&gt;2,WFP_charge&gt;0),1,0)</f>
        <v>0</v>
      </c>
    </row>
    <row r="175" spans="1:12" x14ac:dyDescent="0.25">
      <c r="A175" s="2048" t="s">
        <v>6606</v>
      </c>
      <c r="B175" s="1129"/>
      <c r="C175" s="1129" t="s">
        <v>6604</v>
      </c>
      <c r="D175" s="2644" t="s">
        <v>6699</v>
      </c>
      <c r="E175" s="2644"/>
      <c r="F175" s="2644"/>
      <c r="G175" s="2365">
        <f>WFP_amount</f>
        <v>0</v>
      </c>
      <c r="H175" s="1130" t="str">
        <f>"x "&amp;WFP_rate*100&amp;"%"</f>
        <v>x 100%</v>
      </c>
      <c r="I175" s="1131"/>
      <c r="J175" s="1132">
        <f>WFP_charge</f>
        <v>0</v>
      </c>
      <c r="K175" s="1133"/>
      <c r="L175" s="1133">
        <f>IF(AND('Status (c3a)'!E21=2,WFP_charge&gt;0),1,0)</f>
        <v>0</v>
      </c>
    </row>
    <row r="176" spans="1:12" x14ac:dyDescent="0.25">
      <c r="A176" s="2046" t="s">
        <v>4885</v>
      </c>
      <c r="C176" s="1" t="s">
        <v>6604</v>
      </c>
      <c r="D176" s="2613" t="str">
        <f>"Total pension savings charges ("&amp;DOLLAR(Pension_charges_gross,2)&amp;" minus tax treated as paid "&amp;DOLLAR(Pension_charges_tax_paid,2)&amp;")"</f>
        <v>Total pension savings charges (£0.00 minus tax treated as paid £0.00)</v>
      </c>
      <c r="E176" s="2613"/>
      <c r="F176" s="2613"/>
      <c r="G176" s="2613"/>
      <c r="H176" s="2613"/>
      <c r="J176" s="82">
        <f>Pension_charges</f>
        <v>0</v>
      </c>
      <c r="L176">
        <f>IF(Pension_charges_gross&gt;0,1,0)</f>
        <v>0</v>
      </c>
    </row>
    <row r="177" spans="1:12" x14ac:dyDescent="0.25">
      <c r="A177" s="2046" t="s">
        <v>4901</v>
      </c>
      <c r="C177" s="1" t="s">
        <v>6604</v>
      </c>
      <c r="D177" s="2613" t="s">
        <v>6695</v>
      </c>
      <c r="E177" s="2613"/>
      <c r="F177" s="2613"/>
      <c r="G177" s="2613"/>
      <c r="H177" s="154">
        <f>Pension_lump_sum_amount</f>
        <v>0</v>
      </c>
      <c r="I177" s="11" t="str">
        <f>"x "&amp;Pension_lump_sum_rate*100&amp;"% ="</f>
        <v>x 0% =</v>
      </c>
      <c r="J177" s="82">
        <f>Pension_lump_sum_tax</f>
        <v>0</v>
      </c>
      <c r="L177">
        <f>IF(Pension_lump_sum_amount&gt;0,1,0)</f>
        <v>0</v>
      </c>
    </row>
    <row r="178" spans="1:12" x14ac:dyDescent="0.25">
      <c r="A178" s="2046" t="s">
        <v>4914</v>
      </c>
      <c r="C178" s="1" t="s">
        <v>6604</v>
      </c>
      <c r="D178" s="2613" t="s">
        <v>1479</v>
      </c>
      <c r="E178" s="2613"/>
      <c r="F178" s="2613"/>
      <c r="G178" s="2613"/>
      <c r="H178" s="2613"/>
      <c r="I178" s="2613"/>
      <c r="J178" s="82">
        <f>Child_Benefit_tax_charge</f>
        <v>0</v>
      </c>
      <c r="L178">
        <f>IF(Child_Benefit_tax_charge&gt;0,1,0)</f>
        <v>0</v>
      </c>
    </row>
    <row r="179" spans="1:12" x14ac:dyDescent="0.25">
      <c r="A179" s="2046" t="s">
        <v>4919</v>
      </c>
      <c r="C179" s="1" t="s">
        <v>6604</v>
      </c>
      <c r="D179" s="2613" t="s">
        <v>6696</v>
      </c>
      <c r="E179" s="2613"/>
      <c r="F179" s="2613"/>
      <c r="G179" s="2613"/>
      <c r="H179" s="84"/>
      <c r="I179" s="11"/>
      <c r="J179" s="82">
        <f>pens_tax_due</f>
        <v>0</v>
      </c>
      <c r="L179">
        <f>IF(pens_tax_due&gt;0,1,0)</f>
        <v>0</v>
      </c>
    </row>
    <row r="180" spans="1:12" x14ac:dyDescent="0.25">
      <c r="A180" s="2047" t="s">
        <v>4925</v>
      </c>
      <c r="B180" s="1079"/>
      <c r="C180" s="1079" t="s">
        <v>6604</v>
      </c>
      <c r="D180" s="2639" t="s">
        <v>6697</v>
      </c>
      <c r="E180" s="2639"/>
      <c r="F180" s="2639"/>
      <c r="G180" s="1081">
        <f>TRF_amount</f>
        <v>0</v>
      </c>
      <c r="H180" s="1084" t="str">
        <f>"x "&amp;TRF_rate*100&amp;"%"</f>
        <v>x 12%</v>
      </c>
      <c r="I180" s="1082"/>
      <c r="J180" s="1083">
        <f>TRF_charge</f>
        <v>0</v>
      </c>
      <c r="K180" s="1078"/>
      <c r="L180" s="1078">
        <f>IF(TRF_charge&gt;0,1,0)</f>
        <v>0</v>
      </c>
    </row>
    <row r="181" spans="1:12" ht="13" x14ac:dyDescent="0.3">
      <c r="A181" s="2036" t="s">
        <v>4941</v>
      </c>
      <c r="B181" s="158"/>
      <c r="C181" s="2609" t="s">
        <v>6700</v>
      </c>
      <c r="D181" s="2610"/>
      <c r="E181" s="2610"/>
      <c r="F181" s="2610"/>
      <c r="G181" s="2043"/>
      <c r="H181" s="976" t="s">
        <v>6701</v>
      </c>
      <c r="I181" s="2043"/>
      <c r="J181" s="2044">
        <f>total_tax_NIC_nonresS23</f>
        <v>0</v>
      </c>
      <c r="L181">
        <f t="shared" ref="L181:L186" si="0">IF(box_NRD1,1,0)</f>
        <v>0</v>
      </c>
    </row>
    <row r="182" spans="1:12" x14ac:dyDescent="0.25">
      <c r="A182" s="2049" t="s">
        <v>4946</v>
      </c>
      <c r="B182" s="158"/>
      <c r="C182" s="2640" t="s">
        <v>6702</v>
      </c>
      <c r="D182" s="2640"/>
      <c r="E182" s="2640"/>
      <c r="F182" s="2640"/>
      <c r="G182" s="154">
        <f>Income_Excluded</f>
        <v>0</v>
      </c>
      <c r="H182" s="84"/>
      <c r="J182" s="8"/>
      <c r="L182">
        <f t="shared" si="0"/>
        <v>0</v>
      </c>
    </row>
    <row r="183" spans="1:12" x14ac:dyDescent="0.25">
      <c r="A183" s="2049" t="s">
        <v>4949</v>
      </c>
      <c r="C183" s="1"/>
      <c r="D183" s="2616" t="s">
        <v>6703</v>
      </c>
      <c r="E183" s="2616"/>
      <c r="F183" s="2616"/>
      <c r="G183" s="2616"/>
      <c r="H183" s="2616"/>
      <c r="I183" s="2616"/>
      <c r="J183" s="82">
        <f>tax_on_excluded_inc</f>
        <v>0</v>
      </c>
      <c r="L183">
        <f t="shared" si="0"/>
        <v>0</v>
      </c>
    </row>
    <row r="184" spans="1:12" x14ac:dyDescent="0.25">
      <c r="A184" s="2050" t="s">
        <v>4953</v>
      </c>
      <c r="C184" s="1"/>
      <c r="D184" s="2629" t="s">
        <v>6704</v>
      </c>
      <c r="E184" s="2629"/>
      <c r="F184" s="2629"/>
      <c r="G184" s="2629"/>
      <c r="H184" s="2629"/>
      <c r="I184" s="2629"/>
      <c r="J184" s="2051">
        <f>tax_on_non_excluded_income</f>
        <v>0</v>
      </c>
      <c r="L184">
        <f t="shared" si="0"/>
        <v>0</v>
      </c>
    </row>
    <row r="185" spans="1:12" ht="13" x14ac:dyDescent="0.3">
      <c r="A185" s="2036" t="s">
        <v>4957</v>
      </c>
      <c r="C185" s="2609" t="s">
        <v>6705</v>
      </c>
      <c r="D185" s="2610"/>
      <c r="E185" s="2610"/>
      <c r="F185" s="2610"/>
      <c r="G185" s="2043"/>
      <c r="H185" s="976" t="s">
        <v>6706</v>
      </c>
      <c r="I185" s="2043"/>
      <c r="J185" s="2044">
        <f>total_tax_NIC_nonresS811</f>
        <v>0</v>
      </c>
      <c r="L185">
        <f t="shared" si="0"/>
        <v>0</v>
      </c>
    </row>
    <row r="186" spans="1:12" ht="13" x14ac:dyDescent="0.3">
      <c r="A186" s="2036" t="s">
        <v>4963</v>
      </c>
      <c r="B186" s="158"/>
      <c r="C186" s="2609" t="s">
        <v>6707</v>
      </c>
      <c r="D186" s="2610"/>
      <c r="E186" s="2610"/>
      <c r="F186" s="2610"/>
      <c r="G186" s="2641" t="s">
        <v>6708</v>
      </c>
      <c r="H186" s="2641"/>
      <c r="I186" s="2043"/>
      <c r="J186" s="2044">
        <f>total_tax_NIC_nonres</f>
        <v>0</v>
      </c>
      <c r="L186">
        <f t="shared" si="0"/>
        <v>0</v>
      </c>
    </row>
    <row r="187" spans="1:12" x14ac:dyDescent="0.25">
      <c r="A187" s="2036" t="s">
        <v>6709</v>
      </c>
      <c r="B187" s="158"/>
      <c r="C187" s="178"/>
      <c r="D187" s="178"/>
      <c r="I187" s="27"/>
      <c r="J187" s="85"/>
      <c r="L187" s="1078">
        <f>IF(OR(box_NRD1,Gift_aid_tax_reduced+Pension_charges+Pension_lump_sum_tax+Child_Benefit_tax_charge+pens_tax_due+BRD_charge+TRF_charge+WFP_charge&gt;0),1,0)</f>
        <v>0</v>
      </c>
    </row>
    <row r="188" spans="1:12" x14ac:dyDescent="0.25">
      <c r="A188" s="2036" t="s">
        <v>4968</v>
      </c>
      <c r="B188" s="158"/>
      <c r="C188" s="1" t="s">
        <v>4607</v>
      </c>
      <c r="D188" s="2613" t="s">
        <v>6710</v>
      </c>
      <c r="E188" s="2613"/>
      <c r="F188" s="2613"/>
      <c r="G188" s="2613"/>
      <c r="H188" s="2613"/>
      <c r="I188" s="27"/>
      <c r="J188" s="82">
        <f>div_tax_credits</f>
        <v>0</v>
      </c>
      <c r="K188" s="178"/>
      <c r="L188" s="178">
        <f>IF(div_tax_credits&gt;0,1,0)</f>
        <v>0</v>
      </c>
    </row>
    <row r="189" spans="1:12" x14ac:dyDescent="0.25">
      <c r="A189" s="2035" t="s">
        <v>4973</v>
      </c>
      <c r="B189" s="158"/>
      <c r="C189" s="1" t="s">
        <v>4607</v>
      </c>
      <c r="D189" s="2613" t="s">
        <v>6711</v>
      </c>
      <c r="E189" s="2613"/>
      <c r="F189" s="2613"/>
      <c r="G189" s="2613"/>
      <c r="H189" s="2613"/>
      <c r="I189" s="27"/>
      <c r="J189" s="82">
        <f>div_tax_credits_s399</f>
        <v>0</v>
      </c>
      <c r="K189" s="178"/>
      <c r="L189" s="178">
        <f>IF(div_tax_credits_s399&gt;0,1,0)</f>
        <v>0</v>
      </c>
    </row>
    <row r="190" spans="1:12" x14ac:dyDescent="0.25">
      <c r="A190" s="2035" t="s">
        <v>4978</v>
      </c>
      <c r="B190" s="158"/>
      <c r="C190" s="1" t="s">
        <v>4607</v>
      </c>
      <c r="D190" s="2613" t="s">
        <v>6712</v>
      </c>
      <c r="E190" s="2613"/>
      <c r="F190" s="2613"/>
      <c r="G190" s="2613"/>
      <c r="H190" s="2613"/>
      <c r="I190" s="27"/>
      <c r="J190" s="82">
        <f>notional_CEG</f>
        <v>0</v>
      </c>
      <c r="K190" s="178"/>
      <c r="L190">
        <f>IF(notional_CEG&gt;0,1,0)</f>
        <v>0</v>
      </c>
    </row>
    <row r="191" spans="1:12" x14ac:dyDescent="0.25">
      <c r="A191" s="2036" t="s">
        <v>4984</v>
      </c>
      <c r="B191" s="158"/>
      <c r="C191" s="1" t="s">
        <v>4607</v>
      </c>
      <c r="D191" s="2637" t="s">
        <v>6713</v>
      </c>
      <c r="E191" s="2637"/>
      <c r="F191" s="2637"/>
      <c r="G191" s="2637"/>
      <c r="H191" s="2637"/>
      <c r="I191" s="27"/>
      <c r="J191" s="82">
        <f>notional_other</f>
        <v>0</v>
      </c>
      <c r="K191" s="178"/>
      <c r="L191" s="178">
        <f>IF(notional_other&gt;1,1,0)</f>
        <v>0</v>
      </c>
    </row>
    <row r="192" spans="1:12" ht="13" x14ac:dyDescent="0.3">
      <c r="A192" s="2052" t="s">
        <v>4989</v>
      </c>
      <c r="C192" s="2609" t="s">
        <v>6714</v>
      </c>
      <c r="D192" s="2610"/>
      <c r="E192" s="2610"/>
      <c r="F192" s="2610"/>
      <c r="G192" s="2043"/>
      <c r="H192" s="2042"/>
      <c r="I192" s="2042"/>
      <c r="J192" s="2044">
        <f>IT_after_div_tax_credits</f>
        <v>0</v>
      </c>
      <c r="K192" s="178"/>
      <c r="L192" s="1080">
        <f>IF(AND(Gift_aid_tax_reduced+Pension_charges_gross+Pension_lump_sum_amount+Child_Benefit_tax_charge+pens_tax_due+BRD_charge+pens_tax_rel_due+notional_CEG+notional_other+WFP_charge&gt;0,div_tax_credits+div_tax_credits_s399+TRF_charge=0),1,0)</f>
        <v>0</v>
      </c>
    </row>
    <row r="193" spans="1:12" ht="13" x14ac:dyDescent="0.3">
      <c r="A193" s="2053" t="s">
        <v>6606</v>
      </c>
      <c r="C193" s="2609" t="s">
        <v>6715</v>
      </c>
      <c r="D193" s="2610"/>
      <c r="E193" s="2610"/>
      <c r="F193" s="2610"/>
      <c r="G193" s="2610"/>
      <c r="H193" s="2042"/>
      <c r="I193" s="2042"/>
      <c r="J193" s="2044">
        <f>IT_after_div_tax_credits</f>
        <v>0</v>
      </c>
      <c r="K193" s="178"/>
      <c r="L193" s="1078">
        <f>IF(AND(div_tax_credits+div_tax_credits_s399&gt;0,TRF_charge=0),1,0)</f>
        <v>0</v>
      </c>
    </row>
    <row r="194" spans="1:12" ht="13" x14ac:dyDescent="0.3">
      <c r="A194" s="2054" t="s">
        <v>6606</v>
      </c>
      <c r="B194" s="1079"/>
      <c r="C194" s="2627" t="s">
        <v>6716</v>
      </c>
      <c r="D194" s="2628"/>
      <c r="E194" s="2628"/>
      <c r="F194" s="2628"/>
      <c r="G194" s="2628"/>
      <c r="H194" s="2628"/>
      <c r="I194" s="2628"/>
      <c r="J194" s="2055">
        <f>IT_after_div_tax_credits</f>
        <v>0</v>
      </c>
      <c r="K194" s="1080"/>
      <c r="L194" s="1078">
        <f>IF(AND(Gift_aid_tax_reduced+Pension_charges_gross+Pension_lump_sum_amount+Child_Benefit_tax_charge+pens_tax_due+BRD_charge+pens_tax_rel_due+notional_CEG+notional_other+WFP_charge&gt;0,div_tax_credits+div_tax_credits_s399=0,TRF_charge&gt;0),1,0)</f>
        <v>0</v>
      </c>
    </row>
    <row r="195" spans="1:12" ht="13" x14ac:dyDescent="0.3">
      <c r="A195" s="2056" t="s">
        <v>6606</v>
      </c>
      <c r="B195" s="1079"/>
      <c r="C195" s="2627" t="s">
        <v>6717</v>
      </c>
      <c r="D195" s="2628"/>
      <c r="E195" s="2628"/>
      <c r="F195" s="2628"/>
      <c r="G195" s="2628"/>
      <c r="H195" s="2628"/>
      <c r="I195" s="2628"/>
      <c r="J195" s="2055">
        <f>IT_after_div_tax_credits</f>
        <v>0</v>
      </c>
      <c r="K195" s="1080"/>
      <c r="L195" s="1078">
        <f>IF(AND(TRF_charge&gt;0,div_tax_credits+div_tax_credits_s399&gt;0),1,0)</f>
        <v>0</v>
      </c>
    </row>
    <row r="196" spans="1:12" x14ac:dyDescent="0.25">
      <c r="A196" s="2037" t="s">
        <v>6718</v>
      </c>
      <c r="C196" s="178"/>
      <c r="D196" s="178"/>
      <c r="F196" s="26"/>
      <c r="I196" s="27"/>
      <c r="J196" s="85"/>
      <c r="L196">
        <f>IF((Pension_charges_gross+Pension_lump_sum_amount+Child_Benefit_tax_charge+pens_tax_due+BRD_charge+pens_tax_rel_due+div_tax_credits+div_tax_credits_s399)&gt;0,1,0)</f>
        <v>0</v>
      </c>
    </row>
    <row r="197" spans="1:12" x14ac:dyDescent="0.25">
      <c r="A197" s="2036" t="s">
        <v>6719</v>
      </c>
      <c r="C197" s="12" t="s">
        <v>6604</v>
      </c>
      <c r="D197" s="2612" t="s">
        <v>6720</v>
      </c>
      <c r="E197" s="2612"/>
      <c r="F197" s="2612"/>
      <c r="G197" s="154">
        <f>NIC_amount</f>
        <v>0</v>
      </c>
      <c r="H197" s="968" t="str">
        <f>"x "&amp;NIC_rate*100&amp;"% ="</f>
        <v>x 6% =</v>
      </c>
      <c r="I197" s="82">
        <f>NIC_charge</f>
        <v>0</v>
      </c>
      <c r="L197">
        <f>IF(NIC_total&gt;0,IF(NIC1_amount&lt;=0,IF(AND(NIC_charge&gt;0,NIC_sup_charge=0),1,0),0),0)</f>
        <v>0</v>
      </c>
    </row>
    <row r="198" spans="1:12" x14ac:dyDescent="0.25">
      <c r="A198" s="2037" t="s">
        <v>6606</v>
      </c>
      <c r="C198" s="12" t="s">
        <v>6604</v>
      </c>
      <c r="D198" s="2612" t="s">
        <v>6720</v>
      </c>
      <c r="E198" s="2612"/>
      <c r="F198" s="2612"/>
      <c r="I198" s="27"/>
      <c r="J198" s="85"/>
      <c r="L198">
        <f>IF(NIC_total&gt;0,IF(NIC1_amount&lt;=0,IF(AND(NIC_charge&gt;0,NIC_sup_charge&gt;0),1,0),0),0)</f>
        <v>0</v>
      </c>
    </row>
    <row r="199" spans="1:12" x14ac:dyDescent="0.25">
      <c r="A199" s="2035" t="s">
        <v>4995</v>
      </c>
      <c r="C199" s="1"/>
      <c r="D199" s="178"/>
      <c r="F199" s="26"/>
      <c r="G199" s="154">
        <f>NIC_amount</f>
        <v>0</v>
      </c>
      <c r="H199" s="968" t="str">
        <f>"x "&amp;NIC_rate*100&amp;"% ="</f>
        <v>x 6% =</v>
      </c>
      <c r="I199" s="82">
        <f>NIC_charge</f>
        <v>0</v>
      </c>
      <c r="J199" s="85"/>
      <c r="L199">
        <f>IF(NIC_total&gt;0,IF(NIC1_amount&lt;=0,IF(AND(NIC_charge&gt;0,NIC_sup_charge&gt;0),1,0),0),0)</f>
        <v>0</v>
      </c>
    </row>
    <row r="200" spans="1:12" x14ac:dyDescent="0.25">
      <c r="A200" s="2035" t="s">
        <v>5005</v>
      </c>
      <c r="C200" s="1"/>
      <c r="D200" s="178"/>
      <c r="E200" s="8" t="s">
        <v>3492</v>
      </c>
      <c r="F200" s="26"/>
      <c r="G200" s="154">
        <f>NIC_sup_amount</f>
        <v>0</v>
      </c>
      <c r="H200" s="968" t="str">
        <f>"x "&amp;NIC_supp_rate*100&amp;"% ="</f>
        <v>x 2% =</v>
      </c>
      <c r="I200" s="82">
        <f>NIC_sup_charge</f>
        <v>0</v>
      </c>
      <c r="J200" s="85"/>
      <c r="L200">
        <f>IF(NIC_total&gt;0,IF(NIC1_amount&lt;=0,IF(AND(NIC_charge&gt;0,NIC_sup_charge&gt;0),1,0),0),0)</f>
        <v>0</v>
      </c>
    </row>
    <row r="201" spans="1:12" x14ac:dyDescent="0.25">
      <c r="A201" s="2035" t="s">
        <v>5015</v>
      </c>
      <c r="C201" s="12" t="s">
        <v>6604</v>
      </c>
      <c r="D201" s="2612" t="s">
        <v>6720</v>
      </c>
      <c r="E201" s="2612"/>
      <c r="F201" s="2612"/>
      <c r="I201" s="82">
        <f>NIC4_amount</f>
        <v>0</v>
      </c>
      <c r="L201">
        <f>IF(NIC_total&gt;0,IF(NIC1_amount&gt;0,1,0),0)</f>
        <v>0</v>
      </c>
    </row>
    <row r="202" spans="1:12" x14ac:dyDescent="0.25">
      <c r="A202" s="2035" t="s">
        <v>5019</v>
      </c>
      <c r="B202" s="178"/>
      <c r="C202" s="1"/>
      <c r="D202" s="2613" t="str">
        <f>"Your Class 4 has been adjusted for Class 2 due and "&amp;DOLLAR(NIC1_amount,2)&amp;" primary Class 1 contributions"</f>
        <v>Your Class 4 has been adjusted for Class 2 due and £0.00 primary Class 1 contributions</v>
      </c>
      <c r="E202" s="2613"/>
      <c r="F202" s="2613"/>
      <c r="G202" s="2613"/>
      <c r="H202" s="2613"/>
      <c r="I202" s="2613"/>
      <c r="J202" s="178"/>
      <c r="K202" s="178"/>
      <c r="L202" s="178">
        <f>IF(NIC_total&gt;0,IF(NIC1_amount&gt;0,1,0),0)</f>
        <v>0</v>
      </c>
    </row>
    <row r="203" spans="1:12" x14ac:dyDescent="0.25">
      <c r="A203" s="2035" t="s">
        <v>5025</v>
      </c>
      <c r="C203" s="12" t="s">
        <v>6604</v>
      </c>
      <c r="D203" s="2612" t="s">
        <v>6721</v>
      </c>
      <c r="E203" s="2612"/>
      <c r="F203" s="2612"/>
      <c r="I203" s="82">
        <f>NIC2_amount</f>
        <v>0</v>
      </c>
      <c r="L203">
        <f>IF(NIC_total&gt;0,IF(NIC2_amount&gt;0,1,0),0)</f>
        <v>0</v>
      </c>
    </row>
    <row r="204" spans="1:12" x14ac:dyDescent="0.25">
      <c r="A204" s="2036" t="s">
        <v>5029</v>
      </c>
      <c r="C204" s="1"/>
      <c r="D204" s="2614" t="s">
        <v>6722</v>
      </c>
      <c r="E204" s="2614"/>
      <c r="F204" s="2614"/>
      <c r="G204" s="2614"/>
      <c r="H204" s="2614"/>
      <c r="J204" s="82">
        <f>NIC_total</f>
        <v>0</v>
      </c>
      <c r="L204" s="178">
        <f>IF(AND(NIC_total&gt;0,NIC2_amount=0),1,0)</f>
        <v>0</v>
      </c>
    </row>
    <row r="205" spans="1:12" x14ac:dyDescent="0.25">
      <c r="A205" s="519" t="s">
        <v>6606</v>
      </c>
      <c r="B205" s="978"/>
      <c r="C205" s="978"/>
      <c r="D205" s="2614" t="s">
        <v>6723</v>
      </c>
      <c r="E205" s="2614"/>
      <c r="F205" s="2614"/>
      <c r="G205" s="2614"/>
      <c r="H205" s="2614"/>
      <c r="J205" s="82">
        <f>NIC_total</f>
        <v>0</v>
      </c>
      <c r="K205" s="321"/>
      <c r="L205" s="178">
        <f>IF(AND(NIC_total&gt;0,NIC2_amount&gt;0,NIC2_amount&lt;NIC_total),1,0)</f>
        <v>0</v>
      </c>
    </row>
    <row r="206" spans="1:12" x14ac:dyDescent="0.25">
      <c r="A206" s="519" t="s">
        <v>6606</v>
      </c>
      <c r="B206" s="978"/>
      <c r="C206" s="978"/>
      <c r="D206" s="2614" t="s">
        <v>6724</v>
      </c>
      <c r="E206" s="2614"/>
      <c r="F206" s="2614"/>
      <c r="G206" s="2614"/>
      <c r="H206" s="2614"/>
      <c r="J206" s="82">
        <f>NIC_total</f>
        <v>0</v>
      </c>
      <c r="K206" s="321"/>
      <c r="L206">
        <f>IF(AND(NIC_total&gt;0,NIC2_amount&gt;0,NIC2_amount=NIC_total),1,0)</f>
        <v>0</v>
      </c>
    </row>
    <row r="207" spans="1:12" x14ac:dyDescent="0.25">
      <c r="A207" s="519" t="s">
        <v>6606</v>
      </c>
      <c r="B207" s="978"/>
      <c r="C207" s="978"/>
      <c r="D207" s="2614" t="s">
        <v>6725</v>
      </c>
      <c r="E207" s="2614"/>
      <c r="F207" s="2614"/>
      <c r="G207" s="2614"/>
      <c r="H207" s="2614"/>
      <c r="I207" s="2614"/>
      <c r="J207" s="82"/>
      <c r="K207" s="321"/>
      <c r="L207">
        <f>IF(NIC2_thrshld=1,1,0)</f>
        <v>0</v>
      </c>
    </row>
    <row r="208" spans="1:12" x14ac:dyDescent="0.25">
      <c r="A208" s="2037"/>
      <c r="B208" s="978"/>
      <c r="C208" s="978"/>
      <c r="D208" s="2614" t="s">
        <v>6726</v>
      </c>
      <c r="E208" s="2614"/>
      <c r="F208" s="2614"/>
      <c r="G208" s="2614"/>
      <c r="H208" s="2614"/>
      <c r="I208" s="2614"/>
      <c r="J208" s="82">
        <v>0</v>
      </c>
      <c r="K208" s="321"/>
      <c r="L208">
        <f>IF(NIC2_thrshld=1,1,0)</f>
        <v>0</v>
      </c>
    </row>
    <row r="209" spans="1:14" x14ac:dyDescent="0.25">
      <c r="A209" s="2035" t="s">
        <v>6727</v>
      </c>
      <c r="C209" s="1"/>
      <c r="D209" s="178"/>
      <c r="I209" s="27"/>
      <c r="J209" s="85"/>
      <c r="L209">
        <f>IF(OR(NIC_total&gt;0,NIC2_thrshld=1),1,0)</f>
        <v>0</v>
      </c>
    </row>
    <row r="210" spans="1:14" x14ac:dyDescent="0.25">
      <c r="A210" s="2036" t="s">
        <v>5038</v>
      </c>
      <c r="C210" s="1" t="s">
        <v>6604</v>
      </c>
      <c r="D210" s="2613" t="str">
        <f>"Underpaid tax for earlier years in your tax code for "&amp;tax_year</f>
        <v>Underpaid tax for earlier years in your tax code for 2025-26</v>
      </c>
      <c r="E210" s="2613"/>
      <c r="F210" s="2613"/>
      <c r="G210" s="2613"/>
      <c r="H210" s="2613"/>
      <c r="I210" s="27"/>
      <c r="J210" s="82">
        <f>unpaid_tax_in_code</f>
        <v>0</v>
      </c>
      <c r="L210">
        <f>IF(unpaid_tax_in_code&gt;0,1,0)</f>
        <v>0</v>
      </c>
    </row>
    <row r="211" spans="1:14" x14ac:dyDescent="0.25">
      <c r="A211" s="2036" t="s">
        <v>5044</v>
      </c>
      <c r="C211" s="1" t="s">
        <v>6604</v>
      </c>
      <c r="D211" s="2613" t="s">
        <v>6728</v>
      </c>
      <c r="E211" s="2613"/>
      <c r="F211" s="2613"/>
      <c r="G211" s="2613"/>
      <c r="H211" s="2613"/>
      <c r="I211" s="27"/>
      <c r="J211" s="82">
        <f>Student_loan</f>
        <v>0</v>
      </c>
      <c r="L211">
        <f>IF(AND(Student_loan&gt;0,SL_type=1),1,0)</f>
        <v>0</v>
      </c>
    </row>
    <row r="212" spans="1:14" x14ac:dyDescent="0.25">
      <c r="A212" s="519" t="s">
        <v>6606</v>
      </c>
      <c r="C212" s="1" t="s">
        <v>6604</v>
      </c>
      <c r="D212" s="2613" t="s">
        <v>6729</v>
      </c>
      <c r="E212" s="2613"/>
      <c r="F212" s="2613"/>
      <c r="G212" s="2613"/>
      <c r="H212" s="2613"/>
      <c r="I212" s="27"/>
      <c r="J212" s="82">
        <f>Student_loan</f>
        <v>0</v>
      </c>
      <c r="L212">
        <f>IF(AND(Student_loan&gt;0,SL_type=2),1,0)</f>
        <v>0</v>
      </c>
    </row>
    <row r="213" spans="1:14" x14ac:dyDescent="0.25">
      <c r="A213" s="2037" t="s">
        <v>6606</v>
      </c>
      <c r="C213" s="1" t="s">
        <v>6604</v>
      </c>
      <c r="D213" s="2613" t="s">
        <v>6730</v>
      </c>
      <c r="E213" s="2613"/>
      <c r="F213" s="2613"/>
      <c r="G213" s="2613"/>
      <c r="H213" s="2613"/>
      <c r="I213" s="27"/>
      <c r="J213" s="82">
        <f>Student_loan</f>
        <v>0</v>
      </c>
      <c r="L213">
        <f>IF(AND(Student_loan&gt;0,SL_type=4),1,0)</f>
        <v>0</v>
      </c>
    </row>
    <row r="214" spans="1:14" x14ac:dyDescent="0.25">
      <c r="A214" s="2037" t="s">
        <v>5048</v>
      </c>
      <c r="C214" s="1" t="s">
        <v>6604</v>
      </c>
      <c r="D214" s="2613" t="s">
        <v>6731</v>
      </c>
      <c r="E214" s="2613"/>
      <c r="F214" s="2613"/>
      <c r="G214" s="2613"/>
      <c r="I214" s="27"/>
      <c r="J214" s="82">
        <f>Post_grad_loan</f>
        <v>0</v>
      </c>
      <c r="L214">
        <f>IF(AND(Post_grad_loan&gt;0,PGL_type=3),1,0)</f>
        <v>0</v>
      </c>
    </row>
    <row r="215" spans="1:14" x14ac:dyDescent="0.25">
      <c r="A215" s="2037" t="s">
        <v>5053</v>
      </c>
      <c r="C215" s="1" t="s">
        <v>6604</v>
      </c>
      <c r="D215" s="2613" t="s">
        <v>6732</v>
      </c>
      <c r="E215" s="2613"/>
      <c r="F215" s="2613"/>
      <c r="H215" s="154">
        <f>annuity_amount</f>
        <v>0</v>
      </c>
      <c r="I215" s="816" t="s">
        <v>4617</v>
      </c>
      <c r="J215" s="82">
        <f>annuity_tax</f>
        <v>0</v>
      </c>
      <c r="L215">
        <f>IF(annuity_amount&gt;0,1,0)</f>
        <v>0</v>
      </c>
    </row>
    <row r="216" spans="1:14" x14ac:dyDescent="0.25">
      <c r="A216" s="2057" t="s">
        <v>5062</v>
      </c>
      <c r="B216" s="1069"/>
      <c r="C216" s="1069" t="s">
        <v>6604</v>
      </c>
      <c r="D216" s="2630" t="s">
        <v>6691</v>
      </c>
      <c r="E216" s="2630"/>
      <c r="F216" s="2630"/>
      <c r="G216" s="2630"/>
      <c r="H216" s="1070"/>
      <c r="I216" s="1071"/>
      <c r="J216" s="1072">
        <v>0</v>
      </c>
      <c r="K216" s="1073"/>
      <c r="L216" s="1073">
        <v>0</v>
      </c>
    </row>
    <row r="217" spans="1:14" ht="13" x14ac:dyDescent="0.3">
      <c r="A217" s="2036" t="s">
        <v>5074</v>
      </c>
      <c r="C217" s="2609" t="s">
        <v>6733</v>
      </c>
      <c r="D217" s="2610"/>
      <c r="E217" s="2610"/>
      <c r="F217" s="2610"/>
      <c r="G217" s="2610"/>
      <c r="H217" s="2610"/>
      <c r="I217" s="2610"/>
      <c r="J217" s="2044">
        <f t="shared" ref="J217:J224" si="1">IT_plus_class4</f>
        <v>0</v>
      </c>
      <c r="K217" s="321"/>
      <c r="L217" s="1080">
        <f>IF(TRF_charge&gt;0,0,IF(AND(NIC_total&gt;0,NIC2_amount&gt;0,NIC2_amount=NIC_total),1,0))</f>
        <v>0</v>
      </c>
    </row>
    <row r="218" spans="1:14" ht="13" x14ac:dyDescent="0.3">
      <c r="A218" s="1085" t="s">
        <v>6606</v>
      </c>
      <c r="B218" s="1086"/>
      <c r="C218" s="2627" t="s">
        <v>6750</v>
      </c>
      <c r="D218" s="2628"/>
      <c r="E218" s="2628"/>
      <c r="F218" s="2628"/>
      <c r="G218" s="2628"/>
      <c r="H218" s="2628"/>
      <c r="I218" s="2628"/>
      <c r="J218" s="2055">
        <f t="shared" si="1"/>
        <v>0</v>
      </c>
      <c r="K218" s="1078"/>
      <c r="L218" s="1080">
        <f>IF(TRF_charge=0,0,IF(AND(NIC_total&gt;0,NIC2_amount&gt;0,NIC2_amount=NIC_total),1,0))</f>
        <v>0</v>
      </c>
    </row>
    <row r="219" spans="1:14" ht="13" x14ac:dyDescent="0.3">
      <c r="A219" s="519" t="s">
        <v>6606</v>
      </c>
      <c r="B219" s="978"/>
      <c r="C219" s="2609" t="s">
        <v>6734</v>
      </c>
      <c r="D219" s="2610"/>
      <c r="E219" s="2610"/>
      <c r="F219" s="2610"/>
      <c r="G219" s="2610"/>
      <c r="H219" s="2610"/>
      <c r="I219" s="2043"/>
      <c r="J219" s="2044">
        <f t="shared" si="1"/>
        <v>0</v>
      </c>
      <c r="K219" s="321"/>
      <c r="L219" s="1080">
        <f>IF(TRF_charge&gt;0,0,IF(AND(NIC_total&gt;0,NIC2_amount=0),1,0))</f>
        <v>0</v>
      </c>
    </row>
    <row r="220" spans="1:14" ht="13" x14ac:dyDescent="0.3">
      <c r="A220" s="1085" t="s">
        <v>6606</v>
      </c>
      <c r="B220" s="1086"/>
      <c r="C220" s="2627" t="s">
        <v>6751</v>
      </c>
      <c r="D220" s="2628"/>
      <c r="E220" s="2628"/>
      <c r="F220" s="2628"/>
      <c r="G220" s="2628"/>
      <c r="H220" s="2628"/>
      <c r="I220" s="2628"/>
      <c r="J220" s="2055">
        <f t="shared" si="1"/>
        <v>0</v>
      </c>
      <c r="K220" s="1078"/>
      <c r="L220" s="1080">
        <f>IF(TRF_charge=0,0,IF(AND(NIC_total&gt;0,NIC2_amount=0),1,0))</f>
        <v>0</v>
      </c>
    </row>
    <row r="221" spans="1:14" ht="13" x14ac:dyDescent="0.3">
      <c r="A221" s="519" t="s">
        <v>6606</v>
      </c>
      <c r="B221" s="978"/>
      <c r="C221" s="2609" t="s">
        <v>6735</v>
      </c>
      <c r="D221" s="2610"/>
      <c r="E221" s="2610"/>
      <c r="F221" s="2610"/>
      <c r="G221" s="2610"/>
      <c r="H221" s="2610"/>
      <c r="I221" s="2610"/>
      <c r="J221" s="2044">
        <f t="shared" si="1"/>
        <v>0</v>
      </c>
      <c r="K221" s="321"/>
      <c r="L221" s="1080">
        <f>IF(TRF_charge&gt;0,0,IF(AND(NIC_total&gt;0,NIC2_amount&gt;0,NIC2_amount&lt;NIC_total),1,0))</f>
        <v>0</v>
      </c>
    </row>
    <row r="222" spans="1:14" ht="13" x14ac:dyDescent="0.3">
      <c r="A222" s="1085" t="s">
        <v>6606</v>
      </c>
      <c r="B222" s="1086"/>
      <c r="C222" s="2627" t="s">
        <v>6752</v>
      </c>
      <c r="D222" s="2628"/>
      <c r="E222" s="2628"/>
      <c r="F222" s="2628"/>
      <c r="G222" s="2628"/>
      <c r="H222" s="2628"/>
      <c r="I222" s="2628"/>
      <c r="J222" s="2055">
        <f t="shared" si="1"/>
        <v>0</v>
      </c>
      <c r="K222" s="1078"/>
      <c r="L222" s="1080">
        <f>IF(TRF_charge=0,0,IF(AND(NIC_total&gt;0,NIC2_amount&gt;0,NIC2_amount&lt;NIC_total),1,0))</f>
        <v>0</v>
      </c>
    </row>
    <row r="223" spans="1:14" ht="13" x14ac:dyDescent="0.3">
      <c r="A223" s="519" t="s">
        <v>6606</v>
      </c>
      <c r="B223" s="978"/>
      <c r="C223" s="2609" t="s">
        <v>6714</v>
      </c>
      <c r="D223" s="2610"/>
      <c r="E223" s="2610"/>
      <c r="F223" s="2610"/>
      <c r="G223" s="2043"/>
      <c r="H223" s="2043"/>
      <c r="I223" s="2043"/>
      <c r="J223" s="2044">
        <f t="shared" si="1"/>
        <v>0</v>
      </c>
      <c r="L223" s="1080">
        <f>IF(TRF_charge&gt;0,0,IF(OR(AND(unpaid_tax_in_code+Student_loan+Post_grad_loan+annuity_amount&gt;0,NIC_total=0),AND(NIC2_thrshld=1,NIC_total=0)),1,0))</f>
        <v>0</v>
      </c>
      <c r="N223" s="178"/>
    </row>
    <row r="224" spans="1:14" ht="13" x14ac:dyDescent="0.3">
      <c r="A224" s="1085" t="s">
        <v>6606</v>
      </c>
      <c r="B224" s="1086"/>
      <c r="C224" s="2627" t="s">
        <v>6716</v>
      </c>
      <c r="D224" s="2628"/>
      <c r="E224" s="2628"/>
      <c r="F224" s="2628"/>
      <c r="G224" s="2628"/>
      <c r="H224" s="2628"/>
      <c r="I224" s="2628"/>
      <c r="J224" s="2055">
        <f t="shared" si="1"/>
        <v>0</v>
      </c>
      <c r="K224" s="1078"/>
      <c r="L224" s="1080">
        <f>IF(TRF_charge=0,0,IF(OR(AND(unpaid_tax_in_code+Student_loan+Post_grad_loan+annuity_amount&gt;0,NIC_total=0),AND(NIC2_thrshld=1,NIC_total=0)),1,0))</f>
        <v>0</v>
      </c>
      <c r="N224" s="178"/>
    </row>
    <row r="225" spans="1:12" x14ac:dyDescent="0.25">
      <c r="A225" s="2035" t="s">
        <v>6736</v>
      </c>
      <c r="C225" s="178"/>
      <c r="D225" s="178"/>
      <c r="I225" s="27"/>
      <c r="J225" s="85"/>
      <c r="L225">
        <f>IF(NIC_total+unpaid_tax_in_code+Student_loan+Post_grad_loan+TRF_charge&gt;0,1,0)</f>
        <v>0</v>
      </c>
    </row>
    <row r="226" spans="1:12" x14ac:dyDescent="0.25">
      <c r="A226" s="2035" t="s">
        <v>6737</v>
      </c>
      <c r="C226" s="332" t="s">
        <v>4607</v>
      </c>
      <c r="D226" s="2612" t="s">
        <v>4626</v>
      </c>
      <c r="E226" s="2612"/>
      <c r="F226" s="2612"/>
      <c r="I226" s="27"/>
      <c r="J226" s="85"/>
      <c r="L226">
        <f>IF((total_tax_paid+debt_coded)&gt;0,1,0)</f>
        <v>0</v>
      </c>
    </row>
    <row r="227" spans="1:12" x14ac:dyDescent="0.25">
      <c r="A227" s="2036" t="s">
        <v>5080</v>
      </c>
      <c r="C227" s="979"/>
      <c r="D227" s="2613" t="s">
        <v>4627</v>
      </c>
      <c r="E227" s="2613"/>
      <c r="F227" s="2613"/>
      <c r="G227" s="2613"/>
      <c r="I227" s="82">
        <f>tax_paid_E</f>
        <v>0</v>
      </c>
      <c r="J227" s="85"/>
      <c r="L227">
        <f>IF(AND(tax_paid_E&gt;0,debt_coded=0),1,0)</f>
        <v>0</v>
      </c>
    </row>
    <row r="228" spans="1:12" x14ac:dyDescent="0.25">
      <c r="A228" s="2037" t="s">
        <v>6606</v>
      </c>
      <c r="C228" s="979"/>
      <c r="D228" s="2613" t="s">
        <v>4627</v>
      </c>
      <c r="E228" s="2613"/>
      <c r="F228" s="2613"/>
      <c r="G228" s="2613"/>
      <c r="H228" s="82">
        <f>tax_paid_E</f>
        <v>0</v>
      </c>
      <c r="I228" s="27"/>
      <c r="J228" s="85"/>
      <c r="L228">
        <f>IF(debt_coded&gt;0,1,0)</f>
        <v>0</v>
      </c>
    </row>
    <row r="229" spans="1:12" x14ac:dyDescent="0.25">
      <c r="A229" s="2035" t="s">
        <v>6738</v>
      </c>
      <c r="C229" s="979"/>
      <c r="D229" s="1" t="s">
        <v>6621</v>
      </c>
      <c r="E229" s="2613" t="s">
        <v>6739</v>
      </c>
      <c r="F229" s="2613"/>
      <c r="G229" s="2613"/>
      <c r="H229" s="82">
        <f>debt_collected</f>
        <v>0</v>
      </c>
      <c r="I229" s="27"/>
      <c r="J229" s="85"/>
      <c r="L229">
        <f>IF(debt_coded&gt;0,1,0)</f>
        <v>0</v>
      </c>
    </row>
    <row r="230" spans="1:12" x14ac:dyDescent="0.25">
      <c r="A230" s="2035" t="s">
        <v>6740</v>
      </c>
      <c r="C230" s="979"/>
      <c r="D230" s="2613" t="s">
        <v>6741</v>
      </c>
      <c r="E230" s="2613"/>
      <c r="F230" s="2613"/>
      <c r="I230" s="82">
        <f>SA_E_tax</f>
        <v>0</v>
      </c>
      <c r="J230" s="85"/>
      <c r="L230">
        <f>IF(debt_coded&gt;0,1,0)</f>
        <v>0</v>
      </c>
    </row>
    <row r="231" spans="1:12" x14ac:dyDescent="0.25">
      <c r="A231" s="2035" t="s">
        <v>5100</v>
      </c>
      <c r="C231" s="178"/>
      <c r="D231" s="2613" t="s">
        <v>6742</v>
      </c>
      <c r="E231" s="2613"/>
      <c r="F231" s="2613"/>
      <c r="G231" s="2613"/>
      <c r="I231" s="82">
        <f>tax_paid_D</f>
        <v>0</v>
      </c>
      <c r="J231" s="85"/>
      <c r="L231">
        <f>IF(tax_paid_D&gt;0,1,0)</f>
        <v>0</v>
      </c>
    </row>
    <row r="232" spans="1:12" x14ac:dyDescent="0.25">
      <c r="A232" s="2035" t="s">
        <v>5106</v>
      </c>
      <c r="C232" s="178"/>
      <c r="D232" s="2613" t="s">
        <v>6743</v>
      </c>
      <c r="E232" s="2613"/>
      <c r="F232" s="2613"/>
      <c r="G232" s="2613"/>
      <c r="I232" s="82">
        <f>tax_paid_D_PTR</f>
        <v>0</v>
      </c>
      <c r="J232" s="85"/>
      <c r="L232">
        <f>IF(tax_paid_D_PTR&gt;0,1,0)</f>
        <v>0</v>
      </c>
    </row>
    <row r="233" spans="1:12" x14ac:dyDescent="0.25">
      <c r="A233" s="2035" t="s">
        <v>5112</v>
      </c>
      <c r="C233" s="178"/>
      <c r="D233" s="2613" t="s">
        <v>6744</v>
      </c>
      <c r="E233" s="2613"/>
      <c r="F233" s="2613"/>
      <c r="G233" s="2613"/>
      <c r="I233" s="82">
        <f>tax_paid_IFP</f>
        <v>0</v>
      </c>
      <c r="J233" s="85"/>
      <c r="L233">
        <f>IF(tax_paid_IFP&gt;0,1,0)</f>
        <v>0</v>
      </c>
    </row>
    <row r="234" spans="1:12" x14ac:dyDescent="0.25">
      <c r="A234" s="2035" t="s">
        <v>5117</v>
      </c>
      <c r="C234" s="178"/>
      <c r="D234" s="2613" t="s">
        <v>1502</v>
      </c>
      <c r="E234" s="2613"/>
      <c r="F234" s="2613"/>
      <c r="G234" s="2613"/>
      <c r="I234" s="82">
        <f>tax_paid_Foreign</f>
        <v>0</v>
      </c>
      <c r="J234" s="85"/>
      <c r="L234">
        <f>IF(tax_paid_Foreign&gt;0,1,0)</f>
        <v>0</v>
      </c>
    </row>
    <row r="235" spans="1:12" x14ac:dyDescent="0.25">
      <c r="A235" s="2035" t="s">
        <v>5123</v>
      </c>
      <c r="C235" s="178"/>
      <c r="D235" s="2613" t="s">
        <v>6615</v>
      </c>
      <c r="E235" s="2613"/>
      <c r="F235" s="2613"/>
      <c r="G235" s="2613"/>
      <c r="I235" s="82">
        <f>tax_paid_Trust</f>
        <v>0</v>
      </c>
      <c r="J235" s="85"/>
      <c r="L235">
        <f>IF(tax_paid_Trust&gt;0,1,0)</f>
        <v>0</v>
      </c>
    </row>
    <row r="236" spans="1:12" x14ac:dyDescent="0.25">
      <c r="A236" s="2035" t="s">
        <v>5128</v>
      </c>
      <c r="C236" s="178"/>
      <c r="D236" s="2613" t="s">
        <v>6745</v>
      </c>
      <c r="E236" s="2613"/>
      <c r="F236" s="2613"/>
      <c r="G236" s="2613"/>
      <c r="I236" s="82">
        <f>tax_paid_Overseas</f>
        <v>0</v>
      </c>
      <c r="J236" s="85"/>
      <c r="L236">
        <f>IF(tax_paid_Overseas&gt;0,1,0)</f>
        <v>0</v>
      </c>
    </row>
    <row r="237" spans="1:12" x14ac:dyDescent="0.25">
      <c r="A237" s="2035" t="s">
        <v>5134</v>
      </c>
      <c r="C237" s="178"/>
      <c r="D237" s="2613" t="s">
        <v>6746</v>
      </c>
      <c r="E237" s="2613"/>
      <c r="F237" s="2613"/>
      <c r="G237" s="2613"/>
      <c r="H237" s="2613"/>
      <c r="I237" s="82">
        <f>tax_paid_Case3</f>
        <v>0</v>
      </c>
      <c r="J237" s="85"/>
      <c r="L237">
        <f>IF(tax_paid_Case3&gt;0,1,0)</f>
        <v>0</v>
      </c>
    </row>
    <row r="238" spans="1:12" x14ac:dyDescent="0.25">
      <c r="A238" s="2035" t="s">
        <v>5139</v>
      </c>
      <c r="C238" s="178"/>
      <c r="D238" s="2613" t="s">
        <v>6747</v>
      </c>
      <c r="E238" s="2613"/>
      <c r="F238" s="2613"/>
      <c r="G238" s="2613"/>
      <c r="I238" s="82">
        <f>tax_paid_CEG</f>
        <v>0</v>
      </c>
      <c r="J238" s="85"/>
      <c r="L238">
        <f>IF(tax_paid_CEG&gt;0,1,0)</f>
        <v>0</v>
      </c>
    </row>
    <row r="239" spans="1:12" x14ac:dyDescent="0.25">
      <c r="A239" s="2035" t="s">
        <v>5145</v>
      </c>
      <c r="C239" s="178"/>
      <c r="D239" s="2613" t="s">
        <v>5649</v>
      </c>
      <c r="E239" s="2613"/>
      <c r="F239" s="2613"/>
      <c r="G239" s="2613"/>
      <c r="I239" s="82">
        <f>tax_paid_Other</f>
        <v>0</v>
      </c>
      <c r="J239" s="85"/>
      <c r="L239">
        <f>IF(tax_paid_Other&gt;0,1,0)</f>
        <v>0</v>
      </c>
    </row>
    <row r="240" spans="1:12" x14ac:dyDescent="0.25">
      <c r="A240" s="2035" t="s">
        <v>5150</v>
      </c>
      <c r="C240" s="136"/>
      <c r="D240" s="2613" t="str">
        <f>"Underpaid tax for "&amp;tax_year&amp;" included in your tax code for "&amp;next_year</f>
        <v>Underpaid tax for 2025-26 included in your tax code for 2026-27</v>
      </c>
      <c r="E240" s="2613"/>
      <c r="F240" s="2613"/>
      <c r="G240" s="2613"/>
      <c r="H240" s="2613"/>
      <c r="I240" s="82">
        <f>coded_in_later_year</f>
        <v>0</v>
      </c>
      <c r="L240">
        <f>IF(coded_in_later_year&gt;0,1,0)</f>
        <v>0</v>
      </c>
    </row>
    <row r="241" spans="1:12" x14ac:dyDescent="0.25">
      <c r="A241" s="2035" t="s">
        <v>5156</v>
      </c>
      <c r="C241" s="8"/>
      <c r="D241" s="2614" t="s">
        <v>4628</v>
      </c>
      <c r="E241" s="2614"/>
      <c r="F241" s="2614"/>
      <c r="J241" s="82">
        <f>total_tax_paid</f>
        <v>0</v>
      </c>
      <c r="K241" s="8"/>
      <c r="L241" s="178">
        <f>IF((total_tax_paid+debt_coded)&gt;0,1,0)</f>
        <v>0</v>
      </c>
    </row>
    <row r="242" spans="1:12" x14ac:dyDescent="0.25">
      <c r="A242" s="2035" t="s">
        <v>6748</v>
      </c>
      <c r="C242" s="178"/>
      <c r="D242" s="178"/>
      <c r="I242" s="27"/>
      <c r="J242" s="85"/>
      <c r="L242">
        <f>IF((total_tax_paid+debt_collected)&gt;0,1,0)</f>
        <v>0</v>
      </c>
    </row>
    <row r="243" spans="1:12" ht="13" x14ac:dyDescent="0.3">
      <c r="A243" s="2036" t="s">
        <v>5161</v>
      </c>
      <c r="C243" s="2609" t="s">
        <v>4629</v>
      </c>
      <c r="D243" s="2610"/>
      <c r="E243" s="2610"/>
      <c r="F243" s="2610"/>
      <c r="G243" s="2058"/>
      <c r="H243" s="2058"/>
      <c r="I243" s="2043"/>
      <c r="J243" s="2059">
        <f t="shared" ref="J243:J251" si="2">Total_IT_class4_due</f>
        <v>0</v>
      </c>
      <c r="L243">
        <f>IF(AND(total_tax_paid+debt_coded&gt;0,total_tax_paid&gt;IT_plus_class4),1,0)</f>
        <v>0</v>
      </c>
    </row>
    <row r="244" spans="1:12" ht="13" x14ac:dyDescent="0.3">
      <c r="A244" s="519" t="s">
        <v>6606</v>
      </c>
      <c r="C244" s="2609" t="s">
        <v>6733</v>
      </c>
      <c r="D244" s="2610"/>
      <c r="E244" s="2610"/>
      <c r="F244" s="2610"/>
      <c r="G244" s="2610"/>
      <c r="H244" s="2610"/>
      <c r="I244" s="2060"/>
      <c r="J244" s="2059">
        <f t="shared" si="2"/>
        <v>0</v>
      </c>
      <c r="K244" s="178"/>
      <c r="L244" s="1080">
        <f>IF(TRF_charge&gt;0,0,IF(AND(total_tax_paid+debt_coded&gt;0,IT_plus_class4&gt;=total_tax_paid,NIC_total&gt;0,NIC2_amount&gt;0,NIC2_amount=NIC_total),1,0))</f>
        <v>0</v>
      </c>
    </row>
    <row r="245" spans="1:12" ht="13" x14ac:dyDescent="0.3">
      <c r="A245" s="1085" t="s">
        <v>6606</v>
      </c>
      <c r="B245" s="1079"/>
      <c r="C245" s="2627" t="s">
        <v>6750</v>
      </c>
      <c r="D245" s="2628"/>
      <c r="E245" s="2628"/>
      <c r="F245" s="2628"/>
      <c r="G245" s="2628"/>
      <c r="H245" s="2628"/>
      <c r="I245" s="2628"/>
      <c r="J245" s="2061">
        <f t="shared" si="2"/>
        <v>0</v>
      </c>
      <c r="K245" s="1080"/>
      <c r="L245" s="1080">
        <f>IF(TRF_charge=0,0,IF(AND(total_tax_paid+debt_coded&gt;0,IT_plus_class4&gt;=total_tax_paid,NIC_total&gt;0,NIC2_amount&gt;0,NIC2_amount=NIC_total),1,0))</f>
        <v>0</v>
      </c>
    </row>
    <row r="246" spans="1:12" ht="13" x14ac:dyDescent="0.3">
      <c r="A246" s="519" t="s">
        <v>6606</v>
      </c>
      <c r="C246" s="2609" t="s">
        <v>6734</v>
      </c>
      <c r="D246" s="2610"/>
      <c r="E246" s="2610"/>
      <c r="F246" s="2610"/>
      <c r="G246" s="2610"/>
      <c r="H246" s="2060"/>
      <c r="I246" s="2060"/>
      <c r="J246" s="2059">
        <f t="shared" si="2"/>
        <v>0</v>
      </c>
      <c r="K246" s="178"/>
      <c r="L246" s="1080">
        <f>IF(TRF_charge&gt;0,0,IF(AND(total_tax_paid+debt_coded&gt;0,IT_plus_class4&gt;=total_tax_paid,NIC_total&gt;0,NIC2_amount=0),1,0))</f>
        <v>0</v>
      </c>
    </row>
    <row r="247" spans="1:12" ht="13" x14ac:dyDescent="0.3">
      <c r="A247" s="1085" t="s">
        <v>6606</v>
      </c>
      <c r="B247" s="1079"/>
      <c r="C247" s="2627" t="s">
        <v>6751</v>
      </c>
      <c r="D247" s="2628"/>
      <c r="E247" s="2628"/>
      <c r="F247" s="2628"/>
      <c r="G247" s="2628"/>
      <c r="H247" s="2628"/>
      <c r="I247" s="2628"/>
      <c r="J247" s="2061">
        <f t="shared" si="2"/>
        <v>0</v>
      </c>
      <c r="K247" s="1080"/>
      <c r="L247" s="1080">
        <f>IF(TRF_charge=0,0,IF(AND(total_tax_paid+debt_coded&gt;0,IT_plus_class4&gt;=total_tax_paid,NIC_total&gt;0,NIC2_amount=0),1,0))</f>
        <v>0</v>
      </c>
    </row>
    <row r="248" spans="1:12" ht="13" x14ac:dyDescent="0.3">
      <c r="A248" s="519" t="s">
        <v>6606</v>
      </c>
      <c r="C248" s="2609" t="s">
        <v>6735</v>
      </c>
      <c r="D248" s="2610"/>
      <c r="E248" s="2610"/>
      <c r="F248" s="2610"/>
      <c r="G248" s="2610"/>
      <c r="H248" s="2610"/>
      <c r="I248" s="2060"/>
      <c r="J248" s="2059">
        <f t="shared" si="2"/>
        <v>0</v>
      </c>
      <c r="K248" s="178"/>
      <c r="L248" s="1080">
        <f>IF(TRF_charge&gt;0,0,IF(AND(total_tax_paid+debt_coded&gt;0,IT_plus_class4&gt;=total_tax_paid,NIC_total&gt;0,NIC2_amount&gt;0,NIC2_amount&lt;NIC_total),1,0))</f>
        <v>0</v>
      </c>
    </row>
    <row r="249" spans="1:12" ht="13" x14ac:dyDescent="0.3">
      <c r="A249" s="1085" t="s">
        <v>6606</v>
      </c>
      <c r="B249" s="1079"/>
      <c r="C249" s="2627" t="s">
        <v>6752</v>
      </c>
      <c r="D249" s="2628"/>
      <c r="E249" s="2628"/>
      <c r="F249" s="2628"/>
      <c r="G249" s="2628"/>
      <c r="H249" s="2628"/>
      <c r="I249" s="2628"/>
      <c r="J249" s="2061">
        <f t="shared" si="2"/>
        <v>0</v>
      </c>
      <c r="K249" s="1080"/>
      <c r="L249" s="1080">
        <f>IF(TRF_charge=0,0,IF(AND(total_tax_paid+debt_coded&gt;0,IT_plus_class4&gt;=total_tax_paid,NIC_total&gt;0,NIC2_amount&gt;0,NIC2_amount&lt;NIC_total),1,0))</f>
        <v>0</v>
      </c>
    </row>
    <row r="250" spans="1:12" ht="13" x14ac:dyDescent="0.3">
      <c r="A250" s="519" t="s">
        <v>6606</v>
      </c>
      <c r="C250" s="2609" t="s">
        <v>6749</v>
      </c>
      <c r="D250" s="2610"/>
      <c r="E250" s="2610"/>
      <c r="F250" s="2610"/>
      <c r="G250" s="2043"/>
      <c r="H250" s="2060"/>
      <c r="I250" s="2060"/>
      <c r="J250" s="2059">
        <f t="shared" si="2"/>
        <v>0</v>
      </c>
      <c r="K250" s="178"/>
      <c r="L250" s="1080">
        <f>IF(TRF_charge&gt;0,0,IF(AND(total_tax_paid+debt_coded&gt;0,IT_plus_class4&gt;=total_tax_paid,NIC_total=0),1,0))</f>
        <v>0</v>
      </c>
    </row>
    <row r="251" spans="1:12" ht="13" x14ac:dyDescent="0.3">
      <c r="A251" s="1085" t="s">
        <v>6606</v>
      </c>
      <c r="B251" s="1079"/>
      <c r="C251" s="2627" t="s">
        <v>6716</v>
      </c>
      <c r="D251" s="2628"/>
      <c r="E251" s="2628"/>
      <c r="F251" s="2628"/>
      <c r="G251" s="2628"/>
      <c r="H251" s="2628"/>
      <c r="I251" s="2628"/>
      <c r="J251" s="2061">
        <f t="shared" si="2"/>
        <v>0</v>
      </c>
      <c r="K251" s="1080"/>
      <c r="L251" s="1080">
        <f>IF(TRF_charge=0,0,IF(AND(total_tax_paid+debt_coded&gt;0,IT_plus_class4&gt;=total_tax_paid,NIC_total=0),1,0))</f>
        <v>0</v>
      </c>
    </row>
    <row r="252" spans="1:12" x14ac:dyDescent="0.25">
      <c r="A252" s="2035" t="s">
        <v>6753</v>
      </c>
      <c r="C252" s="178"/>
      <c r="D252" s="178"/>
      <c r="J252" s="85"/>
      <c r="L252">
        <f>IF(OR(Taxable_CG&gt;0,tax_on_gains_already_charged+CG_trust_tax&gt;0),1,0)</f>
        <v>0</v>
      </c>
    </row>
    <row r="253" spans="1:12" ht="13" x14ac:dyDescent="0.3">
      <c r="A253" s="2035" t="s">
        <v>6754</v>
      </c>
      <c r="C253" s="2" t="s">
        <v>6755</v>
      </c>
      <c r="D253" s="2618" t="s">
        <v>4645</v>
      </c>
      <c r="E253" s="2618"/>
      <c r="F253" s="2618"/>
      <c r="I253" s="27"/>
      <c r="J253" s="85"/>
      <c r="L253">
        <f>IF(OR(Taxable_CG&gt;0,tax_on_gains_already_charged+CG_trust_tax&gt;0),1,0)</f>
        <v>0</v>
      </c>
    </row>
    <row r="254" spans="1:12" x14ac:dyDescent="0.25">
      <c r="A254" s="2035" t="s">
        <v>6756</v>
      </c>
      <c r="C254" s="178"/>
      <c r="D254" s="2616"/>
      <c r="E254" s="2616"/>
      <c r="F254" s="2616"/>
      <c r="G254" s="154"/>
      <c r="H254" s="816"/>
      <c r="I254" s="170"/>
      <c r="J254" s="85"/>
      <c r="K254" s="178"/>
      <c r="L254">
        <f>IF(OR(Taxable_CG&gt;0,tax_on_gains_already_charged+CG_trust_tax&gt;0),1,0)</f>
        <v>0</v>
      </c>
    </row>
    <row r="255" spans="1:12" x14ac:dyDescent="0.25">
      <c r="A255" s="2035" t="s">
        <v>5167</v>
      </c>
      <c r="C255" s="178"/>
      <c r="D255" s="2616" t="s">
        <v>6757</v>
      </c>
      <c r="E255" s="2616"/>
      <c r="F255" s="2616"/>
      <c r="G255" s="154">
        <f>CG_at_ER_rate</f>
        <v>0</v>
      </c>
      <c r="H255" s="760" t="str">
        <f>"x "&amp;ER_CGT_rate*100&amp;"%"</f>
        <v>x 14%</v>
      </c>
      <c r="I255" s="560">
        <f>ER_rate_CGT</f>
        <v>0</v>
      </c>
      <c r="J255" s="85"/>
      <c r="L255">
        <f>IF(CG_at_ER_rate&gt;0,1,0)</f>
        <v>0</v>
      </c>
    </row>
    <row r="256" spans="1:12" x14ac:dyDescent="0.25">
      <c r="A256" s="2035" t="s">
        <v>5177</v>
      </c>
      <c r="C256" s="178"/>
      <c r="D256" s="2616" t="s">
        <v>6758</v>
      </c>
      <c r="E256" s="2616"/>
      <c r="F256" s="2616"/>
      <c r="G256" s="154" cm="1">
        <f t="array" ref="G256">CG_at_lower_rate_CI</f>
        <v>0</v>
      </c>
      <c r="H256" s="760" t="str">
        <f>"x "&amp;CI_CGT_rate*100&amp;"%"</f>
        <v>x 32%</v>
      </c>
      <c r="I256" s="560">
        <f>Lower_rate_CGT_CI</f>
        <v>0</v>
      </c>
      <c r="J256" s="85"/>
      <c r="L256" s="178">
        <f>IF(CG_at_lower_rate_CI&gt;0,1,0)</f>
        <v>0</v>
      </c>
    </row>
    <row r="257" spans="1:12" x14ac:dyDescent="0.25">
      <c r="A257" s="2035" t="s">
        <v>5185</v>
      </c>
      <c r="C257" s="178"/>
      <c r="D257" s="2616" t="s">
        <v>6759</v>
      </c>
      <c r="E257" s="2616"/>
      <c r="F257" s="2616"/>
      <c r="G257" s="154">
        <f>CG_at_higher_rate_CI</f>
        <v>0</v>
      </c>
      <c r="H257" s="760" t="str">
        <f>"x "&amp;CI_CGT_rate*100&amp;"%"</f>
        <v>x 32%</v>
      </c>
      <c r="I257" s="560">
        <f>Higher_rate_CGT_CI</f>
        <v>0</v>
      </c>
      <c r="L257" s="178">
        <f>IF(CG_at_higher_rate_CI&gt;0,1,0)</f>
        <v>0</v>
      </c>
    </row>
    <row r="258" spans="1:12" x14ac:dyDescent="0.25">
      <c r="A258" s="2045" t="s">
        <v>5212</v>
      </c>
      <c r="C258" s="178"/>
      <c r="D258" s="2616" t="s">
        <v>6760</v>
      </c>
      <c r="E258" s="2616"/>
      <c r="F258" s="2616"/>
      <c r="G258" s="154">
        <f>CG_at_lower_rate_RP</f>
        <v>0</v>
      </c>
      <c r="H258" s="968" t="str">
        <f>"x "&amp;Lower_CGT_rate_RP*100&amp;"%"</f>
        <v>x 18%</v>
      </c>
      <c r="I258" s="560">
        <f>Lower_rate_CGT_RP</f>
        <v>0</v>
      </c>
      <c r="L258" s="178">
        <f>IF(CG_at_lower_rate_RP&gt;0,1,0)</f>
        <v>0</v>
      </c>
    </row>
    <row r="259" spans="1:12" x14ac:dyDescent="0.25">
      <c r="A259" s="2045" t="s">
        <v>5222</v>
      </c>
      <c r="C259" s="178"/>
      <c r="D259" s="2616" t="s">
        <v>6761</v>
      </c>
      <c r="E259" s="2616"/>
      <c r="F259" s="2616"/>
      <c r="G259" s="154">
        <f>CG_at_higher_rate_RP</f>
        <v>0</v>
      </c>
      <c r="H259" s="968" t="str">
        <f>"x "&amp;Upper_CGT_rate_RP*100&amp;"%"</f>
        <v>x 24%</v>
      </c>
      <c r="I259" s="560">
        <f>Higher_rate_CGT_RP</f>
        <v>0</v>
      </c>
      <c r="L259" s="178">
        <f>IF(CG_at_higher_rate_RP&gt;0,1,0)</f>
        <v>0</v>
      </c>
    </row>
    <row r="260" spans="1:12" x14ac:dyDescent="0.25">
      <c r="A260" s="2035" t="s">
        <v>5229</v>
      </c>
      <c r="C260" s="178"/>
      <c r="D260" s="2616" t="s">
        <v>6762</v>
      </c>
      <c r="E260" s="2616"/>
      <c r="F260" s="2616"/>
      <c r="G260" s="154">
        <f>CG_at_lower_rate</f>
        <v>0</v>
      </c>
      <c r="H260" s="760" t="str">
        <f>"x "&amp;Lower_CGT_rate*100&amp;"%"</f>
        <v>x 18%</v>
      </c>
      <c r="I260" s="560">
        <f>Lower_rate_CGT</f>
        <v>0</v>
      </c>
      <c r="J260" s="85"/>
      <c r="L260">
        <f>IF(CG_at_lower_rate&gt;0,1,0)</f>
        <v>0</v>
      </c>
    </row>
    <row r="261" spans="1:12" x14ac:dyDescent="0.25">
      <c r="A261" s="2035" t="s">
        <v>5240</v>
      </c>
      <c r="C261" s="178"/>
      <c r="D261" s="2616" t="s">
        <v>6763</v>
      </c>
      <c r="E261" s="2616"/>
      <c r="F261" s="2616"/>
      <c r="G261" s="154">
        <f>CG_at_higher_rate</f>
        <v>0</v>
      </c>
      <c r="H261" s="760" t="str">
        <f>"x "&amp;Upper_CGT_rate*100&amp;"%"</f>
        <v>x 24%</v>
      </c>
      <c r="I261" s="560">
        <f>Higher_rate_CGT</f>
        <v>0</v>
      </c>
      <c r="L261">
        <f>IF(CG_at_higher_rate&gt;0,1,0)</f>
        <v>0</v>
      </c>
    </row>
    <row r="262" spans="1:12" ht="13" x14ac:dyDescent="0.3">
      <c r="A262" s="2035" t="s">
        <v>5250</v>
      </c>
      <c r="C262" s="2618" t="s">
        <v>6764</v>
      </c>
      <c r="D262" s="2618"/>
      <c r="E262" s="2618"/>
      <c r="F262" s="2618"/>
      <c r="G262" s="2062">
        <f>Taxable_CG</f>
        <v>0</v>
      </c>
      <c r="I262"/>
      <c r="L262">
        <f>IF(Taxable_CG&gt;0,1,0)</f>
        <v>0</v>
      </c>
    </row>
    <row r="263" spans="1:12" ht="13" x14ac:dyDescent="0.3">
      <c r="A263" s="2035" t="s">
        <v>6765</v>
      </c>
      <c r="C263" s="178"/>
      <c r="D263" s="981"/>
      <c r="E263" s="981"/>
      <c r="F263" s="981"/>
      <c r="G263" s="84"/>
      <c r="I263"/>
      <c r="L263">
        <f>IF(Taxable_CG&gt;0,1,0)</f>
        <v>0</v>
      </c>
    </row>
    <row r="264" spans="1:12" ht="13" x14ac:dyDescent="0.3">
      <c r="A264" s="2035" t="s">
        <v>5256</v>
      </c>
      <c r="C264" s="178"/>
      <c r="D264" s="2619" t="s">
        <v>4645</v>
      </c>
      <c r="E264" s="2620"/>
      <c r="F264" s="2620"/>
      <c r="G264" s="982"/>
      <c r="H264" s="983"/>
      <c r="I264" s="984">
        <f>Total_CGT_tax</f>
        <v>0</v>
      </c>
      <c r="L264">
        <f>IF(Taxable_CG&gt;0,1,0)</f>
        <v>0</v>
      </c>
    </row>
    <row r="265" spans="1:12" x14ac:dyDescent="0.25">
      <c r="A265" s="2035" t="s">
        <v>5262</v>
      </c>
      <c r="C265" s="1" t="s">
        <v>6604</v>
      </c>
      <c r="D265" s="2616" t="s">
        <v>6766</v>
      </c>
      <c r="E265" s="2616"/>
      <c r="F265" s="2616"/>
      <c r="I265" s="82">
        <f>CGT_adjustment</f>
        <v>0</v>
      </c>
      <c r="L265">
        <f>IF(CGT_adjustment&lt;&gt;0,1,0)</f>
        <v>0</v>
      </c>
    </row>
    <row r="266" spans="1:12" x14ac:dyDescent="0.25">
      <c r="A266" s="2035" t="s">
        <v>5267</v>
      </c>
      <c r="C266" s="1" t="s">
        <v>6604</v>
      </c>
      <c r="D266" s="2616" t="s">
        <v>6767</v>
      </c>
      <c r="E266" s="2616"/>
      <c r="F266" s="2616"/>
      <c r="G266" s="2616"/>
      <c r="H266" s="985"/>
      <c r="I266" s="82">
        <f>CG_trust_tax</f>
        <v>0</v>
      </c>
      <c r="J266" s="85"/>
      <c r="L266">
        <f>IF(CG_trust_tax&gt;0,1,0)</f>
        <v>0</v>
      </c>
    </row>
    <row r="267" spans="1:12" ht="13" x14ac:dyDescent="0.3">
      <c r="A267" s="2037" t="s">
        <v>5273</v>
      </c>
      <c r="C267" s="178"/>
      <c r="D267" s="2618" t="s">
        <v>4559</v>
      </c>
      <c r="E267" s="2618"/>
      <c r="I267" s="2063">
        <f>Total_CG_tax_due</f>
        <v>0</v>
      </c>
      <c r="J267" s="178"/>
      <c r="L267">
        <f>IF(CGT_adjustment+CG_trust_tax&gt;0,1,0)</f>
        <v>0</v>
      </c>
    </row>
    <row r="268" spans="1:12" x14ac:dyDescent="0.25">
      <c r="A268" s="2036" t="s">
        <v>5279</v>
      </c>
      <c r="B268" s="969"/>
      <c r="C268" s="1" t="s">
        <v>4607</v>
      </c>
      <c r="D268" s="2616" t="s">
        <v>6768</v>
      </c>
      <c r="E268" s="2616"/>
      <c r="F268" s="2616"/>
      <c r="G268" s="2616"/>
      <c r="H268" s="985"/>
      <c r="I268" s="82">
        <f>CG_FTCR</f>
        <v>0</v>
      </c>
      <c r="J268" s="85"/>
      <c r="L268">
        <f>IF(AND(CG_FTCR&gt;0,CG_FTCR=CG_FTCR_restricted),1,0)</f>
        <v>0</v>
      </c>
    </row>
    <row r="269" spans="1:12" x14ac:dyDescent="0.25">
      <c r="A269" s="2037" t="s">
        <v>6606</v>
      </c>
      <c r="B269" s="969"/>
      <c r="C269" s="1" t="s">
        <v>4607</v>
      </c>
      <c r="D269" s="2616" t="str">
        <f>"Foreign Tax Credit Relief "&amp;DOLLAR(CG_FTCR,0)&amp;" reduced to maximum allowable"</f>
        <v>Foreign Tax Credit Relief £0 reduced to maximum allowable</v>
      </c>
      <c r="E269" s="2616"/>
      <c r="F269" s="2616"/>
      <c r="G269" s="2616"/>
      <c r="H269" s="985"/>
      <c r="I269" s="82">
        <f>CG_FTCR_restricted</f>
        <v>0</v>
      </c>
      <c r="J269" s="85"/>
      <c r="L269">
        <f>IF(AND(CG_FTCR&gt;0,CG_FTCR&gt;CG_FTCR_restricted),1,0)</f>
        <v>0</v>
      </c>
    </row>
    <row r="270" spans="1:12" x14ac:dyDescent="0.25">
      <c r="A270" s="2035" t="s">
        <v>5289</v>
      </c>
      <c r="C270" s="178"/>
      <c r="D270" s="2612" t="s">
        <v>6769</v>
      </c>
      <c r="E270" s="2612"/>
      <c r="F270" s="2612"/>
      <c r="G270" s="12"/>
      <c r="H270" s="985"/>
      <c r="I270" s="2063">
        <f>CG_tax_due_pre_tax</f>
        <v>0</v>
      </c>
      <c r="L270">
        <f>IF(CG_FTCR&gt;0,1,0)</f>
        <v>0</v>
      </c>
    </row>
    <row r="271" spans="1:12" ht="13" x14ac:dyDescent="0.3">
      <c r="A271" s="2035" t="s">
        <v>6770</v>
      </c>
      <c r="C271" s="178"/>
      <c r="D271" s="2"/>
      <c r="E271" s="2"/>
      <c r="I271" s="82"/>
      <c r="L271">
        <f>IF(tax_on_gains_already_charged&gt;0,1,0)</f>
        <v>0</v>
      </c>
    </row>
    <row r="272" spans="1:12" x14ac:dyDescent="0.25">
      <c r="A272" s="2037" t="s">
        <v>5295</v>
      </c>
      <c r="C272" s="1" t="s">
        <v>4607</v>
      </c>
      <c r="D272" s="2616" t="s">
        <v>6771</v>
      </c>
      <c r="E272" s="2616"/>
      <c r="F272" s="2616"/>
      <c r="G272" s="22"/>
      <c r="I272" s="82">
        <f>tax_on_gains_already_charged</f>
        <v>0</v>
      </c>
      <c r="L272">
        <f>IF(tax_on_gains_already_charged&gt;0,1,0)</f>
        <v>0</v>
      </c>
    </row>
    <row r="273" spans="1:12" x14ac:dyDescent="0.25">
      <c r="A273" s="2037" t="s">
        <v>5298</v>
      </c>
      <c r="C273" s="178"/>
      <c r="D273" s="2612" t="s">
        <v>6772</v>
      </c>
      <c r="E273" s="2612"/>
      <c r="F273" s="2612"/>
      <c r="G273" s="82"/>
      <c r="I273" s="2063"/>
      <c r="J273" s="82">
        <f>total_CG_due</f>
        <v>0</v>
      </c>
      <c r="L273">
        <f>IF(OR(Taxable_CG&gt;0,tax_on_gains_already_charged+CG_trust_tax&gt;0,CG_tax_due_pre_tax&gt;tax_on_gains_already_charged),1,0)</f>
        <v>0</v>
      </c>
    </row>
    <row r="274" spans="1:12" x14ac:dyDescent="0.25">
      <c r="A274" s="2035" t="s">
        <v>5300</v>
      </c>
      <c r="C274" s="178"/>
      <c r="D274" s="2612" t="s">
        <v>6773</v>
      </c>
      <c r="E274" s="2612"/>
      <c r="F274" s="2612"/>
      <c r="I274" s="82">
        <f>total_CG_overpaid</f>
        <v>0</v>
      </c>
      <c r="L274">
        <f>IF(total_CG_overpaid&gt;0,1,0)</f>
        <v>0</v>
      </c>
    </row>
    <row r="275" spans="1:12" x14ac:dyDescent="0.25">
      <c r="A275" s="2036" t="s">
        <v>6774</v>
      </c>
      <c r="C275" s="178"/>
      <c r="D275" s="12"/>
      <c r="J275" s="82"/>
      <c r="L275">
        <f>IF(OR(Taxable_CG&gt;0,tax_on_gains_already_charged&gt;0),1,0)</f>
        <v>0</v>
      </c>
    </row>
    <row r="276" spans="1:12" ht="13" x14ac:dyDescent="0.3">
      <c r="A276" s="2036" t="s">
        <v>5303</v>
      </c>
      <c r="B276" s="978"/>
      <c r="C276" s="2609" t="s">
        <v>6775</v>
      </c>
      <c r="D276" s="2610"/>
      <c r="E276" s="2610"/>
      <c r="F276" s="2610"/>
      <c r="G276" s="2610"/>
      <c r="H276" s="2610"/>
      <c r="I276" s="2610"/>
      <c r="J276" s="2059">
        <f>Total_IT_CG_class4_due_pre</f>
        <v>0</v>
      </c>
      <c r="K276" s="178"/>
      <c r="L276" s="1080">
        <f>IF(TRF_charge&gt;0,0,IF(AND(OR(Taxable_CG&gt;0,tax_on_gains_already_charged+CG_trust_tax&gt;0),IT_plus_class4+total_CG_due&gt;=total_tax_paid,NIC_total&gt;0,NIC2_amount&gt;0,NIC2_amount=NIC_total,CG_repayable&gt;0),1,0))</f>
        <v>0</v>
      </c>
    </row>
    <row r="277" spans="1:12" ht="13" x14ac:dyDescent="0.3">
      <c r="A277" s="1085" t="s">
        <v>6606</v>
      </c>
      <c r="B277" s="1079"/>
      <c r="C277" s="2633" t="s">
        <v>6779</v>
      </c>
      <c r="D277" s="2634"/>
      <c r="E277" s="2634"/>
      <c r="F277" s="2634"/>
      <c r="G277" s="2634"/>
      <c r="H277" s="2634"/>
      <c r="I277" s="2634"/>
      <c r="J277" s="2064"/>
      <c r="K277" s="1078"/>
      <c r="L277" s="1078">
        <f>IF(TRF_charge=0,0,IF(AND(OR(Taxable_CG&gt;0,tax_on_gains_already_charged+CG_trust_tax&gt;0),IT_plus_class4+total_CG_due&gt;=total_tax_paid,NIC_total&gt;0,NIC2_amount&gt;0,NIC2_amount=NIC_total,CG_repayable&gt;0),1,0))</f>
        <v>0</v>
      </c>
    </row>
    <row r="278" spans="1:12" ht="13" x14ac:dyDescent="0.3">
      <c r="A278" s="1085"/>
      <c r="B278" s="1079"/>
      <c r="C278" s="2635" t="s">
        <v>6780</v>
      </c>
      <c r="D278" s="2636"/>
      <c r="E278" s="2636"/>
      <c r="F278" s="2636"/>
      <c r="G278" s="2636"/>
      <c r="H278" s="2636"/>
      <c r="I278" s="2636"/>
      <c r="J278" s="2065">
        <f>Total_IT_CG_class4_due_pre</f>
        <v>0</v>
      </c>
      <c r="K278" s="1078"/>
      <c r="L278" s="1078">
        <f>IF(TRF_charge=0,0,IF(AND(OR(Taxable_CG&gt;0,tax_on_gains_already_charged+CG_trust_tax&gt;0),IT_plus_class4+total_CG_due&gt;=total_tax_paid,NIC_total&gt;0,NIC2_amount&gt;0,NIC2_amount=NIC_total,CG_repayable&gt;0),1,0))</f>
        <v>0</v>
      </c>
    </row>
    <row r="279" spans="1:12" ht="13" x14ac:dyDescent="0.3">
      <c r="A279" s="519" t="s">
        <v>6606</v>
      </c>
      <c r="B279" s="978"/>
      <c r="C279" s="2609" t="s">
        <v>6776</v>
      </c>
      <c r="D279" s="2610"/>
      <c r="E279" s="2610"/>
      <c r="F279" s="2610"/>
      <c r="G279" s="2610"/>
      <c r="H279" s="2610"/>
      <c r="I279" s="2610"/>
      <c r="J279" s="2059">
        <f>Total_IT_CG_class4_due_pre</f>
        <v>0</v>
      </c>
      <c r="K279" s="178"/>
      <c r="L279" s="1080">
        <f>IF(TRF_charge&gt;0,0,IF(AND(OR(Taxable_CG&gt;0,tax_on_gains_already_charged+CG_trust_tax&gt;0),IT_plus_class4+total_CG_due&gt;=total_tax_paid,NIC_total&gt;0,NIC2_amount=0,CG_repayable&gt;0),1,0))</f>
        <v>0</v>
      </c>
    </row>
    <row r="280" spans="1:12" ht="13" x14ac:dyDescent="0.3">
      <c r="A280" s="1085" t="s">
        <v>6606</v>
      </c>
      <c r="B280" s="1079"/>
      <c r="C280" s="2633" t="s">
        <v>6781</v>
      </c>
      <c r="D280" s="2634"/>
      <c r="E280" s="2634"/>
      <c r="F280" s="2634"/>
      <c r="G280" s="2634"/>
      <c r="H280" s="2634"/>
      <c r="I280" s="2634"/>
      <c r="J280" s="2064"/>
      <c r="K280" s="1078"/>
      <c r="L280" s="1078">
        <f>IF(TRF_charge=0,0,IF(AND(OR(Taxable_CG&gt;0,tax_on_gains_already_charged+CG_trust_tax&gt;0),IT_plus_class4+total_CG_due&gt;=total_tax_paid,NIC_total&gt;0,NIC2_amount=0,CG_repayable&gt;0),1,0))</f>
        <v>0</v>
      </c>
    </row>
    <row r="281" spans="1:12" ht="13" x14ac:dyDescent="0.3">
      <c r="A281" s="1085"/>
      <c r="B281" s="1079"/>
      <c r="C281" s="2635" t="s">
        <v>6780</v>
      </c>
      <c r="D281" s="2636"/>
      <c r="E281" s="2636"/>
      <c r="F281" s="2636"/>
      <c r="G281" s="2636"/>
      <c r="H281" s="2636"/>
      <c r="I281" s="2636"/>
      <c r="J281" s="2065">
        <f>Total_IT_CG_class4_due_pre</f>
        <v>0</v>
      </c>
      <c r="K281" s="1078"/>
      <c r="L281" s="1078">
        <f>IF(TRF_charge=0,0,IF(AND(OR(Taxable_CG&gt;0,tax_on_gains_already_charged+CG_trust_tax&gt;0),IT_plus_class4+total_CG_due&gt;=total_tax_paid,NIC_total&gt;0,NIC2_amount=0,CG_repayable&gt;0),1,0))</f>
        <v>0</v>
      </c>
    </row>
    <row r="282" spans="1:12" ht="13" x14ac:dyDescent="0.3">
      <c r="A282" s="519" t="s">
        <v>6606</v>
      </c>
      <c r="B282" s="978"/>
      <c r="C282" s="2609" t="s">
        <v>6777</v>
      </c>
      <c r="D282" s="2610"/>
      <c r="E282" s="2610"/>
      <c r="F282" s="2610"/>
      <c r="G282" s="2610"/>
      <c r="H282" s="2610"/>
      <c r="I282" s="2610"/>
      <c r="J282" s="2059">
        <f>Total_IT_CG_class4_due_pre</f>
        <v>0</v>
      </c>
      <c r="K282" s="178"/>
      <c r="L282" s="1080">
        <f>IF(TRF_charge&gt;0,0,IF(AND(OR(Taxable_CG&gt;0,tax_on_gains_already_charged+CG_trust_tax&gt;0),IT_plus_class4+total_CG_due&gt;=total_tax_paid,NIC_total&gt;0,NIC2_amount&gt;0,NIC2_amount&lt;NIC_total,CG_repayable&gt;0),1,0))</f>
        <v>0</v>
      </c>
    </row>
    <row r="283" spans="1:12" ht="13" x14ac:dyDescent="0.3">
      <c r="A283" s="1085" t="s">
        <v>6606</v>
      </c>
      <c r="B283" s="1079"/>
      <c r="C283" s="2633" t="s">
        <v>6782</v>
      </c>
      <c r="D283" s="2634"/>
      <c r="E283" s="2634"/>
      <c r="F283" s="2634"/>
      <c r="G283" s="2634"/>
      <c r="H283" s="2634"/>
      <c r="I283" s="2634"/>
      <c r="J283" s="2064"/>
      <c r="K283" s="1078"/>
      <c r="L283" s="1078">
        <f>IF(TRF_charge=0,0,IF(AND(OR(Taxable_CG&gt;0,tax_on_gains_already_charged+CG_trust_tax&gt;0),IT_plus_class4+total_CG_due&gt;=total_tax_paid,NIC_total&gt;0,NIC2_amount&gt;0,NIC2_amount&lt;NIC_total,CG_repayable&gt;0),1,0))</f>
        <v>0</v>
      </c>
    </row>
    <row r="284" spans="1:12" ht="13" x14ac:dyDescent="0.3">
      <c r="A284" s="1085"/>
      <c r="B284" s="1079"/>
      <c r="C284" s="2635" t="s">
        <v>6780</v>
      </c>
      <c r="D284" s="2636"/>
      <c r="E284" s="2636"/>
      <c r="F284" s="2636"/>
      <c r="G284" s="2636"/>
      <c r="H284" s="2636"/>
      <c r="I284" s="2636"/>
      <c r="J284" s="2065">
        <f>Total_IT_CG_class4_due_pre</f>
        <v>0</v>
      </c>
      <c r="K284" s="1078"/>
      <c r="L284" s="1078">
        <f>IF(TRF_charge=0,0,IF(AND(OR(Taxable_CG&gt;0,tax_on_gains_already_charged+CG_trust_tax&gt;0),IT_plus_class4+total_CG_due&gt;=total_tax_paid,NIC_total&gt;0,NIC2_amount&gt;0,NIC2_amount&lt;NIC_total,CG_repayable&gt;0),1,0))</f>
        <v>0</v>
      </c>
    </row>
    <row r="285" spans="1:12" ht="13" x14ac:dyDescent="0.3">
      <c r="A285" s="519" t="s">
        <v>6606</v>
      </c>
      <c r="C285" s="2609" t="s">
        <v>6778</v>
      </c>
      <c r="D285" s="2610"/>
      <c r="E285" s="2610"/>
      <c r="F285" s="2610"/>
      <c r="G285" s="2610"/>
      <c r="H285" s="2043"/>
      <c r="I285" s="2043"/>
      <c r="J285" s="2059">
        <f>Total_IT_CG_class4_due_pre</f>
        <v>0</v>
      </c>
      <c r="L285" s="1078">
        <f>IF(TRF_charge&gt;0,0,IF(AND(OR(Taxable_CG&gt;0,tax_on_gains_already_charged+CG_trust_tax&gt;0),IT_plus_class4+total_CG_due&gt;=total_tax_paid,NIC_total=0,CG_repayable&gt;0),1,0))</f>
        <v>0</v>
      </c>
    </row>
    <row r="286" spans="1:12" ht="13" x14ac:dyDescent="0.3">
      <c r="A286" s="2039" t="s">
        <v>6606</v>
      </c>
      <c r="B286" s="1079"/>
      <c r="C286" s="2627" t="s">
        <v>6783</v>
      </c>
      <c r="D286" s="2628"/>
      <c r="E286" s="2628"/>
      <c r="F286" s="2628"/>
      <c r="G286" s="2628"/>
      <c r="H286" s="2628"/>
      <c r="I286" s="2628"/>
      <c r="J286" s="2061">
        <f>Total_IT_CG_class4_due_pre</f>
        <v>0</v>
      </c>
      <c r="K286" s="1078"/>
      <c r="L286" s="1078">
        <f>IF(TRF_charge=0,0,IF(AND(OR(Taxable_CG&gt;0,tax_on_gains_already_charged+CG_trust_tax&gt;0),IT_plus_class4+total_CG_due&gt;=total_tax_paid,NIC_total=0,CG_repayable&gt;0),1,0))</f>
        <v>0</v>
      </c>
    </row>
    <row r="287" spans="1:12" ht="13" x14ac:dyDescent="0.3">
      <c r="A287" s="2035" t="s">
        <v>6784</v>
      </c>
      <c r="C287" s="2"/>
      <c r="D287" s="2"/>
      <c r="H287" s="12"/>
      <c r="J287" s="170"/>
      <c r="L287">
        <f>IF(CG_repayable&gt;0,1,0)</f>
        <v>0</v>
      </c>
    </row>
    <row r="288" spans="1:12" ht="13" x14ac:dyDescent="0.3">
      <c r="A288" s="2036" t="s">
        <v>6785</v>
      </c>
      <c r="C288" s="1" t="s">
        <v>4607</v>
      </c>
      <c r="D288" s="2632" t="s">
        <v>6773</v>
      </c>
      <c r="E288" s="2632"/>
      <c r="F288" s="2632"/>
      <c r="G288" s="2632"/>
      <c r="H288" s="2632"/>
      <c r="I288" s="2632"/>
      <c r="J288" s="170"/>
      <c r="L288">
        <f>IF(CG_repayable&gt;0,1,0)</f>
        <v>0</v>
      </c>
    </row>
    <row r="289" spans="1:12" ht="13" x14ac:dyDescent="0.3">
      <c r="A289" s="519" t="s">
        <v>5306</v>
      </c>
      <c r="C289" s="1"/>
      <c r="D289" s="2632" t="s">
        <v>6787</v>
      </c>
      <c r="E289" s="2632"/>
      <c r="F289" s="2632"/>
      <c r="G289" s="2632"/>
      <c r="H289" s="2632"/>
      <c r="I289" s="2632"/>
      <c r="J289" s="170">
        <f>CG_repayable</f>
        <v>0</v>
      </c>
      <c r="L289" s="1078">
        <f>IF(TRF_charge&gt;0,0,IF(AND(IT_plus_class4&gt;=total_tax_paid,NIC_total&gt;0,NIC2_amount&gt;0,NIC2_amount=NIC_total,CG_repayable&gt;0),1,0))</f>
        <v>0</v>
      </c>
    </row>
    <row r="290" spans="1:12" ht="13" x14ac:dyDescent="0.3">
      <c r="A290" s="1085" t="s">
        <v>6606</v>
      </c>
      <c r="B290" s="1079"/>
      <c r="C290" s="1079"/>
      <c r="D290" s="2631" t="s">
        <v>6791</v>
      </c>
      <c r="E290" s="2631"/>
      <c r="F290" s="2631"/>
      <c r="G290" s="2631"/>
      <c r="H290" s="2631"/>
      <c r="I290" s="2631"/>
      <c r="J290" s="1087"/>
      <c r="K290" s="1078"/>
      <c r="L290" s="1078">
        <f>IF(TRF_charge=0,0,IF(AND(IT_plus_class4&gt;=total_tax_paid,NIC_total&gt;0,NIC2_amount&gt;0,NIC2_amount=NIC_total,CG_repayable&gt;0),1,0))</f>
        <v>0</v>
      </c>
    </row>
    <row r="291" spans="1:12" ht="13" x14ac:dyDescent="0.3">
      <c r="A291" s="1085"/>
      <c r="B291" s="1079"/>
      <c r="C291" s="1079"/>
      <c r="D291" s="2631" t="s">
        <v>6780</v>
      </c>
      <c r="E291" s="2631"/>
      <c r="F291" s="2631"/>
      <c r="G291" s="2631"/>
      <c r="H291" s="2631"/>
      <c r="I291" s="2631"/>
      <c r="J291" s="1087">
        <f>CG_repayable</f>
        <v>0</v>
      </c>
      <c r="K291" s="1078"/>
      <c r="L291" s="1078">
        <f>IF(TRF_charge=0,0,IF(AND(IT_plus_class4&gt;=total_tax_paid,NIC_total&gt;0,NIC2_amount&gt;0,NIC2_amount=NIC_total,CG_repayable&gt;0),1,0))</f>
        <v>0</v>
      </c>
    </row>
    <row r="292" spans="1:12" ht="13" x14ac:dyDescent="0.3">
      <c r="A292" s="519" t="s">
        <v>6606</v>
      </c>
      <c r="C292" s="1"/>
      <c r="D292" s="2632" t="s">
        <v>6788</v>
      </c>
      <c r="E292" s="2632"/>
      <c r="F292" s="2632"/>
      <c r="G292" s="2632"/>
      <c r="H292" s="2632"/>
      <c r="I292" s="2632"/>
      <c r="J292" s="170">
        <f>CG_repayable</f>
        <v>0</v>
      </c>
      <c r="L292" s="1078">
        <f>IF(TRF_charge&gt;0,0,IF(AND(IT_plus_class4&gt;=total_tax_paid,NIC_total&gt;0,NIC2_amount=0,CG_repayable&gt;0),1,0))</f>
        <v>0</v>
      </c>
    </row>
    <row r="293" spans="1:12" ht="13" x14ac:dyDescent="0.3">
      <c r="A293" s="1085" t="s">
        <v>6606</v>
      </c>
      <c r="B293" s="1079"/>
      <c r="C293" s="1079"/>
      <c r="D293" s="2631" t="s">
        <v>6792</v>
      </c>
      <c r="E293" s="2631"/>
      <c r="F293" s="2631"/>
      <c r="G293" s="2631"/>
      <c r="H293" s="2631"/>
      <c r="I293" s="2631"/>
      <c r="J293" s="1087"/>
      <c r="K293" s="1078"/>
      <c r="L293" s="1078">
        <f>IF(TRF_charge=0,0,IF(AND(IT_plus_class4&gt;=total_tax_paid,NIC_total&gt;0,NIC2_amount=0,CG_repayable&gt;0),1,0))</f>
        <v>0</v>
      </c>
    </row>
    <row r="294" spans="1:12" ht="13" x14ac:dyDescent="0.3">
      <c r="A294" s="1085"/>
      <c r="B294" s="1079"/>
      <c r="C294" s="1079"/>
      <c r="D294" s="2631" t="s">
        <v>6780</v>
      </c>
      <c r="E294" s="2631"/>
      <c r="F294" s="2631"/>
      <c r="G294" s="2631"/>
      <c r="H294" s="2631"/>
      <c r="I294" s="2631"/>
      <c r="J294" s="1087">
        <f>CG_repayable</f>
        <v>0</v>
      </c>
      <c r="K294" s="1078"/>
      <c r="L294" s="1078">
        <f>IF(TRF_charge=0,0,IF(AND(IT_plus_class4&gt;=total_tax_paid,NIC_total&gt;0,NIC2_amount=0,CG_repayable&gt;0),1,0))</f>
        <v>0</v>
      </c>
    </row>
    <row r="295" spans="1:12" ht="13" x14ac:dyDescent="0.3">
      <c r="A295" s="519" t="s">
        <v>6606</v>
      </c>
      <c r="C295" s="1"/>
      <c r="D295" s="2632" t="s">
        <v>6789</v>
      </c>
      <c r="E295" s="2632"/>
      <c r="F295" s="2632"/>
      <c r="G295" s="2632"/>
      <c r="H295" s="2632"/>
      <c r="I295" s="2632"/>
      <c r="J295" s="170">
        <f>CG_repayable</f>
        <v>0</v>
      </c>
      <c r="L295" s="1078">
        <f>IF(TRF_charge&gt;0,0,IF(AND(NIC_total&gt;0,NIC2_amount&gt;0,NIC2_amount&lt;NIC_total,CG_repayable&gt;0),1,0))</f>
        <v>0</v>
      </c>
    </row>
    <row r="296" spans="1:12" ht="13" x14ac:dyDescent="0.3">
      <c r="A296" s="1085" t="s">
        <v>6606</v>
      </c>
      <c r="B296" s="1079"/>
      <c r="C296" s="1079"/>
      <c r="D296" s="2631" t="s">
        <v>6793</v>
      </c>
      <c r="E296" s="2631"/>
      <c r="F296" s="2631"/>
      <c r="G296" s="2631"/>
      <c r="H296" s="2631"/>
      <c r="I296" s="2631"/>
      <c r="J296" s="1087"/>
      <c r="K296" s="1078"/>
      <c r="L296" s="1078">
        <f>IF(TRF_charge=0,0,IF(AND(NIC_total&gt;0,NIC2_amount&gt;0,NIC2_amount&lt;NIC_total,CG_repayable&gt;0),1,0))</f>
        <v>0</v>
      </c>
    </row>
    <row r="297" spans="1:12" ht="13" x14ac:dyDescent="0.3">
      <c r="A297" s="1085"/>
      <c r="B297" s="1079"/>
      <c r="C297" s="1079"/>
      <c r="D297" s="2631" t="s">
        <v>6780</v>
      </c>
      <c r="E297" s="2631"/>
      <c r="F297" s="2631"/>
      <c r="G297" s="2631"/>
      <c r="H297" s="2631"/>
      <c r="I297" s="2631"/>
      <c r="J297" s="1087">
        <f>CG_repayable</f>
        <v>0</v>
      </c>
      <c r="K297" s="1078"/>
      <c r="L297" s="1078">
        <f>IF(TRF_charge=0,0,IF(AND(NIC_total&gt;0,NIC2_amount&gt;0,NIC2_amount&lt;NIC_total,CG_repayable&gt;0),1,0))</f>
        <v>0</v>
      </c>
    </row>
    <row r="298" spans="1:12" ht="13" x14ac:dyDescent="0.3">
      <c r="A298" s="2376" t="s">
        <v>6606</v>
      </c>
      <c r="C298" s="1"/>
      <c r="D298" s="2632" t="s">
        <v>6786</v>
      </c>
      <c r="E298" s="2632"/>
      <c r="F298" s="2632"/>
      <c r="G298" s="2632"/>
      <c r="H298" s="2632"/>
      <c r="I298" s="2632"/>
      <c r="J298" s="170">
        <f>CG_repayable</f>
        <v>0</v>
      </c>
      <c r="L298" s="1078">
        <f>IF(TRF_charge&gt;0,0,IF(AND(IT_plus_class4&gt;=total_tax_paid,NIC_total=0,CG_repayable&gt;0),1,0))</f>
        <v>0</v>
      </c>
    </row>
    <row r="299" spans="1:12" ht="13" x14ac:dyDescent="0.3">
      <c r="A299" s="1085" t="s">
        <v>6606</v>
      </c>
      <c r="B299" s="1079"/>
      <c r="C299" s="1079"/>
      <c r="D299" s="2631" t="s">
        <v>6790</v>
      </c>
      <c r="E299" s="2631"/>
      <c r="F299" s="2631"/>
      <c r="G299" s="2631"/>
      <c r="H299" s="2631"/>
      <c r="I299" s="2631"/>
      <c r="J299" s="1087">
        <f>CG_repayable</f>
        <v>0</v>
      </c>
      <c r="K299" s="1078"/>
      <c r="L299" s="1078">
        <f>IF(TRF_charge=0,0,IF(AND(IT_plus_class4&gt;=total_tax_paid,NIC_total=0,CG_repayable&gt;0),1,0))</f>
        <v>0</v>
      </c>
    </row>
    <row r="300" spans="1:12" ht="13" x14ac:dyDescent="0.3">
      <c r="A300" s="2036" t="s">
        <v>6794</v>
      </c>
      <c r="C300" s="2"/>
      <c r="D300" s="2"/>
      <c r="H300" s="12"/>
      <c r="J300" s="170"/>
      <c r="L300">
        <f>IF(CG_repayable&gt;0,1,0)</f>
        <v>0</v>
      </c>
    </row>
    <row r="301" spans="1:12" ht="13" x14ac:dyDescent="0.3">
      <c r="A301" s="2036" t="s">
        <v>5309</v>
      </c>
      <c r="C301" s="2609" t="s">
        <v>4629</v>
      </c>
      <c r="D301" s="2610"/>
      <c r="E301" s="2610"/>
      <c r="F301" s="2058"/>
      <c r="G301" s="2058"/>
      <c r="H301" s="2058"/>
      <c r="I301" s="2043"/>
      <c r="J301" s="2059">
        <f>Total_IT_CG_class4_due</f>
        <v>0</v>
      </c>
      <c r="L301" s="1078">
        <f>IF(AND(OR(Taxable_CG&gt;0,tax_on_gains_already_charged+CG_trust_tax&gt;0),total_tax_paid&gt;IT_plus_class4+total_CG_due),1,0)</f>
        <v>0</v>
      </c>
    </row>
    <row r="302" spans="1:12" ht="13" x14ac:dyDescent="0.3">
      <c r="A302" s="519" t="s">
        <v>6606</v>
      </c>
      <c r="B302" s="978"/>
      <c r="C302" s="2609" t="s">
        <v>6775</v>
      </c>
      <c r="D302" s="2610"/>
      <c r="E302" s="2610"/>
      <c r="F302" s="2610"/>
      <c r="G302" s="2610"/>
      <c r="H302" s="2610"/>
      <c r="I302" s="2610"/>
      <c r="J302" s="2059">
        <f>Total_IT_CG_class4_due</f>
        <v>0</v>
      </c>
      <c r="K302" s="178"/>
      <c r="L302" s="1080">
        <f>IF(TRF_charge&gt;0,0,IF(AND(OR(Taxable_CG&gt;0,tax_on_gains_already_charged+CG_trust_tax&gt;0),IT_plus_class4+total_CG_due&gt;=total_tax_paid,NIC_total&gt;0,NIC2_amount&gt;0,NIC2_amount=NIC_total),1,0))</f>
        <v>0</v>
      </c>
    </row>
    <row r="303" spans="1:12" ht="13" x14ac:dyDescent="0.3">
      <c r="A303" s="1085" t="s">
        <v>6606</v>
      </c>
      <c r="B303" s="1079"/>
      <c r="C303" s="2633" t="s">
        <v>6779</v>
      </c>
      <c r="D303" s="2634"/>
      <c r="E303" s="2634"/>
      <c r="F303" s="2634"/>
      <c r="G303" s="2634"/>
      <c r="H303" s="2634"/>
      <c r="I303" s="2634"/>
      <c r="J303" s="2064"/>
      <c r="K303" s="1078"/>
      <c r="L303" s="1078">
        <f>IF(TRF_charge=0,0,IF(AND(OR(Taxable_CG&gt;0,tax_on_gains_already_charged+CG_trust_tax&gt;0,TRF_charge&gt;0),IT_plus_class4+total_CG_due&gt;=total_tax_paid,NIC_total&gt;0,NIC2_amount&gt;0,NIC2_amount=NIC_total),1,0))</f>
        <v>0</v>
      </c>
    </row>
    <row r="304" spans="1:12" ht="13" x14ac:dyDescent="0.3">
      <c r="A304" s="1085"/>
      <c r="B304" s="1079"/>
      <c r="C304" s="2635" t="s">
        <v>6780</v>
      </c>
      <c r="D304" s="2636"/>
      <c r="E304" s="2636"/>
      <c r="F304" s="2636"/>
      <c r="G304" s="2636"/>
      <c r="H304" s="2636"/>
      <c r="I304" s="2636"/>
      <c r="J304" s="2065">
        <f>Total_IT_CG_class4_due</f>
        <v>0</v>
      </c>
      <c r="K304" s="1078"/>
      <c r="L304" s="1078">
        <f>IF(TRF_charge=0,0,IF(AND(OR(Taxable_CG&gt;0,tax_on_gains_already_charged+CG_trust_tax&gt;0,TRF_charge&gt;0),IT_plus_class4+total_CG_due&gt;=total_tax_paid,NIC_total&gt;0,NIC2_amount&gt;0,NIC2_amount=NIC_total),1,0))</f>
        <v>0</v>
      </c>
    </row>
    <row r="305" spans="1:12" ht="13" x14ac:dyDescent="0.3">
      <c r="A305" s="519" t="s">
        <v>6606</v>
      </c>
      <c r="B305" s="978"/>
      <c r="C305" s="2609" t="s">
        <v>6776</v>
      </c>
      <c r="D305" s="2610"/>
      <c r="E305" s="2610"/>
      <c r="F305" s="2610"/>
      <c r="G305" s="2610"/>
      <c r="H305" s="2610"/>
      <c r="I305" s="2610"/>
      <c r="J305" s="2059">
        <f>Total_IT_CG_class4_due</f>
        <v>0</v>
      </c>
      <c r="K305" s="178"/>
      <c r="L305" s="1080">
        <f>IF(TRF_charge&gt;0,0,IF(AND(OR(Taxable_CG&gt;0,tax_on_gains_already_charged+CG_trust_tax&gt;0),IT_plus_class4+total_CG_due&gt;=total_tax_paid,NIC_total&gt;0,NIC2_amount=0),1,0))</f>
        <v>0</v>
      </c>
    </row>
    <row r="306" spans="1:12" ht="13" x14ac:dyDescent="0.3">
      <c r="A306" s="1085" t="s">
        <v>6606</v>
      </c>
      <c r="B306" s="1079"/>
      <c r="C306" s="2633" t="s">
        <v>6781</v>
      </c>
      <c r="D306" s="2634"/>
      <c r="E306" s="2634"/>
      <c r="F306" s="2634"/>
      <c r="G306" s="2634"/>
      <c r="H306" s="2634"/>
      <c r="I306" s="2634"/>
      <c r="J306" s="2064"/>
      <c r="K306" s="1078"/>
      <c r="L306" s="1078">
        <f>IF(TRF_charge=0,0,IF(AND(OR(Taxable_CG&gt;0,tax_on_gains_already_charged+CG_trust_tax&gt;0),IT_plus_class4+total_CG_due&gt;=total_tax_paid,NIC_total&gt;0,NIC2_amount=0),1,0))</f>
        <v>0</v>
      </c>
    </row>
    <row r="307" spans="1:12" ht="13" x14ac:dyDescent="0.3">
      <c r="A307" s="1085"/>
      <c r="B307" s="1079"/>
      <c r="C307" s="2635" t="s">
        <v>6780</v>
      </c>
      <c r="D307" s="2636"/>
      <c r="E307" s="2636"/>
      <c r="F307" s="2636"/>
      <c r="G307" s="2636"/>
      <c r="H307" s="2636"/>
      <c r="I307" s="2636"/>
      <c r="J307" s="2065">
        <f>Total_IT_CG_class4_due</f>
        <v>0</v>
      </c>
      <c r="K307" s="1078"/>
      <c r="L307" s="1078">
        <f>IF(TRF_charge=0,0,IF(AND(OR(Taxable_CG&gt;0,tax_on_gains_already_charged+CG_trust_tax&gt;0),IT_plus_class4+total_CG_due&gt;=total_tax_paid,NIC_total&gt;0,NIC2_amount=0),1,0))</f>
        <v>0</v>
      </c>
    </row>
    <row r="308" spans="1:12" ht="13" x14ac:dyDescent="0.3">
      <c r="A308" s="519" t="s">
        <v>6606</v>
      </c>
      <c r="B308" s="978"/>
      <c r="C308" s="2609" t="s">
        <v>6777</v>
      </c>
      <c r="D308" s="2610"/>
      <c r="E308" s="2610"/>
      <c r="F308" s="2610"/>
      <c r="G308" s="2610"/>
      <c r="H308" s="2610"/>
      <c r="I308" s="2610"/>
      <c r="J308" s="2059">
        <f>Total_IT_CG_class4_due</f>
        <v>0</v>
      </c>
      <c r="K308" s="178"/>
      <c r="L308" s="1080">
        <f>IF(TRF_charge&gt;0,0,IF(AND(OR(Taxable_CG&gt;0,tax_on_gains_already_charged+CG_trust_tax&gt;0),IT_plus_class4+total_CG_due&gt;=total_tax_paid,NIC_total&gt;0,NIC2_amount&gt;0,NIC2_amount&lt;NIC_total),1,0))</f>
        <v>0</v>
      </c>
    </row>
    <row r="309" spans="1:12" ht="13" x14ac:dyDescent="0.3">
      <c r="A309" s="1085" t="s">
        <v>6606</v>
      </c>
      <c r="B309" s="1079"/>
      <c r="C309" s="2633" t="s">
        <v>6782</v>
      </c>
      <c r="D309" s="2634"/>
      <c r="E309" s="2634"/>
      <c r="F309" s="2634"/>
      <c r="G309" s="2634"/>
      <c r="H309" s="2634"/>
      <c r="I309" s="2634"/>
      <c r="J309" s="2064"/>
      <c r="K309" s="1078"/>
      <c r="L309" s="1078">
        <f>IF(TRF_charge=0,0,IF(AND(OR(Taxable_CG&gt;0,tax_on_gains_already_charged+CG_trust_tax&gt;0),IT_plus_class4+total_CG_due&gt;=total_tax_paid,NIC_total&gt;0,NIC2_amount&gt;0,NIC2_amount&lt;NIC_total),1,0))</f>
        <v>0</v>
      </c>
    </row>
    <row r="310" spans="1:12" ht="13" x14ac:dyDescent="0.3">
      <c r="A310" s="1085"/>
      <c r="B310" s="1079"/>
      <c r="C310" s="2635" t="s">
        <v>6780</v>
      </c>
      <c r="D310" s="2636"/>
      <c r="E310" s="2636"/>
      <c r="F310" s="2636"/>
      <c r="G310" s="2636"/>
      <c r="H310" s="2636"/>
      <c r="I310" s="2636"/>
      <c r="J310" s="2065">
        <f>Total_IT_CG_class4_due</f>
        <v>0</v>
      </c>
      <c r="K310" s="1078"/>
      <c r="L310" s="1078">
        <f>IF(TRF_charge=0,0,IF(AND(OR(Taxable_CG&gt;0,tax_on_gains_already_charged+CG_trust_tax&gt;0),IT_plus_class4+total_CG_due&gt;=total_tax_paid,NIC_total&gt;0,NIC2_amount&gt;0,NIC2_amount&lt;NIC_total),1,0))</f>
        <v>0</v>
      </c>
    </row>
    <row r="311" spans="1:12" ht="13" x14ac:dyDescent="0.3">
      <c r="A311" s="519" t="s">
        <v>6606</v>
      </c>
      <c r="C311" s="2609" t="s">
        <v>6795</v>
      </c>
      <c r="D311" s="2610"/>
      <c r="E311" s="2610"/>
      <c r="F311" s="2610"/>
      <c r="G311" s="2610"/>
      <c r="H311" s="2043"/>
      <c r="I311" s="2043"/>
      <c r="J311" s="2059">
        <f>Total_IT_CG_class4_due</f>
        <v>0</v>
      </c>
      <c r="L311" s="1078">
        <f>IF(TRF_charge&gt;0,0,IF(AND(OR(Taxable_CG&gt;0,tax_on_gains_already_charged+CG_trust_tax&gt;0),IT_plus_class4+total_CG_due&gt;=total_tax_paid,NIC_total=0),1,0))</f>
        <v>0</v>
      </c>
    </row>
    <row r="312" spans="1:12" ht="13" x14ac:dyDescent="0.3">
      <c r="A312" s="2039" t="s">
        <v>6606</v>
      </c>
      <c r="B312" s="1079"/>
      <c r="C312" s="2627" t="s">
        <v>6783</v>
      </c>
      <c r="D312" s="2628"/>
      <c r="E312" s="2628"/>
      <c r="F312" s="2628"/>
      <c r="G312" s="2628"/>
      <c r="H312" s="2628"/>
      <c r="I312" s="2628"/>
      <c r="J312" s="2061">
        <f>Total_IT_CG_class4_due</f>
        <v>0</v>
      </c>
      <c r="K312" s="1078"/>
      <c r="L312" s="1078">
        <f>IF(TRF_charge=0,0,IF(AND(OR(Taxable_CG&gt;0,tax_on_gains_already_charged+CG_trust_tax&gt;0),IT_plus_class4+total_CG_due&gt;=total_tax_paid,NIC_total=0),1,0))</f>
        <v>0</v>
      </c>
    </row>
    <row r="313" spans="1:12" ht="13" x14ac:dyDescent="0.3">
      <c r="A313" s="2035" t="s">
        <v>6796</v>
      </c>
      <c r="C313" s="2"/>
      <c r="D313" s="2"/>
      <c r="H313" s="12"/>
      <c r="J313" s="170"/>
      <c r="L313">
        <f>IF(OR(total_CG_due&gt;0,CG_not_repayable&gt;0),1,0)</f>
        <v>0</v>
      </c>
    </row>
    <row r="314" spans="1:12" ht="13" x14ac:dyDescent="0.3">
      <c r="A314" s="2036" t="s">
        <v>5312</v>
      </c>
      <c r="C314" s="2609" t="s">
        <v>6797</v>
      </c>
      <c r="D314" s="2610"/>
      <c r="E314" s="2610"/>
      <c r="F314" s="2610"/>
      <c r="G314" s="2043"/>
      <c r="H314" s="2043"/>
      <c r="I314" s="2066"/>
      <c r="J314" s="2044">
        <f>CG_not_repayable</f>
        <v>0</v>
      </c>
      <c r="L314">
        <f>IF(CG_not_repayable&gt;0,1,0)</f>
        <v>0</v>
      </c>
    </row>
    <row r="315" spans="1:12" ht="13" x14ac:dyDescent="0.3">
      <c r="A315" s="2036" t="s">
        <v>6798</v>
      </c>
      <c r="C315" s="2"/>
      <c r="D315" s="2"/>
      <c r="H315" s="12"/>
      <c r="J315" s="170"/>
      <c r="L315">
        <f>IF(AND(CG_not_repayable&gt;0,tax_already_refunded+unpaid_tax_bf&gt;0),1,0)</f>
        <v>0</v>
      </c>
    </row>
    <row r="316" spans="1:12" x14ac:dyDescent="0.25">
      <c r="A316" s="2036" t="s">
        <v>5315</v>
      </c>
      <c r="C316" s="1" t="s">
        <v>4607</v>
      </c>
      <c r="D316" s="2613" t="s">
        <v>6799</v>
      </c>
      <c r="E316" s="2613"/>
      <c r="F316" s="2613"/>
      <c r="I316" s="27"/>
      <c r="J316" s="82">
        <f>tax_already_refunded</f>
        <v>0</v>
      </c>
      <c r="L316">
        <f>IF(AND(tax_already_refunded&gt;0,total_tax_paid&gt;(IT_plus_class4+total_CG_due)),1,0)</f>
        <v>0</v>
      </c>
    </row>
    <row r="317" spans="1:12" x14ac:dyDescent="0.25">
      <c r="A317" s="2037" t="s">
        <v>6606</v>
      </c>
      <c r="C317" s="1" t="s">
        <v>6604</v>
      </c>
      <c r="D317" s="2613" t="s">
        <v>6799</v>
      </c>
      <c r="E317" s="2613"/>
      <c r="F317" s="2613"/>
      <c r="I317" s="27"/>
      <c r="J317" s="82">
        <f>tax_already_refunded</f>
        <v>0</v>
      </c>
      <c r="L317">
        <f>IF(AND(tax_already_refunded&gt;0,total_tax_paid&lt;=(IT_plus_class4+total_CG_due)),1,0)</f>
        <v>0</v>
      </c>
    </row>
    <row r="318" spans="1:12" x14ac:dyDescent="0.25">
      <c r="A318" s="2036" t="s">
        <v>5318</v>
      </c>
      <c r="C318" s="1" t="s">
        <v>4607</v>
      </c>
      <c r="D318" s="2613" t="s">
        <v>6800</v>
      </c>
      <c r="E318" s="2613"/>
      <c r="F318" s="2613"/>
      <c r="I318" s="27"/>
      <c r="J318" s="82">
        <f>unpaid_tax_bf</f>
        <v>0</v>
      </c>
      <c r="L318">
        <f>IF(AND(unpaid_tax_bf&gt;0,total_tax_paid&gt;(IT_plus_class4+total_CG_due)),1,0)</f>
        <v>0</v>
      </c>
    </row>
    <row r="319" spans="1:12" x14ac:dyDescent="0.25">
      <c r="A319" s="2037" t="s">
        <v>6606</v>
      </c>
      <c r="C319" s="1" t="s">
        <v>6604</v>
      </c>
      <c r="D319" s="2637" t="s">
        <v>6800</v>
      </c>
      <c r="E319" s="2637"/>
      <c r="F319" s="2637"/>
      <c r="I319" s="27"/>
      <c r="J319" s="82">
        <f>unpaid_tax_bf</f>
        <v>0</v>
      </c>
      <c r="L319">
        <f>IF(AND(unpaid_tax_bf&gt;0,total_tax_paid&lt;=(IT_plus_class4+total_CG_due)),1,0)</f>
        <v>0</v>
      </c>
    </row>
    <row r="320" spans="1:12" ht="13" x14ac:dyDescent="0.3">
      <c r="A320" s="2036" t="s">
        <v>5321</v>
      </c>
      <c r="B320" s="158"/>
      <c r="C320" s="2609" t="s">
        <v>4629</v>
      </c>
      <c r="D320" s="2610"/>
      <c r="E320" s="2610"/>
      <c r="F320" s="2610"/>
      <c r="G320" s="2043"/>
      <c r="H320" s="2043"/>
      <c r="I320" s="2043"/>
      <c r="J320" s="2044">
        <f>Total_tax_NIC_due</f>
        <v>0</v>
      </c>
      <c r="L320">
        <f>IF(AND(OR((tax_already_refunded+unpaid_tax_bf)&gt;0),total_tax_paid&gt;(IT_plus_class4+total_CG_due+tax_already_refunded+unpaid_tax_bf)),1,0)</f>
        <v>0</v>
      </c>
    </row>
    <row r="321" spans="1:12" ht="13" x14ac:dyDescent="0.3">
      <c r="A321" s="519" t="s">
        <v>6606</v>
      </c>
      <c r="C321" s="2609" t="s">
        <v>6801</v>
      </c>
      <c r="D321" s="2610"/>
      <c r="E321" s="2610"/>
      <c r="F321" s="2610"/>
      <c r="G321" s="2610"/>
      <c r="H321" s="2043"/>
      <c r="I321" s="2043"/>
      <c r="J321" s="2044">
        <f>Total_tax_NIC_due</f>
        <v>0</v>
      </c>
      <c r="L321" s="1078">
        <f>IF(TRF_charge&gt;0,0,IF(AND((tax_already_refunded+unpaid_tax_bf)&gt;0,NIC_total&gt;0,(IT_plus_class4+total_CG_due+tax_already_refunded+unpaid_tax_bf)&gt;=total_tax_paid),1,0))</f>
        <v>0</v>
      </c>
    </row>
    <row r="322" spans="1:12" ht="13" x14ac:dyDescent="0.3">
      <c r="A322" s="1085" t="s">
        <v>6606</v>
      </c>
      <c r="B322" s="1088"/>
      <c r="C322" s="2627" t="s">
        <v>9633</v>
      </c>
      <c r="D322" s="2628"/>
      <c r="E322" s="2628"/>
      <c r="F322" s="2628"/>
      <c r="G322" s="2628"/>
      <c r="H322" s="2067"/>
      <c r="I322" s="2067"/>
      <c r="J322" s="2055">
        <f>Total_tax_NIC_due</f>
        <v>0</v>
      </c>
      <c r="K322" s="1078"/>
      <c r="L322" s="1078">
        <f>IF(TRF_charge=0,0,IF(AND((tax_already_refunded+unpaid_tax_bf)&gt;0,NIC_total&gt;0,(IT_plus_class4+total_CG_due+tax_already_refunded+unpaid_tax_bf)&gt;=total_tax_paid),1,0))</f>
        <v>0</v>
      </c>
    </row>
    <row r="323" spans="1:12" ht="13" x14ac:dyDescent="0.3">
      <c r="A323" s="519" t="s">
        <v>6606</v>
      </c>
      <c r="B323" s="158"/>
      <c r="C323" s="2609" t="s">
        <v>6802</v>
      </c>
      <c r="D323" s="2610"/>
      <c r="E323" s="2610"/>
      <c r="F323" s="2610"/>
      <c r="G323" s="2610"/>
      <c r="H323" s="2043"/>
      <c r="I323" s="2043"/>
      <c r="J323" s="2044">
        <f>Total_tax_NIC_due</f>
        <v>0</v>
      </c>
      <c r="L323" s="1078">
        <f>IF(TRF_charge&gt;0,0,IF(AND((tax_already_refunded+unpaid_tax_bf)&gt;0,NIC_total=0,(IT_plus_class4+total_CG_due+tax_already_refunded+unpaid_tax_bf)&gt;=total_tax_paid),1,0))</f>
        <v>0</v>
      </c>
    </row>
    <row r="324" spans="1:12" ht="13" x14ac:dyDescent="0.3">
      <c r="A324" s="2039" t="s">
        <v>6606</v>
      </c>
      <c r="B324" s="1088"/>
      <c r="C324" s="2627" t="s">
        <v>9632</v>
      </c>
      <c r="D324" s="2628"/>
      <c r="E324" s="2628"/>
      <c r="F324" s="2628"/>
      <c r="G324" s="2628"/>
      <c r="H324" s="2067"/>
      <c r="I324" s="2067"/>
      <c r="J324" s="2055">
        <f>Total_tax_NIC_due</f>
        <v>0</v>
      </c>
      <c r="K324" s="1078"/>
      <c r="L324" s="1078">
        <f>IF(TRF_charge=0,0,IF(AND((tax_already_refunded+unpaid_tax_bf)&gt;0,NIC_total=0,(IT_plus_class4+total_CG_due+tax_already_refunded+unpaid_tax_bf)&gt;=total_tax_paid),1,0))</f>
        <v>0</v>
      </c>
    </row>
    <row r="325" spans="1:12" x14ac:dyDescent="0.25">
      <c r="B325"/>
      <c r="C325"/>
      <c r="D325"/>
      <c r="E325"/>
      <c r="F325"/>
      <c r="G325"/>
      <c r="H325"/>
      <c r="I325"/>
    </row>
    <row r="326" spans="1:12" ht="13" x14ac:dyDescent="0.3">
      <c r="A326" s="2" t="s">
        <v>9628</v>
      </c>
      <c r="C326" s="178"/>
      <c r="D326" s="178"/>
    </row>
    <row r="327" spans="1:12" ht="13" x14ac:dyDescent="0.3">
      <c r="A327" s="2" t="s">
        <v>6803</v>
      </c>
      <c r="C327" s="178"/>
      <c r="D327" s="178"/>
    </row>
    <row r="328" spans="1:12" x14ac:dyDescent="0.25">
      <c r="C328" s="178"/>
      <c r="D328" s="178"/>
    </row>
    <row r="329" spans="1:12" ht="13" x14ac:dyDescent="0.3">
      <c r="A329" s="2" t="s">
        <v>9627</v>
      </c>
      <c r="C329" s="178"/>
      <c r="D329" s="178"/>
    </row>
  </sheetData>
  <mergeCells count="283">
    <mergeCell ref="D179:G179"/>
    <mergeCell ref="D149:G149"/>
    <mergeCell ref="D158:G158"/>
    <mergeCell ref="C164:G164"/>
    <mergeCell ref="C165:G165"/>
    <mergeCell ref="D168:F168"/>
    <mergeCell ref="C322:G322"/>
    <mergeCell ref="C324:G324"/>
    <mergeCell ref="C304:I304"/>
    <mergeCell ref="C306:I306"/>
    <mergeCell ref="C307:I307"/>
    <mergeCell ref="C310:I310"/>
    <mergeCell ref="C323:G323"/>
    <mergeCell ref="C321:G321"/>
    <mergeCell ref="D316:F316"/>
    <mergeCell ref="D318:F318"/>
    <mergeCell ref="C320:F320"/>
    <mergeCell ref="D317:F317"/>
    <mergeCell ref="D319:F319"/>
    <mergeCell ref="C314:F314"/>
    <mergeCell ref="C312:I312"/>
    <mergeCell ref="C311:G311"/>
    <mergeCell ref="D178:I178"/>
    <mergeCell ref="D154:G154"/>
    <mergeCell ref="C46:F46"/>
    <mergeCell ref="C47:F47"/>
    <mergeCell ref="C48:F48"/>
    <mergeCell ref="F121:G121"/>
    <mergeCell ref="F122:G122"/>
    <mergeCell ref="F124:G124"/>
    <mergeCell ref="F125:G125"/>
    <mergeCell ref="C135:F135"/>
    <mergeCell ref="C142:G142"/>
    <mergeCell ref="F126:G126"/>
    <mergeCell ref="C128:G128"/>
    <mergeCell ref="F129:G129"/>
    <mergeCell ref="F130:G130"/>
    <mergeCell ref="F131:G131"/>
    <mergeCell ref="F132:G132"/>
    <mergeCell ref="F85:G85"/>
    <mergeCell ref="F88:G88"/>
    <mergeCell ref="F89:G89"/>
    <mergeCell ref="F106:G106"/>
    <mergeCell ref="F105:G105"/>
    <mergeCell ref="C111:G111"/>
    <mergeCell ref="C112:G112"/>
    <mergeCell ref="F109:G109"/>
    <mergeCell ref="F108:G108"/>
    <mergeCell ref="D148:H148"/>
    <mergeCell ref="F120:G120"/>
    <mergeCell ref="F107:G107"/>
    <mergeCell ref="F99:G99"/>
    <mergeCell ref="F103:G103"/>
    <mergeCell ref="F101:G101"/>
    <mergeCell ref="F104:G104"/>
    <mergeCell ref="D176:H176"/>
    <mergeCell ref="D177:G177"/>
    <mergeCell ref="D161:H161"/>
    <mergeCell ref="F117:G117"/>
    <mergeCell ref="F118:G118"/>
    <mergeCell ref="F119:G119"/>
    <mergeCell ref="D163:G163"/>
    <mergeCell ref="D157:G157"/>
    <mergeCell ref="E169:H169"/>
    <mergeCell ref="C143:G143"/>
    <mergeCell ref="F116:G116"/>
    <mergeCell ref="D173:G173"/>
    <mergeCell ref="D174:E174"/>
    <mergeCell ref="D175:F175"/>
    <mergeCell ref="D172:E172"/>
    <mergeCell ref="E170:H170"/>
    <mergeCell ref="E171:H171"/>
    <mergeCell ref="D113:G113"/>
    <mergeCell ref="C114:G114"/>
    <mergeCell ref="F115:G115"/>
    <mergeCell ref="C57:F57"/>
    <mergeCell ref="C59:G59"/>
    <mergeCell ref="C60:G60"/>
    <mergeCell ref="D80:G80"/>
    <mergeCell ref="F93:G93"/>
    <mergeCell ref="C95:G95"/>
    <mergeCell ref="F100:G100"/>
    <mergeCell ref="F97:G97"/>
    <mergeCell ref="F96:G96"/>
    <mergeCell ref="C81:G81"/>
    <mergeCell ref="F82:G82"/>
    <mergeCell ref="F83:G83"/>
    <mergeCell ref="F86:G86"/>
    <mergeCell ref="F87:G87"/>
    <mergeCell ref="F91:G91"/>
    <mergeCell ref="F92:G92"/>
    <mergeCell ref="C75:G75"/>
    <mergeCell ref="C76:G76"/>
    <mergeCell ref="C55:F55"/>
    <mergeCell ref="C56:F56"/>
    <mergeCell ref="C65:J65"/>
    <mergeCell ref="C64:J64"/>
    <mergeCell ref="C68:J68"/>
    <mergeCell ref="C71:J71"/>
    <mergeCell ref="C78:G78"/>
    <mergeCell ref="F84:G84"/>
    <mergeCell ref="C11:F11"/>
    <mergeCell ref="C13:E13"/>
    <mergeCell ref="D14:E14"/>
    <mergeCell ref="D15:E15"/>
    <mergeCell ref="C16:F16"/>
    <mergeCell ref="C17:F17"/>
    <mergeCell ref="C28:F28"/>
    <mergeCell ref="C29:F29"/>
    <mergeCell ref="C30:F30"/>
    <mergeCell ref="C21:F21"/>
    <mergeCell ref="C22:F22"/>
    <mergeCell ref="C26:F26"/>
    <mergeCell ref="C27:F27"/>
    <mergeCell ref="C23:F23"/>
    <mergeCell ref="C24:F24"/>
    <mergeCell ref="C25:F25"/>
    <mergeCell ref="C18:F18"/>
    <mergeCell ref="C19:F19"/>
    <mergeCell ref="C20:F20"/>
    <mergeCell ref="C244:H244"/>
    <mergeCell ref="C251:I251"/>
    <mergeCell ref="D258:F258"/>
    <mergeCell ref="D264:F264"/>
    <mergeCell ref="D270:F270"/>
    <mergeCell ref="D266:G266"/>
    <mergeCell ref="D267:E267"/>
    <mergeCell ref="D52:F52"/>
    <mergeCell ref="C44:F44"/>
    <mergeCell ref="C49:F49"/>
    <mergeCell ref="C67:J67"/>
    <mergeCell ref="C69:J69"/>
    <mergeCell ref="C192:F192"/>
    <mergeCell ref="D197:F197"/>
    <mergeCell ref="D198:F198"/>
    <mergeCell ref="F98:G98"/>
    <mergeCell ref="C182:F182"/>
    <mergeCell ref="D183:I183"/>
    <mergeCell ref="G186:H186"/>
    <mergeCell ref="C195:I195"/>
    <mergeCell ref="C193:G193"/>
    <mergeCell ref="D191:H191"/>
    <mergeCell ref="C194:I194"/>
    <mergeCell ref="C185:F185"/>
    <mergeCell ref="D190:H190"/>
    <mergeCell ref="F134:G134"/>
    <mergeCell ref="F133:G133"/>
    <mergeCell ref="D167:G167"/>
    <mergeCell ref="D150:F150"/>
    <mergeCell ref="D151:G151"/>
    <mergeCell ref="D152:G152"/>
    <mergeCell ref="D153:G153"/>
    <mergeCell ref="D162:F162"/>
    <mergeCell ref="C137:G137"/>
    <mergeCell ref="C138:G138"/>
    <mergeCell ref="D140:G140"/>
    <mergeCell ref="D159:G159"/>
    <mergeCell ref="C181:F181"/>
    <mergeCell ref="D145:G145"/>
    <mergeCell ref="D146:H146"/>
    <mergeCell ref="D147:H147"/>
    <mergeCell ref="D180:F180"/>
    <mergeCell ref="D155:G155"/>
    <mergeCell ref="D156:G156"/>
    <mergeCell ref="D160:G160"/>
    <mergeCell ref="C31:F31"/>
    <mergeCell ref="C32:F32"/>
    <mergeCell ref="C34:F34"/>
    <mergeCell ref="C72:J72"/>
    <mergeCell ref="C73:J73"/>
    <mergeCell ref="C79:G79"/>
    <mergeCell ref="C74:J74"/>
    <mergeCell ref="C33:F33"/>
    <mergeCell ref="C38:F38"/>
    <mergeCell ref="C40:F40"/>
    <mergeCell ref="C45:F45"/>
    <mergeCell ref="C41:F41"/>
    <mergeCell ref="C42:F42"/>
    <mergeCell ref="C43:F43"/>
    <mergeCell ref="C35:F35"/>
    <mergeCell ref="D51:F51"/>
    <mergeCell ref="D53:F53"/>
    <mergeCell ref="C50:F50"/>
    <mergeCell ref="C66:J66"/>
    <mergeCell ref="C70:J70"/>
    <mergeCell ref="C62:J62"/>
    <mergeCell ref="C63:J63"/>
    <mergeCell ref="C36:F36"/>
    <mergeCell ref="D54:F54"/>
    <mergeCell ref="D268:G268"/>
    <mergeCell ref="D273:F273"/>
    <mergeCell ref="C249:I249"/>
    <mergeCell ref="C246:G246"/>
    <mergeCell ref="D272:F272"/>
    <mergeCell ref="D269:G269"/>
    <mergeCell ref="C248:H248"/>
    <mergeCell ref="C247:I247"/>
    <mergeCell ref="C262:F262"/>
    <mergeCell ref="D257:F257"/>
    <mergeCell ref="D260:F260"/>
    <mergeCell ref="D261:F261"/>
    <mergeCell ref="D256:F256"/>
    <mergeCell ref="C250:F250"/>
    <mergeCell ref="D259:F259"/>
    <mergeCell ref="D255:F255"/>
    <mergeCell ref="D254:F254"/>
    <mergeCell ref="D239:G239"/>
    <mergeCell ref="D240:H240"/>
    <mergeCell ref="D241:F241"/>
    <mergeCell ref="D203:F203"/>
    <mergeCell ref="D204:H204"/>
    <mergeCell ref="D205:H205"/>
    <mergeCell ref="D206:H206"/>
    <mergeCell ref="D214:G214"/>
    <mergeCell ref="E229:G229"/>
    <mergeCell ref="D230:F230"/>
    <mergeCell ref="D231:G231"/>
    <mergeCell ref="D215:F215"/>
    <mergeCell ref="D213:H213"/>
    <mergeCell ref="D207:I207"/>
    <mergeCell ref="C219:H219"/>
    <mergeCell ref="C221:I221"/>
    <mergeCell ref="D226:F226"/>
    <mergeCell ref="D201:F201"/>
    <mergeCell ref="D202:I202"/>
    <mergeCell ref="D210:H210"/>
    <mergeCell ref="D211:H211"/>
    <mergeCell ref="C303:I303"/>
    <mergeCell ref="C309:I309"/>
    <mergeCell ref="C308:I308"/>
    <mergeCell ref="C302:I302"/>
    <mergeCell ref="C301:E301"/>
    <mergeCell ref="D299:I299"/>
    <mergeCell ref="D290:I290"/>
    <mergeCell ref="C305:I305"/>
    <mergeCell ref="D253:F253"/>
    <mergeCell ref="D289:I289"/>
    <mergeCell ref="D292:I292"/>
    <mergeCell ref="D265:F265"/>
    <mergeCell ref="C286:I286"/>
    <mergeCell ref="D298:I298"/>
    <mergeCell ref="D291:I291"/>
    <mergeCell ref="D293:I293"/>
    <mergeCell ref="C284:I284"/>
    <mergeCell ref="C283:I283"/>
    <mergeCell ref="C281:I281"/>
    <mergeCell ref="D294:I294"/>
    <mergeCell ref="D296:I296"/>
    <mergeCell ref="D297:I297"/>
    <mergeCell ref="D288:I288"/>
    <mergeCell ref="C285:G285"/>
    <mergeCell ref="D274:F274"/>
    <mergeCell ref="C276:I276"/>
    <mergeCell ref="C279:I279"/>
    <mergeCell ref="C282:I282"/>
    <mergeCell ref="C280:I280"/>
    <mergeCell ref="C278:I278"/>
    <mergeCell ref="C277:I277"/>
    <mergeCell ref="D295:I295"/>
    <mergeCell ref="C245:I245"/>
    <mergeCell ref="C218:I218"/>
    <mergeCell ref="C220:I220"/>
    <mergeCell ref="C222:I222"/>
    <mergeCell ref="C224:I224"/>
    <mergeCell ref="C243:F243"/>
    <mergeCell ref="D184:I184"/>
    <mergeCell ref="D188:H188"/>
    <mergeCell ref="D189:H189"/>
    <mergeCell ref="C186:F186"/>
    <mergeCell ref="D228:G228"/>
    <mergeCell ref="D237:H237"/>
    <mergeCell ref="D238:G238"/>
    <mergeCell ref="D216:G216"/>
    <mergeCell ref="D232:G232"/>
    <mergeCell ref="D233:G233"/>
    <mergeCell ref="D234:G234"/>
    <mergeCell ref="D227:G227"/>
    <mergeCell ref="D208:I208"/>
    <mergeCell ref="D236:G236"/>
    <mergeCell ref="C223:F223"/>
    <mergeCell ref="D212:H212"/>
    <mergeCell ref="C217:I217"/>
    <mergeCell ref="D235:G235"/>
  </mergeCells>
  <phoneticPr fontId="58" type="noConversion"/>
  <pageMargins left="0.196850393700787" right="0.196850393700787" top="0.196850393700787" bottom="0.196850393700787" header="0" footer="0"/>
  <pageSetup paperSize="8" orientation="portrait" r:id="rId1"/>
  <headerFooter alignWithMargins="0">
    <oddFooter>&amp;C&amp;1#&amp;"Calibri"&amp;10&amp;K000000OFFICIAL-SENSITIVE</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dimension ref="A1:M337"/>
  <sheetViews>
    <sheetView showGridLines="0" topLeftCell="A5" zoomScaleNormal="100" workbookViewId="0">
      <selection activeCell="H324" sqref="H324"/>
    </sheetView>
  </sheetViews>
  <sheetFormatPr defaultColWidth="9.1796875" defaultRowHeight="12.5" x14ac:dyDescent="0.25"/>
  <cols>
    <col min="1" max="1" width="4.54296875" customWidth="1"/>
    <col min="2" max="2" width="1.1796875" style="1" customWidth="1"/>
    <col min="3" max="3" width="6.453125" style="4" customWidth="1"/>
    <col min="4" max="4" width="5.81640625" style="4" customWidth="1"/>
    <col min="5" max="5" width="26.7265625" style="8" customWidth="1"/>
    <col min="6" max="6" width="17.54296875" style="8" customWidth="1"/>
    <col min="7" max="7" width="10.54296875" style="8" customWidth="1"/>
    <col min="8" max="8" width="13.1796875" style="8" customWidth="1"/>
    <col min="9" max="9" width="11" style="8" customWidth="1"/>
    <col min="10" max="10" width="12.81640625" customWidth="1"/>
    <col min="11" max="11" width="2" customWidth="1"/>
    <col min="12" max="12" width="12.1796875" customWidth="1"/>
    <col min="13" max="13" width="13.1796875" customWidth="1"/>
    <col min="14" max="14" width="11.54296875" customWidth="1"/>
    <col min="15" max="15" width="11.1796875" customWidth="1"/>
    <col min="16" max="16" width="10.453125" customWidth="1"/>
  </cols>
  <sheetData>
    <row r="1" spans="1:12" ht="33.75" customHeight="1" thickBot="1" x14ac:dyDescent="0.4">
      <c r="A1" s="200"/>
      <c r="B1" s="201"/>
      <c r="C1" s="364"/>
      <c r="D1" s="365"/>
      <c r="E1" s="192"/>
      <c r="F1" s="192"/>
      <c r="G1" s="192"/>
      <c r="H1" s="364" t="s">
        <v>6805</v>
      </c>
      <c r="I1" s="193"/>
      <c r="J1" s="200"/>
      <c r="K1" s="178"/>
      <c r="L1">
        <v>1</v>
      </c>
    </row>
    <row r="2" spans="1:12" ht="9.75" customHeight="1" thickTop="1" x14ac:dyDescent="0.25">
      <c r="C2" s="178"/>
      <c r="D2" s="178"/>
      <c r="E2" s="189"/>
      <c r="J2" s="8"/>
      <c r="K2" s="178"/>
      <c r="L2">
        <v>1</v>
      </c>
    </row>
    <row r="3" spans="1:12" ht="12" customHeight="1" x14ac:dyDescent="0.25">
      <c r="C3" s="178"/>
      <c r="D3" s="190" t="str">
        <f>IF('Add pages'!C4="","",'Add pages'!C4)</f>
        <v/>
      </c>
      <c r="H3" s="25" t="str">
        <f>"Cyfeirnod Treth "&amp;IF(Taxpayer_Reference="","",Taxpayer_Reference)</f>
        <v xml:space="preserve">Cyfeirnod Treth </v>
      </c>
      <c r="I3" s="38"/>
      <c r="J3" s="38"/>
      <c r="K3" s="178"/>
      <c r="L3">
        <v>1</v>
      </c>
    </row>
    <row r="4" spans="1:12" ht="12" customHeight="1" x14ac:dyDescent="0.25">
      <c r="C4" s="1" t="str">
        <f>IF('Add pages'!C5="","",'Add pages'!C5)</f>
        <v/>
      </c>
      <c r="D4" s="1"/>
      <c r="E4" s="1"/>
      <c r="F4" s="1"/>
      <c r="G4" s="1"/>
      <c r="H4" s="1"/>
      <c r="I4" s="1"/>
      <c r="J4" s="1"/>
      <c r="K4" s="178"/>
      <c r="L4">
        <v>1</v>
      </c>
    </row>
    <row r="5" spans="1:12" ht="12" customHeight="1" x14ac:dyDescent="0.25">
      <c r="C5" s="1" t="str">
        <f>IF('Add pages'!C6="","",'Add pages'!C6)</f>
        <v/>
      </c>
      <c r="D5" s="1"/>
      <c r="E5" s="1"/>
      <c r="F5" s="1"/>
      <c r="G5" s="1"/>
      <c r="H5" s="1"/>
      <c r="I5" s="1"/>
      <c r="J5" s="1"/>
      <c r="K5" s="178"/>
      <c r="L5">
        <v>1</v>
      </c>
    </row>
    <row r="6" spans="1:12" ht="12" customHeight="1" x14ac:dyDescent="0.25">
      <c r="C6" s="178"/>
      <c r="D6" s="190" t="str">
        <f>IF('Add pages'!C7="","",'Add pages'!C7)</f>
        <v/>
      </c>
      <c r="E6" s="113"/>
      <c r="F6" s="113"/>
      <c r="J6" s="8"/>
      <c r="K6" s="178"/>
      <c r="L6">
        <v>1</v>
      </c>
    </row>
    <row r="7" spans="1:12" ht="12.75" customHeight="1" x14ac:dyDescent="0.25">
      <c r="C7" s="178"/>
      <c r="D7" s="178"/>
      <c r="H7" s="25" t="s">
        <v>6806</v>
      </c>
      <c r="I7" s="191" t="str">
        <f ca="1">date_formatted_W</f>
        <v>26 Chwefror 2026</v>
      </c>
      <c r="J7" s="8"/>
      <c r="K7" s="178"/>
      <c r="L7">
        <v>1</v>
      </c>
    </row>
    <row r="8" spans="1:12" ht="6" customHeight="1" x14ac:dyDescent="0.25">
      <c r="C8" s="178"/>
      <c r="D8" s="178"/>
      <c r="E8" s="1"/>
      <c r="F8" s="1"/>
      <c r="G8" s="1"/>
      <c r="H8" s="1"/>
      <c r="I8" s="1"/>
      <c r="J8" s="1"/>
      <c r="K8" s="1"/>
      <c r="L8">
        <v>1</v>
      </c>
    </row>
    <row r="9" spans="1:12" ht="14" x14ac:dyDescent="0.3">
      <c r="C9" s="28" t="str">
        <f>"Cyfrifiad Treth ar gyfer "&amp;tax_year</f>
        <v>Cyfrifiad Treth ar gyfer 2025-26</v>
      </c>
      <c r="D9" s="178"/>
      <c r="F9" s="22" t="str">
        <f>" (y flwyddyn a ddaeth i ben 5 Ebrill "&amp;Tax_year_end&amp;")"</f>
        <v xml:space="preserve"> (y flwyddyn a ddaeth i ben 5 Ebrill 2026)</v>
      </c>
      <c r="J9" s="8"/>
      <c r="L9">
        <v>1</v>
      </c>
    </row>
    <row r="10" spans="1:12" x14ac:dyDescent="0.25">
      <c r="C10" s="178"/>
      <c r="D10" s="178"/>
      <c r="J10" s="8"/>
      <c r="L10">
        <v>1</v>
      </c>
    </row>
    <row r="11" spans="1:12" ht="13" x14ac:dyDescent="0.3">
      <c r="A11" s="2103" t="s">
        <v>6602</v>
      </c>
      <c r="C11" s="2647" t="s">
        <v>6807</v>
      </c>
      <c r="D11" s="2648"/>
      <c r="E11" s="2648"/>
      <c r="F11" s="2655"/>
      <c r="J11" s="8"/>
      <c r="L11">
        <v>1</v>
      </c>
    </row>
    <row r="12" spans="1:12" ht="12" customHeight="1" x14ac:dyDescent="0.3">
      <c r="A12" s="2103" t="s">
        <v>6603</v>
      </c>
      <c r="C12" s="2"/>
      <c r="D12" s="2"/>
      <c r="F12" s="12"/>
      <c r="J12" s="8"/>
      <c r="L12">
        <v>1</v>
      </c>
    </row>
    <row r="13" spans="1:12" x14ac:dyDescent="0.25">
      <c r="A13" s="2103" t="s">
        <v>4744</v>
      </c>
      <c r="C13" s="2613" t="s">
        <v>6808</v>
      </c>
      <c r="D13" s="2613"/>
      <c r="E13" s="2613"/>
      <c r="F13" s="154">
        <f>Pay_Emp</f>
        <v>0</v>
      </c>
      <c r="J13" s="8"/>
      <c r="L13">
        <f>IF(AND(Pay_Emp&gt;0,(Benefits_Emp+Exps_Emp)&gt;0),1,0)</f>
        <v>0</v>
      </c>
    </row>
    <row r="14" spans="1:12" x14ac:dyDescent="0.25">
      <c r="A14" s="2103" t="s">
        <v>4750</v>
      </c>
      <c r="C14" s="1" t="s">
        <v>6809</v>
      </c>
      <c r="D14" s="2613" t="s">
        <v>6810</v>
      </c>
      <c r="E14" s="2613"/>
      <c r="F14" s="154">
        <f>Benefits_Emp</f>
        <v>0</v>
      </c>
      <c r="J14" s="8"/>
      <c r="L14">
        <f>IF(Benefits_Emp&gt;0,1,0)</f>
        <v>0</v>
      </c>
    </row>
    <row r="15" spans="1:12" x14ac:dyDescent="0.25">
      <c r="A15" s="2103" t="s">
        <v>1862</v>
      </c>
      <c r="C15" s="1" t="s">
        <v>6811</v>
      </c>
      <c r="D15" s="2613" t="s">
        <v>6812</v>
      </c>
      <c r="E15" s="2613"/>
      <c r="F15" s="154">
        <f>Exps_Emp</f>
        <v>0</v>
      </c>
      <c r="J15" s="8"/>
      <c r="L15">
        <f>IF(Exps_Emp&gt;0,1,0)</f>
        <v>0</v>
      </c>
    </row>
    <row r="16" spans="1:12" x14ac:dyDescent="0.25">
      <c r="A16" s="2103" t="s">
        <v>1942</v>
      </c>
      <c r="C16" s="2613" t="str">
        <f>IF(Benefits_Emp+Exps_Emp=0,"Cyfanswm ar gyfer pob cyflogaeth", "Cyflog o bob cyflogaeth")</f>
        <v>Cyfanswm ar gyfer pob cyflogaeth</v>
      </c>
      <c r="D16" s="2613"/>
      <c r="E16" s="2613"/>
      <c r="G16" s="154">
        <f>income_E</f>
        <v>0</v>
      </c>
      <c r="H16" s="84"/>
      <c r="J16" s="8"/>
      <c r="L16">
        <f>IF(AND(Benefits_Emp+Exps_Emp=0,income_E&gt;0),1,0)</f>
        <v>0</v>
      </c>
    </row>
    <row r="17" spans="1:12" x14ac:dyDescent="0.25">
      <c r="A17" s="2103" t="s">
        <v>6606</v>
      </c>
      <c r="C17" s="2613" t="s">
        <v>6813</v>
      </c>
      <c r="D17" s="2613"/>
      <c r="E17" s="2613"/>
      <c r="F17" s="2613"/>
      <c r="G17" s="154">
        <f>income_E</f>
        <v>0</v>
      </c>
      <c r="H17" s="84"/>
      <c r="J17" s="8"/>
      <c r="L17">
        <f>IF(AND(Benefits_Emp+Exps_Emp&gt;0,income_E&gt;0),1,0)</f>
        <v>0</v>
      </c>
    </row>
    <row r="18" spans="1:12" x14ac:dyDescent="0.25">
      <c r="A18" s="2103" t="s">
        <v>2131</v>
      </c>
      <c r="C18" s="2613" t="s">
        <v>6814</v>
      </c>
      <c r="D18" s="2613"/>
      <c r="E18" s="2613"/>
      <c r="F18" s="2613"/>
      <c r="G18" s="154">
        <f>income_Shares</f>
        <v>0</v>
      </c>
      <c r="H18" s="84"/>
      <c r="J18" s="8"/>
      <c r="L18">
        <f>IF(income_Shares&gt;0,1,0)</f>
        <v>0</v>
      </c>
    </row>
    <row r="19" spans="1:12" x14ac:dyDescent="0.25">
      <c r="A19" s="2103" t="s">
        <v>1864</v>
      </c>
      <c r="C19" s="2613" t="s">
        <v>6815</v>
      </c>
      <c r="D19" s="2613"/>
      <c r="E19" s="2613"/>
      <c r="G19" s="154">
        <f>income_D</f>
        <v>0</v>
      </c>
      <c r="H19" s="84"/>
      <c r="J19" s="8"/>
      <c r="L19">
        <f>IF(income_D&gt;0,1,0)</f>
        <v>0</v>
      </c>
    </row>
    <row r="20" spans="1:12" x14ac:dyDescent="0.25">
      <c r="A20" s="2103" t="s">
        <v>4773</v>
      </c>
      <c r="C20" s="2613" t="s">
        <v>6816</v>
      </c>
      <c r="D20" s="2613"/>
      <c r="E20" s="2613"/>
      <c r="G20" s="154">
        <f>income_D_PTR</f>
        <v>0</v>
      </c>
      <c r="H20" s="84"/>
      <c r="J20" s="8"/>
      <c r="L20">
        <f>IF(income_D_PTR&gt;0,1,0)</f>
        <v>0</v>
      </c>
    </row>
    <row r="21" spans="1:12" x14ac:dyDescent="0.25">
      <c r="A21" s="2103" t="s">
        <v>4779</v>
      </c>
      <c r="C21" s="2613" t="s">
        <v>6817</v>
      </c>
      <c r="D21" s="2613"/>
      <c r="E21" s="2613"/>
      <c r="F21" s="2613"/>
      <c r="G21" s="154">
        <f>income_S_PTR</f>
        <v>0</v>
      </c>
      <c r="H21" s="84"/>
      <c r="J21" s="8"/>
      <c r="L21">
        <f>IF(income_S_PTR&gt;0,1,0)</f>
        <v>0</v>
      </c>
    </row>
    <row r="22" spans="1:12" x14ac:dyDescent="0.25">
      <c r="A22" s="2103" t="s">
        <v>4784</v>
      </c>
      <c r="C22" s="2613" t="s">
        <v>6818</v>
      </c>
      <c r="D22" s="2613"/>
      <c r="E22" s="2613"/>
      <c r="F22" s="2613"/>
      <c r="G22" s="154">
        <f>income_DV_PTR</f>
        <v>0</v>
      </c>
      <c r="H22" s="84"/>
      <c r="J22" s="8"/>
      <c r="L22">
        <f>IF(income_DV_PTR&gt;0,1,0)</f>
        <v>0</v>
      </c>
    </row>
    <row r="23" spans="1:12" x14ac:dyDescent="0.25">
      <c r="A23" s="2103" t="s">
        <v>4789</v>
      </c>
      <c r="C23" s="2613" t="s">
        <v>6819</v>
      </c>
      <c r="D23" s="2613"/>
      <c r="E23" s="2613"/>
      <c r="F23" s="2613"/>
      <c r="G23" s="154">
        <f>income_IFP</f>
        <v>0</v>
      </c>
      <c r="H23" s="84"/>
      <c r="J23" s="8"/>
      <c r="L23">
        <f>IF(income_IFP&gt;0,1,0)</f>
        <v>0</v>
      </c>
    </row>
    <row r="24" spans="1:12" x14ac:dyDescent="0.25">
      <c r="A24" s="2103" t="s">
        <v>1865</v>
      </c>
      <c r="C24" s="2613" t="s">
        <v>6820</v>
      </c>
      <c r="D24" s="2613"/>
      <c r="E24" s="2613"/>
      <c r="G24" s="154">
        <f>income_Foreign</f>
        <v>0</v>
      </c>
      <c r="H24" s="84"/>
      <c r="J24" s="8"/>
      <c r="L24">
        <f>IF(income_Foreign&gt;0,1,0)</f>
        <v>0</v>
      </c>
    </row>
    <row r="25" spans="1:12" x14ac:dyDescent="0.25">
      <c r="A25" s="2103" t="s">
        <v>4799</v>
      </c>
      <c r="C25" s="2613" t="s">
        <v>6821</v>
      </c>
      <c r="D25" s="2613"/>
      <c r="E25" s="2613"/>
      <c r="G25" s="154">
        <f>foreign_dividends</f>
        <v>0</v>
      </c>
      <c r="H25" s="84"/>
      <c r="J25" s="8"/>
      <c r="L25">
        <f>IF(foreign_dividends&gt;0,1,0)</f>
        <v>0</v>
      </c>
    </row>
    <row r="26" spans="1:12" x14ac:dyDescent="0.25">
      <c r="A26" s="2103" t="s">
        <v>4805</v>
      </c>
      <c r="C26" s="2613" t="s">
        <v>6822</v>
      </c>
      <c r="D26" s="2613"/>
      <c r="E26" s="2613"/>
      <c r="G26" s="154">
        <f>foreign_savings</f>
        <v>0</v>
      </c>
      <c r="H26" s="84"/>
      <c r="J26" s="8"/>
      <c r="L26">
        <f>IF(foreign_savings&gt;0,1,0)</f>
        <v>0</v>
      </c>
    </row>
    <row r="27" spans="1:12" x14ac:dyDescent="0.25">
      <c r="A27" s="2103" t="s">
        <v>6613</v>
      </c>
      <c r="C27" s="2654" t="s">
        <v>6823</v>
      </c>
      <c r="D27" s="2654"/>
      <c r="E27" s="2654"/>
      <c r="F27" s="2654"/>
      <c r="G27" s="154">
        <f>Foreign_CEG_dedn</f>
        <v>0</v>
      </c>
      <c r="H27" s="84"/>
      <c r="J27" s="8"/>
      <c r="L27">
        <f>IF(Foreign_CEG_dedn&gt;0,1,0)</f>
        <v>0</v>
      </c>
    </row>
    <row r="28" spans="1:12" x14ac:dyDescent="0.25">
      <c r="A28" s="2103" t="s">
        <v>2132</v>
      </c>
      <c r="C28" s="2613" t="s">
        <v>6824</v>
      </c>
      <c r="D28" s="2613"/>
      <c r="E28" s="2613"/>
      <c r="G28" s="154">
        <f>income_Trust</f>
        <v>0</v>
      </c>
      <c r="H28" s="84"/>
      <c r="J28" s="8"/>
      <c r="L28">
        <f>IF(income_Trust&gt;0,1,0)</f>
        <v>0</v>
      </c>
    </row>
    <row r="29" spans="1:12" x14ac:dyDescent="0.25">
      <c r="A29" s="2103" t="s">
        <v>4821</v>
      </c>
      <c r="C29" s="2613" t="s">
        <v>6825</v>
      </c>
      <c r="D29" s="2613"/>
      <c r="E29" s="2613"/>
      <c r="F29" s="2613"/>
      <c r="G29" s="154">
        <f>income_Case3</f>
        <v>0</v>
      </c>
      <c r="H29" s="84"/>
      <c r="J29" s="8"/>
      <c r="L29">
        <f>IF(income_Case3&gt;0,1,0)</f>
        <v>0</v>
      </c>
    </row>
    <row r="30" spans="1:12" x14ac:dyDescent="0.25">
      <c r="A30" s="2103" t="s">
        <v>4826</v>
      </c>
      <c r="C30" s="2613" t="s">
        <v>6826</v>
      </c>
      <c r="D30" s="2613"/>
      <c r="E30" s="2613"/>
      <c r="F30" s="2613"/>
      <c r="G30" s="154">
        <f>income_F</f>
        <v>0</v>
      </c>
      <c r="H30" s="84"/>
      <c r="J30" s="8"/>
      <c r="L30">
        <f>IF(income_F&gt;0,1,0)</f>
        <v>0</v>
      </c>
    </row>
    <row r="31" spans="1:12" x14ac:dyDescent="0.25">
      <c r="A31" s="2103" t="s">
        <v>4832</v>
      </c>
      <c r="C31" s="2613" t="s">
        <v>6827</v>
      </c>
      <c r="D31" s="2613"/>
      <c r="E31" s="2613"/>
      <c r="F31" s="2613"/>
      <c r="G31" s="154">
        <f>income_Pensions</f>
        <v>0</v>
      </c>
      <c r="H31" s="84"/>
      <c r="J31" s="8"/>
      <c r="L31">
        <f>IF(income_Pensions&gt;0,1,0)</f>
        <v>0</v>
      </c>
    </row>
    <row r="32" spans="1:12" x14ac:dyDescent="0.25">
      <c r="A32" s="2103" t="s">
        <v>1946</v>
      </c>
      <c r="C32" s="2613" t="s">
        <v>6828</v>
      </c>
      <c r="D32" s="2613"/>
      <c r="E32" s="2613"/>
      <c r="F32" s="2613"/>
      <c r="G32" s="154">
        <f>income_CEG</f>
        <v>0</v>
      </c>
      <c r="H32" s="84"/>
      <c r="J32" s="8"/>
      <c r="L32">
        <f>IF(income_CEG&gt;0,1,0)</f>
        <v>0</v>
      </c>
    </row>
    <row r="33" spans="1:12" x14ac:dyDescent="0.25">
      <c r="A33" s="2103" t="s">
        <v>4843</v>
      </c>
      <c r="C33" s="2654" t="s">
        <v>6829</v>
      </c>
      <c r="D33" s="2654"/>
      <c r="E33" s="2654"/>
      <c r="F33" s="2654"/>
      <c r="G33" s="154">
        <f>income_CEG_dedn</f>
        <v>0</v>
      </c>
      <c r="H33" s="84"/>
      <c r="J33" s="8"/>
      <c r="L33">
        <f>IF(income_CEG_dedn&gt;0,1,0)</f>
        <v>0</v>
      </c>
    </row>
    <row r="34" spans="1:12" x14ac:dyDescent="0.25">
      <c r="A34" s="2103" t="s">
        <v>1867</v>
      </c>
      <c r="C34" s="2613" t="s">
        <v>6830</v>
      </c>
      <c r="D34" s="2613"/>
      <c r="E34" s="2613"/>
      <c r="G34" s="154">
        <f>income_Other</f>
        <v>0</v>
      </c>
      <c r="H34" s="84"/>
      <c r="J34" s="8"/>
      <c r="L34">
        <f>IF(income_Other&gt;0,1,0)</f>
        <v>0</v>
      </c>
    </row>
    <row r="35" spans="1:12" x14ac:dyDescent="0.25">
      <c r="A35" s="2103" t="s">
        <v>4853</v>
      </c>
      <c r="C35" s="2613" t="s">
        <v>6831</v>
      </c>
      <c r="D35" s="2613"/>
      <c r="E35" s="2613"/>
      <c r="F35" s="2613"/>
      <c r="G35" s="154">
        <f>income_termination</f>
        <v>0</v>
      </c>
      <c r="H35" s="84"/>
      <c r="J35" s="8"/>
      <c r="L35">
        <f>IF(income_termination&gt;0,1,0)</f>
        <v>0</v>
      </c>
    </row>
    <row r="36" spans="1:12" x14ac:dyDescent="0.25">
      <c r="A36" s="2103" t="s">
        <v>4859</v>
      </c>
      <c r="C36" s="2612" t="s">
        <v>6832</v>
      </c>
      <c r="D36" s="2612"/>
      <c r="E36" s="2612"/>
      <c r="F36" s="26"/>
      <c r="G36" s="84"/>
      <c r="H36" s="154">
        <f>income_Total</f>
        <v>0</v>
      </c>
      <c r="J36" s="8"/>
      <c r="L36">
        <v>1</v>
      </c>
    </row>
    <row r="37" spans="1:12" ht="12" customHeight="1" x14ac:dyDescent="0.25">
      <c r="A37" s="2103" t="s">
        <v>6620</v>
      </c>
      <c r="C37" s="178"/>
      <c r="D37" s="178"/>
      <c r="F37" s="26"/>
      <c r="G37" s="26"/>
      <c r="J37" s="8"/>
      <c r="L37">
        <v>1</v>
      </c>
    </row>
    <row r="38" spans="1:12" ht="13" x14ac:dyDescent="0.3">
      <c r="A38" s="2103" t="s">
        <v>1868</v>
      </c>
      <c r="C38" s="2647" t="s">
        <v>6811</v>
      </c>
      <c r="D38" s="2648"/>
      <c r="E38" s="2648"/>
      <c r="F38" s="2655"/>
      <c r="G38" s="26"/>
      <c r="J38" s="8"/>
      <c r="L38">
        <f>IF(Allce_PA=Allce_dedn_total,0,1)</f>
        <v>0</v>
      </c>
    </row>
    <row r="39" spans="1:12" ht="12" customHeight="1" x14ac:dyDescent="0.3">
      <c r="A39" s="2103" t="s">
        <v>1879</v>
      </c>
      <c r="C39" s="29"/>
      <c r="D39" s="29"/>
      <c r="F39" s="26"/>
      <c r="G39" s="26"/>
      <c r="J39" s="8"/>
      <c r="L39">
        <f>IF(Allce_PA=Allce_dedn_total,0,1)</f>
        <v>0</v>
      </c>
    </row>
    <row r="40" spans="1:12" ht="12" customHeight="1" x14ac:dyDescent="0.25">
      <c r="A40" s="2103" t="s">
        <v>1948</v>
      </c>
      <c r="C40" s="2613" t="s">
        <v>6833</v>
      </c>
      <c r="D40" s="2613"/>
      <c r="E40" s="2613"/>
      <c r="F40" s="2613"/>
      <c r="G40" s="154">
        <f>dedn_RAR</f>
        <v>0</v>
      </c>
      <c r="H40" s="84"/>
      <c r="J40" s="8"/>
      <c r="L40">
        <f>IF(dedn_RAR&gt;0,1,0)</f>
        <v>0</v>
      </c>
    </row>
    <row r="41" spans="1:12" ht="12" customHeight="1" x14ac:dyDescent="0.25">
      <c r="A41" s="2103" t="s">
        <v>1869</v>
      </c>
      <c r="C41" s="2613" t="s">
        <v>6834</v>
      </c>
      <c r="D41" s="2613"/>
      <c r="E41" s="2613"/>
      <c r="F41" s="2613"/>
      <c r="G41" s="154">
        <f>dedn_Trust</f>
        <v>0</v>
      </c>
      <c r="H41" s="84"/>
      <c r="J41" s="8"/>
      <c r="L41">
        <f>IF(dedn_Trust&gt;0,1,0)</f>
        <v>0</v>
      </c>
    </row>
    <row r="42" spans="1:12" ht="12" customHeight="1" x14ac:dyDescent="0.25">
      <c r="A42" s="2103" t="s">
        <v>2134</v>
      </c>
      <c r="C42" s="2613" t="s">
        <v>6835</v>
      </c>
      <c r="D42" s="2613"/>
      <c r="E42" s="2613"/>
      <c r="F42" s="26"/>
      <c r="G42" s="154">
        <f>ded_Loss</f>
        <v>0</v>
      </c>
      <c r="H42" s="84"/>
      <c r="J42" s="8"/>
      <c r="L42">
        <f>IF(AND(ded_Loss&gt;0,ded_Loss=ded_loss_restricted),1,0)</f>
        <v>0</v>
      </c>
    </row>
    <row r="43" spans="1:12" ht="12" customHeight="1" x14ac:dyDescent="0.25">
      <c r="A43" s="2037" t="s">
        <v>6606</v>
      </c>
      <c r="C43" s="2613" t="str">
        <f>"Rhyddhad treth incwm "&amp;DOLLAR(ded_Loss,0)&amp;" wedi ei leihau i'r uchaf a ganiateir "</f>
        <v xml:space="preserve">Rhyddhad treth incwm £0 wedi ei leihau i'r uchaf a ganiateir </v>
      </c>
      <c r="D43" s="2613"/>
      <c r="E43" s="2613"/>
      <c r="F43" s="2613"/>
      <c r="G43" s="154">
        <f>ded_loss_restricted</f>
        <v>0</v>
      </c>
      <c r="J43" s="8"/>
      <c r="L43">
        <f>IF(AND(ded_Loss&gt;0,ded_Loss&gt;ded_loss_restricted),1,0)</f>
        <v>0</v>
      </c>
    </row>
    <row r="44" spans="1:12" x14ac:dyDescent="0.25">
      <c r="A44" s="2103" t="s">
        <v>1870</v>
      </c>
      <c r="C44" s="2613" t="s">
        <v>6836</v>
      </c>
      <c r="D44" s="2613"/>
      <c r="E44" s="2613"/>
      <c r="F44" s="26"/>
      <c r="G44" s="154">
        <f>dedn_Annuity</f>
        <v>0</v>
      </c>
      <c r="H44" s="84"/>
      <c r="J44" s="8"/>
      <c r="L44">
        <f>IF(dedn_Annuity&gt;0,1,0)</f>
        <v>0</v>
      </c>
    </row>
    <row r="45" spans="1:12" x14ac:dyDescent="0.25">
      <c r="A45" s="2103" t="s">
        <v>4888</v>
      </c>
      <c r="C45" s="2613" t="s">
        <v>6837</v>
      </c>
      <c r="D45" s="2613"/>
      <c r="E45" s="2613"/>
      <c r="F45" s="26"/>
      <c r="G45" s="154">
        <f>dedn_Gift</f>
        <v>0</v>
      </c>
      <c r="H45" s="84"/>
      <c r="J45" s="8"/>
      <c r="L45">
        <f>IF(dedn_Gift&gt;0,1,0)</f>
        <v>0</v>
      </c>
    </row>
    <row r="46" spans="1:12" x14ac:dyDescent="0.25">
      <c r="A46" s="2038" t="s">
        <v>4893</v>
      </c>
      <c r="B46" s="1079"/>
      <c r="C46" s="2639" t="s">
        <v>9667</v>
      </c>
      <c r="D46" s="2639"/>
      <c r="E46" s="2639"/>
      <c r="F46" s="2639"/>
      <c r="G46" s="1081">
        <f>Fi_Rel</f>
        <v>0</v>
      </c>
      <c r="H46" s="1105"/>
      <c r="I46" s="1065"/>
      <c r="J46" s="1065"/>
      <c r="K46" s="1078"/>
      <c r="L46" s="1078">
        <f>IF(Fi_Rel&gt;0,1,0)</f>
        <v>0</v>
      </c>
    </row>
    <row r="47" spans="1:12" x14ac:dyDescent="0.25">
      <c r="A47" s="2038" t="s">
        <v>4898</v>
      </c>
      <c r="B47" s="1079"/>
      <c r="C47" s="2639" t="s">
        <v>9666</v>
      </c>
      <c r="D47" s="2639"/>
      <c r="E47" s="2639"/>
      <c r="F47" s="2639"/>
      <c r="G47" s="1081">
        <f>Fe_Rel_restricted</f>
        <v>0</v>
      </c>
      <c r="H47" s="1105"/>
      <c r="I47" s="1065"/>
      <c r="J47" s="1065"/>
      <c r="K47" s="1078"/>
      <c r="L47" s="1078">
        <f>IF(AND(Fe_Rel_claimed&gt;0,Fe_Rel_claimed=Fe_Rel_restricted),1,0)</f>
        <v>0</v>
      </c>
    </row>
    <row r="48" spans="1:12" x14ac:dyDescent="0.25">
      <c r="A48" s="2039" t="s">
        <v>6606</v>
      </c>
      <c r="B48" s="1079"/>
      <c r="C48" s="2639" t="str">
        <f>"Rhyddhad cyflogaeth dramor o "&amp;DOLLAR(Fe_Rel_claimed,0)&amp;" wedi’i leihau i’r uchafswm a ganiateir  "</f>
        <v xml:space="preserve">Rhyddhad cyflogaeth dramor o £0 wedi’i leihau i’r uchafswm a ganiateir  </v>
      </c>
      <c r="D48" s="2639"/>
      <c r="E48" s="2639"/>
      <c r="F48" s="2639"/>
      <c r="G48" s="1081">
        <f>Fe_Rel_restricted</f>
        <v>0</v>
      </c>
      <c r="H48" s="1105"/>
      <c r="I48" s="1065"/>
      <c r="J48" s="1065"/>
      <c r="K48" s="1078"/>
      <c r="L48" s="1078">
        <f>IF(AND(Fe_Rel_claimed&gt;0,Fe_Rel_claimed&gt;Fe_Rel_restricted),1,0)</f>
        <v>0</v>
      </c>
    </row>
    <row r="49" spans="1:13" x14ac:dyDescent="0.25">
      <c r="A49" s="2036" t="s">
        <v>2135</v>
      </c>
      <c r="C49" s="2613" t="s">
        <v>6838</v>
      </c>
      <c r="D49" s="2613"/>
      <c r="E49" s="2613"/>
      <c r="F49" s="26"/>
      <c r="G49" s="154">
        <f>Allce_PA</f>
        <v>12570</v>
      </c>
      <c r="J49" s="8"/>
      <c r="L49">
        <f>IF(AND(Allce_PA&lt;&gt;Allce_dedn_total,Allce_PA&gt;0,Allce_PA=P_A),1,0)</f>
        <v>0</v>
      </c>
    </row>
    <row r="50" spans="1:13" x14ac:dyDescent="0.25">
      <c r="A50" s="519" t="s">
        <v>6606</v>
      </c>
      <c r="C50" s="2613" t="s">
        <v>6839</v>
      </c>
      <c r="D50" s="2613"/>
      <c r="E50" s="2613"/>
      <c r="F50" s="2613"/>
      <c r="G50" s="154">
        <f>Allce_PA</f>
        <v>12570</v>
      </c>
      <c r="J50" s="8"/>
      <c r="L50">
        <f>IF(AND(Allce_PA&lt;&gt;Allce_dedn_total,Allce_PA&gt;0,Allce_PA&lt;&gt;P_A),1,0)</f>
        <v>0</v>
      </c>
    </row>
    <row r="51" spans="1:13" x14ac:dyDescent="0.25">
      <c r="A51" s="519" t="s">
        <v>6606</v>
      </c>
      <c r="C51" s="1" t="s">
        <v>6811</v>
      </c>
      <c r="D51" s="2613" t="str">
        <f>C49</f>
        <v>Lwfans Personol</v>
      </c>
      <c r="E51" s="2613"/>
      <c r="F51" s="26"/>
      <c r="G51" s="154"/>
      <c r="H51" s="154">
        <f>Allce_PA</f>
        <v>12570</v>
      </c>
      <c r="J51" s="8"/>
      <c r="L51">
        <f>IF(AND(Allce_PA=Allce_dedn_total,Allce_PA&gt;0,Allce_PA=P_A),1,0)</f>
        <v>1</v>
      </c>
    </row>
    <row r="52" spans="1:13" x14ac:dyDescent="0.25">
      <c r="A52" s="2037" t="s">
        <v>6606</v>
      </c>
      <c r="C52" s="1" t="s">
        <v>6811</v>
      </c>
      <c r="D52" s="2613" t="str">
        <f>C50</f>
        <v>wfans Personol wedi ei ostwng</v>
      </c>
      <c r="E52" s="2613"/>
      <c r="F52" s="2613"/>
      <c r="G52" s="154"/>
      <c r="H52" s="154">
        <f>Allce_PA</f>
        <v>12570</v>
      </c>
      <c r="J52" s="8"/>
      <c r="L52">
        <f>IF(AND(Allce_PA=Allce_dedn_total,Allce_PA&gt;0,Allce_PA&lt;P_A),1,0)</f>
        <v>0</v>
      </c>
    </row>
    <row r="53" spans="1:13" x14ac:dyDescent="0.25">
      <c r="A53" s="2036" t="s">
        <v>4911</v>
      </c>
      <c r="C53" s="1" t="s">
        <v>6811</v>
      </c>
      <c r="D53" s="2613" t="s">
        <v>6840</v>
      </c>
      <c r="E53" s="2613"/>
      <c r="G53" s="154">
        <f>AllceOut_TPA</f>
        <v>0</v>
      </c>
      <c r="H53" s="154"/>
      <c r="L53">
        <f>IF(AllceOut_TPA&gt;0,IF(AND(Allce_PA&lt;&gt;Allce_dedn_total,Allce_PA&gt;0),1,0),0)</f>
        <v>0</v>
      </c>
    </row>
    <row r="54" spans="1:13" x14ac:dyDescent="0.25">
      <c r="A54" s="2037" t="s">
        <v>6606</v>
      </c>
      <c r="C54" s="1" t="s">
        <v>6811</v>
      </c>
      <c r="D54" s="2613" t="s">
        <v>6840</v>
      </c>
      <c r="E54" s="2613"/>
      <c r="H54" s="154">
        <f>AllceOut_TPA</f>
        <v>0</v>
      </c>
      <c r="L54">
        <f>IF(AllceOut_TPA&gt;0,IF(AND(Allce_PA=Allce_dedn_total,Allce_PA&gt;0),1,0),0)</f>
        <v>0</v>
      </c>
    </row>
    <row r="55" spans="1:13" x14ac:dyDescent="0.25">
      <c r="A55" s="2103" t="s">
        <v>1875</v>
      </c>
      <c r="C55" s="2613" t="s">
        <v>6841</v>
      </c>
      <c r="D55" s="2613"/>
      <c r="E55" s="2613"/>
      <c r="F55" s="26"/>
      <c r="G55" s="154">
        <f>Allce_BPA</f>
        <v>0</v>
      </c>
      <c r="H55" s="84"/>
      <c r="J55" s="8"/>
      <c r="L55">
        <f>IF(Allce_BPA&gt;0,1,0)</f>
        <v>0</v>
      </c>
    </row>
    <row r="56" spans="1:13" x14ac:dyDescent="0.25">
      <c r="A56" s="2103" t="s">
        <v>4922</v>
      </c>
      <c r="C56" s="2613" t="s">
        <v>6842</v>
      </c>
      <c r="D56" s="2613"/>
      <c r="E56" s="2613"/>
      <c r="F56" s="2613"/>
      <c r="G56" s="154">
        <f>Allce_BPA_Spare</f>
        <v>0</v>
      </c>
      <c r="H56" s="84"/>
      <c r="J56" s="8"/>
      <c r="L56">
        <f>IF(Allce_BPA_Spare&gt;0,1,0)</f>
        <v>0</v>
      </c>
    </row>
    <row r="57" spans="1:13" x14ac:dyDescent="0.25">
      <c r="A57" s="2103" t="s">
        <v>1876</v>
      </c>
      <c r="C57" s="2617" t="s">
        <v>6843</v>
      </c>
      <c r="D57" s="2617"/>
      <c r="G57" s="84"/>
      <c r="H57" s="154">
        <f>Allce_dedn_total</f>
        <v>12570</v>
      </c>
      <c r="J57" s="8"/>
      <c r="L57">
        <f>IF(Allce_PA=Allce_dedn_total,0,1)</f>
        <v>0</v>
      </c>
    </row>
    <row r="58" spans="1:13" x14ac:dyDescent="0.25">
      <c r="A58" s="2103" t="s">
        <v>6634</v>
      </c>
      <c r="C58" s="178"/>
      <c r="D58" s="178"/>
      <c r="E58" s="579"/>
      <c r="G58" s="154"/>
      <c r="H58" s="84"/>
      <c r="J58" s="8"/>
      <c r="L58">
        <v>1</v>
      </c>
    </row>
    <row r="59" spans="1:13" ht="13" x14ac:dyDescent="0.3">
      <c r="A59" s="2103" t="s">
        <v>1952</v>
      </c>
      <c r="C59" s="2647" t="s">
        <v>6844</v>
      </c>
      <c r="D59" s="2648"/>
      <c r="E59" s="2648"/>
      <c r="F59" s="2648"/>
      <c r="G59" s="2104"/>
      <c r="H59" s="2040">
        <f>taxable_income</f>
        <v>0</v>
      </c>
      <c r="J59" s="8"/>
      <c r="L59">
        <f>IF(taxable_income&gt;0,1,0)</f>
        <v>0</v>
      </c>
    </row>
    <row r="60" spans="1:13" ht="13" x14ac:dyDescent="0.3">
      <c r="A60" s="2103" t="s">
        <v>6606</v>
      </c>
      <c r="C60" s="2647" t="s">
        <v>6845</v>
      </c>
      <c r="D60" s="2648"/>
      <c r="E60" s="2648"/>
      <c r="F60" s="2648"/>
      <c r="G60" s="2104"/>
      <c r="H60" s="2040">
        <f>taxable_income</f>
        <v>0</v>
      </c>
      <c r="J60" s="8"/>
      <c r="L60">
        <f>IF(taxable_income&lt;=0,1,0)</f>
        <v>1</v>
      </c>
    </row>
    <row r="61" spans="1:13" ht="13" x14ac:dyDescent="0.3">
      <c r="A61" s="2103" t="s">
        <v>6636</v>
      </c>
      <c r="C61" s="2"/>
      <c r="D61" s="2"/>
      <c r="G61" s="26"/>
      <c r="J61" s="8"/>
      <c r="L61">
        <v>1</v>
      </c>
    </row>
    <row r="62" spans="1:13" x14ac:dyDescent="0.25">
      <c r="A62" s="2036" t="s">
        <v>6637</v>
      </c>
      <c r="C62" s="2612" t="s">
        <v>6846</v>
      </c>
      <c r="D62" s="2612"/>
      <c r="E62" s="2612"/>
      <c r="F62" s="2612"/>
      <c r="J62" s="8"/>
      <c r="L62">
        <v>1</v>
      </c>
    </row>
    <row r="63" spans="1:13" x14ac:dyDescent="0.25">
      <c r="A63" s="2036" t="s">
        <v>4932</v>
      </c>
      <c r="C63" s="2616" t="str">
        <f>"Mae'ch terfyn cyfradd sylfaenol wedi ei gynyddu gan "&amp;DOLLAR(ppr_extender,0)&amp;" a "&amp;DOLLAR(gift_extender,0)&amp;" i "&amp;DOLLAR(extended_BR,0)</f>
        <v>Mae'ch terfyn cyfradd sylfaenol wedi ei gynyddu gan £0 a £0 i £37,700</v>
      </c>
      <c r="D63" s="2616"/>
      <c r="E63" s="2616"/>
      <c r="F63" s="2616"/>
      <c r="G63" s="2616"/>
      <c r="H63" s="2616"/>
      <c r="I63" s="2616"/>
      <c r="J63" s="2616"/>
      <c r="K63" s="8"/>
      <c r="L63">
        <f>IF(AND('Status (c3a)'!E21=1,ppr_extender&gt;0,gift_extender&gt;0),1,IF(AND('Status (c3a)'!E21=3,ppr_extender&gt;0,gift_extender&gt;0),1,0))</f>
        <v>0</v>
      </c>
      <c r="M63" s="478"/>
    </row>
    <row r="64" spans="1:13" x14ac:dyDescent="0.25">
      <c r="A64" s="519"/>
      <c r="C64" s="2616" t="s">
        <v>6847</v>
      </c>
      <c r="D64" s="2616"/>
      <c r="E64" s="2616"/>
      <c r="F64" s="2616"/>
      <c r="G64" s="2616"/>
      <c r="H64" s="2616"/>
      <c r="I64" s="2616"/>
      <c r="J64" s="2616"/>
      <c r="K64" s="8"/>
      <c r="L64">
        <f>IF(AND('Status (c3a)'!E21=1,ppr_extender&gt;0,gift_extender&gt;0),1,IF(AND('Status (c3a)'!E21=3,ppr_extender&gt;0,gift_extender&gt;0),1,0))</f>
        <v>0</v>
      </c>
    </row>
    <row r="65" spans="1:13" x14ac:dyDescent="0.25">
      <c r="A65" s="519" t="s">
        <v>6606</v>
      </c>
      <c r="B65" s="158"/>
      <c r="C65" s="2616" t="str">
        <f>"Mae'ch terfyn cyfradd sylfaenol wedi ei gynyddu gan "&amp;DOLLAR(ppr_extender,0)&amp;" i "&amp;DOLLAR(extended_BR,0)&amp;" ar gyfer taliadau pensiwn ayb."</f>
        <v>Mae'ch terfyn cyfradd sylfaenol wedi ei gynyddu gan £0 i £37,700 ar gyfer taliadau pensiwn ayb.</v>
      </c>
      <c r="D65" s="2616"/>
      <c r="E65" s="2616"/>
      <c r="F65" s="2616"/>
      <c r="G65" s="2616"/>
      <c r="H65" s="2616"/>
      <c r="I65" s="2616"/>
      <c r="J65" s="2616"/>
      <c r="K65" s="8"/>
      <c r="L65">
        <f>IF(AND('Status (c3a)'!E21=1,ppr_extender&gt;0,gift_extender=0),1,IF(AND('Status (c3a)'!E21=3,ppr_extender&gt;0,gift_extender=0),1,0))</f>
        <v>0</v>
      </c>
      <c r="M65" s="478"/>
    </row>
    <row r="66" spans="1:13" x14ac:dyDescent="0.25">
      <c r="A66" s="519"/>
      <c r="B66" s="158"/>
      <c r="C66" s="2616" t="s">
        <v>6848</v>
      </c>
      <c r="D66" s="2616"/>
      <c r="E66" s="2616"/>
      <c r="F66" s="2616"/>
      <c r="G66" s="2616"/>
      <c r="H66" s="2616"/>
      <c r="I66" s="22"/>
      <c r="J66" s="22"/>
      <c r="K66" s="8"/>
      <c r="L66">
        <f>IF(AND('Status (c3a)'!E21=1,ppr_extender&gt;0,gift_extender=0),1,IF(AND('Status (c3a)'!E21=3,ppr_extender&gt;0,gift_extender=0),1,0))</f>
        <v>0</v>
      </c>
      <c r="M66" s="478"/>
    </row>
    <row r="67" spans="1:13" x14ac:dyDescent="0.25">
      <c r="A67" s="519" t="s">
        <v>6606</v>
      </c>
      <c r="B67" s="158"/>
      <c r="C67" s="2616" t="str">
        <f>"Mae'ch terfyn cyfradd sylfaenol wedi ei gynyddu gan "&amp;DOLLAR(gift_extender,0)&amp;" i "&amp;DOLLAR(extended_BR,0)&amp;" ar gyfer taliadau rhodd cymorth ayb."</f>
        <v>Mae'ch terfyn cyfradd sylfaenol wedi ei gynyddu gan £0 i £37,700 ar gyfer taliadau rhodd cymorth ayb.</v>
      </c>
      <c r="D67" s="2616"/>
      <c r="E67" s="2616"/>
      <c r="F67" s="2616"/>
      <c r="G67" s="2616"/>
      <c r="H67" s="2616"/>
      <c r="I67" s="2616"/>
      <c r="J67" s="2616"/>
      <c r="K67" s="8"/>
      <c r="L67">
        <f>IF(AND('Status (c3a)'!E21=1,ppr_extender=0,gift_extender&gt;0),1,IF(AND('Status (c3a)'!E21=3,ppr_extender=0,gift_extender&gt;0),1,0))</f>
        <v>0</v>
      </c>
      <c r="M67" s="478"/>
    </row>
    <row r="68" spans="1:13" x14ac:dyDescent="0.25">
      <c r="A68" s="2037"/>
      <c r="B68" s="158"/>
      <c r="C68" s="2616" t="s">
        <v>6848</v>
      </c>
      <c r="D68" s="2616"/>
      <c r="E68" s="2616"/>
      <c r="F68" s="2616"/>
      <c r="G68" s="2616"/>
      <c r="H68" s="2616"/>
      <c r="I68" s="22"/>
      <c r="J68" s="22"/>
      <c r="K68" s="8"/>
      <c r="L68">
        <f>IF(AND('Status (c3a)'!E21=1,ppr_extender=0,gift_extender&gt;0),1,IF(AND('Status (c3a)'!E21=3,ppr_extender=0,gift_extender&gt;0),1,0))</f>
        <v>0</v>
      </c>
      <c r="M68" s="478"/>
    </row>
    <row r="69" spans="1:13" x14ac:dyDescent="0.25">
      <c r="A69" s="2036" t="s">
        <v>4944</v>
      </c>
      <c r="C69" s="2616" t="str">
        <f>"Mae’ch taliadau pensiwn o "&amp;DOLLAR(ppr_extender,0)&amp;" a’ch cyfraniadau Rhodd Cymorth o "&amp;DOLLAR(gift_extender,0)&amp;" wedi cynyddu’ch terfynau cyfradd sylfaenol."</f>
        <v>Mae’ch taliadau pensiwn o £0 a’ch cyfraniadau Rhodd Cymorth o £0 wedi cynyddu’ch terfynau cyfradd sylfaenol.</v>
      </c>
      <c r="D69" s="2616"/>
      <c r="E69" s="2616"/>
      <c r="F69" s="2616"/>
      <c r="G69" s="2616"/>
      <c r="H69" s="2616"/>
      <c r="I69" s="2616"/>
      <c r="J69" s="2616"/>
      <c r="K69" s="8"/>
      <c r="L69" s="178">
        <f>IF(AND('Status (c3a)'!E21=2,ppr_extender&gt;0,gift_extender&gt;0),1,0)</f>
        <v>0</v>
      </c>
      <c r="M69" s="478"/>
    </row>
    <row r="70" spans="1:13" x14ac:dyDescent="0.25">
      <c r="A70" s="519"/>
      <c r="B70" s="158"/>
      <c r="C70" s="2616" t="s">
        <v>6847</v>
      </c>
      <c r="D70" s="2616"/>
      <c r="E70" s="2616"/>
      <c r="F70" s="2616"/>
      <c r="G70" s="2616"/>
      <c r="H70" s="2616"/>
      <c r="I70" s="2616"/>
      <c r="J70" s="2616"/>
      <c r="K70" s="22"/>
      <c r="L70" s="178">
        <f>IF(AND('Status (c3a)'!E21=2,ppr_extender&gt;0,gift_extender&gt;0),1,0)</f>
        <v>0</v>
      </c>
    </row>
    <row r="71" spans="1:13" x14ac:dyDescent="0.25">
      <c r="A71" s="519" t="s">
        <v>6606</v>
      </c>
      <c r="B71" s="966"/>
      <c r="C71" s="2616" t="str">
        <f>"Mae’ch taliadau pensiwn o "&amp;DOLLAR(ppr_extender,0)&amp;" wedi cynyddu’ch terfynau cyfradd sylfaenol."</f>
        <v>Mae’ch taliadau pensiwn o £0 wedi cynyddu’ch terfynau cyfradd sylfaenol.</v>
      </c>
      <c r="D71" s="2616"/>
      <c r="E71" s="2616"/>
      <c r="F71" s="2616"/>
      <c r="G71" s="2616"/>
      <c r="H71" s="2616"/>
      <c r="I71" s="22"/>
      <c r="J71" s="22"/>
      <c r="K71" s="8"/>
      <c r="L71" s="178">
        <f>IF(AND('Status (c3a)'!E21=2,ppr_extender&gt;0,gift_extender=0),1,0)</f>
        <v>0</v>
      </c>
      <c r="M71" s="478"/>
    </row>
    <row r="72" spans="1:13" x14ac:dyDescent="0.25">
      <c r="A72" s="519"/>
      <c r="B72" s="158"/>
      <c r="C72" s="2616" t="s">
        <v>6849</v>
      </c>
      <c r="D72" s="2616"/>
      <c r="E72" s="2616"/>
      <c r="F72" s="2616"/>
      <c r="G72" s="2616"/>
      <c r="H72" s="2616"/>
      <c r="I72" s="2616"/>
      <c r="J72" s="2616"/>
      <c r="L72" s="178">
        <f>IF(AND('Status (c3a)'!E21=2,ppr_extender&gt;0,gift_extender=0),1,0)</f>
        <v>0</v>
      </c>
    </row>
    <row r="73" spans="1:13" x14ac:dyDescent="0.25">
      <c r="A73" s="519" t="s">
        <v>6606</v>
      </c>
      <c r="B73" s="966"/>
      <c r="C73" s="2616" t="str">
        <f>"Mae'ch terfyn cyfradd sylfaenol wedi ei gynyddu gan "&amp;DOLLAR(gift_extender,0)&amp;" i "&amp;DOLLAR(extended_BR,0)&amp;" ar gyfer taliadau rhodd cymorth ayb."</f>
        <v>Mae'ch terfyn cyfradd sylfaenol wedi ei gynyddu gan £0 i £37,700 ar gyfer taliadau rhodd cymorth ayb.</v>
      </c>
      <c r="D73" s="2616"/>
      <c r="E73" s="2616"/>
      <c r="F73" s="2616"/>
      <c r="G73" s="2616"/>
      <c r="H73" s="2616"/>
      <c r="I73" s="2616"/>
      <c r="J73" s="22"/>
      <c r="K73" s="22"/>
      <c r="L73" s="178">
        <f>IF(AND('Status (c3a)'!E21=2,ppr_extender=0,gift_extender&gt;0),1,0)</f>
        <v>0</v>
      </c>
    </row>
    <row r="74" spans="1:13" x14ac:dyDescent="0.25">
      <c r="A74" s="519"/>
      <c r="B74" s="158"/>
      <c r="C74" s="2616" t="s">
        <v>6849</v>
      </c>
      <c r="D74" s="2616"/>
      <c r="E74" s="2616"/>
      <c r="F74" s="2616"/>
      <c r="G74" s="2616"/>
      <c r="H74" s="2616"/>
      <c r="I74" s="2616"/>
      <c r="J74" s="2616"/>
      <c r="L74" s="178">
        <f>IF(AND('Status (c3a)'!E21=2,ppr_extender=0,gift_extender&gt;0),1,0)</f>
        <v>0</v>
      </c>
    </row>
    <row r="75" spans="1:13" x14ac:dyDescent="0.25">
      <c r="A75" s="2408" t="s">
        <v>1953</v>
      </c>
      <c r="B75" s="158"/>
      <c r="C75" s="2642" t="str">
        <f>"Mae eich taliadau pensiwn o "&amp;DOLLAR(ppr_claim,0)&amp;" wedi’u cyfyngu i’r mwyaf o’r"</f>
        <v>Mae eich taliadau pensiwn o £0 wedi’u cyfyngu i’r mwyaf o’r</v>
      </c>
      <c r="D75" s="2642"/>
      <c r="E75" s="2642"/>
      <c r="F75" s="2642"/>
      <c r="G75" s="2642"/>
      <c r="H75" s="2410"/>
      <c r="I75" s="2410"/>
      <c r="J75" s="2410"/>
      <c r="K75" s="406"/>
      <c r="L75" s="2404">
        <f>IF(ppr_claim&gt;ppr_extender,1,0)</f>
        <v>0</v>
      </c>
    </row>
    <row r="76" spans="1:13" x14ac:dyDescent="0.25">
      <c r="A76" s="2409"/>
      <c r="B76" s="158"/>
      <c r="C76" s="2642" t="str">
        <f>"the greater of the basic amount ("&amp;DOLLAR(min_relevant_earns,0)&amp;") swm sylfaenol (£3,600) a’ch enillion perthnasol."</f>
        <v>the greater of the basic amount (£3,600) swm sylfaenol (£3,600) a’ch enillion perthnasol.</v>
      </c>
      <c r="D76" s="2642"/>
      <c r="E76" s="2642"/>
      <c r="F76" s="2642"/>
      <c r="G76" s="2642"/>
      <c r="H76" s="2410"/>
      <c r="I76" s="2410"/>
      <c r="J76" s="2410"/>
      <c r="K76" s="406"/>
      <c r="L76" s="2404">
        <f>IF(ppr_claim&gt;ppr_extender,1,0)</f>
        <v>0</v>
      </c>
    </row>
    <row r="77" spans="1:13" x14ac:dyDescent="0.25">
      <c r="A77" s="2103" t="s">
        <v>2137</v>
      </c>
      <c r="C77" s="178"/>
      <c r="D77" s="178"/>
      <c r="G77" s="26"/>
      <c r="I77" s="155"/>
      <c r="J77" s="8"/>
      <c r="L77">
        <v>1</v>
      </c>
    </row>
    <row r="78" spans="1:13" x14ac:dyDescent="0.25">
      <c r="A78" s="2036" t="s">
        <v>6641</v>
      </c>
      <c r="B78" s="2653" t="s">
        <v>6850</v>
      </c>
      <c r="C78" s="2615"/>
      <c r="D78" s="2615"/>
      <c r="E78" s="2615"/>
      <c r="F78" s="2615"/>
      <c r="G78" s="2615"/>
      <c r="I78" s="816"/>
      <c r="J78" s="82"/>
      <c r="L78">
        <f>IF(AND(box_NRD1= FALSE,Residency_Status_in_UK=1,(taxable_pay_SSR+taxable_pay_BR+taxable_pay_SIR+taxable_pay_HR+taxable_pay_SAR+taxable_pay_AHR)&gt;0),1,0)</f>
        <v>0</v>
      </c>
    </row>
    <row r="79" spans="1:13" x14ac:dyDescent="0.25">
      <c r="A79" s="519" t="s">
        <v>6606</v>
      </c>
      <c r="C79" s="2615" t="s">
        <v>6851</v>
      </c>
      <c r="D79" s="2615"/>
      <c r="E79" s="2615"/>
      <c r="F79" s="2615"/>
      <c r="G79" s="2615"/>
      <c r="I79" s="816"/>
      <c r="J79" s="82"/>
      <c r="L79">
        <f>IF(AND('Status (c3a)'!E21=2,(taxable_pay_SSR+taxable_pay_BR+taxable_pay_SIR+taxable_pay_HR+taxable_pay_SAR+taxable_pay_AHR)&gt;0),1,0)</f>
        <v>0</v>
      </c>
    </row>
    <row r="80" spans="1:13" x14ac:dyDescent="0.25">
      <c r="A80" s="519" t="s">
        <v>6606</v>
      </c>
      <c r="C80" s="9"/>
      <c r="D80" s="9"/>
      <c r="E80" s="2615" t="s">
        <v>6852</v>
      </c>
      <c r="F80" s="2615"/>
      <c r="G80" s="2615"/>
      <c r="I80" s="816"/>
      <c r="J80" s="82"/>
      <c r="L80">
        <f>IF(AND('Status (c3a)'!E21=3,(taxable_pay_SSR+taxable_pay_BR+taxable_pay_SIR+taxable_pay_HR+taxable_pay_SAR+taxable_pay_AHR)&gt;0),1,0)</f>
        <v>0</v>
      </c>
    </row>
    <row r="81" spans="1:13" x14ac:dyDescent="0.25">
      <c r="A81" s="2037" t="s">
        <v>6606</v>
      </c>
      <c r="C81" s="2615" t="s">
        <v>6853</v>
      </c>
      <c r="D81" s="2615"/>
      <c r="E81" s="2615"/>
      <c r="F81" s="2615"/>
      <c r="G81" s="2615"/>
      <c r="I81" s="816"/>
      <c r="J81" s="82"/>
      <c r="L81">
        <f>IF(AND(box_NRD1,(taxable_pay_SSR+taxable_pay_BR+taxable_pay_SIR+taxable_pay_HR+taxable_pay_SAR+taxable_pay_AHR)&gt;0),1,0)</f>
        <v>0</v>
      </c>
    </row>
    <row r="82" spans="1:13" x14ac:dyDescent="0.25">
      <c r="A82" s="2103" t="s">
        <v>4960</v>
      </c>
      <c r="C82" s="178"/>
      <c r="D82" s="178"/>
      <c r="F82" s="2615" t="s">
        <v>6854</v>
      </c>
      <c r="G82" s="2615"/>
      <c r="H82" s="154">
        <f>taxable_pay_SSR</f>
        <v>0</v>
      </c>
      <c r="I82" s="816" t="str">
        <f>"x "&amp;SSR_rate*100&amp;"% ="</f>
        <v>x 19% =</v>
      </c>
      <c r="J82" s="82">
        <f>tax_on_pay_SSR</f>
        <v>0</v>
      </c>
      <c r="L82">
        <f>IF(AND('Status (c3a)'!E21=2,(taxable_pay_SSR+taxable_pay_BR+taxable_pay_SIR+taxable_pay_HR+taxable_pay_SAR+taxable_pay_AHR)&gt;0),1,0)</f>
        <v>0</v>
      </c>
    </row>
    <row r="83" spans="1:13" x14ac:dyDescent="0.25">
      <c r="A83" s="2036" t="s">
        <v>1954</v>
      </c>
      <c r="C83" s="178"/>
      <c r="D83" s="178"/>
      <c r="F83" s="2615" t="s">
        <v>6855</v>
      </c>
      <c r="G83" s="2615"/>
      <c r="H83" s="154">
        <f>taxable_pay_BR</f>
        <v>0</v>
      </c>
      <c r="I83" s="816" t="str">
        <f>"x "&amp;BR_rate*100&amp;"% ="</f>
        <v>x 20% =</v>
      </c>
      <c r="J83" s="82">
        <f>tax_on_pay_BR</f>
        <v>0</v>
      </c>
      <c r="L83">
        <f>IF(AND('Status (c3a)'!E21=1,(taxable_pay_BR+taxable_pay_HR+taxable_pay_AHR)&gt;0),1,0)</f>
        <v>0</v>
      </c>
    </row>
    <row r="84" spans="1:13" x14ac:dyDescent="0.25">
      <c r="A84" s="519" t="s">
        <v>6606</v>
      </c>
      <c r="C84" s="178"/>
      <c r="D84" s="178"/>
      <c r="F84" s="2615" t="s">
        <v>6855</v>
      </c>
      <c r="G84" s="2615"/>
      <c r="H84" s="154">
        <f>taxable_pay_BR</f>
        <v>0</v>
      </c>
      <c r="I84" s="816" t="str">
        <f>"x "&amp;SBR_rate*100&amp;"% ="</f>
        <v>x 20% =</v>
      </c>
      <c r="J84" s="82">
        <f>tax_on_pay_BR</f>
        <v>0</v>
      </c>
      <c r="L84">
        <f>IF(AND('Status (c3a)'!E21=2,(taxable_pay_BR+taxable_pay_HR+taxable_pay_SAR+taxable_pay_AHR)&gt;0),1,0)</f>
        <v>0</v>
      </c>
      <c r="M84" s="178"/>
    </row>
    <row r="85" spans="1:13" x14ac:dyDescent="0.25">
      <c r="A85" s="519" t="s">
        <v>6606</v>
      </c>
      <c r="C85" s="178"/>
      <c r="D85" s="178"/>
      <c r="F85" s="2615" t="s">
        <v>6855</v>
      </c>
      <c r="G85" s="2615"/>
      <c r="H85" s="154">
        <f>taxable_pay_BR</f>
        <v>0</v>
      </c>
      <c r="I85" s="816" t="str">
        <f>"x "&amp;WBR_rate*100&amp;"% ="</f>
        <v>x 20% =</v>
      </c>
      <c r="J85" s="82">
        <f>tax_on_pay_BR</f>
        <v>0</v>
      </c>
      <c r="L85">
        <f>IF(AND('Status (c3a)'!E21=3,(taxable_pay_BR+taxable_pay_HR+taxable_pay_AHR)&gt;0),1,0)</f>
        <v>0</v>
      </c>
    </row>
    <row r="86" spans="1:13" x14ac:dyDescent="0.25">
      <c r="A86" s="2103" t="s">
        <v>4981</v>
      </c>
      <c r="C86" s="178"/>
      <c r="D86" s="178"/>
      <c r="F86" s="2615" t="s">
        <v>6856</v>
      </c>
      <c r="G86" s="2615"/>
      <c r="H86" s="154">
        <f>taxable_pay_SIR</f>
        <v>0</v>
      </c>
      <c r="I86" s="816" t="s">
        <v>6647</v>
      </c>
      <c r="J86" s="82">
        <f>tax_on_pay_SIR</f>
        <v>0</v>
      </c>
      <c r="L86">
        <f>IF(AND('Status (c3a)'!E21=2,(taxable_pay_SIR+taxable_pay_HR+taxable_pay_SAR+taxable_pay_AHR)&gt;0),1,0)</f>
        <v>0</v>
      </c>
    </row>
    <row r="87" spans="1:13" x14ac:dyDescent="0.25">
      <c r="A87" s="2036" t="s">
        <v>4992</v>
      </c>
      <c r="C87" s="178"/>
      <c r="D87" s="178"/>
      <c r="F87" s="2615" t="s">
        <v>6857</v>
      </c>
      <c r="G87" s="2615"/>
      <c r="H87" s="154">
        <f>taxable_pay_HR</f>
        <v>0</v>
      </c>
      <c r="I87" s="816" t="str">
        <f>"x "&amp;HR_rate*100&amp;"% ="</f>
        <v>x 40% =</v>
      </c>
      <c r="J87" s="82">
        <f>tax_on_pay_HR</f>
        <v>0</v>
      </c>
      <c r="L87">
        <f>IF(AND('Status (c3a)'!E21=1,taxable_pay_HR+taxable_pay_AHR&gt;0),1,0)</f>
        <v>0</v>
      </c>
    </row>
    <row r="88" spans="1:13" x14ac:dyDescent="0.25">
      <c r="A88" s="519" t="s">
        <v>6606</v>
      </c>
      <c r="C88" s="178"/>
      <c r="D88" s="178"/>
      <c r="F88" s="2615" t="s">
        <v>6857</v>
      </c>
      <c r="G88" s="2615"/>
      <c r="H88" s="154">
        <f>taxable_pay_HR</f>
        <v>0</v>
      </c>
      <c r="I88" s="816" t="str">
        <f>"x "&amp;SHR_rate*100&amp;"% ="</f>
        <v>x 42% =</v>
      </c>
      <c r="J88" s="82">
        <f>tax_on_pay_HR</f>
        <v>0</v>
      </c>
      <c r="L88">
        <f>IF(AND('Status (c3a)'!E21=2,taxable_pay_HR+taxable_pay_SAR+taxable_pay_AHR&gt;0),1,0)</f>
        <v>0</v>
      </c>
    </row>
    <row r="89" spans="1:13" x14ac:dyDescent="0.25">
      <c r="A89" s="519" t="s">
        <v>6606</v>
      </c>
      <c r="C89" s="178"/>
      <c r="D89" s="178"/>
      <c r="F89" s="2615" t="s">
        <v>6857</v>
      </c>
      <c r="G89" s="2615"/>
      <c r="H89" s="154">
        <f>taxable_pay_HR</f>
        <v>0</v>
      </c>
      <c r="I89" s="816" t="str">
        <f>"x "&amp;WHR_rate*100&amp;"% ="</f>
        <v>x 40% =</v>
      </c>
      <c r="J89" s="82">
        <f>tax_on_pay_HR</f>
        <v>0</v>
      </c>
      <c r="L89">
        <f>IF(AND('Status (c3a)'!E21=3,taxable_pay_HR+taxable_pay_AHR&gt;0),1,0)</f>
        <v>0</v>
      </c>
    </row>
    <row r="90" spans="1:13" x14ac:dyDescent="0.25">
      <c r="A90" s="2036" t="s">
        <v>5002</v>
      </c>
      <c r="C90" s="178"/>
      <c r="D90" s="178"/>
      <c r="F90" s="2615"/>
      <c r="G90" s="2615"/>
      <c r="H90" s="154">
        <f>taxable_pay_SAR</f>
        <v>0</v>
      </c>
      <c r="I90" s="816" t="str">
        <f>"x "&amp;SAR_rate*100&amp;"% ="</f>
        <v>x 45% =</v>
      </c>
      <c r="J90" s="82">
        <f>tax_on_pay_SAR</f>
        <v>0</v>
      </c>
      <c r="L90">
        <f>IF(AND('Status (c3a)'!E21=2,taxable_pay_SAR+taxable_pay_AHR&gt;0),1,0)</f>
        <v>0</v>
      </c>
    </row>
    <row r="91" spans="1:13" x14ac:dyDescent="0.25">
      <c r="A91" s="2103" t="s">
        <v>5012</v>
      </c>
      <c r="C91" s="178"/>
      <c r="D91" s="178"/>
      <c r="F91" s="2615" t="s">
        <v>6858</v>
      </c>
      <c r="G91" s="2615"/>
      <c r="H91" s="154">
        <f>taxable_pay_AHR</f>
        <v>0</v>
      </c>
      <c r="I91" s="816" t="str">
        <f>"x "&amp;AHR_rate*100&amp;"% ="</f>
        <v>x 45% =</v>
      </c>
      <c r="J91" s="82">
        <f>tax_on_pay_AHR</f>
        <v>0</v>
      </c>
      <c r="L91">
        <f>IF(AND('Status (c3a)'!E21=1,taxable_pay_AHR&gt;0),1,0)</f>
        <v>0</v>
      </c>
    </row>
    <row r="92" spans="1:13" x14ac:dyDescent="0.25">
      <c r="A92" s="2036" t="s">
        <v>6606</v>
      </c>
      <c r="C92" s="178"/>
      <c r="D92" s="178"/>
      <c r="F92" s="2615" t="s">
        <v>6859</v>
      </c>
      <c r="G92" s="2615"/>
      <c r="H92" s="154">
        <f>taxable_pay_AHR</f>
        <v>0</v>
      </c>
      <c r="I92" s="816" t="str">
        <f>"x "&amp;SAHR_rate*100&amp;"% ="</f>
        <v>x 48% =</v>
      </c>
      <c r="J92" s="82">
        <f>tax_on_pay_AHR</f>
        <v>0</v>
      </c>
      <c r="L92">
        <f>IF(AND('Status (c3a)'!E21=2,taxable_pay_AHR&gt;0),1,0)</f>
        <v>0</v>
      </c>
    </row>
    <row r="93" spans="1:13" x14ac:dyDescent="0.25">
      <c r="A93" s="2037" t="s">
        <v>6606</v>
      </c>
      <c r="C93" s="178"/>
      <c r="D93" s="178"/>
      <c r="F93" s="2615" t="s">
        <v>6858</v>
      </c>
      <c r="G93" s="2615"/>
      <c r="H93" s="154">
        <f>taxable_pay_AHR</f>
        <v>0</v>
      </c>
      <c r="I93" s="816" t="str">
        <f>"x "&amp;WAHR_rate*100&amp;"% ="</f>
        <v>x 45% =</v>
      </c>
      <c r="J93" s="82">
        <f>tax_on_pay_AHR</f>
        <v>0</v>
      </c>
      <c r="L93">
        <f>IF(AND('Status (c3a)'!E21=3,taxable_pay_AHR&gt;0),1,0)</f>
        <v>0</v>
      </c>
    </row>
    <row r="94" spans="1:13" x14ac:dyDescent="0.25">
      <c r="A94" s="2103" t="s">
        <v>6652</v>
      </c>
      <c r="C94" s="178"/>
      <c r="D94" s="178"/>
      <c r="G94"/>
      <c r="H94" s="84"/>
      <c r="I94" s="9"/>
      <c r="J94" s="85"/>
      <c r="L94">
        <f>IF(AND((taxable_pay_BR+taxable_pay_HR+taxable_pay_AHR)&gt;0,OR(income_Savings_taxfree_BR+Income_Savings_taxfree_HR+taxable_int_SR+taxable_int_BR+taxable_int_HR+taxable_int_AHR&gt;0,divs_taxfree_BR+taxable_divs_BR+divs_taxfree_HR+taxable_divs_HR+taxable_divs_AHR+divs_taxfree_AHR&gt;0,taxable_redundancy_SSR+taxable_redundancy_BR+taxable_redundancy_SIR+taxable_redundancy_HR+taxable_redundancy_SAR+taxable_redundancy_AHR&gt;0,income_CEG_taxfree_BR+taxable_CEG_SR+taxable_CEG_BR+income_CEG_taxfree_BR+taxable_CEG_HR+income_CEG_taxfree_HR+taxable_CEG_AHR&gt;0)),1,0)</f>
        <v>0</v>
      </c>
    </row>
    <row r="95" spans="1:13" x14ac:dyDescent="0.25">
      <c r="A95" s="2036" t="s">
        <v>6653</v>
      </c>
      <c r="C95" s="178"/>
      <c r="D95" s="2615" t="s">
        <v>6860</v>
      </c>
      <c r="E95" s="2615"/>
      <c r="F95" s="2615"/>
      <c r="G95" s="2615"/>
      <c r="I95" s="816"/>
      <c r="J95" s="82"/>
      <c r="L95">
        <f>IF(income_Savings_taxfree_BR+Income_Savings_taxfree_HR+taxable_int_SR+taxable_int_BR+taxable_int_HR+taxable_int_AHR&gt;0,1,0)</f>
        <v>0</v>
      </c>
    </row>
    <row r="96" spans="1:13" x14ac:dyDescent="0.25">
      <c r="A96" s="2103" t="s">
        <v>5022</v>
      </c>
      <c r="C96" s="178"/>
      <c r="D96" s="178"/>
      <c r="F96" s="2615" t="s">
        <v>6861</v>
      </c>
      <c r="G96" s="2615"/>
      <c r="H96" s="154">
        <f>taxable_int_SR</f>
        <v>0</v>
      </c>
      <c r="I96" s="816" t="s">
        <v>4620</v>
      </c>
      <c r="J96" s="82">
        <f>tax_on_int_SR</f>
        <v>0</v>
      </c>
      <c r="L96">
        <f>IF(OR(income_Savings_taxfree_BR&gt;0,taxable_int_SR+taxable_int_BR+taxable_int_HR+taxable_int_AHR&gt;0),1,0)</f>
        <v>0</v>
      </c>
    </row>
    <row r="97" spans="1:13" x14ac:dyDescent="0.25">
      <c r="A97" s="2036" t="s">
        <v>5032</v>
      </c>
      <c r="C97" s="178"/>
      <c r="D97" s="178"/>
      <c r="F97" s="2615" t="s">
        <v>6862</v>
      </c>
      <c r="G97" s="2615"/>
      <c r="H97" s="967">
        <f>income_Savings_taxfree_BR</f>
        <v>0</v>
      </c>
      <c r="I97" s="816" t="s">
        <v>4620</v>
      </c>
      <c r="J97" s="82">
        <v>0</v>
      </c>
      <c r="L97">
        <f>IF(income_Savings_taxfree_BR&gt;0,1,0)</f>
        <v>0</v>
      </c>
    </row>
    <row r="98" spans="1:13" x14ac:dyDescent="0.25">
      <c r="A98" s="2103" t="s">
        <v>5041</v>
      </c>
      <c r="C98" s="178"/>
      <c r="D98" s="178"/>
      <c r="F98" s="2615" t="s">
        <v>6855</v>
      </c>
      <c r="G98" s="2615"/>
      <c r="H98" s="154">
        <f>taxable_int_BR</f>
        <v>0</v>
      </c>
      <c r="I98" s="816" t="s">
        <v>4617</v>
      </c>
      <c r="J98" s="82">
        <f>tax_on_int_BR</f>
        <v>0</v>
      </c>
      <c r="L98">
        <f>IF(taxable_int_BR+taxable_int_HR+taxable_int_AHR&gt;0,1,0)</f>
        <v>0</v>
      </c>
    </row>
    <row r="99" spans="1:13" x14ac:dyDescent="0.25">
      <c r="A99" s="2036" t="s">
        <v>6654</v>
      </c>
      <c r="C99" s="178"/>
      <c r="D99" s="178"/>
      <c r="F99" s="2615" t="s">
        <v>6863</v>
      </c>
      <c r="G99" s="2615"/>
      <c r="H99" s="967">
        <f>Income_Savings_taxfree_HR</f>
        <v>0</v>
      </c>
      <c r="I99" s="816" t="s">
        <v>4620</v>
      </c>
      <c r="J99" s="82">
        <v>0</v>
      </c>
      <c r="L99">
        <f>IF(Income_Savings_taxfree_HR&gt;0,1,0)</f>
        <v>0</v>
      </c>
    </row>
    <row r="100" spans="1:13" x14ac:dyDescent="0.25">
      <c r="A100" s="2103" t="s">
        <v>1957</v>
      </c>
      <c r="C100" s="178"/>
      <c r="D100" s="178"/>
      <c r="F100" s="2615" t="s">
        <v>6857</v>
      </c>
      <c r="G100" s="2615"/>
      <c r="H100" s="154">
        <f>taxable_int_HR</f>
        <v>0</v>
      </c>
      <c r="I100" s="816" t="s">
        <v>6655</v>
      </c>
      <c r="J100" s="82">
        <f>tax_on_int_HR</f>
        <v>0</v>
      </c>
      <c r="L100">
        <f>IF(taxable_int_HR+taxable_int_AHR&gt;0,1,0)</f>
        <v>0</v>
      </c>
    </row>
    <row r="101" spans="1:13" x14ac:dyDescent="0.25">
      <c r="A101" s="2103" t="s">
        <v>5063</v>
      </c>
      <c r="C101" s="178"/>
      <c r="D101" s="178"/>
      <c r="F101" s="2615" t="s">
        <v>6858</v>
      </c>
      <c r="G101" s="2615"/>
      <c r="H101" s="154">
        <f>taxable_int_AHR</f>
        <v>0</v>
      </c>
      <c r="I101" s="816" t="s">
        <v>6656</v>
      </c>
      <c r="J101" s="82">
        <f>tax_on_int_AHR</f>
        <v>0</v>
      </c>
      <c r="L101">
        <f>IF(taxable_int_AHR&gt;0,1,0)</f>
        <v>0</v>
      </c>
    </row>
    <row r="102" spans="1:13" x14ac:dyDescent="0.25">
      <c r="A102" s="2103" t="s">
        <v>6657</v>
      </c>
      <c r="C102" s="178"/>
      <c r="D102" s="178"/>
      <c r="G102" s="9"/>
      <c r="H102" s="84"/>
      <c r="I102" s="9"/>
      <c r="J102" s="85"/>
      <c r="L102">
        <f>IF(AND(income_Savings_taxfree_BR+taxable_int_SR+taxable_int_BR+income_Savings_taxfree_BR+taxable_int_HR+Income_Savings_taxfree_HR+taxable_int_AHR&gt;0,divs_taxfree_BR+taxable_divs_BR+taxable_divs_HR+divs_taxfree_HR+taxable_divs_AHR+divs_taxfree_AHR&gt;0),1,0)</f>
        <v>0</v>
      </c>
    </row>
    <row r="103" spans="1:13" x14ac:dyDescent="0.25">
      <c r="A103" s="2103" t="s">
        <v>6658</v>
      </c>
      <c r="C103" s="178"/>
      <c r="D103" s="178"/>
      <c r="E103" s="2615" t="s">
        <v>6864</v>
      </c>
      <c r="F103" s="2615"/>
      <c r="G103" s="2615"/>
      <c r="I103" s="816"/>
      <c r="J103" s="85"/>
      <c r="L103">
        <f>IF(OR(taxable_divs_BR+taxable_divs_HR+taxable_divs_AHR&gt;0,divs_taxfree_BR+divs_taxfree_HR+divs_taxfree_AHR&gt;0),1,0)</f>
        <v>0</v>
      </c>
    </row>
    <row r="104" spans="1:13" x14ac:dyDescent="0.25">
      <c r="A104" s="2103" t="s">
        <v>5071</v>
      </c>
      <c r="C104" s="178"/>
      <c r="D104" s="178"/>
      <c r="F104" s="2615" t="s">
        <v>6862</v>
      </c>
      <c r="G104" s="2615"/>
      <c r="H104" s="967">
        <f>divs_taxfree_BR</f>
        <v>0</v>
      </c>
      <c r="I104" s="816" t="s">
        <v>4620</v>
      </c>
      <c r="J104" s="82">
        <v>0</v>
      </c>
      <c r="L104">
        <f>IF(divs_taxfree_BR&gt;0,1,0)</f>
        <v>0</v>
      </c>
      <c r="M104" s="178"/>
    </row>
    <row r="105" spans="1:13" x14ac:dyDescent="0.25">
      <c r="A105" s="2103" t="s">
        <v>5077</v>
      </c>
      <c r="C105" s="178"/>
      <c r="D105" s="178"/>
      <c r="F105" s="2615" t="s">
        <v>6855</v>
      </c>
      <c r="G105" s="2615"/>
      <c r="H105" s="154">
        <f>taxable_divs_BR</f>
        <v>0</v>
      </c>
      <c r="I105" s="9" t="str">
        <f>"x "&amp;DivBR_rate*100&amp;"% ="</f>
        <v>x 8.75% =</v>
      </c>
      <c r="J105" s="82">
        <f>tax_on_divs_BR</f>
        <v>0</v>
      </c>
      <c r="L105">
        <f>IF((taxable_divs_BR+taxable_divs_HR+taxable_divs_AHR)&gt;0,1,0)</f>
        <v>0</v>
      </c>
      <c r="M105" s="178"/>
    </row>
    <row r="106" spans="1:13" x14ac:dyDescent="0.25">
      <c r="A106" s="2103" t="s">
        <v>5088</v>
      </c>
      <c r="C106" s="178"/>
      <c r="D106" s="178"/>
      <c r="F106" s="2615" t="s">
        <v>6863</v>
      </c>
      <c r="G106" s="2615"/>
      <c r="H106" s="967">
        <f>divs_taxfree_HR</f>
        <v>0</v>
      </c>
      <c r="I106" s="816" t="s">
        <v>4620</v>
      </c>
      <c r="J106" s="82">
        <v>0</v>
      </c>
      <c r="L106">
        <f>IF(divs_taxfree_HR&gt;0,1,0)</f>
        <v>0</v>
      </c>
      <c r="M106" s="178"/>
    </row>
    <row r="107" spans="1:13" x14ac:dyDescent="0.25">
      <c r="A107" s="2103" t="s">
        <v>5092</v>
      </c>
      <c r="C107" s="178"/>
      <c r="D107" s="178"/>
      <c r="F107" s="2615" t="s">
        <v>6857</v>
      </c>
      <c r="G107" s="2615"/>
      <c r="H107" s="154">
        <f>taxable_divs_HR</f>
        <v>0</v>
      </c>
      <c r="I107" s="9" t="str">
        <f>"x "&amp;DivHR_rate*100&amp;"% ="</f>
        <v>x 33.75% =</v>
      </c>
      <c r="J107" s="82">
        <f>tax_on_divs_HR</f>
        <v>0</v>
      </c>
      <c r="L107">
        <f>IF((taxable_divs_HR+taxable_divs_AHR)&gt;0,1,0)</f>
        <v>0</v>
      </c>
      <c r="M107" s="178"/>
    </row>
    <row r="108" spans="1:13" x14ac:dyDescent="0.25">
      <c r="A108" s="2103" t="s">
        <v>5103</v>
      </c>
      <c r="C108" s="178"/>
      <c r="D108" s="178"/>
      <c r="F108" s="2615" t="s">
        <v>6865</v>
      </c>
      <c r="G108" s="2615"/>
      <c r="H108" s="967">
        <f>divs_taxfree_AHR</f>
        <v>0</v>
      </c>
      <c r="I108" s="816" t="s">
        <v>4620</v>
      </c>
      <c r="J108" s="82">
        <v>0</v>
      </c>
      <c r="L108">
        <f>IF(divs_taxfree_AHR&gt;0,1,0)</f>
        <v>0</v>
      </c>
      <c r="M108" s="178"/>
    </row>
    <row r="109" spans="1:13" x14ac:dyDescent="0.25">
      <c r="A109" s="2103" t="s">
        <v>6662</v>
      </c>
      <c r="C109" s="178"/>
      <c r="D109" s="178"/>
      <c r="F109" s="2615" t="s">
        <v>6858</v>
      </c>
      <c r="G109" s="2615"/>
      <c r="H109" s="154">
        <f>taxable_divs_AHR</f>
        <v>0</v>
      </c>
      <c r="I109" s="9" t="str">
        <f>"x "&amp;DivAR_rate*100&amp;"% ="</f>
        <v>x 39.35% =</v>
      </c>
      <c r="J109" s="82">
        <f>tax_on_divs_AHR</f>
        <v>0</v>
      </c>
      <c r="L109">
        <f>IF(taxable_divs_AHR&gt;0,1,0)</f>
        <v>0</v>
      </c>
      <c r="M109" s="178"/>
    </row>
    <row r="110" spans="1:13" x14ac:dyDescent="0.25">
      <c r="A110" s="2103" t="s">
        <v>6661</v>
      </c>
      <c r="C110" s="178"/>
      <c r="D110" s="178"/>
      <c r="G110"/>
      <c r="H110" s="84"/>
      <c r="I110" s="9"/>
      <c r="J110" s="85"/>
      <c r="L110">
        <f>IF(AND(divs_taxfree_BR+taxable_divs_BR+taxable_divs_HR+divs_taxfree_HR+taxable_divs_AHR+divs_taxfree_AHR&gt;0,taxable_redundancy_SSR+taxable_redundancy_BR+taxable_redundancy_SIR+taxable_redundancy_HR+taxable_redundancy_SAR+taxable_redundancy_AHR&gt;0),1,0)</f>
        <v>0</v>
      </c>
    </row>
    <row r="111" spans="1:13" x14ac:dyDescent="0.25">
      <c r="A111" s="2036" t="s">
        <v>6662</v>
      </c>
      <c r="C111" s="2650" t="s">
        <v>6866</v>
      </c>
      <c r="D111" s="2650"/>
      <c r="E111" s="2650"/>
      <c r="F111" s="2650"/>
      <c r="G111" s="2650"/>
      <c r="I111" s="816"/>
      <c r="J111" s="82"/>
      <c r="L111">
        <f>IF(AND(box_NRD1= FALSE,Residency_Status_in_UK=1,(taxable_redundancy_SSR+taxable_redundancy_BR+taxable_redundancy_SIR+taxable_redundancy_HR+taxable_redundancy_SAR+taxable_redundancy_AHR)&gt;0),1,0)</f>
        <v>0</v>
      </c>
    </row>
    <row r="112" spans="1:13" x14ac:dyDescent="0.25">
      <c r="A112" s="519" t="s">
        <v>6606</v>
      </c>
      <c r="C112" s="2650" t="s">
        <v>6867</v>
      </c>
      <c r="D112" s="2650"/>
      <c r="E112" s="2650"/>
      <c r="F112" s="2650"/>
      <c r="G112" s="2650"/>
      <c r="I112" s="816"/>
      <c r="J112" s="82"/>
      <c r="L112">
        <f>IF(AND('Status (c3a)'!E21=2,(taxable_redundancy_SSR+taxable_redundancy_BR+taxable_redundancy_SIR+taxable_redundancy_HR+taxable_redundancy_SAR+taxable_redundancy_AHR)&gt;0),1,0)</f>
        <v>0</v>
      </c>
    </row>
    <row r="113" spans="1:12" x14ac:dyDescent="0.25">
      <c r="A113" s="519" t="s">
        <v>6606</v>
      </c>
      <c r="C113" s="291"/>
      <c r="D113" s="2650" t="s">
        <v>6868</v>
      </c>
      <c r="E113" s="2650"/>
      <c r="F113" s="2650"/>
      <c r="G113" s="2650"/>
      <c r="I113" s="816"/>
      <c r="J113" s="82"/>
      <c r="L113">
        <f>IF(AND('Status (c3a)'!E21=3,(taxable_redundancy_SSR+taxable_redundancy_BR+taxable_redundancy_SIR+taxable_redundancy_HR+taxable_redundancy_SAR+taxable_redundancy_AHR)&gt;0),1,0)</f>
        <v>0</v>
      </c>
    </row>
    <row r="114" spans="1:12" x14ac:dyDescent="0.25">
      <c r="A114" s="2037" t="s">
        <v>6606</v>
      </c>
      <c r="C114" s="2650" t="s">
        <v>6869</v>
      </c>
      <c r="D114" s="2650"/>
      <c r="E114" s="2650"/>
      <c r="F114" s="2650"/>
      <c r="G114" s="2650"/>
      <c r="I114" s="816"/>
      <c r="J114" s="82"/>
      <c r="L114">
        <f>IF(AND(box_NRD1,(taxable_redundancy_SSR+taxable_redundancy_BR+taxable_redundancy_SIR+taxable_redundancy_HR+taxable_redundancy_SAR+taxable_redundancy_AHR)&gt;0),1,0)</f>
        <v>0</v>
      </c>
    </row>
    <row r="115" spans="1:12" x14ac:dyDescent="0.25">
      <c r="A115" s="2103" t="s">
        <v>5120</v>
      </c>
      <c r="C115" s="178"/>
      <c r="D115" s="178"/>
      <c r="F115" s="2615" t="s">
        <v>6854</v>
      </c>
      <c r="G115" s="2615"/>
      <c r="H115" s="154">
        <f>taxable_redundancy_SSR</f>
        <v>0</v>
      </c>
      <c r="I115" s="816" t="str">
        <f>"x "&amp;SSR_rate*100&amp;"% ="</f>
        <v>x 19% =</v>
      </c>
      <c r="J115" s="82">
        <f>tax_on_redundancy_SSR</f>
        <v>0</v>
      </c>
      <c r="L115">
        <f>IF(AND('Status (c3a)'!E21=2,(taxable_redundancy_SSR+taxable_redundancy_BR+taxable_redundancy_SIR+taxable_redundancy_HR+taxable_redundancy_SAR+taxable_redundancy_AHR)&gt;0),1,0)</f>
        <v>0</v>
      </c>
    </row>
    <row r="116" spans="1:12" x14ac:dyDescent="0.25">
      <c r="A116" s="2036" t="s">
        <v>5131</v>
      </c>
      <c r="C116" s="178"/>
      <c r="D116" s="178"/>
      <c r="F116" s="2615" t="s">
        <v>6855</v>
      </c>
      <c r="G116" s="2615"/>
      <c r="H116" s="154">
        <f>taxable_redundancy_BR</f>
        <v>0</v>
      </c>
      <c r="I116" s="816" t="str">
        <f>"x "&amp;BR_rate*100&amp;"% ="</f>
        <v>x 20% =</v>
      </c>
      <c r="J116" s="82">
        <f>tax_on_redundancy_BR</f>
        <v>0</v>
      </c>
      <c r="L116">
        <f>IF(AND('Status (c3a)'!E21=1,(taxable_redundancy_BR+taxable_redundancy_HR+taxable_redundancy_AHR)&gt;0),1,0)</f>
        <v>0</v>
      </c>
    </row>
    <row r="117" spans="1:12" x14ac:dyDescent="0.25">
      <c r="A117" s="519" t="s">
        <v>6606</v>
      </c>
      <c r="C117" s="178"/>
      <c r="D117" s="178"/>
      <c r="F117" s="2615" t="s">
        <v>6855</v>
      </c>
      <c r="G117" s="2615"/>
      <c r="H117" s="154">
        <f>taxable_redundancy_BR</f>
        <v>0</v>
      </c>
      <c r="I117" s="816" t="str">
        <f>"x "&amp;SBR_rate*100&amp;"% ="</f>
        <v>x 20% =</v>
      </c>
      <c r="J117" s="82">
        <f>tax_on_redundancy_BR</f>
        <v>0</v>
      </c>
      <c r="L117">
        <f>IF(AND('Status (c3a)'!E21=2,(taxable_redundancy_BR+taxable_redundancy_HR+taxable_redundancy_SAR+taxable_redundancy_AHR)&gt;0),1,0)</f>
        <v>0</v>
      </c>
    </row>
    <row r="118" spans="1:12" x14ac:dyDescent="0.25">
      <c r="A118" s="519" t="s">
        <v>6606</v>
      </c>
      <c r="C118" s="178"/>
      <c r="D118" s="178"/>
      <c r="F118" s="2615" t="s">
        <v>6855</v>
      </c>
      <c r="G118" s="2615"/>
      <c r="H118" s="154">
        <f>taxable_redundancy_BR</f>
        <v>0</v>
      </c>
      <c r="I118" s="816" t="str">
        <f>"x "&amp;WBR_rate*100&amp;"% ="</f>
        <v>x 20% =</v>
      </c>
      <c r="J118" s="82">
        <f>tax_on_redundancy_BR</f>
        <v>0</v>
      </c>
      <c r="L118">
        <f>IF(AND('Status (c3a)'!E21=3,(taxable_redundancy_BR+taxable_redundancy_HR+taxable_redundancy_AHR)&gt;0),1,0)</f>
        <v>0</v>
      </c>
    </row>
    <row r="119" spans="1:12" x14ac:dyDescent="0.25">
      <c r="A119" s="2103" t="s">
        <v>5142</v>
      </c>
      <c r="C119" s="178"/>
      <c r="D119" s="178"/>
      <c r="F119" s="2615" t="s">
        <v>6856</v>
      </c>
      <c r="G119" s="2615"/>
      <c r="H119" s="154">
        <f>taxable_redundancy_SIR</f>
        <v>0</v>
      </c>
      <c r="I119" s="816" t="s">
        <v>6647</v>
      </c>
      <c r="J119" s="82">
        <f>tax_on_redundancy_SIR</f>
        <v>0</v>
      </c>
      <c r="L119">
        <f>IF(AND('Status (c3a)'!E21=2,(taxable_redundancy_SIR+taxable_redundancy_HR+taxable_redundancy_SAR+taxable_redundancy_AHR)&gt;0),1,0)</f>
        <v>0</v>
      </c>
    </row>
    <row r="120" spans="1:12" x14ac:dyDescent="0.25">
      <c r="A120" s="2036" t="s">
        <v>5153</v>
      </c>
      <c r="C120" s="178"/>
      <c r="D120" s="178"/>
      <c r="F120" s="2615" t="s">
        <v>6857</v>
      </c>
      <c r="G120" s="2615"/>
      <c r="H120" s="154">
        <f>taxable_redundancy_HR</f>
        <v>0</v>
      </c>
      <c r="I120" s="816" t="str">
        <f>"x "&amp;HR_rate*100&amp;"% ="</f>
        <v>x 40% =</v>
      </c>
      <c r="J120" s="82">
        <f>tax_on_redundancy_HR</f>
        <v>0</v>
      </c>
      <c r="L120">
        <f>IF(AND('Status (c3a)'!E21=1,taxable_redundancy_HR+taxable_redundancy_AHR&gt;0),1,0)</f>
        <v>0</v>
      </c>
    </row>
    <row r="121" spans="1:12" x14ac:dyDescent="0.25">
      <c r="A121" s="519" t="s">
        <v>6606</v>
      </c>
      <c r="C121" s="178"/>
      <c r="D121" s="178"/>
      <c r="F121" s="2615" t="s">
        <v>6857</v>
      </c>
      <c r="G121" s="2615"/>
      <c r="H121" s="154">
        <f>taxable_redundancy_HR</f>
        <v>0</v>
      </c>
      <c r="I121" s="816" t="str">
        <f>"x "&amp;SHR_rate*100&amp;"% ="</f>
        <v>x 42% =</v>
      </c>
      <c r="J121" s="82">
        <f>tax_on_redundancy_HR</f>
        <v>0</v>
      </c>
      <c r="L121">
        <f>IF(AND('Status (c3a)'!E21=2,taxable_redundancy_HR+taxable_redundancy_SAR+taxable_redundancy_AHR&gt;0),1,0)</f>
        <v>0</v>
      </c>
    </row>
    <row r="122" spans="1:12" x14ac:dyDescent="0.25">
      <c r="A122" s="519" t="s">
        <v>6606</v>
      </c>
      <c r="C122" s="178"/>
      <c r="D122" s="178"/>
      <c r="F122" s="2615" t="s">
        <v>6857</v>
      </c>
      <c r="G122" s="2615"/>
      <c r="H122" s="154">
        <f>taxable_redundancy_HR</f>
        <v>0</v>
      </c>
      <c r="I122" s="816" t="str">
        <f>"x "&amp;WHR_rate*100&amp;"% ="</f>
        <v>x 40% =</v>
      </c>
      <c r="J122" s="82">
        <f>tax_on_redundancy_HR</f>
        <v>0</v>
      </c>
      <c r="L122">
        <f>IF(AND('Status (c3a)'!E21=3,taxable_redundancy_HR+taxable_redundancy_AHR&gt;0),1,0)</f>
        <v>0</v>
      </c>
    </row>
    <row r="123" spans="1:12" x14ac:dyDescent="0.25">
      <c r="A123" s="2103" t="s">
        <v>5164</v>
      </c>
      <c r="C123" s="178"/>
      <c r="D123" s="178"/>
      <c r="F123" s="2615" t="s">
        <v>6870</v>
      </c>
      <c r="G123" s="2615"/>
      <c r="H123" s="154">
        <f>taxable_redundancy_SAR</f>
        <v>0</v>
      </c>
      <c r="I123" s="816" t="str">
        <f>"x "&amp;SAR_rate*100&amp;"% ="</f>
        <v>x 45% =</v>
      </c>
      <c r="J123" s="82">
        <f>tax_on_redundancy_SAR</f>
        <v>0</v>
      </c>
      <c r="L123">
        <f>IF(AND('Status (c3a)'!E21=2,taxable_redundancy_SAR+taxable_redundancy_AHR&gt;0),1,0)</f>
        <v>0</v>
      </c>
    </row>
    <row r="124" spans="1:12" x14ac:dyDescent="0.25">
      <c r="A124" s="2036" t="s">
        <v>5174</v>
      </c>
      <c r="C124" s="178"/>
      <c r="D124" s="178"/>
      <c r="F124" s="2615" t="s">
        <v>6858</v>
      </c>
      <c r="G124" s="2615"/>
      <c r="H124" s="154">
        <f>taxable_redundancy_AHR</f>
        <v>0</v>
      </c>
      <c r="I124" s="816" t="str">
        <f>"x "&amp;AHR_rate*100&amp;"% ="</f>
        <v>x 45% =</v>
      </c>
      <c r="J124" s="82">
        <f>tax_on_redundancy_AHR</f>
        <v>0</v>
      </c>
      <c r="L124">
        <f>IF(AND('Status (c3a)'!E21=1,taxable_redundancy_AHR&gt;0),1,0)</f>
        <v>0</v>
      </c>
    </row>
    <row r="125" spans="1:12" x14ac:dyDescent="0.25">
      <c r="A125" s="519" t="s">
        <v>6606</v>
      </c>
      <c r="C125" s="178"/>
      <c r="D125" s="178"/>
      <c r="F125" s="2615" t="s">
        <v>6859</v>
      </c>
      <c r="G125" s="2615"/>
      <c r="H125" s="154">
        <f>taxable_redundancy_AHR</f>
        <v>0</v>
      </c>
      <c r="I125" s="816" t="str">
        <f>"x "&amp;SAHR_rate*100&amp;"% ="</f>
        <v>x 48% =</v>
      </c>
      <c r="J125" s="82">
        <f>tax_on_redundancy_AHR</f>
        <v>0</v>
      </c>
      <c r="L125">
        <f>IF(AND('Status (c3a)'!E21=2,taxable_redundancy_AHR&gt;0),1,0)</f>
        <v>0</v>
      </c>
    </row>
    <row r="126" spans="1:12" x14ac:dyDescent="0.25">
      <c r="A126" s="2037" t="s">
        <v>6606</v>
      </c>
      <c r="C126" s="178"/>
      <c r="D126" s="178"/>
      <c r="F126" s="2615" t="s">
        <v>6858</v>
      </c>
      <c r="G126" s="2615"/>
      <c r="H126" s="154">
        <f>taxable_redundancy_AHR</f>
        <v>0</v>
      </c>
      <c r="I126" s="816" t="str">
        <f>"x "&amp;WAHR_rate*100&amp;"% ="</f>
        <v>x 45% =</v>
      </c>
      <c r="J126" s="82">
        <f>tax_on_redundancy_AHR</f>
        <v>0</v>
      </c>
      <c r="L126">
        <f>IF(AND('Status (c3a)'!E21=3,taxable_redundancy_AHR&gt;0),1,0)</f>
        <v>0</v>
      </c>
    </row>
    <row r="127" spans="1:12" x14ac:dyDescent="0.25">
      <c r="A127" s="2103" t="s">
        <v>6666</v>
      </c>
      <c r="C127" s="178"/>
      <c r="D127" s="178"/>
      <c r="G127"/>
      <c r="H127" s="84"/>
      <c r="I127" s="9"/>
      <c r="J127" s="85"/>
      <c r="L127">
        <f>IF(AND(taxable_redundancy_SSR+taxable_redundancy_BR+taxable_redundancy_SIR+taxable_redundancy_HR+taxable_redundancy_SAR+taxable_redundancy_AHR+taxable_redundancy_AHR&gt;0,income_CEG_taxfree_BR+taxable_CEG_SR+taxable_CEG_BR+income_CEG_taxfree_BR+taxable_CEG_HR+income_CEG_taxfree_HR+taxable_CEG_AHR&gt;0),1,0)</f>
        <v>0</v>
      </c>
    </row>
    <row r="128" spans="1:12" x14ac:dyDescent="0.25">
      <c r="A128" s="2036" t="s">
        <v>6667</v>
      </c>
      <c r="C128" s="2650" t="s">
        <v>6829</v>
      </c>
      <c r="D128" s="2650"/>
      <c r="E128" s="2650"/>
      <c r="F128" s="2650"/>
      <c r="G128" s="2650"/>
      <c r="I128" s="816"/>
      <c r="J128" s="82"/>
      <c r="L128">
        <f>IF(income_CEG_taxfree_BR+income_CEG_taxfree_HR+taxable_CEG_SR+taxable_CEG_BR+taxable_CEG_HR+taxable_CEG_AHR&gt;0,1,0)</f>
        <v>0</v>
      </c>
    </row>
    <row r="129" spans="1:12" x14ac:dyDescent="0.25">
      <c r="A129" s="2103" t="s">
        <v>5182</v>
      </c>
      <c r="C129" s="178"/>
      <c r="D129" s="178"/>
      <c r="F129" s="2615" t="s">
        <v>6861</v>
      </c>
      <c r="G129" s="2615"/>
      <c r="H129" s="154">
        <f>taxable_CEG_SR</f>
        <v>0</v>
      </c>
      <c r="I129" s="816" t="s">
        <v>4620</v>
      </c>
      <c r="J129" s="82">
        <f>tax_on_CEG_SR</f>
        <v>0</v>
      </c>
      <c r="L129">
        <f>IF(OR(income_CEG_taxfree_BR&gt;0,taxable_CEG_SR+taxable_CEG_BR+taxable_CEG_HR+taxable_CEG_AHR&gt;0),1,0)</f>
        <v>0</v>
      </c>
    </row>
    <row r="130" spans="1:12" x14ac:dyDescent="0.25">
      <c r="A130" s="2036" t="s">
        <v>5190</v>
      </c>
      <c r="C130" s="178"/>
      <c r="D130" s="178"/>
      <c r="F130" s="2615" t="s">
        <v>6862</v>
      </c>
      <c r="G130" s="2615"/>
      <c r="H130" s="967">
        <f>income_CEG_taxfree_BR</f>
        <v>0</v>
      </c>
      <c r="I130" s="816" t="s">
        <v>4620</v>
      </c>
      <c r="J130" s="82">
        <v>0</v>
      </c>
      <c r="L130">
        <f>IF(income_CEG_taxfree_BR&gt;0,1,0)</f>
        <v>0</v>
      </c>
    </row>
    <row r="131" spans="1:12" x14ac:dyDescent="0.25">
      <c r="A131" s="2103" t="s">
        <v>5195</v>
      </c>
      <c r="C131" s="178"/>
      <c r="D131" s="178"/>
      <c r="F131" s="2615" t="s">
        <v>6855</v>
      </c>
      <c r="G131" s="2615"/>
      <c r="H131" s="154">
        <f>taxable_CEG_BR</f>
        <v>0</v>
      </c>
      <c r="I131" s="816" t="s">
        <v>4617</v>
      </c>
      <c r="J131" s="82">
        <f>tax_on_CEG_BR</f>
        <v>0</v>
      </c>
      <c r="L131">
        <f>IF(taxable_CEG_BR+taxable_CEG_HR+taxable_CEG_AHR&gt;0,1,0)</f>
        <v>0</v>
      </c>
    </row>
    <row r="132" spans="1:12" x14ac:dyDescent="0.25">
      <c r="A132" s="2036" t="s">
        <v>5204</v>
      </c>
      <c r="C132" s="178"/>
      <c r="D132" s="178"/>
      <c r="F132" s="2615" t="s">
        <v>6863</v>
      </c>
      <c r="G132" s="2615"/>
      <c r="H132" s="967">
        <f>income_CEG_taxfree_HR</f>
        <v>0</v>
      </c>
      <c r="I132" s="816" t="s">
        <v>4620</v>
      </c>
      <c r="J132" s="82">
        <v>0</v>
      </c>
      <c r="L132">
        <f>IF(income_CEG_taxfree_HR&gt;0,1,0)</f>
        <v>0</v>
      </c>
    </row>
    <row r="133" spans="1:12" x14ac:dyDescent="0.25">
      <c r="A133" s="2103" t="s">
        <v>5209</v>
      </c>
      <c r="C133" s="178"/>
      <c r="D133" s="178"/>
      <c r="F133" s="2615" t="s">
        <v>6857</v>
      </c>
      <c r="G133" s="2615"/>
      <c r="H133" s="154">
        <f>taxable_CEG_HR</f>
        <v>0</v>
      </c>
      <c r="I133" s="816" t="s">
        <v>6655</v>
      </c>
      <c r="J133" s="82">
        <f>tax_on_CEG_HR</f>
        <v>0</v>
      </c>
      <c r="L133">
        <f>IF(taxable_CEG_HR+taxable_CEG_AHR&gt;0,1,0)</f>
        <v>0</v>
      </c>
    </row>
    <row r="134" spans="1:12" x14ac:dyDescent="0.25">
      <c r="A134" s="2103" t="s">
        <v>5219</v>
      </c>
      <c r="C134" s="178"/>
      <c r="D134" s="178"/>
      <c r="F134" s="2615" t="s">
        <v>6858</v>
      </c>
      <c r="G134" s="2615"/>
      <c r="H134" s="154">
        <f>taxable_CEG_AHR</f>
        <v>0</v>
      </c>
      <c r="I134" s="816" t="s">
        <v>6656</v>
      </c>
      <c r="J134" s="82">
        <f>tax_on_CEG_AHR</f>
        <v>0</v>
      </c>
      <c r="L134">
        <f>IF(taxable_CEG_AHR&gt;0,1,0)</f>
        <v>0</v>
      </c>
    </row>
    <row r="135" spans="1:12" x14ac:dyDescent="0.25">
      <c r="A135" s="2103" t="s">
        <v>1960</v>
      </c>
      <c r="C135" s="2612" t="s">
        <v>6871</v>
      </c>
      <c r="D135" s="2612"/>
      <c r="E135" s="2612"/>
      <c r="H135" s="2105">
        <f>taxable_income</f>
        <v>0</v>
      </c>
      <c r="J135" s="85"/>
      <c r="L135">
        <v>1</v>
      </c>
    </row>
    <row r="136" spans="1:12" x14ac:dyDescent="0.25">
      <c r="A136" s="2103" t="s">
        <v>6668</v>
      </c>
      <c r="C136" s="178"/>
      <c r="D136" s="178"/>
      <c r="J136" s="85"/>
      <c r="L136">
        <v>1</v>
      </c>
    </row>
    <row r="137" spans="1:12" ht="13" x14ac:dyDescent="0.3">
      <c r="A137" s="2036" t="s">
        <v>5232</v>
      </c>
      <c r="C137" s="2647" t="s">
        <v>6872</v>
      </c>
      <c r="D137" s="2648"/>
      <c r="E137" s="2648"/>
      <c r="F137" s="2648"/>
      <c r="G137" s="2648"/>
      <c r="H137" s="2106"/>
      <c r="I137" s="2107"/>
      <c r="J137" s="2108">
        <f>pre_TP_tax_charged</f>
        <v>0</v>
      </c>
      <c r="L137" s="178">
        <f>IF(AND(transition_profit&gt;0,tax_charged=Total_tax_NIC_due),1,0)</f>
        <v>0</v>
      </c>
    </row>
    <row r="138" spans="1:12" ht="13" x14ac:dyDescent="0.3">
      <c r="A138" s="519" t="s">
        <v>6606</v>
      </c>
      <c r="C138" s="2647" t="s">
        <v>6873</v>
      </c>
      <c r="D138" s="2648"/>
      <c r="E138" s="2648"/>
      <c r="F138" s="2648"/>
      <c r="G138" s="2648"/>
      <c r="H138" s="2107"/>
      <c r="I138" s="2107"/>
      <c r="J138" s="2108">
        <f>pre_TP_tax_charged</f>
        <v>0</v>
      </c>
      <c r="L138" s="178">
        <f>IF(AND(transition_profit&gt;0,tax_charged&lt;&gt;Total_tax_NIC_due),1,0)</f>
        <v>0</v>
      </c>
    </row>
    <row r="139" spans="1:12" ht="13" x14ac:dyDescent="0.3">
      <c r="A139" s="2103" t="s">
        <v>6670</v>
      </c>
      <c r="C139" s="2"/>
      <c r="D139" s="2"/>
      <c r="E139" s="2"/>
      <c r="F139" s="2"/>
      <c r="G139" s="2"/>
      <c r="J139" s="82"/>
      <c r="L139" s="178">
        <f>IF(transition_profit&gt;0,1,0)</f>
        <v>0</v>
      </c>
    </row>
    <row r="140" spans="1:12" x14ac:dyDescent="0.25">
      <c r="A140" s="2037" t="s">
        <v>5237</v>
      </c>
      <c r="C140" s="1" t="s">
        <v>6809</v>
      </c>
      <c r="D140" s="2638" t="str">
        <f>"Treth sy’n ddyledus ar elw trosiannol o "&amp;DOLLAR(transition_profit,0)&amp;""</f>
        <v>Treth sy’n ddyledus ar elw trosiannol o £0</v>
      </c>
      <c r="E140" s="2638"/>
      <c r="F140" s="2638"/>
      <c r="G140" s="2638"/>
      <c r="J140" s="82">
        <f>tax_on_transition_profit</f>
        <v>0</v>
      </c>
      <c r="L140" s="178">
        <f>IF(transition_profit&gt;0,1,0)</f>
        <v>0</v>
      </c>
    </row>
    <row r="141" spans="1:12" ht="13" x14ac:dyDescent="0.3">
      <c r="A141" s="2037" t="s">
        <v>6671</v>
      </c>
      <c r="C141" s="2"/>
      <c r="D141" s="2"/>
      <c r="E141" s="2"/>
      <c r="F141" s="2"/>
      <c r="G141" s="2"/>
      <c r="J141" s="82"/>
      <c r="L141" s="178">
        <f>IF(transition_profit&gt;0,1,0)</f>
        <v>0</v>
      </c>
    </row>
    <row r="142" spans="1:12" ht="13" x14ac:dyDescent="0.3">
      <c r="A142" s="2036" t="s">
        <v>5247</v>
      </c>
      <c r="C142" s="2647" t="s">
        <v>6872</v>
      </c>
      <c r="D142" s="2648"/>
      <c r="E142" s="2648"/>
      <c r="F142" s="2648"/>
      <c r="G142" s="2648"/>
      <c r="H142" s="2106"/>
      <c r="I142" s="2107"/>
      <c r="J142" s="2108">
        <f>tax_charged</f>
        <v>0</v>
      </c>
      <c r="L142" s="178">
        <f>IF(tax_charged=Total_tax_NIC_due,1,0)</f>
        <v>1</v>
      </c>
    </row>
    <row r="143" spans="1:12" ht="13" x14ac:dyDescent="0.3">
      <c r="A143" s="2037" t="s">
        <v>6606</v>
      </c>
      <c r="C143" s="2647" t="s">
        <v>6873</v>
      </c>
      <c r="D143" s="2648"/>
      <c r="E143" s="2648"/>
      <c r="F143" s="2648"/>
      <c r="G143" s="2648"/>
      <c r="H143" s="2107"/>
      <c r="I143" s="2107"/>
      <c r="J143" s="2108">
        <f>tax_charged</f>
        <v>0</v>
      </c>
      <c r="L143" s="178">
        <f>IF(tax_charged&lt;&gt;Total_tax_NIC_due,1,0)</f>
        <v>0</v>
      </c>
    </row>
    <row r="144" spans="1:12" x14ac:dyDescent="0.25">
      <c r="A144" s="2037" t="s">
        <v>6672</v>
      </c>
      <c r="C144" s="178"/>
      <c r="D144" s="178"/>
      <c r="J144" s="85"/>
      <c r="L144">
        <v>1</v>
      </c>
    </row>
    <row r="145" spans="1:13" x14ac:dyDescent="0.25">
      <c r="A145" s="2037" t="s">
        <v>5253</v>
      </c>
      <c r="C145" s="1" t="s">
        <v>6811</v>
      </c>
      <c r="D145" s="2638" t="s">
        <v>6874</v>
      </c>
      <c r="E145" s="2638"/>
      <c r="J145" s="82">
        <f>deficiency_relief</f>
        <v>0</v>
      </c>
      <c r="L145">
        <f>IF(deficiency_relief&gt;0,1,0)</f>
        <v>0</v>
      </c>
    </row>
    <row r="146" spans="1:13" x14ac:dyDescent="0.25">
      <c r="A146" s="2103" t="s">
        <v>5259</v>
      </c>
      <c r="C146" s="1" t="s">
        <v>6811</v>
      </c>
      <c r="D146" s="2613" t="s">
        <v>6875</v>
      </c>
      <c r="E146" s="2613"/>
      <c r="F146" s="2613"/>
      <c r="J146" s="82">
        <f>TSR</f>
        <v>0</v>
      </c>
      <c r="L146">
        <f>IF(TSR&gt;0,1,0)</f>
        <v>0</v>
      </c>
    </row>
    <row r="147" spans="1:13" x14ac:dyDescent="0.25">
      <c r="A147" s="2103" t="s">
        <v>1962</v>
      </c>
      <c r="C147" s="1" t="s">
        <v>6811</v>
      </c>
      <c r="D147" s="2613" t="s">
        <v>6876</v>
      </c>
      <c r="E147" s="2613"/>
      <c r="F147" s="2613"/>
      <c r="H147" s="12"/>
      <c r="J147" s="82">
        <f>VCT</f>
        <v>0</v>
      </c>
      <c r="L147">
        <f>IF(VCT&gt;0,1,0)</f>
        <v>0</v>
      </c>
    </row>
    <row r="148" spans="1:13" x14ac:dyDescent="0.25">
      <c r="A148" s="2103" t="s">
        <v>5270</v>
      </c>
      <c r="C148" s="1" t="s">
        <v>6811</v>
      </c>
      <c r="D148" s="2613" t="s">
        <v>6877</v>
      </c>
      <c r="E148" s="2613"/>
      <c r="F148" s="2613"/>
      <c r="I148" s="27"/>
      <c r="J148" s="82">
        <f>EIS</f>
        <v>0</v>
      </c>
      <c r="K148" s="26"/>
      <c r="L148">
        <f>IF(EIS&gt;0,1,0)</f>
        <v>0</v>
      </c>
    </row>
    <row r="149" spans="1:13" x14ac:dyDescent="0.25">
      <c r="A149" s="2103" t="s">
        <v>5276</v>
      </c>
      <c r="C149" s="1" t="s">
        <v>6811</v>
      </c>
      <c r="D149" s="2613" t="s">
        <v>6878</v>
      </c>
      <c r="E149" s="2613"/>
      <c r="F149" s="2613"/>
      <c r="G149" s="2613"/>
      <c r="I149" s="27"/>
      <c r="J149" s="82">
        <f>SEIS_Relief</f>
        <v>0</v>
      </c>
      <c r="K149" s="26"/>
      <c r="L149">
        <f>IF(SEIS_Relief&gt;0,1,0)</f>
        <v>0</v>
      </c>
    </row>
    <row r="150" spans="1:13" x14ac:dyDescent="0.25">
      <c r="A150" s="2103" t="s">
        <v>5282</v>
      </c>
      <c r="C150" s="1" t="s">
        <v>6811</v>
      </c>
      <c r="D150" s="2613" t="s">
        <v>6879</v>
      </c>
      <c r="E150" s="2613"/>
      <c r="F150" s="2613"/>
      <c r="G150" s="2613"/>
      <c r="J150" s="82">
        <f>CITR</f>
        <v>0</v>
      </c>
      <c r="K150" s="8"/>
      <c r="L150">
        <f>IF(CITR&gt;0,1,0)</f>
        <v>0</v>
      </c>
    </row>
    <row r="151" spans="1:13" x14ac:dyDescent="0.25">
      <c r="A151" s="2103" t="s">
        <v>5292</v>
      </c>
      <c r="C151" s="1" t="s">
        <v>6811</v>
      </c>
      <c r="D151" s="2613" t="s">
        <v>6880</v>
      </c>
      <c r="E151" s="2613"/>
      <c r="F151" s="2613"/>
      <c r="I151" s="27"/>
      <c r="J151" s="82">
        <f>Alimony</f>
        <v>0</v>
      </c>
      <c r="L151">
        <f>IF(Alimony&gt;0,1,0)</f>
        <v>0</v>
      </c>
    </row>
    <row r="152" spans="1:13" x14ac:dyDescent="0.25">
      <c r="A152" s="2103" t="s">
        <v>4747</v>
      </c>
      <c r="C152" s="1" t="s">
        <v>6811</v>
      </c>
      <c r="D152" s="2613" t="s">
        <v>6881</v>
      </c>
      <c r="E152" s="2613"/>
      <c r="F152" s="2613"/>
      <c r="H152" s="154">
        <f>MCA_amount</f>
        <v>0</v>
      </c>
      <c r="I152" s="968" t="s">
        <v>6680</v>
      </c>
      <c r="J152" s="82">
        <f>MCA_relief</f>
        <v>0</v>
      </c>
      <c r="L152">
        <f>IF(MCA_amount&gt;0,1,0)</f>
        <v>0</v>
      </c>
    </row>
    <row r="153" spans="1:13" x14ac:dyDescent="0.25">
      <c r="A153" s="2103" t="s">
        <v>4757</v>
      </c>
      <c r="C153" s="1" t="s">
        <v>6811</v>
      </c>
      <c r="D153" s="2613" t="s">
        <v>6882</v>
      </c>
      <c r="E153" s="2613"/>
      <c r="F153" s="2613"/>
      <c r="H153" s="154">
        <f>spare_MCA_amount</f>
        <v>0</v>
      </c>
      <c r="I153" s="968" t="s">
        <v>6680</v>
      </c>
      <c r="J153" s="82">
        <f>spare_MCA_relief</f>
        <v>0</v>
      </c>
      <c r="L153">
        <f>IF(spare_MCA_amount&gt;0,1,0)</f>
        <v>0</v>
      </c>
    </row>
    <row r="154" spans="1:13" x14ac:dyDescent="0.25">
      <c r="A154" s="2103" t="s">
        <v>4766</v>
      </c>
      <c r="C154" s="1" t="s">
        <v>6811</v>
      </c>
      <c r="D154" s="2613" t="s">
        <v>6883</v>
      </c>
      <c r="E154" s="2613"/>
      <c r="F154" s="2613"/>
      <c r="H154" s="154">
        <f>AllceIn_TPA</f>
        <v>0</v>
      </c>
      <c r="I154" s="968" t="s">
        <v>4617</v>
      </c>
      <c r="J154" s="82">
        <f>AllceIn_TPA_relief</f>
        <v>0</v>
      </c>
      <c r="L154">
        <f>IF(AllceIn_TPA&gt;0,1,0)</f>
        <v>0</v>
      </c>
    </row>
    <row r="155" spans="1:13" x14ac:dyDescent="0.25">
      <c r="A155" s="2036" t="s">
        <v>4776</v>
      </c>
      <c r="C155" s="1" t="s">
        <v>6811</v>
      </c>
      <c r="D155" s="2613" t="s">
        <v>6884</v>
      </c>
      <c r="E155" s="2613"/>
      <c r="F155" s="2613"/>
      <c r="H155" s="154">
        <f>Llir_amount</f>
        <v>0</v>
      </c>
      <c r="I155" s="968" t="s">
        <v>4617</v>
      </c>
      <c r="J155" s="82">
        <f>Llir_relief</f>
        <v>0</v>
      </c>
      <c r="L155">
        <f>IF(AND(Llir_amount&gt;0,Llir_amount=Llir_amount_restricted),1,0)</f>
        <v>0</v>
      </c>
    </row>
    <row r="156" spans="1:13" x14ac:dyDescent="0.25">
      <c r="A156" s="2037" t="s">
        <v>6606</v>
      </c>
      <c r="C156" s="1" t="s">
        <v>6811</v>
      </c>
      <c r="D156" s="2613" t="str">
        <f>"Rhyddhad am gostau ariannol "&amp;DOLLAR(Llir_amount,0)&amp;" wedi’i ostwng i’r uchafswm a ganiateir "</f>
        <v xml:space="preserve">Rhyddhad am gostau ariannol £0 wedi’i ostwng i’r uchafswm a ganiateir </v>
      </c>
      <c r="E156" s="2613"/>
      <c r="F156" s="2613"/>
      <c r="G156" s="2613"/>
      <c r="H156" s="154">
        <f>Llir_amount_restricted</f>
        <v>0</v>
      </c>
      <c r="I156" s="968" t="s">
        <v>4617</v>
      </c>
      <c r="J156" s="82">
        <f>Llir_relief</f>
        <v>0</v>
      </c>
      <c r="L156">
        <f>IF(AND(Llir_amount&gt;0,Llir_amount&gt;Llir_amount_restricted),1,0)</f>
        <v>0</v>
      </c>
    </row>
    <row r="157" spans="1:13" x14ac:dyDescent="0.25">
      <c r="A157" s="2037" t="s">
        <v>4792</v>
      </c>
      <c r="C157" s="1" t="s">
        <v>6811</v>
      </c>
      <c r="D157" s="2613" t="s">
        <v>6885</v>
      </c>
      <c r="E157" s="2613"/>
      <c r="F157" s="2613"/>
      <c r="G157" s="2613"/>
      <c r="H157" s="154">
        <f>LFI_amount</f>
        <v>0</v>
      </c>
      <c r="I157" s="968" t="s">
        <v>4617</v>
      </c>
      <c r="J157" s="82">
        <f>LFI_relief</f>
        <v>0</v>
      </c>
      <c r="L157">
        <f>IF(LFI_relief&gt;0,1,0)</f>
        <v>0</v>
      </c>
      <c r="M157" s="178"/>
    </row>
    <row r="158" spans="1:13" x14ac:dyDescent="0.25">
      <c r="A158" s="519" t="s">
        <v>4802</v>
      </c>
      <c r="C158" s="1" t="s">
        <v>6811</v>
      </c>
      <c r="D158" s="2613" t="s">
        <v>6886</v>
      </c>
      <c r="E158" s="2613"/>
      <c r="F158" s="2613"/>
      <c r="G158" s="2613"/>
      <c r="H158" s="154"/>
      <c r="I158" s="968"/>
      <c r="J158" s="82">
        <f>rel_tax_acct_for</f>
        <v>0</v>
      </c>
      <c r="L158">
        <f>IF(rel_tax_acct_for&gt;0,1,0)</f>
        <v>0</v>
      </c>
      <c r="M158" s="178"/>
    </row>
    <row r="159" spans="1:13" x14ac:dyDescent="0.25">
      <c r="A159" s="2103" t="s">
        <v>4808</v>
      </c>
      <c r="C159" s="1" t="s">
        <v>6811</v>
      </c>
      <c r="D159" s="2613" t="s">
        <v>6887</v>
      </c>
      <c r="E159" s="2613"/>
      <c r="F159" s="2613"/>
      <c r="G159" s="2613"/>
      <c r="H159" s="154"/>
      <c r="I159" s="968"/>
      <c r="J159" s="82">
        <f>BRD_reduction</f>
        <v>0</v>
      </c>
      <c r="L159">
        <f>IF(BRD_reduction&gt;0,1,0)</f>
        <v>0</v>
      </c>
      <c r="M159" s="178"/>
    </row>
    <row r="160" spans="1:13" x14ac:dyDescent="0.25">
      <c r="A160" s="2036" t="s">
        <v>4819</v>
      </c>
      <c r="C160" s="1" t="s">
        <v>6811</v>
      </c>
      <c r="D160" s="2613" t="s">
        <v>6888</v>
      </c>
      <c r="E160" s="2613"/>
      <c r="F160" s="2613"/>
      <c r="G160" s="2613"/>
      <c r="I160" s="27"/>
      <c r="J160" s="82">
        <f>FTCR</f>
        <v>0</v>
      </c>
      <c r="L160">
        <f>IF(AND(FTCR&gt;0,FTCR=FTCR_restricted),1,0)</f>
        <v>0</v>
      </c>
    </row>
    <row r="161" spans="1:12" x14ac:dyDescent="0.25">
      <c r="A161" s="2037" t="s">
        <v>6606</v>
      </c>
      <c r="C161" s="1" t="s">
        <v>6811</v>
      </c>
      <c r="D161" s="2613" t="str">
        <f>"Rhyddhad Credyd Tramor wedi'i ostwng "&amp;DOLLAR(FTCR,0)&amp;" i’r uchafswm a ganiateir"</f>
        <v>Rhyddhad Credyd Tramor wedi'i ostwng £0 i’r uchafswm a ganiateir</v>
      </c>
      <c r="E161" s="2613"/>
      <c r="F161" s="2613"/>
      <c r="G161" s="2613"/>
      <c r="I161" s="27"/>
      <c r="J161" s="82">
        <f>FTCR_restricted</f>
        <v>0</v>
      </c>
      <c r="L161">
        <f>IF(AND(FTCR&gt;0,FTCR&gt;FTCR_restricted),1,0)</f>
        <v>0</v>
      </c>
    </row>
    <row r="162" spans="1:12" x14ac:dyDescent="0.25">
      <c r="A162" s="2037" t="s">
        <v>6889</v>
      </c>
      <c r="B162" s="969"/>
      <c r="C162" s="1" t="s">
        <v>6811</v>
      </c>
      <c r="D162" s="2613" t="s">
        <v>6890</v>
      </c>
      <c r="E162" s="2613"/>
      <c r="F162" s="2613"/>
      <c r="G162" s="2613"/>
      <c r="H162" s="2613"/>
      <c r="I162" s="549"/>
      <c r="J162" s="82">
        <f>pens_tax_rel_due</f>
        <v>0</v>
      </c>
      <c r="K162" s="211"/>
      <c r="L162">
        <f>IF(pens_tax_rel_due&gt;0,1,0)</f>
        <v>0</v>
      </c>
    </row>
    <row r="163" spans="1:12" x14ac:dyDescent="0.25">
      <c r="A163" s="2103" t="s">
        <v>4835</v>
      </c>
      <c r="C163" s="1" t="s">
        <v>6811</v>
      </c>
      <c r="D163" s="2613" t="s">
        <v>6891</v>
      </c>
      <c r="E163" s="2613"/>
      <c r="F163" s="2613"/>
      <c r="G163" s="2613"/>
      <c r="I163" s="434"/>
      <c r="J163" s="82">
        <f>relief_on_qual_distn</f>
        <v>0</v>
      </c>
      <c r="K163" s="178"/>
      <c r="L163" s="178">
        <f>IF(relief_on_qual_distn&gt;0,1,0)</f>
        <v>0</v>
      </c>
    </row>
    <row r="164" spans="1:12" ht="13" x14ac:dyDescent="0.3">
      <c r="A164" s="519" t="s">
        <v>4840</v>
      </c>
      <c r="C164" s="2647" t="s">
        <v>6872</v>
      </c>
      <c r="D164" s="2648"/>
      <c r="E164" s="2648"/>
      <c r="F164" s="2648"/>
      <c r="G164" s="2648"/>
      <c r="H164" s="970"/>
      <c r="I164" s="971"/>
      <c r="J164" s="2108">
        <f>IT_after_allces</f>
        <v>0</v>
      </c>
      <c r="L164">
        <f>IF(tax_charged&gt;IT_after_allces,1,0)</f>
        <v>0</v>
      </c>
    </row>
    <row r="165" spans="1:12" ht="13" x14ac:dyDescent="0.3">
      <c r="A165" s="2037" t="s">
        <v>6606</v>
      </c>
      <c r="C165" s="2647" t="s">
        <v>6872</v>
      </c>
      <c r="D165" s="2648"/>
      <c r="E165" s="2648"/>
      <c r="F165" s="2648"/>
      <c r="G165" s="2648"/>
      <c r="H165" s="970"/>
      <c r="I165" s="971"/>
      <c r="J165" s="2108">
        <f>IT_after_allces</f>
        <v>0</v>
      </c>
      <c r="L165">
        <f>IF(AND(tax_charged=IT_after_allces,deficiency_relief+TSR+VCT+EIS+SEIS_Relief+CITR+SITR+Alimony+MCA_relief+spare_MCA_relief+AllceIn_TPA_relief+Llir_amount+LFI_relief+rel_tax_acct_for+pens_tax_rel_due+FTCR+relief_on_qual_distn+BRD_reduction&gt;0),1,0)</f>
        <v>0</v>
      </c>
    </row>
    <row r="166" spans="1:12" ht="13" x14ac:dyDescent="0.3">
      <c r="A166" s="2036" t="s">
        <v>6689</v>
      </c>
      <c r="C166" s="972"/>
      <c r="D166" s="972"/>
      <c r="E166" s="156"/>
      <c r="F166" s="156"/>
      <c r="G166" s="156"/>
      <c r="H166" s="973"/>
      <c r="I166" s="974"/>
      <c r="J166" s="157"/>
      <c r="L166">
        <f>IF(OR(tax_charged&gt;IT_after_allces,deficiency_relief+TSR+VCT+EIS+SEIS_Relief+CITR+SITR+Alimony+MCA_relief+spare_MCA_relief+AllceIn_TPA_relief+notional_CEG+notional_other+FTCR+pens_tax_rel_due+relief_on_qual_distn+BRD_reduction&gt;tax_charged),1,0)</f>
        <v>0</v>
      </c>
    </row>
    <row r="167" spans="1:12" x14ac:dyDescent="0.25">
      <c r="A167" s="2036" t="s">
        <v>4846</v>
      </c>
      <c r="C167" s="2612" t="s">
        <v>6892</v>
      </c>
      <c r="D167" s="2612"/>
      <c r="E167" s="2612"/>
      <c r="F167" s="2612"/>
      <c r="G167" s="24"/>
      <c r="H167" s="154">
        <f>Gift_aid_amount</f>
        <v>0</v>
      </c>
      <c r="I167" s="816" t="s">
        <v>4617</v>
      </c>
      <c r="J167" s="82">
        <f>Gift_aid_tax_due</f>
        <v>0</v>
      </c>
      <c r="L167" s="2377">
        <f>IF(AND(Gift_aid_tax_reduced&gt;0,(CGTax+income_tax_gift_aid)=0),1,0)</f>
        <v>0</v>
      </c>
    </row>
    <row r="168" spans="1:12" x14ac:dyDescent="0.25">
      <c r="A168" s="2037" t="s">
        <v>6606</v>
      </c>
      <c r="B168" s="158"/>
      <c r="C168" s="2612" t="s">
        <v>6892</v>
      </c>
      <c r="D168" s="2612"/>
      <c r="E168" s="2612"/>
      <c r="F168" s="2612"/>
      <c r="G168" s="154">
        <f>Gift_aid_amount</f>
        <v>0</v>
      </c>
      <c r="H168" s="816" t="s">
        <v>4617</v>
      </c>
      <c r="I168" s="82">
        <f>Gift_aid_tax_due</f>
        <v>0</v>
      </c>
      <c r="J168" s="85"/>
      <c r="L168" s="2377">
        <f>IF(AND(Gift_aid_tax_reduced&gt;0,(CGTax+income_tax_gift_aid)&lt;&gt;0),1,0)</f>
        <v>0</v>
      </c>
    </row>
    <row r="169" spans="1:12" x14ac:dyDescent="0.25">
      <c r="A169" s="2103" t="s">
        <v>4856</v>
      </c>
      <c r="C169" s="178"/>
      <c r="D169" s="1" t="s">
        <v>6811</v>
      </c>
      <c r="E169" s="2616" t="s">
        <v>6893</v>
      </c>
      <c r="F169" s="2616"/>
      <c r="G169" s="975"/>
      <c r="I169" s="82">
        <f>CGTax</f>
        <v>0</v>
      </c>
      <c r="J169" s="85"/>
      <c r="L169" s="370">
        <f>IF(AND(Gift_aid_tax_reduced&gt;0,CGTax&gt;0),1,0)</f>
        <v>0</v>
      </c>
    </row>
    <row r="170" spans="1:12" x14ac:dyDescent="0.25">
      <c r="A170" s="2057" t="s">
        <v>4865</v>
      </c>
      <c r="B170" s="1069"/>
      <c r="C170" s="1073"/>
      <c r="D170" s="1069" t="s">
        <v>6811</v>
      </c>
      <c r="E170" s="2646" t="s">
        <v>6894</v>
      </c>
      <c r="F170" s="2646"/>
      <c r="G170" s="2646"/>
      <c r="H170" s="2646"/>
      <c r="I170" s="1072">
        <v>0</v>
      </c>
      <c r="J170" s="2378"/>
      <c r="K170" s="1073"/>
      <c r="L170" s="2379">
        <v>0</v>
      </c>
    </row>
    <row r="171" spans="1:12" s="178" customFormat="1" x14ac:dyDescent="0.25">
      <c r="A171" s="2103" t="s">
        <v>4870</v>
      </c>
      <c r="B171" s="1"/>
      <c r="D171" s="1" t="s">
        <v>6811</v>
      </c>
      <c r="E171" s="22" t="s">
        <v>6895</v>
      </c>
      <c r="F171" s="78"/>
      <c r="G171" s="975"/>
      <c r="H171" s="8"/>
      <c r="I171" s="82">
        <f>income_tax_gift_aid</f>
        <v>0</v>
      </c>
      <c r="J171" s="85"/>
      <c r="K171"/>
      <c r="L171" s="370">
        <f>IF(AND(Gift_aid_tax_reduced&gt;0,income_tax_gift_aid&lt;&gt;0),1,0)</f>
        <v>0</v>
      </c>
    </row>
    <row r="172" spans="1:12" x14ac:dyDescent="0.25">
      <c r="A172" s="2103" t="s">
        <v>4875</v>
      </c>
      <c r="D172" s="2614" t="s">
        <v>6896</v>
      </c>
      <c r="E172" s="2614"/>
      <c r="F172" s="2614"/>
      <c r="G172" s="2614"/>
      <c r="H172" s="135"/>
      <c r="J172" s="82">
        <f>Gift_aid_tax_reduced</f>
        <v>0</v>
      </c>
      <c r="L172" s="2377">
        <f>IF(AND(Gift_aid_tax_reduced&gt;0,(CGTax+income_tax_gift_aid)&lt;&gt;0),1,0)</f>
        <v>0</v>
      </c>
    </row>
    <row r="173" spans="1:12" x14ac:dyDescent="0.25">
      <c r="A173" s="2413" t="s">
        <v>4880</v>
      </c>
      <c r="C173" s="1" t="s">
        <v>6809</v>
      </c>
      <c r="D173" s="2637" t="s">
        <v>6900</v>
      </c>
      <c r="E173" s="2637"/>
      <c r="F173" s="2637"/>
      <c r="G173" s="2637"/>
      <c r="H173" s="154"/>
      <c r="I173" s="968"/>
      <c r="J173" s="82">
        <f>BRD_charge</f>
        <v>0</v>
      </c>
      <c r="K173" s="178"/>
      <c r="L173" s="178">
        <f>IF(BRD_charge&gt;0,1,0)</f>
        <v>0</v>
      </c>
    </row>
    <row r="174" spans="1:12" x14ac:dyDescent="0.25">
      <c r="A174" s="2367" t="s">
        <v>9564</v>
      </c>
      <c r="B174" s="1129"/>
      <c r="C174" s="1129" t="s">
        <v>6809</v>
      </c>
      <c r="D174" s="2643" t="s">
        <v>9668</v>
      </c>
      <c r="E174" s="2643"/>
      <c r="F174" s="2366"/>
      <c r="G174" s="2365">
        <f>WFP_amount</f>
        <v>0</v>
      </c>
      <c r="H174" s="1130" t="str">
        <f>"x "&amp;WFP_rate*100&amp;"%"</f>
        <v>x 100%</v>
      </c>
      <c r="I174" s="1131"/>
      <c r="J174" s="1132">
        <f>WFP_charge</f>
        <v>0</v>
      </c>
      <c r="K174" s="1133"/>
      <c r="L174" s="1133">
        <f>IF(AND('Status (c3a)'!E21&lt;&gt;2,WFP_charge&gt;0),1,0)</f>
        <v>0</v>
      </c>
    </row>
    <row r="175" spans="1:12" x14ac:dyDescent="0.25">
      <c r="A175" s="2048" t="s">
        <v>6606</v>
      </c>
      <c r="B175" s="1129"/>
      <c r="C175" s="1129" t="s">
        <v>6809</v>
      </c>
      <c r="D175" s="2644" t="s">
        <v>9669</v>
      </c>
      <c r="E175" s="2644"/>
      <c r="F175" s="2644"/>
      <c r="G175" s="2365">
        <f>WFP_amount</f>
        <v>0</v>
      </c>
      <c r="H175" s="1130" t="str">
        <f>"x "&amp;WFP_rate*100&amp;"%"</f>
        <v>x 100%</v>
      </c>
      <c r="I175" s="1131"/>
      <c r="J175" s="1132">
        <f>WFP_charge</f>
        <v>0</v>
      </c>
      <c r="K175" s="1133"/>
      <c r="L175" s="1133">
        <f>IF(AND('Status (c3a)'!E21=2,WFP_charge&gt;0),1,0)</f>
        <v>0</v>
      </c>
    </row>
    <row r="176" spans="1:12" x14ac:dyDescent="0.25">
      <c r="A176" s="2109" t="s">
        <v>4885</v>
      </c>
      <c r="C176" s="1" t="s">
        <v>6809</v>
      </c>
      <c r="D176" s="2613"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E176" s="2613"/>
      <c r="F176" s="2613"/>
      <c r="G176" s="2613"/>
      <c r="H176" s="2613"/>
      <c r="I176" s="2613"/>
      <c r="J176" s="82">
        <f>Pension_charges</f>
        <v>0</v>
      </c>
      <c r="L176">
        <f>IF(Pension_charges_gross&gt;0,1,0)</f>
        <v>0</v>
      </c>
    </row>
    <row r="177" spans="1:13" x14ac:dyDescent="0.25">
      <c r="A177" s="2109" t="s">
        <v>4901</v>
      </c>
      <c r="C177" s="1" t="s">
        <v>6809</v>
      </c>
      <c r="D177" s="2613" t="s">
        <v>6897</v>
      </c>
      <c r="E177" s="2613"/>
      <c r="F177" s="2613"/>
      <c r="G177" s="2613"/>
      <c r="H177" s="154">
        <f>Pension_lump_sum_amount</f>
        <v>0</v>
      </c>
      <c r="I177" s="11" t="str">
        <f>"x "&amp;Pension_lump_sum_rate*100&amp;"% ="</f>
        <v>x 0% =</v>
      </c>
      <c r="J177" s="82">
        <f>Pension_lump_sum_tax</f>
        <v>0</v>
      </c>
      <c r="L177">
        <f>IF(Pension_lump_sum_amount&gt;0,1,0)</f>
        <v>0</v>
      </c>
    </row>
    <row r="178" spans="1:13" x14ac:dyDescent="0.25">
      <c r="A178" s="2109" t="s">
        <v>4914</v>
      </c>
      <c r="C178" s="1" t="s">
        <v>6809</v>
      </c>
      <c r="D178" s="2613" t="s">
        <v>6898</v>
      </c>
      <c r="E178" s="2613"/>
      <c r="F178" s="2613"/>
      <c r="G178" s="2613"/>
      <c r="H178" s="2613"/>
      <c r="I178" s="2613"/>
      <c r="J178" s="82">
        <f>Child_Benefit_tax_charge</f>
        <v>0</v>
      </c>
      <c r="L178">
        <f>IF(Child_Benefit_tax_charge&gt;0,1,0)</f>
        <v>0</v>
      </c>
    </row>
    <row r="179" spans="1:13" x14ac:dyDescent="0.25">
      <c r="A179" s="2109" t="s">
        <v>4919</v>
      </c>
      <c r="C179" s="1" t="s">
        <v>6809</v>
      </c>
      <c r="D179" s="2613" t="s">
        <v>6899</v>
      </c>
      <c r="E179" s="2613"/>
      <c r="F179" s="2613"/>
      <c r="G179" s="2613"/>
      <c r="H179" s="2613"/>
      <c r="I179" s="11"/>
      <c r="J179" s="82">
        <f>pens_tax_due</f>
        <v>0</v>
      </c>
      <c r="L179">
        <f>IF(pens_tax_due&gt;0,1,0)</f>
        <v>0</v>
      </c>
    </row>
    <row r="180" spans="1:13" x14ac:dyDescent="0.25">
      <c r="A180" s="2047" t="s">
        <v>4925</v>
      </c>
      <c r="B180" s="1079"/>
      <c r="C180" s="1079" t="s">
        <v>6809</v>
      </c>
      <c r="D180" s="2639" t="s">
        <v>9670</v>
      </c>
      <c r="E180" s="2639"/>
      <c r="F180" s="2639"/>
      <c r="G180" s="1081">
        <f>TRF_amount</f>
        <v>0</v>
      </c>
      <c r="H180" s="1084" t="str">
        <f>"x "&amp;TRF_rate*100&amp;"%"</f>
        <v>x 12%</v>
      </c>
      <c r="I180" s="1082"/>
      <c r="J180" s="1083">
        <f>TRF_charge</f>
        <v>0</v>
      </c>
      <c r="K180" s="1078"/>
      <c r="L180" s="1078">
        <f>IF(TRF_charge&gt;0,1,0)</f>
        <v>0</v>
      </c>
    </row>
    <row r="181" spans="1:13" ht="13" x14ac:dyDescent="0.3">
      <c r="A181" s="2036" t="s">
        <v>4941</v>
      </c>
      <c r="B181" s="158"/>
      <c r="C181" s="2647" t="s">
        <v>6901</v>
      </c>
      <c r="D181" s="2648"/>
      <c r="E181" s="2648"/>
      <c r="F181" s="2648"/>
      <c r="G181" s="2107"/>
      <c r="H181" s="976" t="s">
        <v>6701</v>
      </c>
      <c r="I181" s="2107"/>
      <c r="J181" s="2108">
        <f>total_tax_NIC_nonresS23</f>
        <v>0</v>
      </c>
      <c r="L181">
        <f t="shared" ref="L181:L186" si="0">IF(box_NRD1,1,0)</f>
        <v>0</v>
      </c>
      <c r="M181" s="321"/>
    </row>
    <row r="182" spans="1:13" x14ac:dyDescent="0.25">
      <c r="A182" s="2109" t="s">
        <v>4946</v>
      </c>
      <c r="B182" s="158"/>
      <c r="C182" s="2656" t="s">
        <v>6902</v>
      </c>
      <c r="D182" s="2656"/>
      <c r="E182" s="2656"/>
      <c r="F182" s="2656"/>
      <c r="G182" s="154">
        <f>Income_Excluded</f>
        <v>0</v>
      </c>
      <c r="H182" s="977"/>
      <c r="I182" s="2110"/>
      <c r="J182" s="2111"/>
      <c r="L182">
        <f t="shared" si="0"/>
        <v>0</v>
      </c>
      <c r="M182" s="321"/>
    </row>
    <row r="183" spans="1:13" x14ac:dyDescent="0.25">
      <c r="A183" s="2109" t="s">
        <v>4949</v>
      </c>
      <c r="C183" s="1"/>
      <c r="D183" s="2616" t="s">
        <v>6903</v>
      </c>
      <c r="E183" s="2616"/>
      <c r="F183" s="2616"/>
      <c r="I183" s="27"/>
      <c r="J183" s="82">
        <f>tax_on_excluded_inc</f>
        <v>0</v>
      </c>
      <c r="L183">
        <f t="shared" si="0"/>
        <v>0</v>
      </c>
      <c r="M183" s="321"/>
    </row>
    <row r="184" spans="1:13" x14ac:dyDescent="0.25">
      <c r="A184" s="2050" t="s">
        <v>4953</v>
      </c>
      <c r="C184" s="1"/>
      <c r="D184" s="2629" t="s">
        <v>6904</v>
      </c>
      <c r="E184" s="2629"/>
      <c r="F184" s="2629"/>
      <c r="G184" s="2629"/>
      <c r="H184" s="2629"/>
      <c r="I184" s="2629"/>
      <c r="J184" s="2051">
        <f>tax_on_non_excluded_income</f>
        <v>0</v>
      </c>
      <c r="L184">
        <f t="shared" si="0"/>
        <v>0</v>
      </c>
      <c r="M184" s="321"/>
    </row>
    <row r="185" spans="1:13" ht="13" x14ac:dyDescent="0.3">
      <c r="A185" s="2036" t="s">
        <v>4957</v>
      </c>
      <c r="C185" s="2647" t="s">
        <v>6905</v>
      </c>
      <c r="D185" s="2648"/>
      <c r="E185" s="2648"/>
      <c r="F185" s="2648"/>
      <c r="G185" s="2107"/>
      <c r="H185" s="976" t="s">
        <v>6706</v>
      </c>
      <c r="I185" s="2107"/>
      <c r="J185" s="2108">
        <f>total_tax_NIC_nonresS811</f>
        <v>0</v>
      </c>
      <c r="L185">
        <f t="shared" si="0"/>
        <v>0</v>
      </c>
    </row>
    <row r="186" spans="1:13" ht="13" x14ac:dyDescent="0.3">
      <c r="A186" s="2036" t="s">
        <v>4963</v>
      </c>
      <c r="B186" s="158"/>
      <c r="C186" s="2647" t="s">
        <v>6906</v>
      </c>
      <c r="D186" s="2648"/>
      <c r="E186" s="2648"/>
      <c r="F186" s="2648"/>
      <c r="G186" s="2648"/>
      <c r="H186" s="2106" t="s">
        <v>6907</v>
      </c>
      <c r="I186" s="2107"/>
      <c r="J186" s="2108">
        <f>total_tax_NIC_nonres</f>
        <v>0</v>
      </c>
      <c r="L186">
        <f t="shared" si="0"/>
        <v>0</v>
      </c>
    </row>
    <row r="187" spans="1:13" x14ac:dyDescent="0.25">
      <c r="A187" s="2036" t="s">
        <v>6709</v>
      </c>
      <c r="B187" s="158"/>
      <c r="C187" s="178"/>
      <c r="D187" s="2112"/>
      <c r="E187" s="2110"/>
      <c r="F187" s="2110"/>
      <c r="G187" s="2110"/>
      <c r="H187" s="2110"/>
      <c r="I187" s="2113"/>
      <c r="J187" s="85"/>
      <c r="L187" s="1078">
        <f>IF(OR(box_NRD1,Gift_aid_tax_reduced+Pension_charges+Pension_lump_sum_tax+Child_Benefit_tax_charge+pens_tax_due+BRD_charge+TRF_charge+WFP_charge&gt;0),1,0)</f>
        <v>0</v>
      </c>
    </row>
    <row r="188" spans="1:13" x14ac:dyDescent="0.25">
      <c r="A188" s="2036" t="s">
        <v>4968</v>
      </c>
      <c r="B188" s="158"/>
      <c r="C188" s="1" t="s">
        <v>6811</v>
      </c>
      <c r="D188" s="2613" t="s">
        <v>6908</v>
      </c>
      <c r="E188" s="2613"/>
      <c r="F188" s="2613"/>
      <c r="G188" s="2613"/>
      <c r="H188" s="2613"/>
      <c r="I188" s="2613"/>
      <c r="J188" s="82">
        <f>div_tax_credits</f>
        <v>0</v>
      </c>
      <c r="K188" s="178"/>
      <c r="L188" s="178">
        <f>IF(div_tax_credits&gt;0,1,0)</f>
        <v>0</v>
      </c>
    </row>
    <row r="189" spans="1:13" x14ac:dyDescent="0.25">
      <c r="A189" s="2103" t="s">
        <v>4973</v>
      </c>
      <c r="B189" s="158"/>
      <c r="C189" s="1" t="s">
        <v>6811</v>
      </c>
      <c r="D189" s="2613" t="s">
        <v>6909</v>
      </c>
      <c r="E189" s="2613"/>
      <c r="F189" s="2613"/>
      <c r="G189" s="2613"/>
      <c r="H189" s="2613"/>
      <c r="I189" s="2613"/>
      <c r="J189" s="82">
        <f>div_tax_credits_s399</f>
        <v>0</v>
      </c>
      <c r="K189" s="178"/>
      <c r="L189" s="178">
        <f>IF(div_tax_credits_s399&gt;0,1,0)</f>
        <v>0</v>
      </c>
    </row>
    <row r="190" spans="1:13" x14ac:dyDescent="0.25">
      <c r="A190" s="2103" t="s">
        <v>4978</v>
      </c>
      <c r="B190" s="158"/>
      <c r="C190" s="1" t="s">
        <v>6811</v>
      </c>
      <c r="D190" s="2613" t="s">
        <v>6910</v>
      </c>
      <c r="E190" s="2613"/>
      <c r="F190" s="2613"/>
      <c r="G190" s="2613"/>
      <c r="H190" s="2613"/>
      <c r="I190" s="27"/>
      <c r="J190" s="82">
        <f>notional_CEG</f>
        <v>0</v>
      </c>
      <c r="K190" s="178"/>
      <c r="L190">
        <f>IF(notional_CEG&gt;0,1,0)</f>
        <v>0</v>
      </c>
    </row>
    <row r="191" spans="1:13" x14ac:dyDescent="0.25">
      <c r="A191" s="519" t="s">
        <v>4984</v>
      </c>
      <c r="B191" s="158"/>
      <c r="C191" s="1" t="s">
        <v>6811</v>
      </c>
      <c r="D191" s="2637" t="s">
        <v>6911</v>
      </c>
      <c r="E191" s="2637"/>
      <c r="F191" s="2637"/>
      <c r="G191" s="2637"/>
      <c r="H191" s="2637"/>
      <c r="I191" s="27"/>
      <c r="J191" s="82">
        <f>notional_other</f>
        <v>0</v>
      </c>
      <c r="K191" s="178"/>
      <c r="L191" s="178">
        <f>IF(notional_other&gt;1,1,0)</f>
        <v>0</v>
      </c>
    </row>
    <row r="192" spans="1:13" ht="13" x14ac:dyDescent="0.3">
      <c r="A192" s="2036" t="s">
        <v>4989</v>
      </c>
      <c r="B192" s="978"/>
      <c r="C192" s="2647" t="s">
        <v>6912</v>
      </c>
      <c r="D192" s="2648"/>
      <c r="E192" s="2648"/>
      <c r="F192" s="2648"/>
      <c r="G192" s="2648"/>
      <c r="H192" s="2106"/>
      <c r="I192" s="2106"/>
      <c r="J192" s="2108">
        <f>IT_after_div_tax_credits</f>
        <v>0</v>
      </c>
      <c r="L192" s="1080">
        <f>IF(AND(Gift_aid_tax_reduced+Pension_charges_gross+Pension_lump_sum_amount+Child_Benefit_tax_charge+pens_tax_due+BRD_charge+pens_tax_rel_due+notional_CEG+notional_other+WFP_charge&gt;0,div_tax_credits+div_tax_credits_s399+TRF_charge=0),1,0)</f>
        <v>0</v>
      </c>
    </row>
    <row r="193" spans="1:13" ht="13" x14ac:dyDescent="0.3">
      <c r="A193" s="2037" t="s">
        <v>6606</v>
      </c>
      <c r="B193" s="978"/>
      <c r="C193" s="2647" t="s">
        <v>6913</v>
      </c>
      <c r="D193" s="2648"/>
      <c r="E193" s="2648"/>
      <c r="F193" s="2648"/>
      <c r="G193" s="2648"/>
      <c r="H193" s="2106"/>
      <c r="I193" s="2106"/>
      <c r="J193" s="2108">
        <f>IT_after_div_tax_credits</f>
        <v>0</v>
      </c>
      <c r="K193" s="178"/>
      <c r="L193" s="1078">
        <f>IF(AND(div_tax_credits+div_tax_credits_s399&gt;0,TRF_charge=0),1,0)</f>
        <v>0</v>
      </c>
    </row>
    <row r="194" spans="1:13" ht="13" x14ac:dyDescent="0.3">
      <c r="A194" s="2054" t="s">
        <v>6606</v>
      </c>
      <c r="B194" s="1079"/>
      <c r="C194" s="2627" t="s">
        <v>9671</v>
      </c>
      <c r="D194" s="2628"/>
      <c r="E194" s="2628"/>
      <c r="F194" s="2628"/>
      <c r="G194" s="2628"/>
      <c r="H194" s="2628"/>
      <c r="I194" s="2628"/>
      <c r="J194" s="2055">
        <f>IT_after_div_tax_credits</f>
        <v>0</v>
      </c>
      <c r="K194" s="1080"/>
      <c r="L194" s="1078">
        <f>IF(AND(Gift_aid_tax_reduced+Pension_charges_gross+Pension_lump_sum_amount+Child_Benefit_tax_charge+pens_tax_due+BRD_charge+pens_tax_rel_due+notional_CEG+notional_other+WFP_charge&gt;0,div_tax_credits+div_tax_credits_s399=0,TRF_charge&gt;0),1,0)</f>
        <v>0</v>
      </c>
    </row>
    <row r="195" spans="1:13" ht="13" x14ac:dyDescent="0.3">
      <c r="A195" s="2056" t="s">
        <v>6606</v>
      </c>
      <c r="B195" s="1079"/>
      <c r="C195" s="2627" t="s">
        <v>9672</v>
      </c>
      <c r="D195" s="2628"/>
      <c r="E195" s="2628"/>
      <c r="F195" s="2628"/>
      <c r="G195" s="2628"/>
      <c r="H195" s="2628"/>
      <c r="I195" s="2628"/>
      <c r="J195" s="2055">
        <f>IT_after_div_tax_credits</f>
        <v>0</v>
      </c>
      <c r="K195" s="1080"/>
      <c r="L195" s="1078">
        <f>IF(AND(TRF_charge&gt;0,div_tax_credits+div_tax_credits_s399&gt;0),1,0)</f>
        <v>0</v>
      </c>
    </row>
    <row r="196" spans="1:13" x14ac:dyDescent="0.25">
      <c r="A196" s="2103" t="s">
        <v>6718</v>
      </c>
      <c r="C196" s="178"/>
      <c r="D196" s="178"/>
      <c r="F196" s="26"/>
      <c r="I196" s="27"/>
      <c r="J196" s="85"/>
      <c r="L196">
        <f>IF((Pension_charges_gross+Pension_lump_sum_amount+Child_Benefit_tax_charge+pens_tax_due+BRD_charge+pens_tax_rel_due+div_tax_credits+div_tax_credits_s399)&gt;0,1,0)</f>
        <v>0</v>
      </c>
    </row>
    <row r="197" spans="1:13" x14ac:dyDescent="0.25">
      <c r="A197" s="2036" t="s">
        <v>6719</v>
      </c>
      <c r="C197" s="12" t="s">
        <v>6809</v>
      </c>
      <c r="D197" s="2612" t="s">
        <v>6914</v>
      </c>
      <c r="E197" s="2612"/>
      <c r="F197" s="2612"/>
      <c r="G197" s="8">
        <f>NIC_amount</f>
        <v>0</v>
      </c>
      <c r="H197" s="968" t="str">
        <f>"x "&amp;NIC_rate*100&amp;"% ="</f>
        <v>x 6% =</v>
      </c>
      <c r="I197" s="968">
        <f>NIC_charge</f>
        <v>0</v>
      </c>
      <c r="J197" s="82"/>
      <c r="L197">
        <f>IF(NIC_total&gt;0,IF(NIC1_amount&lt;=0,IF(AND(NIC_charge&gt;0,NIC_sup_charge=0),1,0),0),0)</f>
        <v>0</v>
      </c>
    </row>
    <row r="198" spans="1:13" x14ac:dyDescent="0.25">
      <c r="A198" s="2037" t="s">
        <v>6606</v>
      </c>
      <c r="C198" s="12" t="s">
        <v>6809</v>
      </c>
      <c r="D198" s="2612" t="s">
        <v>6914</v>
      </c>
      <c r="E198" s="2612"/>
      <c r="F198" s="2612"/>
      <c r="I198" s="27"/>
      <c r="J198" s="85"/>
      <c r="L198">
        <f>IF(NIC_total&gt;0,IF(NIC1_amount&lt;=0,IF(AND(NIC_charge&gt;0,NIC_sup_charge&gt;0),1,0),0),0)</f>
        <v>0</v>
      </c>
    </row>
    <row r="199" spans="1:13" x14ac:dyDescent="0.25">
      <c r="A199" s="2103" t="s">
        <v>4995</v>
      </c>
      <c r="C199" s="1"/>
      <c r="D199" s="178"/>
      <c r="F199" s="26"/>
      <c r="G199" s="154">
        <f>NIC_amount</f>
        <v>0</v>
      </c>
      <c r="H199" s="968" t="str">
        <f>"x "&amp;NIC_rate*100&amp;"% ="</f>
        <v>x 6% =</v>
      </c>
      <c r="I199" s="82">
        <f>NIC_charge</f>
        <v>0</v>
      </c>
      <c r="J199" s="85"/>
      <c r="L199">
        <f>IF(NIC_total&gt;0,IF(NIC1_amount&lt;=0,IF(AND(NIC_charge&gt;0,NIC_sup_charge&gt;0),1,0),0),0)</f>
        <v>0</v>
      </c>
    </row>
    <row r="200" spans="1:13" x14ac:dyDescent="0.25">
      <c r="A200" s="2103" t="s">
        <v>5005</v>
      </c>
      <c r="C200" s="1"/>
      <c r="D200" s="178"/>
      <c r="E200" s="8" t="s">
        <v>3492</v>
      </c>
      <c r="F200" s="26"/>
      <c r="G200" s="154">
        <f>NIC_sup_amount</f>
        <v>0</v>
      </c>
      <c r="H200" s="968" t="str">
        <f>"x "&amp;NIC_supp_rate*100&amp;"% ="</f>
        <v>x 2% =</v>
      </c>
      <c r="I200" s="82">
        <f>NIC_sup_charge</f>
        <v>0</v>
      </c>
      <c r="J200" s="85"/>
      <c r="L200">
        <f>IF(NIC_total&gt;0,IF(NIC1_amount&lt;=0,IF(AND(NIC_charge&gt;0,NIC_sup_charge&gt;0),1,0),0),0)</f>
        <v>0</v>
      </c>
    </row>
    <row r="201" spans="1:13" x14ac:dyDescent="0.25">
      <c r="A201" s="2103" t="s">
        <v>5015</v>
      </c>
      <c r="C201" s="12" t="s">
        <v>6809</v>
      </c>
      <c r="D201" s="2612" t="s">
        <v>6915</v>
      </c>
      <c r="E201" s="2612"/>
      <c r="F201" s="2612"/>
      <c r="I201" s="82">
        <f>NIC4_amount</f>
        <v>0</v>
      </c>
      <c r="L201">
        <f>IF(NIC_total&gt;0,IF(NIC1_amount&gt;0,1,0),0)</f>
        <v>0</v>
      </c>
      <c r="M201" s="321"/>
    </row>
    <row r="202" spans="1:13" x14ac:dyDescent="0.25">
      <c r="A202" s="2103" t="s">
        <v>5019</v>
      </c>
      <c r="B202" s="178"/>
      <c r="C202" s="1"/>
      <c r="D202" s="2613" t="str">
        <f>"Addaswyd eich Dosbarth 4 ar gyfer Dosbarth 2 sy'n ddyledus a phrif gyfraniadau Dosbarth 1 " &amp;DOLLAR(NIC1_amount,2)</f>
        <v>Addaswyd eich Dosbarth 4 ar gyfer Dosbarth 2 sy'n ddyledus a phrif gyfraniadau Dosbarth 1 £0.00</v>
      </c>
      <c r="E202" s="2613"/>
      <c r="F202" s="2613"/>
      <c r="G202" s="2613"/>
      <c r="H202" s="2613"/>
      <c r="I202" s="2613"/>
      <c r="J202" s="178"/>
      <c r="K202" s="178"/>
      <c r="L202" s="178">
        <f>IF(NIC_total&gt;0,IF(NIC1_amount&gt;0,1,0),0)</f>
        <v>0</v>
      </c>
      <c r="M202" s="321"/>
    </row>
    <row r="203" spans="1:13" x14ac:dyDescent="0.25">
      <c r="A203" s="2103" t="s">
        <v>5025</v>
      </c>
      <c r="C203" s="12" t="s">
        <v>6916</v>
      </c>
      <c r="D203" s="2612" t="s">
        <v>6917</v>
      </c>
      <c r="E203" s="2612"/>
      <c r="F203" s="2612"/>
      <c r="G203" s="2612"/>
      <c r="I203" s="82">
        <f>NIC2_amount</f>
        <v>0</v>
      </c>
      <c r="L203">
        <f>IF(NIC_total&gt;0,IF(NIC2_amount&gt;0,1,0),0)</f>
        <v>0</v>
      </c>
      <c r="M203" s="321"/>
    </row>
    <row r="204" spans="1:13" x14ac:dyDescent="0.25">
      <c r="A204" s="2036" t="s">
        <v>5029</v>
      </c>
      <c r="C204" s="1"/>
      <c r="D204" s="2614" t="s">
        <v>6918</v>
      </c>
      <c r="E204" s="2614"/>
      <c r="F204" s="2614"/>
      <c r="G204" s="2614"/>
      <c r="H204" s="2614"/>
      <c r="J204" s="82">
        <f>NIC_total</f>
        <v>0</v>
      </c>
      <c r="L204" s="178">
        <f>IF(AND(NIC_total&gt;0,NIC2_amount=0),1,0)</f>
        <v>0</v>
      </c>
    </row>
    <row r="205" spans="1:13" x14ac:dyDescent="0.25">
      <c r="A205" s="519" t="s">
        <v>6606</v>
      </c>
      <c r="B205" s="978"/>
      <c r="C205" s="978"/>
      <c r="D205" s="2614" t="s">
        <v>6919</v>
      </c>
      <c r="E205" s="2614"/>
      <c r="F205" s="2614"/>
      <c r="G205" s="2614"/>
      <c r="H205" s="2614"/>
      <c r="I205" s="221"/>
      <c r="J205" s="82">
        <f>NIC_total</f>
        <v>0</v>
      </c>
      <c r="K205" s="321"/>
      <c r="L205" s="178">
        <f>IF(AND(NIC_total&gt;0,NIC2_amount&gt;0,NIC2_amount&lt;NIC_total),1,0)</f>
        <v>0</v>
      </c>
    </row>
    <row r="206" spans="1:13" x14ac:dyDescent="0.25">
      <c r="A206" s="519" t="s">
        <v>6606</v>
      </c>
      <c r="B206" s="978"/>
      <c r="C206" s="978"/>
      <c r="D206" s="2614" t="s">
        <v>6920</v>
      </c>
      <c r="E206" s="2614"/>
      <c r="F206" s="2614"/>
      <c r="G206" s="2614"/>
      <c r="H206" s="2614"/>
      <c r="I206" s="221"/>
      <c r="J206" s="82">
        <f>NIC_total</f>
        <v>0</v>
      </c>
      <c r="K206" s="321"/>
      <c r="L206">
        <f>IF(AND(NIC_total&gt;0,NIC2_amount&gt;0,NIC2_amount=NIC_total),1,0)</f>
        <v>0</v>
      </c>
    </row>
    <row r="207" spans="1:13" x14ac:dyDescent="0.25">
      <c r="A207" s="519" t="s">
        <v>6606</v>
      </c>
      <c r="B207" s="978"/>
      <c r="C207" s="978"/>
      <c r="D207" s="2614" t="s">
        <v>6921</v>
      </c>
      <c r="E207" s="2614"/>
      <c r="F207" s="2614"/>
      <c r="G207" s="2614"/>
      <c r="H207" s="2614"/>
      <c r="I207" s="2614"/>
      <c r="J207" s="2614"/>
      <c r="K207" s="321"/>
      <c r="L207">
        <f>IF(NIC2_thrshld=1,1,0)</f>
        <v>0</v>
      </c>
    </row>
    <row r="208" spans="1:13" x14ac:dyDescent="0.25">
      <c r="A208" s="2037"/>
      <c r="B208" s="978"/>
      <c r="C208" s="978"/>
      <c r="D208" s="2614" t="s">
        <v>6922</v>
      </c>
      <c r="E208" s="2614"/>
      <c r="F208" s="2614"/>
      <c r="G208" s="2614"/>
      <c r="H208" s="2614"/>
      <c r="I208" s="2614"/>
      <c r="J208" s="82">
        <v>0</v>
      </c>
      <c r="K208" s="321"/>
      <c r="L208">
        <f>IF(NIC2_thrshld=1,1,0)</f>
        <v>0</v>
      </c>
    </row>
    <row r="209" spans="1:13" x14ac:dyDescent="0.25">
      <c r="A209" s="2103" t="s">
        <v>6727</v>
      </c>
      <c r="C209" s="1"/>
      <c r="D209" s="178"/>
      <c r="I209" s="27"/>
      <c r="J209" s="85"/>
      <c r="L209">
        <f>IF(OR(NIC_total&gt;0,NIC2_thrshld=1),1,0)</f>
        <v>0</v>
      </c>
    </row>
    <row r="210" spans="1:13" x14ac:dyDescent="0.25">
      <c r="A210" s="2103" t="s">
        <v>5038</v>
      </c>
      <c r="C210" s="1" t="s">
        <v>6809</v>
      </c>
      <c r="D210" s="2613" t="str">
        <f>"Treth heb ei thalu am flynyddoedd cynharach yn eich cod ar gyfer "&amp;tax_year</f>
        <v>Treth heb ei thalu am flynyddoedd cynharach yn eich cod ar gyfer 2025-26</v>
      </c>
      <c r="E210" s="2613"/>
      <c r="F210" s="2613"/>
      <c r="G210" s="2613"/>
      <c r="H210" s="2613"/>
      <c r="I210" s="27"/>
      <c r="J210" s="82">
        <f>unpaid_tax_in_code</f>
        <v>0</v>
      </c>
      <c r="L210">
        <f>IF(unpaid_tax_in_code&gt;0,1,0)</f>
        <v>0</v>
      </c>
    </row>
    <row r="211" spans="1:13" x14ac:dyDescent="0.25">
      <c r="A211" s="2036" t="s">
        <v>5044</v>
      </c>
      <c r="C211" s="1" t="s">
        <v>6809</v>
      </c>
      <c r="D211" s="2613" t="s">
        <v>6923</v>
      </c>
      <c r="E211" s="2613"/>
      <c r="F211" s="2613"/>
      <c r="G211" s="2613"/>
      <c r="I211" s="27"/>
      <c r="J211" s="82">
        <f>Student_loan</f>
        <v>0</v>
      </c>
      <c r="L211">
        <f>IF(AND(Student_loan&gt;0,SL_type=1),1,0)</f>
        <v>0</v>
      </c>
    </row>
    <row r="212" spans="1:13" x14ac:dyDescent="0.25">
      <c r="A212" s="519" t="s">
        <v>6606</v>
      </c>
      <c r="C212" s="1" t="s">
        <v>6809</v>
      </c>
      <c r="D212" s="2613" t="s">
        <v>6924</v>
      </c>
      <c r="E212" s="2613"/>
      <c r="F212" s="2613"/>
      <c r="G212" s="2613"/>
      <c r="I212" s="27"/>
      <c r="J212" s="82">
        <f>Student_loan</f>
        <v>0</v>
      </c>
      <c r="L212">
        <f>IF(AND(Student_loan&gt;0,SL_type=2),1,0)</f>
        <v>0</v>
      </c>
    </row>
    <row r="213" spans="1:13" x14ac:dyDescent="0.25">
      <c r="A213" s="2037" t="s">
        <v>6606</v>
      </c>
      <c r="C213" s="1" t="s">
        <v>6809</v>
      </c>
      <c r="D213" s="2613" t="s">
        <v>6925</v>
      </c>
      <c r="E213" s="2613"/>
      <c r="F213" s="2613"/>
      <c r="G213" s="2613"/>
      <c r="H213" s="2613"/>
      <c r="I213" s="27"/>
      <c r="J213" s="82">
        <f>Student_loan</f>
        <v>0</v>
      </c>
      <c r="L213">
        <f>IF(AND(Student_loan&gt;0,SL_type=4),1,0)</f>
        <v>0</v>
      </c>
    </row>
    <row r="214" spans="1:13" x14ac:dyDescent="0.25">
      <c r="A214" s="2037" t="s">
        <v>5048</v>
      </c>
      <c r="C214" s="1" t="s">
        <v>6809</v>
      </c>
      <c r="D214" s="2613" t="s">
        <v>6926</v>
      </c>
      <c r="E214" s="2613"/>
      <c r="F214" s="2613"/>
      <c r="I214" s="27"/>
      <c r="J214" s="82">
        <f>Post_grad_loan</f>
        <v>0</v>
      </c>
      <c r="L214">
        <f>IF(AND(Post_grad_loan&gt;0,PGL_type=3),1,0)</f>
        <v>0</v>
      </c>
    </row>
    <row r="215" spans="1:13" x14ac:dyDescent="0.25">
      <c r="A215" s="2109" t="s">
        <v>5053</v>
      </c>
      <c r="C215" s="1" t="s">
        <v>6809</v>
      </c>
      <c r="D215" s="2613" t="s">
        <v>6927</v>
      </c>
      <c r="E215" s="2613"/>
      <c r="F215" s="2613"/>
      <c r="H215" s="154">
        <f>annuity_amount</f>
        <v>0</v>
      </c>
      <c r="I215" s="816" t="s">
        <v>4617</v>
      </c>
      <c r="J215" s="82">
        <f>annuity_tax</f>
        <v>0</v>
      </c>
      <c r="L215">
        <f>IF(annuity_amount&gt;0,1,0)</f>
        <v>0</v>
      </c>
      <c r="M215" s="321"/>
    </row>
    <row r="216" spans="1:13" x14ac:dyDescent="0.25">
      <c r="A216" s="2057" t="s">
        <v>5062</v>
      </c>
      <c r="B216" s="1069"/>
      <c r="C216" s="1069" t="s">
        <v>6809</v>
      </c>
      <c r="D216" s="2630" t="s">
        <v>6894</v>
      </c>
      <c r="E216" s="2630"/>
      <c r="F216" s="2630"/>
      <c r="G216" s="2630"/>
      <c r="H216" s="1070"/>
      <c r="I216" s="1071"/>
      <c r="J216" s="1072">
        <v>0</v>
      </c>
      <c r="K216" s="1073"/>
      <c r="L216" s="1073">
        <v>0</v>
      </c>
      <c r="M216" s="178"/>
    </row>
    <row r="217" spans="1:13" ht="13" x14ac:dyDescent="0.3">
      <c r="A217" s="2036" t="s">
        <v>5074</v>
      </c>
      <c r="C217" s="2647" t="s">
        <v>6928</v>
      </c>
      <c r="D217" s="2648"/>
      <c r="E217" s="2648"/>
      <c r="F217" s="2648"/>
      <c r="G217" s="2648"/>
      <c r="H217" s="2648"/>
      <c r="I217" s="2648"/>
      <c r="J217" s="2108">
        <f>IT_plus_class4</f>
        <v>0</v>
      </c>
      <c r="K217" s="321"/>
      <c r="L217" s="1080">
        <f>IF(TRF_charge&gt;0,0,IF(AND(NIC_total&gt;0,NIC2_amount&gt;0,NIC2_amount=NIC_total),1,0))</f>
        <v>0</v>
      </c>
    </row>
    <row r="218" spans="1:13" ht="13" x14ac:dyDescent="0.3">
      <c r="A218" s="1085" t="s">
        <v>6606</v>
      </c>
      <c r="B218" s="1086"/>
      <c r="C218" s="2627" t="s">
        <v>9673</v>
      </c>
      <c r="D218" s="2628"/>
      <c r="E218" s="2628"/>
      <c r="F218" s="2628"/>
      <c r="G218" s="2628"/>
      <c r="H218" s="2628"/>
      <c r="I218" s="2628"/>
      <c r="J218" s="2055">
        <f t="shared" ref="J218" si="1">IT_plus_class4</f>
        <v>0</v>
      </c>
      <c r="K218" s="1078"/>
      <c r="L218" s="1080">
        <f>IF(TRF_charge=0,0,IF(AND(NIC_total&gt;0,NIC2_amount&gt;0,NIC2_amount=NIC_total),1,0))</f>
        <v>0</v>
      </c>
    </row>
    <row r="219" spans="1:13" ht="13" x14ac:dyDescent="0.3">
      <c r="A219" s="519" t="s">
        <v>6606</v>
      </c>
      <c r="B219" s="978"/>
      <c r="C219" s="2647" t="s">
        <v>6929</v>
      </c>
      <c r="D219" s="2648"/>
      <c r="E219" s="2648"/>
      <c r="F219" s="2648"/>
      <c r="G219" s="2648"/>
      <c r="H219" s="2648"/>
      <c r="I219" s="2114"/>
      <c r="J219" s="2108">
        <f>IT_plus_class4</f>
        <v>0</v>
      </c>
      <c r="K219" s="321"/>
      <c r="L219" s="1080">
        <f>IF(TRF_charge&gt;0,0,IF(AND(NIC_total&gt;0,NIC2_amount=0),1,0))</f>
        <v>0</v>
      </c>
    </row>
    <row r="220" spans="1:13" ht="13" x14ac:dyDescent="0.3">
      <c r="A220" s="1085" t="s">
        <v>6606</v>
      </c>
      <c r="B220" s="1086"/>
      <c r="C220" s="2627" t="s">
        <v>9674</v>
      </c>
      <c r="D220" s="2628"/>
      <c r="E220" s="2628"/>
      <c r="F220" s="2628"/>
      <c r="G220" s="2628"/>
      <c r="H220" s="2628"/>
      <c r="I220" s="2628"/>
      <c r="J220" s="2055">
        <f t="shared" ref="J220" si="2">IT_plus_class4</f>
        <v>0</v>
      </c>
      <c r="K220" s="1078"/>
      <c r="L220" s="1080">
        <f>IF(TRF_charge=0,0,IF(AND(NIC_total&gt;0,NIC2_amount=0),1,0))</f>
        <v>0</v>
      </c>
    </row>
    <row r="221" spans="1:13" ht="13" x14ac:dyDescent="0.3">
      <c r="A221" s="519" t="s">
        <v>6606</v>
      </c>
      <c r="B221" s="978"/>
      <c r="C221" s="2647" t="s">
        <v>6930</v>
      </c>
      <c r="D221" s="2648"/>
      <c r="E221" s="2648"/>
      <c r="F221" s="2648"/>
      <c r="G221" s="2648"/>
      <c r="H221" s="2648"/>
      <c r="I221" s="2648"/>
      <c r="J221" s="2108">
        <f>IT_plus_class4</f>
        <v>0</v>
      </c>
      <c r="K221" s="321"/>
      <c r="L221" s="1080">
        <f>IF(TRF_charge&gt;0,0,IF(AND(NIC_total&gt;0,NIC2_amount&gt;0,NIC2_amount&lt;NIC_total),1,0))</f>
        <v>0</v>
      </c>
    </row>
    <row r="222" spans="1:13" ht="13" x14ac:dyDescent="0.3">
      <c r="A222" s="1085" t="s">
        <v>6606</v>
      </c>
      <c r="B222" s="1086"/>
      <c r="C222" s="2627" t="s">
        <v>9675</v>
      </c>
      <c r="D222" s="2628"/>
      <c r="E222" s="2628"/>
      <c r="F222" s="2628"/>
      <c r="G222" s="2628"/>
      <c r="H222" s="2628"/>
      <c r="I222" s="2628"/>
      <c r="J222" s="2055">
        <f t="shared" ref="J222" si="3">IT_plus_class4</f>
        <v>0</v>
      </c>
      <c r="K222" s="1078"/>
      <c r="L222" s="1080">
        <f>IF(TRF_charge=0,0,IF(AND(NIC_total&gt;0,NIC2_amount&gt;0,NIC2_amount&lt;NIC_total),1,0))</f>
        <v>0</v>
      </c>
    </row>
    <row r="223" spans="1:13" ht="13" x14ac:dyDescent="0.3">
      <c r="A223" s="519" t="s">
        <v>6606</v>
      </c>
      <c r="B223" s="978"/>
      <c r="C223" s="2647" t="s">
        <v>6931</v>
      </c>
      <c r="D223" s="2648"/>
      <c r="E223" s="2648"/>
      <c r="F223" s="2107"/>
      <c r="G223" s="2107"/>
      <c r="H223" s="2107"/>
      <c r="I223" s="2107"/>
      <c r="J223" s="2108">
        <f>IT_plus_class4</f>
        <v>0</v>
      </c>
      <c r="L223" s="1080">
        <f>IF(TRF_charge&gt;0,0,IF(OR(AND(unpaid_tax_in_code+Student_loan+Post_grad_loan+annuity_amount&gt;0,NIC_total=0),AND(NIC2_thrshld=1,NIC_total=0)),1,0))</f>
        <v>0</v>
      </c>
    </row>
    <row r="224" spans="1:13" ht="13" x14ac:dyDescent="0.3">
      <c r="A224" s="1085" t="s">
        <v>6606</v>
      </c>
      <c r="B224" s="1086"/>
      <c r="C224" s="2627" t="s">
        <v>9676</v>
      </c>
      <c r="D224" s="2628"/>
      <c r="E224" s="2628"/>
      <c r="F224" s="2628"/>
      <c r="G224" s="2628"/>
      <c r="H224" s="2628"/>
      <c r="I224" s="2628"/>
      <c r="J224" s="2055">
        <f t="shared" ref="J224" si="4">IT_plus_class4</f>
        <v>0</v>
      </c>
      <c r="K224" s="1078"/>
      <c r="L224" s="1080">
        <f>IF(TRF_charge=0,0,IF(OR(AND(unpaid_tax_in_code+Student_loan+Post_grad_loan+annuity_amount&gt;0,NIC_total=0),AND(NIC2_thrshld=1,NIC_total=0)),1,0))</f>
        <v>0</v>
      </c>
    </row>
    <row r="225" spans="1:12" x14ac:dyDescent="0.25">
      <c r="A225" s="2103" t="s">
        <v>6736</v>
      </c>
      <c r="C225" s="178"/>
      <c r="D225" s="178"/>
      <c r="I225" s="27"/>
      <c r="J225" s="85"/>
      <c r="L225">
        <f>IF(NIC_total+unpaid_tax_in_code+Student_loan+Post_grad_loan+TRF_charge&gt;0,1,0)</f>
        <v>0</v>
      </c>
    </row>
    <row r="226" spans="1:12" x14ac:dyDescent="0.25">
      <c r="A226" s="2103" t="s">
        <v>6737</v>
      </c>
      <c r="C226" s="332" t="s">
        <v>6811</v>
      </c>
      <c r="D226" s="2612" t="s">
        <v>6932</v>
      </c>
      <c r="E226" s="2612"/>
      <c r="F226" s="2612"/>
      <c r="I226" s="27"/>
      <c r="J226" s="85"/>
      <c r="L226">
        <f>IF((total_tax_paid+debt_coded)&gt;0,1,0)</f>
        <v>0</v>
      </c>
    </row>
    <row r="227" spans="1:12" x14ac:dyDescent="0.25">
      <c r="A227" s="2036" t="s">
        <v>5080</v>
      </c>
      <c r="C227" s="979"/>
      <c r="D227" s="2613" t="s">
        <v>6933</v>
      </c>
      <c r="E227" s="2613"/>
      <c r="F227" s="2613"/>
      <c r="G227" s="2613"/>
      <c r="I227" s="82">
        <f>tax_paid_E</f>
        <v>0</v>
      </c>
      <c r="J227" s="85"/>
      <c r="L227">
        <f>IF(AND(tax_paid_E&gt;0,debt_coded=0),1,0)</f>
        <v>0</v>
      </c>
    </row>
    <row r="228" spans="1:12" x14ac:dyDescent="0.25">
      <c r="A228" s="2037" t="s">
        <v>6606</v>
      </c>
      <c r="C228" s="979"/>
      <c r="D228" s="2613" t="s">
        <v>6934</v>
      </c>
      <c r="E228" s="2613"/>
      <c r="F228" s="2613"/>
      <c r="G228" s="2613"/>
      <c r="H228" s="82">
        <f>tax_paid_E</f>
        <v>0</v>
      </c>
      <c r="I228" s="27"/>
      <c r="J228" s="85"/>
      <c r="L228">
        <f>IF(debt_coded&gt;0,1,0)</f>
        <v>0</v>
      </c>
    </row>
    <row r="229" spans="1:12" x14ac:dyDescent="0.25">
      <c r="A229" s="2103" t="s">
        <v>6738</v>
      </c>
      <c r="C229" s="979"/>
      <c r="D229" s="1" t="s">
        <v>6811</v>
      </c>
      <c r="E229" s="8" t="s">
        <v>6935</v>
      </c>
      <c r="H229" s="82">
        <f>debt_collected</f>
        <v>0</v>
      </c>
      <c r="I229" s="27"/>
      <c r="J229" s="85"/>
      <c r="L229">
        <f>IF(debt_coded&gt;0,1,0)</f>
        <v>0</v>
      </c>
    </row>
    <row r="230" spans="1:12" x14ac:dyDescent="0.25">
      <c r="A230" s="2103" t="s">
        <v>6740</v>
      </c>
      <c r="C230" s="979"/>
      <c r="D230" s="2613" t="s">
        <v>6936</v>
      </c>
      <c r="E230" s="2613"/>
      <c r="I230" s="82">
        <f>SA_E_tax</f>
        <v>0</v>
      </c>
      <c r="J230" s="85"/>
      <c r="L230">
        <f>IF(debt_coded&gt;0,1,0)</f>
        <v>0</v>
      </c>
    </row>
    <row r="231" spans="1:12" x14ac:dyDescent="0.25">
      <c r="A231" s="2103" t="s">
        <v>5100</v>
      </c>
      <c r="C231" s="178"/>
      <c r="D231" s="2613" t="s">
        <v>6937</v>
      </c>
      <c r="E231" s="2613"/>
      <c r="F231" s="2613"/>
      <c r="I231" s="82">
        <f>tax_paid_D</f>
        <v>0</v>
      </c>
      <c r="J231" s="85"/>
      <c r="L231">
        <f>IF(tax_paid_D&gt;0,1,0)</f>
        <v>0</v>
      </c>
    </row>
    <row r="232" spans="1:12" x14ac:dyDescent="0.25">
      <c r="A232" s="2103" t="s">
        <v>5106</v>
      </c>
      <c r="C232" s="178"/>
      <c r="D232" s="2613" t="s">
        <v>6938</v>
      </c>
      <c r="E232" s="2613"/>
      <c r="I232" s="82">
        <f>tax_paid_D_PTR</f>
        <v>0</v>
      </c>
      <c r="J232" s="85"/>
      <c r="L232">
        <f>IF(tax_paid_D_PTR&gt;0,1,0)</f>
        <v>0</v>
      </c>
    </row>
    <row r="233" spans="1:12" x14ac:dyDescent="0.25">
      <c r="A233" s="2103" t="s">
        <v>5112</v>
      </c>
      <c r="C233" s="178"/>
      <c r="D233" s="2613" t="s">
        <v>6939</v>
      </c>
      <c r="E233" s="2613"/>
      <c r="F233" s="2613"/>
      <c r="I233" s="82">
        <f>tax_paid_IFP</f>
        <v>0</v>
      </c>
      <c r="J233" s="85"/>
      <c r="L233">
        <f>IF(tax_paid_IFP&gt;0,1,0)</f>
        <v>0</v>
      </c>
    </row>
    <row r="234" spans="1:12" x14ac:dyDescent="0.25">
      <c r="A234" s="2103" t="s">
        <v>5117</v>
      </c>
      <c r="C234" s="178"/>
      <c r="D234" s="2613" t="s">
        <v>6940</v>
      </c>
      <c r="E234" s="2613"/>
      <c r="F234" s="2613"/>
      <c r="I234" s="82">
        <f>tax_paid_Foreign</f>
        <v>0</v>
      </c>
      <c r="J234" s="85"/>
      <c r="L234">
        <f>IF(tax_paid_Foreign&gt;0,1,0)</f>
        <v>0</v>
      </c>
    </row>
    <row r="235" spans="1:12" x14ac:dyDescent="0.25">
      <c r="A235" s="2103" t="s">
        <v>5123</v>
      </c>
      <c r="C235" s="178"/>
      <c r="D235" s="2613" t="s">
        <v>6941</v>
      </c>
      <c r="E235" s="2613"/>
      <c r="F235" s="2613"/>
      <c r="I235" s="82">
        <f>tax_paid_Trust</f>
        <v>0</v>
      </c>
      <c r="J235" s="85"/>
      <c r="L235">
        <f>IF(tax_paid_Trust&gt;0,1,0)</f>
        <v>0</v>
      </c>
    </row>
    <row r="236" spans="1:12" x14ac:dyDescent="0.25">
      <c r="A236" s="2103" t="s">
        <v>5128</v>
      </c>
      <c r="C236" s="178"/>
      <c r="D236" s="2613" t="s">
        <v>6942</v>
      </c>
      <c r="E236" s="2613"/>
      <c r="F236" s="2613"/>
      <c r="I236" s="82">
        <f>tax_paid_Overseas</f>
        <v>0</v>
      </c>
      <c r="J236" s="85"/>
      <c r="L236">
        <f>IF(tax_paid_Overseas&gt;0,1,0)</f>
        <v>0</v>
      </c>
    </row>
    <row r="237" spans="1:12" x14ac:dyDescent="0.25">
      <c r="A237" s="2103" t="s">
        <v>5134</v>
      </c>
      <c r="C237" s="178"/>
      <c r="D237" s="2613" t="s">
        <v>6943</v>
      </c>
      <c r="E237" s="2613"/>
      <c r="F237" s="2613"/>
      <c r="G237" s="2613"/>
      <c r="I237" s="82">
        <f>tax_paid_Case3</f>
        <v>0</v>
      </c>
      <c r="J237" s="85"/>
      <c r="L237">
        <f>IF(tax_paid_Case3&gt;0,1,0)</f>
        <v>0</v>
      </c>
    </row>
    <row r="238" spans="1:12" x14ac:dyDescent="0.25">
      <c r="A238" s="2103" t="s">
        <v>5139</v>
      </c>
      <c r="C238" s="178"/>
      <c r="D238" s="2613" t="s">
        <v>6944</v>
      </c>
      <c r="E238" s="2613"/>
      <c r="F238" s="2613"/>
      <c r="I238" s="82">
        <f>tax_paid_CEG</f>
        <v>0</v>
      </c>
      <c r="J238" s="85"/>
      <c r="L238">
        <f>IF(tax_paid_CEG&gt;0,1,0)</f>
        <v>0</v>
      </c>
    </row>
    <row r="239" spans="1:12" x14ac:dyDescent="0.25">
      <c r="A239" s="2103" t="s">
        <v>5145</v>
      </c>
      <c r="C239" s="178"/>
      <c r="D239" s="2613" t="s">
        <v>6945</v>
      </c>
      <c r="E239" s="2613"/>
      <c r="F239" s="2613"/>
      <c r="I239" s="82">
        <f>tax_paid_Other</f>
        <v>0</v>
      </c>
      <c r="J239" s="85"/>
      <c r="L239">
        <f>IF(tax_paid_Other&gt;0,1,0)</f>
        <v>0</v>
      </c>
    </row>
    <row r="240" spans="1:12" x14ac:dyDescent="0.25">
      <c r="A240" s="2103" t="s">
        <v>5150</v>
      </c>
      <c r="C240" s="136"/>
      <c r="D240" s="2613" t="str">
        <f>"Treth a dandalwyd ar gyfer "&amp;tax_year&amp;" y ya gynhwyswyd yn eich cod am "&amp;next_year</f>
        <v>Treth a dandalwyd ar gyfer 2025-26 y ya gynhwyswyd yn eich cod am 2026-27</v>
      </c>
      <c r="E240" s="2613"/>
      <c r="F240" s="2613"/>
      <c r="G240" s="2613"/>
      <c r="H240" s="2613"/>
      <c r="I240" s="82">
        <f>coded_in_later_year</f>
        <v>0</v>
      </c>
      <c r="L240">
        <f>IF(coded_in_later_year&gt;0,1,0)</f>
        <v>0</v>
      </c>
    </row>
    <row r="241" spans="1:13" x14ac:dyDescent="0.25">
      <c r="A241" s="2103" t="s">
        <v>5156</v>
      </c>
      <c r="C241" s="8"/>
      <c r="D241" s="2614" t="s">
        <v>6946</v>
      </c>
      <c r="E241" s="2614"/>
      <c r="F241" s="2614"/>
      <c r="J241" s="82">
        <f>total_tax_paid</f>
        <v>0</v>
      </c>
      <c r="K241" s="8"/>
      <c r="L241" s="178">
        <f>IF((total_tax_paid+debt_coded)&gt;0,1,0)</f>
        <v>0</v>
      </c>
    </row>
    <row r="242" spans="1:13" x14ac:dyDescent="0.25">
      <c r="A242" s="2103" t="s">
        <v>6748</v>
      </c>
      <c r="C242" s="178"/>
      <c r="D242" s="178"/>
      <c r="I242" s="27"/>
      <c r="J242" s="85"/>
      <c r="L242">
        <f>IF((total_tax_paid+debt_collected)&gt;0,1,0)</f>
        <v>0</v>
      </c>
    </row>
    <row r="243" spans="1:13" ht="13" x14ac:dyDescent="0.3">
      <c r="A243" s="2036" t="s">
        <v>5161</v>
      </c>
      <c r="C243" s="2647" t="s">
        <v>6947</v>
      </c>
      <c r="D243" s="2648"/>
      <c r="E243" s="2648"/>
      <c r="F243" s="2648"/>
      <c r="G243" s="2648"/>
      <c r="H243" s="2648"/>
      <c r="I243" s="2107"/>
      <c r="J243" s="2115">
        <f>Total_IT_class4_due</f>
        <v>0</v>
      </c>
      <c r="L243">
        <f>IF(AND(total_tax_paid+debt_coded&gt;0,total_tax_paid&gt;IT_plus_class4),1,0)</f>
        <v>0</v>
      </c>
    </row>
    <row r="244" spans="1:13" ht="13" x14ac:dyDescent="0.3">
      <c r="A244" s="519" t="s">
        <v>6606</v>
      </c>
      <c r="C244" s="2647" t="s">
        <v>6928</v>
      </c>
      <c r="D244" s="2648"/>
      <c r="E244" s="2648"/>
      <c r="F244" s="2648"/>
      <c r="G244" s="2648"/>
      <c r="H244" s="2648"/>
      <c r="I244" s="2648"/>
      <c r="J244" s="2115">
        <f>Total_IT_class4_due</f>
        <v>0</v>
      </c>
      <c r="L244" s="1080">
        <f>IF(TRF_charge&gt;0,0,IF(AND(total_tax_paid+debt_coded&gt;0,IT_plus_class4&gt;=total_tax_paid,NIC_total&gt;0,NIC2_amount&gt;0,NIC2_amount=NIC_total),1,0))</f>
        <v>0</v>
      </c>
    </row>
    <row r="245" spans="1:13" ht="13" x14ac:dyDescent="0.3">
      <c r="A245" s="1085" t="s">
        <v>6606</v>
      </c>
      <c r="B245" s="1079"/>
      <c r="C245" s="2627" t="s">
        <v>9677</v>
      </c>
      <c r="D245" s="2628"/>
      <c r="E245" s="2628"/>
      <c r="F245" s="2628"/>
      <c r="G245" s="2628"/>
      <c r="H245" s="2628"/>
      <c r="I245" s="2628"/>
      <c r="J245" s="2061">
        <f t="shared" ref="J245" si="5">Total_IT_class4_due</f>
        <v>0</v>
      </c>
      <c r="K245" s="1080"/>
      <c r="L245" s="1080">
        <f>IF(TRF_charge=0,0,IF(AND(total_tax_paid+debt_coded&gt;0,IT_plus_class4&gt;=total_tax_paid,NIC_total&gt;0,NIC2_amount&gt;0,NIC2_amount=NIC_total),1,0))</f>
        <v>0</v>
      </c>
    </row>
    <row r="246" spans="1:13" ht="13" x14ac:dyDescent="0.3">
      <c r="A246" s="519" t="s">
        <v>6606</v>
      </c>
      <c r="C246" s="2647" t="s">
        <v>6929</v>
      </c>
      <c r="D246" s="2648"/>
      <c r="E246" s="2648"/>
      <c r="F246" s="2648"/>
      <c r="G246" s="2648"/>
      <c r="H246" s="2648"/>
      <c r="I246" s="2648"/>
      <c r="J246" s="2115">
        <f>Total_IT_class4_due</f>
        <v>0</v>
      </c>
      <c r="L246" s="1080">
        <f>IF(TRF_charge&gt;0,0,IF(AND(total_tax_paid+debt_coded&gt;0,IT_plus_class4&gt;=total_tax_paid,NIC_total&gt;0,NIC2_amount=0),1,0))</f>
        <v>0</v>
      </c>
    </row>
    <row r="247" spans="1:13" ht="13" x14ac:dyDescent="0.3">
      <c r="A247" s="1085" t="s">
        <v>6606</v>
      </c>
      <c r="B247" s="1079"/>
      <c r="C247" s="2627" t="s">
        <v>9678</v>
      </c>
      <c r="D247" s="2628"/>
      <c r="E247" s="2628"/>
      <c r="F247" s="2628"/>
      <c r="G247" s="2628"/>
      <c r="H247" s="2628"/>
      <c r="I247" s="2628"/>
      <c r="J247" s="2061">
        <f t="shared" ref="J247" si="6">Total_IT_class4_due</f>
        <v>0</v>
      </c>
      <c r="K247" s="1080"/>
      <c r="L247" s="1080">
        <f>IF(TRF_charge=0,0,IF(AND(total_tax_paid+debt_coded&gt;0,IT_plus_class4&gt;=total_tax_paid,NIC_total&gt;0,NIC2_amount=0),1,0))</f>
        <v>0</v>
      </c>
    </row>
    <row r="248" spans="1:13" ht="13" x14ac:dyDescent="0.3">
      <c r="A248" s="519" t="s">
        <v>6606</v>
      </c>
      <c r="C248" s="2647" t="s">
        <v>6930</v>
      </c>
      <c r="D248" s="2648"/>
      <c r="E248" s="2648"/>
      <c r="F248" s="2648"/>
      <c r="G248" s="2648"/>
      <c r="H248" s="2648"/>
      <c r="I248" s="2648"/>
      <c r="J248" s="2115">
        <f>Total_IT_class4_due</f>
        <v>0</v>
      </c>
      <c r="L248" s="1080">
        <f>IF(TRF_charge&gt;0,0,IF(AND(total_tax_paid+debt_coded&gt;0,IT_plus_class4&gt;=total_tax_paid,NIC_total&gt;0,NIC2_amount&gt;0,NIC2_amount&lt;NIC_total),1,0))</f>
        <v>0</v>
      </c>
    </row>
    <row r="249" spans="1:13" ht="13" x14ac:dyDescent="0.3">
      <c r="A249" s="1085" t="s">
        <v>6606</v>
      </c>
      <c r="B249" s="1079"/>
      <c r="C249" s="2627" t="s">
        <v>9679</v>
      </c>
      <c r="D249" s="2628"/>
      <c r="E249" s="2628"/>
      <c r="F249" s="2628"/>
      <c r="G249" s="2628"/>
      <c r="H249" s="2628"/>
      <c r="I249" s="2628"/>
      <c r="J249" s="2061">
        <f t="shared" ref="J249" si="7">Total_IT_class4_due</f>
        <v>0</v>
      </c>
      <c r="K249" s="1080"/>
      <c r="L249" s="1080">
        <f>IF(TRF_charge=0,0,IF(AND(total_tax_paid+debt_coded&gt;0,IT_plus_class4&gt;=total_tax_paid,NIC_total&gt;0,NIC2_amount&gt;0,NIC2_amount&lt;NIC_total),1,0))</f>
        <v>0</v>
      </c>
    </row>
    <row r="250" spans="1:13" ht="13" x14ac:dyDescent="0.3">
      <c r="A250" s="519" t="s">
        <v>6606</v>
      </c>
      <c r="C250" s="2647" t="str">
        <f>IF(NIC_total&gt;0,"Treth Incwm a Chyfraniadau Yswiriant Gwladol Dosbarth 4 sy'n Ddyledus","Cyfanswm Treth Incwm sy'n ddyledus")</f>
        <v>Cyfanswm Treth Incwm sy'n ddyledus</v>
      </c>
      <c r="D250" s="2648"/>
      <c r="E250" s="2648"/>
      <c r="F250" s="2648"/>
      <c r="G250" s="2648"/>
      <c r="H250" s="2648"/>
      <c r="I250" s="2648"/>
      <c r="J250" s="2115">
        <f>Total_IT_class4_due</f>
        <v>0</v>
      </c>
      <c r="L250" s="1080">
        <f>IF(TRF_charge&gt;0,0,IF(AND(total_tax_paid+debt_coded&gt;0,IT_plus_class4&gt;=total_tax_paid,NIC_total=0),1,0))</f>
        <v>0</v>
      </c>
    </row>
    <row r="251" spans="1:13" ht="13" x14ac:dyDescent="0.3">
      <c r="A251" s="1085" t="s">
        <v>6606</v>
      </c>
      <c r="B251" s="1079"/>
      <c r="C251" s="2627" t="s">
        <v>9676</v>
      </c>
      <c r="D251" s="2628"/>
      <c r="E251" s="2628"/>
      <c r="F251" s="2628"/>
      <c r="G251" s="2628"/>
      <c r="H251" s="2628"/>
      <c r="I251" s="2628"/>
      <c r="J251" s="2061">
        <f t="shared" ref="J251" si="8">Total_IT_class4_due</f>
        <v>0</v>
      </c>
      <c r="K251" s="1080"/>
      <c r="L251" s="1080">
        <f>IF(TRF_charge=0,0,IF(AND(total_tax_paid+debt_coded&gt;0,IT_plus_class4&gt;=total_tax_paid,NIC_total=0),1,0))</f>
        <v>0</v>
      </c>
    </row>
    <row r="252" spans="1:13" x14ac:dyDescent="0.25">
      <c r="A252" s="2103" t="s">
        <v>6753</v>
      </c>
      <c r="C252" s="178"/>
      <c r="D252" s="178"/>
      <c r="J252" s="85"/>
      <c r="L252">
        <f>IF(OR(Taxable_CG&gt;0,tax_on_gains_already_charged+CG_trust_tax&gt;0),1,0)</f>
        <v>0</v>
      </c>
    </row>
    <row r="253" spans="1:13" ht="13" x14ac:dyDescent="0.3">
      <c r="A253" s="2103" t="s">
        <v>6754</v>
      </c>
      <c r="C253" s="2" t="s">
        <v>6809</v>
      </c>
      <c r="D253" s="2618" t="s">
        <v>6948</v>
      </c>
      <c r="E253" s="2618"/>
      <c r="F253" s="2618"/>
      <c r="I253" s="27"/>
      <c r="J253" s="85"/>
      <c r="L253">
        <f>IF(OR(Taxable_CG&gt;0,tax_on_gains_already_charged+CG_trust_tax&gt;0),1,0)</f>
        <v>0</v>
      </c>
    </row>
    <row r="254" spans="1:13" ht="13" x14ac:dyDescent="0.3">
      <c r="A254" s="2103" t="s">
        <v>6756</v>
      </c>
      <c r="C254" s="178"/>
      <c r="D254" s="2616"/>
      <c r="E254" s="2616"/>
      <c r="F254" s="2616"/>
      <c r="G254" s="154"/>
      <c r="H254" s="816"/>
      <c r="I254" s="170"/>
      <c r="J254" s="85"/>
      <c r="K254" s="178"/>
      <c r="L254">
        <f>IF(OR(Taxable_CG&gt;0,tax_on_gains_already_charged+CG_trust_tax&gt;0),1,0)</f>
        <v>0</v>
      </c>
      <c r="M254" s="980"/>
    </row>
    <row r="255" spans="1:13" x14ac:dyDescent="0.25">
      <c r="A255" s="2103" t="s">
        <v>5167</v>
      </c>
      <c r="C255" s="178"/>
      <c r="D255" s="2616" t="s">
        <v>6949</v>
      </c>
      <c r="E255" s="2616"/>
      <c r="F255" s="2616"/>
      <c r="G255" s="154">
        <f>CG_at_ER_rate</f>
        <v>0</v>
      </c>
      <c r="H255" s="760" t="str">
        <f>"x "&amp;ER_CGT_rate*100&amp;"%"</f>
        <v>x 14%</v>
      </c>
      <c r="I255" s="560">
        <f>ER_rate_CGT</f>
        <v>0</v>
      </c>
      <c r="J255" s="85"/>
      <c r="L255">
        <f>IF(CG_at_ER_rate&gt;0,1,0)</f>
        <v>0</v>
      </c>
      <c r="M255" s="178"/>
    </row>
    <row r="256" spans="1:13" x14ac:dyDescent="0.25">
      <c r="A256" s="2103" t="s">
        <v>5177</v>
      </c>
      <c r="C256" s="178"/>
      <c r="D256" s="2616" t="s">
        <v>6950</v>
      </c>
      <c r="E256" s="2616"/>
      <c r="F256" s="2616"/>
      <c r="G256" s="154" cm="1">
        <f t="array" ref="G256">CG_at_lower_rate_CI</f>
        <v>0</v>
      </c>
      <c r="H256" s="760" t="str">
        <f>"x "&amp;CI_CGT_rate*100&amp;"%"</f>
        <v>x 32%</v>
      </c>
      <c r="I256" s="560">
        <f>Lower_rate_CGT_CI</f>
        <v>0</v>
      </c>
      <c r="J256" s="85"/>
      <c r="L256" s="178">
        <f>IF(CG_at_lower_rate_CI&gt;0,1,0)</f>
        <v>0</v>
      </c>
      <c r="M256" s="178"/>
    </row>
    <row r="257" spans="1:12" x14ac:dyDescent="0.25">
      <c r="A257" s="2103" t="s">
        <v>5185</v>
      </c>
      <c r="C257" s="178"/>
      <c r="D257" s="2616" t="s">
        <v>6951</v>
      </c>
      <c r="E257" s="2616"/>
      <c r="F257" s="2616"/>
      <c r="G257" s="154">
        <f>CG_at_higher_rate_CI</f>
        <v>0</v>
      </c>
      <c r="H257" s="760" t="str">
        <f>"x "&amp;CI_CGT_rate*100&amp;"%"</f>
        <v>x 32%</v>
      </c>
      <c r="I257" s="560">
        <f>Higher_rate_CGT_CI</f>
        <v>0</v>
      </c>
      <c r="L257" s="178">
        <f>IF(CG_at_higher_rate_CI&gt;0,1,0)</f>
        <v>0</v>
      </c>
    </row>
    <row r="258" spans="1:12" x14ac:dyDescent="0.25">
      <c r="A258" s="2103" t="s">
        <v>5212</v>
      </c>
      <c r="C258" s="178"/>
      <c r="D258" s="2616" t="s">
        <v>6952</v>
      </c>
      <c r="E258" s="2616"/>
      <c r="F258" s="2616"/>
      <c r="G258" s="154">
        <f>CG_at_lower_rate_RP</f>
        <v>0</v>
      </c>
      <c r="H258" s="968" t="str">
        <f>"x "&amp;Lower_CGT_rate_RP*100&amp;"%"</f>
        <v>x 18%</v>
      </c>
      <c r="I258" s="560">
        <f>Lower_rate_CGT_RP</f>
        <v>0</v>
      </c>
      <c r="L258" s="178">
        <f>IF(CG_at_lower_rate_RP&gt;0,1,0)</f>
        <v>0</v>
      </c>
    </row>
    <row r="259" spans="1:12" x14ac:dyDescent="0.25">
      <c r="A259" s="2103" t="s">
        <v>5222</v>
      </c>
      <c r="C259" s="178"/>
      <c r="D259" s="2616" t="s">
        <v>6953</v>
      </c>
      <c r="E259" s="2616"/>
      <c r="F259" s="2616"/>
      <c r="G259" s="154">
        <f>CG_at_higher_rate_RP</f>
        <v>0</v>
      </c>
      <c r="H259" s="968" t="str">
        <f>"x "&amp;Upper_CGT_rate_RP*100&amp;"%"</f>
        <v>x 24%</v>
      </c>
      <c r="I259" s="560">
        <f>Higher_rate_CGT_RP</f>
        <v>0</v>
      </c>
      <c r="L259" s="178">
        <f>IF(CG_at_higher_rate_RP&gt;0,1,0)</f>
        <v>0</v>
      </c>
    </row>
    <row r="260" spans="1:12" x14ac:dyDescent="0.25">
      <c r="A260" s="2103" t="s">
        <v>5229</v>
      </c>
      <c r="C260" s="178"/>
      <c r="D260" s="2616" t="s">
        <v>6954</v>
      </c>
      <c r="E260" s="2616"/>
      <c r="F260" s="2616"/>
      <c r="G260" s="154">
        <f>CG_at_lower_rate</f>
        <v>0</v>
      </c>
      <c r="H260" s="760" t="str">
        <f>"x "&amp;Lower_CGT_rate*100&amp;"%"</f>
        <v>x 18%</v>
      </c>
      <c r="I260" s="560">
        <f>Lower_rate_CGT</f>
        <v>0</v>
      </c>
      <c r="J260" s="85"/>
      <c r="L260">
        <f>IF(CG_at_lower_rate&gt;0,1,0)</f>
        <v>0</v>
      </c>
    </row>
    <row r="261" spans="1:12" x14ac:dyDescent="0.25">
      <c r="A261" s="2103" t="s">
        <v>5240</v>
      </c>
      <c r="C261" s="178"/>
      <c r="D261" s="2616" t="s">
        <v>6955</v>
      </c>
      <c r="E261" s="2616"/>
      <c r="F261" s="2616"/>
      <c r="G261" s="154">
        <f>CG_at_higher_rate</f>
        <v>0</v>
      </c>
      <c r="H261" s="760" t="str">
        <f>"x "&amp;Upper_CGT_rate*100&amp;"%"</f>
        <v>x 24%</v>
      </c>
      <c r="I261" s="560">
        <f>Higher_rate_CGT</f>
        <v>0</v>
      </c>
      <c r="L261">
        <f>IF(CG_at_higher_rate&gt;0,1,0)</f>
        <v>0</v>
      </c>
    </row>
    <row r="262" spans="1:12" x14ac:dyDescent="0.25">
      <c r="A262" s="2103" t="s">
        <v>5250</v>
      </c>
      <c r="C262" s="178"/>
      <c r="D262" s="2616" t="s">
        <v>6956</v>
      </c>
      <c r="E262" s="2616"/>
      <c r="F262" s="2616"/>
      <c r="G262" s="2062">
        <f>Taxable_CG</f>
        <v>0</v>
      </c>
      <c r="I262" s="82"/>
      <c r="L262">
        <f>IF(Taxable_CG&gt;0,1,0)</f>
        <v>0</v>
      </c>
    </row>
    <row r="263" spans="1:12" ht="13" x14ac:dyDescent="0.3">
      <c r="A263" s="2103" t="s">
        <v>6765</v>
      </c>
      <c r="C263" s="178"/>
      <c r="D263" s="981"/>
      <c r="E263" s="981"/>
      <c r="F263" s="981"/>
      <c r="G263" s="84"/>
      <c r="I263"/>
      <c r="L263">
        <f>IF(Taxable_CG&gt;0,1,0)</f>
        <v>0</v>
      </c>
    </row>
    <row r="264" spans="1:12" ht="13" x14ac:dyDescent="0.3">
      <c r="A264" s="2103" t="s">
        <v>5256</v>
      </c>
      <c r="C264" s="178"/>
      <c r="D264" s="2619" t="s">
        <v>6948</v>
      </c>
      <c r="E264" s="2620"/>
      <c r="F264" s="2620"/>
      <c r="G264" s="982"/>
      <c r="H264" s="983"/>
      <c r="I264" s="984">
        <f>Total_CGT_tax</f>
        <v>0</v>
      </c>
      <c r="L264">
        <f>IF(Taxable_CG&gt;0,1,0)</f>
        <v>0</v>
      </c>
    </row>
    <row r="265" spans="1:12" x14ac:dyDescent="0.25">
      <c r="A265" s="2103" t="s">
        <v>5262</v>
      </c>
      <c r="C265" s="1" t="s">
        <v>6809</v>
      </c>
      <c r="D265" s="2616" t="s">
        <v>6957</v>
      </c>
      <c r="E265" s="2616"/>
      <c r="F265" s="2616"/>
      <c r="I265" s="82">
        <f>CGT_adjustment</f>
        <v>0</v>
      </c>
      <c r="L265">
        <f>IF(CGT_adjustment&lt;&gt;0,1,0)</f>
        <v>0</v>
      </c>
    </row>
    <row r="266" spans="1:12" x14ac:dyDescent="0.25">
      <c r="A266" s="2103" t="s">
        <v>5267</v>
      </c>
      <c r="C266" s="1" t="s">
        <v>6809</v>
      </c>
      <c r="D266" s="2616" t="s">
        <v>6958</v>
      </c>
      <c r="E266" s="2616"/>
      <c r="F266" s="2616"/>
      <c r="G266" s="2616"/>
      <c r="H266" s="985"/>
      <c r="I266" s="82">
        <f>CG_trust_tax</f>
        <v>0</v>
      </c>
      <c r="J266" s="85"/>
      <c r="L266">
        <f>IF(CG_trust_tax&gt;0,1,0)</f>
        <v>0</v>
      </c>
    </row>
    <row r="267" spans="1:12" ht="13" x14ac:dyDescent="0.3">
      <c r="A267" s="2037" t="s">
        <v>5273</v>
      </c>
      <c r="C267" s="178"/>
      <c r="D267" s="2618" t="s">
        <v>6959</v>
      </c>
      <c r="E267" s="2618"/>
      <c r="I267" s="2063">
        <f>Total_CG_tax_due</f>
        <v>0</v>
      </c>
      <c r="J267" s="178"/>
      <c r="L267">
        <f>IF(CGT_adjustment+CG_trust_tax&gt;0,1,0)</f>
        <v>0</v>
      </c>
    </row>
    <row r="268" spans="1:12" x14ac:dyDescent="0.25">
      <c r="A268" s="2036" t="s">
        <v>5279</v>
      </c>
      <c r="C268" s="178"/>
      <c r="D268" s="1" t="s">
        <v>6811</v>
      </c>
      <c r="E268" s="2613" t="s">
        <v>6960</v>
      </c>
      <c r="F268" s="2613"/>
      <c r="G268" s="2613"/>
      <c r="H268" s="985"/>
      <c r="I268" s="82">
        <f>CG_FTCR</f>
        <v>0</v>
      </c>
      <c r="J268" s="85"/>
      <c r="L268">
        <f>IF(AND(CG_FTCR&gt;0,CG_FTCR=CG_FTCR_restricted),1,0)</f>
        <v>0</v>
      </c>
    </row>
    <row r="269" spans="1:12" x14ac:dyDescent="0.25">
      <c r="A269" s="2037" t="s">
        <v>6606</v>
      </c>
      <c r="B269" s="969"/>
      <c r="C269" s="178"/>
      <c r="D269" s="1" t="s">
        <v>6811</v>
      </c>
      <c r="E269" s="2616" t="str">
        <f>"Rhyddhad Credyd Tramor wedi'i ostwng "&amp;DOLLAR(CG_FTCR,0)&amp;" i’r uchafswm a ganiateir"</f>
        <v>Rhyddhad Credyd Tramor wedi'i ostwng £0 i’r uchafswm a ganiateir</v>
      </c>
      <c r="F269" s="2616"/>
      <c r="G269" s="2616"/>
      <c r="H269" s="2616"/>
      <c r="I269" s="82">
        <f>CG_FTCR_restricted</f>
        <v>0</v>
      </c>
      <c r="J269" s="85"/>
      <c r="L269">
        <f>IF(AND(CG_FTCR&gt;0,CG_FTCR&gt;CG_FTCR_restricted),1,0)</f>
        <v>0</v>
      </c>
    </row>
    <row r="270" spans="1:12" x14ac:dyDescent="0.25">
      <c r="A270" s="2103" t="s">
        <v>5289</v>
      </c>
      <c r="C270" s="178"/>
      <c r="D270" s="2649" t="s">
        <v>6961</v>
      </c>
      <c r="E270" s="2649"/>
      <c r="F270" s="2649"/>
      <c r="G270" s="2649"/>
      <c r="H270" s="985"/>
      <c r="I270" s="2063">
        <f>CG_tax_due_pre_tax</f>
        <v>0</v>
      </c>
      <c r="L270">
        <f>IF(CG_FTCR&gt;0,1,0)</f>
        <v>0</v>
      </c>
    </row>
    <row r="271" spans="1:12" ht="13" x14ac:dyDescent="0.3">
      <c r="A271" s="2103" t="s">
        <v>6770</v>
      </c>
      <c r="C271" s="178"/>
      <c r="D271" s="2"/>
      <c r="E271" s="2"/>
      <c r="I271" s="82"/>
      <c r="L271">
        <f>IF(tax_on_gains_already_charged&gt;0,1,0)</f>
        <v>0</v>
      </c>
    </row>
    <row r="272" spans="1:12" x14ac:dyDescent="0.25">
      <c r="A272" s="2103" t="s">
        <v>5295</v>
      </c>
      <c r="C272" s="178"/>
      <c r="D272" s="2612" t="s">
        <v>6959</v>
      </c>
      <c r="E272" s="2612"/>
      <c r="F272" s="2612"/>
      <c r="I272" s="2116"/>
      <c r="J272" s="82">
        <f>total_CG_due</f>
        <v>0</v>
      </c>
      <c r="L272">
        <f>IF(tax_on_gains_already_charged&gt;0,1,0)</f>
        <v>0</v>
      </c>
    </row>
    <row r="273" spans="1:12" x14ac:dyDescent="0.25">
      <c r="A273" s="2036" t="s">
        <v>5298</v>
      </c>
      <c r="C273" s="178"/>
      <c r="D273" s="2612" t="s">
        <v>6962</v>
      </c>
      <c r="E273" s="2612"/>
      <c r="F273" s="2612"/>
      <c r="G273" s="82">
        <f>total_CG_overpaid</f>
        <v>0</v>
      </c>
      <c r="J273" s="82"/>
      <c r="L273">
        <f>IF(OR(Taxable_CG&gt;0,tax_on_gains_already_charged+CG_trust_tax&gt;0,CG_tax_due_pre_tax&gt;tax_on_gains_already_charged),1,0)</f>
        <v>0</v>
      </c>
    </row>
    <row r="274" spans="1:12" x14ac:dyDescent="0.25">
      <c r="A274" s="2036" t="s">
        <v>5300</v>
      </c>
      <c r="C274" s="178"/>
      <c r="D274" s="12"/>
      <c r="J274" s="82"/>
      <c r="L274">
        <f>IF(total_CG_overpaid&gt;0,1,0)</f>
        <v>0</v>
      </c>
    </row>
    <row r="275" spans="1:12" x14ac:dyDescent="0.25">
      <c r="A275" s="2036" t="s">
        <v>6774</v>
      </c>
      <c r="C275" s="178"/>
      <c r="D275" s="12"/>
      <c r="J275" s="82"/>
      <c r="L275">
        <f>IF(OR(Taxable_CG&gt;0,tax_on_gains_already_charged&gt;0),1,0)</f>
        <v>0</v>
      </c>
    </row>
    <row r="276" spans="1:12" ht="13" x14ac:dyDescent="0.3">
      <c r="A276" s="2036" t="s">
        <v>5303</v>
      </c>
      <c r="B276" s="978"/>
      <c r="C276" s="2652" t="s">
        <v>6963</v>
      </c>
      <c r="D276" s="2610"/>
      <c r="E276" s="2610"/>
      <c r="F276" s="2610"/>
      <c r="G276" s="2610"/>
      <c r="H276" s="2610"/>
      <c r="I276" s="2610"/>
      <c r="J276" s="2059">
        <f>Total_IT_CG_class4_due_pre</f>
        <v>0</v>
      </c>
      <c r="K276" s="178"/>
      <c r="L276" s="1080">
        <f>IF(TRF_charge&gt;0,0,IF(AND(OR(Taxable_CG&gt;0,tax_on_gains_already_charged+CG_trust_tax&gt;0),IT_plus_class4+total_CG_due&gt;=total_tax_paid,NIC_total&gt;0,NIC2_amount&gt;0,NIC2_amount=NIC_total,CG_repayable&gt;0),1,0))</f>
        <v>0</v>
      </c>
    </row>
    <row r="277" spans="1:12" ht="13" x14ac:dyDescent="0.3">
      <c r="A277" s="2414" t="s">
        <v>6606</v>
      </c>
      <c r="B277" s="1079"/>
      <c r="C277" s="2633" t="s">
        <v>9681</v>
      </c>
      <c r="D277" s="2634"/>
      <c r="E277" s="2634"/>
      <c r="F277" s="2634"/>
      <c r="G277" s="2634"/>
      <c r="H277" s="2634"/>
      <c r="I277" s="2634"/>
      <c r="J277" s="2064"/>
      <c r="K277" s="1078"/>
      <c r="L277" s="1078">
        <f>IF(TRF_charge=0,0,IF(AND(OR(Taxable_CG&gt;0,tax_on_gains_already_charged+CG_trust_tax&gt;0),IT_plus_class4+total_CG_due&gt;=total_tax_paid,NIC_total&gt;0,NIC2_amount&gt;0,NIC2_amount=NIC_total,CG_repayable&gt;0),1,0))</f>
        <v>0</v>
      </c>
    </row>
    <row r="278" spans="1:12" ht="13" x14ac:dyDescent="0.3">
      <c r="A278" s="2414"/>
      <c r="B278" s="1079"/>
      <c r="C278" s="2635" t="s">
        <v>9680</v>
      </c>
      <c r="D278" s="2636"/>
      <c r="E278" s="2636"/>
      <c r="F278" s="2636"/>
      <c r="G278" s="2636"/>
      <c r="H278" s="2636"/>
      <c r="I278" s="2636"/>
      <c r="J278" s="2065">
        <f>Total_IT_CG_class4_due_pre</f>
        <v>0</v>
      </c>
      <c r="K278" s="1078"/>
      <c r="L278" s="1078">
        <f>IF(TRF_charge=0,0,IF(AND(OR(Taxable_CG&gt;0,tax_on_gains_already_charged+CG_trust_tax&gt;0),IT_plus_class4+total_CG_due&gt;=total_tax_paid,NIC_total&gt;0,NIC2_amount&gt;0,NIC2_amount=NIC_total,CG_repayable&gt;0),1,0))</f>
        <v>0</v>
      </c>
    </row>
    <row r="279" spans="1:12" ht="13" x14ac:dyDescent="0.3">
      <c r="A279" s="2376" t="s">
        <v>6606</v>
      </c>
      <c r="B279" s="978"/>
      <c r="C279" s="2652" t="s">
        <v>6964</v>
      </c>
      <c r="D279" s="2610"/>
      <c r="E279" s="2610"/>
      <c r="F279" s="2610"/>
      <c r="G279" s="2610"/>
      <c r="H279" s="2610"/>
      <c r="I279" s="2610"/>
      <c r="J279" s="2059">
        <f>Total_IT_CG_class4_due_pre</f>
        <v>0</v>
      </c>
      <c r="K279" s="178"/>
      <c r="L279" s="1080">
        <f>IF(TRF_charge&gt;0,0,IF(AND(OR(Taxable_CG&gt;0,tax_on_gains_already_charged+CG_trust_tax&gt;0),IT_plus_class4+total_CG_due&gt;=total_tax_paid,NIC_total&gt;0,NIC2_amount=0,CG_repayable&gt;0),1,0))</f>
        <v>0</v>
      </c>
    </row>
    <row r="280" spans="1:12" ht="13" x14ac:dyDescent="0.3">
      <c r="A280" s="2414" t="s">
        <v>6606</v>
      </c>
      <c r="B280" s="1079"/>
      <c r="C280" s="2633" t="s">
        <v>9682</v>
      </c>
      <c r="D280" s="2634"/>
      <c r="E280" s="2634"/>
      <c r="F280" s="2634"/>
      <c r="G280" s="2634"/>
      <c r="H280" s="2634"/>
      <c r="I280" s="2634"/>
      <c r="J280" s="2064"/>
      <c r="K280" s="1078"/>
      <c r="L280" s="1078">
        <f>IF(TRF_charge=0,0,IF(AND(OR(Taxable_CG&gt;0,tax_on_gains_already_charged+CG_trust_tax&gt;0),IT_plus_class4+total_CG_due&gt;=total_tax_paid,NIC_total&gt;0,NIC2_amount=0,CG_repayable&gt;0),1,0))</f>
        <v>0</v>
      </c>
    </row>
    <row r="281" spans="1:12" ht="13" x14ac:dyDescent="0.3">
      <c r="A281" s="2414"/>
      <c r="B281" s="1079"/>
      <c r="C281" s="2635" t="s">
        <v>9680</v>
      </c>
      <c r="D281" s="2636"/>
      <c r="E281" s="2636"/>
      <c r="F281" s="2636"/>
      <c r="G281" s="2636"/>
      <c r="H281" s="2636"/>
      <c r="I281" s="2636"/>
      <c r="J281" s="2065">
        <f>Total_IT_CG_class4_due_pre</f>
        <v>0</v>
      </c>
      <c r="K281" s="1078"/>
      <c r="L281" s="1078">
        <f>IF(TRF_charge=0,0,IF(AND(OR(Taxable_CG&gt;0,tax_on_gains_already_charged+CG_trust_tax&gt;0),IT_plus_class4+total_CG_due&gt;=total_tax_paid,NIC_total&gt;0,NIC2_amount=0,CG_repayable&gt;0),1,0))</f>
        <v>0</v>
      </c>
    </row>
    <row r="282" spans="1:12" ht="13" x14ac:dyDescent="0.3">
      <c r="A282" s="2376" t="s">
        <v>6606</v>
      </c>
      <c r="B282" s="978"/>
      <c r="C282" s="2652" t="s">
        <v>6965</v>
      </c>
      <c r="D282" s="2610"/>
      <c r="E282" s="2610"/>
      <c r="F282" s="2610"/>
      <c r="G282" s="2610"/>
      <c r="H282" s="2610"/>
      <c r="I282" s="2610"/>
      <c r="J282" s="2059">
        <f>Total_IT_CG_class4_due_pre</f>
        <v>0</v>
      </c>
      <c r="K282" s="178"/>
      <c r="L282" s="1080">
        <f>IF(TRF_charge&gt;0,0,IF(AND(OR(Taxable_CG&gt;0,tax_on_gains_already_charged+CG_trust_tax&gt;0),IT_plus_class4+total_CG_due&gt;=total_tax_paid,NIC_total&gt;0,NIC2_amount&gt;0,NIC2_amount&lt;NIC_total,CG_repayable&gt;0),1,0))</f>
        <v>0</v>
      </c>
    </row>
    <row r="283" spans="1:12" ht="13" x14ac:dyDescent="0.3">
      <c r="A283" s="2414" t="s">
        <v>6606</v>
      </c>
      <c r="B283" s="1079"/>
      <c r="C283" s="2633" t="s">
        <v>9683</v>
      </c>
      <c r="D283" s="2634"/>
      <c r="E283" s="2634"/>
      <c r="F283" s="2634"/>
      <c r="G283" s="2634"/>
      <c r="H283" s="2634"/>
      <c r="I283" s="2634"/>
      <c r="J283" s="2064"/>
      <c r="K283" s="1078"/>
      <c r="L283" s="1078">
        <f>IF(TRF_charge=0,0,IF(AND(OR(Taxable_CG&gt;0,tax_on_gains_already_charged+CG_trust_tax&gt;0),IT_plus_class4+total_CG_due&gt;=total_tax_paid,NIC_total&gt;0,NIC2_amount&gt;0,NIC2_amount&lt;NIC_total,CG_repayable&gt;0),1,0))</f>
        <v>0</v>
      </c>
    </row>
    <row r="284" spans="1:12" ht="13" x14ac:dyDescent="0.3">
      <c r="A284" s="2414"/>
      <c r="B284" s="1079"/>
      <c r="C284" s="2635" t="s">
        <v>9684</v>
      </c>
      <c r="D284" s="2636"/>
      <c r="E284" s="2636"/>
      <c r="F284" s="2636"/>
      <c r="G284" s="2636"/>
      <c r="H284" s="2636"/>
      <c r="I284" s="2636"/>
      <c r="J284" s="2065">
        <f>Total_IT_CG_class4_due_pre</f>
        <v>0</v>
      </c>
      <c r="K284" s="1078"/>
      <c r="L284" s="1078">
        <f>IF(TRF_charge=0,0,IF(AND(OR(Taxable_CG&gt;0,tax_on_gains_already_charged+CG_trust_tax&gt;0),IT_plus_class4+total_CG_due&gt;=total_tax_paid,NIC_total&gt;0,NIC2_amount&gt;0,NIC2_amount&lt;NIC_total,CG_repayable&gt;0),1,0))</f>
        <v>0</v>
      </c>
    </row>
    <row r="285" spans="1:12" ht="13" x14ac:dyDescent="0.3">
      <c r="A285" s="2376" t="s">
        <v>6606</v>
      </c>
      <c r="C285" s="2652" t="s">
        <v>6966</v>
      </c>
      <c r="D285" s="2610"/>
      <c r="E285" s="2610"/>
      <c r="F285" s="2610"/>
      <c r="G285" s="2610"/>
      <c r="H285" s="2043"/>
      <c r="I285" s="2043"/>
      <c r="J285" s="2059">
        <f>Total_IT_CG_class4_due_pre</f>
        <v>0</v>
      </c>
      <c r="L285" s="1078">
        <f>IF(TRF_charge&gt;0,0,IF(AND(OR(Taxable_CG&gt;0,tax_on_gains_already_charged+CG_trust_tax&gt;0),IT_plus_class4+total_CG_due&gt;=total_tax_paid,NIC_total=0,CG_repayable&gt;0),1,0))</f>
        <v>0</v>
      </c>
    </row>
    <row r="286" spans="1:12" ht="13" x14ac:dyDescent="0.3">
      <c r="A286" s="2039" t="s">
        <v>6606</v>
      </c>
      <c r="B286" s="1079"/>
      <c r="C286" s="2627" t="s">
        <v>9685</v>
      </c>
      <c r="D286" s="2628"/>
      <c r="E286" s="2628"/>
      <c r="F286" s="2628"/>
      <c r="G286" s="2628"/>
      <c r="H286" s="2628"/>
      <c r="I286" s="2628"/>
      <c r="J286" s="2061">
        <f>Total_IT_CG_class4_due_pre</f>
        <v>0</v>
      </c>
      <c r="K286" s="1078"/>
      <c r="L286" s="1078">
        <f>IF(TRF_charge=0,0,IF(AND(OR(Taxable_CG&gt;0,tax_on_gains_already_charged+CG_trust_tax&gt;0),IT_plus_class4+total_CG_due&gt;=total_tax_paid,NIC_total=0,CG_repayable&gt;0),1,0))</f>
        <v>0</v>
      </c>
    </row>
    <row r="287" spans="1:12" ht="13" x14ac:dyDescent="0.3">
      <c r="A287" s="2103" t="s">
        <v>6784</v>
      </c>
      <c r="C287" s="2"/>
      <c r="D287" s="2"/>
      <c r="H287" s="12"/>
      <c r="J287" s="170"/>
      <c r="L287">
        <f>IF(CG_repayable&gt;0,1,0)</f>
        <v>0</v>
      </c>
    </row>
    <row r="288" spans="1:12" ht="13" x14ac:dyDescent="0.3">
      <c r="A288" s="2036" t="s">
        <v>6785</v>
      </c>
      <c r="C288" s="1" t="s">
        <v>6811</v>
      </c>
      <c r="D288" s="2651" t="s">
        <v>6962</v>
      </c>
      <c r="E288" s="2651"/>
      <c r="F288" s="2651"/>
      <c r="G288" s="2651"/>
      <c r="H288" s="2651"/>
      <c r="I288" s="2651"/>
      <c r="J288" s="170"/>
      <c r="L288">
        <f>IF(CG_repayable&gt;0,1,0)</f>
        <v>0</v>
      </c>
    </row>
    <row r="289" spans="1:12" ht="13" x14ac:dyDescent="0.3">
      <c r="A289" s="2036" t="s">
        <v>5306</v>
      </c>
      <c r="C289" s="1"/>
      <c r="D289" s="2651" t="s">
        <v>6968</v>
      </c>
      <c r="E289" s="2651"/>
      <c r="F289" s="2651"/>
      <c r="G289" s="2651"/>
      <c r="H289" s="2651"/>
      <c r="I289" s="2651"/>
      <c r="J289" s="170">
        <f>CG_repayable</f>
        <v>0</v>
      </c>
      <c r="L289" s="1078">
        <f>IF(TRF_charge&gt;0,0,IF(AND(IT_plus_class4&gt;=total_tax_paid,NIC_total&gt;0,NIC2_amount&gt;0,NIC2_amount=NIC_total,CG_repayable&gt;0),1,0))</f>
        <v>0</v>
      </c>
    </row>
    <row r="290" spans="1:12" ht="13" x14ac:dyDescent="0.3">
      <c r="A290" s="2414" t="s">
        <v>6606</v>
      </c>
      <c r="B290" s="1079"/>
      <c r="C290" s="1079"/>
      <c r="D290" s="2631" t="s">
        <v>9686</v>
      </c>
      <c r="E290" s="2631"/>
      <c r="F290" s="2631"/>
      <c r="G290" s="2631"/>
      <c r="H290" s="2631"/>
      <c r="I290" s="2631"/>
      <c r="J290" s="1087"/>
      <c r="K290" s="1078"/>
      <c r="L290" s="1078">
        <f>IF(TRF_charge=0,0,IF(AND(IT_plus_class4&gt;=total_tax_paid,NIC_total&gt;0,NIC2_amount&gt;0,NIC2_amount=NIC_total,CG_repayable&gt;0),1,0))</f>
        <v>0</v>
      </c>
    </row>
    <row r="291" spans="1:12" ht="13" x14ac:dyDescent="0.3">
      <c r="A291" s="2414"/>
      <c r="B291" s="1079"/>
      <c r="C291" s="1079"/>
      <c r="D291" s="2631" t="s">
        <v>9680</v>
      </c>
      <c r="E291" s="2631"/>
      <c r="F291" s="2631"/>
      <c r="G291" s="2631"/>
      <c r="H291" s="2631"/>
      <c r="I291" s="2631"/>
      <c r="J291" s="1087">
        <f>CG_repayable</f>
        <v>0</v>
      </c>
      <c r="K291" s="1078"/>
      <c r="L291" s="1078">
        <f>IF(TRF_charge=0,0,IF(AND(IT_plus_class4&gt;=total_tax_paid,NIC_total&gt;0,NIC2_amount&gt;0,NIC2_amount=NIC_total,CG_repayable&gt;0),1,0))</f>
        <v>0</v>
      </c>
    </row>
    <row r="292" spans="1:12" ht="13" x14ac:dyDescent="0.3">
      <c r="A292" s="519" t="s">
        <v>6606</v>
      </c>
      <c r="C292" s="1"/>
      <c r="D292" s="2651" t="s">
        <v>6969</v>
      </c>
      <c r="E292" s="2651"/>
      <c r="F292" s="2651"/>
      <c r="G292" s="2651"/>
      <c r="H292" s="2651"/>
      <c r="I292" s="2651"/>
      <c r="J292" s="170">
        <f>CG_repayable</f>
        <v>0</v>
      </c>
      <c r="L292" s="1078">
        <f>IF(TRF_charge&gt;0,0,IF(AND(IT_plus_class4&gt;=total_tax_paid,NIC_total&gt;0,NIC2_amount=0,CG_repayable&gt;0),1,0))</f>
        <v>0</v>
      </c>
    </row>
    <row r="293" spans="1:12" ht="13" x14ac:dyDescent="0.3">
      <c r="A293" s="2414" t="s">
        <v>6606</v>
      </c>
      <c r="B293" s="1079"/>
      <c r="C293" s="1079"/>
      <c r="D293" s="2631" t="s">
        <v>9687</v>
      </c>
      <c r="E293" s="2631"/>
      <c r="F293" s="2631"/>
      <c r="G293" s="2631"/>
      <c r="H293" s="2631"/>
      <c r="I293" s="2631"/>
      <c r="J293" s="1087"/>
      <c r="K293" s="1078"/>
      <c r="L293" s="1078">
        <f>IF(TRF_charge=0,0,IF(AND(IT_plus_class4&gt;=total_tax_paid,NIC_total&gt;0,NIC2_amount=0,CG_repayable&gt;0),1,0))</f>
        <v>0</v>
      </c>
    </row>
    <row r="294" spans="1:12" ht="13" x14ac:dyDescent="0.3">
      <c r="A294" s="2414"/>
      <c r="B294" s="1079"/>
      <c r="C294" s="1079"/>
      <c r="D294" s="2631" t="s">
        <v>9680</v>
      </c>
      <c r="E294" s="2631"/>
      <c r="F294" s="2631"/>
      <c r="G294" s="2631"/>
      <c r="H294" s="2631"/>
      <c r="I294" s="2631"/>
      <c r="J294" s="1087">
        <f>CG_repayable</f>
        <v>0</v>
      </c>
      <c r="K294" s="1078"/>
      <c r="L294" s="1078">
        <f>IF(TRF_charge=0,0,IF(AND(IT_plus_class4&gt;=total_tax_paid,NIC_total&gt;0,NIC2_amount=0,CG_repayable&gt;0),1,0))</f>
        <v>0</v>
      </c>
    </row>
    <row r="295" spans="1:12" ht="13" x14ac:dyDescent="0.3">
      <c r="A295" s="519" t="s">
        <v>6606</v>
      </c>
      <c r="C295" s="1"/>
      <c r="D295" s="2651" t="s">
        <v>6970</v>
      </c>
      <c r="E295" s="2651"/>
      <c r="F295" s="2651"/>
      <c r="G295" s="2651"/>
      <c r="H295" s="2651"/>
      <c r="I295" s="2651"/>
      <c r="J295" s="170">
        <f>CG_repayable</f>
        <v>0</v>
      </c>
      <c r="L295" s="1078">
        <f>IF(TRF_charge&gt;0,0,IF(AND(NIC_total&gt;0,NIC2_amount&gt;0,NIC2_amount&lt;NIC_total,CG_repayable&gt;0),1,0))</f>
        <v>0</v>
      </c>
    </row>
    <row r="296" spans="1:12" ht="13" x14ac:dyDescent="0.3">
      <c r="A296" s="2414" t="s">
        <v>6606</v>
      </c>
      <c r="B296" s="1079"/>
      <c r="C296" s="1079"/>
      <c r="D296" s="2631" t="s">
        <v>9686</v>
      </c>
      <c r="E296" s="2631"/>
      <c r="F296" s="2631"/>
      <c r="G296" s="2631"/>
      <c r="H296" s="2631"/>
      <c r="I296" s="2631"/>
      <c r="J296" s="1087"/>
      <c r="K296" s="1078"/>
      <c r="L296" s="1078">
        <f>IF(TRF_charge=0,0,IF(AND(NIC_total&gt;0,NIC2_amount&gt;0,NIC2_amount&lt;NIC_total,CG_repayable&gt;0),1,0))</f>
        <v>0</v>
      </c>
    </row>
    <row r="297" spans="1:12" ht="13" x14ac:dyDescent="0.3">
      <c r="A297" s="2414"/>
      <c r="B297" s="1079"/>
      <c r="C297" s="1079"/>
      <c r="D297" s="2631" t="s">
        <v>9684</v>
      </c>
      <c r="E297" s="2631"/>
      <c r="F297" s="2631"/>
      <c r="G297" s="2631"/>
      <c r="H297" s="2631"/>
      <c r="I297" s="2631"/>
      <c r="J297" s="1087">
        <f>CG_repayable</f>
        <v>0</v>
      </c>
      <c r="K297" s="1078"/>
      <c r="L297" s="1078">
        <f>IF(TRF_charge=0,0,IF(AND(NIC_total&gt;0,NIC2_amount&gt;0,NIC2_amount&lt;NIC_total,CG_repayable&gt;0),1,0))</f>
        <v>0</v>
      </c>
    </row>
    <row r="298" spans="1:12" ht="13" x14ac:dyDescent="0.3">
      <c r="A298" s="519" t="s">
        <v>6606</v>
      </c>
      <c r="C298" s="1"/>
      <c r="D298" s="2651" t="s">
        <v>6967</v>
      </c>
      <c r="E298" s="2651"/>
      <c r="F298" s="2651"/>
      <c r="G298" s="2651"/>
      <c r="H298" s="2651"/>
      <c r="I298" s="2651"/>
      <c r="J298" s="170">
        <f>CG_repayable</f>
        <v>0</v>
      </c>
      <c r="L298" s="1078">
        <f>IF(TRF_charge&gt;0,0,IF(AND(IT_plus_class4&gt;=total_tax_paid,NIC_total=0,CG_repayable&gt;0),1,0))</f>
        <v>0</v>
      </c>
    </row>
    <row r="299" spans="1:12" ht="13" x14ac:dyDescent="0.3">
      <c r="A299" s="2414" t="s">
        <v>6606</v>
      </c>
      <c r="B299" s="1079"/>
      <c r="C299" s="1079"/>
      <c r="D299" s="2631" t="s">
        <v>9688</v>
      </c>
      <c r="E299" s="2631"/>
      <c r="F299" s="2631"/>
      <c r="G299" s="2631"/>
      <c r="H299" s="2631"/>
      <c r="I299" s="2631"/>
      <c r="J299" s="1087">
        <f>CG_repayable</f>
        <v>0</v>
      </c>
      <c r="K299" s="1078"/>
      <c r="L299" s="1078">
        <f>IF(TRF_charge=0,0,IF(AND(IT_plus_class4&gt;=total_tax_paid,NIC_total=0,CG_repayable&gt;0),1,0))</f>
        <v>0</v>
      </c>
    </row>
    <row r="300" spans="1:12" ht="13" x14ac:dyDescent="0.3">
      <c r="A300" s="2036" t="s">
        <v>6794</v>
      </c>
      <c r="C300" s="2"/>
      <c r="D300" s="2"/>
      <c r="H300" s="12"/>
      <c r="J300" s="170"/>
      <c r="L300">
        <f>IF(CG_repayable&gt;0,1,0)</f>
        <v>0</v>
      </c>
    </row>
    <row r="301" spans="1:12" ht="13" x14ac:dyDescent="0.3">
      <c r="A301" s="2036" t="s">
        <v>5309</v>
      </c>
      <c r="C301" s="2647" t="s">
        <v>6947</v>
      </c>
      <c r="D301" s="2648"/>
      <c r="E301" s="2648"/>
      <c r="F301" s="2648"/>
      <c r="G301" s="2117"/>
      <c r="H301" s="2117"/>
      <c r="I301" s="2107"/>
      <c r="J301" s="2115">
        <f>Total_IT_CG_class4_due</f>
        <v>0</v>
      </c>
      <c r="L301" s="1078">
        <f>IF(AND(OR(Taxable_CG&gt;0,tax_on_gains_already_charged+CG_trust_tax&gt;0),total_tax_paid&gt;IT_plus_class4+total_CG_due),1,0)</f>
        <v>0</v>
      </c>
    </row>
    <row r="302" spans="1:12" ht="13" x14ac:dyDescent="0.3">
      <c r="A302" s="519" t="s">
        <v>6606</v>
      </c>
      <c r="B302" s="978"/>
      <c r="C302" s="2647" t="s">
        <v>6963</v>
      </c>
      <c r="D302" s="2648"/>
      <c r="E302" s="2648"/>
      <c r="F302" s="2648"/>
      <c r="G302" s="2648"/>
      <c r="H302" s="2648"/>
      <c r="I302" s="2648"/>
      <c r="J302" s="2115">
        <f>Total_IT_CG_class4_due</f>
        <v>0</v>
      </c>
      <c r="K302" s="178"/>
      <c r="L302" s="1080">
        <f>IF(TRF_charge&gt;0,0,IF(AND(OR(Taxable_CG&gt;0,tax_on_gains_already_charged+CG_trust_tax&gt;0),IT_plus_class4+total_CG_due&gt;=total_tax_paid,NIC_total&gt;0,NIC2_amount&gt;0,NIC2_amount=NIC_total),1,0))</f>
        <v>0</v>
      </c>
    </row>
    <row r="303" spans="1:12" ht="13" x14ac:dyDescent="0.3">
      <c r="A303" s="2414" t="s">
        <v>6606</v>
      </c>
      <c r="B303" s="1079"/>
      <c r="C303" s="2633" t="s">
        <v>9683</v>
      </c>
      <c r="D303" s="2634"/>
      <c r="E303" s="2634"/>
      <c r="F303" s="2634"/>
      <c r="G303" s="2634"/>
      <c r="H303" s="2634"/>
      <c r="I303" s="2634"/>
      <c r="J303" s="2064"/>
      <c r="K303" s="1078"/>
      <c r="L303" s="1078">
        <f>IF(TRF_charge=0,0,IF(AND(OR(Taxable_CG&gt;0,tax_on_gains_already_charged+CG_trust_tax&gt;0,TRF_charge&gt;0),IT_plus_class4+total_CG_due&gt;=total_tax_paid,NIC_total&gt;0,NIC2_amount&gt;0,NIC2_amount=NIC_total),1,0))</f>
        <v>0</v>
      </c>
    </row>
    <row r="304" spans="1:12" ht="13" x14ac:dyDescent="0.3">
      <c r="A304" s="2414"/>
      <c r="B304" s="1079"/>
      <c r="C304" s="2635" t="s">
        <v>9680</v>
      </c>
      <c r="D304" s="2636"/>
      <c r="E304" s="2636"/>
      <c r="F304" s="2636"/>
      <c r="G304" s="2636"/>
      <c r="H304" s="2636"/>
      <c r="I304" s="2636"/>
      <c r="J304" s="2065">
        <f>Total_IT_CG_class4_due</f>
        <v>0</v>
      </c>
      <c r="K304" s="1078"/>
      <c r="L304" s="1078">
        <f>IF(TRF_charge=0,0,IF(AND(OR(Taxable_CG&gt;0,tax_on_gains_already_charged+CG_trust_tax&gt;0,TRF_charge&gt;0),IT_plus_class4+total_CG_due&gt;=total_tax_paid,NIC_total&gt;0,NIC2_amount&gt;0,NIC2_amount=NIC_total),1,0))</f>
        <v>0</v>
      </c>
    </row>
    <row r="305" spans="1:12" ht="13" x14ac:dyDescent="0.3">
      <c r="A305" s="519" t="s">
        <v>6606</v>
      </c>
      <c r="B305" s="978"/>
      <c r="C305" s="2647" t="s">
        <v>6964</v>
      </c>
      <c r="D305" s="2648"/>
      <c r="E305" s="2648"/>
      <c r="F305" s="2648"/>
      <c r="G305" s="2648"/>
      <c r="H305" s="2648"/>
      <c r="I305" s="2648"/>
      <c r="J305" s="2115">
        <f>Total_IT_CG_class4_due</f>
        <v>0</v>
      </c>
      <c r="K305" s="178"/>
      <c r="L305" s="1080">
        <f>IF(TRF_charge&gt;0,0,IF(AND(OR(Taxable_CG&gt;0,tax_on_gains_already_charged+CG_trust_tax&gt;0),IT_plus_class4+total_CG_due&gt;=total_tax_paid,NIC_total&gt;0,NIC2_amount=0),1,0))</f>
        <v>0</v>
      </c>
    </row>
    <row r="306" spans="1:12" ht="13" x14ac:dyDescent="0.3">
      <c r="A306" s="2414" t="s">
        <v>6606</v>
      </c>
      <c r="B306" s="1079"/>
      <c r="C306" s="2633" t="s">
        <v>9682</v>
      </c>
      <c r="D306" s="2634"/>
      <c r="E306" s="2634"/>
      <c r="F306" s="2634"/>
      <c r="G306" s="2634"/>
      <c r="H306" s="2634"/>
      <c r="I306" s="2634"/>
      <c r="J306" s="2064"/>
      <c r="K306" s="1078"/>
      <c r="L306" s="1078">
        <f>IF(TRF_charge=0,0,IF(AND(OR(Taxable_CG&gt;0,tax_on_gains_already_charged+CG_trust_tax&gt;0),IT_plus_class4+total_CG_due&gt;=total_tax_paid,NIC_total&gt;0,NIC2_amount=0),1,0))</f>
        <v>0</v>
      </c>
    </row>
    <row r="307" spans="1:12" ht="13" x14ac:dyDescent="0.3">
      <c r="A307" s="2414"/>
      <c r="B307" s="1079"/>
      <c r="C307" s="2635" t="s">
        <v>9680</v>
      </c>
      <c r="D307" s="2636"/>
      <c r="E307" s="2636"/>
      <c r="F307" s="2636"/>
      <c r="G307" s="2636"/>
      <c r="H307" s="2636"/>
      <c r="I307" s="2636"/>
      <c r="J307" s="2065">
        <f>Total_IT_CG_class4_due</f>
        <v>0</v>
      </c>
      <c r="K307" s="1078"/>
      <c r="L307" s="1078">
        <f>IF(TRF_charge=0,0,IF(AND(OR(Taxable_CG&gt;0,tax_on_gains_already_charged+CG_trust_tax&gt;0),IT_plus_class4+total_CG_due&gt;=total_tax_paid,NIC_total&gt;0,NIC2_amount=0),1,0))</f>
        <v>0</v>
      </c>
    </row>
    <row r="308" spans="1:12" ht="13" x14ac:dyDescent="0.3">
      <c r="A308" s="519" t="s">
        <v>6606</v>
      </c>
      <c r="B308" s="978"/>
      <c r="C308" s="2647" t="s">
        <v>6965</v>
      </c>
      <c r="D308" s="2648"/>
      <c r="E308" s="2648"/>
      <c r="F308" s="2648"/>
      <c r="G308" s="2648"/>
      <c r="H308" s="2648"/>
      <c r="I308" s="2648"/>
      <c r="J308" s="2115">
        <f>Total_IT_CG_class4_due</f>
        <v>0</v>
      </c>
      <c r="K308" s="178"/>
      <c r="L308" s="1080">
        <f>IF(TRF_charge&gt;0,0,IF(AND(OR(Taxable_CG&gt;0,tax_on_gains_already_charged+CG_trust_tax&gt;0),IT_plus_class4+total_CG_due&gt;=total_tax_paid,NIC_total&gt;0,NIC2_amount&gt;0,NIC2_amount&lt;NIC_total),1,0))</f>
        <v>0</v>
      </c>
    </row>
    <row r="309" spans="1:12" ht="13" x14ac:dyDescent="0.3">
      <c r="A309" s="2414" t="s">
        <v>6606</v>
      </c>
      <c r="B309" s="1079"/>
      <c r="C309" s="2633" t="s">
        <v>9683</v>
      </c>
      <c r="D309" s="2634"/>
      <c r="E309" s="2634"/>
      <c r="F309" s="2634"/>
      <c r="G309" s="2634"/>
      <c r="H309" s="2634"/>
      <c r="I309" s="2634"/>
      <c r="J309" s="2064"/>
      <c r="K309" s="1078"/>
      <c r="L309" s="1078">
        <f>IF(TRF_charge=0,0,IF(AND(OR(Taxable_CG&gt;0,tax_on_gains_already_charged+CG_trust_tax&gt;0),IT_plus_class4+total_CG_due&gt;=total_tax_paid,NIC_total&gt;0,NIC2_amount&gt;0,NIC2_amount&lt;NIC_total),1,0))</f>
        <v>0</v>
      </c>
    </row>
    <row r="310" spans="1:12" ht="13" x14ac:dyDescent="0.3">
      <c r="A310" s="2414"/>
      <c r="B310" s="1079"/>
      <c r="C310" s="2635" t="s">
        <v>9684</v>
      </c>
      <c r="D310" s="2636"/>
      <c r="E310" s="2636"/>
      <c r="F310" s="2636"/>
      <c r="G310" s="2636"/>
      <c r="H310" s="2636"/>
      <c r="I310" s="2636"/>
      <c r="J310" s="2065">
        <f>Total_IT_CG_class4_due</f>
        <v>0</v>
      </c>
      <c r="K310" s="1078"/>
      <c r="L310" s="1078">
        <f>IF(TRF_charge=0,0,IF(AND(OR(Taxable_CG&gt;0,tax_on_gains_already_charged+CG_trust_tax&gt;0),IT_plus_class4+total_CG_due&gt;=total_tax_paid,NIC_total&gt;0,NIC2_amount&gt;0,NIC2_amount&lt;NIC_total),1,0))</f>
        <v>0</v>
      </c>
    </row>
    <row r="311" spans="1:12" ht="13" x14ac:dyDescent="0.3">
      <c r="A311" s="2037" t="s">
        <v>6606</v>
      </c>
      <c r="C311" s="2647" t="str">
        <f>IF(NIC_total&gt;0,"Treth Incwm, Treth Enillion Cyfalaf a Chyfraniadau Yswiriant Gwladol Dosbarth","Treth Incwm a Threth Enillion Cyfalaf sy'n ddyledus")</f>
        <v>Treth Incwm a Threth Enillion Cyfalaf sy'n ddyledus</v>
      </c>
      <c r="D311" s="2648"/>
      <c r="E311" s="2648"/>
      <c r="F311" s="2648"/>
      <c r="G311" s="2648"/>
      <c r="H311" s="2648"/>
      <c r="I311" s="2648"/>
      <c r="J311" s="2115">
        <f>Total_IT_CG_class4_due</f>
        <v>0</v>
      </c>
      <c r="L311" s="1078">
        <f>IF(TRF_charge&gt;0,0,IF(AND(OR(Taxable_CG&gt;0,tax_on_gains_already_charged+CG_trust_tax&gt;0),IT_plus_class4+total_CG_due&gt;=total_tax_paid,NIC_total=0),1,0))</f>
        <v>0</v>
      </c>
    </row>
    <row r="312" spans="1:12" ht="13" x14ac:dyDescent="0.3">
      <c r="A312" s="2039" t="s">
        <v>6606</v>
      </c>
      <c r="B312" s="1079"/>
      <c r="C312" s="2627" t="s">
        <v>9685</v>
      </c>
      <c r="D312" s="2628"/>
      <c r="E312" s="2628"/>
      <c r="F312" s="2628"/>
      <c r="G312" s="2628"/>
      <c r="H312" s="2628"/>
      <c r="I312" s="2628"/>
      <c r="J312" s="2061">
        <f>Total_IT_CG_class4_due</f>
        <v>0</v>
      </c>
      <c r="K312" s="1078"/>
      <c r="L312" s="1078">
        <f>IF(TRF_charge=0,0,IF(AND(OR(Taxable_CG&gt;0,tax_on_gains_already_charged+CG_trust_tax&gt;0),IT_plus_class4+total_CG_due&gt;=total_tax_paid,NIC_total=0),1,0))</f>
        <v>0</v>
      </c>
    </row>
    <row r="313" spans="1:12" ht="13" x14ac:dyDescent="0.3">
      <c r="A313" s="2103" t="s">
        <v>6796</v>
      </c>
      <c r="C313" s="2"/>
      <c r="D313" s="2"/>
      <c r="H313" s="12"/>
      <c r="J313" s="170"/>
      <c r="L313">
        <f>IF(OR(total_CG_due&gt;0,CG_not_repayable&gt;0),1,0)</f>
        <v>0</v>
      </c>
    </row>
    <row r="314" spans="1:12" ht="13" x14ac:dyDescent="0.3">
      <c r="A314" s="2036" t="s">
        <v>5312</v>
      </c>
      <c r="C314" s="2657" t="s">
        <v>6971</v>
      </c>
      <c r="D314" s="2658"/>
      <c r="E314" s="2658"/>
      <c r="F314" s="2658"/>
      <c r="G314" s="2107"/>
      <c r="H314" s="2107"/>
      <c r="I314" s="2118">
        <f>CG_not_repayable</f>
        <v>0</v>
      </c>
      <c r="J314" s="2108"/>
      <c r="L314">
        <f>IF(CG_not_repayable&gt;0,1,0)</f>
        <v>0</v>
      </c>
    </row>
    <row r="315" spans="1:12" ht="13" x14ac:dyDescent="0.3">
      <c r="A315" s="2036" t="s">
        <v>6798</v>
      </c>
      <c r="C315" s="2"/>
      <c r="D315" s="2"/>
      <c r="H315" s="12"/>
      <c r="J315" s="170"/>
      <c r="L315">
        <f>IF(AND(CG_not_repayable&gt;0,tax_already_refunded+unpaid_tax_bf&gt;0),1,0)</f>
        <v>0</v>
      </c>
    </row>
    <row r="316" spans="1:12" x14ac:dyDescent="0.25">
      <c r="A316" s="2036" t="s">
        <v>5315</v>
      </c>
      <c r="C316" s="1" t="s">
        <v>6811</v>
      </c>
      <c r="D316" s="2613" t="s">
        <v>6972</v>
      </c>
      <c r="E316" s="2613"/>
      <c r="F316" s="2613"/>
      <c r="I316" s="27"/>
      <c r="J316" s="82">
        <f>tax_already_refunded</f>
        <v>0</v>
      </c>
      <c r="L316">
        <f>IF(AND(tax_already_refunded&gt;0,total_tax_paid&gt;(IT_plus_class4+total_CG_due)),1,0)</f>
        <v>0</v>
      </c>
    </row>
    <row r="317" spans="1:12" x14ac:dyDescent="0.25">
      <c r="A317" s="2037" t="s">
        <v>6606</v>
      </c>
      <c r="C317" s="1" t="s">
        <v>6809</v>
      </c>
      <c r="D317" s="2613" t="s">
        <v>6972</v>
      </c>
      <c r="E317" s="2613"/>
      <c r="F317" s="2613"/>
      <c r="G317" s="2613"/>
      <c r="I317" s="27"/>
      <c r="J317" s="82">
        <f>tax_already_refunded</f>
        <v>0</v>
      </c>
      <c r="L317">
        <f>IF(AND(tax_already_refunded&gt;0,total_tax_paid&lt;=(IT_plus_class4+total_CG_due)),1,0)</f>
        <v>0</v>
      </c>
    </row>
    <row r="318" spans="1:12" x14ac:dyDescent="0.25">
      <c r="A318" s="2036" t="s">
        <v>5318</v>
      </c>
      <c r="C318" s="1" t="s">
        <v>6811</v>
      </c>
      <c r="D318" s="2613" t="s">
        <v>6973</v>
      </c>
      <c r="E318" s="2613"/>
      <c r="F318" s="2613"/>
      <c r="G318" s="2613"/>
      <c r="I318" s="27"/>
      <c r="J318" s="82">
        <f>unpaid_tax_bf</f>
        <v>0</v>
      </c>
      <c r="L318">
        <f>IF(AND(unpaid_tax_bf&gt;0,total_tax_paid&gt;(IT_plus_class4+total_CG_due)),1,0)</f>
        <v>0</v>
      </c>
    </row>
    <row r="319" spans="1:12" x14ac:dyDescent="0.25">
      <c r="A319" s="2037" t="s">
        <v>6606</v>
      </c>
      <c r="C319" s="1" t="s">
        <v>6809</v>
      </c>
      <c r="D319" s="2637" t="s">
        <v>6973</v>
      </c>
      <c r="E319" s="2637"/>
      <c r="F319" s="2637"/>
      <c r="G319" s="2637"/>
      <c r="I319" s="27"/>
      <c r="J319" s="82">
        <f>unpaid_tax_bf</f>
        <v>0</v>
      </c>
      <c r="L319">
        <f>IF(AND(unpaid_tax_bf&gt;0,total_tax_paid&lt;=(IT_plus_class4+total_CG_due)),1,0)</f>
        <v>0</v>
      </c>
    </row>
    <row r="320" spans="1:12" ht="13" x14ac:dyDescent="0.3">
      <c r="A320" s="2036" t="s">
        <v>5321</v>
      </c>
      <c r="B320" s="158"/>
      <c r="C320" s="2647" t="s">
        <v>6947</v>
      </c>
      <c r="D320" s="2648"/>
      <c r="E320" s="2648"/>
      <c r="F320" s="2648"/>
      <c r="G320" s="2107"/>
      <c r="H320" s="2107"/>
      <c r="I320" s="2107"/>
      <c r="J320" s="2108">
        <f>Total_tax_NIC_due</f>
        <v>0</v>
      </c>
      <c r="L320">
        <f>IF(AND(OR((tax_already_refunded+unpaid_tax_bf)&gt;0),total_tax_paid&gt;(IT_plus_class4+total_CG_due+tax_already_refunded+unpaid_tax_bf)),1,0)</f>
        <v>0</v>
      </c>
    </row>
    <row r="321" spans="1:12" ht="13" x14ac:dyDescent="0.3">
      <c r="A321" s="519" t="s">
        <v>6606</v>
      </c>
      <c r="C321" s="2647" t="s">
        <v>6974</v>
      </c>
      <c r="D321" s="2648"/>
      <c r="E321" s="2648"/>
      <c r="F321" s="2648"/>
      <c r="G321" s="2648"/>
      <c r="H321" s="2107"/>
      <c r="I321" s="2107"/>
      <c r="J321" s="2108">
        <f>Total_tax_NIC_due</f>
        <v>0</v>
      </c>
      <c r="L321" s="1078">
        <f>IF(TRF_charge&gt;0,0,IF(AND((tax_already_refunded+unpaid_tax_bf)&gt;0,NIC_total&gt;0,(IT_plus_class4+total_CG_due+tax_already_refunded+unpaid_tax_bf)&gt;=total_tax_paid),1,0))</f>
        <v>0</v>
      </c>
    </row>
    <row r="322" spans="1:12" ht="13" x14ac:dyDescent="0.3">
      <c r="A322" s="2414" t="s">
        <v>6606</v>
      </c>
      <c r="B322" s="1088"/>
      <c r="C322" s="2627" t="s">
        <v>9689</v>
      </c>
      <c r="D322" s="2628"/>
      <c r="E322" s="2628"/>
      <c r="F322" s="2628"/>
      <c r="G322" s="2628"/>
      <c r="H322" s="2067"/>
      <c r="I322" s="2067"/>
      <c r="J322" s="2055">
        <f>Total_tax_NIC_due</f>
        <v>0</v>
      </c>
      <c r="K322" s="1078"/>
      <c r="L322" s="1078">
        <f>IF(TRF_charge=0,0,IF(AND((tax_already_refunded+unpaid_tax_bf)&gt;0,NIC_total&gt;0,(IT_plus_class4+total_CG_due+tax_already_refunded+unpaid_tax_bf)&gt;=total_tax_paid),1,0))</f>
        <v>0</v>
      </c>
    </row>
    <row r="323" spans="1:12" ht="13" x14ac:dyDescent="0.3">
      <c r="A323" s="2037" t="s">
        <v>6606</v>
      </c>
      <c r="B323" s="158"/>
      <c r="C323" s="2647" t="s">
        <v>6975</v>
      </c>
      <c r="D323" s="2648"/>
      <c r="E323" s="2648"/>
      <c r="F323" s="2648"/>
      <c r="G323" s="2107"/>
      <c r="H323" s="2107"/>
      <c r="I323" s="2107"/>
      <c r="J323" s="2108">
        <f>Total_tax_NIC_due</f>
        <v>0</v>
      </c>
      <c r="L323" s="1078">
        <f>IF(TRF_charge&gt;0,0,IF(AND((tax_already_refunded+unpaid_tax_bf)&gt;0,NIC_total=0,(IT_plus_class4+total_CG_due+tax_already_refunded+unpaid_tax_bf)&gt;=total_tax_paid),1,0))</f>
        <v>0</v>
      </c>
    </row>
    <row r="324" spans="1:12" ht="13" x14ac:dyDescent="0.3">
      <c r="A324" s="2039" t="s">
        <v>6606</v>
      </c>
      <c r="B324" s="1088"/>
      <c r="C324" s="2627" t="s">
        <v>9690</v>
      </c>
      <c r="D324" s="2628"/>
      <c r="E324" s="2628"/>
      <c r="F324" s="2628"/>
      <c r="G324" s="2628"/>
      <c r="H324" s="2067"/>
      <c r="I324" s="2067"/>
      <c r="J324" s="2055">
        <f>Total_tax_NIC_due</f>
        <v>0</v>
      </c>
      <c r="K324" s="1078"/>
      <c r="L324" s="1078">
        <f>IF(TRF_charge=0,0,IF(AND((tax_already_refunded+unpaid_tax_bf)&gt;0,NIC_total=0,(IT_plus_class4+total_CG_due+tax_already_refunded+unpaid_tax_bf)&gt;=total_tax_paid),1,0))</f>
        <v>0</v>
      </c>
    </row>
    <row r="325" spans="1:12" x14ac:dyDescent="0.25">
      <c r="C325" s="178"/>
      <c r="D325" s="178"/>
    </row>
    <row r="326" spans="1:12" ht="13" x14ac:dyDescent="0.3">
      <c r="A326" s="2" t="s">
        <v>9628</v>
      </c>
      <c r="C326" s="178"/>
      <c r="D326" s="178"/>
    </row>
    <row r="327" spans="1:12" ht="13" x14ac:dyDescent="0.3">
      <c r="A327" s="2" t="s">
        <v>6803</v>
      </c>
      <c r="C327" s="178"/>
      <c r="D327" s="178"/>
    </row>
    <row r="328" spans="1:12" x14ac:dyDescent="0.25">
      <c r="C328" s="178"/>
      <c r="D328" s="178"/>
    </row>
    <row r="329" spans="1:12" ht="13" x14ac:dyDescent="0.3">
      <c r="A329" s="2" t="s">
        <v>9627</v>
      </c>
      <c r="C329" s="178"/>
      <c r="D329" s="178"/>
    </row>
    <row r="330" spans="1:12" x14ac:dyDescent="0.25">
      <c r="C330" s="178"/>
      <c r="D330" s="178"/>
    </row>
    <row r="331" spans="1:12" x14ac:dyDescent="0.25">
      <c r="C331" s="178"/>
      <c r="D331" s="178"/>
    </row>
    <row r="332" spans="1:12" x14ac:dyDescent="0.25">
      <c r="C332" s="178"/>
      <c r="D332" s="178"/>
    </row>
    <row r="333" spans="1:12" x14ac:dyDescent="0.25">
      <c r="C333" s="178"/>
      <c r="D333" s="178"/>
    </row>
    <row r="334" spans="1:12" x14ac:dyDescent="0.25">
      <c r="C334" s="178"/>
      <c r="D334" s="178"/>
    </row>
    <row r="335" spans="1:12" x14ac:dyDescent="0.25">
      <c r="C335" s="178"/>
      <c r="D335" s="178"/>
    </row>
    <row r="337" spans="1:4" ht="13" x14ac:dyDescent="0.3">
      <c r="A337" s="2"/>
      <c r="C337" s="178"/>
      <c r="D337" s="178"/>
    </row>
  </sheetData>
  <mergeCells count="281">
    <mergeCell ref="C322:G322"/>
    <mergeCell ref="C324:G324"/>
    <mergeCell ref="D293:I293"/>
    <mergeCell ref="D294:I294"/>
    <mergeCell ref="D296:I296"/>
    <mergeCell ref="D297:I297"/>
    <mergeCell ref="D299:I299"/>
    <mergeCell ref="C303:I303"/>
    <mergeCell ref="C304:I304"/>
    <mergeCell ref="C306:I306"/>
    <mergeCell ref="C307:I307"/>
    <mergeCell ref="D298:I298"/>
    <mergeCell ref="C323:F323"/>
    <mergeCell ref="D316:F316"/>
    <mergeCell ref="D317:G317"/>
    <mergeCell ref="D318:G318"/>
    <mergeCell ref="D319:G319"/>
    <mergeCell ref="C320:F320"/>
    <mergeCell ref="C301:F301"/>
    <mergeCell ref="C311:I311"/>
    <mergeCell ref="C308:I308"/>
    <mergeCell ref="C314:F314"/>
    <mergeCell ref="C312:I312"/>
    <mergeCell ref="C277:I277"/>
    <mergeCell ref="C278:I278"/>
    <mergeCell ref="C280:I280"/>
    <mergeCell ref="C281:I281"/>
    <mergeCell ref="C283:I283"/>
    <mergeCell ref="D256:F256"/>
    <mergeCell ref="D265:F265"/>
    <mergeCell ref="D266:G266"/>
    <mergeCell ref="C246:I246"/>
    <mergeCell ref="C248:I248"/>
    <mergeCell ref="C250:I250"/>
    <mergeCell ref="D253:F253"/>
    <mergeCell ref="D254:F254"/>
    <mergeCell ref="D255:F255"/>
    <mergeCell ref="C276:I276"/>
    <mergeCell ref="C279:I279"/>
    <mergeCell ref="C282:I282"/>
    <mergeCell ref="D267:E267"/>
    <mergeCell ref="D257:F257"/>
    <mergeCell ref="D258:F258"/>
    <mergeCell ref="E268:G268"/>
    <mergeCell ref="D272:F272"/>
    <mergeCell ref="E269:H269"/>
    <mergeCell ref="D260:F260"/>
    <mergeCell ref="C194:I194"/>
    <mergeCell ref="C195:I195"/>
    <mergeCell ref="C218:I218"/>
    <mergeCell ref="C220:I220"/>
    <mergeCell ref="C222:I222"/>
    <mergeCell ref="C224:I224"/>
    <mergeCell ref="D211:G211"/>
    <mergeCell ref="D184:I184"/>
    <mergeCell ref="D188:I188"/>
    <mergeCell ref="D213:H213"/>
    <mergeCell ref="C217:I217"/>
    <mergeCell ref="D214:F214"/>
    <mergeCell ref="D216:G216"/>
    <mergeCell ref="C219:H219"/>
    <mergeCell ref="D215:F215"/>
    <mergeCell ref="E170:H170"/>
    <mergeCell ref="D172:G172"/>
    <mergeCell ref="D145:E145"/>
    <mergeCell ref="D146:F146"/>
    <mergeCell ref="D147:F147"/>
    <mergeCell ref="D148:F148"/>
    <mergeCell ref="D210:H210"/>
    <mergeCell ref="D198:F198"/>
    <mergeCell ref="C186:G186"/>
    <mergeCell ref="D190:H190"/>
    <mergeCell ref="D191:H191"/>
    <mergeCell ref="D197:F197"/>
    <mergeCell ref="D204:H204"/>
    <mergeCell ref="D176:I176"/>
    <mergeCell ref="D161:G161"/>
    <mergeCell ref="D160:G160"/>
    <mergeCell ref="D149:G149"/>
    <mergeCell ref="D150:G150"/>
    <mergeCell ref="D151:F151"/>
    <mergeCell ref="D207:J207"/>
    <mergeCell ref="C192:G192"/>
    <mergeCell ref="D183:F183"/>
    <mergeCell ref="D175:F175"/>
    <mergeCell ref="D180:F180"/>
    <mergeCell ref="C135:E135"/>
    <mergeCell ref="C142:G142"/>
    <mergeCell ref="E169:F169"/>
    <mergeCell ref="D179:H179"/>
    <mergeCell ref="C185:F185"/>
    <mergeCell ref="D205:H205"/>
    <mergeCell ref="D206:H206"/>
    <mergeCell ref="C137:G137"/>
    <mergeCell ref="C138:G138"/>
    <mergeCell ref="D140:G140"/>
    <mergeCell ref="C182:F182"/>
    <mergeCell ref="C167:F167"/>
    <mergeCell ref="C168:F168"/>
    <mergeCell ref="D163:G163"/>
    <mergeCell ref="C164:G164"/>
    <mergeCell ref="D201:F201"/>
    <mergeCell ref="D202:I202"/>
    <mergeCell ref="C165:G165"/>
    <mergeCell ref="D203:G203"/>
    <mergeCell ref="D152:F152"/>
    <mergeCell ref="D157:G157"/>
    <mergeCell ref="D158:G158"/>
    <mergeCell ref="C143:G143"/>
    <mergeCell ref="D174:E174"/>
    <mergeCell ref="D53:E53"/>
    <mergeCell ref="D54:E54"/>
    <mergeCell ref="C55:E55"/>
    <mergeCell ref="C56:F56"/>
    <mergeCell ref="C57:D57"/>
    <mergeCell ref="C65:J65"/>
    <mergeCell ref="C63:J63"/>
    <mergeCell ref="C36:E36"/>
    <mergeCell ref="C38:F38"/>
    <mergeCell ref="C40:F40"/>
    <mergeCell ref="C41:F41"/>
    <mergeCell ref="C42:E42"/>
    <mergeCell ref="C46:F46"/>
    <mergeCell ref="C47:F47"/>
    <mergeCell ref="C48:F48"/>
    <mergeCell ref="C50:F50"/>
    <mergeCell ref="C44:E44"/>
    <mergeCell ref="C45:E45"/>
    <mergeCell ref="C49:E49"/>
    <mergeCell ref="D51:E51"/>
    <mergeCell ref="D52:F52"/>
    <mergeCell ref="E80:G80"/>
    <mergeCell ref="F82:G82"/>
    <mergeCell ref="F86:G86"/>
    <mergeCell ref="F88:G88"/>
    <mergeCell ref="F83:G83"/>
    <mergeCell ref="F87:G87"/>
    <mergeCell ref="F107:G107"/>
    <mergeCell ref="F109:G109"/>
    <mergeCell ref="C81:G81"/>
    <mergeCell ref="F84:G84"/>
    <mergeCell ref="F122:G122"/>
    <mergeCell ref="F124:G124"/>
    <mergeCell ref="F91:G91"/>
    <mergeCell ref="F93:G93"/>
    <mergeCell ref="D95:G95"/>
    <mergeCell ref="F92:G92"/>
    <mergeCell ref="F85:G85"/>
    <mergeCell ref="F105:G105"/>
    <mergeCell ref="C111:G111"/>
    <mergeCell ref="C112:G112"/>
    <mergeCell ref="C114:G114"/>
    <mergeCell ref="F89:G89"/>
    <mergeCell ref="F97:G97"/>
    <mergeCell ref="F99:G99"/>
    <mergeCell ref="F104:G104"/>
    <mergeCell ref="F106:G106"/>
    <mergeCell ref="F108:G108"/>
    <mergeCell ref="F101:G101"/>
    <mergeCell ref="E103:G103"/>
    <mergeCell ref="F115:G115"/>
    <mergeCell ref="F116:G116"/>
    <mergeCell ref="F96:G96"/>
    <mergeCell ref="F98:G98"/>
    <mergeCell ref="F100:G100"/>
    <mergeCell ref="C34:E34"/>
    <mergeCell ref="C33:F33"/>
    <mergeCell ref="C43:F43"/>
    <mergeCell ref="C11:F11"/>
    <mergeCell ref="C13:E13"/>
    <mergeCell ref="D14:E14"/>
    <mergeCell ref="D15:E15"/>
    <mergeCell ref="C16:E16"/>
    <mergeCell ref="C17:F17"/>
    <mergeCell ref="C29:F29"/>
    <mergeCell ref="C30:F30"/>
    <mergeCell ref="C31:F31"/>
    <mergeCell ref="C23:F23"/>
    <mergeCell ref="C24:E24"/>
    <mergeCell ref="C25:E25"/>
    <mergeCell ref="C26:E26"/>
    <mergeCell ref="C28:E28"/>
    <mergeCell ref="C18:F18"/>
    <mergeCell ref="C19:E19"/>
    <mergeCell ref="C20:E20"/>
    <mergeCell ref="C21:F21"/>
    <mergeCell ref="C22:F22"/>
    <mergeCell ref="C27:F27"/>
    <mergeCell ref="C32:F32"/>
    <mergeCell ref="C79:G79"/>
    <mergeCell ref="C64:J64"/>
    <mergeCell ref="C67:J67"/>
    <mergeCell ref="C59:F59"/>
    <mergeCell ref="C60:F60"/>
    <mergeCell ref="C62:F62"/>
    <mergeCell ref="C66:H66"/>
    <mergeCell ref="C68:H68"/>
    <mergeCell ref="C69:J69"/>
    <mergeCell ref="C71:H71"/>
    <mergeCell ref="C72:J72"/>
    <mergeCell ref="C73:I73"/>
    <mergeCell ref="C74:J74"/>
    <mergeCell ref="B78:G78"/>
    <mergeCell ref="C70:J70"/>
    <mergeCell ref="C75:G75"/>
    <mergeCell ref="C76:G76"/>
    <mergeCell ref="D261:F261"/>
    <mergeCell ref="D262:F262"/>
    <mergeCell ref="D227:G227"/>
    <mergeCell ref="C243:H243"/>
    <mergeCell ref="D228:G228"/>
    <mergeCell ref="D230:E230"/>
    <mergeCell ref="D231:F231"/>
    <mergeCell ref="D232:E232"/>
    <mergeCell ref="D233:F233"/>
    <mergeCell ref="D239:F239"/>
    <mergeCell ref="D240:H240"/>
    <mergeCell ref="D241:F241"/>
    <mergeCell ref="C245:I245"/>
    <mergeCell ref="C247:I247"/>
    <mergeCell ref="C249:I249"/>
    <mergeCell ref="C251:I251"/>
    <mergeCell ref="D292:I292"/>
    <mergeCell ref="D295:I295"/>
    <mergeCell ref="C284:I284"/>
    <mergeCell ref="C286:I286"/>
    <mergeCell ref="D290:I290"/>
    <mergeCell ref="D291:I291"/>
    <mergeCell ref="D289:I289"/>
    <mergeCell ref="C309:I309"/>
    <mergeCell ref="C310:I310"/>
    <mergeCell ref="C285:G285"/>
    <mergeCell ref="D288:I288"/>
    <mergeCell ref="D113:G113"/>
    <mergeCell ref="D264:F264"/>
    <mergeCell ref="F134:G134"/>
    <mergeCell ref="C181:F181"/>
    <mergeCell ref="D177:G177"/>
    <mergeCell ref="D178:I178"/>
    <mergeCell ref="F117:G117"/>
    <mergeCell ref="F125:G125"/>
    <mergeCell ref="C128:G128"/>
    <mergeCell ref="F129:G129"/>
    <mergeCell ref="F130:G130"/>
    <mergeCell ref="F131:G131"/>
    <mergeCell ref="F132:G132"/>
    <mergeCell ref="F133:G133"/>
    <mergeCell ref="F118:G118"/>
    <mergeCell ref="F119:G119"/>
    <mergeCell ref="F120:G120"/>
    <mergeCell ref="F121:G121"/>
    <mergeCell ref="D189:I189"/>
    <mergeCell ref="C193:G193"/>
    <mergeCell ref="D226:F226"/>
    <mergeCell ref="D208:I208"/>
    <mergeCell ref="D212:G212"/>
    <mergeCell ref="D259:F259"/>
    <mergeCell ref="C35:F35"/>
    <mergeCell ref="F90:G90"/>
    <mergeCell ref="F123:G123"/>
    <mergeCell ref="D159:G159"/>
    <mergeCell ref="D173:G173"/>
    <mergeCell ref="F126:G126"/>
    <mergeCell ref="D153:F153"/>
    <mergeCell ref="D154:F154"/>
    <mergeCell ref="C321:G321"/>
    <mergeCell ref="C305:I305"/>
    <mergeCell ref="C302:I302"/>
    <mergeCell ref="D273:F273"/>
    <mergeCell ref="D270:G270"/>
    <mergeCell ref="D155:F155"/>
    <mergeCell ref="D156:G156"/>
    <mergeCell ref="D162:H162"/>
    <mergeCell ref="C223:E223"/>
    <mergeCell ref="C221:I221"/>
    <mergeCell ref="C244:I244"/>
    <mergeCell ref="D234:F234"/>
    <mergeCell ref="D235:F235"/>
    <mergeCell ref="D236:F236"/>
    <mergeCell ref="D237:G237"/>
    <mergeCell ref="D238:F238"/>
  </mergeCells>
  <pageMargins left="0.196850393700787" right="0.196850393700787" top="0.196850393700787" bottom="0.196850393700787" header="0" footer="0"/>
  <pageSetup paperSize="8" orientation="portrait" r:id="rId1"/>
  <headerFooter alignWithMargins="0">
    <oddFooter>&amp;C&amp;1#&amp;"Calibri"&amp;10&amp;K000000OFFICIAL-SENSITIVE</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tabColor rgb="FFFFFF99"/>
  </sheetPr>
  <dimension ref="A2:P42"/>
  <sheetViews>
    <sheetView showGridLines="0" zoomScale="75" workbookViewId="0">
      <selection activeCell="J37" sqref="J37"/>
    </sheetView>
  </sheetViews>
  <sheetFormatPr defaultColWidth="9.1796875" defaultRowHeight="12.5" x14ac:dyDescent="0.25"/>
  <cols>
    <col min="1" max="1" width="12.1796875" bestFit="1" customWidth="1"/>
    <col min="2" max="2" width="15.1796875" customWidth="1"/>
    <col min="3" max="3" width="2.54296875" customWidth="1"/>
    <col min="4" max="4" width="15.453125" customWidth="1"/>
    <col min="5" max="5" width="2.54296875" customWidth="1"/>
    <col min="6" max="6" width="14.81640625" customWidth="1"/>
    <col min="7" max="7" width="2.54296875" customWidth="1"/>
    <col min="8" max="8" width="15.1796875" customWidth="1"/>
    <col min="9" max="9" width="2.54296875" customWidth="1"/>
    <col min="10" max="10" width="15.453125" customWidth="1"/>
    <col min="11" max="11" width="2.54296875" customWidth="1"/>
    <col min="12" max="12" width="15.1796875" customWidth="1"/>
    <col min="13" max="13" width="1.54296875" customWidth="1"/>
    <col min="14" max="14" width="13.453125" customWidth="1"/>
    <col min="15" max="15" width="1.54296875" customWidth="1"/>
    <col min="16" max="16" width="12.81640625" customWidth="1"/>
    <col min="17" max="17" width="2.1796875" customWidth="1"/>
  </cols>
  <sheetData>
    <row r="2" spans="1:16" x14ac:dyDescent="0.25">
      <c r="A2" t="s">
        <v>6976</v>
      </c>
      <c r="B2" s="2119" t="s">
        <v>6977</v>
      </c>
      <c r="C2" s="8"/>
      <c r="D2" s="2119" t="s">
        <v>6978</v>
      </c>
      <c r="E2" s="8"/>
      <c r="F2" s="2119" t="s">
        <v>6979</v>
      </c>
      <c r="G2" s="8"/>
      <c r="H2" s="2120" t="s">
        <v>6980</v>
      </c>
      <c r="I2" s="8"/>
      <c r="J2" s="2119" t="s">
        <v>6980</v>
      </c>
      <c r="L2" s="2119" t="s">
        <v>6981</v>
      </c>
      <c r="M2" s="8"/>
      <c r="N2" s="2119" t="s">
        <v>6982</v>
      </c>
      <c r="O2" s="8"/>
      <c r="P2" s="2121" t="s">
        <v>6976</v>
      </c>
    </row>
    <row r="3" spans="1:16" x14ac:dyDescent="0.25">
      <c r="A3" t="s">
        <v>1471</v>
      </c>
      <c r="B3" s="2122" t="s">
        <v>6983</v>
      </c>
      <c r="C3" s="8"/>
      <c r="D3" s="2122" t="s">
        <v>6984</v>
      </c>
      <c r="E3" s="8"/>
      <c r="F3" s="2122" t="s">
        <v>6983</v>
      </c>
      <c r="G3" s="8"/>
      <c r="H3" s="2123" t="s">
        <v>6985</v>
      </c>
      <c r="I3" s="8"/>
      <c r="J3" s="2124"/>
      <c r="L3" s="2125" t="s">
        <v>6986</v>
      </c>
      <c r="M3" s="8"/>
      <c r="N3" s="2122" t="s">
        <v>6987</v>
      </c>
      <c r="O3" s="8"/>
      <c r="P3" s="2126" t="s">
        <v>6988</v>
      </c>
    </row>
    <row r="4" spans="1:16" x14ac:dyDescent="0.25">
      <c r="A4" t="s">
        <v>5726</v>
      </c>
      <c r="B4" s="2029">
        <f>IF(FTCR_run_1,IF(item_1_ind=1,FTCR!G10,IF(FIR_Claim,IF(item_1_ind=3,FTCR!G10,IF(item_1_ind=4,FTCR!G10*100/90,0)),0)),0)</f>
        <v>0</v>
      </c>
      <c r="C4" s="8"/>
      <c r="D4" s="2127">
        <f>IF(FTCR_run_1,IF(item_1_ind=2,FTCR!G10,0),0)</f>
        <v>0</v>
      </c>
      <c r="E4" s="8"/>
      <c r="F4" s="2029">
        <f>IF(FTCR_run_1,IF(item_1_ind=3,IF(FIR_Claim,0,FTCR!G10),0),0)</f>
        <v>0</v>
      </c>
      <c r="G4" s="8"/>
      <c r="H4" s="2128">
        <v>0</v>
      </c>
      <c r="I4" s="8"/>
      <c r="J4" s="2029">
        <f>IF(FTCR_run_1,IF(item_1_ind=4,IF(FIR_Claim,0,FTCR!G10),0),0)</f>
        <v>0</v>
      </c>
      <c r="L4" s="2129">
        <f>IF(FTCR_run_1,IF(item_1_ind=5,FTCR!G10,0),0)</f>
        <v>0</v>
      </c>
      <c r="M4" s="8"/>
      <c r="N4" s="2029">
        <f>IF(FTCR_run_1,IF(item_1_ind=6,FTCR!G10,0),0)</f>
        <v>0</v>
      </c>
      <c r="O4" s="8"/>
      <c r="P4" s="2029">
        <f>IF(FTCR_run_1,FTCR!G10,0)</f>
        <v>0</v>
      </c>
    </row>
    <row r="5" spans="1:16" x14ac:dyDescent="0.25">
      <c r="A5" t="s">
        <v>5730</v>
      </c>
      <c r="B5" s="2029">
        <f>IF(FTCR_run_2,IF(item_2_ind=1,FTCR!G14,IF(FIR_Claim,IF(item_1_ind=3,FTCR!G14,IF(item_1_ind=4,FTCR!G14*100/90,0)),0)),0)</f>
        <v>0</v>
      </c>
      <c r="C5" s="8"/>
      <c r="D5" s="2127">
        <f>IF(FTCR_run_2,IF(item_2_ind=2,FTCR!G14,0),0)</f>
        <v>0</v>
      </c>
      <c r="E5" s="8"/>
      <c r="F5" s="2029">
        <f>IF(FTCR_run_2,IF(item_2_ind=3,IF(FIR_Claim,0,FTCR!G14),0),0)</f>
        <v>0</v>
      </c>
      <c r="G5" s="8"/>
      <c r="H5" s="2128">
        <v>0</v>
      </c>
      <c r="I5" s="8"/>
      <c r="J5" s="2029">
        <f>IF(FTCR_run_2,IF(item_2_ind=4,IF(FIR_Claim,0,FTCR!G14),0),0)</f>
        <v>0</v>
      </c>
      <c r="L5" s="2129">
        <f>IF(FTCR_run_2,IF(item_2_ind=5,FTCR!G14,0),0)</f>
        <v>0</v>
      </c>
      <c r="M5" s="8"/>
      <c r="N5" s="2029">
        <f>IF(FTCR_run_2,IF(item_2_ind=6,FTCR!G14,0),0)</f>
        <v>0</v>
      </c>
      <c r="O5" s="8"/>
      <c r="P5" s="2029">
        <f>IF(FTCR_run_2,FTCR!G14,0)</f>
        <v>0</v>
      </c>
    </row>
    <row r="6" spans="1:16" x14ac:dyDescent="0.25">
      <c r="A6" t="s">
        <v>5733</v>
      </c>
      <c r="B6" s="2029">
        <f>IF(FTCR_run_3,IF(item_3_ind=1,FTCR!G18,IF(FIR_Claim,IF(item_1_ind=3,FTCR!G18,IF(item_1_ind=4,FTCR!G18*100/90,0)),0)),0)</f>
        <v>0</v>
      </c>
      <c r="C6" s="8"/>
      <c r="D6" s="2127">
        <f>IF(FTCR_run_3,IF(item_3_ind=2,FTCR!G18,0),0)</f>
        <v>0</v>
      </c>
      <c r="E6" s="8"/>
      <c r="F6" s="2029">
        <f>IF(FTCR_run_3,IF(item_3_ind=3,IF(FIR_Claim,0,FTCR!G18),0),0)</f>
        <v>0</v>
      </c>
      <c r="G6" s="8"/>
      <c r="H6" s="2128">
        <v>0</v>
      </c>
      <c r="I6" s="8"/>
      <c r="J6" s="2029">
        <f>IF(FTCR_run_3,IF(item_3_ind=4,IF(FIR_Claim,0,FTCR!G18),0),0)</f>
        <v>0</v>
      </c>
      <c r="L6" s="2129">
        <f>IF(FTCR_run_3,IF(item_3_ind=5,FTCR!G18,0),0)</f>
        <v>0</v>
      </c>
      <c r="M6" s="8"/>
      <c r="N6" s="2029">
        <f>IF(FTCR_run_3,IF(item_3_ind=6,FTCR!G18,0),0)</f>
        <v>0</v>
      </c>
      <c r="O6" s="8"/>
      <c r="P6" s="2029">
        <f>IF(FTCR_run_3,FTCR!G18,0)</f>
        <v>0</v>
      </c>
    </row>
    <row r="7" spans="1:16" x14ac:dyDescent="0.25">
      <c r="A7" t="s">
        <v>5738</v>
      </c>
      <c r="B7" s="2029">
        <f>IF(FTCR_run_4,IF(item_4_ind=1,FTCR!G22,IF(FIR_Claim,IF(item_1_ind=3,FTCR!G22,IF(item_1_ind=4,FTCR!G22*100/90,0)),0)),0)</f>
        <v>0</v>
      </c>
      <c r="D7" s="2029">
        <f>IF(FTCR_run_4,IF(item_4_ind=2,FTCR!G22,0),0)</f>
        <v>0</v>
      </c>
      <c r="F7" s="2029">
        <f>IF(FTCR_run_4,IF(item_4_ind=3,IF(FIR_Claim,0,FTCR!G22),0),0)</f>
        <v>0</v>
      </c>
      <c r="H7" s="2128">
        <v>0</v>
      </c>
      <c r="J7" s="2029">
        <f>IF(FTCR_run_4,IF(item_4_ind=4,IF(FIR_Claim,0,FTCR!G22),0),0)</f>
        <v>0</v>
      </c>
      <c r="L7" s="2029">
        <f>IF(FTCR_run_4,IF(item_4_ind=5,FTCR!G22,0),0)</f>
        <v>0</v>
      </c>
      <c r="N7" s="2029">
        <f>IF(FTCR_run_4,IF(item_4_ind=6,FTCR!G22,0),0)</f>
        <v>0</v>
      </c>
      <c r="P7" s="2029">
        <f>IF(FTCR_run_4,FTCR!G22,0)</f>
        <v>0</v>
      </c>
    </row>
    <row r="8" spans="1:16" x14ac:dyDescent="0.25">
      <c r="A8" t="s">
        <v>5744</v>
      </c>
      <c r="B8" s="2029">
        <f>IF(FTCR_run_5,IF(item_5_ind=1,FTCR!G26,IF(FIR_Claim,IF(item_1_ind=3,FTCR!G26,IF(item_1_ind=4,FTCR!G26*100/90,0)),0)),0)</f>
        <v>0</v>
      </c>
      <c r="C8" s="8"/>
      <c r="D8" s="2127">
        <f>IF(FTCR_run_5,IF(item_5_ind=2,FTCR!G26,0),0)</f>
        <v>0</v>
      </c>
      <c r="E8" s="8"/>
      <c r="F8" s="2029">
        <f>IF(FTCR_run_5,IF(item_5_ind=3,IF(FIR_Claim,0,FTCR!G26),0),0)</f>
        <v>0</v>
      </c>
      <c r="G8" s="8"/>
      <c r="H8" s="2128">
        <v>0</v>
      </c>
      <c r="I8" s="8"/>
      <c r="J8" s="2029">
        <f>IF(FTCR_run_5,IF(item_5_ind=4,IF(FIR_Claim,0,FTCR!G26),0),0)</f>
        <v>0</v>
      </c>
      <c r="L8" s="2129">
        <f>IF(FTCR_run_5,IF(item_5_ind=5,FTCR!G26,0),0)</f>
        <v>0</v>
      </c>
      <c r="M8" s="8"/>
      <c r="N8" s="2029">
        <f>IF(FTCR_run_5,IF(item_5_ind=6,FTCR!G26,0),0)</f>
        <v>0</v>
      </c>
      <c r="O8" s="8"/>
      <c r="P8" s="2029">
        <f>IF(FTCR_run_5,FTCR!G26,0)</f>
        <v>0</v>
      </c>
    </row>
    <row r="9" spans="1:16" x14ac:dyDescent="0.25">
      <c r="A9" t="s">
        <v>5748</v>
      </c>
      <c r="B9" s="2029">
        <f>IF(FTCR_run_6,IF(item_6_ind=1,FTCR!G30,IF(FIR_Claim,IF(item_1_ind=3,FTCR!G30,IF(item_1_ind=4,FTCR!G30*100/90,0)),0)),0)</f>
        <v>0</v>
      </c>
      <c r="C9" s="8"/>
      <c r="D9" s="2127">
        <f>IF(FTCR_run_6,IF(item_6_ind=2,FTCR!G30,0),0)</f>
        <v>0</v>
      </c>
      <c r="E9" s="8"/>
      <c r="F9" s="2029">
        <f>IF(FTCR_run_6,IF(item_6_ind=3,IF(FIR_Claim,0,FTCR!G30),0),0)</f>
        <v>0</v>
      </c>
      <c r="G9" s="8"/>
      <c r="H9" s="2128">
        <v>0</v>
      </c>
      <c r="I9" s="8"/>
      <c r="J9" s="2029">
        <f>IF(FTCR_run_6,IF(item_6_ind=4,IF(FIR_Claim,0,FTCR!G30),0),0)</f>
        <v>0</v>
      </c>
      <c r="L9" s="2129">
        <f>IF(FTCR_run_6,IF(item_6_ind=5,FTCR!G30,0),0)</f>
        <v>0</v>
      </c>
      <c r="M9" s="8"/>
      <c r="N9" s="2029">
        <f>IF(FTCR_run_6,IF(item_6_ind=6,FTCR!G30,0),0)</f>
        <v>0</v>
      </c>
      <c r="O9" s="8"/>
      <c r="P9" s="2029">
        <f>IF(FTCR_run_6,FTCR!G30,0)</f>
        <v>0</v>
      </c>
    </row>
    <row r="10" spans="1:16" x14ac:dyDescent="0.25">
      <c r="A10" t="s">
        <v>5755</v>
      </c>
      <c r="B10" s="2029">
        <f>IF(FTCR_run_7,IF(item_7_ind=1,FTCR!G34,IF(FIR_Claim,IF(item_1_ind=3,FTCR!G34,IF(item_1_ind=4,FTCR!G34*100/90,0)),0)),0)</f>
        <v>0</v>
      </c>
      <c r="C10" s="8"/>
      <c r="D10" s="2127">
        <f>IF(FTCR_run_7,IF(item_7_ind=2,FTCR!G34,0),0)</f>
        <v>0</v>
      </c>
      <c r="E10" s="8"/>
      <c r="F10" s="2029">
        <f>IF(FTCR_run_7,IF(item_7_ind=3,IF(FIR_Claim,0,FTCR!G34),0),0)</f>
        <v>0</v>
      </c>
      <c r="G10" s="8"/>
      <c r="H10" s="2128">
        <v>0</v>
      </c>
      <c r="I10" s="8"/>
      <c r="J10" s="2029">
        <f>IF(FTCR_run_7,IF(item_7_ind=4,IF(FIR_Claim,0,FTCR!G34),0),0)</f>
        <v>0</v>
      </c>
      <c r="L10" s="2129">
        <f>IF(FTCR_run_7,IF(item_7_ind=5,FTCR!G34,0),0)</f>
        <v>0</v>
      </c>
      <c r="M10" s="8"/>
      <c r="N10" s="2029">
        <f>IF(FTCR_run_7,IF(item_7_ind=6,FTCR!G34,0),0)</f>
        <v>0</v>
      </c>
      <c r="O10" s="8"/>
      <c r="P10" s="2029">
        <f>IF(FTCR_run_7,FTCR!G34,0)</f>
        <v>0</v>
      </c>
    </row>
    <row r="11" spans="1:16" x14ac:dyDescent="0.25">
      <c r="A11" t="s">
        <v>5762</v>
      </c>
      <c r="B11" s="2029">
        <f>IF(FTCR_run_8,IF(item_8_ind=1,FTCR!G38,IF(FIR_Claim,IF(item_1_ind=3,FTCR!G38,IF(item_1_ind=4,FTCR!G38*100/90,0)),0)),0)</f>
        <v>0</v>
      </c>
      <c r="D11" s="2029">
        <f>IF(FTCR_run_8,IF(item_8_ind=2,FTCR!G38,0),0)</f>
        <v>0</v>
      </c>
      <c r="F11" s="2029">
        <f>IF(FTCR_run_8,IF(item_8_ind=3,IF(FIR_Claim,0,FTCR!G38),0),0)</f>
        <v>0</v>
      </c>
      <c r="H11" s="2128">
        <v>0</v>
      </c>
      <c r="J11" s="2029">
        <f>IF(FTCR_run_8,IF(item_8_ind=4,IF(FIR_Claim,0,FTCR!G38),0),0)</f>
        <v>0</v>
      </c>
      <c r="L11" s="2029">
        <f>IF(FTCR_run_8,IF(item_8_ind=5,FTCR!G38,0),0)</f>
        <v>0</v>
      </c>
      <c r="N11" s="2029">
        <f>IF(FTCR_run_8,IF(item_8_ind=6,FTCR!G38,0),0)</f>
        <v>0</v>
      </c>
      <c r="P11" s="2029">
        <f>IF(FTCR_run_8,FTCR!G38,0)</f>
        <v>0</v>
      </c>
    </row>
    <row r="12" spans="1:16" x14ac:dyDescent="0.25">
      <c r="A12" t="s">
        <v>5767</v>
      </c>
      <c r="B12" s="2029">
        <f>IF(FTCR_run_9,IF(item_9_ind=1,FTCR!G42,IF(FIR_Claim,IF(item_1_ind=3,FTCR!G42,IF(item_1_ind=4,FTCR!G42*100/90,0)),0)),0)</f>
        <v>0</v>
      </c>
      <c r="D12" s="2127">
        <f>IF(FTCR_run_9,IF(item_9_ind=2,FTCR!G42,0),0)</f>
        <v>0</v>
      </c>
      <c r="F12" s="2029">
        <f>IF(FTCR_run_9,IF(item_9_ind=3,IF(FIR_Claim,0,FTCR!G42),0),0)</f>
        <v>0</v>
      </c>
      <c r="H12" s="2128">
        <v>0</v>
      </c>
      <c r="J12" s="2029">
        <f>IF(FTCR_run_9,IF(item_9_ind=4,IF(FIR_Claim,0,FTCR!G42),0),0)</f>
        <v>0</v>
      </c>
      <c r="L12" s="2129">
        <f>IF(FTCR_run_9,IF(item_9_ind=5,FTCR!G42,0),0)</f>
        <v>0</v>
      </c>
      <c r="N12" s="2029">
        <f>IF(FTCR_run_9,IF(item_9_ind=6,FTCR!G42,0),0)</f>
        <v>0</v>
      </c>
      <c r="P12" s="2029">
        <f>IF(FTCR_run_9,FTCR!G42,0)</f>
        <v>0</v>
      </c>
    </row>
    <row r="13" spans="1:16" ht="13" thickBot="1" x14ac:dyDescent="0.3">
      <c r="A13" t="s">
        <v>5774</v>
      </c>
      <c r="B13" s="715">
        <f>IF(FTCR_run_10,IF(item_10_ind=1,FTCR!G46,IF(FIR_Claim,IF(item_1_ind=3,FTCR!G46,IF(item_1_ind=4,FTCR!G46*100/90,0)),0)),0)</f>
        <v>0</v>
      </c>
      <c r="D13" s="715">
        <f>IF(FTCR_run_10,IF(item_10_ind=2,FTCR!G46,0),0)</f>
        <v>0</v>
      </c>
      <c r="F13" s="715">
        <f>IF(FTCR_run_10,IF(item_10_ind=3,IF(FIR_Claim,0,FTCR!G46),0),0)</f>
        <v>0</v>
      </c>
      <c r="H13" s="755">
        <v>0</v>
      </c>
      <c r="J13" s="715">
        <f>IF(FTCR_run_10,IF(item_10_ind=4,IF(FIR_Claim,0,FTCR!G46),0),0)</f>
        <v>0</v>
      </c>
      <c r="L13" s="715">
        <f>IF(FTCR_run_10,IF(item_10_ind=5,FTCR!G46,0),0)</f>
        <v>0</v>
      </c>
      <c r="N13" s="715">
        <f>IF(FTCR_run_10,IF(item_10_ind=6,FTCR!G46,0),0)</f>
        <v>0</v>
      </c>
      <c r="P13" s="715">
        <f>IF(FTCR_run_10,FTCR!G46,0)</f>
        <v>0</v>
      </c>
    </row>
    <row r="14" spans="1:16" x14ac:dyDescent="0.25">
      <c r="A14" t="s">
        <v>6989</v>
      </c>
      <c r="B14" s="295">
        <f>SUM(B4:B13)</f>
        <v>0</v>
      </c>
      <c r="D14" s="295">
        <f>SUM(D4:D13)</f>
        <v>0</v>
      </c>
      <c r="F14" s="295">
        <f>SUM(F4:F13)</f>
        <v>0</v>
      </c>
      <c r="H14" s="415">
        <v>0</v>
      </c>
      <c r="J14" s="295">
        <f>SUM(J4:J13)</f>
        <v>0</v>
      </c>
      <c r="L14" s="295">
        <f>SUM(L4:L13)</f>
        <v>0</v>
      </c>
      <c r="N14" s="295">
        <f>SUM(N4:N13)</f>
        <v>0</v>
      </c>
      <c r="P14" s="295">
        <f>SUM(P4:P13)</f>
        <v>0</v>
      </c>
    </row>
    <row r="16" spans="1:16" x14ac:dyDescent="0.25">
      <c r="A16" t="s">
        <v>6990</v>
      </c>
    </row>
    <row r="17" spans="1:16" x14ac:dyDescent="0.25">
      <c r="A17" t="s">
        <v>5726</v>
      </c>
      <c r="B17" s="2029">
        <f>IF(FTCR_run_1,FTCR!M10,0)</f>
        <v>0</v>
      </c>
      <c r="J17" s="3" t="s">
        <v>3963</v>
      </c>
    </row>
    <row r="18" spans="1:16" x14ac:dyDescent="0.25">
      <c r="A18" t="s">
        <v>5730</v>
      </c>
      <c r="B18" s="2029">
        <f>IF(FTCR_run_2,FTCR!M14,0)</f>
        <v>0</v>
      </c>
      <c r="J18">
        <v>1</v>
      </c>
      <c r="K18" t="s">
        <v>5681</v>
      </c>
    </row>
    <row r="19" spans="1:16" x14ac:dyDescent="0.25">
      <c r="A19" t="s">
        <v>5733</v>
      </c>
      <c r="B19" s="2029">
        <f>IF(FTCR_run_3,FTCR!M18,0)</f>
        <v>0</v>
      </c>
      <c r="J19">
        <v>2</v>
      </c>
      <c r="K19" t="s">
        <v>5682</v>
      </c>
    </row>
    <row r="20" spans="1:16" x14ac:dyDescent="0.25">
      <c r="A20" t="s">
        <v>5738</v>
      </c>
      <c r="B20" s="2029">
        <f>IF(FTCR_run_4,FTCR!M22,0)</f>
        <v>0</v>
      </c>
      <c r="J20">
        <v>3</v>
      </c>
      <c r="K20" t="s">
        <v>5683</v>
      </c>
    </row>
    <row r="21" spans="1:16" x14ac:dyDescent="0.25">
      <c r="A21" t="s">
        <v>5744</v>
      </c>
      <c r="B21" s="2029">
        <f>IF(FTCR_run_5,FTCR!M26,0)</f>
        <v>0</v>
      </c>
      <c r="J21">
        <v>4</v>
      </c>
      <c r="K21" s="178" t="s">
        <v>861</v>
      </c>
    </row>
    <row r="22" spans="1:16" x14ac:dyDescent="0.25">
      <c r="A22" t="s">
        <v>5748</v>
      </c>
      <c r="B22" s="2029">
        <f>IF(FTCR_run_6,FTCR!M30,0)</f>
        <v>0</v>
      </c>
      <c r="J22">
        <v>5</v>
      </c>
      <c r="K22" t="s">
        <v>5685</v>
      </c>
      <c r="P22" s="106"/>
    </row>
    <row r="23" spans="1:16" x14ac:dyDescent="0.25">
      <c r="A23" t="s">
        <v>5755</v>
      </c>
      <c r="B23" s="2029">
        <f>IF(FTCR_run_7,FTCR!M34,0)</f>
        <v>0</v>
      </c>
      <c r="J23">
        <v>6</v>
      </c>
      <c r="K23" t="s">
        <v>5686</v>
      </c>
      <c r="P23" s="106"/>
    </row>
    <row r="24" spans="1:16" x14ac:dyDescent="0.25">
      <c r="A24" t="s">
        <v>5762</v>
      </c>
      <c r="B24" s="2029">
        <f>IF(FTCR_run_8,FTCR!M38,0)</f>
        <v>0</v>
      </c>
    </row>
    <row r="25" spans="1:16" x14ac:dyDescent="0.25">
      <c r="A25" t="s">
        <v>5767</v>
      </c>
      <c r="B25" s="2029">
        <f>IF(FTCR_run_9,FTCR!M42,0)</f>
        <v>0</v>
      </c>
    </row>
    <row r="26" spans="1:16" x14ac:dyDescent="0.25">
      <c r="A26" t="s">
        <v>5774</v>
      </c>
      <c r="B26" s="2029">
        <f>IF(FTCR_run_10,FTCR!M46,0)</f>
        <v>0</v>
      </c>
    </row>
    <row r="27" spans="1:16" x14ac:dyDescent="0.25">
      <c r="A27" t="s">
        <v>6989</v>
      </c>
      <c r="B27" s="1986">
        <f>SUM(B17:B26)</f>
        <v>0</v>
      </c>
    </row>
    <row r="30" spans="1:16" x14ac:dyDescent="0.25">
      <c r="B30" s="2130" t="s">
        <v>6991</v>
      </c>
      <c r="F30" s="1986" t="s">
        <v>6992</v>
      </c>
      <c r="H30" s="2130" t="s">
        <v>6993</v>
      </c>
      <c r="J30" s="2130" t="s">
        <v>6994</v>
      </c>
      <c r="L30" s="2130" t="s">
        <v>2060</v>
      </c>
      <c r="P30" s="106"/>
    </row>
    <row r="31" spans="1:16" x14ac:dyDescent="0.25">
      <c r="B31" s="2131"/>
      <c r="D31" s="3" t="s">
        <v>6995</v>
      </c>
      <c r="F31" s="1843">
        <v>0</v>
      </c>
      <c r="H31" s="2131"/>
      <c r="J31" s="2131"/>
      <c r="L31" s="2131"/>
    </row>
    <row r="32" spans="1:16" x14ac:dyDescent="0.25">
      <c r="A32" t="s">
        <v>6996</v>
      </c>
      <c r="B32" s="1843" t="b">
        <v>0</v>
      </c>
      <c r="D32" s="3" t="s">
        <v>6997</v>
      </c>
      <c r="F32" s="1843">
        <v>0</v>
      </c>
      <c r="H32" s="2131">
        <f>IF(F31=F32,0,MAX(0,F31-F32))</f>
        <v>0</v>
      </c>
      <c r="J32" s="2132">
        <f>IF(FTCR_run_1,FTCR!U11,0)</f>
        <v>0</v>
      </c>
      <c r="L32" s="1986">
        <f t="shared" ref="L32:L39" si="0">MIN(H32,J32)</f>
        <v>0</v>
      </c>
    </row>
    <row r="33" spans="1:12" x14ac:dyDescent="0.25">
      <c r="A33" t="s">
        <v>6998</v>
      </c>
      <c r="B33" s="1843" t="b">
        <v>0</v>
      </c>
      <c r="D33" s="3" t="s">
        <v>6999</v>
      </c>
      <c r="F33" s="1843">
        <v>0</v>
      </c>
      <c r="H33" s="2131">
        <f t="shared" ref="H33:H41" si="1">IF(F32=F33,0,MAX(0,F32-F33))</f>
        <v>0</v>
      </c>
      <c r="J33" s="2133">
        <f>IF(FTCR_run_2,FTCR!U12,0)</f>
        <v>0</v>
      </c>
      <c r="L33" s="1986">
        <f t="shared" si="0"/>
        <v>0</v>
      </c>
    </row>
    <row r="34" spans="1:12" x14ac:dyDescent="0.25">
      <c r="A34" t="s">
        <v>7000</v>
      </c>
      <c r="B34" s="1843" t="b">
        <v>0</v>
      </c>
      <c r="C34" s="7"/>
      <c r="D34" s="3" t="s">
        <v>7001</v>
      </c>
      <c r="F34" s="1843">
        <v>0</v>
      </c>
      <c r="H34" s="2131">
        <f t="shared" si="1"/>
        <v>0</v>
      </c>
      <c r="J34" s="2133">
        <f>IF(FTCR_run_3,FTCR!U13,0)</f>
        <v>0</v>
      </c>
      <c r="L34" s="1986">
        <f t="shared" si="0"/>
        <v>0</v>
      </c>
    </row>
    <row r="35" spans="1:12" x14ac:dyDescent="0.25">
      <c r="A35" t="s">
        <v>7002</v>
      </c>
      <c r="B35" s="1843" t="b">
        <v>0</v>
      </c>
      <c r="D35" s="3" t="s">
        <v>7003</v>
      </c>
      <c r="F35" s="1843">
        <v>0</v>
      </c>
      <c r="H35" s="2131">
        <f t="shared" si="1"/>
        <v>0</v>
      </c>
      <c r="J35" s="2133">
        <f>IF(FTCR_run_4,FTCR!U14,0)</f>
        <v>0</v>
      </c>
      <c r="L35" s="2133">
        <f t="shared" si="0"/>
        <v>0</v>
      </c>
    </row>
    <row r="36" spans="1:12" x14ac:dyDescent="0.25">
      <c r="A36" t="s">
        <v>7004</v>
      </c>
      <c r="B36" s="1843" t="b">
        <v>0</v>
      </c>
      <c r="D36" s="3" t="s">
        <v>7005</v>
      </c>
      <c r="F36" s="1843">
        <v>0</v>
      </c>
      <c r="H36" s="2131">
        <f t="shared" si="1"/>
        <v>0</v>
      </c>
      <c r="J36" s="2132">
        <f>IF(FTCR_run_5,FTCR!U15,0)</f>
        <v>0</v>
      </c>
      <c r="L36" s="1986">
        <f t="shared" si="0"/>
        <v>0</v>
      </c>
    </row>
    <row r="37" spans="1:12" x14ac:dyDescent="0.25">
      <c r="A37" t="s">
        <v>7006</v>
      </c>
      <c r="B37" s="1843" t="b">
        <v>0</v>
      </c>
      <c r="D37" s="3" t="s">
        <v>7007</v>
      </c>
      <c r="F37" s="1843">
        <v>0</v>
      </c>
      <c r="H37" s="2131">
        <f t="shared" si="1"/>
        <v>0</v>
      </c>
      <c r="J37" s="2133">
        <f>IF(FTCR_run_6,FTCR!U16,0)</f>
        <v>0</v>
      </c>
      <c r="L37" s="1986">
        <f t="shared" si="0"/>
        <v>0</v>
      </c>
    </row>
    <row r="38" spans="1:12" x14ac:dyDescent="0.25">
      <c r="A38" t="s">
        <v>7008</v>
      </c>
      <c r="B38" s="1843" t="b">
        <v>0</v>
      </c>
      <c r="C38" s="7"/>
      <c r="D38" s="3" t="s">
        <v>7009</v>
      </c>
      <c r="F38" s="1843">
        <v>0</v>
      </c>
      <c r="H38" s="2131">
        <f t="shared" si="1"/>
        <v>0</v>
      </c>
      <c r="J38" s="2133">
        <f>IF(FTCR_run_7,FTCR!U17,0)</f>
        <v>0</v>
      </c>
      <c r="L38" s="1986">
        <f t="shared" si="0"/>
        <v>0</v>
      </c>
    </row>
    <row r="39" spans="1:12" x14ac:dyDescent="0.25">
      <c r="A39" t="s">
        <v>7010</v>
      </c>
      <c r="B39" s="1843" t="b">
        <v>0</v>
      </c>
      <c r="D39" s="3" t="s">
        <v>7011</v>
      </c>
      <c r="F39" s="1843">
        <v>0</v>
      </c>
      <c r="H39" s="2131">
        <f t="shared" si="1"/>
        <v>0</v>
      </c>
      <c r="J39" s="2133">
        <f>IF(FTCR_run_8,FTCR!U18,0)</f>
        <v>0</v>
      </c>
      <c r="L39" s="2133">
        <f t="shared" si="0"/>
        <v>0</v>
      </c>
    </row>
    <row r="40" spans="1:12" x14ac:dyDescent="0.25">
      <c r="A40" t="s">
        <v>7012</v>
      </c>
      <c r="B40" s="1843" t="b">
        <v>0</v>
      </c>
      <c r="D40" s="3" t="s">
        <v>7013</v>
      </c>
      <c r="F40" s="1843">
        <v>0</v>
      </c>
      <c r="H40" s="2131">
        <f t="shared" si="1"/>
        <v>0</v>
      </c>
      <c r="J40" s="2133">
        <f>IF(FTCR_run_9,FTCR!U19,0)</f>
        <v>0</v>
      </c>
      <c r="L40" s="1986">
        <f>MIN(H40,J40)</f>
        <v>0</v>
      </c>
    </row>
    <row r="41" spans="1:12" x14ac:dyDescent="0.25">
      <c r="A41" t="s">
        <v>7014</v>
      </c>
      <c r="B41" s="1843" t="b">
        <v>0</v>
      </c>
      <c r="D41" s="3" t="s">
        <v>7015</v>
      </c>
      <c r="F41" s="1843">
        <v>0</v>
      </c>
      <c r="H41" s="2131">
        <f t="shared" si="1"/>
        <v>0</v>
      </c>
      <c r="J41" s="2133">
        <f>IF(FTCR_run_10,FTCR!U20,0)</f>
        <v>0</v>
      </c>
      <c r="L41" s="2133">
        <f>MIN(H41,J41)</f>
        <v>0</v>
      </c>
    </row>
    <row r="42" spans="1:12" x14ac:dyDescent="0.25">
      <c r="D42" s="3" t="s">
        <v>6989</v>
      </c>
      <c r="H42" s="1986">
        <f>SUM(H32:H41)</f>
        <v>0</v>
      </c>
      <c r="J42" s="1986">
        <f>SUM(J32:J41)</f>
        <v>0</v>
      </c>
      <c r="L42" s="1986">
        <f>SUM(L32:L41)</f>
        <v>0</v>
      </c>
    </row>
  </sheetData>
  <phoneticPr fontId="58" type="noConversion"/>
  <pageMargins left="0.196850393700787" right="0.196850393700787" top="0.196850393700787" bottom="0.196850393700787" header="0" footer="0"/>
  <pageSetup paperSize="9" orientation="landscape" r:id="rId1"/>
  <headerFooter alignWithMargins="0">
    <oddFooter>&amp;C&amp;1#&amp;"Calibri"&amp;10&amp;K000000OFFICIAL-SENSITIVE</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6"/>
  <dimension ref="A2:P42"/>
  <sheetViews>
    <sheetView showGridLines="0" zoomScale="75" workbookViewId="0"/>
  </sheetViews>
  <sheetFormatPr defaultColWidth="9.1796875" defaultRowHeight="12.5" x14ac:dyDescent="0.25"/>
  <cols>
    <col min="1" max="1" width="12.1796875" style="305" bestFit="1" customWidth="1"/>
    <col min="2" max="2" width="15.1796875" style="305" customWidth="1"/>
    <col min="3" max="3" width="2.54296875" style="305" customWidth="1"/>
    <col min="4" max="4" width="15.453125" style="305" customWidth="1"/>
    <col min="5" max="5" width="2.54296875" style="305" customWidth="1"/>
    <col min="6" max="6" width="14.81640625" style="305" customWidth="1"/>
    <col min="7" max="7" width="2.54296875" style="305" customWidth="1"/>
    <col min="8" max="8" width="15.1796875" style="305" customWidth="1"/>
    <col min="9" max="9" width="2.54296875" style="305" customWidth="1"/>
    <col min="10" max="10" width="15.453125" style="305" customWidth="1"/>
    <col min="11" max="11" width="2.54296875" style="305" customWidth="1"/>
    <col min="12" max="12" width="15.1796875" style="305" customWidth="1"/>
    <col min="13" max="13" width="1.54296875" style="305" customWidth="1"/>
    <col min="14" max="14" width="13.453125" style="305" customWidth="1"/>
    <col min="15" max="15" width="1.54296875" style="305" customWidth="1"/>
    <col min="16" max="16" width="12.81640625" style="305" customWidth="1"/>
    <col min="17" max="17" width="2.1796875" style="305" customWidth="1"/>
    <col min="18" max="16384" width="9.1796875" style="305"/>
  </cols>
  <sheetData>
    <row r="2" spans="1:16" x14ac:dyDescent="0.25">
      <c r="A2" s="305" t="s">
        <v>6976</v>
      </c>
      <c r="B2" s="2134" t="s">
        <v>6977</v>
      </c>
      <c r="C2" s="306"/>
      <c r="D2" s="2134" t="s">
        <v>6978</v>
      </c>
      <c r="E2" s="306"/>
      <c r="F2" s="2134" t="s">
        <v>6979</v>
      </c>
      <c r="G2" s="306"/>
      <c r="H2" s="2120" t="s">
        <v>6980</v>
      </c>
      <c r="I2" s="8"/>
      <c r="J2" s="2119" t="s">
        <v>6980</v>
      </c>
      <c r="K2"/>
      <c r="L2" s="2119" t="s">
        <v>6981</v>
      </c>
      <c r="M2" s="8"/>
      <c r="N2" s="2119" t="s">
        <v>6982</v>
      </c>
      <c r="O2" s="8"/>
      <c r="P2" s="2121" t="s">
        <v>6976</v>
      </c>
    </row>
    <row r="3" spans="1:16" x14ac:dyDescent="0.25">
      <c r="A3" s="305" t="s">
        <v>1471</v>
      </c>
      <c r="B3" s="2135" t="s">
        <v>6983</v>
      </c>
      <c r="C3" s="306"/>
      <c r="D3" s="2135" t="s">
        <v>6984</v>
      </c>
      <c r="E3" s="306"/>
      <c r="F3" s="2135" t="s">
        <v>6983</v>
      </c>
      <c r="G3" s="306"/>
      <c r="H3" s="2123" t="s">
        <v>6985</v>
      </c>
      <c r="I3" s="8"/>
      <c r="J3" s="2124"/>
      <c r="K3"/>
      <c r="L3" s="2125" t="s">
        <v>6986</v>
      </c>
      <c r="M3" s="8"/>
      <c r="N3" s="2122" t="s">
        <v>6987</v>
      </c>
      <c r="O3" s="8"/>
      <c r="P3" s="2126" t="s">
        <v>6988</v>
      </c>
    </row>
    <row r="4" spans="1:16" x14ac:dyDescent="0.25">
      <c r="A4" s="305" t="s">
        <v>5726</v>
      </c>
      <c r="B4" s="2136"/>
      <c r="C4" s="306"/>
      <c r="D4" s="2137"/>
      <c r="E4" s="306"/>
      <c r="F4" s="2136"/>
      <c r="G4" s="306"/>
      <c r="H4" s="2128"/>
      <c r="I4" s="8"/>
      <c r="J4" s="2029"/>
      <c r="K4"/>
      <c r="L4" s="2129"/>
      <c r="M4" s="8"/>
      <c r="N4" s="2029"/>
      <c r="O4" s="8"/>
      <c r="P4" s="2029"/>
    </row>
    <row r="5" spans="1:16" x14ac:dyDescent="0.25">
      <c r="A5" s="305" t="s">
        <v>5730</v>
      </c>
      <c r="B5" s="2136"/>
      <c r="C5" s="306"/>
      <c r="D5" s="2137"/>
      <c r="E5" s="306"/>
      <c r="F5" s="2136"/>
      <c r="G5" s="306"/>
      <c r="H5" s="2128"/>
      <c r="I5" s="8"/>
      <c r="J5" s="2029"/>
      <c r="K5"/>
      <c r="L5" s="2129"/>
      <c r="M5" s="8"/>
      <c r="N5" s="2029"/>
      <c r="O5" s="8"/>
      <c r="P5" s="2029"/>
    </row>
    <row r="6" spans="1:16" x14ac:dyDescent="0.25">
      <c r="A6" s="305" t="s">
        <v>5733</v>
      </c>
      <c r="B6" s="2136"/>
      <c r="C6" s="306"/>
      <c r="D6" s="2137"/>
      <c r="E6" s="306"/>
      <c r="F6" s="2136"/>
      <c r="G6" s="306"/>
      <c r="H6" s="2128"/>
      <c r="I6" s="8"/>
      <c r="J6" s="2029"/>
      <c r="K6"/>
      <c r="L6" s="2129"/>
      <c r="M6" s="8"/>
      <c r="N6" s="2029"/>
      <c r="O6" s="8"/>
      <c r="P6" s="2029"/>
    </row>
    <row r="7" spans="1:16" x14ac:dyDescent="0.25">
      <c r="A7" s="305" t="s">
        <v>5738</v>
      </c>
      <c r="B7" s="2136"/>
      <c r="D7" s="2136"/>
      <c r="F7" s="2136"/>
      <c r="H7" s="2128"/>
      <c r="I7"/>
      <c r="J7" s="2029"/>
      <c r="K7"/>
      <c r="L7" s="2029"/>
      <c r="M7"/>
      <c r="N7" s="2029"/>
      <c r="O7"/>
      <c r="P7" s="2029"/>
    </row>
    <row r="8" spans="1:16" x14ac:dyDescent="0.25">
      <c r="A8" s="305" t="s">
        <v>5744</v>
      </c>
      <c r="B8" s="2136"/>
      <c r="C8" s="306"/>
      <c r="D8" s="2137"/>
      <c r="E8" s="306"/>
      <c r="F8" s="2136"/>
      <c r="G8" s="306"/>
      <c r="H8" s="2128"/>
      <c r="I8" s="8"/>
      <c r="J8" s="2029"/>
      <c r="K8"/>
      <c r="L8" s="2129"/>
      <c r="M8" s="8"/>
      <c r="N8" s="2029"/>
      <c r="O8" s="8"/>
      <c r="P8" s="2029"/>
    </row>
    <row r="9" spans="1:16" x14ac:dyDescent="0.25">
      <c r="A9" s="305" t="s">
        <v>5748</v>
      </c>
      <c r="B9" s="2136"/>
      <c r="C9" s="306"/>
      <c r="D9" s="2137"/>
      <c r="E9" s="306"/>
      <c r="F9" s="2136"/>
      <c r="G9" s="306"/>
      <c r="H9" s="2128"/>
      <c r="I9" s="8"/>
      <c r="J9" s="2029"/>
      <c r="K9"/>
      <c r="L9" s="2129"/>
      <c r="M9" s="8"/>
      <c r="N9" s="2029"/>
      <c r="O9" s="8"/>
      <c r="P9" s="2029"/>
    </row>
    <row r="10" spans="1:16" x14ac:dyDescent="0.25">
      <c r="A10" s="305" t="s">
        <v>5755</v>
      </c>
      <c r="B10" s="2136"/>
      <c r="C10" s="306"/>
      <c r="D10" s="2137"/>
      <c r="E10" s="306"/>
      <c r="F10" s="2136"/>
      <c r="G10" s="306"/>
      <c r="H10" s="2128"/>
      <c r="I10" s="8"/>
      <c r="J10" s="2029"/>
      <c r="K10"/>
      <c r="L10" s="2129"/>
      <c r="M10" s="8"/>
      <c r="N10" s="2029"/>
      <c r="O10" s="8"/>
      <c r="P10" s="2029"/>
    </row>
    <row r="11" spans="1:16" x14ac:dyDescent="0.25">
      <c r="A11" s="305" t="s">
        <v>5762</v>
      </c>
      <c r="B11" s="2136"/>
      <c r="D11" s="2136"/>
      <c r="F11" s="2136"/>
      <c r="H11" s="2128"/>
      <c r="I11"/>
      <c r="J11" s="2029"/>
      <c r="K11"/>
      <c r="L11" s="2029"/>
      <c r="M11"/>
      <c r="N11" s="2029"/>
      <c r="O11"/>
      <c r="P11" s="2029"/>
    </row>
    <row r="12" spans="1:16" x14ac:dyDescent="0.25">
      <c r="A12" s="305" t="s">
        <v>5767</v>
      </c>
      <c r="B12" s="2136"/>
      <c r="D12" s="2137"/>
      <c r="F12" s="2136"/>
      <c r="H12" s="2128"/>
      <c r="I12"/>
      <c r="J12" s="2029"/>
      <c r="K12"/>
      <c r="L12" s="2129"/>
      <c r="M12"/>
      <c r="N12" s="2029"/>
      <c r="O12"/>
      <c r="P12" s="2029"/>
    </row>
    <row r="13" spans="1:16" ht="13" thickBot="1" x14ac:dyDescent="0.3">
      <c r="A13" s="305" t="s">
        <v>5774</v>
      </c>
      <c r="B13" s="2136"/>
      <c r="D13" s="2136"/>
      <c r="F13" s="2136"/>
      <c r="H13" s="755"/>
      <c r="I13"/>
      <c r="J13" s="715"/>
      <c r="K13"/>
      <c r="L13" s="715"/>
      <c r="M13"/>
      <c r="N13" s="715"/>
      <c r="O13"/>
      <c r="P13" s="715"/>
    </row>
    <row r="14" spans="1:16" x14ac:dyDescent="0.25">
      <c r="A14" s="305" t="s">
        <v>6989</v>
      </c>
      <c r="B14" s="2138"/>
      <c r="D14" s="2138"/>
      <c r="F14" s="2138"/>
      <c r="H14" s="415"/>
      <c r="I14"/>
      <c r="J14" s="295"/>
      <c r="K14"/>
      <c r="L14" s="295"/>
      <c r="M14"/>
      <c r="N14" s="295"/>
      <c r="O14"/>
      <c r="P14" s="295"/>
    </row>
    <row r="15" spans="1:16" x14ac:dyDescent="0.25">
      <c r="H15"/>
      <c r="I15"/>
      <c r="J15"/>
      <c r="K15"/>
      <c r="L15"/>
      <c r="M15"/>
      <c r="N15"/>
      <c r="O15"/>
      <c r="P15"/>
    </row>
    <row r="16" spans="1:16" x14ac:dyDescent="0.25">
      <c r="A16" s="305" t="s">
        <v>6990</v>
      </c>
      <c r="H16"/>
      <c r="I16"/>
      <c r="J16"/>
      <c r="K16"/>
      <c r="L16"/>
      <c r="M16"/>
      <c r="N16"/>
      <c r="O16"/>
      <c r="P16"/>
    </row>
    <row r="17" spans="1:16" x14ac:dyDescent="0.25">
      <c r="A17" s="305" t="s">
        <v>5726</v>
      </c>
      <c r="B17" s="2136"/>
      <c r="H17"/>
      <c r="I17"/>
      <c r="J17" s="3" t="s">
        <v>3963</v>
      </c>
      <c r="K17"/>
      <c r="L17"/>
      <c r="M17"/>
      <c r="N17"/>
      <c r="O17"/>
      <c r="P17"/>
    </row>
    <row r="18" spans="1:16" x14ac:dyDescent="0.25">
      <c r="A18" s="305" t="s">
        <v>5730</v>
      </c>
      <c r="B18" s="2136"/>
      <c r="H18"/>
      <c r="I18"/>
      <c r="J18">
        <v>1</v>
      </c>
      <c r="K18" t="s">
        <v>5681</v>
      </c>
      <c r="L18"/>
      <c r="M18"/>
      <c r="N18"/>
      <c r="O18"/>
      <c r="P18"/>
    </row>
    <row r="19" spans="1:16" x14ac:dyDescent="0.25">
      <c r="A19" s="305" t="s">
        <v>5733</v>
      </c>
      <c r="B19" s="2136"/>
      <c r="H19"/>
      <c r="I19"/>
      <c r="J19">
        <v>2</v>
      </c>
      <c r="K19" t="s">
        <v>5682</v>
      </c>
      <c r="L19"/>
      <c r="M19"/>
      <c r="N19"/>
      <c r="O19"/>
      <c r="P19"/>
    </row>
    <row r="20" spans="1:16" x14ac:dyDescent="0.25">
      <c r="A20" s="305" t="s">
        <v>5738</v>
      </c>
      <c r="B20" s="2136"/>
      <c r="H20"/>
      <c r="I20"/>
      <c r="J20">
        <v>3</v>
      </c>
      <c r="K20" t="s">
        <v>5683</v>
      </c>
      <c r="L20"/>
      <c r="M20"/>
      <c r="N20"/>
      <c r="O20"/>
      <c r="P20"/>
    </row>
    <row r="21" spans="1:16" x14ac:dyDescent="0.25">
      <c r="A21" s="305" t="s">
        <v>5744</v>
      </c>
      <c r="B21" s="2136"/>
      <c r="H21"/>
      <c r="I21"/>
      <c r="J21">
        <v>4</v>
      </c>
      <c r="K21" s="178" t="s">
        <v>861</v>
      </c>
      <c r="L21"/>
      <c r="M21"/>
      <c r="N21"/>
      <c r="O21"/>
      <c r="P21"/>
    </row>
    <row r="22" spans="1:16" x14ac:dyDescent="0.25">
      <c r="A22" s="305" t="s">
        <v>5748</v>
      </c>
      <c r="B22" s="2136"/>
      <c r="H22"/>
      <c r="I22"/>
      <c r="J22">
        <v>5</v>
      </c>
      <c r="K22" t="s">
        <v>5685</v>
      </c>
      <c r="L22"/>
      <c r="M22"/>
      <c r="N22"/>
      <c r="O22"/>
      <c r="P22" s="106"/>
    </row>
    <row r="23" spans="1:16" x14ac:dyDescent="0.25">
      <c r="A23" s="305" t="s">
        <v>5755</v>
      </c>
      <c r="B23" s="2136"/>
      <c r="H23"/>
      <c r="I23"/>
      <c r="J23">
        <v>6</v>
      </c>
      <c r="K23" t="s">
        <v>5686</v>
      </c>
      <c r="L23"/>
      <c r="M23"/>
      <c r="N23"/>
      <c r="O23"/>
      <c r="P23" s="106"/>
    </row>
    <row r="24" spans="1:16" x14ac:dyDescent="0.25">
      <c r="A24" s="305" t="s">
        <v>5762</v>
      </c>
      <c r="B24" s="2136"/>
      <c r="H24"/>
      <c r="I24"/>
      <c r="J24"/>
      <c r="K24"/>
      <c r="L24"/>
      <c r="M24"/>
      <c r="N24"/>
      <c r="O24"/>
      <c r="P24"/>
    </row>
    <row r="25" spans="1:16" x14ac:dyDescent="0.25">
      <c r="A25" s="305" t="s">
        <v>5767</v>
      </c>
      <c r="B25" s="2136"/>
    </row>
    <row r="26" spans="1:16" x14ac:dyDescent="0.25">
      <c r="A26" s="305" t="s">
        <v>5774</v>
      </c>
      <c r="B26" s="2136"/>
    </row>
    <row r="27" spans="1:16" x14ac:dyDescent="0.25">
      <c r="A27" s="305" t="s">
        <v>6989</v>
      </c>
      <c r="B27" s="2138"/>
    </row>
    <row r="30" spans="1:16" x14ac:dyDescent="0.25">
      <c r="B30" s="2139"/>
      <c r="F30" s="2138" t="s">
        <v>6992</v>
      </c>
      <c r="H30" s="2139" t="s">
        <v>6993</v>
      </c>
      <c r="J30" s="2139" t="s">
        <v>6994</v>
      </c>
      <c r="L30" s="2139" t="s">
        <v>2060</v>
      </c>
      <c r="P30" s="308"/>
    </row>
    <row r="31" spans="1:16" x14ac:dyDescent="0.25">
      <c r="B31" s="2140"/>
      <c r="D31" s="307" t="s">
        <v>6995</v>
      </c>
      <c r="F31" s="2141"/>
      <c r="H31" s="2140"/>
      <c r="J31" s="2140"/>
      <c r="L31" s="2140"/>
    </row>
    <row r="32" spans="1:16" x14ac:dyDescent="0.25">
      <c r="A32" s="305" t="s">
        <v>6996</v>
      </c>
      <c r="B32" s="2141"/>
      <c r="D32" s="307" t="s">
        <v>6997</v>
      </c>
      <c r="F32" s="2141"/>
      <c r="H32" s="2140"/>
      <c r="J32" s="2142"/>
      <c r="L32" s="2138"/>
    </row>
    <row r="33" spans="1:12" x14ac:dyDescent="0.25">
      <c r="A33" s="305" t="s">
        <v>6998</v>
      </c>
      <c r="B33" s="2141"/>
      <c r="D33" s="307" t="s">
        <v>6999</v>
      </c>
      <c r="F33" s="2141"/>
      <c r="H33" s="2140"/>
      <c r="J33" s="2143"/>
      <c r="L33" s="2138"/>
    </row>
    <row r="34" spans="1:12" x14ac:dyDescent="0.25">
      <c r="A34" s="305" t="s">
        <v>7000</v>
      </c>
      <c r="B34" s="2141"/>
      <c r="C34" s="309"/>
      <c r="D34" s="307" t="s">
        <v>7001</v>
      </c>
      <c r="F34" s="2141"/>
      <c r="H34" s="2140"/>
      <c r="J34" s="2143"/>
      <c r="L34" s="2138"/>
    </row>
    <row r="35" spans="1:12" x14ac:dyDescent="0.25">
      <c r="A35" s="305" t="s">
        <v>7002</v>
      </c>
      <c r="B35" s="2141"/>
      <c r="D35" s="307" t="s">
        <v>7003</v>
      </c>
      <c r="F35" s="2141"/>
      <c r="H35" s="2140"/>
      <c r="J35" s="2143"/>
      <c r="L35" s="2143"/>
    </row>
    <row r="36" spans="1:12" x14ac:dyDescent="0.25">
      <c r="A36" s="305" t="s">
        <v>7004</v>
      </c>
      <c r="B36" s="2141"/>
      <c r="D36" s="307" t="s">
        <v>7005</v>
      </c>
      <c r="F36" s="2141"/>
      <c r="H36" s="2140"/>
      <c r="J36" s="2142"/>
      <c r="L36" s="2138"/>
    </row>
    <row r="37" spans="1:12" x14ac:dyDescent="0.25">
      <c r="A37" s="305" t="s">
        <v>7006</v>
      </c>
      <c r="B37" s="2141"/>
      <c r="D37" s="307" t="s">
        <v>7007</v>
      </c>
      <c r="F37" s="2141"/>
      <c r="H37" s="2140"/>
      <c r="J37" s="2143"/>
      <c r="L37" s="2138"/>
    </row>
    <row r="38" spans="1:12" x14ac:dyDescent="0.25">
      <c r="A38" s="305" t="s">
        <v>7008</v>
      </c>
      <c r="B38" s="2141"/>
      <c r="C38" s="309"/>
      <c r="D38" s="307" t="s">
        <v>7009</v>
      </c>
      <c r="F38" s="2141"/>
      <c r="H38" s="2140"/>
      <c r="J38" s="2143"/>
      <c r="L38" s="2138"/>
    </row>
    <row r="39" spans="1:12" x14ac:dyDescent="0.25">
      <c r="A39" s="305" t="s">
        <v>7010</v>
      </c>
      <c r="B39" s="2141"/>
      <c r="D39" s="307" t="s">
        <v>7011</v>
      </c>
      <c r="F39" s="2141"/>
      <c r="H39" s="2140"/>
      <c r="J39" s="2143"/>
      <c r="L39" s="2143"/>
    </row>
    <row r="40" spans="1:12" x14ac:dyDescent="0.25">
      <c r="A40" s="305" t="s">
        <v>7012</v>
      </c>
      <c r="B40" s="2141"/>
      <c r="D40" s="307" t="s">
        <v>7013</v>
      </c>
      <c r="F40" s="2141"/>
      <c r="H40" s="2140"/>
      <c r="J40" s="2143"/>
      <c r="L40" s="2138"/>
    </row>
    <row r="41" spans="1:12" x14ac:dyDescent="0.25">
      <c r="A41" s="305" t="s">
        <v>7014</v>
      </c>
      <c r="B41" s="2141"/>
      <c r="D41" s="307" t="s">
        <v>7015</v>
      </c>
      <c r="F41" s="2141"/>
      <c r="H41" s="2140"/>
      <c r="J41" s="2143"/>
      <c r="L41" s="2143"/>
    </row>
    <row r="42" spans="1:12" x14ac:dyDescent="0.25">
      <c r="D42" s="307" t="s">
        <v>6989</v>
      </c>
      <c r="H42" s="2138"/>
      <c r="J42" s="2138"/>
      <c r="L42" s="2138"/>
    </row>
  </sheetData>
  <pageMargins left="0.196850393700787" right="0.196850393700787" top="0.196850393700787" bottom="0.196850393700787" header="0" footer="0"/>
  <pageSetup paperSize="9" orientation="landscape" r:id="rId1"/>
  <headerFooter alignWithMargins="0">
    <oddFooter>&amp;C&amp;1#&amp;"Calibri"&amp;10&amp;K000000OFFICIAL-SENSITIVE</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
  <dimension ref="A1:AD193"/>
  <sheetViews>
    <sheetView showGridLines="0" topLeftCell="B1" workbookViewId="0">
      <selection activeCell="B1" sqref="B1"/>
    </sheetView>
  </sheetViews>
  <sheetFormatPr defaultColWidth="9.1796875" defaultRowHeight="11.5" x14ac:dyDescent="0.25"/>
  <cols>
    <col min="1" max="1" width="10.26953125" style="8" hidden="1" customWidth="1"/>
    <col min="2" max="2" width="28" style="8" customWidth="1"/>
    <col min="3" max="3" width="10" style="8" customWidth="1"/>
    <col min="4" max="4" width="18.54296875" style="8" customWidth="1"/>
    <col min="5" max="5" width="5.81640625" style="8" customWidth="1"/>
    <col min="6" max="6" width="13.81640625" style="8" customWidth="1"/>
    <col min="7" max="7" width="14.54296875" style="9" customWidth="1"/>
    <col min="8" max="8" width="5.453125" style="9" customWidth="1"/>
    <col min="9" max="9" width="6.54296875" style="8" customWidth="1"/>
    <col min="10" max="10" width="13.81640625" style="8" customWidth="1"/>
    <col min="11" max="11" width="6" style="8" customWidth="1"/>
    <col min="12" max="12" width="11.7265625" style="8" customWidth="1"/>
    <col min="13" max="13" width="5.54296875" style="8" customWidth="1"/>
    <col min="14" max="14" width="10.453125" style="8" customWidth="1"/>
    <col min="15" max="15" width="3.81640625" style="8" customWidth="1"/>
    <col min="16" max="16" width="16.1796875" style="8" customWidth="1"/>
    <col min="17" max="17" width="4.54296875" style="8" customWidth="1"/>
    <col min="18" max="18" width="11" style="8" customWidth="1"/>
    <col min="19" max="19" width="5.1796875" style="8" customWidth="1"/>
    <col min="20" max="20" width="12.54296875" style="8" customWidth="1"/>
    <col min="21" max="21" width="2.1796875" style="8" customWidth="1"/>
    <col min="22" max="22" width="7.81640625" style="8" customWidth="1"/>
    <col min="23" max="23" width="5.1796875" style="8" customWidth="1"/>
    <col min="24" max="24" width="10.1796875" style="8" customWidth="1"/>
    <col min="25" max="25" width="3.81640625" style="8" customWidth="1"/>
    <col min="26" max="26" width="6.81640625" style="8" customWidth="1"/>
    <col min="27" max="27" width="5.81640625" style="8" customWidth="1"/>
    <col min="28" max="28" width="10.453125" style="8" customWidth="1"/>
    <col min="29" max="29" width="9.54296875" style="8" customWidth="1"/>
    <col min="30" max="30" width="5.54296875" style="8" customWidth="1"/>
    <col min="31" max="31" width="9.1796875" style="8"/>
    <col min="32" max="33" width="3.54296875" style="8" customWidth="1"/>
    <col min="34" max="16384" width="9.1796875" style="8"/>
  </cols>
  <sheetData>
    <row r="1" spans="1:15" ht="18" x14ac:dyDescent="0.4">
      <c r="A1" s="8" t="s">
        <v>7016</v>
      </c>
      <c r="B1" s="483" t="s">
        <v>7017</v>
      </c>
      <c r="C1" s="24"/>
    </row>
    <row r="2" spans="1:15" x14ac:dyDescent="0.25">
      <c r="A2" s="8" t="s">
        <v>7018</v>
      </c>
      <c r="G2" s="2144" t="s">
        <v>7019</v>
      </c>
      <c r="H2" s="2145"/>
      <c r="I2" s="2146"/>
      <c r="J2" s="2146"/>
      <c r="K2" s="2146"/>
      <c r="L2" s="2147"/>
    </row>
    <row r="3" spans="1:15" x14ac:dyDescent="0.25">
      <c r="A3" s="8" t="s">
        <v>7020</v>
      </c>
      <c r="B3" s="139" t="s">
        <v>727</v>
      </c>
    </row>
    <row r="4" spans="1:15" x14ac:dyDescent="0.25">
      <c r="A4" s="8" t="s">
        <v>4746</v>
      </c>
      <c r="C4" s="139"/>
      <c r="F4" s="138" t="str">
        <f>"Total all instances ("&amp;EMP&amp;EMP!C4&amp;" + "&amp;EMP&amp;EMP!C10&amp;")"</f>
        <v>Total all instances (EMP1 + EMP3)</v>
      </c>
      <c r="H4" s="22"/>
    </row>
    <row r="5" spans="1:15" x14ac:dyDescent="0.25">
      <c r="A5" s="8" t="s">
        <v>4752</v>
      </c>
      <c r="B5" s="473" t="s">
        <v>7021</v>
      </c>
      <c r="C5" s="22"/>
      <c r="E5" s="2148" t="str">
        <f>A1</f>
        <v>c1.1</v>
      </c>
      <c r="F5" s="2149">
        <f>EMP!S5+EMP!T5</f>
        <v>0</v>
      </c>
      <c r="G5" s="225" t="s">
        <v>7022</v>
      </c>
    </row>
    <row r="6" spans="1:15" x14ac:dyDescent="0.25">
      <c r="A6" s="8" t="s">
        <v>7023</v>
      </c>
    </row>
    <row r="7" spans="1:15" x14ac:dyDescent="0.25">
      <c r="A7" s="8" t="s">
        <v>7024</v>
      </c>
      <c r="F7" s="138" t="str">
        <f>"Total all instances ("&amp;MOR&amp;MOR!C19&amp;")"</f>
        <v>Total all instances (MOR38)</v>
      </c>
    </row>
    <row r="8" spans="1:15" x14ac:dyDescent="0.25">
      <c r="A8" s="8" t="s">
        <v>7025</v>
      </c>
      <c r="E8" s="2148" t="str">
        <f>A2</f>
        <v>c1.2</v>
      </c>
      <c r="F8" s="2149">
        <f>TRUNC(MOR!D20,0)</f>
        <v>0</v>
      </c>
      <c r="G8" s="225" t="s">
        <v>7026</v>
      </c>
    </row>
    <row r="9" spans="1:15" x14ac:dyDescent="0.25">
      <c r="A9" s="8" t="s">
        <v>7027</v>
      </c>
    </row>
    <row r="10" spans="1:15" x14ac:dyDescent="0.25">
      <c r="A10" s="8" t="s">
        <v>7028</v>
      </c>
      <c r="B10" s="22"/>
      <c r="C10" s="22"/>
      <c r="F10" s="138" t="str">
        <f>ASE&amp;ASE!C8&amp;" + "&amp;ASE&amp;ASE!C11</f>
        <v>ASE3 + ASE4</v>
      </c>
      <c r="H10" s="22"/>
      <c r="J10" s="9" t="str">
        <f>E5&amp;" + "&amp;E8&amp;" + "&amp;E11</f>
        <v>c1.1 + c1.2 + c1.3</v>
      </c>
    </row>
    <row r="11" spans="1:15" x14ac:dyDescent="0.25">
      <c r="A11" s="8" t="s">
        <v>4756</v>
      </c>
      <c r="B11" s="22" t="s">
        <v>5406</v>
      </c>
      <c r="C11" s="22"/>
      <c r="E11" s="2148" t="str">
        <f>A3</f>
        <v>c1.3</v>
      </c>
      <c r="F11" s="2149">
        <f>TRUNC(ASE!D9+ASE!D12,0)</f>
        <v>0</v>
      </c>
      <c r="G11" s="225" t="s">
        <v>7029</v>
      </c>
      <c r="H11" s="22"/>
      <c r="I11" s="2148" t="str">
        <f>A4</f>
        <v>c1.4</v>
      </c>
      <c r="J11" s="2149">
        <f>F5+F8+F11</f>
        <v>0</v>
      </c>
    </row>
    <row r="12" spans="1:15" x14ac:dyDescent="0.25">
      <c r="A12" s="8" t="s">
        <v>7030</v>
      </c>
      <c r="G12" s="22"/>
      <c r="H12" s="22"/>
    </row>
    <row r="13" spans="1:15" x14ac:dyDescent="0.25">
      <c r="A13" s="8" t="s">
        <v>4761</v>
      </c>
      <c r="B13" s="22" t="s">
        <v>7031</v>
      </c>
      <c r="C13" s="22"/>
      <c r="F13" s="139"/>
      <c r="J13" s="138" t="str">
        <f>"Total all instances ("&amp;EMP&amp;EMP!C16&amp;" to "&amp;EMP&amp;EMP!G25&amp;")"</f>
        <v>Total all instances (EMP9 to EMP16)</v>
      </c>
    </row>
    <row r="14" spans="1:15" x14ac:dyDescent="0.25">
      <c r="A14" s="8" t="s">
        <v>4765</v>
      </c>
      <c r="F14" s="26"/>
      <c r="H14" s="138"/>
      <c r="I14" s="2148" t="str">
        <f>A5</f>
        <v>c1.5</v>
      </c>
      <c r="J14" s="2149">
        <f>EMP!S17+EMP!T17</f>
        <v>0</v>
      </c>
      <c r="K14" s="225" t="s">
        <v>7022</v>
      </c>
      <c r="N14" s="78"/>
      <c r="O14" s="78"/>
    </row>
    <row r="15" spans="1:15" x14ac:dyDescent="0.25">
      <c r="A15" s="8" t="s">
        <v>7032</v>
      </c>
      <c r="D15" s="8" t="str">
        <f>"Complete "&amp;E16&amp;" to "&amp;E18&amp;" for each instance of employment"</f>
        <v>Complete c1.5a to c1.5c for each instance of employment</v>
      </c>
      <c r="G15" s="8"/>
      <c r="H15" s="26"/>
    </row>
    <row r="16" spans="1:15" x14ac:dyDescent="0.25">
      <c r="A16" s="8" t="s">
        <v>7033</v>
      </c>
      <c r="B16" s="137"/>
      <c r="C16" s="137"/>
      <c r="D16" s="9" t="str">
        <f>"("&amp;EMP&amp;EMP!C4&amp;" + "&amp;EMP&amp;EMP!C10&amp;") + ("&amp;EMP&amp;EMP!C16&amp;" to "&amp;EMP&amp;EMP!G25&amp;")"</f>
        <v>(EMP1 + EMP3) + (EMP9 to EMP16)</v>
      </c>
      <c r="E16" s="2148" t="str">
        <f>A6</f>
        <v>c1.5a</v>
      </c>
      <c r="F16" s="2149">
        <f>EMP!S5+EMP!S17</f>
        <v>0</v>
      </c>
      <c r="G16" s="2149">
        <f>EMP!T5+EMP!T17</f>
        <v>0</v>
      </c>
      <c r="H16" s="225" t="s">
        <v>7029</v>
      </c>
    </row>
    <row r="17" spans="1:15" x14ac:dyDescent="0.25">
      <c r="A17" s="8" t="s">
        <v>7034</v>
      </c>
      <c r="B17" s="137"/>
      <c r="C17" s="137"/>
      <c r="D17" s="9" t="str">
        <f>"Total "&amp;EMP&amp;EMP!C30&amp;" to "&amp;EMP&amp;EMP!G33</f>
        <v>Total EMP17 to EMP20</v>
      </c>
      <c r="E17" s="2148" t="str">
        <f>A7</f>
        <v>c1.5b</v>
      </c>
      <c r="F17" s="2149">
        <f>EMP!S31</f>
        <v>0</v>
      </c>
      <c r="G17" s="2149">
        <f>EMP!T31</f>
        <v>0</v>
      </c>
      <c r="H17" s="225" t="s">
        <v>7035</v>
      </c>
    </row>
    <row r="18" spans="1:15" x14ac:dyDescent="0.25">
      <c r="A18" s="8" t="s">
        <v>7036</v>
      </c>
      <c r="B18" s="137"/>
      <c r="C18" s="137"/>
      <c r="D18" s="9" t="str">
        <f>"lower of "&amp;E16&amp;" and "&amp;E17</f>
        <v>lower of c1.5a and c1.5b</v>
      </c>
      <c r="E18" s="2148" t="str">
        <f>A8</f>
        <v>c1.5c</v>
      </c>
      <c r="F18" s="2149">
        <f>MIN(F16,F17)</f>
        <v>0</v>
      </c>
      <c r="G18" s="2149">
        <f>MIN(G16,G17)</f>
        <v>0</v>
      </c>
    </row>
    <row r="19" spans="1:15" x14ac:dyDescent="0.25">
      <c r="A19" s="8" t="s">
        <v>7037</v>
      </c>
      <c r="N19" s="78"/>
      <c r="O19" s="78"/>
    </row>
    <row r="20" spans="1:15" x14ac:dyDescent="0.25">
      <c r="A20" s="8" t="s">
        <v>7038</v>
      </c>
      <c r="B20" s="22" t="s">
        <v>7039</v>
      </c>
      <c r="C20" s="22"/>
      <c r="D20" s="9" t="str">
        <f>"Sum of all boxes "&amp;E18</f>
        <v>Sum of all boxes c1.5c</v>
      </c>
      <c r="E20" s="2148" t="str">
        <f>A9</f>
        <v>c1.6</v>
      </c>
      <c r="F20" s="2149">
        <f>F18+G18</f>
        <v>0</v>
      </c>
      <c r="G20" s="387"/>
      <c r="H20" s="22"/>
      <c r="J20" s="9" t="str">
        <f>E20&amp;" + "&amp;E21</f>
        <v>c1.6 + c1.7</v>
      </c>
    </row>
    <row r="21" spans="1:15" x14ac:dyDescent="0.25">
      <c r="A21" s="8" t="s">
        <v>7040</v>
      </c>
      <c r="D21" s="138" t="str">
        <f>"Total all boxes "&amp;ASE&amp;ASE!G11&amp;" to "&amp;ASE&amp;ASE!G17</f>
        <v>Total all boxes ASE11 to ASE13</v>
      </c>
      <c r="E21" s="2148" t="str">
        <f>A10</f>
        <v>c1.7</v>
      </c>
      <c r="F21" s="2129">
        <f>TRUNC((ASE!H12+ASE!H15+ASE!H18)+0.99,0)</f>
        <v>0</v>
      </c>
      <c r="G21" s="225" t="s">
        <v>7035</v>
      </c>
      <c r="I21" s="2148" t="str">
        <f>A11</f>
        <v>c1.8</v>
      </c>
      <c r="J21" s="2029">
        <f>F20+F21</f>
        <v>0</v>
      </c>
      <c r="N21" s="30"/>
      <c r="O21" s="30"/>
    </row>
    <row r="22" spans="1:15" x14ac:dyDescent="0.25">
      <c r="A22" s="8" t="s">
        <v>7041</v>
      </c>
      <c r="B22" s="22"/>
      <c r="C22" s="22"/>
      <c r="G22" s="8"/>
      <c r="H22" s="8"/>
    </row>
    <row r="23" spans="1:15" x14ac:dyDescent="0.25">
      <c r="A23" s="8" t="s">
        <v>7042</v>
      </c>
      <c r="B23" s="22"/>
      <c r="C23" s="22"/>
      <c r="G23" s="8"/>
      <c r="H23" s="8"/>
      <c r="J23" s="1027" t="s">
        <v>7043</v>
      </c>
    </row>
    <row r="24" spans="1:15" x14ac:dyDescent="0.25">
      <c r="B24" s="22"/>
      <c r="C24" s="22"/>
      <c r="G24" s="8"/>
      <c r="H24" s="8"/>
      <c r="I24" s="2148" t="str">
        <f>A12</f>
        <v>c1.8.1</v>
      </c>
      <c r="J24" s="2150">
        <v>0</v>
      </c>
      <c r="K24" s="1034" t="s">
        <v>7022</v>
      </c>
      <c r="L24" s="1035"/>
    </row>
    <row r="25" spans="1:15" x14ac:dyDescent="0.25">
      <c r="B25" s="22"/>
      <c r="C25" s="22"/>
      <c r="F25" s="1025"/>
      <c r="G25" s="1025"/>
      <c r="H25" s="1025"/>
      <c r="I25" s="2399"/>
      <c r="J25" s="2400"/>
      <c r="K25" s="387"/>
      <c r="L25" s="210"/>
    </row>
    <row r="26" spans="1:15" x14ac:dyDescent="0.25">
      <c r="B26" s="22"/>
      <c r="C26" s="22"/>
      <c r="F26" s="1025"/>
      <c r="G26" s="1025"/>
      <c r="H26" s="1025"/>
      <c r="I26" s="2399"/>
      <c r="J26" s="2400"/>
      <c r="K26" s="387"/>
      <c r="L26" s="210"/>
    </row>
    <row r="27" spans="1:15" x14ac:dyDescent="0.25">
      <c r="B27" s="22"/>
      <c r="C27" s="22"/>
      <c r="F27" s="1025"/>
      <c r="G27" s="1025"/>
      <c r="H27" s="1025"/>
      <c r="I27" s="2399"/>
      <c r="J27" s="2400"/>
      <c r="K27" s="387"/>
      <c r="L27" s="210"/>
    </row>
    <row r="28" spans="1:15" x14ac:dyDescent="0.25">
      <c r="B28" s="22"/>
      <c r="C28" s="22"/>
      <c r="F28" s="1025"/>
      <c r="G28" s="1025"/>
      <c r="H28" s="1025"/>
      <c r="I28" s="2399"/>
      <c r="J28" s="2400"/>
      <c r="K28" s="387"/>
      <c r="L28" s="210"/>
    </row>
    <row r="29" spans="1:15" x14ac:dyDescent="0.25">
      <c r="B29" s="22"/>
      <c r="C29" s="22"/>
      <c r="F29" s="1025"/>
      <c r="G29" s="1025"/>
      <c r="H29" s="1025"/>
      <c r="I29" s="1025"/>
      <c r="J29" s="2400"/>
    </row>
    <row r="30" spans="1:15" x14ac:dyDescent="0.25">
      <c r="A30" s="8" t="s">
        <v>7044</v>
      </c>
      <c r="B30" s="22"/>
      <c r="C30" s="22"/>
      <c r="G30" s="8"/>
      <c r="H30" s="8"/>
      <c r="I30" s="1025"/>
      <c r="J30" s="1026" t="str">
        <f>"("&amp;I11&amp;" + "&amp;I14&amp;") minus "&amp;I21</f>
        <v>(c1.4 + c1.5) minus c1.8</v>
      </c>
    </row>
    <row r="31" spans="1:15" x14ac:dyDescent="0.25">
      <c r="A31" s="8" t="s">
        <v>7045</v>
      </c>
      <c r="B31" s="22"/>
      <c r="C31" s="22"/>
      <c r="G31" s="8"/>
      <c r="H31" s="8"/>
      <c r="I31" s="2148" t="str">
        <f>A13</f>
        <v>c1.9</v>
      </c>
      <c r="J31" s="2150">
        <f>MAX(0,((J11+J14)-J21))</f>
        <v>0</v>
      </c>
    </row>
    <row r="32" spans="1:15" x14ac:dyDescent="0.25">
      <c r="A32" s="8" t="s">
        <v>7046</v>
      </c>
      <c r="B32" s="2151"/>
      <c r="C32" s="2151"/>
      <c r="D32" s="2151"/>
      <c r="E32" s="2151"/>
      <c r="F32" s="2151"/>
      <c r="G32" s="2151"/>
      <c r="H32" s="2151"/>
      <c r="I32" s="2151"/>
      <c r="J32" s="2151"/>
      <c r="K32" s="2151"/>
      <c r="L32" s="2151"/>
      <c r="M32" s="2152"/>
    </row>
    <row r="33" spans="1:30" x14ac:dyDescent="0.25">
      <c r="A33" s="8" t="s">
        <v>7047</v>
      </c>
      <c r="D33" s="83"/>
      <c r="G33" s="8"/>
      <c r="H33" s="8"/>
    </row>
    <row r="34" spans="1:30" x14ac:dyDescent="0.25">
      <c r="A34" s="8" t="s">
        <v>7048</v>
      </c>
      <c r="J34" s="141" t="str">
        <f>"from "&amp;ASE&amp;ASE!C5</f>
        <v>from ASE1</v>
      </c>
    </row>
    <row r="35" spans="1:30" x14ac:dyDescent="0.25">
      <c r="A35" s="8" t="s">
        <v>7049</v>
      </c>
      <c r="B35" s="140" t="s">
        <v>7050</v>
      </c>
      <c r="C35" s="140"/>
      <c r="D35" s="140"/>
      <c r="E35" s="139"/>
      <c r="F35" s="139"/>
      <c r="H35" s="141"/>
      <c r="I35" s="2148" t="str">
        <f>A14</f>
        <v>c1.10</v>
      </c>
      <c r="J35" s="2150">
        <f>TRUNC(ASE!D6,0)</f>
        <v>0</v>
      </c>
      <c r="K35" s="225" t="s">
        <v>7029</v>
      </c>
      <c r="N35" s="78"/>
    </row>
    <row r="36" spans="1:30" x14ac:dyDescent="0.25">
      <c r="A36" s="8" t="s">
        <v>7051</v>
      </c>
      <c r="B36" s="2151"/>
      <c r="C36" s="2151"/>
      <c r="D36" s="2151"/>
      <c r="E36" s="2151"/>
      <c r="F36" s="2151"/>
      <c r="G36" s="2151"/>
      <c r="H36" s="2151"/>
      <c r="I36" s="2151"/>
      <c r="J36" s="2151"/>
      <c r="K36" s="2151"/>
      <c r="L36" s="2151"/>
      <c r="M36" s="2152"/>
    </row>
    <row r="37" spans="1:30" x14ac:dyDescent="0.25">
      <c r="A37" s="8" t="s">
        <v>4775</v>
      </c>
    </row>
    <row r="38" spans="1:30" x14ac:dyDescent="0.25">
      <c r="A38" s="8" t="s">
        <v>7052</v>
      </c>
      <c r="B38" s="140" t="s">
        <v>6607</v>
      </c>
    </row>
    <row r="39" spans="1:30" x14ac:dyDescent="0.25">
      <c r="A39" s="8" t="s">
        <v>7053</v>
      </c>
      <c r="C39" s="140"/>
      <c r="F39" s="141" t="str">
        <f>"Total all instances ("&amp;SSE&amp;SE!C5&amp;")"</f>
        <v>Total all instances (SSE29)</v>
      </c>
      <c r="G39" s="8"/>
      <c r="H39" s="8"/>
    </row>
    <row r="40" spans="1:30" x14ac:dyDescent="0.25">
      <c r="A40" s="8" t="s">
        <v>7054</v>
      </c>
      <c r="B40" s="79" t="s">
        <v>7055</v>
      </c>
      <c r="C40" s="79"/>
      <c r="D40" s="9"/>
      <c r="E40" s="2148" t="str">
        <f>A15</f>
        <v>c1.11</v>
      </c>
      <c r="F40" s="2150">
        <f>TRUNC(SE!D6+0.99,0)</f>
        <v>0</v>
      </c>
      <c r="G40" s="221" t="s">
        <v>7056</v>
      </c>
      <c r="H40" s="22"/>
      <c r="I40" s="79"/>
    </row>
    <row r="41" spans="1:30" x14ac:dyDescent="0.25">
      <c r="A41" s="8" t="s">
        <v>7057</v>
      </c>
      <c r="F41" s="9" t="str">
        <f>"Copy to "&amp;'Deductions (c4)'!Q30</f>
        <v>Copy to c4.5</v>
      </c>
      <c r="G41" s="8"/>
    </row>
    <row r="42" spans="1:30" x14ac:dyDescent="0.25">
      <c r="A42" s="8" t="s">
        <v>7058</v>
      </c>
      <c r="G42" s="8"/>
    </row>
    <row r="43" spans="1:30" x14ac:dyDescent="0.25">
      <c r="A43" s="8" t="s">
        <v>4791</v>
      </c>
      <c r="F43" s="141" t="str">
        <f>"Total all instances ("&amp;SSE&amp;SE!C8&amp;")"</f>
        <v>Total all instances (SSE31)</v>
      </c>
      <c r="G43" s="8"/>
      <c r="J43" s="9" t="str">
        <f>E44&amp;" + "&amp;E40</f>
        <v>c1.12 + c1.11</v>
      </c>
    </row>
    <row r="44" spans="1:30" x14ac:dyDescent="0.25">
      <c r="A44" s="8" t="s">
        <v>7059</v>
      </c>
      <c r="B44" s="8" t="s">
        <v>7060</v>
      </c>
      <c r="D44" s="9"/>
      <c r="E44" s="2148" t="str">
        <f>A16</f>
        <v>c1.12</v>
      </c>
      <c r="F44" s="2150">
        <f>TRUNC(SE!D9,0)</f>
        <v>0</v>
      </c>
      <c r="G44" s="221" t="s">
        <v>7061</v>
      </c>
      <c r="I44" s="2148" t="str">
        <f>A17</f>
        <v>c1.13</v>
      </c>
      <c r="J44" s="2150">
        <f>MAX(F44+F40,0)</f>
        <v>0</v>
      </c>
    </row>
    <row r="45" spans="1:30" x14ac:dyDescent="0.25">
      <c r="A45" s="8" t="s">
        <v>7062</v>
      </c>
      <c r="G45" s="8"/>
    </row>
    <row r="46" spans="1:30" x14ac:dyDescent="0.25">
      <c r="A46" s="8" t="s">
        <v>7063</v>
      </c>
      <c r="F46" s="141" t="str">
        <f>"Total all instances ("&amp;FSE&amp;SE!G11&amp;")"</f>
        <v>Total all instances (FSE74)</v>
      </c>
      <c r="G46" s="8"/>
    </row>
    <row r="47" spans="1:30" x14ac:dyDescent="0.25">
      <c r="A47" s="8" t="s">
        <v>7064</v>
      </c>
      <c r="B47" s="79" t="s">
        <v>7055</v>
      </c>
      <c r="D47" s="9"/>
      <c r="E47" s="2148" t="str">
        <f>A18</f>
        <v>c1.14</v>
      </c>
      <c r="F47" s="2150">
        <f>TRUNC(SE!H12+0.99,0)</f>
        <v>0</v>
      </c>
      <c r="G47" s="221" t="s">
        <v>7065</v>
      </c>
      <c r="AD47" s="78"/>
    </row>
    <row r="48" spans="1:30" x14ac:dyDescent="0.25">
      <c r="A48" s="8" t="s">
        <v>7066</v>
      </c>
      <c r="F48" s="9" t="str">
        <f>"Copy to "&amp;'Deductions (c4)'!Q41</f>
        <v>Copy to c4.7</v>
      </c>
      <c r="G48" s="8"/>
      <c r="AD48" s="79"/>
    </row>
    <row r="49" spans="1:30" x14ac:dyDescent="0.25">
      <c r="A49" s="8" t="s">
        <v>7067</v>
      </c>
      <c r="G49" s="8"/>
      <c r="AD49" s="79"/>
    </row>
    <row r="50" spans="1:30" x14ac:dyDescent="0.25">
      <c r="A50" s="8" t="s">
        <v>7068</v>
      </c>
      <c r="F50" s="141" t="str">
        <f>"Total all instances ("&amp;FSE&amp;SE!G14&amp;")"</f>
        <v>Total all instances (FSE76)</v>
      </c>
      <c r="G50" s="8"/>
      <c r="J50" s="9" t="str">
        <f>E51&amp;" + "&amp;E47</f>
        <v>c1.15 + c1.14</v>
      </c>
    </row>
    <row r="51" spans="1:30" x14ac:dyDescent="0.25">
      <c r="A51" s="8" t="s">
        <v>7069</v>
      </c>
      <c r="B51" s="8" t="s">
        <v>7060</v>
      </c>
      <c r="D51" s="9"/>
      <c r="E51" s="2148" t="str">
        <f>A19</f>
        <v>c1.15</v>
      </c>
      <c r="F51" s="2150">
        <f>TRUNC(SE!H15,0)</f>
        <v>0</v>
      </c>
      <c r="G51" s="221" t="s">
        <v>7070</v>
      </c>
      <c r="H51" s="22"/>
      <c r="I51" s="2148" t="str">
        <f>A20</f>
        <v>c1.16</v>
      </c>
      <c r="J51" s="2150">
        <f>MAX(F51+F47,0)</f>
        <v>0</v>
      </c>
      <c r="M51" s="30"/>
      <c r="AD51" s="79"/>
    </row>
    <row r="52" spans="1:30" x14ac:dyDescent="0.25">
      <c r="A52" s="8" t="s">
        <v>7071</v>
      </c>
      <c r="D52" s="9"/>
      <c r="E52" s="140"/>
      <c r="F52" s="30"/>
      <c r="G52" s="221"/>
      <c r="H52" s="22"/>
      <c r="I52" s="140"/>
      <c r="J52" s="30"/>
      <c r="M52" s="30"/>
      <c r="AD52" s="79"/>
    </row>
    <row r="53" spans="1:30" x14ac:dyDescent="0.25">
      <c r="A53" s="8" t="s">
        <v>7072</v>
      </c>
      <c r="D53" s="9"/>
      <c r="E53" s="140"/>
      <c r="F53" s="30"/>
      <c r="G53" s="221"/>
      <c r="H53" s="22"/>
      <c r="I53" s="140"/>
      <c r="J53" s="30"/>
      <c r="M53" s="30"/>
      <c r="AD53" s="79"/>
    </row>
    <row r="54" spans="1:30" x14ac:dyDescent="0.25">
      <c r="A54" s="8" t="s">
        <v>7073</v>
      </c>
      <c r="J54" s="9" t="str">
        <f>I44&amp;" + "&amp;I51</f>
        <v>c1.13 + c1.16</v>
      </c>
      <c r="M54" s="30"/>
      <c r="AD54" s="79"/>
    </row>
    <row r="55" spans="1:30" x14ac:dyDescent="0.25">
      <c r="A55" s="8" t="s">
        <v>7074</v>
      </c>
      <c r="B55" s="8" t="s">
        <v>7075</v>
      </c>
      <c r="I55" s="2148" t="str">
        <f>A21</f>
        <v>c1.17</v>
      </c>
      <c r="J55" s="2150">
        <f>J44+J51</f>
        <v>0</v>
      </c>
      <c r="M55" s="30"/>
      <c r="AD55" s="79"/>
    </row>
    <row r="56" spans="1:30" x14ac:dyDescent="0.25">
      <c r="A56" s="8" t="s">
        <v>7076</v>
      </c>
      <c r="I56" s="140"/>
      <c r="J56" s="30"/>
      <c r="M56" s="30"/>
      <c r="AD56" s="79"/>
    </row>
    <row r="57" spans="1:30" x14ac:dyDescent="0.25">
      <c r="A57" s="8" t="s">
        <v>7077</v>
      </c>
      <c r="B57" s="2151"/>
      <c r="C57" s="2151"/>
      <c r="D57" s="2151"/>
      <c r="E57" s="2151"/>
      <c r="F57" s="2151"/>
      <c r="G57" s="2151"/>
      <c r="H57" s="2151"/>
      <c r="I57" s="2151"/>
      <c r="J57" s="2151"/>
      <c r="K57" s="2151"/>
      <c r="L57" s="2151"/>
      <c r="M57" s="2152"/>
      <c r="AD57" s="79"/>
    </row>
    <row r="58" spans="1:30" x14ac:dyDescent="0.25">
      <c r="A58" s="8" t="s">
        <v>7078</v>
      </c>
      <c r="AD58" s="79"/>
    </row>
    <row r="59" spans="1:30" x14ac:dyDescent="0.25">
      <c r="A59" s="8" t="s">
        <v>7079</v>
      </c>
      <c r="B59" s="140" t="s">
        <v>1498</v>
      </c>
      <c r="F59" s="138" t="str">
        <f>"from "&amp;LUN&amp;LUN!K4</f>
        <v>from LUN51</v>
      </c>
      <c r="AD59" s="79"/>
    </row>
    <row r="60" spans="1:30" x14ac:dyDescent="0.25">
      <c r="A60" s="8" t="s">
        <v>7080</v>
      </c>
      <c r="B60" s="79" t="s">
        <v>7055</v>
      </c>
      <c r="C60" s="140"/>
      <c r="E60" s="2148" t="str">
        <f>A22</f>
        <v>c1.18</v>
      </c>
      <c r="F60" s="2150">
        <f>TRUNC(LUN!L5+0.99,0)</f>
        <v>0</v>
      </c>
      <c r="G60" s="221" t="s">
        <v>7035</v>
      </c>
      <c r="L60" s="30"/>
      <c r="AD60" s="79"/>
    </row>
    <row r="61" spans="1:30" x14ac:dyDescent="0.25">
      <c r="A61" s="8" t="s">
        <v>7081</v>
      </c>
      <c r="B61" s="79"/>
      <c r="C61" s="140"/>
      <c r="E61" s="140"/>
      <c r="F61" s="9" t="str">
        <f>"Copy to "&amp;'Deductions (c4)'!Q163</f>
        <v>Copy to c4.35</v>
      </c>
      <c r="G61" s="221"/>
      <c r="L61" s="30"/>
      <c r="AD61" s="79"/>
    </row>
    <row r="62" spans="1:30" x14ac:dyDescent="0.25">
      <c r="A62" s="8" t="s">
        <v>7082</v>
      </c>
      <c r="G62" s="8"/>
      <c r="AD62" s="79"/>
    </row>
    <row r="63" spans="1:30" x14ac:dyDescent="0.25">
      <c r="A63" s="8" t="s">
        <v>7083</v>
      </c>
      <c r="F63" s="141" t="str">
        <f>"from "&amp;LUN&amp;LUN!K7</f>
        <v>from LUN52</v>
      </c>
      <c r="G63" s="8"/>
      <c r="J63" s="9" t="str">
        <f>E64&amp;" + "&amp;E60</f>
        <v>c1.19 + c1.18</v>
      </c>
      <c r="AD63" s="79"/>
    </row>
    <row r="64" spans="1:30" x14ac:dyDescent="0.25">
      <c r="A64" s="8" t="s">
        <v>7084</v>
      </c>
      <c r="B64" s="8" t="s">
        <v>7060</v>
      </c>
      <c r="E64" s="2148" t="str">
        <f>A23</f>
        <v>c1.19</v>
      </c>
      <c r="F64" s="2150">
        <f>TRUNC(LUN!L8,0)</f>
        <v>0</v>
      </c>
      <c r="G64" s="221" t="s">
        <v>7029</v>
      </c>
      <c r="I64" s="2148" t="str">
        <f>A30</f>
        <v>c1.20</v>
      </c>
      <c r="J64" s="2150">
        <f>MAX(F64+F60,0)</f>
        <v>0</v>
      </c>
      <c r="AD64" s="79"/>
    </row>
    <row r="65" spans="1:30" x14ac:dyDescent="0.25">
      <c r="A65" s="8" t="s">
        <v>7085</v>
      </c>
      <c r="B65" s="2151"/>
      <c r="C65" s="2151"/>
      <c r="D65" s="2151"/>
      <c r="E65" s="2151"/>
      <c r="F65" s="2151"/>
      <c r="G65" s="2151"/>
      <c r="H65" s="2151"/>
      <c r="I65" s="2151"/>
      <c r="J65" s="2151"/>
      <c r="K65" s="2151"/>
      <c r="L65" s="2151"/>
      <c r="M65" s="2152"/>
    </row>
    <row r="66" spans="1:30" x14ac:dyDescent="0.25">
      <c r="A66" s="8" t="s">
        <v>7086</v>
      </c>
      <c r="B66" s="79"/>
      <c r="C66" s="79"/>
      <c r="G66" s="8"/>
      <c r="H66" s="8"/>
      <c r="AD66" s="79"/>
    </row>
    <row r="67" spans="1:30" x14ac:dyDescent="0.25">
      <c r="B67" s="140" t="s">
        <v>6608</v>
      </c>
      <c r="C67" s="140"/>
      <c r="F67" s="141" t="str">
        <f>"Total all instances ("&amp;SPS&amp;PS!C4&amp;")"</f>
        <v>Total all instances (SPS17)</v>
      </c>
      <c r="G67" s="8"/>
      <c r="H67" s="8"/>
      <c r="AD67" s="79"/>
    </row>
    <row r="68" spans="1:30" x14ac:dyDescent="0.25">
      <c r="B68" s="79" t="s">
        <v>7055</v>
      </c>
      <c r="C68" s="79"/>
      <c r="E68" s="2148" t="str">
        <f>A31</f>
        <v>c1.21</v>
      </c>
      <c r="F68" s="2150">
        <f>TRUNC(PS!D5+0.99,0)</f>
        <v>0</v>
      </c>
      <c r="G68" s="221" t="s">
        <v>7087</v>
      </c>
      <c r="H68" s="22"/>
      <c r="I68" s="79"/>
      <c r="K68" s="79"/>
      <c r="M68" s="78"/>
    </row>
    <row r="69" spans="1:30" x14ac:dyDescent="0.25">
      <c r="F69" s="9" t="str">
        <f>"Copy to "&amp;'Deductions (c4)'!Q74</f>
        <v>Copy to c4.13</v>
      </c>
      <c r="G69" s="8"/>
      <c r="AD69" s="79"/>
    </row>
    <row r="70" spans="1:30" x14ac:dyDescent="0.25">
      <c r="G70" s="8"/>
    </row>
    <row r="71" spans="1:30" x14ac:dyDescent="0.25">
      <c r="F71" s="141" t="str">
        <f>"Total all instances ("&amp;SPS&amp;PS!C7&amp;")"</f>
        <v>Total all instances (SPS20)</v>
      </c>
      <c r="G71" s="8"/>
      <c r="J71" s="9" t="str">
        <f>E72&amp;" + "&amp;E68</f>
        <v>c1.22 + c1.21</v>
      </c>
    </row>
    <row r="72" spans="1:30" x14ac:dyDescent="0.25">
      <c r="B72" s="8" t="s">
        <v>7088</v>
      </c>
      <c r="E72" s="2148" t="str">
        <f>A32</f>
        <v>c1.22</v>
      </c>
      <c r="F72" s="2150">
        <f>TRUNC(PS!D8,0)</f>
        <v>0</v>
      </c>
      <c r="G72" s="221" t="s">
        <v>7089</v>
      </c>
      <c r="I72" s="2148" t="str">
        <f>A33</f>
        <v>c1.23</v>
      </c>
      <c r="J72" s="2150">
        <f>MAX(F72+F68,0)</f>
        <v>0</v>
      </c>
    </row>
    <row r="73" spans="1:30" x14ac:dyDescent="0.25">
      <c r="G73" s="8"/>
    </row>
    <row r="74" spans="1:30" x14ac:dyDescent="0.25">
      <c r="F74" s="141" t="str">
        <f>"Total all instances ("&amp;FPS&amp;PS!J4&amp;" + "&amp;FPS&amp;PS!G20&amp;" + "&amp;FPS&amp;PS!G29&amp;" + "&amp;FPS&amp;PS!G32&amp;")"</f>
        <v>Total all instances (FPS17 + FPS38 + FPS47 + FPS58)</v>
      </c>
      <c r="G74" s="8"/>
    </row>
    <row r="75" spans="1:30" x14ac:dyDescent="0.25">
      <c r="B75" s="79" t="s">
        <v>7055</v>
      </c>
      <c r="E75" s="2148" t="str">
        <f>A34</f>
        <v>c1.24</v>
      </c>
      <c r="F75" s="2150">
        <f>TRUNC(PS!K5+0.99,0)+TRUNC(PS!H21+0.99,0)+TRUNC(PS!H30+0.99,0)+TRUNC(PS!H33+0.99,0)</f>
        <v>0</v>
      </c>
      <c r="G75" s="221" t="s">
        <v>7090</v>
      </c>
      <c r="H75" s="22"/>
      <c r="K75" s="78"/>
    </row>
    <row r="76" spans="1:30" x14ac:dyDescent="0.25">
      <c r="F76" s="9" t="str">
        <f>"Copy to "&amp;'Deductions (c4)'!Q100</f>
        <v>Copy to c4.19</v>
      </c>
      <c r="G76" s="8"/>
    </row>
    <row r="77" spans="1:30" x14ac:dyDescent="0.25">
      <c r="F77" s="9"/>
      <c r="G77" s="8"/>
      <c r="O77" s="78"/>
    </row>
    <row r="78" spans="1:30" x14ac:dyDescent="0.25">
      <c r="F78" s="141" t="str">
        <f>"Total all instances ("&amp;FPS&amp;PS!G45&amp;")"</f>
        <v>Total all instances (FPS76)</v>
      </c>
      <c r="G78" s="8"/>
      <c r="J78" s="9" t="str">
        <f>E79&amp;" + "&amp;E75</f>
        <v>c1.25 + c1.24</v>
      </c>
    </row>
    <row r="79" spans="1:30" x14ac:dyDescent="0.25">
      <c r="B79" s="8" t="s">
        <v>7088</v>
      </c>
      <c r="E79" s="2148" t="str">
        <f>A35</f>
        <v>c1.25</v>
      </c>
      <c r="F79" s="2150">
        <f>TRUNC(PS!H46,0)</f>
        <v>0</v>
      </c>
      <c r="G79" s="221" t="s">
        <v>7091</v>
      </c>
      <c r="I79" s="2148" t="str">
        <f>A36</f>
        <v>c1.26</v>
      </c>
      <c r="J79" s="2150">
        <f>MAX(F79+F75,0)</f>
        <v>0</v>
      </c>
      <c r="N79" s="78"/>
      <c r="O79" s="35"/>
    </row>
    <row r="80" spans="1:30" x14ac:dyDescent="0.25">
      <c r="G80" s="8"/>
      <c r="N80" s="78"/>
      <c r="O80" s="35"/>
    </row>
    <row r="81" spans="1:15" x14ac:dyDescent="0.25">
      <c r="J81" s="9" t="str">
        <f>I72&amp;" + "&amp;I79</f>
        <v>c1.23 + c1.26</v>
      </c>
      <c r="O81" s="35"/>
    </row>
    <row r="82" spans="1:15" x14ac:dyDescent="0.25">
      <c r="B82" s="8" t="s">
        <v>7092</v>
      </c>
      <c r="I82" s="2148" t="str">
        <f>A37</f>
        <v>c1.27</v>
      </c>
      <c r="J82" s="2150">
        <f>J72+J79</f>
        <v>0</v>
      </c>
    </row>
    <row r="83" spans="1:15" x14ac:dyDescent="0.25">
      <c r="A83" s="8" t="s">
        <v>7093</v>
      </c>
      <c r="I83" s="140"/>
      <c r="J83" s="30"/>
    </row>
    <row r="84" spans="1:15" x14ac:dyDescent="0.25">
      <c r="A84" s="8" t="s">
        <v>7094</v>
      </c>
      <c r="B84" s="2151"/>
      <c r="C84" s="2151"/>
      <c r="D84" s="2151"/>
      <c r="E84" s="2151"/>
      <c r="F84" s="2151"/>
      <c r="G84" s="2151"/>
      <c r="H84" s="2151"/>
      <c r="I84" s="2151"/>
      <c r="J84" s="2151"/>
      <c r="K84" s="2151"/>
      <c r="L84" s="2151"/>
      <c r="M84" s="2152"/>
    </row>
    <row r="85" spans="1:15" x14ac:dyDescent="0.25">
      <c r="A85" s="8" t="s">
        <v>7095</v>
      </c>
      <c r="G85" s="8"/>
      <c r="H85" s="8"/>
      <c r="L85" s="30"/>
    </row>
    <row r="86" spans="1:15" x14ac:dyDescent="0.25">
      <c r="A86" s="8" t="s">
        <v>7096</v>
      </c>
      <c r="B86" s="140" t="s">
        <v>6611</v>
      </c>
      <c r="C86" s="140"/>
      <c r="K86" s="225"/>
    </row>
    <row r="87" spans="1:15" x14ac:dyDescent="0.25">
      <c r="A87" s="8" t="s">
        <v>7097</v>
      </c>
      <c r="B87" s="140" t="s">
        <v>502</v>
      </c>
      <c r="F87" s="1017" t="s">
        <v>7043</v>
      </c>
    </row>
    <row r="88" spans="1:15" x14ac:dyDescent="0.25">
      <c r="A88" s="8" t="s">
        <v>7098</v>
      </c>
      <c r="B88" s="79" t="s">
        <v>7099</v>
      </c>
      <c r="E88" s="2148" t="str">
        <f>A38</f>
        <v>c1.28</v>
      </c>
      <c r="F88" s="2150">
        <v>0</v>
      </c>
      <c r="G88" s="1036" t="s">
        <v>7100</v>
      </c>
      <c r="I88" s="167"/>
      <c r="J88" s="26"/>
      <c r="M88" s="167"/>
    </row>
    <row r="89" spans="1:15" x14ac:dyDescent="0.25">
      <c r="A89" s="8" t="s">
        <v>7101</v>
      </c>
      <c r="F89" s="1019" t="str">
        <f>"Copy to "&amp;'Deductions (c4)'!Q142</f>
        <v>Copy to c4.27</v>
      </c>
      <c r="G89" s="8"/>
    </row>
    <row r="90" spans="1:15" x14ac:dyDescent="0.25">
      <c r="A90" s="8" t="s">
        <v>7102</v>
      </c>
      <c r="G90" s="8"/>
    </row>
    <row r="91" spans="1:15" x14ac:dyDescent="0.25">
      <c r="A91" s="8" t="s">
        <v>4834</v>
      </c>
      <c r="F91" s="1020" t="s">
        <v>7043</v>
      </c>
      <c r="G91" s="8"/>
      <c r="J91" s="1020" t="s">
        <v>7043</v>
      </c>
    </row>
    <row r="92" spans="1:15" x14ac:dyDescent="0.25">
      <c r="A92" s="8" t="s">
        <v>7103</v>
      </c>
      <c r="B92" s="8" t="s">
        <v>7104</v>
      </c>
      <c r="E92" s="2148" t="str">
        <f>A39</f>
        <v>c1.29</v>
      </c>
      <c r="F92" s="2150">
        <v>0</v>
      </c>
      <c r="G92" s="1036" t="s">
        <v>7105</v>
      </c>
      <c r="H92" s="1019"/>
      <c r="I92" s="2148" t="str">
        <f>A40</f>
        <v>c1.30</v>
      </c>
      <c r="J92" s="2150">
        <v>0</v>
      </c>
    </row>
    <row r="93" spans="1:15" x14ac:dyDescent="0.25">
      <c r="A93" s="8" t="s">
        <v>7106</v>
      </c>
    </row>
    <row r="94" spans="1:15" x14ac:dyDescent="0.25">
      <c r="A94" s="8" t="s">
        <v>7107</v>
      </c>
      <c r="B94" s="140" t="s">
        <v>7108</v>
      </c>
    </row>
    <row r="95" spans="1:15" x14ac:dyDescent="0.25">
      <c r="A95" s="8" t="s">
        <v>7109</v>
      </c>
      <c r="F95" s="138" t="str">
        <f>"lower of "&amp;PRO&amp;PRO!G13&amp;" and "&amp;PRO&amp;PRO!G16</f>
        <v>lower of PRO38 and PRO39</v>
      </c>
    </row>
    <row r="96" spans="1:15" x14ac:dyDescent="0.25">
      <c r="A96" s="8" t="s">
        <v>4850</v>
      </c>
      <c r="B96" s="79" t="s">
        <v>7099</v>
      </c>
      <c r="E96" s="2148" t="str">
        <f>A41</f>
        <v>c1.31</v>
      </c>
      <c r="F96" s="2150">
        <f>MAX(0,MIN(TRUNC(PRO!H14,0),TRUNC(PRO!H17+0.99,0)))</f>
        <v>0</v>
      </c>
      <c r="G96" s="221" t="s">
        <v>7035</v>
      </c>
    </row>
    <row r="97" spans="1:13" x14ac:dyDescent="0.25">
      <c r="A97" s="8" t="s">
        <v>7110</v>
      </c>
      <c r="F97" s="9" t="str">
        <f>"Copy to "&amp;'Deductions (c4)'!Q145</f>
        <v>Copy to c4.28</v>
      </c>
      <c r="G97" s="8"/>
    </row>
    <row r="98" spans="1:13" x14ac:dyDescent="0.25">
      <c r="A98" s="8" t="s">
        <v>7111</v>
      </c>
      <c r="F98" s="9"/>
      <c r="G98" s="8"/>
    </row>
    <row r="99" spans="1:13" x14ac:dyDescent="0.25">
      <c r="A99" s="8" t="s">
        <v>4855</v>
      </c>
      <c r="F99" s="138" t="str">
        <f>"from "&amp;PRO&amp;PRO!G19</f>
        <v>from PRO40</v>
      </c>
      <c r="G99" s="8"/>
      <c r="J99" s="9" t="str">
        <f>E100&amp;" + "&amp;E96</f>
        <v>c1.32 + c1.31</v>
      </c>
    </row>
    <row r="100" spans="1:13" x14ac:dyDescent="0.25">
      <c r="B100" s="8" t="s">
        <v>7104</v>
      </c>
      <c r="E100" s="2148" t="str">
        <f>A42</f>
        <v>c1.32</v>
      </c>
      <c r="F100" s="2150">
        <f>TRUNC(PRO!H20,0)</f>
        <v>0</v>
      </c>
      <c r="G100" s="221" t="s">
        <v>7029</v>
      </c>
      <c r="I100" s="2148" t="str">
        <f>A43</f>
        <v>c1.33</v>
      </c>
      <c r="J100" s="2150">
        <f>MAX(F100+F96,0)</f>
        <v>0</v>
      </c>
    </row>
    <row r="101" spans="1:13" x14ac:dyDescent="0.25">
      <c r="F101" s="9" t="str">
        <f>"copy to "&amp;'LLIR (c24)'!A2</f>
        <v>copy to c24.2</v>
      </c>
    </row>
    <row r="102" spans="1:13" x14ac:dyDescent="0.25">
      <c r="J102" s="1020" t="s">
        <v>7043</v>
      </c>
    </row>
    <row r="103" spans="1:13" x14ac:dyDescent="0.25">
      <c r="B103" s="8" t="s">
        <v>6611</v>
      </c>
      <c r="I103" s="2148" t="str">
        <f>A44</f>
        <v>c1.34</v>
      </c>
      <c r="J103" s="2150">
        <v>0</v>
      </c>
    </row>
    <row r="104" spans="1:13" x14ac:dyDescent="0.25">
      <c r="B104" s="2151"/>
      <c r="C104" s="2151"/>
      <c r="D104" s="2151"/>
      <c r="E104" s="2151"/>
      <c r="F104" s="2151"/>
      <c r="G104" s="2151"/>
      <c r="H104" s="2151"/>
      <c r="I104" s="2151"/>
      <c r="J104" s="2151"/>
      <c r="K104" s="2151"/>
      <c r="L104" s="2151"/>
      <c r="M104" s="2152"/>
    </row>
    <row r="106" spans="1:13" x14ac:dyDescent="0.25">
      <c r="B106" s="140" t="s">
        <v>1502</v>
      </c>
    </row>
    <row r="107" spans="1:13" x14ac:dyDescent="0.25">
      <c r="C107" s="140"/>
      <c r="H107" s="8"/>
      <c r="J107" s="1095" t="str">
        <f>"from "&amp;FOR&amp;FOR!G30</f>
        <v>from FOR7.2</v>
      </c>
    </row>
    <row r="108" spans="1:13" x14ac:dyDescent="0.25">
      <c r="B108" s="8" t="s">
        <v>7112</v>
      </c>
      <c r="H108" s="8"/>
      <c r="I108" s="2148" t="str">
        <f>A46</f>
        <v>c1.35a</v>
      </c>
      <c r="J108" s="2150">
        <f>TRUNC(FOR!H31,0)</f>
        <v>0</v>
      </c>
      <c r="K108" s="225" t="s">
        <v>7029</v>
      </c>
      <c r="L108" s="559"/>
    </row>
    <row r="109" spans="1:13" x14ac:dyDescent="0.25">
      <c r="H109" s="8"/>
      <c r="I109" s="140"/>
      <c r="J109" s="30"/>
      <c r="K109" s="225"/>
      <c r="L109" s="559"/>
    </row>
    <row r="110" spans="1:13" x14ac:dyDescent="0.25">
      <c r="H110" s="8"/>
      <c r="J110" s="1095" t="str">
        <f>"from "&amp;FOR&amp;FOR!G33</f>
        <v>from FOR7.4</v>
      </c>
      <c r="L110" s="559"/>
    </row>
    <row r="111" spans="1:13" x14ac:dyDescent="0.25">
      <c r="B111" s="8" t="s">
        <v>5651</v>
      </c>
      <c r="H111" s="8"/>
      <c r="I111" s="2153" t="str">
        <f>A47</f>
        <v>c1.35b</v>
      </c>
      <c r="J111" s="2150">
        <f>TRUNC(FOR!H34,0)</f>
        <v>0</v>
      </c>
      <c r="K111" s="1093" t="s">
        <v>7029</v>
      </c>
      <c r="L111" s="559"/>
    </row>
    <row r="112" spans="1:13" x14ac:dyDescent="0.25">
      <c r="H112" s="8"/>
      <c r="L112" s="559"/>
    </row>
    <row r="113" spans="2:13" x14ac:dyDescent="0.25">
      <c r="H113" s="8"/>
      <c r="J113" s="1095" t="str">
        <f>"from "&amp;FOR&amp;FOR!G40</f>
        <v>from FOR9</v>
      </c>
      <c r="L113" s="559"/>
    </row>
    <row r="114" spans="2:13" x14ac:dyDescent="0.25">
      <c r="B114" s="8" t="s">
        <v>5657</v>
      </c>
      <c r="H114" s="8"/>
      <c r="I114" s="2153" t="str">
        <f>A48</f>
        <v>c1.35c</v>
      </c>
      <c r="J114" s="2150">
        <f>TRUNC(FOR!H41,0)</f>
        <v>0</v>
      </c>
      <c r="K114" s="1093" t="s">
        <v>7029</v>
      </c>
      <c r="L114" s="559"/>
    </row>
    <row r="115" spans="2:13" x14ac:dyDescent="0.25">
      <c r="H115" s="8"/>
      <c r="I115" s="140"/>
      <c r="J115" s="30"/>
      <c r="K115" s="225"/>
      <c r="L115" s="559"/>
    </row>
    <row r="116" spans="2:13" x14ac:dyDescent="0.25">
      <c r="H116" s="8"/>
      <c r="J116" s="1095" t="str">
        <f>"from "&amp;FOR&amp;FOR!G52</f>
        <v>from FOR13</v>
      </c>
      <c r="L116" s="559"/>
    </row>
    <row r="117" spans="2:13" x14ac:dyDescent="0.25">
      <c r="B117" s="8" t="s">
        <v>5662</v>
      </c>
      <c r="H117" s="8"/>
      <c r="I117" s="2153" t="str">
        <f>A49</f>
        <v>c1.35d</v>
      </c>
      <c r="J117" s="2150">
        <f>TRUNC(FOR!H53,0)</f>
        <v>0</v>
      </c>
      <c r="K117" s="1093" t="s">
        <v>7029</v>
      </c>
      <c r="L117" s="559"/>
    </row>
    <row r="119" spans="2:13" x14ac:dyDescent="0.25">
      <c r="G119" s="1067"/>
      <c r="H119" s="1067"/>
      <c r="I119" s="1065"/>
      <c r="J119" s="1067" t="str">
        <f>I108&amp;" + "&amp;I111&amp;" + "&amp;I114&amp;" + "&amp;I117&amp;" + "&amp;'Div Cr (c10)'!I19</f>
        <v>c1.35a + c1.35b + c1.35c + c1.35d + c10.3.2</v>
      </c>
    </row>
    <row r="120" spans="2:13" x14ac:dyDescent="0.25">
      <c r="I120" s="2148" t="str">
        <f>A45</f>
        <v>c1.35</v>
      </c>
      <c r="J120" s="2150">
        <f>J108+J111+J114+J117+'Div Cr (c10)'!J19</f>
        <v>0</v>
      </c>
    </row>
    <row r="121" spans="2:13" x14ac:dyDescent="0.25">
      <c r="I121" s="140"/>
      <c r="J121" s="30"/>
    </row>
    <row r="122" spans="2:13" x14ac:dyDescent="0.25">
      <c r="B122" s="8" t="s">
        <v>5628</v>
      </c>
      <c r="F122" s="138" t="str">
        <f>"from "&amp;FOR&amp;FOR!K10</f>
        <v>from FOR26</v>
      </c>
      <c r="J122" s="26"/>
    </row>
    <row r="123" spans="2:13" x14ac:dyDescent="0.25">
      <c r="B123" s="79" t="s">
        <v>7055</v>
      </c>
      <c r="E123" s="2148" t="str">
        <f>A50</f>
        <v>c1.36</v>
      </c>
      <c r="F123" s="2150">
        <f>TRUNC(FOR!L11+0.99,0)</f>
        <v>0</v>
      </c>
      <c r="G123" s="221" t="s">
        <v>7035</v>
      </c>
    </row>
    <row r="124" spans="2:13" x14ac:dyDescent="0.25">
      <c r="G124" s="8"/>
    </row>
    <row r="125" spans="2:13" x14ac:dyDescent="0.25">
      <c r="F125" s="138" t="str">
        <f>"from "&amp;FOR&amp;FOR!O15</f>
        <v>from FOR30</v>
      </c>
      <c r="G125" s="8"/>
    </row>
    <row r="126" spans="2:13" x14ac:dyDescent="0.25">
      <c r="B126" s="79" t="s">
        <v>7113</v>
      </c>
      <c r="C126" s="79"/>
      <c r="E126" s="2148" t="str">
        <f>A51</f>
        <v>c1.37</v>
      </c>
      <c r="F126" s="2150">
        <f>TRUNC(FOR!P16,0)</f>
        <v>0</v>
      </c>
      <c r="G126" s="221" t="s">
        <v>7029</v>
      </c>
    </row>
    <row r="127" spans="2:13" x14ac:dyDescent="0.25">
      <c r="G127" s="8"/>
      <c r="H127" s="8"/>
      <c r="M127" s="79"/>
    </row>
    <row r="128" spans="2:13" x14ac:dyDescent="0.25">
      <c r="F128" s="138" t="str">
        <f>"from "&amp;FOR&amp;FOR!K21</f>
        <v>from FOR31</v>
      </c>
    </row>
    <row r="129" spans="2:10" x14ac:dyDescent="0.25">
      <c r="B129" s="8" t="s">
        <v>4035</v>
      </c>
      <c r="E129" s="2148" t="str">
        <f>A52</f>
        <v>c1.38</v>
      </c>
      <c r="F129" s="2150">
        <f>TRUNC(FOR!L22+0.99,0)</f>
        <v>0</v>
      </c>
      <c r="G129" s="221" t="s">
        <v>7035</v>
      </c>
    </row>
    <row r="131" spans="2:10" x14ac:dyDescent="0.25">
      <c r="F131" s="138" t="str">
        <f>"from "&amp;FOR&amp;FOR!O21</f>
        <v>from FOR32</v>
      </c>
    </row>
    <row r="132" spans="2:10" x14ac:dyDescent="0.25">
      <c r="B132" s="8" t="s">
        <v>4037</v>
      </c>
      <c r="E132" s="2148" t="str">
        <f>A53</f>
        <v>c1.39</v>
      </c>
      <c r="F132" s="2150">
        <f>TRUNC(FOR!P22+0.99,0)</f>
        <v>0</v>
      </c>
      <c r="G132" s="221" t="s">
        <v>7035</v>
      </c>
    </row>
    <row r="134" spans="2:10" x14ac:dyDescent="0.25">
      <c r="J134" s="9" t="str">
        <f>E126&amp;" + "&amp;E123&amp;" minus ("&amp;E129&amp;" + "&amp;E132&amp;")"</f>
        <v>c1.37 + c1.36 minus (c1.38 + c1.39)</v>
      </c>
    </row>
    <row r="135" spans="2:10" x14ac:dyDescent="0.25">
      <c r="B135" s="8" t="s">
        <v>7114</v>
      </c>
      <c r="I135" s="2148" t="str">
        <f>A54</f>
        <v>c1.40</v>
      </c>
      <c r="J135" s="2150">
        <f>MAX(F126+F123-(F129+F132),0)</f>
        <v>0</v>
      </c>
    </row>
    <row r="137" spans="2:10" x14ac:dyDescent="0.25">
      <c r="B137" s="1094" t="s">
        <v>7115</v>
      </c>
      <c r="C137" s="140"/>
    </row>
    <row r="138" spans="2:10" x14ac:dyDescent="0.25">
      <c r="B138" s="1094" t="s">
        <v>7116</v>
      </c>
      <c r="C138" s="140"/>
      <c r="D138" s="1062" t="str">
        <f>"If "&amp;NRD&amp;NRD!H5&amp;" = Y"</f>
        <v>If NRD28 = Y</v>
      </c>
      <c r="E138" s="139"/>
    </row>
    <row r="139" spans="2:10" x14ac:dyDescent="0.25">
      <c r="B139" s="8" t="s">
        <v>9577</v>
      </c>
      <c r="D139" s="1095" t="str">
        <f>"from "&amp;FOR&amp;FOR!$O$47</f>
        <v>from FOR48</v>
      </c>
      <c r="E139" s="2154" t="str">
        <f>A55</f>
        <v>c1.41</v>
      </c>
      <c r="F139" s="2150">
        <f>TRUNC(FOR!$P$48,0)</f>
        <v>0</v>
      </c>
      <c r="G139" s="225" t="s">
        <v>7029</v>
      </c>
    </row>
    <row r="140" spans="2:10" x14ac:dyDescent="0.25">
      <c r="B140" s="79" t="s">
        <v>4114</v>
      </c>
      <c r="C140" s="79"/>
      <c r="D140" s="1095" t="str">
        <f>"from "&amp;FOR&amp;FOR!$R$13</f>
        <v>from FOR54</v>
      </c>
      <c r="E140" s="2154" t="str">
        <f>A56</f>
        <v>c1.42</v>
      </c>
      <c r="F140" s="2150">
        <f>TRUNC(FOR!$S$14,0)</f>
        <v>0</v>
      </c>
      <c r="G140" s="225" t="s">
        <v>7029</v>
      </c>
    </row>
    <row r="141" spans="2:10" x14ac:dyDescent="0.25">
      <c r="B141" s="79" t="s">
        <v>9578</v>
      </c>
      <c r="C141" s="79"/>
      <c r="D141" s="1095" t="str">
        <f>"from "&amp;FOR&amp;FOR!$R$16</f>
        <v>from FOR55</v>
      </c>
      <c r="E141" s="2154" t="str">
        <f>A57</f>
        <v>c1.43</v>
      </c>
      <c r="F141" s="2029">
        <f>TRUNC(FOR!$S$17,0)</f>
        <v>0</v>
      </c>
      <c r="G141" s="225" t="s">
        <v>7029</v>
      </c>
      <c r="H141" s="8"/>
    </row>
    <row r="142" spans="2:10" x14ac:dyDescent="0.25">
      <c r="B142" s="79" t="s">
        <v>5642</v>
      </c>
      <c r="C142" s="79"/>
      <c r="D142" s="1095" t="str">
        <f>"from "&amp;FOR&amp;FOR!$R$19</f>
        <v>from FOR56</v>
      </c>
      <c r="E142" s="2154" t="str">
        <f>A58</f>
        <v>c1.43a</v>
      </c>
      <c r="F142" s="2029">
        <f>TRUNC(FOR!$S$20,0)</f>
        <v>0</v>
      </c>
      <c r="G142" s="225" t="s">
        <v>7029</v>
      </c>
      <c r="H142" s="8"/>
    </row>
    <row r="143" spans="2:10" x14ac:dyDescent="0.25">
      <c r="C143" s="1065"/>
      <c r="D143" s="1062" t="str">
        <f>"else "&amp;E139&amp;" to "&amp;E142&amp;" = 0 zero"</f>
        <v>else c1.41 to c1.43a = 0 zero</v>
      </c>
      <c r="E143" s="140"/>
      <c r="F143" s="30"/>
      <c r="G143" s="8"/>
      <c r="H143" s="8"/>
    </row>
    <row r="144" spans="2:10" x14ac:dyDescent="0.25">
      <c r="D144" s="1062" t="s">
        <v>75</v>
      </c>
      <c r="E144" s="140"/>
      <c r="F144" s="30"/>
      <c r="G144" s="8"/>
      <c r="H144" s="8"/>
    </row>
    <row r="145" spans="2:13" x14ac:dyDescent="0.25">
      <c r="B145" s="8" t="s">
        <v>5645</v>
      </c>
      <c r="D145" s="1095" t="str">
        <f>"from "&amp;FOR&amp;FOR!$R$22</f>
        <v>from FOR57</v>
      </c>
      <c r="E145" s="2155" t="str">
        <f t="shared" ref="E145:E152" si="0">A59</f>
        <v>c1.43b</v>
      </c>
      <c r="F145" s="2150">
        <f>TRUNC(FOR!$S$23,0)</f>
        <v>0</v>
      </c>
      <c r="G145" s="1093" t="s">
        <v>7029</v>
      </c>
      <c r="H145" s="8"/>
    </row>
    <row r="146" spans="2:13" x14ac:dyDescent="0.25">
      <c r="B146" s="8" t="s">
        <v>9606</v>
      </c>
      <c r="D146" s="1095" t="str">
        <f>"from "&amp;FOR&amp;FOR!$R$25</f>
        <v>from FOR58</v>
      </c>
      <c r="E146" s="2155" t="str">
        <f t="shared" si="0"/>
        <v>c1.43c</v>
      </c>
      <c r="F146" s="2150">
        <f>TRUNC(FOR!$S$26,0)</f>
        <v>0</v>
      </c>
      <c r="G146" s="1093" t="s">
        <v>7029</v>
      </c>
      <c r="H146" s="8"/>
    </row>
    <row r="147" spans="2:13" x14ac:dyDescent="0.25">
      <c r="B147" s="8" t="s">
        <v>4129</v>
      </c>
      <c r="D147" s="1095" t="str">
        <f>"from "&amp;FOR&amp;FOR!$R$28</f>
        <v>from FOR59</v>
      </c>
      <c r="E147" s="2155" t="str">
        <f t="shared" si="0"/>
        <v>c1.43d</v>
      </c>
      <c r="F147" s="2029">
        <f>TRUNC(FOR!$S$29,0)</f>
        <v>0</v>
      </c>
      <c r="G147" s="1093" t="s">
        <v>7029</v>
      </c>
      <c r="H147" s="8"/>
    </row>
    <row r="148" spans="2:13" x14ac:dyDescent="0.25">
      <c r="B148" s="8" t="s">
        <v>9580</v>
      </c>
      <c r="D148" s="1095" t="str">
        <f>"from "&amp;FOR&amp;FOR!$R$31</f>
        <v>from FOR60</v>
      </c>
      <c r="E148" s="2155" t="str">
        <f t="shared" si="0"/>
        <v>c1.43e</v>
      </c>
      <c r="F148" s="2029">
        <f>TRUNC(FOR!$S$32,0)</f>
        <v>0</v>
      </c>
      <c r="G148" s="1093" t="s">
        <v>7029</v>
      </c>
      <c r="H148" s="8"/>
    </row>
    <row r="149" spans="2:13" x14ac:dyDescent="0.25">
      <c r="B149" s="8" t="s">
        <v>9605</v>
      </c>
      <c r="D149" s="1095" t="str">
        <f>"from "&amp;FOR&amp;FOR!$R$34</f>
        <v>from FOR61</v>
      </c>
      <c r="E149" s="2155" t="str">
        <f t="shared" si="0"/>
        <v>c1.43f</v>
      </c>
      <c r="F149" s="2150">
        <f>TRUNC(FOR!$S$35,0)</f>
        <v>0</v>
      </c>
      <c r="G149" s="1093" t="s">
        <v>7029</v>
      </c>
      <c r="H149" s="8"/>
    </row>
    <row r="150" spans="2:13" x14ac:dyDescent="0.25">
      <c r="B150" s="8" t="s">
        <v>4138</v>
      </c>
      <c r="D150" s="1095" t="str">
        <f>"from "&amp;FOR&amp;FOR!$R$37</f>
        <v>from FOR62</v>
      </c>
      <c r="E150" s="2155" t="str">
        <f t="shared" si="0"/>
        <v>c1.43g</v>
      </c>
      <c r="F150" s="2150">
        <f>TRUNC(FOR!$S$38,0)</f>
        <v>0</v>
      </c>
      <c r="G150" s="1093" t="s">
        <v>7029</v>
      </c>
      <c r="H150" s="8"/>
    </row>
    <row r="151" spans="2:13" x14ac:dyDescent="0.25">
      <c r="B151" s="8" t="s">
        <v>4141</v>
      </c>
      <c r="D151" s="1095" t="str">
        <f>"from "&amp;FOR&amp;FOR!$R$40</f>
        <v>from FOR63</v>
      </c>
      <c r="E151" s="2155" t="str">
        <f t="shared" si="0"/>
        <v>c1.43h</v>
      </c>
      <c r="F151" s="2029">
        <f>TRUNC(FOR!$S$41,0)</f>
        <v>0</v>
      </c>
      <c r="G151" s="1093" t="s">
        <v>7029</v>
      </c>
      <c r="H151" s="8"/>
    </row>
    <row r="152" spans="2:13" x14ac:dyDescent="0.25">
      <c r="B152" s="8" t="s">
        <v>4135</v>
      </c>
      <c r="D152" s="1095" t="str">
        <f>"from "&amp;FOR&amp;FOR!$R$43</f>
        <v>from FOR64</v>
      </c>
      <c r="E152" s="2155" t="str">
        <f t="shared" si="0"/>
        <v>c1.43i</v>
      </c>
      <c r="F152" s="2029">
        <f>TRUNC(FOR!$S$44,0)</f>
        <v>0</v>
      </c>
      <c r="G152" s="1093" t="s">
        <v>7029</v>
      </c>
      <c r="H152" s="8"/>
    </row>
    <row r="153" spans="2:13" x14ac:dyDescent="0.25">
      <c r="D153" s="9"/>
      <c r="E153" s="140"/>
      <c r="F153" s="30"/>
      <c r="G153" s="8"/>
      <c r="H153" s="8"/>
    </row>
    <row r="154" spans="2:13" x14ac:dyDescent="0.25">
      <c r="D154" s="1067"/>
      <c r="E154" s="1106"/>
      <c r="F154" s="1101"/>
      <c r="G154" s="1065"/>
      <c r="H154" s="1065"/>
      <c r="I154" s="1065"/>
      <c r="J154" s="1067" t="str">
        <f>E139&amp;" + "&amp;E140&amp;" + "&amp;E141&amp;" + "&amp;E142&amp;" + "&amp;E145&amp;" + "&amp;E146&amp;" + "&amp;E147&amp;" + "&amp;E148&amp;" + "&amp;E149&amp;" + "&amp;E150&amp;" + "&amp;E151&amp;" + "&amp;E152</f>
        <v>c1.41 + c1.42 + c1.43 + c1.43a + c1.43b + c1.43c + c1.43d + c1.43e + c1.43f + c1.43g + c1.43h + c1.43i</v>
      </c>
    </row>
    <row r="155" spans="2:13" x14ac:dyDescent="0.25">
      <c r="D155" s="9"/>
      <c r="E155" s="140"/>
      <c r="F155" s="30"/>
      <c r="G155" s="8"/>
      <c r="H155" s="8"/>
      <c r="I155" s="2148" t="str">
        <f>A83</f>
        <v>c1.44</v>
      </c>
      <c r="J155" s="2150">
        <f>F139+F140+F141+F142+F145+F146+F147+F148+F149+F150+F151+F152</f>
        <v>0</v>
      </c>
    </row>
    <row r="156" spans="2:13" x14ac:dyDescent="0.25">
      <c r="B156" s="2151"/>
      <c r="C156" s="2151"/>
      <c r="D156" s="2156"/>
      <c r="E156" s="2151"/>
      <c r="F156" s="2151"/>
      <c r="G156" s="2151"/>
      <c r="H156" s="2151"/>
      <c r="I156" s="2151"/>
      <c r="J156" s="2151"/>
      <c r="K156" s="2151"/>
      <c r="L156" s="2151"/>
      <c r="M156" s="2152"/>
    </row>
    <row r="157" spans="2:13" x14ac:dyDescent="0.25">
      <c r="B157" s="140"/>
      <c r="C157" s="140"/>
      <c r="G157" s="8"/>
      <c r="H157" s="8"/>
      <c r="K157" s="78"/>
    </row>
    <row r="158" spans="2:13" x14ac:dyDescent="0.25">
      <c r="B158" s="140" t="s">
        <v>6615</v>
      </c>
    </row>
    <row r="159" spans="2:13" x14ac:dyDescent="0.25">
      <c r="D159" s="138" t="str">
        <f>"("&amp;TRU&amp;TRU!C11&amp;" + "&amp;TRU&amp;TRU!C20&amp;" + "&amp;TRU&amp;TRU!K6&amp;") × NS_gross ("&amp;NS_gross_F&amp;")"</f>
        <v>(TRU3 + TRU7 + TRU16) × NS_gross (100/80)</v>
      </c>
      <c r="E159" s="2148" t="str">
        <f t="shared" ref="E159:E164" si="1">A84</f>
        <v>c1.45</v>
      </c>
      <c r="F159" s="2150">
        <f>TRUNC((TRU!D12+TRU!D21+TRU!L7)*NS_gross,0)</f>
        <v>0</v>
      </c>
      <c r="G159" s="225" t="s">
        <v>7029</v>
      </c>
      <c r="H159" s="38"/>
      <c r="I159" s="78"/>
      <c r="J159" s="78"/>
    </row>
    <row r="160" spans="2:13" x14ac:dyDescent="0.25">
      <c r="D160" s="138" t="str">
        <f>TRU&amp;TRU!C6&amp;" × trust_gross ("&amp;trust_gross_F&amp;")"</f>
        <v>TRU1 × trust_gross (100/55)</v>
      </c>
      <c r="E160" s="2148" t="str">
        <f t="shared" si="1"/>
        <v>c1.46</v>
      </c>
      <c r="F160" s="2149">
        <f>TRUNC(TRU!D7*trust_gross,0)</f>
        <v>0</v>
      </c>
      <c r="G160" s="225" t="s">
        <v>7029</v>
      </c>
    </row>
    <row r="161" spans="2:16" x14ac:dyDescent="0.25">
      <c r="D161" s="138" t="str">
        <f>TRU&amp;TRU!C32&amp;" × trust_gross ("&amp;trust_gross_F&amp;")"</f>
        <v>TRU10 × trust_gross (100/55)</v>
      </c>
      <c r="E161" s="2148" t="str">
        <f t="shared" si="1"/>
        <v>c1.47</v>
      </c>
      <c r="F161" s="2149">
        <f>TRUNC(TRU!D33*trust_gross,0)</f>
        <v>0</v>
      </c>
      <c r="G161" s="225" t="s">
        <v>7029</v>
      </c>
    </row>
    <row r="162" spans="2:16" x14ac:dyDescent="0.25">
      <c r="D162" s="138" t="str">
        <f>"from "&amp;TRU&amp;TRU!K24</f>
        <v>from TRU22</v>
      </c>
      <c r="E162" s="2148" t="str">
        <f t="shared" si="1"/>
        <v>c1.48</v>
      </c>
      <c r="F162" s="2149">
        <f>TRUNC(TRU!L25,0)</f>
        <v>0</v>
      </c>
      <c r="G162" s="225" t="s">
        <v>7029</v>
      </c>
      <c r="J162" s="9" t="str">
        <f>E159&amp;" + "&amp;E160&amp;" + "&amp;E161&amp;" +"</f>
        <v>c1.45 + c1.46 + c1.47 +</v>
      </c>
    </row>
    <row r="163" spans="2:16" x14ac:dyDescent="0.25">
      <c r="D163" s="9" t="s">
        <v>7043</v>
      </c>
      <c r="E163" s="2148" t="str">
        <f t="shared" si="1"/>
        <v>c1.49</v>
      </c>
      <c r="F163" s="2149">
        <v>0</v>
      </c>
      <c r="G163" s="387"/>
      <c r="J163" s="9" t="str">
        <f>E162&amp;" + "&amp;E164</f>
        <v>c1.48 + c1.50</v>
      </c>
    </row>
    <row r="164" spans="2:16" x14ac:dyDescent="0.25">
      <c r="B164" s="8" t="s">
        <v>6555</v>
      </c>
      <c r="D164" s="138" t="str">
        <f>"from "&amp;TRU&amp;TRU!G28</f>
        <v>from TRU13</v>
      </c>
      <c r="E164" s="2148" t="str">
        <f t="shared" si="1"/>
        <v>c1.50</v>
      </c>
      <c r="F164" s="2149">
        <f>TRUNC(TRU!H29,0)</f>
        <v>0</v>
      </c>
      <c r="G164" s="225" t="s">
        <v>7029</v>
      </c>
      <c r="H164" s="8"/>
      <c r="I164" s="2148" t="str">
        <f>A90</f>
        <v>c1.51</v>
      </c>
      <c r="J164" s="2150">
        <f>F159+F160+F161+F162+F164</f>
        <v>0</v>
      </c>
    </row>
    <row r="165" spans="2:16" x14ac:dyDescent="0.25">
      <c r="D165" s="138"/>
      <c r="E165" s="140"/>
      <c r="F165" s="26"/>
      <c r="G165" s="225"/>
      <c r="H165" s="8"/>
      <c r="I165" s="140"/>
      <c r="J165" s="30"/>
    </row>
    <row r="166" spans="2:16" x14ac:dyDescent="0.25">
      <c r="B166" s="2151"/>
      <c r="C166" s="2151"/>
      <c r="D166" s="2151"/>
      <c r="E166" s="2151"/>
      <c r="F166" s="2151"/>
      <c r="G166" s="2151"/>
      <c r="H166" s="2151"/>
      <c r="I166" s="2151"/>
      <c r="J166" s="2151"/>
      <c r="K166" s="2151"/>
      <c r="L166" s="2151"/>
      <c r="M166" s="2152"/>
    </row>
    <row r="167" spans="2:16" x14ac:dyDescent="0.25">
      <c r="P167" s="267"/>
    </row>
    <row r="168" spans="2:16" x14ac:dyDescent="0.25">
      <c r="B168" s="140" t="s">
        <v>6616</v>
      </c>
      <c r="C168" s="140"/>
      <c r="D168" s="146"/>
      <c r="F168" s="139"/>
      <c r="H168" s="138" t="str">
        <f>INC&amp;'INC(2)'!C4&amp;" + "&amp;INC&amp;'INC(2)'!C13&amp;" + "&amp;INC&amp;'INC(2)'!G7&amp;" + "&amp;INC&amp;'INC(2)'!G13&amp;" + "&amp;INC&amp;'INC(2)'!G16</f>
        <v>INC8 + INC11 + INC13 + INC15 + INC16</v>
      </c>
      <c r="I168" s="2148" t="str">
        <f>A91</f>
        <v>c1.52</v>
      </c>
      <c r="J168" s="2157">
        <f>TRUNC('INC(2)'!D5+'INC(2)'!D14+'INC(2)'!H8+'INC(2)'!H14+'INC(2)'!H17,0)</f>
        <v>0</v>
      </c>
      <c r="K168" s="225" t="s">
        <v>7029</v>
      </c>
    </row>
    <row r="169" spans="2:16" x14ac:dyDescent="0.25">
      <c r="B169" s="2151"/>
      <c r="C169" s="2151"/>
      <c r="D169" s="2151"/>
      <c r="E169" s="2151"/>
      <c r="F169" s="2151"/>
      <c r="G169" s="2151"/>
      <c r="H169" s="2151"/>
      <c r="I169" s="2151"/>
      <c r="J169" s="2151"/>
      <c r="K169" s="2151"/>
      <c r="L169" s="2151"/>
      <c r="M169" s="2152"/>
    </row>
    <row r="170" spans="2:16" x14ac:dyDescent="0.25">
      <c r="B170" s="79"/>
      <c r="C170" s="79"/>
      <c r="J170" s="9"/>
      <c r="K170" s="22"/>
    </row>
    <row r="171" spans="2:16" x14ac:dyDescent="0.25">
      <c r="B171" s="140" t="s">
        <v>5649</v>
      </c>
      <c r="C171" s="140"/>
      <c r="D171" s="142" t="str">
        <f>INC&amp;'INC(2)'!C22&amp;" minus "&amp;INC&amp;'INC(2)'!C25</f>
        <v>INC17 minus INC18</v>
      </c>
      <c r="E171" s="2148" t="str">
        <f>A92</f>
        <v>c1.53</v>
      </c>
      <c r="F171" s="2149">
        <f>TRUNC(MAX(0,'INC(2)'!D23-'INC(2)'!D26),0)</f>
        <v>0</v>
      </c>
      <c r="G171" s="225" t="s">
        <v>7029</v>
      </c>
      <c r="K171" s="22"/>
      <c r="M171" s="79"/>
    </row>
    <row r="172" spans="2:16" x14ac:dyDescent="0.25">
      <c r="B172" s="79" t="s">
        <v>2272</v>
      </c>
      <c r="C172" s="79"/>
      <c r="D172" s="138" t="str">
        <f>"from "&amp;INC&amp;'INC(2)'!G22</f>
        <v>from INC20</v>
      </c>
      <c r="E172" s="2148" t="str">
        <f>A93</f>
        <v>c1.54</v>
      </c>
      <c r="F172" s="2149">
        <f>TRUNC('INC(2)'!H23,0)</f>
        <v>0</v>
      </c>
      <c r="G172" s="225" t="s">
        <v>7029</v>
      </c>
      <c r="J172" s="9" t="str">
        <f>E171&amp;" minus "&amp;E173</f>
        <v>c1.53 minus c1.55</v>
      </c>
      <c r="K172" s="22"/>
    </row>
    <row r="173" spans="2:16" x14ac:dyDescent="0.25">
      <c r="B173" s="79" t="s">
        <v>9583</v>
      </c>
      <c r="C173" s="79"/>
      <c r="D173" s="142" t="str">
        <f>"from "&amp;AIL&amp;AIL!C5</f>
        <v>from AIL1</v>
      </c>
      <c r="E173" s="2148" t="str">
        <f>A94</f>
        <v>c1.55</v>
      </c>
      <c r="F173" s="2029">
        <f>TRUNC(AIL!D6+0.99,0)</f>
        <v>0</v>
      </c>
      <c r="G173" s="225" t="s">
        <v>7035</v>
      </c>
      <c r="H173" s="8"/>
      <c r="I173" s="2148" t="str">
        <f>A95</f>
        <v>c1.55a</v>
      </c>
      <c r="J173" s="2150">
        <f>MAX(0,F171-F173)</f>
        <v>0</v>
      </c>
      <c r="K173" s="22"/>
    </row>
    <row r="174" spans="2:16" x14ac:dyDescent="0.25">
      <c r="B174" s="79"/>
      <c r="C174" s="79"/>
      <c r="D174" s="142"/>
      <c r="E174" s="140"/>
      <c r="G174" s="225"/>
      <c r="H174" s="8"/>
      <c r="I174" s="140"/>
      <c r="J174" s="30"/>
      <c r="K174" s="22"/>
    </row>
    <row r="175" spans="2:16" x14ac:dyDescent="0.25">
      <c r="B175" s="79"/>
      <c r="C175" s="79"/>
      <c r="D175" s="142"/>
      <c r="E175" s="140"/>
      <c r="G175" s="225"/>
      <c r="H175" s="8"/>
      <c r="J175" s="9" t="str">
        <f>E172&amp;" + "&amp;I173</f>
        <v>c1.54 + c1.55a</v>
      </c>
      <c r="K175" s="22"/>
    </row>
    <row r="176" spans="2:16" x14ac:dyDescent="0.25">
      <c r="B176" s="79"/>
      <c r="C176" s="79"/>
      <c r="D176" s="142"/>
      <c r="E176" s="140"/>
      <c r="G176" s="225"/>
      <c r="H176" s="8"/>
      <c r="I176" s="2148" t="str">
        <f>A96</f>
        <v>c1.56</v>
      </c>
      <c r="J176" s="2150">
        <f>F172+J173</f>
        <v>0</v>
      </c>
      <c r="K176" s="22"/>
    </row>
    <row r="177" spans="2:13" x14ac:dyDescent="0.25">
      <c r="B177" s="2151"/>
      <c r="C177" s="2151"/>
      <c r="D177" s="2151"/>
      <c r="E177" s="2151"/>
      <c r="F177" s="2151"/>
      <c r="G177" s="2151"/>
      <c r="H177" s="2151"/>
      <c r="I177" s="2151"/>
      <c r="J177" s="2156" t="str">
        <f>"copy to "&amp;'S loans(c27)'!A38</f>
        <v>copy to c27.25</v>
      </c>
      <c r="K177" s="2156"/>
      <c r="L177" s="2151"/>
      <c r="M177" s="2152"/>
    </row>
    <row r="179" spans="2:13" x14ac:dyDescent="0.25">
      <c r="I179" s="9"/>
      <c r="J179" s="38" t="s">
        <v>4816</v>
      </c>
    </row>
    <row r="180" spans="2:13" x14ac:dyDescent="0.25">
      <c r="B180" s="140" t="s">
        <v>7117</v>
      </c>
      <c r="I180" s="2148" t="str">
        <f>A97</f>
        <v>c1.56a</v>
      </c>
      <c r="J180" s="2149">
        <v>0</v>
      </c>
      <c r="K180" s="387"/>
    </row>
    <row r="183" spans="2:13" x14ac:dyDescent="0.25">
      <c r="B183" s="30"/>
      <c r="C183" s="30"/>
      <c r="D183" s="30"/>
      <c r="F183" s="1022"/>
      <c r="G183" s="1068"/>
      <c r="H183" s="1023"/>
      <c r="I183" s="1024"/>
      <c r="J183" s="1018" t="str">
        <f>I31&amp;" + "&amp;I35&amp;" + "&amp;I55&amp;" + "&amp;I64&amp;" + "&amp;I82&amp;" + "&amp;I100&amp;" + "&amp;I120&amp;" + "&amp;I135&amp;" + "&amp;I155&amp;" + "&amp;I164&amp;" + "&amp;I168&amp;" + "&amp;I176</f>
        <v>c1.9 + c1.10 + c1.17 + c1.20 + c1.27 + c1.33 + c1.35 + c1.40 + c1.44 + c1.51 + c1.52 + c1.56</v>
      </c>
      <c r="K183" s="38"/>
      <c r="L183" s="38"/>
    </row>
    <row r="184" spans="2:13" x14ac:dyDescent="0.25">
      <c r="B184" s="87" t="s">
        <v>7118</v>
      </c>
      <c r="C184" s="87"/>
      <c r="D184" s="87"/>
      <c r="E184" s="78"/>
      <c r="F184" s="78"/>
      <c r="G184" s="78"/>
      <c r="H184" s="78"/>
      <c r="I184" s="2148" t="str">
        <f>A98</f>
        <v>c1.57</v>
      </c>
      <c r="J184" s="2150">
        <f>MAX(0,J31+J35+J55+J64+J82+J100+J120+J135+J155+J164+J168+J176-TCRWS!B14)</f>
        <v>0</v>
      </c>
      <c r="K184" s="22"/>
      <c r="L184" s="22"/>
    </row>
    <row r="185" spans="2:13" x14ac:dyDescent="0.25">
      <c r="B185" s="2151"/>
      <c r="C185" s="2151"/>
      <c r="D185" s="2151"/>
      <c r="E185" s="2151"/>
      <c r="F185" s="2151"/>
      <c r="G185" s="2151"/>
      <c r="H185" s="2151"/>
      <c r="I185" s="2151"/>
      <c r="J185" s="2151"/>
      <c r="K185" s="2151"/>
      <c r="L185" s="2151"/>
      <c r="M185" s="2152"/>
    </row>
    <row r="187" spans="2:13" x14ac:dyDescent="0.25">
      <c r="B187" s="139" t="s">
        <v>7119</v>
      </c>
      <c r="C187" s="139"/>
      <c r="J187" s="143" t="str">
        <f>"from "&amp;ASE&amp;ASE!C14</f>
        <v>from ASE5</v>
      </c>
    </row>
    <row r="188" spans="2:13" x14ac:dyDescent="0.25">
      <c r="H188" s="143"/>
      <c r="I188" s="2148" t="str">
        <f>A99</f>
        <v>c1.58</v>
      </c>
      <c r="J188" s="2150">
        <f>MAX(0,TRUNC(ASE!D15,0)-TCRWS!D14)</f>
        <v>0</v>
      </c>
      <c r="K188" s="225" t="s">
        <v>7029</v>
      </c>
    </row>
    <row r="189" spans="2:13" x14ac:dyDescent="0.25">
      <c r="J189" s="9" t="str">
        <f>"copy to "&amp;'Taxable (c5)'!A43&amp;" and "&amp;'TSR (c17)'!E41&amp;" and "&amp;'non-res (c91)'!A8</f>
        <v>copy to c5.34a and c17.2 and c91.7</v>
      </c>
    </row>
    <row r="193" spans="7:7" x14ac:dyDescent="0.25">
      <c r="G193" s="174"/>
    </row>
  </sheetData>
  <phoneticPr fontId="58" type="noConversion"/>
  <pageMargins left="0.19685039370078741" right="0.19685039370078741" top="0.19685039370078741" bottom="0.19685039370078741" header="0" footer="0"/>
  <pageSetup paperSize="9" orientation="portrait" horizontalDpi="4294967293" r:id="rId1"/>
  <headerFooter alignWithMargins="0">
    <oddFooter>&amp;C&amp;1#&amp;"Calibri"&amp;10&amp;K000000OFFICIAL-SENSITIVE</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dimension ref="A1:L80"/>
  <sheetViews>
    <sheetView showGridLines="0" topLeftCell="B1" workbookViewId="0">
      <selection activeCell="B1" sqref="B1"/>
    </sheetView>
  </sheetViews>
  <sheetFormatPr defaultColWidth="9.1796875" defaultRowHeight="11.5" x14ac:dyDescent="0.25"/>
  <cols>
    <col min="1" max="1" width="6.54296875" style="39" hidden="1" customWidth="1"/>
    <col min="2" max="2" width="39.54296875" style="39" customWidth="1"/>
    <col min="3" max="3" width="8.54296875" style="39" customWidth="1"/>
    <col min="4" max="4" width="14.1796875" style="39" customWidth="1"/>
    <col min="5" max="5" width="5.54296875" style="39" customWidth="1"/>
    <col min="6" max="6" width="11.1796875" style="39" customWidth="1"/>
    <col min="7" max="7" width="8.1796875" style="39" customWidth="1"/>
    <col min="8" max="8" width="6.1796875" style="39" customWidth="1"/>
    <col min="9" max="9" width="10.81640625" style="39" customWidth="1"/>
    <col min="10" max="10" width="6.1796875" style="39" bestFit="1" customWidth="1"/>
    <col min="11" max="16384" width="9.1796875" style="39"/>
  </cols>
  <sheetData>
    <row r="1" spans="1:10" ht="18" x14ac:dyDescent="0.4">
      <c r="A1" s="8" t="s">
        <v>7120</v>
      </c>
      <c r="B1" s="483" t="s">
        <v>7121</v>
      </c>
      <c r="C1" s="24"/>
      <c r="D1" s="8"/>
      <c r="E1" s="8"/>
      <c r="F1" s="8"/>
      <c r="G1" s="8"/>
      <c r="H1" s="8"/>
      <c r="I1" s="8"/>
      <c r="J1" s="8"/>
    </row>
    <row r="2" spans="1:10" x14ac:dyDescent="0.25">
      <c r="A2" s="8" t="s">
        <v>7122</v>
      </c>
      <c r="B2" s="8"/>
      <c r="C2" s="8"/>
      <c r="D2" s="8"/>
      <c r="E2" s="2144" t="s">
        <v>7019</v>
      </c>
      <c r="F2" s="2146"/>
      <c r="G2" s="2146"/>
      <c r="H2" s="2146"/>
      <c r="I2" s="2147"/>
      <c r="J2" s="8"/>
    </row>
    <row r="3" spans="1:10" x14ac:dyDescent="0.25">
      <c r="A3" s="8" t="s">
        <v>4781</v>
      </c>
      <c r="B3" s="140" t="s">
        <v>6743</v>
      </c>
      <c r="C3" s="8"/>
      <c r="D3" s="8"/>
      <c r="E3" s="8"/>
      <c r="F3" s="8"/>
      <c r="G3" s="8"/>
      <c r="H3" s="8"/>
      <c r="I3" s="8"/>
      <c r="J3" s="8"/>
    </row>
    <row r="4" spans="1:10" x14ac:dyDescent="0.25">
      <c r="A4" s="8" t="s">
        <v>7123</v>
      </c>
      <c r="B4" s="8"/>
      <c r="C4" s="140"/>
      <c r="D4" s="8"/>
      <c r="E4" s="8"/>
      <c r="F4" s="142" t="str">
        <f>"Total all instances ("&amp;SPS&amp;PS!C22&amp;")"</f>
        <v>Total all instances (SPS28)</v>
      </c>
      <c r="G4" s="8"/>
      <c r="H4" s="8"/>
      <c r="I4" s="8"/>
      <c r="J4" s="8"/>
    </row>
    <row r="5" spans="1:10" x14ac:dyDescent="0.25">
      <c r="A5" s="8" t="s">
        <v>7124</v>
      </c>
      <c r="B5" s="140" t="s">
        <v>7125</v>
      </c>
      <c r="C5" s="79"/>
      <c r="D5" s="8"/>
      <c r="E5" s="2148" t="str">
        <f>A1</f>
        <v>c2.1</v>
      </c>
      <c r="F5" s="2150">
        <f>TRUNC(PS!D23,0)</f>
        <v>0</v>
      </c>
      <c r="G5" s="225" t="s">
        <v>7089</v>
      </c>
      <c r="H5" s="79"/>
      <c r="I5" s="79"/>
      <c r="J5" s="8"/>
    </row>
    <row r="6" spans="1:10" x14ac:dyDescent="0.25">
      <c r="A6" s="8" t="s">
        <v>7126</v>
      </c>
      <c r="B6" s="140"/>
      <c r="C6" s="8"/>
      <c r="D6" s="8"/>
      <c r="E6" s="8"/>
      <c r="F6" s="8"/>
      <c r="G6" s="8"/>
      <c r="H6" s="8"/>
      <c r="I6" s="8"/>
      <c r="J6" s="8"/>
    </row>
    <row r="7" spans="1:10" x14ac:dyDescent="0.25">
      <c r="A7" s="8" t="s">
        <v>7127</v>
      </c>
      <c r="B7" s="8"/>
      <c r="C7" s="8"/>
      <c r="D7" s="8"/>
      <c r="E7" s="8"/>
      <c r="F7" s="138" t="s">
        <v>7128</v>
      </c>
      <c r="G7" s="8"/>
      <c r="H7" s="8"/>
      <c r="I7" s="8"/>
      <c r="J7" s="8"/>
    </row>
    <row r="8" spans="1:10" x14ac:dyDescent="0.25">
      <c r="A8" s="8" t="s">
        <v>7129</v>
      </c>
      <c r="B8" s="140" t="s">
        <v>7130</v>
      </c>
      <c r="C8" s="8"/>
      <c r="D8" s="8"/>
      <c r="E8" s="8"/>
      <c r="F8" s="138" t="str">
        <f>"("&amp;FPS&amp;PS!G17&amp;" + "&amp;FPS&amp;PS!J52&amp;")"</f>
        <v>(FPS35 + FPS73)</v>
      </c>
      <c r="G8" s="8"/>
      <c r="H8" s="8"/>
      <c r="I8" s="8"/>
      <c r="J8" s="8"/>
    </row>
    <row r="9" spans="1:10" x14ac:dyDescent="0.25">
      <c r="A9" s="8" t="s">
        <v>7131</v>
      </c>
      <c r="B9" s="380" t="s">
        <v>7132</v>
      </c>
      <c r="C9" s="79"/>
      <c r="D9" s="8"/>
      <c r="E9" s="2148" t="str">
        <f>A2</f>
        <v>c2.2</v>
      </c>
      <c r="F9" s="2150">
        <f>TRUNC(PS!H18,0)+TRUNC(PS!K53,0)</f>
        <v>0</v>
      </c>
      <c r="G9" s="225" t="s">
        <v>7091</v>
      </c>
      <c r="H9" s="79"/>
      <c r="I9" s="79"/>
      <c r="J9" s="8"/>
    </row>
    <row r="10" spans="1:10" x14ac:dyDescent="0.25">
      <c r="A10" s="8" t="s">
        <v>4807</v>
      </c>
      <c r="B10" s="140"/>
      <c r="C10" s="79"/>
      <c r="D10" s="79"/>
      <c r="E10" s="79"/>
      <c r="F10" s="79"/>
      <c r="G10" s="79"/>
      <c r="H10" s="79"/>
      <c r="I10" s="9" t="str">
        <f>E5&amp;" + "&amp;E9</f>
        <v>c2.1 + c2.2</v>
      </c>
      <c r="J10" s="8"/>
    </row>
    <row r="11" spans="1:10" x14ac:dyDescent="0.25">
      <c r="A11" s="8" t="s">
        <v>7133</v>
      </c>
      <c r="B11" s="8"/>
      <c r="C11" s="8"/>
      <c r="D11" s="8"/>
      <c r="E11" s="8"/>
      <c r="F11" s="8"/>
      <c r="G11" s="8"/>
      <c r="H11" s="2148" t="str">
        <f>A3</f>
        <v>c2.3</v>
      </c>
      <c r="I11" s="2150">
        <f>F5+F9</f>
        <v>0</v>
      </c>
      <c r="J11" s="8"/>
    </row>
    <row r="12" spans="1:10" x14ac:dyDescent="0.25">
      <c r="A12" s="8" t="s">
        <v>7134</v>
      </c>
      <c r="B12" s="2151"/>
      <c r="C12" s="2151"/>
      <c r="D12" s="2151"/>
      <c r="E12" s="2151"/>
      <c r="F12" s="2151"/>
      <c r="G12" s="2151"/>
      <c r="H12" s="2151"/>
      <c r="I12" s="2151"/>
      <c r="J12" s="2151"/>
    </row>
    <row r="13" spans="1:10" x14ac:dyDescent="0.25">
      <c r="A13" s="8" t="s">
        <v>7135</v>
      </c>
      <c r="B13" s="8"/>
      <c r="C13" s="8"/>
      <c r="D13" s="8"/>
      <c r="E13" s="8"/>
      <c r="F13" s="8"/>
      <c r="G13" s="8"/>
      <c r="H13" s="8"/>
      <c r="I13" s="8"/>
      <c r="J13" s="8"/>
    </row>
    <row r="14" spans="1:10" x14ac:dyDescent="0.25">
      <c r="A14" s="8" t="s">
        <v>7136</v>
      </c>
      <c r="B14" s="140" t="s">
        <v>1502</v>
      </c>
      <c r="C14" s="140"/>
      <c r="D14" s="78"/>
      <c r="E14" s="78"/>
      <c r="F14" s="79"/>
      <c r="G14" s="8"/>
      <c r="H14" s="8"/>
      <c r="I14" s="8"/>
      <c r="J14" s="8"/>
    </row>
    <row r="15" spans="1:10" x14ac:dyDescent="0.25">
      <c r="A15" s="8" t="s">
        <v>7137</v>
      </c>
      <c r="B15" s="8"/>
      <c r="C15" s="8"/>
      <c r="D15" s="8"/>
      <c r="E15" s="8"/>
      <c r="F15" s="138" t="str">
        <f>FOR&amp;FOR!O39&amp;" divided by BR_rate ("&amp;BR_rate * 100&amp;"%)"</f>
        <v>FOR45 divided by BR_rate (20%)</v>
      </c>
      <c r="G15" s="8"/>
      <c r="H15" s="8"/>
      <c r="I15" s="8"/>
      <c r="J15" s="8"/>
    </row>
    <row r="16" spans="1:10" x14ac:dyDescent="0.25">
      <c r="A16" s="8" t="s">
        <v>7138</v>
      </c>
      <c r="B16" s="140" t="s">
        <v>7139</v>
      </c>
      <c r="C16" s="140"/>
      <c r="D16" s="8"/>
      <c r="E16" s="2154" t="str">
        <f>A4</f>
        <v>c2.4</v>
      </c>
      <c r="F16" s="2029">
        <f>TRUNC((FOR!P40/BR_rate),0)</f>
        <v>0</v>
      </c>
      <c r="G16" s="197" t="s">
        <v>7029</v>
      </c>
      <c r="H16" s="8"/>
      <c r="I16" s="8"/>
      <c r="J16" s="8"/>
    </row>
    <row r="17" spans="1:11" x14ac:dyDescent="0.25">
      <c r="A17" s="8" t="s">
        <v>7140</v>
      </c>
      <c r="B17" s="8"/>
      <c r="C17" s="8"/>
      <c r="D17" s="8"/>
      <c r="E17" s="8"/>
      <c r="F17" s="8"/>
      <c r="G17" s="8"/>
      <c r="H17" s="8"/>
      <c r="I17" s="8"/>
      <c r="J17" s="8"/>
      <c r="K17" s="8"/>
    </row>
    <row r="18" spans="1:11" x14ac:dyDescent="0.25">
      <c r="A18" s="8" t="s">
        <v>4823</v>
      </c>
      <c r="B18" s="140" t="s">
        <v>7141</v>
      </c>
      <c r="C18" s="140"/>
      <c r="D18" s="8"/>
      <c r="E18" s="8"/>
      <c r="F18" s="138" t="str">
        <f>"Lower of "&amp;FOR&amp;FOR!K42&amp;" and "&amp;E16</f>
        <v>Lower of FOR43 and c2.4</v>
      </c>
      <c r="G18" s="8"/>
      <c r="H18" s="8"/>
      <c r="I18" s="8"/>
      <c r="J18" s="8"/>
      <c r="K18" s="8"/>
    </row>
    <row r="19" spans="1:11" x14ac:dyDescent="0.25">
      <c r="A19" s="8" t="s">
        <v>4839</v>
      </c>
      <c r="B19" s="140" t="s">
        <v>7139</v>
      </c>
      <c r="C19" s="8"/>
      <c r="D19" s="8"/>
      <c r="E19" s="2154" t="str">
        <f>A5</f>
        <v>c2.5</v>
      </c>
      <c r="F19" s="2129">
        <f>MIN(TRUNC(FOR!L43,0),F16)</f>
        <v>0</v>
      </c>
      <c r="G19" s="197" t="s">
        <v>7029</v>
      </c>
      <c r="H19" s="8"/>
      <c r="I19" s="8"/>
      <c r="J19" s="8"/>
      <c r="K19" s="8"/>
    </row>
    <row r="20" spans="1:11" x14ac:dyDescent="0.25">
      <c r="A20" s="8" t="s">
        <v>7142</v>
      </c>
      <c r="B20" s="8"/>
      <c r="C20" s="8"/>
      <c r="D20" s="8"/>
      <c r="E20" s="8"/>
      <c r="F20" s="22" t="str">
        <f>"copy to "&amp;'Divs (c3)'!G63</f>
        <v>copy to c3.16</v>
      </c>
      <c r="G20" s="8"/>
      <c r="H20" s="8"/>
      <c r="I20" s="8"/>
      <c r="J20" s="8"/>
      <c r="K20" s="8"/>
    </row>
    <row r="21" spans="1:11" x14ac:dyDescent="0.25">
      <c r="A21" s="8"/>
      <c r="B21" s="2151"/>
      <c r="C21" s="2151"/>
      <c r="D21" s="2151"/>
      <c r="E21" s="2151"/>
      <c r="F21" s="2151"/>
      <c r="G21" s="2151"/>
      <c r="H21" s="2151"/>
      <c r="I21" s="2151"/>
      <c r="J21" s="2151"/>
      <c r="K21" s="2151"/>
    </row>
    <row r="23" spans="1:11" x14ac:dyDescent="0.25">
      <c r="A23" s="8"/>
      <c r="B23" s="8"/>
      <c r="C23" s="8"/>
      <c r="D23" s="8"/>
      <c r="E23" s="8"/>
      <c r="F23" s="9" t="str">
        <f>"if "&amp;FOR&amp;FOR!K42&amp;" minus "&amp;E19&amp;" &gt; 0 (zero) then"</f>
        <v>if FOR43 minus c2.5 &gt; 0 (zero) then</v>
      </c>
      <c r="G23" s="8"/>
      <c r="H23" s="8"/>
      <c r="I23" s="8"/>
      <c r="J23" s="8"/>
      <c r="K23" s="8"/>
    </row>
    <row r="24" spans="1:11" x14ac:dyDescent="0.25">
      <c r="A24" s="8"/>
      <c r="B24" s="8"/>
      <c r="C24" s="8"/>
      <c r="D24" s="8"/>
      <c r="E24" s="8"/>
      <c r="F24" s="9" t="str">
        <f>E28&amp;" = "&amp;FOR&amp;FOR!K42&amp;" minus "&amp;E19</f>
        <v>c2.6 = FOR43 minus c2.5</v>
      </c>
      <c r="G24" s="8"/>
      <c r="H24" s="8"/>
      <c r="I24" s="8"/>
      <c r="J24" s="8"/>
      <c r="K24" s="8"/>
    </row>
    <row r="25" spans="1:11" x14ac:dyDescent="0.25">
      <c r="A25" s="8"/>
      <c r="B25" s="8"/>
      <c r="C25" s="8"/>
      <c r="D25" s="8"/>
      <c r="E25" s="8"/>
      <c r="F25" s="9" t="s">
        <v>7143</v>
      </c>
      <c r="G25" s="8"/>
      <c r="H25" s="8"/>
      <c r="I25" s="8"/>
      <c r="J25" s="8"/>
      <c r="K25" s="8"/>
    </row>
    <row r="26" spans="1:11" x14ac:dyDescent="0.25">
      <c r="A26" s="8"/>
      <c r="B26" s="8"/>
      <c r="C26" s="8"/>
      <c r="D26" s="8"/>
      <c r="E26" s="8"/>
      <c r="F26" s="9" t="str">
        <f>E28&amp;" = 0 (zero)"</f>
        <v>c2.6 = 0 (zero)</v>
      </c>
      <c r="G26" s="8"/>
      <c r="H26" s="8"/>
      <c r="I26" s="8"/>
      <c r="J26" s="8"/>
      <c r="K26" s="8"/>
    </row>
    <row r="27" spans="1:11" x14ac:dyDescent="0.25">
      <c r="A27" s="8"/>
      <c r="B27" s="140" t="s">
        <v>7144</v>
      </c>
      <c r="C27" s="79"/>
      <c r="D27" s="79"/>
      <c r="E27" s="79"/>
      <c r="F27" s="38" t="s">
        <v>75</v>
      </c>
      <c r="G27" s="79"/>
      <c r="H27" s="79"/>
      <c r="I27" s="79"/>
      <c r="J27" s="8"/>
      <c r="K27" s="8"/>
    </row>
    <row r="28" spans="1:11" x14ac:dyDescent="0.25">
      <c r="A28" s="8"/>
      <c r="B28" s="140" t="s">
        <v>7145</v>
      </c>
      <c r="C28" s="79"/>
      <c r="D28" s="8"/>
      <c r="E28" s="2154" t="str">
        <f>A6</f>
        <v>c2.6</v>
      </c>
      <c r="F28" s="2150">
        <f>TRUNC(MAX(0,FOR!L43-F19),0)</f>
        <v>0</v>
      </c>
      <c r="G28" s="197" t="s">
        <v>7029</v>
      </c>
      <c r="H28" s="8"/>
      <c r="I28" s="8"/>
      <c r="J28" s="8"/>
      <c r="K28" s="8"/>
    </row>
    <row r="29" spans="1:11" x14ac:dyDescent="0.25">
      <c r="A29" s="8"/>
      <c r="B29" s="140"/>
      <c r="C29" s="79"/>
      <c r="D29" s="8"/>
      <c r="E29" s="8"/>
      <c r="F29" s="8"/>
      <c r="G29" s="8"/>
      <c r="H29" s="8"/>
      <c r="I29" s="8"/>
      <c r="J29" s="8"/>
      <c r="K29" s="8"/>
    </row>
    <row r="30" spans="1:11" x14ac:dyDescent="0.25">
      <c r="A30" s="8"/>
      <c r="B30" s="1094" t="s">
        <v>7146</v>
      </c>
      <c r="C30" s="140"/>
      <c r="D30" s="8"/>
      <c r="E30" s="1084"/>
      <c r="F30" s="1098" t="str">
        <f>"from "&amp;FOR&amp;FOR!G18</f>
        <v>from FOR4</v>
      </c>
      <c r="G30" s="8"/>
      <c r="H30" s="8"/>
      <c r="I30" s="8"/>
      <c r="J30" s="8"/>
      <c r="K30" s="8"/>
    </row>
    <row r="31" spans="1:11" x14ac:dyDescent="0.25">
      <c r="A31" s="8"/>
      <c r="B31" s="140" t="s">
        <v>5669</v>
      </c>
      <c r="C31" s="140"/>
      <c r="D31" s="8"/>
      <c r="E31" s="2154" t="str">
        <f>A7</f>
        <v>c2.7</v>
      </c>
      <c r="F31" s="2150">
        <f>TRUNC(FOR!H19,0)</f>
        <v>0</v>
      </c>
      <c r="G31" s="197" t="s">
        <v>7029</v>
      </c>
      <c r="H31" s="8"/>
      <c r="I31" s="8"/>
      <c r="J31" s="8"/>
      <c r="K31" s="8"/>
    </row>
    <row r="32" spans="1:11" x14ac:dyDescent="0.25">
      <c r="A32" s="8"/>
      <c r="B32" s="8"/>
      <c r="C32" s="8"/>
      <c r="D32" s="8"/>
      <c r="E32" s="22"/>
      <c r="F32" s="8"/>
      <c r="G32" s="8"/>
      <c r="H32" s="8"/>
      <c r="I32" s="8"/>
      <c r="J32" s="8"/>
      <c r="K32" s="8"/>
    </row>
    <row r="33" spans="2:12" x14ac:dyDescent="0.25">
      <c r="B33" s="8" t="s">
        <v>9584</v>
      </c>
      <c r="C33" s="8"/>
      <c r="D33" s="8"/>
      <c r="E33" s="1084"/>
      <c r="F33" s="1098" t="str">
        <f>"from "&amp;FOR&amp;FOR!O58</f>
        <v>from FOR51</v>
      </c>
      <c r="G33" s="8"/>
      <c r="H33" s="8"/>
      <c r="I33" s="8"/>
      <c r="J33" s="8"/>
      <c r="K33" s="8"/>
      <c r="L33" s="8"/>
    </row>
    <row r="34" spans="2:12" x14ac:dyDescent="0.25">
      <c r="B34" s="8"/>
      <c r="C34" s="8"/>
      <c r="D34" s="8"/>
      <c r="E34" s="2155" t="str">
        <f>A8</f>
        <v>c2.7.1</v>
      </c>
      <c r="F34" s="2150">
        <f>TRUNC(FOR!P59,0)</f>
        <v>0</v>
      </c>
      <c r="G34" s="1108" t="s">
        <v>7029</v>
      </c>
      <c r="H34" s="8"/>
      <c r="I34" s="8"/>
      <c r="J34" s="8"/>
      <c r="K34" s="8"/>
      <c r="L34" s="8"/>
    </row>
    <row r="35" spans="2:12" x14ac:dyDescent="0.25">
      <c r="B35" s="79"/>
      <c r="C35" s="79"/>
      <c r="D35" s="8"/>
      <c r="E35" s="8"/>
      <c r="F35" s="8"/>
      <c r="G35" s="8"/>
      <c r="H35" s="8"/>
      <c r="I35" s="8"/>
      <c r="J35" s="8"/>
      <c r="K35" s="8"/>
      <c r="L35" s="8"/>
    </row>
    <row r="36" spans="2:12" x14ac:dyDescent="0.25">
      <c r="B36" s="8"/>
      <c r="C36" s="8"/>
      <c r="D36" s="8"/>
      <c r="E36" s="8"/>
      <c r="F36" s="142" t="str">
        <f>"from "&amp;INC&amp;'INC(1)'!C21</f>
        <v>from INC3</v>
      </c>
      <c r="G36" s="8"/>
      <c r="H36" s="8"/>
      <c r="I36" s="8"/>
      <c r="J36" s="8"/>
      <c r="K36" s="8"/>
      <c r="L36" s="8"/>
    </row>
    <row r="37" spans="2:12" x14ac:dyDescent="0.25">
      <c r="B37" s="140" t="s">
        <v>7147</v>
      </c>
      <c r="C37" s="8"/>
      <c r="D37" s="8"/>
      <c r="E37" s="2154" t="str">
        <f>A9</f>
        <v>c2.8</v>
      </c>
      <c r="F37" s="2150">
        <f>TRUNC('INC(1)'!D22,0)</f>
        <v>0</v>
      </c>
      <c r="G37" s="197" t="s">
        <v>7029</v>
      </c>
      <c r="H37" s="8"/>
      <c r="I37" s="8"/>
      <c r="J37" s="8"/>
      <c r="K37" s="8"/>
      <c r="L37" s="8"/>
    </row>
    <row r="39" spans="2:12" x14ac:dyDescent="0.25">
      <c r="B39" s="8"/>
      <c r="C39" s="8"/>
      <c r="D39" s="8"/>
      <c r="E39" s="8"/>
      <c r="F39" s="8"/>
      <c r="G39" s="8"/>
      <c r="H39" s="1065"/>
      <c r="I39" s="1067" t="str">
        <f>E28&amp;" + "&amp;E31&amp;" + "&amp;E34&amp;" + "&amp;E37</f>
        <v>c2.6 + c2.7 + c2.7.1 + c2.8</v>
      </c>
      <c r="J39" s="8"/>
      <c r="K39" s="8"/>
      <c r="L39" s="8"/>
    </row>
    <row r="40" spans="2:12" x14ac:dyDescent="0.25">
      <c r="B40" s="8"/>
      <c r="C40" s="8"/>
      <c r="D40" s="8"/>
      <c r="E40" s="8"/>
      <c r="F40" s="8"/>
      <c r="G40" s="8"/>
      <c r="H40" s="2154" t="str">
        <f>A10</f>
        <v>c2.9</v>
      </c>
      <c r="I40" s="2150">
        <f>F28+F31+F34+F37</f>
        <v>0</v>
      </c>
      <c r="J40" s="8"/>
      <c r="K40" s="8"/>
      <c r="L40" s="8"/>
    </row>
    <row r="41" spans="2:12" x14ac:dyDescent="0.25">
      <c r="B41" s="2151"/>
      <c r="C41" s="2151"/>
      <c r="D41" s="2151"/>
      <c r="E41" s="2151"/>
      <c r="F41" s="2151"/>
      <c r="G41" s="2151"/>
      <c r="H41" s="2151"/>
      <c r="I41" s="2151"/>
      <c r="J41" s="2151"/>
      <c r="K41" s="2151"/>
      <c r="L41" s="8"/>
    </row>
    <row r="43" spans="2:12" x14ac:dyDescent="0.25">
      <c r="B43" s="140" t="s">
        <v>6615</v>
      </c>
      <c r="C43" s="140"/>
      <c r="D43" s="8"/>
      <c r="E43" s="8"/>
      <c r="F43" s="8"/>
      <c r="G43" s="8"/>
      <c r="H43" s="8"/>
      <c r="I43" s="8"/>
      <c r="J43" s="8"/>
      <c r="K43" s="8"/>
      <c r="L43" s="8"/>
    </row>
    <row r="45" spans="2:12" x14ac:dyDescent="0.25">
      <c r="B45" s="140" t="s">
        <v>7148</v>
      </c>
      <c r="C45" s="8"/>
      <c r="D45" s="8"/>
      <c r="E45" s="8"/>
      <c r="F45" s="138" t="str">
        <f>"("&amp;TRU&amp;TRU!C15&amp;" + "&amp;TRU&amp;TRU!C24&amp;" + "&amp;TRU&amp;TRU!K11&amp;") ×"</f>
        <v>(TRU4 + TRU8 + TRU17) ×</v>
      </c>
      <c r="G45" s="8"/>
      <c r="H45" s="8"/>
      <c r="I45" s="8"/>
      <c r="J45" s="8"/>
      <c r="K45" s="8"/>
      <c r="L45" s="8"/>
    </row>
    <row r="46" spans="2:12" x14ac:dyDescent="0.25">
      <c r="B46" s="380" t="s">
        <v>7149</v>
      </c>
      <c r="C46" s="8"/>
      <c r="D46" s="8"/>
      <c r="E46" s="8"/>
      <c r="F46" s="138" t="str">
        <f>"savings_gross ("&amp;savings_gross_F&amp;")"</f>
        <v>savings_gross (100/80)</v>
      </c>
      <c r="G46" s="8"/>
      <c r="H46" s="8"/>
      <c r="I46" s="8"/>
      <c r="J46" s="8"/>
      <c r="K46" s="8"/>
      <c r="L46" s="8"/>
    </row>
    <row r="47" spans="2:12" x14ac:dyDescent="0.25">
      <c r="B47" s="380" t="s">
        <v>7150</v>
      </c>
      <c r="C47" s="8"/>
      <c r="D47" s="8"/>
      <c r="E47" s="2148" t="str">
        <f>A11</f>
        <v>c2.10</v>
      </c>
      <c r="F47" s="2150">
        <f>TRUNC((TRUNC(TRU!D16,0)+TRUNC(TRU!D25,0)+TRUNC(TRU!L12,0))*savings_gross,0)</f>
        <v>0</v>
      </c>
      <c r="G47" s="197" t="s">
        <v>7029</v>
      </c>
      <c r="H47" s="8"/>
      <c r="I47" s="8"/>
      <c r="J47" s="8"/>
      <c r="K47" s="8"/>
      <c r="L47" s="8"/>
    </row>
    <row r="48" spans="2:12" x14ac:dyDescent="0.25">
      <c r="B48" s="380"/>
      <c r="C48" s="8"/>
      <c r="D48" s="8"/>
      <c r="E48" s="140"/>
      <c r="F48" s="32" t="str">
        <f>"copy to "&amp;'non-res (c91)'!A13</f>
        <v>copy to c91.12</v>
      </c>
      <c r="G48" s="197"/>
      <c r="H48" s="8"/>
      <c r="I48" s="8"/>
      <c r="J48" s="8"/>
      <c r="K48" s="8"/>
      <c r="L48" s="8"/>
    </row>
    <row r="50" spans="2:11" x14ac:dyDescent="0.25">
      <c r="B50" s="8"/>
      <c r="C50" s="8"/>
      <c r="D50" s="8"/>
      <c r="E50" s="8"/>
      <c r="F50" s="138" t="str">
        <f>TRU&amp;TRU!G20&amp;" × trust_gross ("&amp;trust_gross_F&amp;")"</f>
        <v>TRU11 × trust_gross (100/55)</v>
      </c>
      <c r="G50" s="8"/>
      <c r="H50" s="8"/>
      <c r="I50" s="8"/>
      <c r="J50" s="8"/>
      <c r="K50" s="8"/>
    </row>
    <row r="51" spans="2:11" x14ac:dyDescent="0.25">
      <c r="B51" s="140" t="s">
        <v>7151</v>
      </c>
      <c r="C51" s="8"/>
      <c r="D51" s="8"/>
      <c r="E51" s="2148" t="str">
        <f>A12</f>
        <v>c2.11</v>
      </c>
      <c r="F51" s="2150">
        <f>TRUNC((TRU!H21)*trust_gross,0)</f>
        <v>0</v>
      </c>
      <c r="G51" s="197" t="s">
        <v>7029</v>
      </c>
      <c r="H51" s="8"/>
      <c r="I51" s="8"/>
      <c r="J51" s="8"/>
      <c r="K51" s="8"/>
    </row>
    <row r="52" spans="2:11" x14ac:dyDescent="0.25">
      <c r="B52" s="140"/>
      <c r="C52" s="8"/>
      <c r="D52" s="8"/>
      <c r="E52" s="8"/>
      <c r="F52" s="8"/>
      <c r="G52" s="8"/>
      <c r="H52" s="8"/>
      <c r="I52" s="8"/>
      <c r="J52" s="8"/>
      <c r="K52" s="8"/>
    </row>
    <row r="53" spans="2:11" x14ac:dyDescent="0.25">
      <c r="B53" s="140"/>
      <c r="C53" s="8"/>
      <c r="D53" s="8"/>
      <c r="E53" s="8"/>
      <c r="F53" s="138" t="str">
        <f>"from "&amp;TRU&amp;TRU!G32</f>
        <v>from TRU14</v>
      </c>
      <c r="G53" s="8"/>
      <c r="H53" s="8"/>
      <c r="I53" s="9" t="str">
        <f>E47&amp;" + "&amp;E51&amp;" + "&amp;E54</f>
        <v>c2.10 + c2.11 + c2.12</v>
      </c>
      <c r="J53" s="8"/>
      <c r="K53" s="8"/>
    </row>
    <row r="54" spans="2:11" x14ac:dyDescent="0.25">
      <c r="B54" s="140" t="s">
        <v>6556</v>
      </c>
      <c r="C54" s="8"/>
      <c r="D54" s="8"/>
      <c r="E54" s="2148" t="str">
        <f>A13</f>
        <v>c2.12</v>
      </c>
      <c r="F54" s="2150">
        <f>TRUNC(TRU!H33,0)</f>
        <v>0</v>
      </c>
      <c r="G54" s="197" t="s">
        <v>7029</v>
      </c>
      <c r="H54" s="2148" t="str">
        <f>A14</f>
        <v>c2.13</v>
      </c>
      <c r="I54" s="2150">
        <f>F47+F51+F54</f>
        <v>0</v>
      </c>
      <c r="J54" s="8"/>
      <c r="K54" s="8"/>
    </row>
    <row r="55" spans="2:11" x14ac:dyDescent="0.25">
      <c r="B55" s="2151"/>
      <c r="C55" s="2151"/>
      <c r="D55" s="2151"/>
      <c r="E55" s="2151"/>
      <c r="F55" s="2151"/>
      <c r="G55" s="2151"/>
      <c r="H55" s="2151"/>
      <c r="I55" s="2151"/>
      <c r="J55" s="2151"/>
      <c r="K55" s="2151"/>
    </row>
    <row r="57" spans="2:11" x14ac:dyDescent="0.25">
      <c r="B57" s="140" t="s">
        <v>7152</v>
      </c>
      <c r="C57" s="140"/>
      <c r="D57" s="8"/>
      <c r="E57" s="8"/>
      <c r="F57" s="8"/>
      <c r="G57" s="8"/>
      <c r="H57" s="8"/>
      <c r="I57" s="8"/>
      <c r="J57" s="8"/>
      <c r="K57" s="8"/>
    </row>
    <row r="58" spans="2:11" x14ac:dyDescent="0.25">
      <c r="B58" s="79"/>
      <c r="C58" s="79"/>
      <c r="D58" s="8"/>
      <c r="E58" s="8"/>
      <c r="F58" s="138" t="str">
        <f>INC&amp;'INC(1)'!C15&amp;" × savings_gross ("&amp;savings_gross_F&amp;")"</f>
        <v>INC1 × savings_gross (100/80)</v>
      </c>
      <c r="G58" s="8"/>
      <c r="H58" s="8"/>
      <c r="I58" s="8"/>
      <c r="J58" s="8"/>
      <c r="K58" s="8"/>
    </row>
    <row r="59" spans="2:11" x14ac:dyDescent="0.25">
      <c r="B59" s="140" t="s">
        <v>2223</v>
      </c>
      <c r="C59" s="8"/>
      <c r="D59" s="8"/>
      <c r="E59" s="2148" t="str">
        <f>A15</f>
        <v>c2.14</v>
      </c>
      <c r="F59" s="2150">
        <f>TRUNC('INC(1)'!D16*savings_gross,0)</f>
        <v>0</v>
      </c>
      <c r="G59" s="197" t="s">
        <v>7029</v>
      </c>
      <c r="H59" s="8"/>
      <c r="I59" s="8"/>
      <c r="J59" s="8"/>
      <c r="K59" s="8"/>
    </row>
    <row r="60" spans="2:11" x14ac:dyDescent="0.25">
      <c r="B60" s="8"/>
      <c r="C60" s="8"/>
      <c r="D60" s="8"/>
      <c r="E60" s="8"/>
      <c r="F60" s="9" t="str">
        <f>"copy to "&amp;'non-res (c91)'!A10</f>
        <v>copy to c91.9</v>
      </c>
      <c r="G60" s="8"/>
      <c r="H60" s="8"/>
      <c r="I60" s="8"/>
      <c r="J60" s="8"/>
      <c r="K60" s="8"/>
    </row>
    <row r="62" spans="2:11" x14ac:dyDescent="0.25">
      <c r="B62" s="8"/>
      <c r="C62" s="8"/>
      <c r="D62" s="8"/>
      <c r="E62" s="8"/>
      <c r="F62" s="138" t="str">
        <f>"from "&amp;INC&amp;'INC(1)'!C18</f>
        <v>from INC2</v>
      </c>
      <c r="G62" s="8"/>
      <c r="H62" s="8"/>
      <c r="I62" s="8"/>
      <c r="J62" s="8"/>
      <c r="K62" s="8"/>
    </row>
    <row r="63" spans="2:11" x14ac:dyDescent="0.25">
      <c r="B63" s="140" t="s">
        <v>2226</v>
      </c>
      <c r="C63" s="8"/>
      <c r="D63" s="8"/>
      <c r="E63" s="2148" t="str">
        <f>A16</f>
        <v>c2.15</v>
      </c>
      <c r="F63" s="2150">
        <f>TRUNC('INC(1)'!D19)</f>
        <v>0</v>
      </c>
      <c r="G63" s="197" t="s">
        <v>7029</v>
      </c>
      <c r="H63" s="8"/>
      <c r="I63" s="8"/>
      <c r="J63" s="8"/>
      <c r="K63" s="8"/>
    </row>
    <row r="65" spans="2:11" x14ac:dyDescent="0.25">
      <c r="B65" s="8"/>
      <c r="C65" s="8"/>
      <c r="D65" s="8"/>
      <c r="E65" s="8"/>
      <c r="F65" s="138" t="str">
        <f>"from "&amp;AOI&amp;AOI!G7</f>
        <v>from AOI3</v>
      </c>
      <c r="G65" s="8"/>
      <c r="H65" s="8"/>
      <c r="I65" s="8"/>
      <c r="J65" s="8"/>
      <c r="K65" s="8"/>
    </row>
    <row r="66" spans="2:11" x14ac:dyDescent="0.25">
      <c r="B66" s="140" t="s">
        <v>7153</v>
      </c>
      <c r="C66" s="8"/>
      <c r="D66" s="8"/>
      <c r="E66" s="2148" t="str">
        <f>A17</f>
        <v>c2.16</v>
      </c>
      <c r="F66" s="2150">
        <f>TRUNC(AOI!H8,0)</f>
        <v>0</v>
      </c>
      <c r="G66" s="197" t="s">
        <v>7029</v>
      </c>
      <c r="H66" s="8"/>
      <c r="I66" s="8"/>
      <c r="J66" s="8"/>
      <c r="K66" s="8"/>
    </row>
    <row r="67" spans="2:11" x14ac:dyDescent="0.25">
      <c r="B67" s="140"/>
      <c r="C67" s="8"/>
      <c r="D67" s="8"/>
      <c r="E67" s="140"/>
      <c r="F67" s="30"/>
      <c r="G67" s="197"/>
      <c r="H67" s="140"/>
      <c r="I67" s="30"/>
      <c r="J67" s="8"/>
      <c r="K67" s="8"/>
    </row>
    <row r="68" spans="2:11" x14ac:dyDescent="0.25">
      <c r="B68" s="140"/>
      <c r="C68" s="8"/>
      <c r="D68" s="8"/>
      <c r="E68" s="140"/>
      <c r="F68" s="30"/>
      <c r="G68" s="197"/>
      <c r="H68" s="8"/>
      <c r="I68" s="9" t="str">
        <f>E59&amp;" + "&amp;E63&amp;" + "&amp;E66</f>
        <v>c2.14 + c2.15 + c2.16</v>
      </c>
      <c r="J68" s="8"/>
      <c r="K68" s="8"/>
    </row>
    <row r="69" spans="2:11" x14ac:dyDescent="0.25">
      <c r="B69" s="140" t="s">
        <v>7154</v>
      </c>
      <c r="C69" s="8"/>
      <c r="D69" s="8"/>
      <c r="E69" s="140"/>
      <c r="F69" s="30"/>
      <c r="G69" s="197"/>
      <c r="H69" s="2148" t="str">
        <f>A18</f>
        <v>c2.17</v>
      </c>
      <c r="I69" s="2150">
        <f>F59+F63+F66</f>
        <v>0</v>
      </c>
      <c r="J69" s="8"/>
      <c r="K69" s="8"/>
    </row>
    <row r="70" spans="2:11" x14ac:dyDescent="0.25">
      <c r="B70" s="2151"/>
      <c r="C70" s="2151"/>
      <c r="D70" s="2151"/>
      <c r="E70" s="2151"/>
      <c r="F70" s="2151"/>
      <c r="G70" s="2151"/>
      <c r="H70" s="2151"/>
      <c r="I70" s="2151"/>
      <c r="J70" s="2151"/>
      <c r="K70" s="2151"/>
    </row>
    <row r="72" spans="2:11" x14ac:dyDescent="0.25">
      <c r="B72" s="140" t="s">
        <v>6617</v>
      </c>
      <c r="C72" s="8"/>
      <c r="D72" s="8"/>
      <c r="E72" s="8"/>
      <c r="F72" s="8"/>
      <c r="G72" s="8"/>
      <c r="H72" s="8"/>
      <c r="I72" s="8"/>
      <c r="J72" s="8"/>
      <c r="K72" s="8"/>
    </row>
    <row r="74" spans="2:11" x14ac:dyDescent="0.25">
      <c r="B74" s="140" t="s">
        <v>2422</v>
      </c>
      <c r="C74" s="8"/>
      <c r="D74" s="8"/>
      <c r="E74" s="8"/>
      <c r="F74" s="8"/>
      <c r="G74" s="8"/>
      <c r="H74" s="8"/>
      <c r="I74" s="138" t="str">
        <f>AOI&amp;AOI!C19&amp;" + "&amp;AOI&amp;AOI!G13</f>
        <v>AOI6 + AOI8</v>
      </c>
      <c r="J74" s="8"/>
      <c r="K74" s="8"/>
    </row>
    <row r="75" spans="2:11" x14ac:dyDescent="0.25">
      <c r="B75" s="380" t="s">
        <v>7155</v>
      </c>
      <c r="C75" s="140"/>
      <c r="D75" s="78"/>
      <c r="E75" s="78"/>
      <c r="F75" s="78"/>
      <c r="G75" s="8"/>
      <c r="H75" s="2148" t="str">
        <f>A19</f>
        <v>c2.18</v>
      </c>
      <c r="I75" s="2150">
        <f>TRUNC(AOI!D20+AOI!H14,0)</f>
        <v>0</v>
      </c>
      <c r="J75" s="197" t="s">
        <v>7029</v>
      </c>
      <c r="K75" s="8"/>
    </row>
    <row r="76" spans="2:11" x14ac:dyDescent="0.25">
      <c r="B76" s="2151"/>
      <c r="C76" s="2151"/>
      <c r="D76" s="2151"/>
      <c r="E76" s="2151"/>
      <c r="F76" s="2151"/>
      <c r="G76" s="2151"/>
      <c r="H76" s="2151"/>
      <c r="I76" s="2151"/>
      <c r="J76" s="2151"/>
      <c r="K76" s="2151"/>
    </row>
    <row r="78" spans="2:11" x14ac:dyDescent="0.25">
      <c r="B78" s="8"/>
      <c r="C78" s="8"/>
      <c r="D78" s="8"/>
      <c r="E78" s="8"/>
      <c r="F78" s="78"/>
      <c r="G78" s="78"/>
      <c r="H78" s="78"/>
      <c r="I78" s="9" t="str">
        <f>H11&amp;" + "&amp;H40&amp;" + "&amp;H54&amp;" + "&amp;H69&amp;" + "&amp;H75</f>
        <v>c2.3 + c2.9 + c2.13 + c2.17 + c2.18</v>
      </c>
      <c r="J78" s="8"/>
      <c r="K78" s="8"/>
    </row>
    <row r="79" spans="2:11" x14ac:dyDescent="0.25">
      <c r="B79" s="87" t="s">
        <v>7156</v>
      </c>
      <c r="C79" s="87"/>
      <c r="D79" s="8"/>
      <c r="E79" s="8"/>
      <c r="F79" s="8"/>
      <c r="G79" s="8"/>
      <c r="H79" s="2148" t="str">
        <f>A20</f>
        <v>c2.19</v>
      </c>
      <c r="I79" s="2150">
        <f>MAX(0,I11+I40+I54+I69+I75-TCRWS!F14)</f>
        <v>0</v>
      </c>
      <c r="J79" s="8"/>
      <c r="K79" s="8"/>
    </row>
    <row r="80" spans="2:11" x14ac:dyDescent="0.25">
      <c r="B80" s="8"/>
      <c r="C80" s="8"/>
      <c r="D80" s="8"/>
      <c r="E80" s="8"/>
      <c r="F80" s="8"/>
      <c r="G80" s="8"/>
      <c r="H80" s="8"/>
      <c r="I80" s="9" t="str">
        <f>"copy to "&amp;'non-res (c91)'!A9</f>
        <v>copy to c91.8</v>
      </c>
      <c r="J80" s="8"/>
      <c r="K80" s="8"/>
    </row>
  </sheetData>
  <phoneticPr fontId="58" type="noConversion"/>
  <pageMargins left="0.19685039370078741" right="0.19685039370078741" top="0.19685039370078741" bottom="0.19685039370078741" header="0" footer="0.19685039370078741"/>
  <pageSetup paperSize="9" orientation="portrait" horizontalDpi="4294967293" verticalDpi="1200" r:id="rId1"/>
  <headerFooter alignWithMargins="0">
    <oddFooter>&amp;C&amp;1#&amp;"Calibri"&amp;10&amp;K000000OFFICIAL-SENSITIVE</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3"/>
  <dimension ref="A1:O116"/>
  <sheetViews>
    <sheetView showGridLines="0" topLeftCell="B1" workbookViewId="0">
      <selection activeCell="B1" sqref="B1"/>
    </sheetView>
  </sheetViews>
  <sheetFormatPr defaultColWidth="9.1796875" defaultRowHeight="11.5" x14ac:dyDescent="0.25"/>
  <cols>
    <col min="1" max="1" width="6.1796875" style="8" hidden="1" customWidth="1"/>
    <col min="2" max="2" width="41.1796875" style="8" customWidth="1"/>
    <col min="3" max="3" width="10.7265625" style="8" customWidth="1"/>
    <col min="4" max="4" width="5.54296875" style="8" customWidth="1"/>
    <col min="5" max="5" width="10.81640625" style="8" customWidth="1"/>
    <col min="6" max="6" width="6.54296875" style="8" customWidth="1"/>
    <col min="7" max="7" width="6.453125" style="8" customWidth="1"/>
    <col min="8" max="8" width="11.81640625" style="8" customWidth="1"/>
    <col min="9" max="9" width="6.81640625" style="8" customWidth="1"/>
    <col min="10" max="10" width="10.453125" style="8" customWidth="1"/>
    <col min="11" max="11" width="1.81640625" style="8" customWidth="1"/>
    <col min="12" max="12" width="8.81640625" style="8" customWidth="1"/>
    <col min="13" max="13" width="5.453125" style="8" customWidth="1"/>
    <col min="14" max="14" width="11" style="8" customWidth="1"/>
    <col min="15" max="15" width="2.54296875" style="8" customWidth="1"/>
    <col min="16" max="16384" width="9.1796875" style="8"/>
  </cols>
  <sheetData>
    <row r="1" spans="1:12" ht="18" x14ac:dyDescent="0.4">
      <c r="A1" s="8" t="s">
        <v>4786</v>
      </c>
      <c r="B1" s="483" t="s">
        <v>7157</v>
      </c>
    </row>
    <row r="2" spans="1:12" x14ac:dyDescent="0.25">
      <c r="A2" s="8" t="s">
        <v>7158</v>
      </c>
      <c r="E2" s="2144" t="s">
        <v>7019</v>
      </c>
      <c r="F2" s="2146"/>
      <c r="G2" s="2146"/>
      <c r="H2" s="2146"/>
      <c r="I2" s="2147"/>
    </row>
    <row r="3" spans="1:12" x14ac:dyDescent="0.25">
      <c r="A3" s="8" t="s">
        <v>7159</v>
      </c>
      <c r="E3" s="22"/>
    </row>
    <row r="4" spans="1:12" x14ac:dyDescent="0.25">
      <c r="A4" s="8" t="s">
        <v>7160</v>
      </c>
      <c r="B4" s="140" t="s">
        <v>6743</v>
      </c>
      <c r="C4" s="139"/>
      <c r="D4" s="139"/>
      <c r="E4" s="139"/>
      <c r="F4" s="139"/>
      <c r="G4" s="139"/>
      <c r="H4" s="141" t="str">
        <f>"Total all instances ("&amp;FPS&amp;PS!G42&amp;")"</f>
        <v>Total all instances (FPS70)</v>
      </c>
    </row>
    <row r="5" spans="1:12" ht="12" x14ac:dyDescent="0.3">
      <c r="A5" s="8" t="s">
        <v>7161</v>
      </c>
      <c r="B5" s="139" t="s">
        <v>7162</v>
      </c>
      <c r="C5" s="145"/>
      <c r="D5" s="139"/>
      <c r="E5" s="145"/>
      <c r="G5" s="2148" t="str">
        <f>'Divs (c3)'!A1</f>
        <v>c3.1</v>
      </c>
      <c r="H5" s="2150">
        <f>TRUNC(PS!H43,0)</f>
        <v>0</v>
      </c>
      <c r="I5" s="225" t="s">
        <v>7029</v>
      </c>
      <c r="J5" s="78"/>
      <c r="K5" s="78"/>
      <c r="L5" s="78"/>
    </row>
    <row r="6" spans="1:12" x14ac:dyDescent="0.25">
      <c r="A6" s="8" t="s">
        <v>4801</v>
      </c>
      <c r="B6" s="2151"/>
      <c r="C6" s="2151"/>
      <c r="D6" s="2151"/>
      <c r="E6" s="2151"/>
      <c r="F6" s="2151"/>
      <c r="G6" s="2151"/>
      <c r="H6" s="2151"/>
      <c r="I6" s="2151"/>
    </row>
    <row r="7" spans="1:12" x14ac:dyDescent="0.25">
      <c r="A7" s="8" t="s">
        <v>7163</v>
      </c>
      <c r="C7" s="78"/>
      <c r="D7" s="78"/>
      <c r="E7" s="78"/>
      <c r="F7" s="78"/>
      <c r="G7" s="78"/>
      <c r="H7" s="78"/>
      <c r="I7" s="78"/>
    </row>
    <row r="8" spans="1:12" x14ac:dyDescent="0.25">
      <c r="A8" s="8" t="s">
        <v>7164</v>
      </c>
      <c r="B8" s="140" t="s">
        <v>7165</v>
      </c>
    </row>
    <row r="9" spans="1:12" x14ac:dyDescent="0.25">
      <c r="A9" s="8" t="s">
        <v>7166</v>
      </c>
    </row>
    <row r="10" spans="1:12" x14ac:dyDescent="0.25">
      <c r="A10" s="8" t="s">
        <v>7167</v>
      </c>
      <c r="B10" s="140" t="s">
        <v>7146</v>
      </c>
      <c r="C10" s="1077"/>
      <c r="D10" s="1062" t="str">
        <f>"If "&amp;NRD&amp;NRD!H5&amp;" = N"</f>
        <v>If NRD28 = N</v>
      </c>
      <c r="K10" s="78"/>
    </row>
    <row r="11" spans="1:12" x14ac:dyDescent="0.25">
      <c r="A11" s="8" t="s">
        <v>7168</v>
      </c>
      <c r="B11" s="8" t="s">
        <v>5660</v>
      </c>
      <c r="C11" s="138" t="str">
        <f>"from "&amp;FOR&amp;FOR!G46</f>
        <v>from FOR11</v>
      </c>
      <c r="D11" s="2154" t="str">
        <f>'Divs (c3)'!A2</f>
        <v>c3.2</v>
      </c>
      <c r="E11" s="2129">
        <f>TRUNC(FOR!H47,0)</f>
        <v>0</v>
      </c>
      <c r="F11" s="281" t="s">
        <v>7029</v>
      </c>
      <c r="J11" s="26"/>
    </row>
    <row r="12" spans="1:12" x14ac:dyDescent="0.25">
      <c r="A12" s="8" t="s">
        <v>7169</v>
      </c>
      <c r="C12" s="138"/>
      <c r="D12" s="149"/>
      <c r="E12" s="78"/>
      <c r="F12" s="281"/>
      <c r="J12" s="26"/>
    </row>
    <row r="13" spans="1:12" x14ac:dyDescent="0.25">
      <c r="A13" s="8" t="s">
        <v>7170</v>
      </c>
      <c r="B13" s="2390" t="s">
        <v>5343</v>
      </c>
      <c r="C13" s="138" t="str">
        <f>"from "&amp;INC&amp;'INC(1)'!I21</f>
        <v>from INC6</v>
      </c>
      <c r="D13" s="2154" t="str">
        <f>'Divs (c3)'!A3</f>
        <v>c3.3</v>
      </c>
      <c r="E13" s="2157">
        <f>TRUNC('INC(1)'!J22,0)</f>
        <v>0</v>
      </c>
      <c r="F13" s="281" t="s">
        <v>7029</v>
      </c>
    </row>
    <row r="14" spans="1:12" x14ac:dyDescent="0.25">
      <c r="C14" s="138"/>
      <c r="D14" s="149"/>
      <c r="E14" s="78"/>
      <c r="F14" s="281"/>
      <c r="J14" s="26"/>
    </row>
    <row r="15" spans="1:12" x14ac:dyDescent="0.25">
      <c r="A15" s="8" t="s">
        <v>7171</v>
      </c>
      <c r="B15" s="8" t="s">
        <v>861</v>
      </c>
      <c r="C15" s="138" t="str">
        <f>"from "&amp;FOR&amp;FOR!G24</f>
        <v>from FOR6</v>
      </c>
      <c r="D15" s="2154" t="str">
        <f>'Divs (c3)'!A4</f>
        <v>c3.4</v>
      </c>
      <c r="E15" s="2150">
        <f>TRUNC(FOR!H25,0)</f>
        <v>0</v>
      </c>
      <c r="F15" s="281" t="s">
        <v>7029</v>
      </c>
      <c r="K15" s="79"/>
    </row>
    <row r="16" spans="1:12" x14ac:dyDescent="0.25">
      <c r="C16" s="138"/>
      <c r="D16" s="149"/>
      <c r="E16" s="30"/>
      <c r="F16" s="281"/>
      <c r="K16" s="79"/>
    </row>
    <row r="17" spans="1:15" x14ac:dyDescent="0.25">
      <c r="B17" s="1065" t="s">
        <v>9585</v>
      </c>
      <c r="C17" s="1095" t="str">
        <f>"from "&amp;FOR&amp;FOR!V7</f>
        <v>from FOR53</v>
      </c>
      <c r="D17" s="2155" t="str">
        <f>A5</f>
        <v>c3.4.1</v>
      </c>
      <c r="E17" s="2150">
        <f>TRUNC(FOR!W8,0)</f>
        <v>0</v>
      </c>
      <c r="F17" s="1100" t="s">
        <v>7029</v>
      </c>
      <c r="K17" s="79"/>
    </row>
    <row r="18" spans="1:15" x14ac:dyDescent="0.25">
      <c r="A18" s="8" t="s">
        <v>7172</v>
      </c>
      <c r="D18" s="1062" t="s">
        <v>7143</v>
      </c>
    </row>
    <row r="19" spans="1:15" x14ac:dyDescent="0.25">
      <c r="A19" s="8" t="s">
        <v>7173</v>
      </c>
      <c r="B19" s="1077"/>
      <c r="C19" s="1077"/>
      <c r="D19" s="1062" t="str">
        <f>D11&amp;" to "&amp;D15&amp;" = 0 (zero)"</f>
        <v>c3.2 to c3.4 = 0 (zero)</v>
      </c>
    </row>
    <row r="20" spans="1:15" x14ac:dyDescent="0.25">
      <c r="A20" s="8" t="s">
        <v>4828</v>
      </c>
      <c r="D20" s="1062" t="s">
        <v>75</v>
      </c>
      <c r="H20" s="1067" t="str">
        <f>D11&amp;" + "&amp;D13&amp;" + "&amp;D15&amp;" + "&amp;D17</f>
        <v>c3.2 + c3.3 + c3.4 + c3.4.1</v>
      </c>
    </row>
    <row r="21" spans="1:15" x14ac:dyDescent="0.25">
      <c r="A21" s="8" t="s">
        <v>7174</v>
      </c>
      <c r="C21" s="9"/>
      <c r="D21" s="9"/>
      <c r="G21" s="2154" t="str">
        <f>'Divs (c3)'!A6</f>
        <v>c3.5</v>
      </c>
      <c r="H21" s="2150">
        <f>MAX(0,E11+E13+E15+E17-(TCRWS!H14+TCRWS!J14))</f>
        <v>0</v>
      </c>
    </row>
    <row r="22" spans="1:15" x14ac:dyDescent="0.25">
      <c r="A22" s="8" t="s">
        <v>4813</v>
      </c>
      <c r="B22" s="2151"/>
      <c r="C22" s="2151"/>
      <c r="D22" s="2151"/>
      <c r="E22" s="2151"/>
      <c r="F22" s="2151"/>
      <c r="G22" s="2151"/>
      <c r="H22" s="2156" t="str">
        <f>"copy to "&amp;'non-res (c91)'!A17</f>
        <v>copy to c91.16</v>
      </c>
      <c r="I22" s="2151"/>
      <c r="O22" s="78"/>
    </row>
    <row r="23" spans="1:15" x14ac:dyDescent="0.25">
      <c r="A23" s="8" t="s">
        <v>4845</v>
      </c>
      <c r="C23" s="78"/>
      <c r="D23" s="78"/>
      <c r="E23" s="78"/>
      <c r="F23" s="78"/>
      <c r="G23" s="78"/>
      <c r="H23" s="78"/>
      <c r="I23" s="78"/>
      <c r="O23" s="79"/>
    </row>
    <row r="24" spans="1:15" x14ac:dyDescent="0.25">
      <c r="A24" s="8" t="s">
        <v>7175</v>
      </c>
      <c r="B24" s="140" t="s">
        <v>6615</v>
      </c>
      <c r="O24" s="79"/>
    </row>
    <row r="25" spans="1:15" x14ac:dyDescent="0.25">
      <c r="A25" s="8" t="s">
        <v>7176</v>
      </c>
      <c r="B25" s="140" t="s">
        <v>7177</v>
      </c>
      <c r="O25" s="78"/>
    </row>
    <row r="26" spans="1:15" x14ac:dyDescent="0.25">
      <c r="A26" s="8" t="s">
        <v>7178</v>
      </c>
      <c r="O26" s="78"/>
    </row>
    <row r="27" spans="1:15" x14ac:dyDescent="0.25">
      <c r="A27" s="8" t="s">
        <v>4861</v>
      </c>
      <c r="E27" s="138" t="str">
        <f>"("&amp;TRU&amp;TRU!G11&amp;" + "&amp;TRU&amp;TRU!C28&amp;") × divs_gross ("&amp;divs_gross_F&amp;")"</f>
        <v>(TRU5 + TRU9) × divs_gross (100/91.25)</v>
      </c>
      <c r="O27" s="78"/>
    </row>
    <row r="28" spans="1:15" x14ac:dyDescent="0.25">
      <c r="A28" s="8" t="s">
        <v>7179</v>
      </c>
      <c r="B28" s="140" t="s">
        <v>7180</v>
      </c>
      <c r="D28" s="2148" t="str">
        <f>'Divs (c3)'!A7</f>
        <v>c3.6</v>
      </c>
      <c r="E28" s="2150">
        <f>TRUNC((TRU!H12+TRU!D29)*divs_gross,0)</f>
        <v>0</v>
      </c>
      <c r="F28" s="281" t="s">
        <v>7029</v>
      </c>
      <c r="O28" s="30"/>
    </row>
    <row r="29" spans="1:15" x14ac:dyDescent="0.25">
      <c r="B29" s="140"/>
      <c r="D29" s="140"/>
      <c r="E29" s="32" t="str">
        <f>"copy to "&amp;'non-res (c91)'!A19</f>
        <v>copy to c91.18</v>
      </c>
      <c r="F29" s="281"/>
      <c r="O29" s="30"/>
    </row>
    <row r="30" spans="1:15" x14ac:dyDescent="0.25">
      <c r="A30" s="8" t="s">
        <v>7181</v>
      </c>
      <c r="G30" s="9"/>
      <c r="H30" s="9"/>
    </row>
    <row r="31" spans="1:15" x14ac:dyDescent="0.25">
      <c r="A31" s="8" t="s">
        <v>7182</v>
      </c>
      <c r="E31" s="138" t="str">
        <f>TRU&amp;TRU!K15&amp;" × divs_gross ("&amp;divs_gross_F&amp;")"</f>
        <v>TRU18 × divs_gross (100/91.25)</v>
      </c>
      <c r="J31" s="78"/>
      <c r="K31" s="78"/>
      <c r="L31" s="78"/>
      <c r="M31" s="79"/>
      <c r="N31" s="78"/>
    </row>
    <row r="32" spans="1:15" x14ac:dyDescent="0.25">
      <c r="A32" s="8" t="s">
        <v>7183</v>
      </c>
      <c r="B32" s="140" t="s">
        <v>6531</v>
      </c>
      <c r="D32" s="2148" t="str">
        <f>'Divs (c3)'!A8</f>
        <v>c3.7</v>
      </c>
      <c r="E32" s="2150">
        <f>TRUNC(TRU!L16*divs_gross,0)</f>
        <v>0</v>
      </c>
      <c r="F32" s="281" t="s">
        <v>7029</v>
      </c>
      <c r="G32" s="9"/>
      <c r="H32" s="9"/>
      <c r="K32" s="32"/>
      <c r="N32" s="78"/>
    </row>
    <row r="33" spans="1:14" x14ac:dyDescent="0.25">
      <c r="A33" s="8" t="s">
        <v>7184</v>
      </c>
      <c r="B33" s="140"/>
      <c r="D33" s="140"/>
      <c r="E33" s="32" t="str">
        <f>"copy to "&amp;'non-res (c91)'!A20</f>
        <v>copy to c91.19</v>
      </c>
      <c r="F33" s="281"/>
      <c r="G33" s="9"/>
      <c r="H33" s="9"/>
      <c r="K33" s="32"/>
      <c r="N33" s="78"/>
    </row>
    <row r="34" spans="1:14" x14ac:dyDescent="0.25">
      <c r="B34" s="140"/>
      <c r="D34" s="140"/>
      <c r="E34" s="32"/>
      <c r="F34" s="281"/>
      <c r="G34" s="9"/>
      <c r="H34" s="9"/>
      <c r="K34" s="32"/>
      <c r="N34" s="78"/>
    </row>
    <row r="35" spans="1:14" x14ac:dyDescent="0.25">
      <c r="A35" s="8" t="s">
        <v>7185</v>
      </c>
      <c r="B35" s="140"/>
      <c r="E35" s="138" t="str">
        <f>TRU&amp;TRU!K20&amp;" × divs_gross_old ("&amp;divs_gross_old_F&amp;")"</f>
        <v>TRU18.1 × divs_gross_old (100/92.5)</v>
      </c>
      <c r="G35" s="9"/>
      <c r="H35" s="9"/>
      <c r="K35" s="32"/>
      <c r="N35" s="78"/>
    </row>
    <row r="36" spans="1:14" x14ac:dyDescent="0.25">
      <c r="B36" s="140"/>
      <c r="D36" s="2148" t="str">
        <f>A9</f>
        <v>c3.7.1</v>
      </c>
      <c r="E36" s="2150">
        <f>TRUNC(TRU!L21*divs_gross_old,0)</f>
        <v>0</v>
      </c>
      <c r="F36" s="281" t="s">
        <v>7029</v>
      </c>
      <c r="G36" s="9"/>
      <c r="H36" s="9"/>
      <c r="K36" s="32"/>
      <c r="N36" s="78"/>
    </row>
    <row r="37" spans="1:14" x14ac:dyDescent="0.25">
      <c r="E37" s="9" t="str">
        <f>"copy to "&amp;'non-res (c91)'!A21</f>
        <v>copy to c91.19a</v>
      </c>
      <c r="N37" s="78"/>
    </row>
    <row r="38" spans="1:14" x14ac:dyDescent="0.25">
      <c r="E38" s="9"/>
      <c r="N38" s="78"/>
    </row>
    <row r="39" spans="1:14" x14ac:dyDescent="0.25">
      <c r="E39" s="138" t="str">
        <f>TRU&amp;TRU!G24&amp;" × trust_div_gross ("&amp;trust_div_gross_F&amp;")"</f>
        <v>TRU12 × trust_div_gross (100/60.65)</v>
      </c>
    </row>
    <row r="40" spans="1:14" x14ac:dyDescent="0.25">
      <c r="B40" s="140" t="s">
        <v>7186</v>
      </c>
      <c r="D40" s="2148" t="str">
        <f>'Divs (c3)'!A10</f>
        <v>c3.8</v>
      </c>
      <c r="E40" s="2150">
        <f>TRUNC(TRU!H25*trust_div_gross,0)</f>
        <v>0</v>
      </c>
      <c r="F40" s="281" t="s">
        <v>7029</v>
      </c>
      <c r="G40" s="9"/>
      <c r="H40" s="9"/>
    </row>
    <row r="41" spans="1:14" x14ac:dyDescent="0.25">
      <c r="B41" s="140"/>
      <c r="D41" s="140"/>
      <c r="E41" s="32" t="str">
        <f>"copy to "&amp;'non-res (c91)'!A22</f>
        <v>copy to c91.20</v>
      </c>
      <c r="F41" s="281"/>
      <c r="G41" s="9"/>
      <c r="H41" s="9"/>
    </row>
    <row r="43" spans="1:14" x14ac:dyDescent="0.25">
      <c r="H43" s="9" t="str">
        <f>D28&amp;" + "&amp;D32&amp;" + "&amp;D36&amp;" + "&amp;D40</f>
        <v>c3.6 + c3.7 + c3.7.1 + c3.8</v>
      </c>
      <c r="I43" s="78"/>
      <c r="J43" s="78"/>
      <c r="K43" s="78"/>
      <c r="L43" s="78"/>
      <c r="M43" s="78"/>
      <c r="N43" s="78"/>
    </row>
    <row r="44" spans="1:14" x14ac:dyDescent="0.25">
      <c r="B44" s="140" t="s">
        <v>7187</v>
      </c>
      <c r="C44" s="9"/>
      <c r="D44" s="9"/>
      <c r="G44" s="2148" t="str">
        <f>'Divs (c3)'!A11</f>
        <v>c3.9</v>
      </c>
      <c r="H44" s="2150">
        <f>E28+E32+E36+E40</f>
        <v>0</v>
      </c>
      <c r="J44" s="78"/>
      <c r="K44" s="78"/>
      <c r="L44" s="78"/>
      <c r="M44" s="78"/>
      <c r="N44" s="78"/>
    </row>
    <row r="45" spans="1:14" x14ac:dyDescent="0.25">
      <c r="B45" s="2151"/>
      <c r="C45" s="2151"/>
      <c r="D45" s="2151"/>
      <c r="E45" s="2151"/>
      <c r="F45" s="2151"/>
      <c r="G45" s="2151"/>
      <c r="H45" s="2151"/>
      <c r="I45" s="2151"/>
    </row>
    <row r="46" spans="1:14" x14ac:dyDescent="0.25">
      <c r="C46" s="78"/>
      <c r="D46" s="78"/>
      <c r="E46" s="78"/>
      <c r="F46" s="78"/>
      <c r="G46" s="78"/>
      <c r="H46" s="78"/>
      <c r="I46" s="78"/>
    </row>
    <row r="47" spans="1:14" ht="12" x14ac:dyDescent="0.3">
      <c r="B47" s="140" t="s">
        <v>2231</v>
      </c>
      <c r="F47" s="144"/>
      <c r="G47" s="9"/>
      <c r="H47" s="9"/>
    </row>
    <row r="48" spans="1:14" x14ac:dyDescent="0.25">
      <c r="B48" s="8" t="s">
        <v>5338</v>
      </c>
      <c r="C48" s="138" t="str">
        <f>"from "&amp;INC&amp;'INC(1)'!I15</f>
        <v>from INC4</v>
      </c>
      <c r="D48" s="2148" t="str">
        <f>'Divs (c3)'!A12</f>
        <v>c3.10</v>
      </c>
      <c r="E48" s="2150">
        <f>TRUNC('INC(1)'!J16,0)</f>
        <v>0</v>
      </c>
      <c r="F48" s="281" t="s">
        <v>7029</v>
      </c>
      <c r="G48" s="9"/>
      <c r="H48" s="9"/>
    </row>
    <row r="49" spans="2:9" x14ac:dyDescent="0.25">
      <c r="B49" s="79" t="s">
        <v>5342</v>
      </c>
      <c r="C49" s="138" t="str">
        <f>"from "&amp;INC&amp;'INC(1)'!I18</f>
        <v>from INC5</v>
      </c>
      <c r="D49" s="2148" t="str">
        <f>A13</f>
        <v>c3.11</v>
      </c>
      <c r="E49" s="2150">
        <f>TRUNC('INC(1)'!J19,0)</f>
        <v>0</v>
      </c>
      <c r="F49" s="281" t="s">
        <v>7029</v>
      </c>
      <c r="G49" s="9"/>
      <c r="H49" s="9"/>
    </row>
    <row r="50" spans="2:9" x14ac:dyDescent="0.25">
      <c r="B50" s="79" t="s">
        <v>5386</v>
      </c>
      <c r="C50" s="138" t="str">
        <f>"from "&amp;AOI&amp;AOI!C28</f>
        <v>from AOI12</v>
      </c>
      <c r="D50" s="2148" t="str">
        <f>'Divs (c3)'!A15</f>
        <v>c3.12</v>
      </c>
      <c r="E50" s="2150">
        <f>TRUNC(AOI!D29,0)</f>
        <v>0</v>
      </c>
      <c r="F50" s="281" t="s">
        <v>7029</v>
      </c>
      <c r="G50" s="22"/>
      <c r="H50" s="9"/>
    </row>
    <row r="51" spans="2:9" x14ac:dyDescent="0.25">
      <c r="B51" s="79" t="s">
        <v>5387</v>
      </c>
      <c r="C51" s="138" t="str">
        <f>"from "&amp;AOI&amp;AOI!G28</f>
        <v>from AOI13</v>
      </c>
      <c r="D51" s="2148" t="str">
        <f>'Divs (c3)'!A18</f>
        <v>c3.13</v>
      </c>
      <c r="E51" s="2150">
        <f>TRUNC(AOI!H29)</f>
        <v>0</v>
      </c>
      <c r="F51" s="281" t="s">
        <v>7029</v>
      </c>
    </row>
    <row r="52" spans="2:9" x14ac:dyDescent="0.25">
      <c r="B52" s="8" t="s">
        <v>2437</v>
      </c>
      <c r="C52" s="138" t="str">
        <f>"from "&amp;AOI&amp;AOI!G31</f>
        <v>from AOI13.1</v>
      </c>
      <c r="D52" s="2148" t="str">
        <f>'Divs (c3)'!A19</f>
        <v>c3.13a</v>
      </c>
      <c r="E52" s="2150">
        <f>TRUNC(AOI!H32)</f>
        <v>0</v>
      </c>
      <c r="F52" s="281" t="s">
        <v>7029</v>
      </c>
      <c r="I52" s="38"/>
    </row>
    <row r="53" spans="2:9" x14ac:dyDescent="0.25">
      <c r="H53" s="9" t="str">
        <f>D48&amp;" + "&amp;D49&amp;" + "&amp;D50&amp;" + "&amp;D51&amp;" + "&amp;D52</f>
        <v>c3.10 + c3.11 + c3.12 + c3.13 + c3.13a</v>
      </c>
    </row>
    <row r="54" spans="2:9" x14ac:dyDescent="0.25">
      <c r="B54" s="140" t="s">
        <v>7188</v>
      </c>
      <c r="G54" s="2148" t="str">
        <f>'Divs (c3)'!A20</f>
        <v>c3.14</v>
      </c>
      <c r="H54" s="2150">
        <f>E48+E49+E50+E51+E52</f>
        <v>0</v>
      </c>
    </row>
    <row r="55" spans="2:9" x14ac:dyDescent="0.25">
      <c r="B55" s="2151"/>
      <c r="C55" s="2151"/>
      <c r="D55" s="2151"/>
      <c r="E55" s="2151"/>
      <c r="F55" s="2151"/>
      <c r="G55" s="2151"/>
      <c r="H55" s="2156" t="str">
        <f>"add "&amp;'Savings (c2)'!A18&amp;" + "&amp;'Divs (c3)'!A20&amp;" and copy to "&amp;'S loans(c27)'!A35</f>
        <v>add c2.17 + c3.14 and copy to c27.22</v>
      </c>
      <c r="I55" s="2151"/>
    </row>
    <row r="56" spans="2:9" x14ac:dyDescent="0.25">
      <c r="C56" s="78"/>
      <c r="D56" s="78"/>
      <c r="E56" s="78"/>
      <c r="F56" s="78"/>
      <c r="G56" s="78"/>
      <c r="H56" s="78"/>
      <c r="I56" s="78"/>
    </row>
    <row r="57" spans="2:9" x14ac:dyDescent="0.25">
      <c r="B57" s="30"/>
      <c r="C57" s="38"/>
      <c r="G57" s="38"/>
      <c r="H57" s="38" t="str">
        <f>G5&amp;" + "&amp;G21&amp;" + "&amp;G44&amp;" + "&amp;G54</f>
        <v>c3.1 + c3.5 + c3.9 + c3.14</v>
      </c>
      <c r="I57" s="30"/>
    </row>
    <row r="58" spans="2:9" x14ac:dyDescent="0.25">
      <c r="B58" s="87" t="s">
        <v>7189</v>
      </c>
      <c r="C58" s="78"/>
      <c r="D58" s="78"/>
      <c r="E58" s="78"/>
      <c r="F58" s="78"/>
      <c r="G58" s="2148" t="str">
        <f>'Divs (c3)'!A21</f>
        <v>c3.15</v>
      </c>
      <c r="H58" s="2150">
        <f>H5+H21+H44+H54</f>
        <v>0</v>
      </c>
    </row>
    <row r="59" spans="2:9" ht="12" thickBot="1" x14ac:dyDescent="0.3">
      <c r="B59" s="283"/>
      <c r="C59" s="283"/>
      <c r="D59" s="283"/>
      <c r="E59" s="283"/>
      <c r="F59" s="283"/>
      <c r="G59" s="283"/>
      <c r="H59" s="827" t="str">
        <f>"copy to "&amp;'TSR (c17)'!A31&amp;" and "&amp;'LLIR (c24)'!A16&amp;" and "&amp;'non-res (c91)'!A16</f>
        <v>copy to c17.22f and c24.13 and c91.15</v>
      </c>
      <c r="I59" s="283"/>
    </row>
    <row r="60" spans="2:9" x14ac:dyDescent="0.25">
      <c r="B60" s="284"/>
      <c r="C60" s="284"/>
      <c r="D60" s="284"/>
      <c r="E60" s="284"/>
      <c r="F60" s="284"/>
      <c r="G60" s="284"/>
      <c r="H60" s="284"/>
      <c r="I60" s="284"/>
    </row>
    <row r="61" spans="2:9" x14ac:dyDescent="0.25">
      <c r="B61" s="87" t="s">
        <v>7190</v>
      </c>
    </row>
    <row r="62" spans="2:9" x14ac:dyDescent="0.25">
      <c r="H62" s="38" t="str">
        <f>"from "&amp;'Savings (c2)'!E19</f>
        <v>from c2.5</v>
      </c>
    </row>
    <row r="63" spans="2:9" x14ac:dyDescent="0.25">
      <c r="B63" s="140" t="s">
        <v>1502</v>
      </c>
      <c r="E63" s="139"/>
      <c r="G63" s="2148" t="str">
        <f>'Divs (c3)'!A22</f>
        <v>c3.16</v>
      </c>
      <c r="H63" s="2150">
        <f>'Savings (c2)'!F19</f>
        <v>0</v>
      </c>
      <c r="I63" s="281"/>
    </row>
    <row r="65" spans="2:9" x14ac:dyDescent="0.25">
      <c r="H65" s="141" t="str">
        <f>"from "&amp;AOI&amp;AOI!C13</f>
        <v>from AOI4</v>
      </c>
    </row>
    <row r="66" spans="2:9" x14ac:dyDescent="0.25">
      <c r="B66" s="140" t="s">
        <v>6617</v>
      </c>
      <c r="C66" s="78"/>
      <c r="D66" s="79"/>
      <c r="E66" s="78"/>
      <c r="G66" s="2148" t="str">
        <f>'Divs (c3)'!A23</f>
        <v>c3.17</v>
      </c>
      <c r="H66" s="2150">
        <f>TRUNC(AOI!D14,0)</f>
        <v>0</v>
      </c>
      <c r="I66" s="281" t="s">
        <v>7029</v>
      </c>
    </row>
    <row r="67" spans="2:9" x14ac:dyDescent="0.25">
      <c r="F67" s="139"/>
      <c r="G67" s="139"/>
    </row>
    <row r="68" spans="2:9" x14ac:dyDescent="0.25">
      <c r="F68" s="139"/>
      <c r="G68" s="140"/>
      <c r="H68" s="38" t="str">
        <f>G63&amp;" + "&amp;G66</f>
        <v>c3.16 + c3.17</v>
      </c>
    </row>
    <row r="69" spans="2:9" x14ac:dyDescent="0.25">
      <c r="F69" s="139"/>
      <c r="G69" s="2148" t="str">
        <f>'Divs (c3)'!A24</f>
        <v>c3.18</v>
      </c>
      <c r="H69" s="2150">
        <f>MAX(0,H63+H66-TCRWS!L14)</f>
        <v>0</v>
      </c>
    </row>
    <row r="70" spans="2:9" x14ac:dyDescent="0.25">
      <c r="F70" s="139"/>
      <c r="G70" s="140"/>
      <c r="H70" s="32" t="str">
        <f>"copy to "&amp;'Taxable (c5)'!E302&amp;" and "&amp;'non-res (c91)'!A27</f>
        <v>copy to c5.41 and c91.24</v>
      </c>
    </row>
    <row r="71" spans="2:9" x14ac:dyDescent="0.25">
      <c r="B71" s="2151"/>
      <c r="C71" s="2151"/>
      <c r="D71" s="2151"/>
      <c r="E71" s="2151"/>
      <c r="F71" s="2151"/>
      <c r="G71" s="2151"/>
      <c r="H71" s="2156" t="str">
        <f>"and add "&amp;'Savings (c2)'!A20&amp;" + "&amp;'Divs (c3)'!A24&amp;" and copy to "&amp;'LLIR (c24)'!A15</f>
        <v>and add c2.19 + c3.18 and copy to c24.12</v>
      </c>
      <c r="I71" s="2151"/>
    </row>
    <row r="73" spans="2:9" x14ac:dyDescent="0.25">
      <c r="B73" s="24" t="s">
        <v>7191</v>
      </c>
    </row>
    <row r="74" spans="2:9" x14ac:dyDescent="0.25">
      <c r="H74" s="141" t="str">
        <f>TRU&amp;TRU!O6&amp;" × NS_gross ("&amp;NS_gross_F&amp;")"</f>
        <v>TRU19 × NS_gross (100/80)</v>
      </c>
    </row>
    <row r="75" spans="2:9" x14ac:dyDescent="0.25">
      <c r="B75" s="140" t="s">
        <v>6615</v>
      </c>
      <c r="D75" s="78"/>
      <c r="E75" s="78"/>
      <c r="G75" s="2148" t="str">
        <f>'Divs (c3)'!A25</f>
        <v>c3.19</v>
      </c>
      <c r="H75" s="2150">
        <f>TRUNC(TRU!P7*NS_gross,0)</f>
        <v>0</v>
      </c>
      <c r="I75" s="281" t="s">
        <v>7029</v>
      </c>
    </row>
    <row r="76" spans="2:9" x14ac:dyDescent="0.25">
      <c r="B76" s="140"/>
      <c r="D76" s="78"/>
      <c r="E76" s="78"/>
      <c r="G76" s="140"/>
      <c r="H76" s="32" t="str">
        <f>"copy to "&amp;'Taxable (c5)'!E307&amp;" and "&amp;'non-res (c91)'!A28</f>
        <v>copy to c5.42 and c91.25</v>
      </c>
      <c r="I76" s="281"/>
    </row>
    <row r="77" spans="2:9" x14ac:dyDescent="0.25">
      <c r="B77" s="140"/>
      <c r="D77" s="78"/>
      <c r="E77" s="78"/>
      <c r="G77" s="140"/>
      <c r="H77" s="32" t="str">
        <f>"and add "&amp;'NS income (c1)'!A90&amp;" + "&amp;'Savings (c2)'!A14&amp;" + "&amp;'Divs (c3)'!A11&amp;" + "&amp;'Divs (c3)'!A25&amp;" and copy to "&amp;'S loans(c27)'!A34</f>
        <v>and add c1.51 + c2.13 + c3.9 + c3.19 and copy to c27.21</v>
      </c>
      <c r="I77" s="281"/>
    </row>
    <row r="78" spans="2:9" x14ac:dyDescent="0.25">
      <c r="F78" s="139"/>
      <c r="G78" s="139"/>
    </row>
    <row r="79" spans="2:9" x14ac:dyDescent="0.25">
      <c r="H79" s="138" t="str">
        <f>"from "&amp;TRU&amp;TRU!G6</f>
        <v>from TRU2</v>
      </c>
    </row>
    <row r="80" spans="2:9" x14ac:dyDescent="0.25">
      <c r="B80" s="8" t="s">
        <v>9587</v>
      </c>
      <c r="G80" s="2148" t="str">
        <f>'Divs (c3)'!A26</f>
        <v>c3.20</v>
      </c>
      <c r="H80" s="2150">
        <f>TRUNC(TRU!H7,0)</f>
        <v>0</v>
      </c>
      <c r="I80" s="281" t="s">
        <v>7029</v>
      </c>
    </row>
    <row r="81" spans="2:9" x14ac:dyDescent="0.25">
      <c r="G81" s="140"/>
      <c r="H81" s="32" t="str">
        <f>"copy to "&amp;'Taxable (c5)'!E312&amp;" and "&amp;'non-res (c91)'!A29</f>
        <v>copy to c5.43 and c91.26</v>
      </c>
      <c r="I81" s="281"/>
    </row>
    <row r="82" spans="2:9" x14ac:dyDescent="0.25">
      <c r="G82" s="140"/>
      <c r="H82" s="32" t="str">
        <f>"and add "&amp;'NS income (c1)'!A90&amp;" + "&amp;'Savings (c2)'!A14&amp;" + "&amp;'Divs (c3)'!A11&amp;" + "&amp;'Divs (c3)'!A25&amp;" + "&amp;'Divs (c3)'!A26&amp;" and copy to "&amp;'Deductions (c4)'!A91</f>
        <v>and add c1.51 + c2.13 + c3.9 + c3.19 + c3.20 and copy to c4.53</v>
      </c>
      <c r="I82" s="281"/>
    </row>
    <row r="83" spans="2:9" x14ac:dyDescent="0.25">
      <c r="G83" s="140"/>
      <c r="H83" s="32"/>
      <c r="I83" s="281"/>
    </row>
    <row r="84" spans="2:9" x14ac:dyDescent="0.25">
      <c r="B84" s="2151"/>
      <c r="C84" s="2151"/>
      <c r="D84" s="2151"/>
      <c r="E84" s="2151"/>
      <c r="F84" s="2151"/>
      <c r="G84" s="2151"/>
      <c r="H84" s="2151"/>
      <c r="I84" s="2151"/>
    </row>
    <row r="85" spans="2:9" x14ac:dyDescent="0.25">
      <c r="H85" s="9"/>
    </row>
    <row r="86" spans="2:9" x14ac:dyDescent="0.25">
      <c r="C86" s="30"/>
      <c r="D86" s="30"/>
      <c r="E86" s="30"/>
      <c r="F86" s="30"/>
      <c r="H86" s="38" t="str">
        <f>'NS income (c1)'!I184&amp;" + "&amp;'NS income (c1)'!I188&amp;" + "&amp;'Savings (c2)'!H79&amp;" + "&amp;G58&amp;" + "&amp;G69&amp;" + "&amp;G75&amp;" + "&amp;G80</f>
        <v>c1.57 + c1.58 + c2.19 + c3.15 + c3.18 + c3.19 + c3.20</v>
      </c>
    </row>
    <row r="87" spans="2:9" x14ac:dyDescent="0.25">
      <c r="B87" s="87" t="s">
        <v>7192</v>
      </c>
      <c r="G87" s="2148" t="str">
        <f>'Divs (c3)'!A27</f>
        <v>c3.21</v>
      </c>
      <c r="H87" s="2158">
        <f>'NS income (c1)'!J184+'NS income (c1)'!J188+'Savings (c2)'!I79+H58+H69+H75+H80</f>
        <v>0</v>
      </c>
    </row>
    <row r="88" spans="2:9" x14ac:dyDescent="0.25">
      <c r="B88" s="87"/>
      <c r="G88" s="140"/>
      <c r="H88" s="38"/>
    </row>
    <row r="89" spans="2:9" x14ac:dyDescent="0.25">
      <c r="C89" s="30"/>
      <c r="D89" s="30"/>
      <c r="E89" s="30"/>
      <c r="F89" s="30"/>
      <c r="H89" s="1114"/>
    </row>
    <row r="90" spans="2:9" x14ac:dyDescent="0.25">
      <c r="B90" s="846"/>
      <c r="G90" s="2159"/>
      <c r="H90" s="2158"/>
    </row>
    <row r="91" spans="2:9" x14ac:dyDescent="0.25">
      <c r="B91" s="2151"/>
      <c r="C91" s="2151"/>
      <c r="D91" s="2151"/>
      <c r="E91" s="2151"/>
      <c r="F91" s="2151"/>
      <c r="G91" s="2151"/>
      <c r="H91" s="2151"/>
      <c r="I91" s="2151"/>
    </row>
    <row r="93" spans="2:9" x14ac:dyDescent="0.25">
      <c r="B93" s="12" t="s">
        <v>7193</v>
      </c>
    </row>
    <row r="95" spans="2:9" x14ac:dyDescent="0.25">
      <c r="B95" s="12" t="s">
        <v>6583</v>
      </c>
    </row>
    <row r="96" spans="2:9" x14ac:dyDescent="0.25">
      <c r="B96" s="12"/>
    </row>
    <row r="97" spans="2:9" x14ac:dyDescent="0.25">
      <c r="B97" s="139" t="s">
        <v>7194</v>
      </c>
      <c r="H97" s="138" t="str">
        <f>"from NRD"&amp;NRD!D16</f>
        <v>from NRD20</v>
      </c>
    </row>
    <row r="98" spans="2:9" x14ac:dyDescent="0.25">
      <c r="B98" s="139" t="s">
        <v>7195</v>
      </c>
      <c r="G98" s="2148" t="str">
        <f>'Divs (c3)'!A30</f>
        <v>c3.22</v>
      </c>
      <c r="H98" s="2150">
        <f>TRUNC(NRD!E17,0)</f>
        <v>0</v>
      </c>
      <c r="I98" s="197" t="s">
        <v>7029</v>
      </c>
    </row>
    <row r="100" spans="2:9" x14ac:dyDescent="0.25">
      <c r="H100" s="38" t="str">
        <f>G87&amp;" + "&amp;G98</f>
        <v>c3.21 + c3.22</v>
      </c>
    </row>
    <row r="101" spans="2:9" x14ac:dyDescent="0.25">
      <c r="B101" s="87" t="s">
        <v>7196</v>
      </c>
      <c r="G101" s="2148" t="str">
        <f>'Divs (c3)'!A31</f>
        <v>c3.23</v>
      </c>
      <c r="H101" s="2158">
        <f>H87+H98</f>
        <v>0</v>
      </c>
    </row>
    <row r="102" spans="2:9" x14ac:dyDescent="0.25">
      <c r="B102" s="2151"/>
      <c r="C102" s="2151"/>
      <c r="D102" s="2151"/>
      <c r="E102" s="2151"/>
      <c r="F102" s="2151"/>
      <c r="G102" s="2151"/>
      <c r="H102" s="2151"/>
      <c r="I102" s="2151"/>
    </row>
    <row r="104" spans="2:9" x14ac:dyDescent="0.25">
      <c r="H104" s="143" t="str">
        <f>"from "&amp;AIL&amp;AIL!G5</f>
        <v>from AIL6</v>
      </c>
    </row>
    <row r="105" spans="2:9" ht="12" x14ac:dyDescent="0.3">
      <c r="B105" s="8" t="s">
        <v>7197</v>
      </c>
      <c r="G105" s="2160" t="str">
        <f>A32</f>
        <v>c3.24</v>
      </c>
      <c r="H105" s="2161">
        <f>TRUNC(AIL!H6,0)</f>
        <v>0</v>
      </c>
      <c r="I105" s="197" t="s">
        <v>7029</v>
      </c>
    </row>
    <row r="107" spans="2:9" x14ac:dyDescent="0.25">
      <c r="H107" s="143" t="str">
        <f>"from "&amp;REL&amp;'REL(1)'!C6&amp;" + "&amp;REL&amp;'REL(1)'!C9&amp;" + "&amp;REL&amp;'REL(1)'!H6&amp;" + "&amp;REL&amp;'REL(1)'!H9</f>
        <v>from REL1 + REL2 + REL3 + REL4</v>
      </c>
    </row>
    <row r="108" spans="2:9" ht="12" x14ac:dyDescent="0.3">
      <c r="B108" s="34" t="s">
        <v>7198</v>
      </c>
      <c r="C108" s="35"/>
      <c r="D108" s="35"/>
      <c r="E108" s="35"/>
      <c r="G108" s="2160" t="str">
        <f>A33</f>
        <v>c3.25</v>
      </c>
      <c r="H108" s="2161">
        <f>TRUNC('REL(1)'!D7+0.99,0)+TRUNC('REL(1)'!D10+0.99,0)+TRUNC('REL(1)'!I7+0.99,0)+TRUNC('REL(1)'!I10+0.99,0)</f>
        <v>0</v>
      </c>
      <c r="I108" s="197" t="s">
        <v>7035</v>
      </c>
    </row>
    <row r="110" spans="2:9" x14ac:dyDescent="0.25">
      <c r="B110" s="87"/>
      <c r="H110" s="9" t="str">
        <f>"("&amp;G101&amp;" + "&amp;G105&amp;") minus "&amp;G108</f>
        <v>(c3.23 + c3.24) minus c3.25</v>
      </c>
    </row>
    <row r="111" spans="2:9" x14ac:dyDescent="0.25">
      <c r="B111" s="87" t="s">
        <v>7199</v>
      </c>
      <c r="G111" s="2160" t="str">
        <f>A35</f>
        <v>c3.26</v>
      </c>
      <c r="H111" s="2161">
        <f>MAX(0,(H101+H105)-H108)</f>
        <v>0</v>
      </c>
    </row>
    <row r="112" spans="2:9" x14ac:dyDescent="0.25">
      <c r="H112" s="8" t="str">
        <f>"Copy to "&amp;'Deductions (c4)'!D201</f>
        <v>Copy to c4.41</v>
      </c>
    </row>
    <row r="116" spans="1:1" x14ac:dyDescent="0.25">
      <c r="A116" s="35"/>
    </row>
  </sheetData>
  <phoneticPr fontId="58" type="noConversion"/>
  <pageMargins left="0.19685" right="0.19685" top="0.19685" bottom="0.19685" header="0" footer="0"/>
  <pageSetup paperSize="9" orientation="portrait" horizontalDpi="4294967293" verticalDpi="1200" r:id="rId1"/>
  <headerFooter alignWithMargins="0">
    <oddFooter>&amp;C&amp;1#&amp;"Calibri"&amp;10&amp;K000000OFFICIAL-SENSITIVE</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8"/>
  <dimension ref="A1:AE54"/>
  <sheetViews>
    <sheetView showGridLines="0" topLeftCell="B1" workbookViewId="0">
      <selection activeCell="B1" sqref="B1"/>
    </sheetView>
  </sheetViews>
  <sheetFormatPr defaultColWidth="9.1796875" defaultRowHeight="12.5" x14ac:dyDescent="0.25"/>
  <cols>
    <col min="1" max="1" width="10.81640625" hidden="1" customWidth="1"/>
    <col min="2" max="2" width="43.1796875" customWidth="1"/>
    <col min="3" max="3" width="10.453125" customWidth="1"/>
    <col min="4" max="4" width="5.54296875" customWidth="1"/>
    <col min="5" max="5" width="16.1796875" customWidth="1"/>
    <col min="6" max="6" width="10.54296875" customWidth="1"/>
    <col min="7" max="7" width="6" customWidth="1"/>
    <col min="8" max="8" width="6.1796875" customWidth="1"/>
    <col min="9" max="9" width="16.1796875" customWidth="1"/>
    <col min="10" max="10" width="12.54296875" customWidth="1"/>
    <col min="11" max="12" width="6" customWidth="1"/>
    <col min="13" max="13" width="16.1796875" customWidth="1"/>
    <col min="14" max="14" width="12.54296875" customWidth="1"/>
    <col min="15" max="15" width="6" customWidth="1"/>
    <col min="16" max="16" width="6.1796875" customWidth="1"/>
    <col min="17" max="18" width="16.1796875" customWidth="1"/>
    <col min="19" max="19" width="6.1796875" customWidth="1"/>
    <col min="20" max="21" width="13.1796875" customWidth="1"/>
    <col min="22" max="22" width="12.54296875" customWidth="1"/>
    <col min="23" max="24" width="6.1796875" customWidth="1"/>
    <col min="25" max="26" width="16" customWidth="1"/>
    <col min="27" max="27" width="6.1796875" customWidth="1"/>
    <col min="28" max="28" width="16" customWidth="1"/>
    <col min="29" max="29" width="13.1796875" customWidth="1"/>
    <col min="30" max="30" width="6.1796875" customWidth="1"/>
    <col min="31" max="31" width="16.1796875" customWidth="1"/>
  </cols>
  <sheetData>
    <row r="1" spans="1:21" ht="18" x14ac:dyDescent="0.4">
      <c r="A1" s="178" t="s">
        <v>7200</v>
      </c>
      <c r="B1" s="483" t="s">
        <v>7201</v>
      </c>
    </row>
    <row r="2" spans="1:21" x14ac:dyDescent="0.25">
      <c r="A2" t="s">
        <v>7202</v>
      </c>
      <c r="E2" s="2144" t="s">
        <v>7019</v>
      </c>
      <c r="F2" s="2146"/>
      <c r="G2" s="2146"/>
      <c r="H2" s="2146"/>
      <c r="I2" s="2147"/>
    </row>
    <row r="3" spans="1:21" x14ac:dyDescent="0.25">
      <c r="A3" s="178" t="s">
        <v>7203</v>
      </c>
    </row>
    <row r="4" spans="1:21" x14ac:dyDescent="0.25">
      <c r="A4" s="178" t="s">
        <v>7204</v>
      </c>
      <c r="B4" s="8" t="s">
        <v>7205</v>
      </c>
      <c r="C4" s="8"/>
      <c r="D4" s="8"/>
      <c r="E4" s="8"/>
      <c r="F4" s="8"/>
      <c r="G4" s="8"/>
      <c r="H4" s="8"/>
      <c r="I4" s="8"/>
      <c r="J4" s="8"/>
      <c r="K4" s="8"/>
      <c r="L4" s="139"/>
      <c r="M4" s="219"/>
      <c r="N4" s="8"/>
      <c r="O4" s="8"/>
      <c r="P4" s="8"/>
      <c r="Q4" s="8"/>
      <c r="R4" s="8"/>
      <c r="S4" s="8"/>
      <c r="T4" s="8"/>
      <c r="U4" s="8"/>
    </row>
    <row r="5" spans="1:21" x14ac:dyDescent="0.25">
      <c r="A5" s="178" t="s">
        <v>7206</v>
      </c>
      <c r="B5" s="8" t="s">
        <v>7207</v>
      </c>
      <c r="C5" s="8"/>
      <c r="D5" s="8"/>
      <c r="E5" s="8"/>
      <c r="F5" s="8"/>
      <c r="G5" s="8"/>
      <c r="H5" s="8"/>
      <c r="I5" s="8"/>
      <c r="J5" s="8"/>
      <c r="K5" s="8"/>
      <c r="L5" s="139"/>
      <c r="M5" s="219"/>
      <c r="N5" s="8"/>
      <c r="O5" s="8"/>
      <c r="P5" s="8"/>
      <c r="Q5" s="8"/>
      <c r="R5" s="8"/>
      <c r="S5" s="8"/>
      <c r="T5" s="8"/>
      <c r="U5" s="8"/>
    </row>
    <row r="6" spans="1:21" x14ac:dyDescent="0.25">
      <c r="A6" s="178" t="s">
        <v>7208</v>
      </c>
      <c r="B6" s="210"/>
      <c r="C6" s="210"/>
      <c r="D6" s="210"/>
      <c r="E6" s="210"/>
      <c r="F6" s="210"/>
      <c r="G6" s="210"/>
      <c r="H6" s="210"/>
      <c r="I6" s="210"/>
      <c r="J6" s="210"/>
      <c r="K6" s="210"/>
      <c r="L6" s="381"/>
      <c r="M6" s="404"/>
      <c r="N6" s="210"/>
      <c r="O6" s="210"/>
      <c r="P6" s="210"/>
      <c r="Q6" s="210"/>
      <c r="R6" s="210"/>
      <c r="S6" s="210"/>
      <c r="T6" s="8"/>
      <c r="U6" s="8"/>
    </row>
    <row r="7" spans="1:21" x14ac:dyDescent="0.25">
      <c r="A7" s="178" t="s">
        <v>7209</v>
      </c>
      <c r="B7" s="8"/>
      <c r="C7" s="8"/>
      <c r="D7" s="8"/>
      <c r="E7" s="8"/>
      <c r="F7" s="8"/>
      <c r="G7" s="8"/>
      <c r="H7" s="8"/>
      <c r="I7" s="8"/>
      <c r="J7" s="8"/>
      <c r="K7" s="8"/>
      <c r="L7" s="139"/>
      <c r="M7" s="219"/>
      <c r="N7" s="8"/>
      <c r="O7" s="8"/>
      <c r="P7" s="8"/>
      <c r="Q7" s="8"/>
      <c r="R7" s="8"/>
      <c r="S7" s="8"/>
      <c r="T7" s="8"/>
      <c r="U7" s="8"/>
    </row>
    <row r="8" spans="1:21" x14ac:dyDescent="0.25">
      <c r="A8" s="178" t="s">
        <v>7210</v>
      </c>
      <c r="B8" s="523"/>
      <c r="C8" s="221"/>
      <c r="D8" s="221"/>
      <c r="E8" s="221"/>
      <c r="F8" s="221"/>
      <c r="G8" s="221"/>
      <c r="H8" s="221"/>
      <c r="I8" s="221"/>
      <c r="J8" s="8"/>
      <c r="K8" s="8"/>
      <c r="L8" s="139"/>
      <c r="M8" s="219"/>
      <c r="N8" s="8"/>
      <c r="O8" s="8"/>
      <c r="P8" s="8"/>
      <c r="Q8" s="8"/>
      <c r="R8" s="8"/>
      <c r="S8" s="8"/>
      <c r="T8" s="8"/>
      <c r="U8" s="8"/>
    </row>
    <row r="9" spans="1:21" x14ac:dyDescent="0.25">
      <c r="A9" s="178" t="s">
        <v>7211</v>
      </c>
      <c r="B9" s="8" t="str">
        <f>"if "&amp;NRD!P4&amp;" = Y"</f>
        <v>if box_NRD1 = Y</v>
      </c>
      <c r="C9" s="8"/>
      <c r="D9" s="8"/>
      <c r="E9" s="221"/>
      <c r="F9" s="8"/>
      <c r="G9" s="8"/>
      <c r="H9" s="8"/>
      <c r="I9" s="8"/>
      <c r="J9" s="8"/>
      <c r="K9" s="8"/>
      <c r="L9" s="139"/>
      <c r="M9" s="219"/>
      <c r="N9" s="8"/>
      <c r="O9" s="8"/>
      <c r="P9" s="8"/>
      <c r="Q9" s="8"/>
      <c r="R9" s="8"/>
      <c r="S9" s="8"/>
      <c r="T9" s="8"/>
      <c r="U9" s="8"/>
    </row>
    <row r="10" spans="1:21" x14ac:dyDescent="0.25">
      <c r="A10" s="178" t="s">
        <v>7212</v>
      </c>
      <c r="B10" s="8" t="str">
        <f>D21&amp;" = 1"</f>
        <v>c3a.1 = 1</v>
      </c>
      <c r="C10" s="8"/>
      <c r="D10" s="8"/>
      <c r="E10" s="8"/>
      <c r="F10" s="8"/>
      <c r="G10" s="8"/>
      <c r="H10" s="8"/>
      <c r="I10" s="8"/>
      <c r="J10" s="8"/>
      <c r="K10" s="8"/>
      <c r="L10" s="139"/>
      <c r="M10" s="219"/>
      <c r="N10" s="8"/>
      <c r="O10" s="8"/>
      <c r="P10" s="8"/>
      <c r="Q10" s="8"/>
      <c r="R10" s="8"/>
      <c r="S10" s="8"/>
      <c r="T10" s="8"/>
      <c r="U10" s="8"/>
    </row>
    <row r="11" spans="1:21" x14ac:dyDescent="0.25">
      <c r="A11" s="178" t="s">
        <v>7214</v>
      </c>
      <c r="B11" s="8" t="s">
        <v>7143</v>
      </c>
      <c r="C11" s="8"/>
      <c r="D11" s="8"/>
      <c r="E11" s="9" t="s">
        <v>7213</v>
      </c>
      <c r="F11" s="8"/>
      <c r="G11" s="8"/>
      <c r="H11" s="8"/>
      <c r="I11" s="8"/>
      <c r="J11" s="8"/>
      <c r="K11" s="8"/>
      <c r="L11" s="139"/>
      <c r="M11" s="219"/>
      <c r="N11" s="8"/>
      <c r="O11" s="8"/>
      <c r="P11" s="8"/>
      <c r="Q11" s="8"/>
      <c r="R11" s="8"/>
      <c r="S11" s="8"/>
      <c r="T11" s="8"/>
      <c r="U11" s="8"/>
    </row>
    <row r="12" spans="1:21" x14ac:dyDescent="0.25">
      <c r="A12" s="178" t="s">
        <v>7215</v>
      </c>
      <c r="B12" s="8" t="str">
        <f>"Calculate "&amp;D21</f>
        <v>Calculate c3a.1</v>
      </c>
      <c r="C12" s="12"/>
      <c r="D12" s="8"/>
      <c r="E12" s="9" t="str">
        <f>D21&amp;" = 2"</f>
        <v>c3a.1 = 2</v>
      </c>
      <c r="F12" s="8"/>
      <c r="G12" s="8"/>
      <c r="H12" s="8"/>
      <c r="I12" s="8"/>
      <c r="J12" s="8"/>
      <c r="K12" s="8"/>
      <c r="L12" s="139"/>
      <c r="M12" s="219"/>
      <c r="N12" s="8"/>
      <c r="O12" s="8"/>
      <c r="P12" s="8"/>
      <c r="Q12" s="8"/>
      <c r="R12" s="8"/>
      <c r="S12" s="8"/>
      <c r="T12" s="8"/>
      <c r="U12" s="8"/>
    </row>
    <row r="13" spans="1:21" x14ac:dyDescent="0.25">
      <c r="A13" s="8" t="s">
        <v>7217</v>
      </c>
      <c r="B13" s="147"/>
      <c r="C13" s="8"/>
      <c r="D13" s="8"/>
      <c r="E13" s="8" t="s">
        <v>7143</v>
      </c>
      <c r="F13" s="8"/>
      <c r="G13" s="12"/>
      <c r="H13" s="8"/>
      <c r="I13" s="291"/>
      <c r="J13" s="8"/>
      <c r="K13" s="8"/>
      <c r="L13" s="8"/>
      <c r="M13" s="291"/>
      <c r="N13" s="298"/>
      <c r="O13" s="8"/>
      <c r="P13" s="8"/>
      <c r="Q13" s="8"/>
      <c r="R13" s="8"/>
      <c r="S13" s="8"/>
      <c r="T13" s="8"/>
      <c r="U13" s="8"/>
    </row>
    <row r="14" spans="1:21" s="8" customFormat="1" x14ac:dyDescent="0.25">
      <c r="A14" s="178" t="s">
        <v>7218</v>
      </c>
      <c r="B14" s="147"/>
      <c r="E14" s="9" t="s">
        <v>7216</v>
      </c>
    </row>
    <row r="15" spans="1:21" s="8" customFormat="1" ht="11.5" x14ac:dyDescent="0.25">
      <c r="B15" s="147"/>
      <c r="E15" s="9" t="str">
        <f>D21&amp;" = 3"</f>
        <v>c3a.1 = 3</v>
      </c>
    </row>
    <row r="16" spans="1:21" s="8" customFormat="1" ht="11.5" x14ac:dyDescent="0.25">
      <c r="B16" s="147"/>
      <c r="E16" s="8" t="s">
        <v>7143</v>
      </c>
    </row>
    <row r="17" spans="1:31" s="8" customFormat="1" ht="11.5" x14ac:dyDescent="0.25">
      <c r="B17" s="147"/>
      <c r="E17" s="9" t="str">
        <f>D21&amp;" = 1"</f>
        <v>c3a.1 = 1</v>
      </c>
    </row>
    <row r="18" spans="1:31" s="8" customFormat="1" ht="11.5" x14ac:dyDescent="0.25">
      <c r="E18" s="8" t="s">
        <v>75</v>
      </c>
    </row>
    <row r="19" spans="1:31" s="8" customFormat="1" ht="11.5" x14ac:dyDescent="0.25">
      <c r="E19" s="8" t="s">
        <v>75</v>
      </c>
    </row>
    <row r="20" spans="1:31" s="8" customFormat="1" ht="11.5" x14ac:dyDescent="0.25">
      <c r="E20" s="8" t="s">
        <v>75</v>
      </c>
    </row>
    <row r="21" spans="1:31" s="8" customFormat="1" ht="11.5" x14ac:dyDescent="0.25">
      <c r="D21" s="2162" t="str">
        <f>A1</f>
        <v>c3a.1</v>
      </c>
      <c r="E21" s="2150">
        <f>IF(box_NRD1,1,IF(Residency_Status_in_UK=2,2,IF(Residency_Status_in_UK=3,3,1)))</f>
        <v>1</v>
      </c>
    </row>
    <row r="22" spans="1:31" s="8" customFormat="1" ht="11.5" x14ac:dyDescent="0.25"/>
    <row r="23" spans="1:31" s="8" customFormat="1" ht="11.5" x14ac:dyDescent="0.25">
      <c r="C23" s="78"/>
      <c r="D23" s="421"/>
      <c r="E23" s="38" t="s">
        <v>75</v>
      </c>
      <c r="F23" s="78"/>
    </row>
    <row r="24" spans="1:31" s="8" customFormat="1" x14ac:dyDescent="0.25">
      <c r="A24"/>
    </row>
    <row r="25" spans="1:31" s="8" customFormat="1" x14ac:dyDescent="0.25">
      <c r="A25"/>
      <c r="O25" s="298"/>
    </row>
    <row r="26" spans="1:31" x14ac:dyDescent="0.25">
      <c r="A26" s="8"/>
    </row>
    <row r="27" spans="1:31" x14ac:dyDescent="0.25">
      <c r="A27" s="8"/>
    </row>
    <row r="28" spans="1:31" s="8" customFormat="1" ht="11.5" x14ac:dyDescent="0.25">
      <c r="I28" s="9" t="str">
        <f>"if "&amp;D21&amp;" = 2"</f>
        <v>if c3a.1 = 2</v>
      </c>
      <c r="M28" s="9" t="str">
        <f>"if "&amp;D21&amp;" = 2"</f>
        <v>if c3a.1 = 2</v>
      </c>
      <c r="Q28" s="9" t="str">
        <f>"if "&amp;D21&amp;" = 2"</f>
        <v>if c3a.1 = 2</v>
      </c>
      <c r="Y28" s="9" t="str">
        <f>"if "&amp;D21&amp;" = 2"</f>
        <v>if c3a.1 = 2</v>
      </c>
      <c r="Z28" s="9"/>
      <c r="AB28" s="9" t="str">
        <f>"if "&amp;D21&amp;" = 2"</f>
        <v>if c3a.1 = 2</v>
      </c>
      <c r="AE28" s="9" t="str">
        <f>"if "&amp;D21&amp;" = 2"</f>
        <v>if c3a.1 = 2</v>
      </c>
    </row>
    <row r="29" spans="1:31" s="8" customFormat="1" x14ac:dyDescent="0.25">
      <c r="I29" s="812" t="str">
        <f>H33&amp;" = SSR_band ("&amp;DOLLAR(SSR_band,0)&amp;")"</f>
        <v>c3a.1a = SSR_band (£2,827)</v>
      </c>
      <c r="M29" s="637" t="str">
        <f>L33&amp;" = SBR_band ("&amp;DOLLAR(SBR_band,0)&amp;")"</f>
        <v>c3a.2 = SBR_band (£12,094)</v>
      </c>
      <c r="Q29" s="637" t="str">
        <f>P33&amp;" = SIR_band ("&amp;DOLLAR(SIR_band,0)&amp;")"</f>
        <v>c3a.2a = SIR_band (£16,171)</v>
      </c>
      <c r="Y29" s="9" t="str">
        <f>X33&amp;" = SHR_band ("&amp;DOLLAR(SHR_band,0)&amp;")"</f>
        <v>c3a.3 = SHR_band (£31,338)</v>
      </c>
      <c r="Z29" s="9"/>
      <c r="AB29" s="9" t="str">
        <f>AA33&amp;" = SAR_band ("&amp;DOLLAR(SAR_band,0)&amp;")"</f>
        <v>c3a.3.1 = SAR_band (£62,710)</v>
      </c>
      <c r="AE29" s="9" t="str">
        <f>AD33&amp;" = SAHR_band ("&amp;DOLLAR(SAHR_band,0)&amp;")"</f>
        <v>c3a.3a = SAHR_band (£125,140)</v>
      </c>
    </row>
    <row r="30" spans="1:31" s="8" customFormat="1" x14ac:dyDescent="0.25">
      <c r="A30"/>
      <c r="I30" s="9" t="s">
        <v>7143</v>
      </c>
      <c r="M30" s="8" t="s">
        <v>7143</v>
      </c>
      <c r="Q30" s="9" t="s">
        <v>7143</v>
      </c>
      <c r="Y30" s="8" t="s">
        <v>7143</v>
      </c>
      <c r="AB30" s="9" t="s">
        <v>7143</v>
      </c>
      <c r="AE30" s="8" t="s">
        <v>7143</v>
      </c>
    </row>
    <row r="31" spans="1:31" s="8" customFormat="1" x14ac:dyDescent="0.25">
      <c r="A31"/>
      <c r="I31" s="9" t="str">
        <f>H33&amp;" = 0 (zero)"</f>
        <v>c3a.1a = 0 (zero)</v>
      </c>
      <c r="M31" s="9" t="str">
        <f>L33&amp;" = BR_band ("&amp;DOLLAR(BR_band,0)&amp;")"</f>
        <v>c3a.2 = BR_band (£37,700)</v>
      </c>
      <c r="Q31" s="9" t="str">
        <f>P33&amp;" = 0 (zero)"</f>
        <v>c3a.2a = 0 (zero)</v>
      </c>
      <c r="Y31" s="9" t="str">
        <f>X33&amp;" = HR_band ("&amp;DOLLAR(HR_band,0)&amp;")"</f>
        <v>c3a.3 = HR_band (£87,440)</v>
      </c>
      <c r="Z31" s="9"/>
      <c r="AB31" s="9" t="str">
        <f>AA33&amp;" = 0 (zero)"</f>
        <v>c3a.3.1 = 0 (zero)</v>
      </c>
      <c r="AE31" s="9" t="str">
        <f>AD33&amp;" = AHR_band ("&amp;DOLLAR(AHR_band,0)&amp;")"</f>
        <v>c3a.3a = AHR_band (£125,140)</v>
      </c>
    </row>
    <row r="32" spans="1:31" x14ac:dyDescent="0.25">
      <c r="G32" s="8"/>
      <c r="H32" s="8"/>
      <c r="I32" s="9" t="s">
        <v>75</v>
      </c>
      <c r="J32" s="8"/>
      <c r="K32" s="8"/>
      <c r="L32" s="8"/>
      <c r="M32" s="9" t="s">
        <v>75</v>
      </c>
      <c r="O32" s="8"/>
      <c r="P32" s="8"/>
      <c r="Q32" s="9" t="s">
        <v>75</v>
      </c>
      <c r="S32" s="8"/>
      <c r="T32" s="9" t="str">
        <f>"BR_band ("&amp;DOLLAR(BR_band,0)&amp;") minus ("&amp;H33&amp;" + "&amp;L33&amp;" + "&amp;P33&amp;")"</f>
        <v>BR_band (£37,700) minus (c3a.1a + c3a.2 + c3a.2a)</v>
      </c>
      <c r="X32" s="8"/>
      <c r="Y32" s="9" t="s">
        <v>75</v>
      </c>
      <c r="Z32" s="9"/>
      <c r="AA32" s="8"/>
      <c r="AB32" s="9" t="s">
        <v>75</v>
      </c>
      <c r="AC32" s="8"/>
      <c r="AD32" s="8"/>
      <c r="AE32" s="9" t="s">
        <v>75</v>
      </c>
    </row>
    <row r="33" spans="2:31" ht="13" x14ac:dyDescent="0.3">
      <c r="B33" s="8" t="s">
        <v>7219</v>
      </c>
      <c r="G33" s="8"/>
      <c r="H33" s="2162" t="str">
        <f>A2</f>
        <v>c3a.1a</v>
      </c>
      <c r="I33" s="2150">
        <f>IF(AND(Resident,E21=2),SSR_band,0)</f>
        <v>0</v>
      </c>
      <c r="J33" s="8"/>
      <c r="K33" s="8"/>
      <c r="L33" s="2162" t="str">
        <f>A3</f>
        <v>c3a.2</v>
      </c>
      <c r="M33" s="2150">
        <f>IF(AND(Resident,E21=2),SBR_band,BR_band)</f>
        <v>37700</v>
      </c>
      <c r="N33" s="8"/>
      <c r="O33" s="8"/>
      <c r="P33" s="2162" t="str">
        <f>A4</f>
        <v>c3a.2a</v>
      </c>
      <c r="Q33" s="2150">
        <f>IF(AND(Resident,E21=2),SIR_band,0)</f>
        <v>0</v>
      </c>
      <c r="S33" s="2162" t="str">
        <f>A5</f>
        <v>c3a.2b</v>
      </c>
      <c r="T33" s="2150">
        <f>BR_band-(I33+M33+Q33)</f>
        <v>0</v>
      </c>
      <c r="U33" s="218" t="s">
        <v>7220</v>
      </c>
      <c r="W33" s="218"/>
      <c r="X33" s="2162" t="str">
        <f>A6</f>
        <v>c3a.3</v>
      </c>
      <c r="Y33" s="2150">
        <f>IF(AND(Resident,E21=2),SHR_band,HR_band)</f>
        <v>87440</v>
      </c>
      <c r="Z33" s="30"/>
      <c r="AA33" s="2162" t="str">
        <f>A7</f>
        <v>c3a.3.1</v>
      </c>
      <c r="AB33" s="2150">
        <f>IF(AND(Resident,E21=2),SAR_band,0)</f>
        <v>0</v>
      </c>
      <c r="AC33" s="8"/>
      <c r="AD33" s="2162" t="str">
        <f>A8</f>
        <v>c3a.3a</v>
      </c>
      <c r="AE33" s="2150">
        <f>IF(AND(Resident,E21=2),SAHR_band,AHR_band)</f>
        <v>125140</v>
      </c>
    </row>
    <row r="34" spans="2:31" ht="13" x14ac:dyDescent="0.3">
      <c r="B34" s="8"/>
      <c r="G34" s="8"/>
      <c r="H34" s="139"/>
      <c r="I34" s="30"/>
      <c r="J34" s="8"/>
      <c r="K34" s="8"/>
      <c r="L34" s="139"/>
      <c r="M34" s="30"/>
      <c r="N34" s="8"/>
      <c r="O34" s="8"/>
      <c r="P34" s="139"/>
      <c r="Q34" s="32"/>
      <c r="S34" s="139"/>
      <c r="T34" s="30"/>
      <c r="U34" s="218"/>
      <c r="W34" s="218"/>
      <c r="X34" s="139"/>
      <c r="Y34" s="32" t="str">
        <f>"copy to "&amp;'tax it (c6)'!A11</f>
        <v>copy to c6.8</v>
      </c>
      <c r="Z34" s="30"/>
      <c r="AA34" s="139"/>
      <c r="AB34" s="30"/>
      <c r="AC34" s="8"/>
      <c r="AD34" s="139"/>
      <c r="AE34" s="30"/>
    </row>
    <row r="35" spans="2:31" x14ac:dyDescent="0.25">
      <c r="G35" s="8"/>
      <c r="H35" s="8"/>
      <c r="I35" s="8"/>
      <c r="J35" s="8"/>
      <c r="K35" s="8"/>
      <c r="L35" s="8"/>
      <c r="M35" s="8"/>
      <c r="N35" s="8"/>
      <c r="O35" s="8"/>
      <c r="T35" s="8"/>
      <c r="U35" s="8"/>
      <c r="X35" s="8"/>
      <c r="Y35" s="8"/>
      <c r="Z35" s="8"/>
      <c r="AA35" s="8"/>
      <c r="AB35" s="8"/>
      <c r="AC35" s="8"/>
      <c r="AD35" s="8"/>
      <c r="AE35" s="8"/>
    </row>
    <row r="36" spans="2:31" x14ac:dyDescent="0.25">
      <c r="G36" s="78"/>
      <c r="H36" s="8"/>
      <c r="I36" s="8"/>
      <c r="J36" s="78"/>
      <c r="K36" s="78"/>
      <c r="L36" s="78"/>
      <c r="M36" s="9" t="str">
        <f>"if "&amp;D21&amp;" = 3"</f>
        <v>if c3a.1 = 3</v>
      </c>
      <c r="N36" s="78"/>
      <c r="O36" s="78"/>
      <c r="P36" s="8"/>
      <c r="Q36" s="78"/>
      <c r="R36" s="78"/>
      <c r="S36" s="8"/>
      <c r="T36" s="78"/>
      <c r="U36" s="78"/>
      <c r="X36" s="78"/>
      <c r="Y36" s="9" t="str">
        <f>"if "&amp;D21&amp;" = 3"</f>
        <v>if c3a.1 = 3</v>
      </c>
      <c r="Z36" s="9"/>
      <c r="AA36" s="9"/>
      <c r="AB36" s="9"/>
      <c r="AC36" s="8"/>
      <c r="AD36" s="8"/>
      <c r="AE36" s="9" t="str">
        <f>"if "&amp;D21&amp;" = 3"</f>
        <v>if c3a.1 = 3</v>
      </c>
    </row>
    <row r="37" spans="2:31" x14ac:dyDescent="0.25">
      <c r="G37" s="8"/>
      <c r="H37" s="8"/>
      <c r="I37" s="8"/>
      <c r="J37" s="8"/>
      <c r="K37" s="8"/>
      <c r="L37" s="8"/>
      <c r="M37" s="9" t="str">
        <f>L45&amp;" = WBR_rate ("&amp;WBR_rate*100&amp;"%)"</f>
        <v>c3a.4 = WBR_rate (20%)</v>
      </c>
      <c r="N37" s="8"/>
      <c r="O37" s="8"/>
      <c r="P37" s="8"/>
      <c r="Q37" s="8"/>
      <c r="X37" s="8"/>
      <c r="Y37" s="9" t="str">
        <f>X45&amp;" = WHR_rate ("&amp;WHR_rate*100&amp;"%)"</f>
        <v>c3a.5 = WHR_rate (40%)</v>
      </c>
      <c r="Z37" s="9"/>
      <c r="AA37" s="9"/>
      <c r="AB37" s="9"/>
      <c r="AC37" s="8"/>
      <c r="AD37" s="8"/>
      <c r="AE37" s="9" t="str">
        <f>AD45&amp;" = WAHR_rate ("&amp;WAHR_rate*100&amp;"%)"</f>
        <v>c3a.6 = WAHR_rate (45%)</v>
      </c>
    </row>
    <row r="38" spans="2:31" x14ac:dyDescent="0.25">
      <c r="G38" s="8"/>
      <c r="H38" s="8"/>
      <c r="I38" s="8"/>
      <c r="J38" s="8"/>
      <c r="K38" s="8"/>
      <c r="L38" s="8"/>
      <c r="M38" s="8" t="s">
        <v>7143</v>
      </c>
      <c r="N38" s="8"/>
      <c r="O38" s="8"/>
      <c r="P38" s="8"/>
      <c r="Q38" s="8"/>
      <c r="X38" s="8"/>
      <c r="Y38" s="8" t="s">
        <v>7143</v>
      </c>
      <c r="Z38" s="8"/>
      <c r="AA38" s="8"/>
      <c r="AB38" s="8"/>
      <c r="AC38" s="8"/>
      <c r="AD38" s="8"/>
      <c r="AE38" s="8" t="s">
        <v>7143</v>
      </c>
    </row>
    <row r="39" spans="2:31" x14ac:dyDescent="0.25">
      <c r="G39" s="8"/>
      <c r="H39" s="8"/>
      <c r="I39" s="8"/>
      <c r="J39" s="8"/>
      <c r="K39" s="8"/>
      <c r="L39" s="8"/>
      <c r="M39" s="9" t="str">
        <f>"if "&amp;D21&amp;" = 2"</f>
        <v>if c3a.1 = 2</v>
      </c>
      <c r="N39" s="8"/>
      <c r="O39" s="8"/>
      <c r="P39" s="8"/>
      <c r="Q39" s="8"/>
      <c r="R39" s="8"/>
      <c r="S39" s="8"/>
      <c r="T39" s="8"/>
      <c r="U39" s="8"/>
      <c r="X39" s="8"/>
      <c r="Y39" s="9" t="str">
        <f>"if "&amp;D21&amp;" = 2"</f>
        <v>if c3a.1 = 2</v>
      </c>
      <c r="Z39" s="9"/>
      <c r="AA39" s="9"/>
      <c r="AB39" s="9"/>
      <c r="AC39" s="8"/>
      <c r="AD39" s="8"/>
      <c r="AE39" s="9" t="str">
        <f>"if "&amp;D21&amp;" = 2"</f>
        <v>if c3a.1 = 2</v>
      </c>
    </row>
    <row r="40" spans="2:31" x14ac:dyDescent="0.25">
      <c r="G40" s="8"/>
      <c r="H40" s="8"/>
      <c r="I40" s="8"/>
      <c r="J40" s="8"/>
      <c r="K40" s="8"/>
      <c r="L40" s="8"/>
      <c r="M40" s="9" t="str">
        <f>L45&amp;" = SBR_rate ("&amp;SBR_rate*100&amp;"%)"</f>
        <v>c3a.4 = SBR_rate (20%)</v>
      </c>
      <c r="N40" s="8"/>
      <c r="O40" s="8"/>
      <c r="P40" s="8"/>
      <c r="Q40" s="8"/>
      <c r="R40" s="8"/>
      <c r="S40" s="8"/>
      <c r="T40" s="8"/>
      <c r="U40" s="8"/>
      <c r="X40" s="8"/>
      <c r="Y40" s="9" t="str">
        <f>X45&amp;" = SHR_rate ("&amp;SHR_rate*100&amp;"%)"</f>
        <v>c3a.5 = SHR_rate (42%)</v>
      </c>
      <c r="Z40" s="9"/>
      <c r="AA40" s="9"/>
      <c r="AB40" s="9"/>
      <c r="AC40" s="8"/>
      <c r="AD40" s="8"/>
      <c r="AE40" s="9" t="str">
        <f>AD45&amp;" = SAHR_rate ("&amp;SAHR_rate*100&amp;"%)"</f>
        <v>c3a.6 = SAHR_rate (48%)</v>
      </c>
    </row>
    <row r="41" spans="2:31" x14ac:dyDescent="0.25">
      <c r="G41" s="8"/>
      <c r="H41" s="8"/>
      <c r="I41" s="8"/>
      <c r="J41" s="8"/>
      <c r="K41" s="8"/>
      <c r="L41" s="8"/>
      <c r="M41" s="8" t="s">
        <v>7143</v>
      </c>
      <c r="N41" s="8"/>
      <c r="O41" s="8"/>
      <c r="P41" s="8"/>
      <c r="Q41" s="8"/>
      <c r="R41" s="8"/>
      <c r="S41" s="8"/>
      <c r="T41" s="8"/>
      <c r="U41" s="8"/>
      <c r="X41" s="8"/>
      <c r="Y41" s="8" t="s">
        <v>7143</v>
      </c>
      <c r="Z41" s="8"/>
      <c r="AA41" s="8"/>
      <c r="AB41" s="8"/>
      <c r="AC41" s="8"/>
      <c r="AD41" s="8"/>
      <c r="AE41" s="8" t="s">
        <v>7143</v>
      </c>
    </row>
    <row r="42" spans="2:31" x14ac:dyDescent="0.25">
      <c r="G42" s="8"/>
      <c r="H42" s="8"/>
      <c r="I42" s="8"/>
      <c r="J42" s="8"/>
      <c r="K42" s="8"/>
      <c r="L42" s="8"/>
      <c r="M42" s="9" t="str">
        <f>L45&amp;" = BR_rate ("&amp;BR_rate*100&amp;"%)"</f>
        <v>c3a.4 = BR_rate (20%)</v>
      </c>
      <c r="N42" s="8"/>
      <c r="O42" s="8"/>
      <c r="P42" s="8"/>
      <c r="Q42" s="8"/>
      <c r="R42" s="8"/>
      <c r="S42" s="8"/>
      <c r="T42" s="8"/>
      <c r="U42" s="8"/>
      <c r="X42" s="8"/>
      <c r="Y42" s="9" t="str">
        <f>X45&amp;" = HR_rate ("&amp;HR_rate*100&amp;"%)"</f>
        <v>c3a.5 = HR_rate (40%)</v>
      </c>
      <c r="Z42" s="9"/>
      <c r="AA42" s="9"/>
      <c r="AB42" s="9"/>
      <c r="AC42" s="8"/>
      <c r="AD42" s="8"/>
      <c r="AE42" s="9" t="str">
        <f>AD45&amp;" = AHR_rate ("&amp;AHR_rate*100&amp;"%)"</f>
        <v>c3a.6 = AHR_rate (45%)</v>
      </c>
    </row>
    <row r="43" spans="2:31" x14ac:dyDescent="0.25">
      <c r="G43" s="8"/>
      <c r="H43" s="8"/>
      <c r="I43" s="8"/>
      <c r="J43" s="8"/>
      <c r="K43" s="8"/>
      <c r="L43" s="8"/>
      <c r="M43" s="9" t="s">
        <v>75</v>
      </c>
      <c r="N43" s="8"/>
      <c r="O43" s="8"/>
      <c r="P43" s="8"/>
      <c r="Q43" s="8"/>
      <c r="R43" s="8"/>
      <c r="S43" s="8"/>
      <c r="T43" s="8"/>
      <c r="U43" s="8"/>
      <c r="X43" s="8"/>
      <c r="Y43" s="9" t="s">
        <v>75</v>
      </c>
      <c r="Z43" s="9"/>
      <c r="AA43" s="9"/>
      <c r="AB43" s="9"/>
      <c r="AC43" s="8"/>
      <c r="AD43" s="8"/>
      <c r="AE43" s="9" t="s">
        <v>75</v>
      </c>
    </row>
    <row r="44" spans="2:31" x14ac:dyDescent="0.25">
      <c r="G44" s="8"/>
      <c r="H44" s="8"/>
      <c r="I44" s="9" t="str">
        <f>"SSR_rate ("&amp;SSR_rate*100&amp;"%)"</f>
        <v>SSR_rate (19%)</v>
      </c>
      <c r="J44" s="8"/>
      <c r="K44" s="8"/>
      <c r="L44" s="8"/>
      <c r="M44" s="9" t="s">
        <v>75</v>
      </c>
      <c r="N44" s="8"/>
      <c r="O44" s="8"/>
      <c r="P44" s="8"/>
      <c r="Q44" s="9" t="str">
        <f>"SIR_rate ("&amp;SIR_rate*100&amp;"%)"</f>
        <v>SIR_rate (21%)</v>
      </c>
      <c r="R44" s="9"/>
      <c r="U44" s="8"/>
      <c r="X44" s="8"/>
      <c r="Y44" s="9" t="s">
        <v>75</v>
      </c>
      <c r="Z44" s="9"/>
      <c r="AA44" s="8"/>
      <c r="AB44" s="9" t="str">
        <f>"SAR_rate ("&amp;SAR_rate*100&amp;"%)"</f>
        <v>SAR_rate (45%)</v>
      </c>
      <c r="AC44" s="8"/>
      <c r="AD44" s="8"/>
      <c r="AE44" s="9" t="s">
        <v>75</v>
      </c>
    </row>
    <row r="45" spans="2:31" x14ac:dyDescent="0.25">
      <c r="B45" s="8" t="s">
        <v>7221</v>
      </c>
      <c r="G45" s="8"/>
      <c r="H45" s="2162" t="str">
        <f>A9</f>
        <v>c3a.3b</v>
      </c>
      <c r="I45" s="2163">
        <f>SSR_rate</f>
        <v>0.19</v>
      </c>
      <c r="J45" s="8"/>
      <c r="K45" s="8"/>
      <c r="L45" s="2162" t="str">
        <f>A10</f>
        <v>c3a.4</v>
      </c>
      <c r="M45" s="2163">
        <f>IF(AND(Resident,E21=3),WBR_rate,IF(AND(Resident,E21=2),SBR_rate,BR_rate))</f>
        <v>0.2</v>
      </c>
      <c r="N45" s="8"/>
      <c r="O45" s="8"/>
      <c r="P45" s="2162" t="str">
        <f>A11</f>
        <v>c3a.4a</v>
      </c>
      <c r="Q45" s="2163">
        <f>SIR_rate</f>
        <v>0.21</v>
      </c>
      <c r="R45" s="790"/>
      <c r="U45" s="8"/>
      <c r="X45" s="2162" t="str">
        <f>A12</f>
        <v>c3a.5</v>
      </c>
      <c r="Y45" s="2163">
        <f>IF(AND(Resident,E21=3),WHR_rate,IF(AND(Resident,E21=2),SHR_rate,HR_rate))</f>
        <v>0.4</v>
      </c>
      <c r="Z45" s="790"/>
      <c r="AA45" s="2162" t="str">
        <f>A13</f>
        <v>c3a.5a</v>
      </c>
      <c r="AB45" s="2163">
        <f>SAR_rate</f>
        <v>0.45</v>
      </c>
      <c r="AC45" s="8"/>
      <c r="AD45" s="2162" t="str">
        <f>A14</f>
        <v>c3a.6</v>
      </c>
      <c r="AE45" s="2163">
        <f>IF(AND(Resident,E21=3),WAHR_rate,IF(AND(Resident,E21=2),SAHR_rate,AHR_rate))</f>
        <v>0.45</v>
      </c>
    </row>
    <row r="54" spans="10:10" x14ac:dyDescent="0.25">
      <c r="J54" s="106"/>
    </row>
  </sheetData>
  <pageMargins left="0.7" right="0.7" top="0.75" bottom="0.75" header="0.3" footer="0.3"/>
  <pageSetup paperSize="9" orientation="portrait" r:id="rId1"/>
  <headerFooter>
    <oddFooter>&amp;C&amp;1#&amp;"Calibri"&amp;10&amp;K000000OFFICIAL-SENSITIVE</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
  <dimension ref="A1:U647"/>
  <sheetViews>
    <sheetView showGridLines="0" topLeftCell="B1" zoomScaleNormal="100" workbookViewId="0">
      <selection activeCell="B1" sqref="B1"/>
    </sheetView>
  </sheetViews>
  <sheetFormatPr defaultColWidth="9.1796875" defaultRowHeight="11.5" x14ac:dyDescent="0.25"/>
  <cols>
    <col min="1" max="1" width="8.54296875" style="8" hidden="1" customWidth="1"/>
    <col min="2" max="2" width="52.1796875" style="8" customWidth="1"/>
    <col min="3" max="3" width="11.81640625" style="8" customWidth="1"/>
    <col min="4" max="4" width="6.81640625" style="8" customWidth="1"/>
    <col min="5" max="5" width="19.1796875" style="8" customWidth="1"/>
    <col min="6" max="6" width="12.54296875" style="8" customWidth="1"/>
    <col min="7" max="7" width="10.1796875" style="8" customWidth="1"/>
    <col min="8" max="8" width="6.81640625" style="8" customWidth="1"/>
    <col min="9" max="9" width="19.1796875" style="8" customWidth="1"/>
    <col min="10" max="10" width="12.54296875" style="8" customWidth="1"/>
    <col min="11" max="11" width="10.1796875" style="8" customWidth="1"/>
    <col min="12" max="12" width="6.81640625" style="8" customWidth="1"/>
    <col min="13" max="13" width="19.1796875" style="8" customWidth="1"/>
    <col min="14" max="14" width="12.1796875" style="8" customWidth="1"/>
    <col min="15" max="16" width="10.1796875" style="8" customWidth="1"/>
    <col min="17" max="17" width="6.81640625" style="8" customWidth="1"/>
    <col min="18" max="18" width="19.1796875" style="8" customWidth="1"/>
    <col min="19" max="19" width="6.7265625" style="8" customWidth="1"/>
    <col min="20" max="20" width="18.54296875" style="8" customWidth="1"/>
    <col min="21" max="16384" width="9.1796875" style="8"/>
  </cols>
  <sheetData>
    <row r="1" spans="1:19" ht="18" x14ac:dyDescent="0.4">
      <c r="A1" s="8" t="s">
        <v>7222</v>
      </c>
      <c r="B1" s="484" t="s">
        <v>7223</v>
      </c>
      <c r="C1" s="12"/>
    </row>
    <row r="2" spans="1:19" x14ac:dyDescent="0.25">
      <c r="A2" s="8" t="s">
        <v>7224</v>
      </c>
      <c r="B2" s="78"/>
      <c r="D2" s="2164" t="s">
        <v>7225</v>
      </c>
      <c r="E2" s="2146"/>
      <c r="F2" s="2146"/>
      <c r="G2" s="2146"/>
      <c r="H2" s="2165"/>
      <c r="I2" s="2146"/>
      <c r="J2" s="2147"/>
    </row>
    <row r="3" spans="1:19" x14ac:dyDescent="0.25">
      <c r="A3" s="8" t="s">
        <v>7226</v>
      </c>
      <c r="B3" s="12" t="s">
        <v>7227</v>
      </c>
      <c r="C3" s="12"/>
    </row>
    <row r="4" spans="1:19" ht="18" x14ac:dyDescent="0.4">
      <c r="A4" s="8" t="s">
        <v>7228</v>
      </c>
      <c r="B4" s="12"/>
      <c r="C4" s="12"/>
      <c r="D4" s="484" t="s">
        <v>7229</v>
      </c>
      <c r="E4" s="12"/>
      <c r="F4" s="12"/>
      <c r="G4" s="12"/>
      <c r="H4" s="484" t="s">
        <v>7230</v>
      </c>
      <c r="I4" s="12"/>
      <c r="J4" s="12"/>
      <c r="K4" s="12"/>
      <c r="L4" s="484" t="s">
        <v>7231</v>
      </c>
      <c r="M4" s="12"/>
      <c r="P4" s="484" t="s">
        <v>7232</v>
      </c>
      <c r="Q4" s="12"/>
    </row>
    <row r="5" spans="1:19" ht="18" x14ac:dyDescent="0.4">
      <c r="A5" s="8" t="s">
        <v>7233</v>
      </c>
      <c r="B5" s="147" t="s">
        <v>7234</v>
      </c>
      <c r="D5" s="12"/>
      <c r="E5" s="12"/>
      <c r="F5" s="12"/>
      <c r="G5" s="12"/>
      <c r="H5" s="12"/>
      <c r="I5" s="12"/>
      <c r="J5" s="12"/>
      <c r="K5" s="12"/>
      <c r="L5" s="484" t="s">
        <v>7235</v>
      </c>
      <c r="M5" s="12"/>
      <c r="N5" s="12"/>
      <c r="O5" s="12"/>
      <c r="P5" s="484"/>
      <c r="Q5" s="12"/>
      <c r="R5" s="214"/>
      <c r="S5" s="214"/>
    </row>
    <row r="6" spans="1:19" s="214" customFormat="1" ht="12" x14ac:dyDescent="0.3">
      <c r="A6" s="8" t="s">
        <v>7236</v>
      </c>
      <c r="B6" s="277" t="s">
        <v>1503</v>
      </c>
    </row>
    <row r="7" spans="1:19" x14ac:dyDescent="0.25">
      <c r="A7" s="8" t="s">
        <v>7237</v>
      </c>
      <c r="B7" s="139" t="s">
        <v>7238</v>
      </c>
      <c r="E7" s="230" t="str">
        <f>"from "&amp;CGT&amp;CGT!C49</f>
        <v>from CGT41</v>
      </c>
    </row>
    <row r="8" spans="1:19" x14ac:dyDescent="0.25">
      <c r="A8" s="8" t="s">
        <v>7239</v>
      </c>
      <c r="B8" s="493" t="s">
        <v>7229</v>
      </c>
      <c r="D8" s="2162" t="str">
        <f>A1</f>
        <v>c4.1</v>
      </c>
      <c r="E8" s="2166">
        <f>TRUNC(CGT!D50+0.99,0)</f>
        <v>0</v>
      </c>
      <c r="F8" s="197" t="s">
        <v>7035</v>
      </c>
    </row>
    <row r="9" spans="1:19" x14ac:dyDescent="0.25">
      <c r="A9" s="8" t="s">
        <v>7240</v>
      </c>
    </row>
    <row r="10" spans="1:19" x14ac:dyDescent="0.25">
      <c r="A10" s="8" t="s">
        <v>7241</v>
      </c>
      <c r="B10" s="139" t="s">
        <v>7242</v>
      </c>
      <c r="R10" s="230" t="str">
        <f>"from "&amp;CGT&amp;CGT!C52</f>
        <v>from CGT42</v>
      </c>
    </row>
    <row r="11" spans="1:19" x14ac:dyDescent="0.25">
      <c r="A11" s="8" t="s">
        <v>7243</v>
      </c>
      <c r="B11" s="139" t="s">
        <v>7244</v>
      </c>
      <c r="Q11" s="2162" t="str">
        <f>A2</f>
        <v>c4.2</v>
      </c>
      <c r="R11" s="2166">
        <f>TRUNC(CGT!D53+0.99,0)</f>
        <v>0</v>
      </c>
      <c r="S11" s="197" t="s">
        <v>7035</v>
      </c>
    </row>
    <row r="12" spans="1:19" x14ac:dyDescent="0.25">
      <c r="A12" s="8" t="s">
        <v>7245</v>
      </c>
      <c r="B12" s="493" t="s">
        <v>7232</v>
      </c>
      <c r="Q12" s="139"/>
      <c r="R12" s="26"/>
      <c r="S12" s="197"/>
    </row>
    <row r="13" spans="1:19" x14ac:dyDescent="0.25">
      <c r="A13" s="8" t="s">
        <v>7246</v>
      </c>
      <c r="B13" s="139"/>
      <c r="Q13" s="139"/>
      <c r="R13" s="26"/>
      <c r="S13" s="197"/>
    </row>
    <row r="14" spans="1:19" x14ac:dyDescent="0.25">
      <c r="A14" s="8" t="s">
        <v>7247</v>
      </c>
      <c r="M14" s="230"/>
    </row>
    <row r="15" spans="1:19" x14ac:dyDescent="0.25">
      <c r="A15" s="8" t="s">
        <v>7248</v>
      </c>
    </row>
    <row r="16" spans="1:19" x14ac:dyDescent="0.25">
      <c r="A16" s="8" t="s">
        <v>7249</v>
      </c>
      <c r="M16" s="9" t="str">
        <f>D8&amp;" minus "&amp;Q11</f>
        <v>c4.1 minus c4.2</v>
      </c>
    </row>
    <row r="17" spans="1:19" x14ac:dyDescent="0.25">
      <c r="A17" s="8" t="s">
        <v>7250</v>
      </c>
      <c r="B17" s="493" t="s">
        <v>7251</v>
      </c>
      <c r="L17" s="2162" t="str">
        <f>A3</f>
        <v>c4.3</v>
      </c>
      <c r="M17" s="2166">
        <f>MAX(0,E8-R11)</f>
        <v>0</v>
      </c>
      <c r="R17" s="9" t="s">
        <v>7252</v>
      </c>
    </row>
    <row r="18" spans="1:19" x14ac:dyDescent="0.25">
      <c r="A18" s="8" t="s">
        <v>7253</v>
      </c>
      <c r="O18" s="1065"/>
      <c r="P18" s="1065"/>
      <c r="Q18" s="1065"/>
      <c r="R18" s="1067" t="str">
        <f>"or ("&amp;NRD!P10&amp;" = Y or "&amp;NRD!P11&amp;" = Y or "&amp;NRD!P18&amp;" = Y)"</f>
        <v>or (box_NRD28 = Y or box_NRD29 = Y or box_NRD40 = Y)</v>
      </c>
    </row>
    <row r="19" spans="1:19" x14ac:dyDescent="0.25">
      <c r="A19" s="8" t="s">
        <v>7254</v>
      </c>
      <c r="R19" s="9" t="str">
        <f>Q23&amp;" = 0 (zero)"</f>
        <v>c4.4 = 0 (zero)</v>
      </c>
    </row>
    <row r="20" spans="1:19" x14ac:dyDescent="0.25">
      <c r="A20" s="8" t="s">
        <v>7255</v>
      </c>
      <c r="R20" s="9" t="s">
        <v>7143</v>
      </c>
    </row>
    <row r="21" spans="1:19" x14ac:dyDescent="0.25">
      <c r="A21" s="8" t="s">
        <v>7256</v>
      </c>
      <c r="B21" s="147" t="s">
        <v>7257</v>
      </c>
      <c r="R21" s="9" t="str">
        <f>Q23&amp;" = "&amp;AOR&amp;AOR!G8</f>
        <v>c4.4 = AOR8</v>
      </c>
    </row>
    <row r="22" spans="1:19" x14ac:dyDescent="0.25">
      <c r="A22" s="8" t="s">
        <v>7258</v>
      </c>
      <c r="B22" s="146" t="s">
        <v>7259</v>
      </c>
      <c r="R22" s="9" t="s">
        <v>75</v>
      </c>
    </row>
    <row r="23" spans="1:19" x14ac:dyDescent="0.25">
      <c r="A23" s="8" t="s">
        <v>7260</v>
      </c>
      <c r="B23" s="493" t="s">
        <v>7232</v>
      </c>
      <c r="Q23" s="2162" t="str">
        <f>A4</f>
        <v>c4.4</v>
      </c>
      <c r="R23" s="2161">
        <f>IF(OR(non_resident,FIG_claim_election),0,TRUNC(AOR!H9+0.99,0))</f>
        <v>0</v>
      </c>
      <c r="S23" s="221" t="s">
        <v>7035</v>
      </c>
    </row>
    <row r="24" spans="1:19" x14ac:dyDescent="0.25">
      <c r="A24" s="8" t="s">
        <v>7261</v>
      </c>
      <c r="B24" s="234"/>
      <c r="C24" s="234"/>
      <c r="D24" s="234"/>
      <c r="E24" s="234"/>
      <c r="F24" s="234"/>
      <c r="G24" s="234"/>
      <c r="H24" s="234"/>
      <c r="I24" s="234"/>
      <c r="J24" s="234"/>
      <c r="K24" s="234"/>
      <c r="L24" s="234"/>
      <c r="M24" s="234"/>
      <c r="N24" s="234"/>
      <c r="O24" s="234"/>
      <c r="P24" s="234"/>
      <c r="Q24" s="234"/>
      <c r="R24" s="234"/>
      <c r="S24" s="234"/>
    </row>
    <row r="25" spans="1:19" x14ac:dyDescent="0.25">
      <c r="A25" s="8" t="s">
        <v>7262</v>
      </c>
    </row>
    <row r="26" spans="1:19" x14ac:dyDescent="0.25">
      <c r="A26" s="8" t="s">
        <v>7263</v>
      </c>
    </row>
    <row r="27" spans="1:19" x14ac:dyDescent="0.25">
      <c r="A27" s="8" t="s">
        <v>7264</v>
      </c>
      <c r="B27" s="147" t="s">
        <v>7265</v>
      </c>
    </row>
    <row r="28" spans="1:19" ht="12" x14ac:dyDescent="0.3">
      <c r="A28" s="8" t="s">
        <v>7266</v>
      </c>
      <c r="B28" s="277" t="s">
        <v>7267</v>
      </c>
    </row>
    <row r="29" spans="1:19" x14ac:dyDescent="0.25">
      <c r="A29" s="8" t="s">
        <v>7268</v>
      </c>
      <c r="B29" s="139" t="s">
        <v>7269</v>
      </c>
      <c r="R29" s="9" t="str">
        <f>"from "&amp;'NS income (c1)'!E40</f>
        <v>from c1.11</v>
      </c>
    </row>
    <row r="30" spans="1:19" x14ac:dyDescent="0.25">
      <c r="A30" s="8" t="s">
        <v>7270</v>
      </c>
      <c r="B30" s="493" t="s">
        <v>7232</v>
      </c>
      <c r="P30" s="230" t="str">
        <f>"Total all instances ("&amp;SSE&amp;SE!C5&amp;")"</f>
        <v>Total all instances (SSE29)</v>
      </c>
      <c r="Q30" s="2162" t="str">
        <f>A5</f>
        <v>c4.5</v>
      </c>
      <c r="R30" s="2166">
        <f>'NS income (c1)'!F40</f>
        <v>0</v>
      </c>
    </row>
    <row r="31" spans="1:19" x14ac:dyDescent="0.25">
      <c r="A31" s="8" t="s">
        <v>7271</v>
      </c>
    </row>
    <row r="32" spans="1:19" x14ac:dyDescent="0.25">
      <c r="A32" s="8" t="s">
        <v>7272</v>
      </c>
      <c r="B32" s="147"/>
    </row>
    <row r="33" spans="1:19" x14ac:dyDescent="0.25">
      <c r="A33" s="8" t="s">
        <v>7273</v>
      </c>
    </row>
    <row r="34" spans="1:19" x14ac:dyDescent="0.25">
      <c r="A34" s="8" t="s">
        <v>7274</v>
      </c>
      <c r="M34" s="230"/>
    </row>
    <row r="35" spans="1:19" x14ac:dyDescent="0.25">
      <c r="A35" s="8" t="s">
        <v>7275</v>
      </c>
    </row>
    <row r="36" spans="1:19" x14ac:dyDescent="0.25">
      <c r="A36" s="8" t="s">
        <v>7276</v>
      </c>
      <c r="B36" s="139" t="s">
        <v>7277</v>
      </c>
      <c r="M36" s="230" t="str">
        <f>"Total all instances ("&amp;SSE&amp;SE!C11&amp;")"</f>
        <v>Total all instances (SSE33)</v>
      </c>
    </row>
    <row r="37" spans="1:19" x14ac:dyDescent="0.25">
      <c r="A37" s="8" t="s">
        <v>7278</v>
      </c>
      <c r="B37" s="493" t="s">
        <v>7251</v>
      </c>
      <c r="C37" s="139"/>
      <c r="L37" s="2162" t="str">
        <f>A6</f>
        <v>c4.6</v>
      </c>
      <c r="M37" s="2166">
        <f>TRUNC(SE!D12+0.99,0)</f>
        <v>0</v>
      </c>
      <c r="N37" s="197" t="s">
        <v>7056</v>
      </c>
      <c r="O37" s="197"/>
    </row>
    <row r="38" spans="1:19" x14ac:dyDescent="0.25">
      <c r="A38" s="8" t="s">
        <v>7279</v>
      </c>
      <c r="B38" s="139"/>
      <c r="C38" s="139"/>
      <c r="L38" s="139"/>
      <c r="M38" s="26"/>
      <c r="N38" s="197"/>
      <c r="O38" s="197"/>
    </row>
    <row r="39" spans="1:19" x14ac:dyDescent="0.25">
      <c r="A39" s="8" t="s">
        <v>7280</v>
      </c>
      <c r="B39" s="139" t="s">
        <v>3244</v>
      </c>
    </row>
    <row r="40" spans="1:19" x14ac:dyDescent="0.25">
      <c r="A40" s="8" t="s">
        <v>7281</v>
      </c>
      <c r="B40" s="139" t="s">
        <v>7282</v>
      </c>
      <c r="R40" s="9" t="str">
        <f>"from "&amp;'NS income (c1)'!E47</f>
        <v>from c1.14</v>
      </c>
    </row>
    <row r="41" spans="1:19" x14ac:dyDescent="0.25">
      <c r="A41" s="8" t="s">
        <v>7283</v>
      </c>
      <c r="B41" s="493" t="s">
        <v>7232</v>
      </c>
      <c r="P41" s="230" t="str">
        <f>"Total all instances ("&amp;FSE&amp;SE!G11&amp;")"</f>
        <v>Total all instances (FSE74)</v>
      </c>
      <c r="Q41" s="2162" t="str">
        <f>A7</f>
        <v>c4.7</v>
      </c>
      <c r="R41" s="2166">
        <f>'NS income (c1)'!F47</f>
        <v>0</v>
      </c>
    </row>
    <row r="42" spans="1:19" x14ac:dyDescent="0.25">
      <c r="A42" s="8" t="s">
        <v>7284</v>
      </c>
      <c r="B42" s="493"/>
      <c r="P42" s="230"/>
      <c r="Q42" s="139"/>
      <c r="R42" s="26"/>
    </row>
    <row r="43" spans="1:19" x14ac:dyDescent="0.25">
      <c r="A43" s="8" t="s">
        <v>4874</v>
      </c>
      <c r="B43" s="139" t="s">
        <v>3244</v>
      </c>
      <c r="P43" s="230"/>
      <c r="Q43" s="139"/>
      <c r="R43" s="26"/>
    </row>
    <row r="44" spans="1:19" x14ac:dyDescent="0.25">
      <c r="A44" s="8" t="s">
        <v>7285</v>
      </c>
      <c r="B44" s="139" t="s">
        <v>7286</v>
      </c>
      <c r="P44" s="230"/>
      <c r="Q44" s="139"/>
      <c r="R44" s="9" t="str">
        <f>"Total all instances ("&amp;FSE&amp;SE!G8&amp;")"</f>
        <v>Total all instances (FSE73.4)</v>
      </c>
    </row>
    <row r="45" spans="1:19" x14ac:dyDescent="0.25">
      <c r="A45" s="8" t="s">
        <v>7287</v>
      </c>
      <c r="B45" s="493" t="s">
        <v>7232</v>
      </c>
      <c r="P45" s="230"/>
      <c r="Q45" s="2162" t="str">
        <f>A8</f>
        <v>c4.7.1</v>
      </c>
      <c r="R45" s="2166">
        <f>TRUNC(SE!H9+0.99,0)</f>
        <v>0</v>
      </c>
      <c r="S45" s="225" t="s">
        <v>7065</v>
      </c>
    </row>
    <row r="46" spans="1:19" x14ac:dyDescent="0.25">
      <c r="A46" s="8" t="s">
        <v>7288</v>
      </c>
      <c r="B46" s="493"/>
    </row>
    <row r="47" spans="1:19" x14ac:dyDescent="0.25">
      <c r="A47" s="8" t="s">
        <v>7289</v>
      </c>
      <c r="P47" s="230"/>
      <c r="Q47" s="139"/>
      <c r="R47" s="26"/>
    </row>
    <row r="48" spans="1:19" x14ac:dyDescent="0.25">
      <c r="A48" s="8" t="s">
        <v>7290</v>
      </c>
    </row>
    <row r="49" spans="1:13" x14ac:dyDescent="0.25">
      <c r="A49" s="8" t="s">
        <v>7291</v>
      </c>
      <c r="B49" s="139" t="s">
        <v>7277</v>
      </c>
      <c r="E49" s="230" t="str">
        <f>"Total all instances ("&amp;FSE&amp;SE!G20&amp;")"</f>
        <v>Total all instances (FSE78)</v>
      </c>
      <c r="H49" s="210"/>
      <c r="I49" s="9" t="s">
        <v>7043</v>
      </c>
    </row>
    <row r="50" spans="1:13" x14ac:dyDescent="0.25">
      <c r="A50" s="8" t="s">
        <v>7292</v>
      </c>
      <c r="B50" s="493" t="s">
        <v>7251</v>
      </c>
      <c r="D50" s="2162" t="str">
        <f>A9</f>
        <v>c4.8</v>
      </c>
      <c r="E50" s="2166">
        <f>TRUNC(SE!H21+0.99,0)</f>
        <v>0</v>
      </c>
      <c r="F50" s="225" t="s">
        <v>7065</v>
      </c>
      <c r="H50" s="2162" t="str">
        <f>A10</f>
        <v>c4.9</v>
      </c>
      <c r="I50" s="2167"/>
    </row>
    <row r="51" spans="1:13" x14ac:dyDescent="0.25">
      <c r="A51" s="8" t="s">
        <v>7293</v>
      </c>
    </row>
    <row r="52" spans="1:13" x14ac:dyDescent="0.25">
      <c r="A52" s="8" t="s">
        <v>7294</v>
      </c>
      <c r="J52" s="210"/>
      <c r="K52" s="210"/>
    </row>
    <row r="53" spans="1:13" x14ac:dyDescent="0.25">
      <c r="A53" s="8" t="s">
        <v>4879</v>
      </c>
      <c r="B53" s="381"/>
      <c r="J53" s="387"/>
      <c r="K53" s="210"/>
    </row>
    <row r="54" spans="1:13" x14ac:dyDescent="0.25">
      <c r="A54" s="8" t="s">
        <v>7295</v>
      </c>
      <c r="B54" s="381"/>
      <c r="J54" s="387"/>
      <c r="K54" s="210"/>
    </row>
    <row r="55" spans="1:13" x14ac:dyDescent="0.25">
      <c r="A55" s="8" t="s">
        <v>7296</v>
      </c>
      <c r="B55" s="381"/>
      <c r="J55" s="387"/>
      <c r="K55" s="210"/>
    </row>
    <row r="56" spans="1:13" x14ac:dyDescent="0.25">
      <c r="A56" s="8" t="s">
        <v>7297</v>
      </c>
      <c r="B56" s="381"/>
      <c r="J56" s="387"/>
      <c r="K56" s="210"/>
    </row>
    <row r="57" spans="1:13" x14ac:dyDescent="0.25">
      <c r="A57" s="8" t="s">
        <v>7298</v>
      </c>
      <c r="B57" s="381"/>
      <c r="I57" s="9"/>
      <c r="J57" s="387"/>
      <c r="K57" s="210"/>
    </row>
    <row r="58" spans="1:13" x14ac:dyDescent="0.25">
      <c r="A58" s="8" t="s">
        <v>9608</v>
      </c>
      <c r="B58" s="381"/>
      <c r="I58" s="9"/>
      <c r="J58" s="387"/>
      <c r="K58" s="210"/>
    </row>
    <row r="59" spans="1:13" x14ac:dyDescent="0.25">
      <c r="A59" s="8" t="s">
        <v>7299</v>
      </c>
      <c r="B59" s="381"/>
      <c r="I59" s="9"/>
      <c r="J59" s="387"/>
      <c r="K59" s="210"/>
    </row>
    <row r="60" spans="1:13" x14ac:dyDescent="0.25">
      <c r="A60" s="8" t="s">
        <v>7300</v>
      </c>
      <c r="B60" s="381"/>
      <c r="J60" s="387"/>
      <c r="K60" s="210"/>
    </row>
    <row r="61" spans="1:13" x14ac:dyDescent="0.25">
      <c r="A61" s="8" t="s">
        <v>7301</v>
      </c>
      <c r="B61" s="381"/>
      <c r="I61" s="9"/>
      <c r="J61" s="387"/>
      <c r="K61" s="210"/>
    </row>
    <row r="62" spans="1:13" x14ac:dyDescent="0.25">
      <c r="A62" s="8" t="s">
        <v>7302</v>
      </c>
      <c r="I62" s="9" t="s">
        <v>7043</v>
      </c>
    </row>
    <row r="63" spans="1:13" x14ac:dyDescent="0.25">
      <c r="A63" s="8" t="s">
        <v>7303</v>
      </c>
      <c r="B63" s="847"/>
      <c r="H63" s="2162" t="str">
        <f>A11</f>
        <v>c4.10</v>
      </c>
      <c r="I63" s="2166"/>
      <c r="J63" s="387"/>
      <c r="M63" s="230"/>
    </row>
    <row r="64" spans="1:13" x14ac:dyDescent="0.25">
      <c r="A64" s="8" t="s">
        <v>7304</v>
      </c>
    </row>
    <row r="65" spans="1:18" x14ac:dyDescent="0.25">
      <c r="A65" s="8" t="s">
        <v>7305</v>
      </c>
      <c r="B65" s="381"/>
      <c r="M65" s="9" t="s">
        <v>7043</v>
      </c>
    </row>
    <row r="66" spans="1:18" x14ac:dyDescent="0.25">
      <c r="A66" s="8" t="s">
        <v>7306</v>
      </c>
      <c r="B66" s="847"/>
      <c r="L66" s="2162" t="str">
        <f>A12</f>
        <v>c4.11</v>
      </c>
      <c r="M66" s="2166"/>
    </row>
    <row r="67" spans="1:18" x14ac:dyDescent="0.25">
      <c r="A67" s="8" t="s">
        <v>7307</v>
      </c>
    </row>
    <row r="68" spans="1:18" x14ac:dyDescent="0.25">
      <c r="A68" s="8" t="s">
        <v>7308</v>
      </c>
      <c r="R68" s="9" t="s">
        <v>7043</v>
      </c>
    </row>
    <row r="69" spans="1:18" x14ac:dyDescent="0.25">
      <c r="A69" s="8" t="s">
        <v>7309</v>
      </c>
      <c r="B69" s="847"/>
      <c r="Q69" s="2162" t="str">
        <f>A13</f>
        <v>c4.12</v>
      </c>
      <c r="R69" s="2166"/>
    </row>
    <row r="70" spans="1:18" x14ac:dyDescent="0.25">
      <c r="A70" s="8" t="s">
        <v>7310</v>
      </c>
    </row>
    <row r="71" spans="1:18" ht="12" x14ac:dyDescent="0.3">
      <c r="A71" s="8" t="s">
        <v>7311</v>
      </c>
      <c r="B71" s="277" t="s">
        <v>6743</v>
      </c>
    </row>
    <row r="72" spans="1:18" x14ac:dyDescent="0.25">
      <c r="A72" s="8" t="s">
        <v>7312</v>
      </c>
      <c r="B72" s="139" t="s">
        <v>3244</v>
      </c>
    </row>
    <row r="73" spans="1:18" x14ac:dyDescent="0.25">
      <c r="A73" s="8" t="s">
        <v>7313</v>
      </c>
      <c r="B73" s="139" t="s">
        <v>7282</v>
      </c>
      <c r="R73" s="9" t="str">
        <f>"from "&amp;'NS income (c1)'!E68</f>
        <v>from c1.21</v>
      </c>
    </row>
    <row r="74" spans="1:18" x14ac:dyDescent="0.25">
      <c r="A74" s="8" t="s">
        <v>7314</v>
      </c>
      <c r="B74" s="493" t="s">
        <v>7232</v>
      </c>
      <c r="P74" s="230" t="str">
        <f>"Total all instances ("&amp;SPS&amp;PS!C4&amp;")"</f>
        <v>Total all instances (SPS17)</v>
      </c>
      <c r="Q74" s="2162" t="str">
        <f>A14</f>
        <v>c4.13</v>
      </c>
      <c r="R74" s="2166">
        <f>'NS income (c1)'!F68</f>
        <v>0</v>
      </c>
    </row>
    <row r="75" spans="1:18" x14ac:dyDescent="0.25">
      <c r="A75" s="8" t="s">
        <v>7315</v>
      </c>
    </row>
    <row r="76" spans="1:18" x14ac:dyDescent="0.25">
      <c r="A76" s="8" t="s">
        <v>7316</v>
      </c>
    </row>
    <row r="77" spans="1:18" x14ac:dyDescent="0.25">
      <c r="A77" s="8" t="s">
        <v>7317</v>
      </c>
    </row>
    <row r="78" spans="1:18" x14ac:dyDescent="0.25">
      <c r="A78" s="8" t="s">
        <v>7318</v>
      </c>
      <c r="B78" s="139" t="s">
        <v>7277</v>
      </c>
      <c r="E78" s="230" t="str">
        <f>"Total all instances ("&amp;SPS&amp;PS!C10&amp;")"</f>
        <v>Total all instances (SPS22)</v>
      </c>
      <c r="I78" s="9" t="s">
        <v>7043</v>
      </c>
    </row>
    <row r="79" spans="1:18" x14ac:dyDescent="0.25">
      <c r="A79" s="8" t="s">
        <v>7319</v>
      </c>
      <c r="B79" s="493" t="s">
        <v>7251</v>
      </c>
      <c r="D79" s="2162" t="str">
        <f>A15</f>
        <v>c4.14</v>
      </c>
      <c r="E79" s="2166">
        <f>TRUNC(PS!D11+0.99,0)</f>
        <v>0</v>
      </c>
      <c r="F79" s="197" t="s">
        <v>7087</v>
      </c>
      <c r="H79" s="2162" t="str">
        <f>A16</f>
        <v>c4.15</v>
      </c>
      <c r="I79" s="2166"/>
    </row>
    <row r="80" spans="1:18" x14ac:dyDescent="0.25">
      <c r="A80" s="8" t="s">
        <v>9641</v>
      </c>
    </row>
    <row r="81" spans="1:18" x14ac:dyDescent="0.25">
      <c r="A81" s="8" t="s">
        <v>7320</v>
      </c>
      <c r="B81" s="381"/>
      <c r="J81" s="210"/>
      <c r="K81" s="210"/>
    </row>
    <row r="82" spans="1:18" x14ac:dyDescent="0.25">
      <c r="A82" s="8" t="s">
        <v>7321</v>
      </c>
      <c r="B82" s="381"/>
      <c r="I82" s="9"/>
      <c r="M82" s="230"/>
    </row>
    <row r="83" spans="1:18" x14ac:dyDescent="0.25">
      <c r="A83" s="8" t="s">
        <v>7322</v>
      </c>
      <c r="B83" s="139"/>
      <c r="I83" s="9"/>
    </row>
    <row r="84" spans="1:18" x14ac:dyDescent="0.25">
      <c r="A84" s="8" t="s">
        <v>4904</v>
      </c>
      <c r="B84" s="139"/>
      <c r="I84" s="9"/>
    </row>
    <row r="85" spans="1:18" x14ac:dyDescent="0.25">
      <c r="A85" s="8" t="s">
        <v>4900</v>
      </c>
      <c r="B85" s="139"/>
    </row>
    <row r="86" spans="1:18" x14ac:dyDescent="0.25">
      <c r="A86" s="8" t="s">
        <v>4864</v>
      </c>
      <c r="B86" s="139"/>
      <c r="I86" s="9"/>
    </row>
    <row r="87" spans="1:18" x14ac:dyDescent="0.25">
      <c r="A87" s="8" t="s">
        <v>4890</v>
      </c>
      <c r="B87" s="139"/>
      <c r="I87" s="9" t="s">
        <v>7043</v>
      </c>
    </row>
    <row r="88" spans="1:18" x14ac:dyDescent="0.25">
      <c r="A88" s="8" t="s">
        <v>7323</v>
      </c>
      <c r="B88" s="847"/>
      <c r="H88" s="2162" t="str">
        <f>A17</f>
        <v>c4.16</v>
      </c>
      <c r="I88" s="2166">
        <v>0</v>
      </c>
      <c r="J88" s="444"/>
      <c r="M88" s="230"/>
    </row>
    <row r="89" spans="1:18" x14ac:dyDescent="0.25">
      <c r="A89" s="8" t="s">
        <v>4884</v>
      </c>
    </row>
    <row r="90" spans="1:18" x14ac:dyDescent="0.25">
      <c r="A90" s="8" t="s">
        <v>7324</v>
      </c>
      <c r="B90" s="381"/>
      <c r="I90" s="26"/>
      <c r="M90" s="9" t="s">
        <v>7043</v>
      </c>
    </row>
    <row r="91" spans="1:18" x14ac:dyDescent="0.25">
      <c r="A91" s="8" t="s">
        <v>7325</v>
      </c>
      <c r="B91" s="847"/>
      <c r="L91" s="2162" t="str">
        <f>A18</f>
        <v>c4.17</v>
      </c>
      <c r="M91" s="2166"/>
    </row>
    <row r="92" spans="1:18" x14ac:dyDescent="0.25">
      <c r="A92" s="8" t="s">
        <v>4869</v>
      </c>
    </row>
    <row r="93" spans="1:18" x14ac:dyDescent="0.25">
      <c r="A93" s="8" t="s">
        <v>7326</v>
      </c>
      <c r="R93" s="9" t="s">
        <v>7043</v>
      </c>
    </row>
    <row r="94" spans="1:18" x14ac:dyDescent="0.25">
      <c r="A94" s="8" t="s">
        <v>7327</v>
      </c>
      <c r="B94" s="847"/>
      <c r="N94" s="225"/>
      <c r="O94" s="225"/>
      <c r="Q94" s="2162" t="str">
        <f>A19</f>
        <v>c4.18</v>
      </c>
      <c r="R94" s="2166"/>
    </row>
    <row r="95" spans="1:18" x14ac:dyDescent="0.25">
      <c r="A95" s="8" t="s">
        <v>7328</v>
      </c>
    </row>
    <row r="96" spans="1:18" x14ac:dyDescent="0.25">
      <c r="A96" s="8" t="s">
        <v>7329</v>
      </c>
    </row>
    <row r="97" spans="1:19" x14ac:dyDescent="0.25">
      <c r="A97" s="8" t="s">
        <v>7330</v>
      </c>
    </row>
    <row r="98" spans="1:19" x14ac:dyDescent="0.25">
      <c r="A98" s="8" t="s">
        <v>4937</v>
      </c>
      <c r="B98" s="139" t="s">
        <v>3244</v>
      </c>
    </row>
    <row r="99" spans="1:19" x14ac:dyDescent="0.25">
      <c r="A99" s="8" t="s">
        <v>7331</v>
      </c>
      <c r="B99" s="139" t="s">
        <v>7282</v>
      </c>
      <c r="R99" s="9" t="str">
        <f>"from "&amp;'NS income (c1)'!E75</f>
        <v>from c1.24</v>
      </c>
    </row>
    <row r="100" spans="1:19" x14ac:dyDescent="0.25">
      <c r="A100" s="8" t="s">
        <v>7332</v>
      </c>
      <c r="B100" s="493" t="s">
        <v>7232</v>
      </c>
      <c r="P100" s="230" t="str">
        <f>"Total all instances ("&amp;FPS&amp;PS!J4&amp;" + "&amp;FPS&amp;PS!G20&amp;" + "&amp;FPS&amp;PS!G29&amp;" + "&amp;FPS&amp;PS!G32&amp;")"</f>
        <v>Total all instances (FPS17 + FPS38 + FPS47 + FPS58)</v>
      </c>
      <c r="Q100" s="2162" t="str">
        <f>A20</f>
        <v>c4.19</v>
      </c>
      <c r="R100" s="2166">
        <f>'NS income (c1)'!F75</f>
        <v>0</v>
      </c>
    </row>
    <row r="101" spans="1:19" x14ac:dyDescent="0.25">
      <c r="A101" s="8" t="s">
        <v>7333</v>
      </c>
      <c r="B101" s="493"/>
      <c r="P101" s="230"/>
      <c r="Q101" s="139"/>
      <c r="R101" s="26"/>
    </row>
    <row r="102" spans="1:19" x14ac:dyDescent="0.25">
      <c r="A102" s="8" t="s">
        <v>7334</v>
      </c>
      <c r="B102" s="493"/>
      <c r="P102" s="230"/>
      <c r="Q102" s="139"/>
      <c r="R102" s="26"/>
    </row>
    <row r="103" spans="1:19" x14ac:dyDescent="0.25">
      <c r="P103" s="230"/>
      <c r="Q103" s="139"/>
      <c r="R103" s="26"/>
    </row>
    <row r="104" spans="1:19" x14ac:dyDescent="0.25">
      <c r="B104" s="139" t="s">
        <v>3244</v>
      </c>
      <c r="P104" s="230"/>
      <c r="Q104" s="139"/>
      <c r="R104" s="26"/>
    </row>
    <row r="105" spans="1:19" x14ac:dyDescent="0.25">
      <c r="B105" s="139" t="s">
        <v>7286</v>
      </c>
      <c r="R105" s="9" t="str">
        <f>"Total all instances ("&amp;FPS&amp;PS!G7&amp;")"</f>
        <v>Total all instances (FPS16.4)</v>
      </c>
    </row>
    <row r="106" spans="1:19" x14ac:dyDescent="0.25">
      <c r="B106" s="493" t="s">
        <v>7232</v>
      </c>
      <c r="P106" s="9"/>
      <c r="Q106" s="2162" t="str">
        <f>A21</f>
        <v>c4.19.1</v>
      </c>
      <c r="R106" s="2166">
        <f>TRUNC(PS!H8+0.99,0)</f>
        <v>0</v>
      </c>
      <c r="S106" s="225" t="s">
        <v>7090</v>
      </c>
    </row>
    <row r="107" spans="1:19" x14ac:dyDescent="0.25">
      <c r="B107" s="139"/>
      <c r="E107" s="230"/>
      <c r="P107" s="230"/>
      <c r="Q107" s="139"/>
      <c r="R107" s="26"/>
    </row>
    <row r="108" spans="1:19" x14ac:dyDescent="0.25">
      <c r="A108" s="8" t="s">
        <v>4934</v>
      </c>
      <c r="B108" s="139"/>
      <c r="P108" s="230"/>
      <c r="Q108" s="139"/>
      <c r="R108" s="26"/>
    </row>
    <row r="109" spans="1:19" x14ac:dyDescent="0.25">
      <c r="A109" s="8" t="s">
        <v>7335</v>
      </c>
    </row>
    <row r="110" spans="1:19" x14ac:dyDescent="0.25">
      <c r="A110" s="8" t="s">
        <v>4956</v>
      </c>
      <c r="B110" s="139" t="s">
        <v>7277</v>
      </c>
      <c r="E110" s="230" t="str">
        <f>"Total all instances ("&amp;FPS&amp;PS!G11&amp;" + "&amp;FPS&amp;PS!J20&amp;")"</f>
        <v>Total all instances (FPS22 + FPS39)</v>
      </c>
      <c r="I110" s="9" t="s">
        <v>7043</v>
      </c>
    </row>
    <row r="111" spans="1:19" x14ac:dyDescent="0.25">
      <c r="A111" s="8" t="s">
        <v>7336</v>
      </c>
      <c r="B111" s="493" t="s">
        <v>7251</v>
      </c>
      <c r="D111" s="2162" t="str">
        <f>A22</f>
        <v>c4.20</v>
      </c>
      <c r="E111" s="2166">
        <f>TRUNC(PS!H12+0.99,0)+TRUNC(PS!K21+0.99,0)</f>
        <v>0</v>
      </c>
      <c r="F111" s="197" t="s">
        <v>7090</v>
      </c>
      <c r="H111" s="2162" t="str">
        <f>A23</f>
        <v>c4.21</v>
      </c>
      <c r="I111" s="2166"/>
    </row>
    <row r="112" spans="1:19" x14ac:dyDescent="0.25">
      <c r="A112" s="8" t="s">
        <v>7337</v>
      </c>
    </row>
    <row r="113" spans="1:18" x14ac:dyDescent="0.25">
      <c r="A113" s="8" t="s">
        <v>7338</v>
      </c>
      <c r="B113" s="381"/>
      <c r="I113" s="9"/>
      <c r="M113" s="230"/>
    </row>
    <row r="114" spans="1:18" x14ac:dyDescent="0.25">
      <c r="B114" s="139"/>
      <c r="I114" s="9"/>
    </row>
    <row r="115" spans="1:18" x14ac:dyDescent="0.25">
      <c r="B115" s="139"/>
      <c r="I115" s="9"/>
    </row>
    <row r="116" spans="1:18" x14ac:dyDescent="0.25">
      <c r="B116" s="139"/>
    </row>
    <row r="117" spans="1:18" x14ac:dyDescent="0.25">
      <c r="B117" s="139"/>
      <c r="I117" s="9"/>
    </row>
    <row r="118" spans="1:18" x14ac:dyDescent="0.25">
      <c r="B118" s="139"/>
      <c r="I118" s="9" t="s">
        <v>7043</v>
      </c>
    </row>
    <row r="119" spans="1:18" x14ac:dyDescent="0.25">
      <c r="B119" s="847"/>
      <c r="H119" s="2162" t="str">
        <f>A24</f>
        <v>c4.22</v>
      </c>
      <c r="I119" s="2166"/>
      <c r="J119" s="444"/>
      <c r="M119" s="230"/>
    </row>
    <row r="121" spans="1:18" x14ac:dyDescent="0.25">
      <c r="B121" s="381"/>
      <c r="M121" s="9" t="s">
        <v>7043</v>
      </c>
    </row>
    <row r="122" spans="1:18" x14ac:dyDescent="0.25">
      <c r="B122" s="847"/>
      <c r="L122" s="2162" t="str">
        <f>A25</f>
        <v>c4.23</v>
      </c>
      <c r="M122" s="2166"/>
    </row>
    <row r="123" spans="1:18" x14ac:dyDescent="0.25">
      <c r="B123" s="139"/>
      <c r="L123" s="139"/>
      <c r="M123" s="26"/>
    </row>
    <row r="124" spans="1:18" x14ac:dyDescent="0.25">
      <c r="B124" s="139"/>
      <c r="L124" s="139"/>
      <c r="M124" s="26"/>
      <c r="R124" s="9" t="s">
        <v>7043</v>
      </c>
    </row>
    <row r="125" spans="1:18" ht="10.5" customHeight="1" x14ac:dyDescent="0.25">
      <c r="B125" s="847"/>
      <c r="L125" s="139"/>
      <c r="M125" s="26"/>
      <c r="Q125" s="2162" t="str">
        <f>A26</f>
        <v>c4.24</v>
      </c>
      <c r="R125" s="2166"/>
    </row>
    <row r="126" spans="1:18" x14ac:dyDescent="0.25">
      <c r="L126" s="139"/>
      <c r="M126" s="26"/>
      <c r="Q126" s="139"/>
      <c r="R126" s="26"/>
    </row>
    <row r="127" spans="1:18" x14ac:dyDescent="0.25">
      <c r="L127" s="139"/>
      <c r="M127" s="26"/>
      <c r="Q127" s="139"/>
      <c r="R127" s="26"/>
    </row>
    <row r="128" spans="1:18" x14ac:dyDescent="0.25">
      <c r="B128" s="381"/>
      <c r="L128" s="139"/>
      <c r="M128" s="26"/>
      <c r="R128" s="9" t="s">
        <v>7043</v>
      </c>
    </row>
    <row r="129" spans="2:20" x14ac:dyDescent="0.25">
      <c r="B129" s="847"/>
      <c r="L129" s="139"/>
      <c r="M129" s="26"/>
      <c r="Q129" s="2162" t="str">
        <f>A27</f>
        <v>c4.24.1</v>
      </c>
      <c r="R129" s="2166"/>
      <c r="S129" s="444"/>
    </row>
    <row r="130" spans="2:20" x14ac:dyDescent="0.25">
      <c r="B130" s="493"/>
      <c r="L130" s="139"/>
      <c r="M130" s="26"/>
      <c r="Q130" s="139"/>
      <c r="R130" s="26"/>
      <c r="S130" s="197"/>
    </row>
    <row r="131" spans="2:20" x14ac:dyDescent="0.25">
      <c r="L131" s="139"/>
      <c r="M131" s="26"/>
    </row>
    <row r="132" spans="2:20" x14ac:dyDescent="0.25">
      <c r="B132" s="147" t="s">
        <v>7339</v>
      </c>
      <c r="M132" s="9" t="str">
        <f>L37&amp;" + "&amp;D50&amp;" + "&amp;D79&amp;" + "&amp;D111</f>
        <v>c4.6 + c4.8 + c4.14 + c4.20</v>
      </c>
      <c r="Q132" s="139"/>
    </row>
    <row r="133" spans="2:20" x14ac:dyDescent="0.25">
      <c r="B133" s="493" t="s">
        <v>7251</v>
      </c>
      <c r="L133" s="2162" t="str">
        <f>A28</f>
        <v>c4.25</v>
      </c>
      <c r="M133" s="2166">
        <f>M37+E50+E79+E111</f>
        <v>0</v>
      </c>
      <c r="Q133" s="139"/>
      <c r="R133" s="26"/>
    </row>
    <row r="134" spans="2:20" x14ac:dyDescent="0.25">
      <c r="B134" s="147"/>
      <c r="L134" s="139"/>
      <c r="M134" s="26"/>
      <c r="R134" s="9"/>
    </row>
    <row r="135" spans="2:20" x14ac:dyDescent="0.25">
      <c r="B135" s="147"/>
      <c r="L135" s="139"/>
      <c r="M135" s="26"/>
      <c r="R135" s="9" t="str">
        <f>Q30&amp;" + "&amp;Q41&amp;" + "&amp;Q74&amp;" + "&amp;Q100</f>
        <v>c4.5 + c4.7 + c4.13 + c4.19</v>
      </c>
    </row>
    <row r="136" spans="2:20" x14ac:dyDescent="0.25">
      <c r="B136" s="493" t="s">
        <v>7232</v>
      </c>
      <c r="L136" s="139"/>
      <c r="M136" s="26"/>
      <c r="Q136" s="2162" t="str">
        <f>A29</f>
        <v>c4.26</v>
      </c>
      <c r="R136" s="2166">
        <f>R30+R41+R74+R100</f>
        <v>0</v>
      </c>
    </row>
    <row r="137" spans="2:20" x14ac:dyDescent="0.25">
      <c r="B137" s="234"/>
      <c r="C137" s="234"/>
      <c r="D137" s="234"/>
      <c r="E137" s="234"/>
      <c r="F137" s="234"/>
      <c r="G137" s="234"/>
      <c r="H137" s="234"/>
      <c r="I137" s="234"/>
      <c r="J137" s="234"/>
      <c r="K137" s="234"/>
      <c r="L137" s="234"/>
      <c r="M137" s="234"/>
      <c r="N137" s="234"/>
      <c r="O137" s="234"/>
      <c r="P137" s="234"/>
      <c r="Q137" s="234"/>
      <c r="R137" s="848"/>
      <c r="S137" s="234"/>
    </row>
    <row r="138" spans="2:20" x14ac:dyDescent="0.25">
      <c r="B138" s="849" t="s">
        <v>7340</v>
      </c>
      <c r="C138" s="850"/>
      <c r="D138" s="850"/>
      <c r="E138" s="850"/>
      <c r="F138" s="850"/>
      <c r="G138" s="850"/>
      <c r="H138" s="850"/>
      <c r="I138" s="850"/>
      <c r="J138" s="850"/>
      <c r="K138" s="850"/>
      <c r="L138" s="850"/>
      <c r="M138" s="850"/>
      <c r="N138" s="850"/>
      <c r="S138" s="850"/>
    </row>
    <row r="139" spans="2:20" x14ac:dyDescent="0.25">
      <c r="B139" s="147"/>
    </row>
    <row r="140" spans="2:20" x14ac:dyDescent="0.25">
      <c r="B140" s="147"/>
    </row>
    <row r="141" spans="2:20" x14ac:dyDescent="0.25">
      <c r="B141" s="139" t="s">
        <v>5587</v>
      </c>
      <c r="R141" s="1018" t="s">
        <v>7043</v>
      </c>
      <c r="T141" s="210"/>
    </row>
    <row r="142" spans="2:20" x14ac:dyDescent="0.25">
      <c r="B142" s="493" t="s">
        <v>7232</v>
      </c>
      <c r="M142" s="1021"/>
      <c r="N142" s="1021"/>
      <c r="O142" s="1021"/>
      <c r="P142" s="2168" t="s">
        <v>7341</v>
      </c>
      <c r="Q142" s="2162" t="str">
        <f>A30</f>
        <v>c4.27</v>
      </c>
      <c r="R142" s="2166">
        <v>0</v>
      </c>
    </row>
    <row r="144" spans="2:20" x14ac:dyDescent="0.25">
      <c r="B144" s="139" t="s">
        <v>5587</v>
      </c>
      <c r="R144" s="9" t="str">
        <f>"from "&amp;'NS income (c1)'!E96</f>
        <v>from c1.31</v>
      </c>
    </row>
    <row r="145" spans="1:19" x14ac:dyDescent="0.25">
      <c r="B145" s="493" t="s">
        <v>7232</v>
      </c>
      <c r="P145" s="230" t="str">
        <f>"lower of "&amp;PRO&amp;PRO!G13&amp;" and "&amp;PRO&amp;PRO!G16</f>
        <v>lower of PRO38 and PRO39</v>
      </c>
      <c r="Q145" s="2162" t="str">
        <f>A31</f>
        <v>c4.28</v>
      </c>
      <c r="R145" s="2166">
        <f>'NS income (c1)'!F96</f>
        <v>0</v>
      </c>
    </row>
    <row r="147" spans="1:19" x14ac:dyDescent="0.25">
      <c r="E147" s="9" t="s">
        <v>7043</v>
      </c>
      <c r="I147" s="9" t="s">
        <v>7043</v>
      </c>
    </row>
    <row r="148" spans="1:19" x14ac:dyDescent="0.25">
      <c r="B148" s="381"/>
      <c r="D148" s="2162" t="str">
        <f>A32</f>
        <v>c4.29</v>
      </c>
      <c r="E148" s="2166"/>
      <c r="F148" s="387"/>
      <c r="H148" s="2162" t="str">
        <f>A33</f>
        <v>c4.30</v>
      </c>
      <c r="I148" s="2166"/>
    </row>
    <row r="150" spans="1:19" x14ac:dyDescent="0.25">
      <c r="A150" s="8" t="s">
        <v>7342</v>
      </c>
      <c r="B150" s="139" t="s">
        <v>4035</v>
      </c>
      <c r="M150" s="230" t="str">
        <f>"from "&amp;PRO&amp;PRO!G22</f>
        <v>from PRO42</v>
      </c>
      <c r="Q150" s="210"/>
      <c r="R150" s="9" t="s">
        <v>7043</v>
      </c>
    </row>
    <row r="151" spans="1:19" x14ac:dyDescent="0.25">
      <c r="A151" s="8" t="s">
        <v>7343</v>
      </c>
      <c r="B151" s="493" t="s">
        <v>7251</v>
      </c>
      <c r="L151" s="2162" t="str">
        <f>A34</f>
        <v>c4.31</v>
      </c>
      <c r="M151" s="2166">
        <f>TRUNC(PRO!H23+0.99,0)</f>
        <v>0</v>
      </c>
      <c r="N151" s="197" t="s">
        <v>7035</v>
      </c>
      <c r="O151" s="197"/>
      <c r="Q151" s="2162" t="str">
        <f>A35</f>
        <v>c4.32</v>
      </c>
      <c r="R151" s="2166"/>
    </row>
    <row r="152" spans="1:19" x14ac:dyDescent="0.25">
      <c r="A152" s="8" t="s">
        <v>7344</v>
      </c>
    </row>
    <row r="153" spans="1:19" x14ac:dyDescent="0.25">
      <c r="B153" s="147" t="s">
        <v>7345</v>
      </c>
      <c r="R153" s="230"/>
    </row>
    <row r="154" spans="1:19" x14ac:dyDescent="0.25">
      <c r="B154" s="139" t="s">
        <v>4025</v>
      </c>
      <c r="P154" s="9"/>
      <c r="Q154" s="9"/>
      <c r="R154" s="9" t="str">
        <f>'NS income (c1)'!E123&amp;" minus ("&amp;'NS income (c1)'!E129&amp;" + "&amp;'NS income (c1)'!E132&amp;")"</f>
        <v>c1.36 minus (c1.38 + c1.39)</v>
      </c>
    </row>
    <row r="155" spans="1:19" x14ac:dyDescent="0.25">
      <c r="B155" s="493" t="s">
        <v>7232</v>
      </c>
      <c r="P155" s="230" t="str">
        <f>FOR&amp;FOR!K10&amp;" minus ("&amp;FOR&amp;FOR!K21&amp;" + "&amp;FOR&amp;FOR!O21&amp;")"</f>
        <v>FOR26 minus (FOR31 + FOR32)</v>
      </c>
      <c r="Q155" s="2162" t="str">
        <f>A36</f>
        <v>c4.33</v>
      </c>
      <c r="R155" s="2166">
        <f>MAX(0,TRUNC('NS income (c1)'!F123-('NS income (c1)'!F129+'NS income (c1)'!F132)+0.99,0))</f>
        <v>0</v>
      </c>
      <c r="S155" s="197" t="s">
        <v>7035</v>
      </c>
    </row>
    <row r="158" spans="1:19" x14ac:dyDescent="0.25">
      <c r="B158" s="139" t="s">
        <v>7346</v>
      </c>
      <c r="M158" s="230" t="str">
        <f>"from "&amp;FOR&amp;FOR!K21</f>
        <v>from FOR31</v>
      </c>
    </row>
    <row r="159" spans="1:19" x14ac:dyDescent="0.25">
      <c r="B159" s="493" t="s">
        <v>7251</v>
      </c>
      <c r="L159" s="2162" t="str">
        <f>A37</f>
        <v>c4.34</v>
      </c>
      <c r="M159" s="2166">
        <f>TRUNC(FOR!L22+0.99,0)</f>
        <v>0</v>
      </c>
      <c r="N159" s="197" t="s">
        <v>7035</v>
      </c>
      <c r="O159" s="197"/>
    </row>
    <row r="161" spans="1:18" x14ac:dyDescent="0.25">
      <c r="B161" s="147" t="s">
        <v>5494</v>
      </c>
    </row>
    <row r="162" spans="1:18" x14ac:dyDescent="0.25">
      <c r="B162" s="139" t="s">
        <v>7347</v>
      </c>
      <c r="R162" s="9" t="str">
        <f>"from "&amp;'NS income (c1)'!E60</f>
        <v>from c1.18</v>
      </c>
    </row>
    <row r="163" spans="1:18" x14ac:dyDescent="0.25">
      <c r="B163" s="493" t="s">
        <v>7232</v>
      </c>
      <c r="M163" s="230"/>
      <c r="P163" s="230" t="str">
        <f>"from "&amp;LUN&amp;LUN!K4</f>
        <v>from LUN51</v>
      </c>
      <c r="Q163" s="2162" t="str">
        <f>A38</f>
        <v>c4.35</v>
      </c>
      <c r="R163" s="2166">
        <f>'NS income (c1)'!F60</f>
        <v>0</v>
      </c>
    </row>
    <row r="164" spans="1:18" x14ac:dyDescent="0.25">
      <c r="B164" s="139"/>
      <c r="M164" s="230"/>
      <c r="R164" s="9"/>
    </row>
    <row r="165" spans="1:18" x14ac:dyDescent="0.25">
      <c r="B165" s="139"/>
      <c r="M165" s="230"/>
      <c r="R165" s="9"/>
    </row>
    <row r="166" spans="1:18" x14ac:dyDescent="0.25">
      <c r="B166" s="139"/>
      <c r="M166" s="230"/>
      <c r="R166" s="9"/>
    </row>
    <row r="167" spans="1:18" x14ac:dyDescent="0.25">
      <c r="M167" s="230"/>
    </row>
    <row r="169" spans="1:18" x14ac:dyDescent="0.25">
      <c r="A169" s="8" t="s">
        <v>4908</v>
      </c>
      <c r="B169" s="139" t="s">
        <v>7348</v>
      </c>
      <c r="M169" s="230" t="str">
        <f>"from "&amp;LUN&amp;LUN!K10</f>
        <v>from LUN56</v>
      </c>
    </row>
    <row r="170" spans="1:18" x14ac:dyDescent="0.25">
      <c r="A170" s="8" t="s">
        <v>4918</v>
      </c>
      <c r="B170" s="493" t="s">
        <v>7251</v>
      </c>
      <c r="L170" s="2162" t="str">
        <f>A39</f>
        <v>c4.36</v>
      </c>
      <c r="M170" s="2166">
        <f>TRUNC(LUN!L11+0.99,0)</f>
        <v>0</v>
      </c>
      <c r="N170" s="197" t="s">
        <v>7035</v>
      </c>
      <c r="O170" s="197"/>
    </row>
    <row r="171" spans="1:18" x14ac:dyDescent="0.25">
      <c r="A171" s="8" t="s">
        <v>4924</v>
      </c>
    </row>
    <row r="172" spans="1:18" x14ac:dyDescent="0.25">
      <c r="A172" s="8" t="s">
        <v>7349</v>
      </c>
      <c r="B172" s="147" t="s">
        <v>2479</v>
      </c>
    </row>
    <row r="173" spans="1:18" x14ac:dyDescent="0.25">
      <c r="A173" s="8" t="s">
        <v>4913</v>
      </c>
      <c r="B173" s="139" t="s">
        <v>2494</v>
      </c>
      <c r="M173" s="230" t="str">
        <f>"from "&amp;AOR&amp;AOR!C20</f>
        <v>from AOR6</v>
      </c>
    </row>
    <row r="174" spans="1:18" x14ac:dyDescent="0.25">
      <c r="A174" s="8" t="s">
        <v>7350</v>
      </c>
      <c r="B174" s="493" t="s">
        <v>7251</v>
      </c>
      <c r="L174" s="2162" t="str">
        <f>A40</f>
        <v>c4.37</v>
      </c>
      <c r="M174" s="2166">
        <f>TRUNC(AOR!D21+0.99,0)</f>
        <v>0</v>
      </c>
      <c r="N174" s="197" t="s">
        <v>7035</v>
      </c>
      <c r="O174" s="197"/>
    </row>
    <row r="175" spans="1:18" x14ac:dyDescent="0.25">
      <c r="A175" s="8" t="s">
        <v>7351</v>
      </c>
      <c r="B175" s="493"/>
      <c r="L175" s="139"/>
      <c r="M175" s="26"/>
      <c r="N175" s="197"/>
      <c r="O175" s="197"/>
    </row>
    <row r="176" spans="1:18" x14ac:dyDescent="0.25">
      <c r="A176" s="458" t="s">
        <v>7352</v>
      </c>
      <c r="B176" s="147" t="s">
        <v>2479</v>
      </c>
      <c r="L176" s="139"/>
      <c r="M176" s="26"/>
      <c r="N176" s="197"/>
      <c r="O176" s="197"/>
    </row>
    <row r="177" spans="1:19" x14ac:dyDescent="0.25">
      <c r="A177" s="8" t="s">
        <v>7353</v>
      </c>
      <c r="B177" s="139" t="s">
        <v>2496</v>
      </c>
      <c r="O177" s="197"/>
      <c r="R177" s="230" t="str">
        <f>"from "&amp;AOR&amp;AOR!C23</f>
        <v>from AOR6.1</v>
      </c>
    </row>
    <row r="178" spans="1:19" x14ac:dyDescent="0.25">
      <c r="A178" s="8" t="s">
        <v>4927</v>
      </c>
      <c r="B178" s="493" t="s">
        <v>7232</v>
      </c>
      <c r="Q178" s="2162" t="str">
        <f>A41</f>
        <v>c4.37.1</v>
      </c>
      <c r="R178" s="2166">
        <f>TRUNC(AOR!D24+0.99,0)</f>
        <v>0</v>
      </c>
      <c r="S178" s="197" t="s">
        <v>7035</v>
      </c>
    </row>
    <row r="179" spans="1:19" x14ac:dyDescent="0.25">
      <c r="A179" s="8" t="s">
        <v>7354</v>
      </c>
      <c r="B179" s="493"/>
    </row>
    <row r="180" spans="1:19" x14ac:dyDescent="0.25">
      <c r="A180" s="8" t="s">
        <v>7355</v>
      </c>
      <c r="B180" s="147" t="s">
        <v>7357</v>
      </c>
    </row>
    <row r="181" spans="1:19" x14ac:dyDescent="0.25">
      <c r="A181" s="8" t="s">
        <v>7356</v>
      </c>
      <c r="B181" s="139" t="s">
        <v>2491</v>
      </c>
      <c r="M181" s="230" t="str">
        <f>"from "&amp;AOR&amp;AOR!C17</f>
        <v>from AOR5</v>
      </c>
    </row>
    <row r="182" spans="1:19" x14ac:dyDescent="0.25">
      <c r="A182" s="8" t="s">
        <v>7358</v>
      </c>
      <c r="B182" s="493" t="s">
        <v>7251</v>
      </c>
      <c r="L182" s="2162" t="str">
        <f>A42</f>
        <v>c4.38</v>
      </c>
      <c r="M182" s="2166">
        <f>TRUNC(AOR!D18+0.99,0)</f>
        <v>0</v>
      </c>
      <c r="N182" s="197" t="s">
        <v>7035</v>
      </c>
      <c r="O182" s="197"/>
    </row>
    <row r="183" spans="1:19" x14ac:dyDescent="0.25">
      <c r="A183" s="8" t="s">
        <v>7359</v>
      </c>
      <c r="B183" s="139"/>
      <c r="L183" s="139"/>
      <c r="M183" s="26"/>
      <c r="N183" s="197"/>
      <c r="O183" s="197"/>
    </row>
    <row r="184" spans="1:19" x14ac:dyDescent="0.25">
      <c r="A184" s="8" t="s">
        <v>7360</v>
      </c>
      <c r="B184" s="139"/>
      <c r="L184" s="139"/>
      <c r="M184" s="26"/>
      <c r="N184" s="197"/>
      <c r="O184" s="197"/>
    </row>
    <row r="185" spans="1:19" x14ac:dyDescent="0.25">
      <c r="A185" s="8" t="s">
        <v>7361</v>
      </c>
      <c r="B185" s="139"/>
      <c r="L185" s="139"/>
      <c r="M185" s="26"/>
      <c r="N185" s="197"/>
      <c r="O185" s="197"/>
    </row>
    <row r="186" spans="1:19" x14ac:dyDescent="0.25">
      <c r="A186" s="8" t="s">
        <v>7362</v>
      </c>
      <c r="E186" s="1018" t="str">
        <f>D8&amp;" + "&amp;Q23&amp;" + "&amp;Q30&amp;" + "&amp;L37&amp;" + "&amp;Q41&amp;" + "&amp;D50&amp;" + "&amp;Q74&amp;" + "&amp;D79&amp;" + "&amp;Q100&amp;" + "&amp;D111&amp;" + "&amp;Q129&amp;" +"</f>
        <v>c4.1 + c4.4 + c4.5 + c4.6 + c4.7 + c4.8 + c4.13 + c4.14 + c4.19 + c4.20 + c4.24.1 +</v>
      </c>
    </row>
    <row r="187" spans="1:19" x14ac:dyDescent="0.25">
      <c r="A187" s="8" t="s">
        <v>7363</v>
      </c>
      <c r="B187" s="1022"/>
      <c r="E187" s="9" t="str">
        <f>Q145&amp;" + "&amp;L151&amp;" + "&amp;Q155&amp;" + "&amp;L159&amp;" + "&amp;Q163&amp;" + "&amp;L170&amp;" + "&amp;L174&amp;" + "&amp;L182&amp;" + "&amp;Q178</f>
        <v>c4.28 + c4.31 + c4.33 + c4.34 + c4.35 + c4.36 + c4.37 + c4.38 + c4.37.1</v>
      </c>
    </row>
    <row r="188" spans="1:19" x14ac:dyDescent="0.25">
      <c r="A188" s="8" t="s">
        <v>7364</v>
      </c>
      <c r="B188" s="851" t="s">
        <v>7366</v>
      </c>
      <c r="D188" s="2162" t="str">
        <f>A43</f>
        <v>c4.39</v>
      </c>
      <c r="E188" s="2166">
        <f>E8+R23+R30+M37+R41+E50+R74+E79+R100+E111+R129+R145+M151+R155+M159+R163+M170+M174+M182+R178</f>
        <v>0</v>
      </c>
    </row>
    <row r="189" spans="1:19" x14ac:dyDescent="0.25">
      <c r="A189" s="8" t="s">
        <v>7365</v>
      </c>
      <c r="M189" s="9" t="str">
        <f>L17&amp;" + "&amp;L133&amp;" + "&amp;L151&amp;" + "&amp;L159&amp;" + "</f>
        <v xml:space="preserve">c4.3 + c4.25 + c4.31 + c4.34 + </v>
      </c>
    </row>
    <row r="190" spans="1:19" x14ac:dyDescent="0.25">
      <c r="A190" s="8" t="s">
        <v>7367</v>
      </c>
      <c r="B190" s="214"/>
      <c r="M190" s="9" t="str">
        <f>L170&amp;" + "&amp;L174&amp;" + "&amp;L182</f>
        <v>c4.36 + c4.37 + c4.38</v>
      </c>
    </row>
    <row r="191" spans="1:19" x14ac:dyDescent="0.25">
      <c r="A191" s="8" t="s">
        <v>7368</v>
      </c>
      <c r="B191" s="852" t="s">
        <v>7370</v>
      </c>
      <c r="L191" s="2162" t="str">
        <f>A44</f>
        <v>c4.40</v>
      </c>
      <c r="M191" s="2166">
        <f>M17+M133+M151+M159+M170+M174+M182</f>
        <v>0</v>
      </c>
    </row>
    <row r="192" spans="1:19" x14ac:dyDescent="0.25">
      <c r="A192" s="8" t="s">
        <v>7369</v>
      </c>
      <c r="B192" s="852"/>
      <c r="L192" s="139"/>
      <c r="M192" s="26"/>
    </row>
    <row r="193" spans="1:18" x14ac:dyDescent="0.25">
      <c r="A193" s="8" t="s">
        <v>7371</v>
      </c>
      <c r="B193" s="852"/>
      <c r="L193" s="139"/>
      <c r="M193" s="26"/>
    </row>
    <row r="194" spans="1:18" x14ac:dyDescent="0.25">
      <c r="A194" s="8" t="s">
        <v>7372</v>
      </c>
      <c r="B194" s="87" t="s">
        <v>7374</v>
      </c>
      <c r="E194" s="9" t="str">
        <f>"Total all instances ("&amp;FSE&amp;SE!G5&amp;")"</f>
        <v>Total all instances (FSE73.3)</v>
      </c>
      <c r="L194" s="139"/>
      <c r="M194" s="26"/>
    </row>
    <row r="195" spans="1:18" x14ac:dyDescent="0.25">
      <c r="A195" s="8" t="s">
        <v>7373</v>
      </c>
      <c r="B195" s="87" t="s">
        <v>7376</v>
      </c>
      <c r="D195" s="2162" t="str">
        <f>A45</f>
        <v>c4.40.1</v>
      </c>
      <c r="E195" s="2166">
        <f>TRUNC(SE!H6,0)</f>
        <v>0</v>
      </c>
      <c r="F195" s="221" t="s">
        <v>7070</v>
      </c>
      <c r="L195" s="139"/>
      <c r="M195" s="26"/>
    </row>
    <row r="196" spans="1:18" x14ac:dyDescent="0.25">
      <c r="A196" s="8" t="s">
        <v>7375</v>
      </c>
      <c r="B196" s="852"/>
      <c r="L196" s="139"/>
      <c r="M196" s="26"/>
    </row>
    <row r="197" spans="1:18" x14ac:dyDescent="0.25">
      <c r="B197" s="852"/>
      <c r="E197" s="9" t="str">
        <f>"Total all instances ("&amp;FPS&amp;PS!G4&amp;")"</f>
        <v>Total all instances (FPS16.3)</v>
      </c>
      <c r="L197" s="139"/>
      <c r="M197" s="26"/>
    </row>
    <row r="198" spans="1:18" x14ac:dyDescent="0.25">
      <c r="B198" s="852"/>
      <c r="D198" s="2162" t="str">
        <f>A46</f>
        <v>c4.40.2</v>
      </c>
      <c r="E198" s="2166">
        <f>TRUNC(PS!H5,0)</f>
        <v>0</v>
      </c>
      <c r="F198" s="221" t="s">
        <v>7070</v>
      </c>
      <c r="L198" s="139"/>
      <c r="M198" s="26"/>
    </row>
    <row r="200" spans="1:18" x14ac:dyDescent="0.25">
      <c r="A200" s="8" t="s">
        <v>7377</v>
      </c>
      <c r="E200" s="9" t="str">
        <f>'Divs (c3)'!G111&amp;" + "&amp;D195&amp;" + "&amp;D198</f>
        <v>c3.26 + c4.40.1 + c4.40.2</v>
      </c>
    </row>
    <row r="201" spans="1:18" x14ac:dyDescent="0.25">
      <c r="D201" s="2162" t="str">
        <f>A47</f>
        <v>c4.41</v>
      </c>
      <c r="E201" s="2166">
        <f>'Divs (c3)'!H111 + E195+E198+IF(calc_TSR_alt_c17_6, 'TSR (c17)'!M101 - 'TSR (c17)'!F101, 0)</f>
        <v>0</v>
      </c>
    </row>
    <row r="203" spans="1:18" x14ac:dyDescent="0.25">
      <c r="D203" s="139"/>
      <c r="E203" s="9" t="str">
        <f>D201&amp;" × Dedn_taper ("&amp;Dedn_taper*100&amp;"%)"</f>
        <v>c4.41 × Dedn_taper (25%)</v>
      </c>
      <c r="F203" s="853"/>
    </row>
    <row r="204" spans="1:18" x14ac:dyDescent="0.25">
      <c r="A204" s="8" t="s">
        <v>7378</v>
      </c>
      <c r="D204" s="2162" t="str">
        <f>A48</f>
        <v>c4.42</v>
      </c>
      <c r="E204" s="2149">
        <f>TRUNC((E201*Dedn_taper)+0.99,0)</f>
        <v>0</v>
      </c>
      <c r="F204" s="197" t="s">
        <v>7035</v>
      </c>
    </row>
    <row r="205" spans="1:18" x14ac:dyDescent="0.25">
      <c r="A205" s="8" t="s">
        <v>7379</v>
      </c>
      <c r="I205" s="139"/>
      <c r="L205" s="139"/>
    </row>
    <row r="206" spans="1:18" x14ac:dyDescent="0.25">
      <c r="A206" s="8" t="s">
        <v>7380</v>
      </c>
      <c r="B206" s="87" t="s">
        <v>7382</v>
      </c>
      <c r="I206" s="9" t="str">
        <f>"Dedn_cap ("&amp;DOLLAR(Dedn_cap,0)&amp;")"</f>
        <v>Dedn_cap (£50,000)</v>
      </c>
      <c r="L206" s="139"/>
      <c r="M206" s="9" t="str">
        <f>"larger of "&amp;D204&amp;" and "&amp;H207</f>
        <v>larger of c4.42 and c4.43</v>
      </c>
      <c r="R206" s="230"/>
    </row>
    <row r="207" spans="1:18" x14ac:dyDescent="0.25">
      <c r="A207" s="8" t="s">
        <v>7381</v>
      </c>
      <c r="B207" s="87" t="s">
        <v>7384</v>
      </c>
      <c r="H207" s="2162" t="str">
        <f>A49</f>
        <v>c4.43</v>
      </c>
      <c r="I207" s="2169">
        <f>Dedn_cap</f>
        <v>50000</v>
      </c>
      <c r="L207" s="2162" t="str">
        <f>A50</f>
        <v>c4.44</v>
      </c>
      <c r="M207" s="2149">
        <f>MAX(E204,I207)</f>
        <v>50000</v>
      </c>
    </row>
    <row r="208" spans="1:18" x14ac:dyDescent="0.25">
      <c r="A208" s="8" t="s">
        <v>7383</v>
      </c>
    </row>
    <row r="209" spans="1:19" x14ac:dyDescent="0.25">
      <c r="A209" s="8" t="s">
        <v>7385</v>
      </c>
      <c r="M209" s="9" t="str">
        <f>"lower of "&amp;L191&amp;" and "&amp;L207</f>
        <v>lower of c4.40 and c4.44</v>
      </c>
    </row>
    <row r="210" spans="1:19" x14ac:dyDescent="0.25">
      <c r="A210" s="8" t="s">
        <v>7386</v>
      </c>
      <c r="B210" s="852" t="s">
        <v>7387</v>
      </c>
      <c r="L210" s="2162" t="str">
        <f>A51</f>
        <v>c4.45</v>
      </c>
      <c r="M210" s="2149">
        <f>MIN(M191,M207)</f>
        <v>0</v>
      </c>
    </row>
    <row r="211" spans="1:19" x14ac:dyDescent="0.25">
      <c r="R211" s="1018" t="str">
        <f>Q11&amp;" + "&amp;Q23&amp;" + "&amp;Q136&amp;" + "</f>
        <v xml:space="preserve">c4.2 + c4.4 + c4.26 + </v>
      </c>
    </row>
    <row r="212" spans="1:19" x14ac:dyDescent="0.25">
      <c r="R212" s="9" t="str">
        <f>Q145&amp;" + "&amp;Q155&amp;" + "&amp;Q163&amp;" + "&amp;Q178</f>
        <v>c4.28 + c4.33 + c4.35 + c4.37.1</v>
      </c>
    </row>
    <row r="213" spans="1:19" x14ac:dyDescent="0.25">
      <c r="B213" s="852" t="s">
        <v>7388</v>
      </c>
      <c r="Q213" s="2162" t="str">
        <f>A52</f>
        <v>c4.46</v>
      </c>
      <c r="R213" s="2166">
        <f>R11+R23+R136+R145+R155+R163+R178</f>
        <v>0</v>
      </c>
    </row>
    <row r="215" spans="1:19" x14ac:dyDescent="0.25">
      <c r="E215" s="9" t="str">
        <f>L210&amp;" + "&amp;Q213</f>
        <v>c4.45 + c4.46</v>
      </c>
    </row>
    <row r="216" spans="1:19" x14ac:dyDescent="0.25">
      <c r="A216" s="8" t="s">
        <v>7389</v>
      </c>
      <c r="B216" s="87" t="s">
        <v>7391</v>
      </c>
      <c r="D216" s="2162" t="str">
        <f>A53</f>
        <v>c4.47</v>
      </c>
      <c r="E216" s="2166">
        <f>M210+R213</f>
        <v>0</v>
      </c>
    </row>
    <row r="217" spans="1:19" x14ac:dyDescent="0.25">
      <c r="A217" s="8" t="s">
        <v>7390</v>
      </c>
      <c r="B217" s="2151"/>
      <c r="C217" s="2151"/>
      <c r="D217" s="2151"/>
      <c r="E217" s="2151"/>
      <c r="F217" s="2151"/>
      <c r="G217" s="2151"/>
      <c r="H217" s="2151"/>
      <c r="I217" s="2151"/>
      <c r="J217" s="2151"/>
      <c r="K217" s="2151"/>
      <c r="L217" s="2151"/>
      <c r="M217" s="2151"/>
      <c r="N217" s="2151"/>
      <c r="O217" s="2151"/>
      <c r="P217" s="2151"/>
      <c r="Q217" s="2151"/>
      <c r="R217" s="2151"/>
      <c r="S217" s="2151"/>
    </row>
    <row r="218" spans="1:19" x14ac:dyDescent="0.25">
      <c r="A218" s="8" t="s">
        <v>7392</v>
      </c>
    </row>
    <row r="219" spans="1:19" x14ac:dyDescent="0.25">
      <c r="A219" s="8" t="s">
        <v>7393</v>
      </c>
      <c r="B219" s="1104" t="s">
        <v>7395</v>
      </c>
    </row>
    <row r="220" spans="1:19" x14ac:dyDescent="0.25">
      <c r="A220" s="8" t="s">
        <v>7394</v>
      </c>
      <c r="B220" s="24"/>
    </row>
    <row r="221" spans="1:19" x14ac:dyDescent="0.25">
      <c r="A221" s="8" t="s">
        <v>7396</v>
      </c>
      <c r="B221" s="1121" t="s">
        <v>7398</v>
      </c>
    </row>
    <row r="222" spans="1:19" x14ac:dyDescent="0.25">
      <c r="C222" s="1065"/>
      <c r="D222" s="1065"/>
      <c r="E222" s="1099" t="str">
        <f>"Total all instances ("&amp;FSE&amp;SE!G17&amp;")"</f>
        <v>Total all instances (FSE76.1)</v>
      </c>
    </row>
    <row r="223" spans="1:19" x14ac:dyDescent="0.25">
      <c r="A223" s="8" t="s">
        <v>7397</v>
      </c>
      <c r="B223" s="8" t="s">
        <v>3890</v>
      </c>
      <c r="D223" s="2153" t="str">
        <f>A54</f>
        <v>c4.47.1</v>
      </c>
      <c r="E223" s="2150">
        <f>TRUNC(SE!H18+0.99,0)</f>
        <v>0</v>
      </c>
      <c r="F223" s="1093" t="s">
        <v>7065</v>
      </c>
      <c r="G223" s="1065"/>
    </row>
    <row r="224" spans="1:19" x14ac:dyDescent="0.25">
      <c r="A224" s="8" t="s">
        <v>7399</v>
      </c>
      <c r="M224" s="230"/>
    </row>
    <row r="225" spans="1:13" x14ac:dyDescent="0.25">
      <c r="D225" s="1065"/>
      <c r="E225" s="1099" t="str">
        <f>"Total all instances ("&amp;FPS&amp;PS!G48&amp;")"</f>
        <v>Total all instances (FPS76.1)</v>
      </c>
      <c r="M225" s="230"/>
    </row>
    <row r="226" spans="1:13" x14ac:dyDescent="0.25">
      <c r="B226" s="8" t="s">
        <v>3890</v>
      </c>
      <c r="D226" s="2153" t="str">
        <f>A55</f>
        <v>c4.47.2</v>
      </c>
      <c r="E226" s="2150">
        <f>TRUNC(PS!H49+0.99,0)</f>
        <v>0</v>
      </c>
      <c r="F226" s="1093" t="s">
        <v>7090</v>
      </c>
      <c r="G226" s="1065"/>
    </row>
    <row r="228" spans="1:13" x14ac:dyDescent="0.25">
      <c r="D228" s="1065"/>
      <c r="E228" s="1099" t="str">
        <f>"from "&amp;TRU&amp;TRU!K28</f>
        <v>from TRU22.1</v>
      </c>
    </row>
    <row r="229" spans="1:13" x14ac:dyDescent="0.25">
      <c r="A229" s="8" t="s">
        <v>7400</v>
      </c>
      <c r="B229" s="8" t="s">
        <v>3890</v>
      </c>
      <c r="D229" s="2153" t="str">
        <f>A56</f>
        <v>c4.47.3</v>
      </c>
      <c r="E229" s="2150">
        <f>TRUNC(TRU!L29+0.99,0)</f>
        <v>0</v>
      </c>
      <c r="F229" s="1093" t="s">
        <v>7402</v>
      </c>
      <c r="G229" s="1065"/>
      <c r="M229" s="230"/>
    </row>
    <row r="230" spans="1:13" x14ac:dyDescent="0.25">
      <c r="A230" s="8" t="s">
        <v>7401</v>
      </c>
      <c r="M230" s="230"/>
    </row>
    <row r="231" spans="1:13" x14ac:dyDescent="0.25">
      <c r="D231" s="1065"/>
      <c r="E231" s="1099" t="str">
        <f>"from "&amp;FOR&amp;FOR!G43</f>
        <v>from FOR9.1</v>
      </c>
    </row>
    <row r="232" spans="1:13" x14ac:dyDescent="0.25">
      <c r="B232" s="8" t="s">
        <v>3890</v>
      </c>
      <c r="D232" s="2153" t="str">
        <f>A57</f>
        <v>c4.47.4</v>
      </c>
      <c r="E232" s="2150">
        <f>TRUNC(FOR!H44+0.99,0)</f>
        <v>0</v>
      </c>
      <c r="F232" s="1093" t="s">
        <v>7402</v>
      </c>
      <c r="G232" s="1065"/>
    </row>
    <row r="233" spans="1:13" x14ac:dyDescent="0.25">
      <c r="D233" s="140"/>
      <c r="E233" s="30"/>
      <c r="F233" s="225"/>
    </row>
    <row r="234" spans="1:13" x14ac:dyDescent="0.25">
      <c r="D234" s="1065"/>
      <c r="E234" s="1099" t="s">
        <v>7043</v>
      </c>
    </row>
    <row r="235" spans="1:13" x14ac:dyDescent="0.25">
      <c r="B235" s="8" t="s">
        <v>3890</v>
      </c>
      <c r="D235" s="2153" t="str">
        <f>A58</f>
        <v>c4.47.4a</v>
      </c>
      <c r="E235" s="2150">
        <v>0</v>
      </c>
      <c r="F235" s="2415" t="s">
        <v>7402</v>
      </c>
      <c r="G235" s="1065"/>
      <c r="J235" s="26"/>
    </row>
    <row r="237" spans="1:13" x14ac:dyDescent="0.25">
      <c r="D237" s="1065"/>
      <c r="E237" s="1099" t="str">
        <f>"from "&amp;FOR&amp;FOR!G55&amp;".0"</f>
        <v>from FOR13.0</v>
      </c>
    </row>
    <row r="238" spans="1:13" x14ac:dyDescent="0.25">
      <c r="B238" s="8" t="s">
        <v>3890</v>
      </c>
      <c r="D238" s="2153" t="str">
        <f>A59</f>
        <v>c4.47.5</v>
      </c>
      <c r="E238" s="2150">
        <f>TRUNC(FOR!H56+0.99,0)</f>
        <v>0</v>
      </c>
      <c r="F238" s="1093" t="s">
        <v>7402</v>
      </c>
      <c r="G238" s="1065"/>
    </row>
    <row r="240" spans="1:13" x14ac:dyDescent="0.25">
      <c r="D240" s="1065"/>
      <c r="E240" s="1099" t="str">
        <f>"from "&amp;FOR&amp;FOR!O18</f>
        <v>from FOR30.1</v>
      </c>
    </row>
    <row r="241" spans="2:7" x14ac:dyDescent="0.25">
      <c r="B241" s="8" t="s">
        <v>3890</v>
      </c>
      <c r="D241" s="2153" t="str">
        <f>A60</f>
        <v>c4.47.6</v>
      </c>
      <c r="E241" s="2150">
        <f>TRUNC(FOR!P19+0.99,0)</f>
        <v>0</v>
      </c>
      <c r="F241" s="1093" t="s">
        <v>7402</v>
      </c>
      <c r="G241" s="1065"/>
    </row>
    <row r="243" spans="2:7" x14ac:dyDescent="0.25">
      <c r="D243" s="1065"/>
      <c r="E243" s="1099" t="str">
        <f>"from "&amp;FOR&amp;FOR!O50</f>
        <v>from FOR48.1</v>
      </c>
    </row>
    <row r="244" spans="2:7" x14ac:dyDescent="0.25">
      <c r="B244" s="8" t="s">
        <v>3890</v>
      </c>
      <c r="D244" s="2153" t="str">
        <f>A61</f>
        <v>c4.47.7</v>
      </c>
      <c r="E244" s="2150">
        <f>TRUNC(FOR!P51+0.99,0)</f>
        <v>0</v>
      </c>
      <c r="F244" s="1093" t="s">
        <v>7402</v>
      </c>
      <c r="G244" s="1065"/>
    </row>
    <row r="246" spans="2:7" x14ac:dyDescent="0.25">
      <c r="D246" s="1065"/>
      <c r="E246" s="1099" t="str">
        <f>"from "&amp;FOR&amp;FOR!V13</f>
        <v>from FOR54.1</v>
      </c>
    </row>
    <row r="247" spans="2:7" x14ac:dyDescent="0.25">
      <c r="B247" s="8" t="s">
        <v>3890</v>
      </c>
      <c r="D247" s="2153" t="str">
        <f>A62</f>
        <v>c4.47.8</v>
      </c>
      <c r="E247" s="2150">
        <f>TRUNC(FOR!W14+0.99,0)</f>
        <v>0</v>
      </c>
      <c r="F247" s="1093" t="s">
        <v>7402</v>
      </c>
      <c r="G247" s="1065"/>
    </row>
    <row r="249" spans="2:7" x14ac:dyDescent="0.25">
      <c r="D249" s="1065"/>
      <c r="E249" s="1099" t="str">
        <f>"from "&amp;FOR&amp;FOR!V16</f>
        <v>from FOR55.1</v>
      </c>
    </row>
    <row r="250" spans="2:7" x14ac:dyDescent="0.25">
      <c r="B250" s="8" t="s">
        <v>3890</v>
      </c>
      <c r="D250" s="2153" t="str">
        <f>A63</f>
        <v>c4.47.9</v>
      </c>
      <c r="E250" s="2150">
        <f>TRUNC(FOR!W17+0.99,0)</f>
        <v>0</v>
      </c>
      <c r="F250" s="1093" t="s">
        <v>7402</v>
      </c>
      <c r="G250" s="1065"/>
    </row>
    <row r="252" spans="2:7" x14ac:dyDescent="0.25">
      <c r="D252" s="1065"/>
      <c r="E252" s="1099" t="str">
        <f>"from "&amp;FOR&amp;FOR!V19</f>
        <v>from FOR56.1</v>
      </c>
    </row>
    <row r="253" spans="2:7" x14ac:dyDescent="0.25">
      <c r="B253" s="8" t="s">
        <v>3890</v>
      </c>
      <c r="D253" s="2153" t="str">
        <f>A64</f>
        <v>c4.47.10</v>
      </c>
      <c r="E253" s="2150">
        <f>TRUNC(FOR!W20+0.99,0)</f>
        <v>0</v>
      </c>
      <c r="F253" s="1093" t="s">
        <v>7402</v>
      </c>
      <c r="G253" s="1065"/>
    </row>
    <row r="255" spans="2:7" x14ac:dyDescent="0.25">
      <c r="D255" s="1065"/>
      <c r="E255" s="1099" t="str">
        <f>"from "&amp;FOR&amp;FOR!V22</f>
        <v>from FOR57.1</v>
      </c>
    </row>
    <row r="256" spans="2:7" x14ac:dyDescent="0.25">
      <c r="B256" s="8" t="s">
        <v>3890</v>
      </c>
      <c r="D256" s="2153" t="str">
        <f>A65</f>
        <v>c4.47.11</v>
      </c>
      <c r="E256" s="2150">
        <f>TRUNC(FOR!W23+0.99,0)</f>
        <v>0</v>
      </c>
      <c r="F256" s="1093" t="s">
        <v>7402</v>
      </c>
      <c r="G256" s="1065"/>
    </row>
    <row r="257" spans="2:7" x14ac:dyDescent="0.25">
      <c r="D257" s="140"/>
      <c r="E257" s="30"/>
      <c r="F257" s="225"/>
    </row>
    <row r="258" spans="2:7" x14ac:dyDescent="0.25">
      <c r="D258" s="1065"/>
      <c r="E258" s="1099" t="str">
        <f>"from "&amp;FOR&amp;FOR!V25</f>
        <v>from FOR58.1</v>
      </c>
    </row>
    <row r="259" spans="2:7" x14ac:dyDescent="0.25">
      <c r="B259" s="8" t="s">
        <v>3890</v>
      </c>
      <c r="D259" s="2153" t="str">
        <f>A66</f>
        <v>c4.47.12</v>
      </c>
      <c r="E259" s="2150">
        <f>TRUNC(FOR!W26+0.99,0)</f>
        <v>0</v>
      </c>
      <c r="F259" s="1093" t="s">
        <v>7402</v>
      </c>
      <c r="G259" s="1065"/>
    </row>
    <row r="260" spans="2:7" x14ac:dyDescent="0.25">
      <c r="D260" s="140"/>
      <c r="E260" s="30"/>
      <c r="F260" s="225"/>
    </row>
    <row r="261" spans="2:7" x14ac:dyDescent="0.25">
      <c r="D261" s="1065"/>
      <c r="E261" s="1099" t="str">
        <f>"from "&amp;FOR&amp;FOR!V28</f>
        <v>from FOR59.1</v>
      </c>
    </row>
    <row r="262" spans="2:7" x14ac:dyDescent="0.25">
      <c r="B262" s="8" t="s">
        <v>3890</v>
      </c>
      <c r="D262" s="2153" t="str">
        <f>A67</f>
        <v>c4.47.13</v>
      </c>
      <c r="E262" s="2150">
        <f>TRUNC(FOR!W29+0.99,0)</f>
        <v>0</v>
      </c>
      <c r="F262" s="1093" t="s">
        <v>7402</v>
      </c>
      <c r="G262" s="1065"/>
    </row>
    <row r="263" spans="2:7" x14ac:dyDescent="0.25">
      <c r="D263" s="140"/>
      <c r="E263" s="30"/>
      <c r="F263" s="225"/>
    </row>
    <row r="264" spans="2:7" x14ac:dyDescent="0.25">
      <c r="D264" s="1065"/>
      <c r="E264" s="1099" t="str">
        <f>"from "&amp;FOR&amp;FOR!V31</f>
        <v>from FOR60.1</v>
      </c>
    </row>
    <row r="265" spans="2:7" x14ac:dyDescent="0.25">
      <c r="B265" s="8" t="s">
        <v>3890</v>
      </c>
      <c r="D265" s="2153" t="str">
        <f>A68</f>
        <v>c4.47.14</v>
      </c>
      <c r="E265" s="2150">
        <f>TRUNC(FOR!W32+0.99,0)</f>
        <v>0</v>
      </c>
      <c r="F265" s="1093" t="s">
        <v>7402</v>
      </c>
      <c r="G265" s="1065"/>
    </row>
    <row r="267" spans="2:7" x14ac:dyDescent="0.25">
      <c r="D267" s="1065"/>
      <c r="E267" s="1099" t="str">
        <f>"from "&amp;FOR&amp;FOR!V34</f>
        <v>from FOR61.1</v>
      </c>
    </row>
    <row r="268" spans="2:7" x14ac:dyDescent="0.25">
      <c r="B268" s="8" t="s">
        <v>3890</v>
      </c>
      <c r="D268" s="2153" t="str">
        <f>A69</f>
        <v>c4.47.15</v>
      </c>
      <c r="E268" s="2150">
        <f>TRUNC(FOR!W35+0.99,0)</f>
        <v>0</v>
      </c>
      <c r="F268" s="1093" t="s">
        <v>7402</v>
      </c>
      <c r="G268" s="1065"/>
    </row>
    <row r="270" spans="2:7" x14ac:dyDescent="0.25">
      <c r="D270" s="1065"/>
      <c r="E270" s="1099" t="str">
        <f>"from "&amp;FOR&amp;FOR!V37</f>
        <v>from FOR62.1</v>
      </c>
    </row>
    <row r="271" spans="2:7" x14ac:dyDescent="0.25">
      <c r="B271" s="8" t="s">
        <v>3890</v>
      </c>
      <c r="D271" s="2153" t="str">
        <f>A70</f>
        <v>c4.47.16</v>
      </c>
      <c r="E271" s="2150">
        <f>TRUNC(FOR!W38+0.99,0)</f>
        <v>0</v>
      </c>
      <c r="F271" s="1093" t="s">
        <v>7402</v>
      </c>
      <c r="G271" s="1065"/>
    </row>
    <row r="272" spans="2:7" x14ac:dyDescent="0.25">
      <c r="D272" s="140"/>
      <c r="E272" s="30"/>
      <c r="F272" s="225"/>
    </row>
    <row r="273" spans="2:9" x14ac:dyDescent="0.25">
      <c r="D273" s="1065"/>
      <c r="E273" s="1099" t="str">
        <f>"from "&amp;FOR&amp;FOR!V40</f>
        <v>from FOR63.1</v>
      </c>
    </row>
    <row r="274" spans="2:9" x14ac:dyDescent="0.25">
      <c r="B274" s="8" t="s">
        <v>3890</v>
      </c>
      <c r="D274" s="2153" t="str">
        <f>A71</f>
        <v>c4.47.17</v>
      </c>
      <c r="E274" s="2150">
        <f>TRUNC(FOR!W41+0.99,0)</f>
        <v>0</v>
      </c>
      <c r="F274" s="1093" t="s">
        <v>7402</v>
      </c>
      <c r="G274" s="1065"/>
    </row>
    <row r="275" spans="2:9" x14ac:dyDescent="0.25">
      <c r="D275" s="140"/>
      <c r="E275" s="30"/>
      <c r="F275" s="225"/>
    </row>
    <row r="276" spans="2:9" x14ac:dyDescent="0.25">
      <c r="D276" s="1065"/>
      <c r="E276" s="1099" t="str">
        <f>"from "&amp;FOR&amp;FOR!V43</f>
        <v>from FOR64.1</v>
      </c>
    </row>
    <row r="277" spans="2:9" x14ac:dyDescent="0.25">
      <c r="B277" s="8" t="s">
        <v>3890</v>
      </c>
      <c r="D277" s="2153" t="str">
        <f>A72</f>
        <v>c4.47.18</v>
      </c>
      <c r="E277" s="2150">
        <f>TRUNC(FOR!W44+0.99,0)</f>
        <v>0</v>
      </c>
      <c r="F277" s="1093" t="s">
        <v>7402</v>
      </c>
      <c r="G277" s="1065"/>
    </row>
    <row r="278" spans="2:9" x14ac:dyDescent="0.25">
      <c r="F278" s="225"/>
    </row>
    <row r="279" spans="2:9" x14ac:dyDescent="0.25">
      <c r="C279" s="1065"/>
      <c r="D279" s="1065"/>
      <c r="E279" s="1065"/>
      <c r="F279" s="1093"/>
      <c r="G279" s="1065"/>
      <c r="H279" s="1102"/>
      <c r="I279" s="1103" t="str">
        <f>D223&amp;" + "&amp;D226&amp;" + "&amp;D229&amp;" + "&amp;D232&amp;" + "&amp;D238&amp;" + "&amp;D241&amp;" + "&amp;D244&amp;" + "&amp;D247&amp;" + "&amp;D250&amp;" + "&amp;D253&amp;" +"</f>
        <v>c4.47.1 + c4.47.2 + c4.47.3 + c4.47.4 + c4.47.5 + c4.47.6 + c4.47.7 + c4.47.8 + c4.47.9 + c4.47.10 +</v>
      </c>
    </row>
    <row r="280" spans="2:9" x14ac:dyDescent="0.25">
      <c r="E280" s="1065"/>
      <c r="F280" s="1093"/>
      <c r="G280" s="1065"/>
      <c r="H280" s="1065"/>
      <c r="I280" s="1103" t="str">
        <f>D256&amp;" + "&amp;D259&amp;" + "&amp;D262&amp;" + "&amp;D265&amp;" + "&amp;D268&amp;" + "&amp;D271&amp;" + "&amp;D274&amp;" + "&amp;D277</f>
        <v>c4.47.11 + c4.47.12 + c4.47.13 + c4.47.14 + c4.47.15 + c4.47.16 + c4.47.17 + c4.47.18</v>
      </c>
    </row>
    <row r="281" spans="2:9" x14ac:dyDescent="0.25">
      <c r="B281" s="1122" t="s">
        <v>7403</v>
      </c>
      <c r="F281" s="225"/>
      <c r="H281" s="2153" t="str">
        <f>A73</f>
        <v>c4.47.19</v>
      </c>
      <c r="I281" s="2150">
        <f>IF(FIR_Claim,E223+E226+E229+E232+E238+E241+E244+E247+E250+E253+E256+E259+E262+E265+E268+E271+E274+E277,0)</f>
        <v>0</v>
      </c>
    </row>
    <row r="282" spans="2:9" x14ac:dyDescent="0.25">
      <c r="D282" s="140"/>
      <c r="E282" s="30"/>
      <c r="F282" s="225"/>
    </row>
    <row r="284" spans="2:9" x14ac:dyDescent="0.25">
      <c r="D284" s="1065"/>
      <c r="E284" s="1099" t="str">
        <f>"Total all instances ("&amp;FPS&amp;PS!J17&amp;")"</f>
        <v>Total all instances (FPS35.1)</v>
      </c>
    </row>
    <row r="285" spans="2:9" x14ac:dyDescent="0.25">
      <c r="B285" s="1121" t="s">
        <v>7404</v>
      </c>
      <c r="D285" s="2153" t="str">
        <f>A74</f>
        <v>c4.47.20</v>
      </c>
      <c r="E285" s="2150">
        <f>TRUNC(PS!K18+0.99,0)</f>
        <v>0</v>
      </c>
      <c r="F285" s="1093" t="s">
        <v>7090</v>
      </c>
      <c r="G285" s="1065"/>
    </row>
    <row r="287" spans="2:9" x14ac:dyDescent="0.25">
      <c r="D287" s="1065"/>
      <c r="E287" s="1099" t="str">
        <f>"from "&amp;FOR&amp;FOR!G21</f>
        <v>from FOR4.1</v>
      </c>
    </row>
    <row r="288" spans="2:9" x14ac:dyDescent="0.25">
      <c r="B288" s="8" t="s">
        <v>3890</v>
      </c>
      <c r="D288" s="2153" t="str">
        <f>A75</f>
        <v>c4.47.21</v>
      </c>
      <c r="E288" s="2150">
        <f>TRUNC(FOR!H22+0.99,0)</f>
        <v>0</v>
      </c>
      <c r="F288" s="1093" t="s">
        <v>7035</v>
      </c>
      <c r="G288" s="1065"/>
    </row>
    <row r="290" spans="2:9" x14ac:dyDescent="0.25">
      <c r="D290" s="1065"/>
      <c r="E290" s="1099" t="str">
        <f>"from "&amp;FOR&amp;FOR!O61</f>
        <v>from FOR51.1</v>
      </c>
    </row>
    <row r="291" spans="2:9" x14ac:dyDescent="0.25">
      <c r="B291" s="8" t="s">
        <v>3890</v>
      </c>
      <c r="D291" s="2153" t="str">
        <f>A76</f>
        <v>c4.47.22</v>
      </c>
      <c r="E291" s="2150">
        <f>TRUNC(FOR!P62+0.99,0)</f>
        <v>0</v>
      </c>
      <c r="F291" s="1093" t="s">
        <v>7402</v>
      </c>
      <c r="G291" s="1065"/>
    </row>
    <row r="293" spans="2:9" x14ac:dyDescent="0.25">
      <c r="H293" s="1065"/>
      <c r="I293" s="1103" t="str">
        <f>D285&amp;" + "&amp;D288&amp;" + "&amp;D291</f>
        <v>c4.47.20 + c4.47.21 + c4.47.22</v>
      </c>
    </row>
    <row r="294" spans="2:9" x14ac:dyDescent="0.25">
      <c r="B294" s="1122" t="s">
        <v>7405</v>
      </c>
      <c r="H294" s="2153" t="str">
        <f>A77</f>
        <v>c4.47.23</v>
      </c>
      <c r="I294" s="2150">
        <f>IF(FIR_Claim,E285+E288+E291,0)</f>
        <v>0</v>
      </c>
    </row>
    <row r="297" spans="2:9" x14ac:dyDescent="0.25">
      <c r="D297" s="1065"/>
      <c r="E297" s="1099" t="str">
        <f>"Total all instances ("&amp;FPS&amp;PS!J42&amp;")"</f>
        <v>Total all instances (FPS70.1)</v>
      </c>
    </row>
    <row r="298" spans="2:9" x14ac:dyDescent="0.25">
      <c r="B298" s="1121" t="s">
        <v>7406</v>
      </c>
      <c r="D298" s="2153" t="str">
        <f>A78</f>
        <v>c4.47.24</v>
      </c>
      <c r="E298" s="2150">
        <f>TRUNC(PS!K43+0.99,0)</f>
        <v>0</v>
      </c>
      <c r="F298" s="1093" t="s">
        <v>7090</v>
      </c>
      <c r="G298" s="1065"/>
    </row>
    <row r="300" spans="2:9" x14ac:dyDescent="0.25">
      <c r="D300" s="1065"/>
      <c r="E300" s="1099" t="str">
        <f>"from "&amp;FOR&amp;FOR!G27</f>
        <v>from FOR6.1</v>
      </c>
    </row>
    <row r="301" spans="2:9" x14ac:dyDescent="0.25">
      <c r="B301" s="8" t="s">
        <v>3890</v>
      </c>
      <c r="D301" s="2153" t="str">
        <f>A79</f>
        <v>c4.47.25</v>
      </c>
      <c r="E301" s="2150">
        <f>TRUNC(FOR!H28+0.99,0)</f>
        <v>0</v>
      </c>
      <c r="F301" s="1093" t="s">
        <v>7402</v>
      </c>
      <c r="G301" s="1065"/>
    </row>
    <row r="303" spans="2:9" x14ac:dyDescent="0.25">
      <c r="D303" s="1065"/>
      <c r="E303" s="1099" t="str">
        <f>"from "&amp;FOR&amp;FOR!G49</f>
        <v>from FOR11.1</v>
      </c>
    </row>
    <row r="304" spans="2:9" x14ac:dyDescent="0.25">
      <c r="B304" s="8" t="s">
        <v>3890</v>
      </c>
      <c r="D304" s="2153" t="str">
        <f>A80</f>
        <v>c4.47.25a</v>
      </c>
      <c r="E304" s="2150">
        <f>TRUNC(FOR!H50+0.99,0)</f>
        <v>0</v>
      </c>
      <c r="F304" s="1093" t="s">
        <v>7035</v>
      </c>
      <c r="G304" s="1065"/>
    </row>
    <row r="306" spans="2:19" x14ac:dyDescent="0.25">
      <c r="D306" s="1065"/>
      <c r="E306" s="1099" t="str">
        <f>"from "&amp;FOR&amp;FOR!V10</f>
        <v>from FOR53.1</v>
      </c>
    </row>
    <row r="307" spans="2:19" x14ac:dyDescent="0.25">
      <c r="B307" s="8" t="s">
        <v>3890</v>
      </c>
      <c r="D307" s="2153" t="str">
        <f>A81</f>
        <v>c4.47.26</v>
      </c>
      <c r="E307" s="2150">
        <f>TRUNC(FOR!W11+0.99,0)</f>
        <v>0</v>
      </c>
      <c r="F307" s="1093" t="s">
        <v>7402</v>
      </c>
      <c r="G307" s="1065"/>
    </row>
    <row r="309" spans="2:19" x14ac:dyDescent="0.25">
      <c r="H309" s="1065"/>
      <c r="I309" s="1103" t="str">
        <f>D298&amp;" + "&amp;D301&amp;" + "&amp;D304&amp;" + "&amp;D307</f>
        <v>c4.47.24 + c4.47.25 + c4.47.25a + c4.47.26</v>
      </c>
    </row>
    <row r="310" spans="2:19" x14ac:dyDescent="0.25">
      <c r="B310" s="1122" t="s">
        <v>7407</v>
      </c>
      <c r="H310" s="2153" t="str">
        <f>A82</f>
        <v>c4.47.27</v>
      </c>
      <c r="I310" s="2150">
        <f>IF(FIR_Claim,E298+E301+E304+E307,0)</f>
        <v>0</v>
      </c>
    </row>
    <row r="311" spans="2:19" x14ac:dyDescent="0.25">
      <c r="B311" s="2151"/>
      <c r="C311" s="2151"/>
      <c r="D311" s="2151"/>
      <c r="E311" s="2151"/>
      <c r="F311" s="2151"/>
      <c r="G311" s="2151"/>
      <c r="H311" s="2151"/>
      <c r="I311" s="2151"/>
      <c r="J311" s="2151"/>
      <c r="K311" s="2151"/>
      <c r="L311" s="2151"/>
      <c r="M311" s="2151"/>
      <c r="N311" s="2151"/>
      <c r="O311" s="2151"/>
      <c r="P311" s="2151"/>
      <c r="Q311" s="2151"/>
      <c r="R311" s="2151"/>
      <c r="S311" s="2151"/>
    </row>
    <row r="313" spans="2:19" x14ac:dyDescent="0.25">
      <c r="B313" s="1104" t="s">
        <v>7408</v>
      </c>
    </row>
    <row r="314" spans="2:19" x14ac:dyDescent="0.25">
      <c r="E314" s="1067" t="str">
        <f>'NS income (c1)'!I31&amp;" + "&amp;'NS income (c1)'!I35</f>
        <v>c1.9 + c1.10</v>
      </c>
    </row>
    <row r="315" spans="2:19" x14ac:dyDescent="0.25">
      <c r="B315" s="1121" t="s">
        <v>7409</v>
      </c>
      <c r="D315" s="2170" t="str">
        <f>A83</f>
        <v>c4.47.28</v>
      </c>
      <c r="E315" s="2149">
        <f>'NS income (c1)'!J31+'NS income (c1)'!J35</f>
        <v>0</v>
      </c>
    </row>
    <row r="317" spans="2:19" x14ac:dyDescent="0.25">
      <c r="E317" s="1099" t="str">
        <f>"from "&amp;NRD&amp;NRD!H15</f>
        <v>from NRD49</v>
      </c>
    </row>
    <row r="318" spans="2:19" x14ac:dyDescent="0.25">
      <c r="B318" s="1121" t="s">
        <v>7410</v>
      </c>
      <c r="D318" s="2170" t="str">
        <f>A84</f>
        <v>c4.47.29</v>
      </c>
      <c r="E318" s="2149">
        <f>TRUNC(NRD!I16+0.99,0)</f>
        <v>0</v>
      </c>
      <c r="F318" s="1093" t="s">
        <v>7402</v>
      </c>
    </row>
    <row r="320" spans="2:19" x14ac:dyDescent="0.25">
      <c r="H320" s="1065"/>
      <c r="I320" s="1067" t="str">
        <f>"lower of "&amp;D315&amp;" and "&amp;D318</f>
        <v>lower of c4.47.28 and c4.47.29</v>
      </c>
    </row>
    <row r="321" spans="2:19" x14ac:dyDescent="0.25">
      <c r="B321" s="1122" t="s">
        <v>7411</v>
      </c>
      <c r="H321" s="2170" t="str">
        <f>A85</f>
        <v>c4.47.30</v>
      </c>
      <c r="I321" s="2149">
        <f>MIN(E315,E318)</f>
        <v>0</v>
      </c>
    </row>
    <row r="324" spans="2:19" x14ac:dyDescent="0.25">
      <c r="B324" s="2151"/>
      <c r="C324" s="2151"/>
      <c r="D324" s="2151"/>
      <c r="E324" s="2151"/>
      <c r="F324" s="2151"/>
      <c r="G324" s="2151"/>
      <c r="H324" s="2151"/>
      <c r="I324" s="2151"/>
      <c r="J324" s="2151"/>
      <c r="K324" s="2151"/>
      <c r="L324" s="2151"/>
      <c r="M324" s="2151"/>
      <c r="N324" s="2151"/>
      <c r="O324" s="2151"/>
      <c r="P324" s="2151"/>
      <c r="Q324" s="2151"/>
      <c r="R324" s="2151"/>
      <c r="S324" s="2151"/>
    </row>
    <row r="326" spans="2:19" x14ac:dyDescent="0.25">
      <c r="B326" s="139" t="s">
        <v>7412</v>
      </c>
      <c r="G326" s="230" t="str">
        <f>REL&amp;'REL(1)'!C9&amp;" + "&amp;REL&amp;'REL(1)'!H6&amp;" + "&amp;REL&amp;'REL(1)'!H9</f>
        <v>REL2 + REL3 + REL4</v>
      </c>
      <c r="H326" s="2162" t="str">
        <f>A86</f>
        <v>c4.48</v>
      </c>
      <c r="I326" s="2166">
        <f>TRUNC('REL(1)'!D10+0.99,0)+TRUNC('REL(1)'!I7+0.99,0)+TRUNC('REL(1)'!I10+0.99,0)</f>
        <v>0</v>
      </c>
      <c r="J326" s="197" t="s">
        <v>7035</v>
      </c>
    </row>
    <row r="328" spans="2:19" x14ac:dyDescent="0.25">
      <c r="H328" s="35"/>
      <c r="I328" s="230" t="str">
        <f>REL&amp;'REL(1)'!H19&amp;" + "&amp;REL&amp;'REL(1)'!H22</f>
        <v>REL9 + REL10</v>
      </c>
    </row>
    <row r="329" spans="2:19" x14ac:dyDescent="0.25">
      <c r="B329" s="139" t="s">
        <v>7413</v>
      </c>
      <c r="H329" s="2162" t="str">
        <f>A87</f>
        <v>c4.49</v>
      </c>
      <c r="I329" s="2161">
        <f>TRUNC('REL(1)'!I20+'REL(1)'!I23+0.99,0)</f>
        <v>0</v>
      </c>
      <c r="J329" s="221" t="s">
        <v>7035</v>
      </c>
    </row>
    <row r="330" spans="2:19" x14ac:dyDescent="0.25">
      <c r="I330" s="9" t="s">
        <v>7414</v>
      </c>
    </row>
    <row r="331" spans="2:19" x14ac:dyDescent="0.25">
      <c r="J331" s="9"/>
    </row>
    <row r="332" spans="2:19" x14ac:dyDescent="0.25">
      <c r="E332" s="230" t="str">
        <f>"from "&amp;AOR&amp;AOR!C14</f>
        <v>from AOR4</v>
      </c>
      <c r="I332" s="9" t="str">
        <f>D333&amp;" × NS_gross ("&amp;NS_gross_F&amp;")"</f>
        <v>c4.50 × NS_gross (100/80)</v>
      </c>
    </row>
    <row r="333" spans="2:19" x14ac:dyDescent="0.25">
      <c r="B333" s="146" t="s">
        <v>7415</v>
      </c>
      <c r="D333" s="2162" t="str">
        <f>A88</f>
        <v>c4.50</v>
      </c>
      <c r="E333" s="2161">
        <f>TRUNC(AOR!D15+0.99,0)</f>
        <v>0</v>
      </c>
      <c r="F333" s="221" t="s">
        <v>7035</v>
      </c>
      <c r="H333" s="2162" t="str">
        <f>A89</f>
        <v>c4.51</v>
      </c>
      <c r="I333" s="2161">
        <f>TRUNC((E333*NS_gross)+0.99,0)</f>
        <v>0</v>
      </c>
      <c r="J333" s="221" t="s">
        <v>7035</v>
      </c>
    </row>
    <row r="335" spans="2:19" x14ac:dyDescent="0.25">
      <c r="B335" s="146"/>
      <c r="E335" s="230" t="str">
        <f>"from "&amp;TRU&amp;TRU!K35</f>
        <v>from TRU24</v>
      </c>
    </row>
    <row r="336" spans="2:19" x14ac:dyDescent="0.25">
      <c r="B336" s="146" t="s">
        <v>7416</v>
      </c>
      <c r="D336" s="2162" t="str">
        <f>A90</f>
        <v>c4.52</v>
      </c>
      <c r="E336" s="2161">
        <f>TRUNC(TRU!L36+0.99,0)</f>
        <v>0</v>
      </c>
      <c r="F336" s="221" t="s">
        <v>7035</v>
      </c>
    </row>
    <row r="338" spans="2:10" x14ac:dyDescent="0.25">
      <c r="E338" s="9" t="str">
        <f>'NS income (c1)'!I164&amp;" + "&amp;'Savings (c2)'!H54&amp;" + "&amp;'Divs (c3)'!G44&amp;" + "&amp;'Divs (c3)'!G75&amp;" + "&amp;'Divs (c3)'!G80</f>
        <v>c1.51 + c2.13 + c3.9 + c3.19 + c3.20</v>
      </c>
      <c r="I338" s="9" t="str">
        <f>"lower of "&amp;D336&amp;" and "&amp;D339</f>
        <v>lower of c4.52 and c4.53</v>
      </c>
    </row>
    <row r="339" spans="2:10" x14ac:dyDescent="0.25">
      <c r="B339" s="146" t="s">
        <v>7417</v>
      </c>
      <c r="D339" s="2162" t="str">
        <f>A91</f>
        <v>c4.53</v>
      </c>
      <c r="E339" s="2161">
        <f>'NS income (c1)'!J164+'Savings (c2)'!I54+'Divs (c3)'!H44+'Divs (c3)'!H75+'Divs (c3)'!H80</f>
        <v>0</v>
      </c>
      <c r="H339" s="2162" t="str">
        <f>A92</f>
        <v>c4.54</v>
      </c>
      <c r="I339" s="2161">
        <f>TRUNC(MIN(E336,E339)+0.99,0)</f>
        <v>0</v>
      </c>
      <c r="J339" s="221" t="s">
        <v>7035</v>
      </c>
    </row>
    <row r="342" spans="2:10" x14ac:dyDescent="0.25">
      <c r="H342" s="139"/>
      <c r="I342" s="9" t="str">
        <f>"("&amp;D195&amp;" + "&amp;D198&amp;") minus ("&amp;Q45&amp;" + "&amp;Q106&amp;")"</f>
        <v>(c4.40.1 + c4.40.2) minus (c4.7.1 + c4.19.1)</v>
      </c>
    </row>
    <row r="343" spans="2:10" x14ac:dyDescent="0.25">
      <c r="H343" s="2162" t="str">
        <f>A93</f>
        <v>c4.54.1</v>
      </c>
      <c r="I343" s="2161">
        <f>MAX(0,((E195+E198)-(R45+R106)))</f>
        <v>0</v>
      </c>
    </row>
    <row r="344" spans="2:10" x14ac:dyDescent="0.25">
      <c r="H344" s="139"/>
      <c r="I344" s="9" t="str">
        <f>"copy to "&amp;'Class 4 NIC (c16)'!A6&amp;" and "&amp;'S loans(c27)'!A29</f>
        <v>copy to c16.5.1 and c27.16a</v>
      </c>
    </row>
    <row r="345" spans="2:10" x14ac:dyDescent="0.25">
      <c r="H345" s="139"/>
      <c r="I345" s="219"/>
    </row>
    <row r="346" spans="2:10" x14ac:dyDescent="0.25">
      <c r="B346" s="146" t="s">
        <v>7418</v>
      </c>
      <c r="H346" s="139"/>
      <c r="I346" s="9" t="str">
        <f>"("&amp;'Divs (c3)'!G101&amp;" + "&amp;H343&amp;") minus ("&amp;D216&amp;" + "&amp;H326&amp;" + "&amp;H329&amp;" + "&amp;H333&amp;" + "&amp;H339&amp;")"</f>
        <v>(c3.23 + c4.54.1) minus (c4.47 + c4.48 + c4.49 + c4.51 + c4.54)</v>
      </c>
    </row>
    <row r="347" spans="2:10" x14ac:dyDescent="0.25">
      <c r="H347" s="2162" t="str">
        <f>A94</f>
        <v>c4.54.2</v>
      </c>
      <c r="I347" s="2161">
        <f>MAX(0,('Divs (c3)'!H101+I343)-(E216+I326+I329+I333+I339))</f>
        <v>0</v>
      </c>
    </row>
    <row r="348" spans="2:10" x14ac:dyDescent="0.25">
      <c r="H348" s="139"/>
      <c r="I348" s="219"/>
    </row>
    <row r="349" spans="2:10" x14ac:dyDescent="0.25">
      <c r="H349" s="139"/>
      <c r="I349" s="9" t="str">
        <f>"lower of "&amp;H343&amp;" and "&amp;H347</f>
        <v>lower of c4.54.1 and c4.54.2</v>
      </c>
    </row>
    <row r="350" spans="2:10" x14ac:dyDescent="0.25">
      <c r="H350" s="2162" t="str">
        <f>A95</f>
        <v>c4.54.3</v>
      </c>
      <c r="I350" s="2161">
        <f>MIN(I343,I347)</f>
        <v>0</v>
      </c>
    </row>
    <row r="353" spans="2:19" x14ac:dyDescent="0.25">
      <c r="B353" s="87" t="s">
        <v>7419</v>
      </c>
      <c r="H353" s="139"/>
      <c r="I353" s="9" t="str">
        <f>H347&amp;" minus "&amp;H350</f>
        <v>c4.54.2 minus c4.54.3</v>
      </c>
    </row>
    <row r="354" spans="2:19" x14ac:dyDescent="0.25">
      <c r="B354" s="87" t="s">
        <v>7420</v>
      </c>
      <c r="H354" s="2162" t="str">
        <f>A96</f>
        <v>c4.55</v>
      </c>
      <c r="I354" s="2166">
        <f>MAX(0,I347-I350+ IF(calc_TSR_alt_c17_6, 'TSR (c17)'!M101 - 'TSR (c17)'!F101, 0)+IF(calc_TP_alt_c8_26,I350,0))</f>
        <v>0</v>
      </c>
    </row>
    <row r="355" spans="2:19" x14ac:dyDescent="0.25">
      <c r="I355" s="9" t="str">
        <f>"copy to "&amp;'LLIR (c24)'!A14</f>
        <v>copy to c24.11</v>
      </c>
    </row>
    <row r="356" spans="2:19" x14ac:dyDescent="0.25">
      <c r="B356" s="2151"/>
      <c r="C356" s="2151"/>
      <c r="D356" s="2151"/>
      <c r="E356" s="2151"/>
      <c r="F356" s="2151"/>
      <c r="G356" s="2151"/>
      <c r="H356" s="2151"/>
      <c r="I356" s="2151"/>
      <c r="J356" s="2151"/>
      <c r="K356" s="2151"/>
      <c r="L356" s="2151"/>
      <c r="M356" s="2151"/>
      <c r="N356" s="2151"/>
      <c r="O356" s="2151"/>
      <c r="P356" s="2151"/>
      <c r="Q356" s="2151"/>
      <c r="R356" s="2151"/>
      <c r="S356" s="2151"/>
    </row>
    <row r="358" spans="2:19" x14ac:dyDescent="0.25">
      <c r="B358" s="12" t="s">
        <v>7421</v>
      </c>
    </row>
    <row r="359" spans="2:19" x14ac:dyDescent="0.25">
      <c r="B359" s="139" t="s">
        <v>7422</v>
      </c>
      <c r="C359" s="34"/>
      <c r="D359" s="139"/>
      <c r="E359" s="230" t="str">
        <f>"("&amp;REL&amp;'REL(1)'!C16&amp;" minus "&amp;REL&amp;'REL(1)'!C22&amp;") + "&amp;REL&amp;'REL(1)'!H16</f>
        <v>(REL5 minus REL7) + REL8</v>
      </c>
      <c r="F359" s="35"/>
      <c r="G359" s="35"/>
      <c r="H359" s="35"/>
      <c r="I359" s="36" t="str">
        <f>D360&amp;" × gift_aid ("&amp;gift_aid_F&amp;")"</f>
        <v>c4.56 × gift_aid (100/80)</v>
      </c>
      <c r="J359" s="35"/>
    </row>
    <row r="360" spans="2:19" x14ac:dyDescent="0.25">
      <c r="D360" s="2162" t="str">
        <f>A97</f>
        <v>c4.56</v>
      </c>
      <c r="E360" s="2161">
        <f>TRUNC((MAX(0,'REL(1)'!D17-'REL(1)'!D23)+'REL(1)'!I17)+0.99,0)</f>
        <v>0</v>
      </c>
      <c r="F360" s="221" t="s">
        <v>7035</v>
      </c>
      <c r="H360" s="2162" t="str">
        <f>A98</f>
        <v>c4.57</v>
      </c>
      <c r="I360" s="2149">
        <f>TRUNC((E360*gift_aid)+0.99,0)</f>
        <v>0</v>
      </c>
      <c r="J360" s="221" t="s">
        <v>7035</v>
      </c>
    </row>
    <row r="361" spans="2:19" x14ac:dyDescent="0.25">
      <c r="E361" s="215"/>
      <c r="I361" s="9" t="str">
        <f>"copy to "&amp;'Tax adj (c9)'!C139</f>
        <v>copy to c9.33</v>
      </c>
    </row>
    <row r="363" spans="2:19" x14ac:dyDescent="0.25">
      <c r="E363" s="215"/>
      <c r="H363" s="139"/>
      <c r="I363" s="1037" t="str">
        <f>"from "&amp;REL&amp;'REL(1)'!C6</f>
        <v>from REL1</v>
      </c>
    </row>
    <row r="364" spans="2:19" x14ac:dyDescent="0.25">
      <c r="B364" s="1038" t="s">
        <v>7423</v>
      </c>
      <c r="E364" s="215"/>
      <c r="H364" s="2171" t="str">
        <f>A99</f>
        <v>c4.57.1</v>
      </c>
      <c r="I364" s="2161">
        <f>TRUNC('REL(1)'!D7+0.99,0)</f>
        <v>0</v>
      </c>
      <c r="J364" s="1039" t="s">
        <v>7035</v>
      </c>
    </row>
    <row r="365" spans="2:19" x14ac:dyDescent="0.25">
      <c r="E365" s="215"/>
    </row>
    <row r="366" spans="2:19" x14ac:dyDescent="0.25">
      <c r="E366" s="1040"/>
      <c r="F366" s="406"/>
      <c r="G366" s="406"/>
      <c r="H366" s="1038"/>
      <c r="I366" s="563" t="str">
        <f>'NS income (c1)'!I31&amp;" + "&amp;'NS income (c1)'!I35&amp;" + "&amp;'NS income (c1)'!I55&amp;" + "&amp;'NS income (c1)'!I64&amp;" + "&amp;'NS income (c1)'!I82&amp;" + "&amp;'NS income (c1)'!E171&amp;" + "&amp;'NS income (c1)'!I188&amp;" + "&amp;'Deductions (c4)'!D195&amp;" + "&amp;'Deductions (c4)'!D198</f>
        <v>c1.9 + c1.10 + c1.17 + c1.20 + c1.27 + c1.53 + c1.58 + c4.40.1 + c4.40.2</v>
      </c>
    </row>
    <row r="367" spans="2:19" x14ac:dyDescent="0.25">
      <c r="B367" s="1038" t="s">
        <v>7424</v>
      </c>
      <c r="E367" s="215"/>
      <c r="H367" s="2171" t="str">
        <f>A100</f>
        <v>c4.57.2</v>
      </c>
      <c r="I367" s="2161">
        <f>'NS income (c1)'!J31+'NS income (c1)'!J35+'NS income (c1)'!J55+'NS income (c1)'!J64+'NS income (c1)'!J82+'NS income (c1)'!F171+'NS income (c1)'!J188+'Deductions (c4)'!E195+'Deductions (c4)'!E198</f>
        <v>0</v>
      </c>
    </row>
    <row r="368" spans="2:19" x14ac:dyDescent="0.25">
      <c r="B368" s="139"/>
      <c r="E368" s="215"/>
      <c r="H368" s="139"/>
      <c r="I368" s="219"/>
    </row>
    <row r="369" spans="2:10" x14ac:dyDescent="0.25">
      <c r="B369" s="139"/>
      <c r="E369" s="215"/>
      <c r="G369" s="1065"/>
      <c r="H369" s="1065"/>
      <c r="I369" s="1119" t="str">
        <f>H367&amp;" minus ("&amp;D223&amp;" + "&amp;D226&amp;" + "&amp;H321&amp;")"</f>
        <v>c4.57.2 minus (c4.47.1 + c4.47.2 + c4.47.30)</v>
      </c>
    </row>
    <row r="370" spans="2:10" x14ac:dyDescent="0.25">
      <c r="B370" s="139"/>
      <c r="E370" s="215"/>
      <c r="H370" s="2153" t="str">
        <f>A101</f>
        <v>c4.57.3</v>
      </c>
      <c r="I370" s="2150">
        <f>MAX(0,I367-(E223+E226+I321))</f>
        <v>0</v>
      </c>
    </row>
    <row r="371" spans="2:10" x14ac:dyDescent="0.25">
      <c r="B371" s="139"/>
      <c r="E371" s="215"/>
      <c r="H371" s="1107"/>
      <c r="I371" s="1119" t="str">
        <f>"If "&amp;NRD!P10&amp;" = Y"</f>
        <v>If box_NRD28 = Y</v>
      </c>
    </row>
    <row r="372" spans="2:10" x14ac:dyDescent="0.25">
      <c r="B372" s="139"/>
      <c r="E372" s="215"/>
      <c r="F372" s="1065"/>
      <c r="G372" s="1065"/>
      <c r="H372" s="1107"/>
      <c r="I372" s="1119" t="str">
        <f>H376&amp;" = higher of min_relevant_earns (£3,600) and "&amp;H370</f>
        <v>c4.57.4 = higher of min_relevant_earns (£3,600) and c4.57.3</v>
      </c>
    </row>
    <row r="373" spans="2:10" x14ac:dyDescent="0.25">
      <c r="B373" s="139"/>
      <c r="E373" s="215"/>
      <c r="H373" s="1065"/>
      <c r="I373" s="1118" t="s">
        <v>7143</v>
      </c>
    </row>
    <row r="374" spans="2:10" x14ac:dyDescent="0.25">
      <c r="E374" s="215"/>
      <c r="F374" s="1065"/>
      <c r="G374" s="1065"/>
      <c r="H374" s="1107"/>
      <c r="I374" s="1067" t="str">
        <f>H376&amp;" = higher of min_relevant_earns (£3,600) and "&amp;H367</f>
        <v>c4.57.4 = higher of min_relevant_earns (£3,600) and c4.57.2</v>
      </c>
    </row>
    <row r="375" spans="2:10" x14ac:dyDescent="0.25">
      <c r="I375" s="1065" t="s">
        <v>75</v>
      </c>
    </row>
    <row r="376" spans="2:10" x14ac:dyDescent="0.25">
      <c r="B376" s="1120" t="s">
        <v>7425</v>
      </c>
      <c r="H376" s="2170" t="str">
        <f>A102</f>
        <v>c4.57.4</v>
      </c>
      <c r="I376" s="2161">
        <f>IF(FIR_Claim,MAX(min_relevant_earns,I370),MAX(min_relevant_earns,I367))</f>
        <v>3600</v>
      </c>
    </row>
    <row r="378" spans="2:10" x14ac:dyDescent="0.25">
      <c r="H378" s="1041"/>
      <c r="I378" s="563" t="str">
        <f>"lower of "&amp;H364&amp;" and "&amp;H376</f>
        <v>lower of c4.57.1 and c4.57.4</v>
      </c>
    </row>
    <row r="379" spans="2:10" x14ac:dyDescent="0.25">
      <c r="B379" s="8" t="s">
        <v>7423</v>
      </c>
      <c r="C379" s="34"/>
      <c r="D379" s="35"/>
      <c r="H379" s="2162" t="str">
        <f>A108</f>
        <v>c4.58</v>
      </c>
      <c r="I379" s="2161">
        <f>MIN(I364,I376)</f>
        <v>0</v>
      </c>
      <c r="J379" s="1042" t="s">
        <v>7035</v>
      </c>
    </row>
    <row r="380" spans="2:10" x14ac:dyDescent="0.25">
      <c r="B380" s="139"/>
      <c r="C380" s="34"/>
      <c r="D380" s="35"/>
      <c r="H380" s="139"/>
      <c r="I380" s="9" t="str">
        <f>"copy to "&amp;'TSR (c17)'!A11</f>
        <v>copy to c17.11</v>
      </c>
      <c r="J380" s="221"/>
    </row>
    <row r="381" spans="2:10" x14ac:dyDescent="0.25">
      <c r="B381" s="139"/>
      <c r="C381" s="35"/>
      <c r="D381" s="35"/>
      <c r="F381" s="35"/>
      <c r="G381" s="35"/>
      <c r="H381" s="35"/>
      <c r="I381" s="35"/>
      <c r="J381" s="35"/>
    </row>
    <row r="382" spans="2:10" x14ac:dyDescent="0.25">
      <c r="B382" s="139"/>
      <c r="I382" s="9" t="str">
        <f>H360&amp;" + "&amp;H379</f>
        <v>c4.57 + c4.58</v>
      </c>
    </row>
    <row r="383" spans="2:10" x14ac:dyDescent="0.25">
      <c r="B383" s="147" t="s">
        <v>7426</v>
      </c>
      <c r="H383" s="2162" t="str">
        <f>A109</f>
        <v>c4.59</v>
      </c>
      <c r="I383" s="2161">
        <f>I360+I379-(IF(calc_GA_alt_c8_26,I360,0))</f>
        <v>0</v>
      </c>
      <c r="J383" s="219"/>
    </row>
    <row r="384" spans="2:10" x14ac:dyDescent="0.25">
      <c r="B384" s="147"/>
      <c r="H384" s="139"/>
      <c r="I384" s="550" t="str">
        <f>"add "&amp;'Status (c3a)'!A3&amp;" + "&amp;'Deductions (c4)'!A109&amp;" and copy to "&amp;'Taxable (c5)'!A2</f>
        <v>add c3a.2 + c4.59 and copy to c5.2</v>
      </c>
      <c r="J384" s="219"/>
    </row>
    <row r="385" spans="2:19" x14ac:dyDescent="0.25">
      <c r="B385" s="147"/>
      <c r="H385" s="139"/>
      <c r="I385" s="550" t="str">
        <f>"add BR_band (£37,700) + "&amp;'Deductions (c4)'!A109&amp;" and copy to "&amp;'Taxable (c5)'!A3</f>
        <v>add BR_band (£37,700) + c4.59 and copy to c5.2a</v>
      </c>
      <c r="J385" s="219"/>
    </row>
    <row r="386" spans="2:19" x14ac:dyDescent="0.25">
      <c r="I386" s="550" t="str">
        <f>"add "&amp;'Status (c3a)'!A2&amp;" + "&amp;'Status (c3a)'!A3&amp;" + "&amp;'Deductions (c4)'!A109&amp;" and copy to "&amp;'Pensions (c25c26)'!A10</f>
        <v>add c3a.1a + c3a.2 + c4.59 and copy to c25.10</v>
      </c>
    </row>
    <row r="387" spans="2:19" x14ac:dyDescent="0.25">
      <c r="I387" s="550"/>
    </row>
    <row r="388" spans="2:19" ht="10.5" customHeight="1" x14ac:dyDescent="0.25">
      <c r="I388" s="9" t="s">
        <v>7043</v>
      </c>
    </row>
    <row r="389" spans="2:19" x14ac:dyDescent="0.25">
      <c r="H389" s="2162" t="s">
        <v>4956</v>
      </c>
      <c r="I389" s="2161"/>
    </row>
    <row r="391" spans="2:19" x14ac:dyDescent="0.25">
      <c r="B391" s="12" t="s">
        <v>7427</v>
      </c>
      <c r="H391" s="35"/>
      <c r="I391" s="230" t="str">
        <f>"from "&amp;AOR&amp;AOR!G8</f>
        <v>from AOR8</v>
      </c>
    </row>
    <row r="392" spans="2:19" x14ac:dyDescent="0.25">
      <c r="B392" s="146" t="s">
        <v>7259</v>
      </c>
      <c r="H392" s="2162" t="str">
        <f>A111</f>
        <v>c4.61</v>
      </c>
      <c r="I392" s="2161">
        <f>TRUNC(AOR!H9+0.99,0)</f>
        <v>0</v>
      </c>
      <c r="J392" s="221" t="s">
        <v>7035</v>
      </c>
    </row>
    <row r="394" spans="2:19" x14ac:dyDescent="0.25">
      <c r="B394" s="12" t="s">
        <v>7428</v>
      </c>
      <c r="I394" s="9" t="str">
        <f>H383&amp;" minus "&amp;H392</f>
        <v>c4.59 minus c4.61</v>
      </c>
    </row>
    <row r="395" spans="2:19" ht="12" x14ac:dyDescent="0.3">
      <c r="B395" s="146"/>
      <c r="H395" s="2162" t="str">
        <f>A112</f>
        <v>c4.62</v>
      </c>
      <c r="I395" s="2161">
        <f>I383-I392+IF(calc_GA_alt_c8_26,I360,0)</f>
        <v>0</v>
      </c>
      <c r="J395" s="218" t="s">
        <v>7220</v>
      </c>
    </row>
    <row r="396" spans="2:19" ht="12" x14ac:dyDescent="0.3">
      <c r="B396" s="146"/>
      <c r="H396" s="139"/>
      <c r="I396" s="219"/>
      <c r="J396" s="218"/>
    </row>
    <row r="397" spans="2:19" x14ac:dyDescent="0.25">
      <c r="B397" s="2151"/>
      <c r="C397" s="2151"/>
      <c r="D397" s="2151"/>
      <c r="E397" s="2151"/>
      <c r="F397" s="2151"/>
      <c r="G397" s="2151"/>
      <c r="H397" s="2151"/>
      <c r="I397" s="2151"/>
      <c r="J397" s="2151"/>
      <c r="K397" s="2151"/>
      <c r="L397" s="2151"/>
      <c r="M397" s="2151"/>
      <c r="N397" s="2151"/>
      <c r="O397" s="2151"/>
      <c r="P397" s="2151"/>
      <c r="Q397" s="2151"/>
      <c r="R397" s="2151"/>
      <c r="S397" s="2151"/>
    </row>
    <row r="399" spans="2:19" x14ac:dyDescent="0.25">
      <c r="B399" s="24" t="s">
        <v>7429</v>
      </c>
      <c r="C399" s="24"/>
    </row>
    <row r="400" spans="2:19" x14ac:dyDescent="0.25">
      <c r="I400" s="9" t="str">
        <f>H354&amp;" minus "&amp;H395</f>
        <v>c4.55 minus c4.62</v>
      </c>
    </row>
    <row r="401" spans="2:19" ht="12" x14ac:dyDescent="0.3">
      <c r="B401" s="8" t="s">
        <v>7430</v>
      </c>
      <c r="H401" s="2162" t="str">
        <f>A113</f>
        <v>c4.63</v>
      </c>
      <c r="I401" s="2161">
        <f>MAX(0,I354-I395)</f>
        <v>0</v>
      </c>
    </row>
    <row r="402" spans="2:19" x14ac:dyDescent="0.25">
      <c r="I402" s="9" t="str">
        <f>"Copy to "&amp;'allowances (c14c15)'!K5&amp;", "&amp;'allowances (c14c15)'!H46&amp;" and "&amp;'CBC(c28)'!I23</f>
        <v>Copy to c14.1, c15.2 and c28.7</v>
      </c>
    </row>
    <row r="403" spans="2:19" x14ac:dyDescent="0.25">
      <c r="I403" s="9"/>
    </row>
    <row r="404" spans="2:19" x14ac:dyDescent="0.25">
      <c r="B404" s="2151"/>
      <c r="C404" s="2151"/>
      <c r="D404" s="2151"/>
      <c r="E404" s="2151"/>
      <c r="F404" s="2151"/>
      <c r="G404" s="2151"/>
      <c r="H404" s="2151"/>
      <c r="I404" s="2156"/>
      <c r="J404" s="2151"/>
      <c r="K404" s="2151"/>
      <c r="L404" s="2151"/>
      <c r="M404" s="2151"/>
      <c r="N404" s="2151"/>
      <c r="O404" s="2151"/>
      <c r="P404" s="2151"/>
      <c r="Q404" s="2151"/>
      <c r="R404" s="2151"/>
      <c r="S404" s="2151"/>
    </row>
    <row r="407" spans="2:19" x14ac:dyDescent="0.25">
      <c r="E407" s="9" t="str">
        <f>"from "&amp;'NS income (c1)'!I184</f>
        <v>from c1.57</v>
      </c>
    </row>
    <row r="408" spans="2:19" x14ac:dyDescent="0.25">
      <c r="B408" s="1065" t="s">
        <v>7431</v>
      </c>
      <c r="D408" s="2162" t="str">
        <f>A150</f>
        <v>c4.63a</v>
      </c>
      <c r="E408" s="2149">
        <f>'NS income (c1)'!J184+IF(calc_TP_alt_c8_26,I343,0)</f>
        <v>0</v>
      </c>
    </row>
    <row r="409" spans="2:19" x14ac:dyDescent="0.25">
      <c r="B409" s="2151"/>
      <c r="C409" s="2151"/>
      <c r="D409" s="2151"/>
      <c r="E409" s="2151"/>
      <c r="F409" s="2151"/>
      <c r="G409" s="2151"/>
      <c r="H409" s="2151"/>
      <c r="I409" s="2151"/>
      <c r="J409" s="2151"/>
      <c r="K409" s="2151"/>
      <c r="L409" s="2151"/>
      <c r="M409" s="2151"/>
      <c r="N409" s="2151"/>
      <c r="O409" s="2151"/>
      <c r="P409" s="2151"/>
      <c r="Q409" s="2151"/>
      <c r="R409" s="2151"/>
      <c r="S409" s="2151"/>
    </row>
    <row r="411" spans="2:19" x14ac:dyDescent="0.25">
      <c r="I411" s="1018" t="str">
        <f>Q30&amp;" + "&amp;Q41&amp;" + "&amp;Q74&amp;" + "&amp;Q100&amp;" + "</f>
        <v xml:space="preserve">c4.5 + c4.7 + c4.13 + c4.19 + </v>
      </c>
    </row>
    <row r="412" spans="2:19" x14ac:dyDescent="0.25">
      <c r="I412" s="1018" t="str">
        <f>Q145&amp;" + "&amp;Q155&amp;" + "&amp;Q163</f>
        <v>c4.28 + c4.33 + c4.35</v>
      </c>
    </row>
    <row r="413" spans="2:19" x14ac:dyDescent="0.25">
      <c r="B413" s="8" t="s">
        <v>7055</v>
      </c>
      <c r="H413" s="2162" t="str">
        <f>A151</f>
        <v>c4.63b</v>
      </c>
      <c r="I413" s="2149">
        <f>R30+R41+R74+R100+R145+R155+R163</f>
        <v>0</v>
      </c>
    </row>
    <row r="414" spans="2:19" x14ac:dyDescent="0.25">
      <c r="D414" s="140"/>
      <c r="E414" s="30"/>
      <c r="F414" s="225"/>
    </row>
    <row r="415" spans="2:19" x14ac:dyDescent="0.25">
      <c r="B415" s="2151"/>
      <c r="C415" s="2151"/>
      <c r="D415" s="2151"/>
      <c r="E415" s="2151"/>
      <c r="F415" s="2151"/>
      <c r="G415" s="2151"/>
      <c r="H415" s="2151"/>
      <c r="I415" s="2151"/>
      <c r="J415" s="2151"/>
      <c r="K415" s="2151"/>
      <c r="L415" s="2151"/>
      <c r="M415" s="2151"/>
      <c r="N415" s="2151"/>
      <c r="O415" s="2151"/>
      <c r="P415" s="2151"/>
      <c r="Q415" s="2151"/>
      <c r="R415" s="2151"/>
      <c r="S415" s="2151"/>
    </row>
    <row r="417" spans="2:19" x14ac:dyDescent="0.25">
      <c r="K417" s="1065"/>
      <c r="L417" s="1065"/>
      <c r="M417" s="1067" t="str">
        <f>D408&amp;" minus ("&amp;H281&amp;" + "&amp;H321&amp;" + "&amp;H413&amp;")"</f>
        <v>c4.63a minus (c4.47.19 + c4.47.30 + c4.63b)</v>
      </c>
    </row>
    <row r="418" spans="2:19" x14ac:dyDescent="0.25">
      <c r="B418" s="1065" t="s">
        <v>7432</v>
      </c>
      <c r="C418" s="1065"/>
      <c r="L418" s="2162" t="str">
        <f>A152</f>
        <v>c4.63c</v>
      </c>
      <c r="M418" s="2149">
        <f>MAX(0,E408-(I281+I321+I413))</f>
        <v>0</v>
      </c>
    </row>
    <row r="419" spans="2:19" x14ac:dyDescent="0.25">
      <c r="M419" s="2172" t="str">
        <f>"copy to box "&amp;'Taxable (c5)'!E17</f>
        <v>copy to box c5.3</v>
      </c>
    </row>
    <row r="420" spans="2:19" x14ac:dyDescent="0.25">
      <c r="B420" s="2151"/>
      <c r="C420" s="2151"/>
      <c r="D420" s="2151"/>
      <c r="E420" s="2151"/>
      <c r="F420" s="2151"/>
      <c r="G420" s="2151"/>
      <c r="H420" s="2151"/>
      <c r="I420" s="2151"/>
      <c r="J420" s="2151"/>
      <c r="K420" s="2151"/>
      <c r="L420" s="2151"/>
      <c r="M420" s="2151"/>
      <c r="N420" s="2151"/>
      <c r="O420" s="2151"/>
      <c r="P420" s="2151"/>
      <c r="Q420" s="2151"/>
      <c r="R420" s="2151"/>
      <c r="S420" s="2151"/>
    </row>
    <row r="424" spans="2:19" ht="10.5" customHeight="1" x14ac:dyDescent="0.25"/>
    <row r="428" spans="2:19" x14ac:dyDescent="0.25">
      <c r="B428" s="24" t="s">
        <v>6571</v>
      </c>
    </row>
    <row r="429" spans="2:19" x14ac:dyDescent="0.25">
      <c r="B429" s="1065" t="str">
        <f>"If ("&amp;NRD!P10&amp;" = Y or "&amp;NRD!P11&amp;" = Y or "&amp;NRD!P18&amp;" = Y)"</f>
        <v>If (box_NRD28 = Y or box_NRD29 = Y or box_NRD40 = Y)</v>
      </c>
      <c r="C429" s="1065"/>
    </row>
    <row r="430" spans="2:19" x14ac:dyDescent="0.25">
      <c r="B430" s="8" t="str">
        <f>"or ("&amp;NRD!P4&amp;" = Y and "&amp;NRD!P8&amp;" = N and "&amp;NRD!P9&amp;" = N)"</f>
        <v>or (box_NRD1 = Y and box_NRD15 = N and box_NRD16 = N)</v>
      </c>
    </row>
    <row r="431" spans="2:19" x14ac:dyDescent="0.25">
      <c r="B431" s="22" t="str">
        <f>"or (Calculation type = non-resident)"</f>
        <v>or (Calculation type = non-resident)</v>
      </c>
    </row>
    <row r="432" spans="2:19" x14ac:dyDescent="0.25">
      <c r="B432" s="127" t="str">
        <f>"set boxes "&amp;H435&amp;" to "&amp;L477&amp;" to 0 (zero)"</f>
        <v>set boxes c4.64 to c4.69 to 0 (zero)</v>
      </c>
    </row>
    <row r="433" spans="2:13" x14ac:dyDescent="0.25">
      <c r="B433" s="25" t="s">
        <v>7143</v>
      </c>
    </row>
    <row r="434" spans="2:13" x14ac:dyDescent="0.25">
      <c r="C434" s="127"/>
      <c r="I434" s="9" t="str">
        <f>"from "&amp;'allowances (c14c15)'!K26</f>
        <v>from c14.6</v>
      </c>
    </row>
    <row r="435" spans="2:13" x14ac:dyDescent="0.25">
      <c r="B435" s="22" t="s">
        <v>7433</v>
      </c>
      <c r="C435" s="22"/>
      <c r="H435" s="2162" t="str">
        <f>A169</f>
        <v>c4.64</v>
      </c>
      <c r="I435" s="2149">
        <f>IF(OR(non_resident,FIG_claim_election),0,IF(UK_allowance_claim,'allowances (c14c15)'!L26,0))</f>
        <v>12570</v>
      </c>
      <c r="J435" s="213"/>
    </row>
    <row r="436" spans="2:13" x14ac:dyDescent="0.25">
      <c r="B436" s="22"/>
      <c r="C436" s="22"/>
      <c r="J436" s="78"/>
    </row>
    <row r="437" spans="2:13" x14ac:dyDescent="0.25">
      <c r="H437" s="22" t="str">
        <f>"if "&amp;REL&amp;'REL(2)'!C4&amp;" = Y"</f>
        <v>if REL13 = Y</v>
      </c>
    </row>
    <row r="438" spans="2:13" x14ac:dyDescent="0.25">
      <c r="H438" s="22" t="str">
        <f>H442&amp;" = BPA ("&amp;DOLLAR(BPA,0)&amp;")"</f>
        <v>c4.65 = BPA (£3,130)</v>
      </c>
      <c r="I438" s="406"/>
    </row>
    <row r="439" spans="2:13" x14ac:dyDescent="0.25">
      <c r="H439" s="22" t="s">
        <v>7143</v>
      </c>
    </row>
    <row r="440" spans="2:13" x14ac:dyDescent="0.25">
      <c r="H440" s="8" t="str">
        <f>H442&amp;" = 0 (zero)"</f>
        <v>c4.65 = 0 (zero)</v>
      </c>
    </row>
    <row r="441" spans="2:13" x14ac:dyDescent="0.25">
      <c r="C441" s="22"/>
      <c r="H441" s="22" t="s">
        <v>75</v>
      </c>
    </row>
    <row r="442" spans="2:13" x14ac:dyDescent="0.25">
      <c r="B442" s="8" t="s">
        <v>353</v>
      </c>
      <c r="C442" s="22"/>
      <c r="H442" s="2162" t="str">
        <f>A170</f>
        <v>c4.65</v>
      </c>
      <c r="I442" s="2149">
        <f>IF(non_resident,0,IF(BPA_claimed,IF(UK_allowance_claim,BPA,0),0))</f>
        <v>0</v>
      </c>
      <c r="J442" s="212"/>
    </row>
    <row r="443" spans="2:13" x14ac:dyDescent="0.25">
      <c r="C443" s="22"/>
      <c r="H443" s="139"/>
      <c r="I443" s="78"/>
      <c r="J443" s="78"/>
    </row>
    <row r="444" spans="2:13" x14ac:dyDescent="0.25">
      <c r="B444" s="22"/>
      <c r="C444" s="22"/>
      <c r="H444" s="139"/>
      <c r="I444" s="230" t="str">
        <f>"from "&amp;CAL&amp;CAL!C19</f>
        <v>from CAL12</v>
      </c>
      <c r="J444" s="9"/>
    </row>
    <row r="445" spans="2:13" x14ac:dyDescent="0.25">
      <c r="B445" s="22" t="s">
        <v>7434</v>
      </c>
      <c r="C445" s="22"/>
      <c r="H445" s="2162" t="str">
        <f>A171</f>
        <v>c4.66</v>
      </c>
      <c r="I445" s="2149">
        <f>IF(non_resident,0,IF(UK_allowance_claim,TRUNC(CAL!D20+0.99,0),0))</f>
        <v>0</v>
      </c>
      <c r="J445" s="197" t="s">
        <v>7035</v>
      </c>
    </row>
    <row r="447" spans="2:13" x14ac:dyDescent="0.25">
      <c r="M447" s="9" t="str">
        <f>H435&amp;" + "&amp;H442&amp;" + "&amp;H445</f>
        <v>c4.64 + c4.65 + c4.66</v>
      </c>
    </row>
    <row r="448" spans="2:13" x14ac:dyDescent="0.25">
      <c r="B448" s="12" t="s">
        <v>7435</v>
      </c>
      <c r="C448" s="12"/>
      <c r="L448" s="2162" t="str">
        <f>A172</f>
        <v>c4.67</v>
      </c>
      <c r="M448" s="2149">
        <f>IF(OR(non_resident,FIG_claim_election),0,IF(UK_allowance_claim,I435+I442+I445,0))</f>
        <v>12570</v>
      </c>
    </row>
    <row r="451" spans="2:19" x14ac:dyDescent="0.25">
      <c r="B451" s="2151"/>
      <c r="C451" s="2151"/>
      <c r="D451" s="2151"/>
      <c r="E451" s="2151"/>
      <c r="F451" s="2151"/>
      <c r="G451" s="2151"/>
      <c r="H451" s="2151"/>
      <c r="I451" s="2151"/>
      <c r="J451" s="2151"/>
      <c r="K451" s="2151"/>
      <c r="L451" s="2151"/>
      <c r="M451" s="2151"/>
      <c r="N451" s="2151"/>
      <c r="O451" s="2151"/>
      <c r="P451" s="2151"/>
      <c r="Q451" s="2151"/>
      <c r="R451" s="2151"/>
      <c r="S451" s="2151"/>
    </row>
    <row r="453" spans="2:19" x14ac:dyDescent="0.25">
      <c r="B453" s="12" t="s">
        <v>7436</v>
      </c>
    </row>
    <row r="455" spans="2:19" x14ac:dyDescent="0.25">
      <c r="B455" s="524"/>
    </row>
    <row r="456" spans="2:19" x14ac:dyDescent="0.25">
      <c r="B456" s="2173"/>
      <c r="C456" s="2174"/>
    </row>
    <row r="457" spans="2:19" x14ac:dyDescent="0.25">
      <c r="B457" s="525"/>
      <c r="C457" s="2175"/>
    </row>
    <row r="458" spans="2:19" x14ac:dyDescent="0.25">
      <c r="B458" s="2176"/>
      <c r="C458" s="2177"/>
    </row>
    <row r="460" spans="2:19" x14ac:dyDescent="0.25">
      <c r="B460" s="8" t="str">
        <f>"if ("&amp;NRD!P4&amp;" = Y and "&amp;NRD!P8&amp;" = Y and "&amp;NRD!P9&amp;" = N)"</f>
        <v>if (box_NRD1 = Y and box_NRD15 = Y and box_NRD16 = N)</v>
      </c>
    </row>
    <row r="461" spans="2:19" x14ac:dyDescent="0.25">
      <c r="B461" s="1065" t="str">
        <f>"or ("&amp;NRD!P10&amp;" = Y or "&amp;NRD!P11&amp;" = Y or "&amp;NRD!P18&amp;" = Y)"</f>
        <v>or (box_NRD28 = Y or box_NRD29 = Y or box_NRD40 = Y)</v>
      </c>
    </row>
    <row r="462" spans="2:19" x14ac:dyDescent="0.25">
      <c r="B462" s="127" t="str">
        <f>H473&amp;" = 0 (zero)"</f>
        <v>c4.68 = 0 (zero)</v>
      </c>
    </row>
    <row r="463" spans="2:19" x14ac:dyDescent="0.25">
      <c r="B463" s="25" t="s">
        <v>7143</v>
      </c>
    </row>
    <row r="464" spans="2:19" x14ac:dyDescent="0.25">
      <c r="H464" s="8" t="s">
        <v>7438</v>
      </c>
      <c r="I464" s="237"/>
    </row>
    <row r="465" spans="2:13" x14ac:dyDescent="0.25">
      <c r="H465" s="278" t="str">
        <f>"OR (("&amp;'Tax adj (c9)'!I51&amp;" + "&amp;'Tax adj (c9)'!I54&amp;") &gt; 0 (zero))"</f>
        <v>OR ((c9.16 + c9.17) &gt; 0 (zero))</v>
      </c>
      <c r="I465" s="237"/>
      <c r="J465" s="854"/>
    </row>
    <row r="466" spans="2:13" x14ac:dyDescent="0.25">
      <c r="H466" s="278" t="str">
        <f>"     OR ("&amp;NRD!P9&amp;" = Y and "&amp;H435&amp;" &lt;= "&amp;H354&amp;")"</f>
        <v xml:space="preserve">     OR (box_NRD16 = Y and c4.64 &lt;= c4.55)</v>
      </c>
    </row>
    <row r="467" spans="2:13" x14ac:dyDescent="0.25">
      <c r="H467" s="278" t="str">
        <f>"       then "&amp;H473&amp;" = 0 (zero)"</f>
        <v xml:space="preserve">       then c4.68 = 0 (zero)</v>
      </c>
    </row>
    <row r="468" spans="2:13" x14ac:dyDescent="0.25">
      <c r="H468" s="855" t="s">
        <v>7143</v>
      </c>
    </row>
    <row r="469" spans="2:13" x14ac:dyDescent="0.25">
      <c r="H469" s="278" t="s">
        <v>7439</v>
      </c>
    </row>
    <row r="470" spans="2:13" x14ac:dyDescent="0.25">
      <c r="H470" s="25" t="str">
        <f>H473&amp;" = T_P_A ("&amp;DOLLAR(T_P_A,0)&amp;")"</f>
        <v>c4.68 = T_P_A (£1,260)</v>
      </c>
    </row>
    <row r="471" spans="2:13" x14ac:dyDescent="0.25">
      <c r="H471" s="9" t="s">
        <v>75</v>
      </c>
    </row>
    <row r="472" spans="2:13" x14ac:dyDescent="0.25">
      <c r="H472" s="8" t="s">
        <v>75</v>
      </c>
    </row>
    <row r="473" spans="2:13" x14ac:dyDescent="0.25">
      <c r="B473" s="139" t="s">
        <v>7440</v>
      </c>
      <c r="H473" s="2162" t="str">
        <f>A173</f>
        <v>c4.68</v>
      </c>
      <c r="I473" s="2149">
        <f>IF(OR(non_resident,AND(box_NRD1=TRUE,box_NRD15=TRUE,box_NRD16=FALSE),('Tax adj (c9)'!J51+'Tax adj (c9)'!J54&gt;0),AND(box_NRD16=TRUE,I435&lt;=I354),FIG_claim_election),0,IF(OR(MAT_OUT,MA_transfer),T_P_A,0))</f>
        <v>0</v>
      </c>
    </row>
    <row r="475" spans="2:13" x14ac:dyDescent="0.25">
      <c r="B475" s="127" t="s">
        <v>75</v>
      </c>
    </row>
    <row r="476" spans="2:13" x14ac:dyDescent="0.25">
      <c r="M476" s="9" t="str">
        <f>L448&amp;" minus "&amp;H473</f>
        <v>c4.67 minus c4.68</v>
      </c>
    </row>
    <row r="477" spans="2:13" x14ac:dyDescent="0.25">
      <c r="B477" s="139" t="s">
        <v>6629</v>
      </c>
      <c r="L477" s="2162" t="str">
        <f>A174</f>
        <v>c4.69</v>
      </c>
      <c r="M477" s="2149">
        <f>IF(non_resident,0,MAX(0,M448-I473))</f>
        <v>12570</v>
      </c>
    </row>
    <row r="478" spans="2:13" x14ac:dyDescent="0.25">
      <c r="B478" s="139"/>
      <c r="L478" s="139"/>
      <c r="M478" s="26"/>
    </row>
    <row r="480" spans="2:13" x14ac:dyDescent="0.25">
      <c r="B480" s="8" t="s">
        <v>75</v>
      </c>
    </row>
    <row r="481" spans="1:19" x14ac:dyDescent="0.25">
      <c r="A481" s="210"/>
      <c r="B481" s="2151"/>
      <c r="C481" s="2151"/>
      <c r="D481" s="2151"/>
      <c r="E481" s="2151"/>
      <c r="F481" s="2151"/>
      <c r="G481" s="2151"/>
      <c r="H481" s="2151"/>
      <c r="I481" s="2151"/>
      <c r="J481" s="2151"/>
      <c r="K481" s="2151"/>
      <c r="L481" s="2151"/>
      <c r="M481" s="2151"/>
      <c r="N481" s="2151"/>
      <c r="O481" s="2151"/>
      <c r="P481" s="2151"/>
      <c r="Q481" s="2151"/>
      <c r="R481" s="2151"/>
      <c r="S481" s="2151"/>
    </row>
    <row r="482" spans="1:19" x14ac:dyDescent="0.25">
      <c r="A482" s="210"/>
    </row>
    <row r="483" spans="1:19" x14ac:dyDescent="0.25">
      <c r="B483" s="78"/>
      <c r="C483" s="78"/>
      <c r="D483" s="83"/>
      <c r="I483" s="1065"/>
      <c r="J483" s="1065"/>
      <c r="K483" s="1065"/>
      <c r="L483" s="1065"/>
      <c r="M483" s="1067" t="str">
        <f>D216&amp;" + "&amp;H281&amp;" + "&amp;H294&amp;" + "&amp;H310&amp;" + "&amp;H321&amp;" + "&amp;H326&amp;" + "&amp;H329&amp;" + "&amp;H333&amp;" + "&amp;H339&amp;" + "&amp;L477</f>
        <v>c4.47 + c4.47.19 + c4.47.23 + c4.47.27 + c4.47.30 + c4.48 + c4.49 + c4.51 + c4.54 + c4.69</v>
      </c>
    </row>
    <row r="484" spans="1:19" x14ac:dyDescent="0.25">
      <c r="B484" s="24" t="s">
        <v>7441</v>
      </c>
      <c r="C484" s="24"/>
      <c r="D484" s="78"/>
      <c r="L484" s="2162" t="str">
        <f>A175</f>
        <v>c4.70</v>
      </c>
      <c r="M484" s="2149">
        <f>E216+I281+I294+I310+I321+I326+I329+I333+I339+M477</f>
        <v>12570</v>
      </c>
    </row>
    <row r="485" spans="1:19" x14ac:dyDescent="0.25">
      <c r="B485" s="78"/>
      <c r="C485" s="78"/>
      <c r="D485" s="78"/>
      <c r="M485" s="135" t="str">
        <f>"Copy to "&amp;'Taxable (c5)'!E8</f>
        <v>Copy to c5.1</v>
      </c>
    </row>
    <row r="486" spans="1:19" x14ac:dyDescent="0.25">
      <c r="B486" s="78"/>
      <c r="C486" s="78"/>
      <c r="D486" s="78"/>
      <c r="M486" s="135"/>
    </row>
    <row r="487" spans="1:19" x14ac:dyDescent="0.25">
      <c r="B487" s="78"/>
      <c r="C487" s="78"/>
      <c r="D487" s="78"/>
      <c r="J487" s="1065"/>
      <c r="K487" s="1065"/>
      <c r="L487" s="1065"/>
      <c r="M487" s="1123" t="str">
        <f>'Deductions (c4)'!L484&amp;" minus ("&amp;'Deductions (c4)'!H281&amp;" + "&amp;'Deductions (c4)'!H294&amp;" + "&amp;'Deductions (c4)'!H310&amp;" + "&amp;'Deductions (c4)'!H321&amp;" + "&amp;'Deductions (c4)'!H413&amp;")"</f>
        <v>c4.70 minus (c4.47.19 + c4.47.23 + c4.47.27 + c4.47.30 + c4.63b)</v>
      </c>
    </row>
    <row r="488" spans="1:19" x14ac:dyDescent="0.25">
      <c r="B488" s="78"/>
      <c r="C488" s="78"/>
      <c r="D488" s="78"/>
      <c r="L488" s="2178" t="str">
        <f>A176</f>
        <v>c4.70a</v>
      </c>
      <c r="M488" s="2179">
        <f>M484-(I281+I294+I310+I321+I413)</f>
        <v>12570</v>
      </c>
    </row>
    <row r="489" spans="1:19" x14ac:dyDescent="0.25">
      <c r="B489" s="216"/>
      <c r="C489" s="216"/>
      <c r="D489" s="216"/>
      <c r="E489" s="210"/>
      <c r="F489" s="210"/>
      <c r="G489" s="210"/>
      <c r="H489" s="210"/>
      <c r="K489" s="223"/>
    </row>
    <row r="490" spans="1:19" x14ac:dyDescent="0.25">
      <c r="B490" s="216"/>
      <c r="C490" s="216"/>
      <c r="D490" s="216"/>
      <c r="E490" s="210"/>
      <c r="F490" s="210"/>
      <c r="G490" s="210"/>
      <c r="H490" s="210"/>
      <c r="J490" s="165"/>
      <c r="K490" s="165"/>
      <c r="L490" s="38"/>
      <c r="M490" s="38" t="s">
        <v>7252</v>
      </c>
    </row>
    <row r="491" spans="1:19" x14ac:dyDescent="0.25">
      <c r="K491" s="165"/>
      <c r="M491" s="38" t="str">
        <f>L495&amp;" = "&amp;'non-res (c91)'!H119</f>
        <v>c4.71 = c91.27</v>
      </c>
    </row>
    <row r="492" spans="1:19" x14ac:dyDescent="0.25">
      <c r="M492" s="8" t="s">
        <v>7143</v>
      </c>
    </row>
    <row r="493" spans="1:19" x14ac:dyDescent="0.25">
      <c r="K493" s="165"/>
      <c r="M493" s="38" t="str">
        <f>L495&amp;" = 0 (zero)"</f>
        <v>c4.71 = 0 (zero)</v>
      </c>
    </row>
    <row r="494" spans="1:19" x14ac:dyDescent="0.25">
      <c r="B494" s="78" t="s">
        <v>7442</v>
      </c>
      <c r="C494" s="216"/>
      <c r="D494" s="216"/>
      <c r="E494" s="217"/>
      <c r="F494" s="210"/>
      <c r="G494" s="210"/>
      <c r="H494" s="210"/>
      <c r="I494" s="165"/>
      <c r="M494" s="8" t="s">
        <v>75</v>
      </c>
    </row>
    <row r="495" spans="1:19" x14ac:dyDescent="0.25">
      <c r="B495" s="216"/>
      <c r="C495" s="216"/>
      <c r="D495" s="216"/>
      <c r="E495" s="216"/>
      <c r="F495" s="216"/>
      <c r="G495" s="216"/>
      <c r="H495" s="210"/>
      <c r="L495" s="2029" t="str">
        <f>A177</f>
        <v>c4.71</v>
      </c>
      <c r="M495" s="2129">
        <f>IF(non_resident,'non-res (c91)'!I119,0)</f>
        <v>0</v>
      </c>
    </row>
    <row r="496" spans="1:19" x14ac:dyDescent="0.25">
      <c r="B496" s="216"/>
      <c r="C496" s="216"/>
      <c r="D496" s="216"/>
      <c r="E496" s="216"/>
      <c r="F496" s="216"/>
      <c r="G496" s="216"/>
      <c r="H496" s="216"/>
      <c r="I496" s="165"/>
    </row>
    <row r="497" spans="2:13" x14ac:dyDescent="0.25">
      <c r="B497" s="216"/>
      <c r="C497" s="216"/>
      <c r="D497" s="216"/>
      <c r="E497" s="217"/>
      <c r="F497" s="216"/>
      <c r="G497" s="216"/>
      <c r="H497" s="216"/>
      <c r="M497" s="38" t="s">
        <v>7252</v>
      </c>
    </row>
    <row r="498" spans="2:13" x14ac:dyDescent="0.25">
      <c r="B498" s="210"/>
      <c r="C498" s="210"/>
      <c r="D498" s="210"/>
      <c r="E498" s="210"/>
      <c r="F498" s="210"/>
      <c r="G498" s="210"/>
      <c r="H498" s="210"/>
      <c r="M498" s="9" t="str">
        <f>L502&amp;" = "&amp;L484&amp;" + "&amp;L495</f>
        <v>c4.72 = c4.70 + c4.71</v>
      </c>
    </row>
    <row r="499" spans="2:13" x14ac:dyDescent="0.25">
      <c r="B499" s="210"/>
      <c r="C499" s="210"/>
      <c r="D499" s="210"/>
      <c r="E499" s="210"/>
      <c r="F499" s="210"/>
      <c r="G499" s="210"/>
      <c r="H499" s="210"/>
      <c r="M499" s="8" t="s">
        <v>7143</v>
      </c>
    </row>
    <row r="500" spans="2:13" x14ac:dyDescent="0.25">
      <c r="B500" s="210"/>
      <c r="C500" s="210"/>
      <c r="D500" s="210"/>
      <c r="E500" s="210"/>
      <c r="F500" s="210"/>
      <c r="G500" s="210"/>
      <c r="H500" s="210"/>
      <c r="M500" s="38" t="str">
        <f>L502&amp;" = "&amp;L484</f>
        <v>c4.72 = c4.70</v>
      </c>
    </row>
    <row r="501" spans="2:13" x14ac:dyDescent="0.25">
      <c r="B501" s="210"/>
      <c r="C501" s="210"/>
      <c r="D501" s="210"/>
      <c r="E501" s="210"/>
      <c r="F501" s="210"/>
      <c r="G501" s="210"/>
      <c r="H501" s="210"/>
      <c r="M501" s="8" t="s">
        <v>75</v>
      </c>
    </row>
    <row r="502" spans="2:13" x14ac:dyDescent="0.25">
      <c r="L502" s="2029" t="str">
        <f>A178</f>
        <v>c4.72</v>
      </c>
      <c r="M502" s="2129">
        <f>IF(non_resident,M484+M495,M484)</f>
        <v>12570</v>
      </c>
    </row>
    <row r="503" spans="2:13" x14ac:dyDescent="0.25">
      <c r="E503" s="9" t="s">
        <v>7252</v>
      </c>
    </row>
    <row r="504" spans="2:13" x14ac:dyDescent="0.25">
      <c r="E504" s="8" t="str">
        <f>D508&amp;" = "&amp;'non-res (c91)'!M119</f>
        <v>c4.73 = c91.28</v>
      </c>
    </row>
    <row r="505" spans="2:13" x14ac:dyDescent="0.25">
      <c r="D505" s="9"/>
      <c r="E505" s="22" t="s">
        <v>7143</v>
      </c>
    </row>
    <row r="506" spans="2:13" x14ac:dyDescent="0.25">
      <c r="E506" s="8" t="str">
        <f>D508&amp;" = "&amp;'Divs (c3)'!G87</f>
        <v>c4.73 = c3.21</v>
      </c>
    </row>
    <row r="507" spans="2:13" x14ac:dyDescent="0.25">
      <c r="E507" s="8" t="s">
        <v>75</v>
      </c>
      <c r="M507" s="38" t="str">
        <f>D508&amp;" minus "&amp;L484</f>
        <v>c4.73 minus c4.70</v>
      </c>
    </row>
    <row r="508" spans="2:13" x14ac:dyDescent="0.25">
      <c r="B508" s="24" t="s">
        <v>6635</v>
      </c>
      <c r="D508" s="2162" t="str">
        <f>A179</f>
        <v>c4.73</v>
      </c>
      <c r="E508" s="2029">
        <f>IF(non_resident,'non-res (c91)'!N119,'Divs (c3)'!H87+IF(calc_TP_alt_c8_26,I343,0))</f>
        <v>0</v>
      </c>
      <c r="K508" s="135" t="s">
        <v>5478</v>
      </c>
      <c r="L508" s="2162" t="str">
        <f>A180</f>
        <v>c4.74</v>
      </c>
      <c r="M508" s="2129">
        <f>MAX(0,E508-M484)</f>
        <v>0</v>
      </c>
    </row>
    <row r="510" spans="2:13" x14ac:dyDescent="0.25">
      <c r="C510" s="139"/>
      <c r="M510" s="9" t="str">
        <f>"from "&amp;H383</f>
        <v>from c4.59</v>
      </c>
    </row>
    <row r="511" spans="2:13" x14ac:dyDescent="0.25">
      <c r="B511" s="24" t="s">
        <v>7426</v>
      </c>
      <c r="L511" s="2162" t="str">
        <f>A181</f>
        <v>c4.75</v>
      </c>
      <c r="M511" s="2161">
        <f>I383</f>
        <v>0</v>
      </c>
    </row>
    <row r="512" spans="2:13" x14ac:dyDescent="0.25">
      <c r="B512" s="24"/>
      <c r="L512" s="139"/>
      <c r="M512" s="219"/>
    </row>
    <row r="513" spans="1:16" x14ac:dyDescent="0.25">
      <c r="B513" s="24"/>
      <c r="L513" s="139"/>
      <c r="M513" s="219"/>
    </row>
    <row r="514" spans="1:16" x14ac:dyDescent="0.25">
      <c r="A514" s="78"/>
      <c r="B514" s="24"/>
      <c r="L514" s="139"/>
      <c r="M514" s="219"/>
    </row>
    <row r="515" spans="1:16" x14ac:dyDescent="0.25">
      <c r="B515" s="24"/>
      <c r="L515" s="139"/>
      <c r="M515" s="219"/>
    </row>
    <row r="516" spans="1:16" s="78" customFormat="1" x14ac:dyDescent="0.25">
      <c r="A516" s="8"/>
      <c r="B516" s="147" t="s">
        <v>919</v>
      </c>
      <c r="C516" s="147"/>
      <c r="D516" s="8"/>
      <c r="E516" s="8"/>
      <c r="F516" s="8"/>
      <c r="G516" s="8"/>
      <c r="P516" s="8"/>
    </row>
    <row r="517" spans="1:16" x14ac:dyDescent="0.25">
      <c r="B517" s="139" t="s">
        <v>920</v>
      </c>
      <c r="C517" s="147"/>
      <c r="M517" s="9" t="str">
        <f>"("&amp;'NS income (c1)'!I184&amp;" + "&amp;'NS income (c1)'!I188&amp;") minus "&amp;L484</f>
        <v>(c1.57 + c1.58) minus c4.70</v>
      </c>
    </row>
    <row r="518" spans="1:16" x14ac:dyDescent="0.25">
      <c r="B518" s="139" t="s">
        <v>7443</v>
      </c>
      <c r="C518" s="147"/>
      <c r="K518" s="9" t="s">
        <v>7444</v>
      </c>
      <c r="L518" s="2162" t="str">
        <f>A182</f>
        <v>c4.75a</v>
      </c>
      <c r="M518" s="2161">
        <f>MAX(0,('NS income (c1)'!J184+'NS income (c1)'!J188)-M484)</f>
        <v>0</v>
      </c>
      <c r="N518" s="458"/>
    </row>
    <row r="519" spans="1:16" x14ac:dyDescent="0.25">
      <c r="B519" s="139" t="s">
        <v>7445</v>
      </c>
    </row>
    <row r="520" spans="1:16" x14ac:dyDescent="0.25">
      <c r="B520" s="139" t="s">
        <v>7446</v>
      </c>
      <c r="M520" s="9" t="str">
        <f>L484&amp;" minus ("&amp;'NS income (c1)'!I184&amp;" + "&amp;'NS income (c1)'!I188&amp;")"</f>
        <v>c4.70 minus (c1.57 + c1.58)</v>
      </c>
    </row>
    <row r="521" spans="1:16" x14ac:dyDescent="0.25">
      <c r="B521" s="139" t="s">
        <v>7447</v>
      </c>
      <c r="K521" s="9" t="s">
        <v>7448</v>
      </c>
      <c r="L521" s="2162" t="str">
        <f>A183</f>
        <v>c4.75b</v>
      </c>
      <c r="M521" s="2161">
        <f>MAX(0,M484-('NS income (c1)'!J184+'NS income (c1)'!J188))</f>
        <v>12570</v>
      </c>
    </row>
    <row r="522" spans="1:16" x14ac:dyDescent="0.25">
      <c r="B522" s="139"/>
      <c r="K522" s="9"/>
      <c r="L522" s="139"/>
      <c r="M522" s="219"/>
    </row>
    <row r="523" spans="1:16" x14ac:dyDescent="0.25">
      <c r="B523" s="139"/>
      <c r="K523" s="9"/>
      <c r="L523" s="139"/>
      <c r="M523" s="550" t="str">
        <f>"SR_band ("&amp;DOLLAR(SR_band,0)&amp;") minus "&amp;L518</f>
        <v>SR_band (£5,000) minus c4.75a</v>
      </c>
    </row>
    <row r="524" spans="1:16" x14ac:dyDescent="0.25">
      <c r="B524" s="139"/>
      <c r="K524" s="9"/>
      <c r="L524" s="2162" t="str">
        <f>A184</f>
        <v>c4.75b1</v>
      </c>
      <c r="M524" s="2161">
        <f>MAX(0,SR_band-M518)</f>
        <v>5000</v>
      </c>
      <c r="N524" s="78"/>
    </row>
    <row r="525" spans="1:16" x14ac:dyDescent="0.25">
      <c r="B525" s="139"/>
      <c r="K525" s="9"/>
      <c r="L525" s="139"/>
      <c r="M525" s="219"/>
    </row>
    <row r="526" spans="1:16" x14ac:dyDescent="0.25">
      <c r="B526" s="139"/>
      <c r="K526" s="9"/>
      <c r="L526" s="139"/>
      <c r="M526" s="550" t="str">
        <f>"lower of "&amp;'Savings (c2)'!H79&amp;" and "&amp;L524</f>
        <v>lower of c2.19 and c4.75b1</v>
      </c>
    </row>
    <row r="527" spans="1:16" x14ac:dyDescent="0.25">
      <c r="B527" s="139"/>
      <c r="K527" s="9" t="s">
        <v>7449</v>
      </c>
      <c r="L527" s="2162" t="str">
        <f>A185</f>
        <v>c4.75b2</v>
      </c>
      <c r="M527" s="2161">
        <f>MIN('Savings (c2)'!I79,'Deductions (c4)'!M524)</f>
        <v>0</v>
      </c>
    </row>
    <row r="529" spans="2:14" x14ac:dyDescent="0.25">
      <c r="B529" s="139"/>
      <c r="C529" s="147"/>
      <c r="M529" s="9" t="str">
        <f>"lower of ("&amp;'Savings (c2)'!H79&amp;" minus "&amp;L527&amp;") and PSA_HR ("&amp;DOLLAR(PSA_HR,0)&amp;")"</f>
        <v>lower of (c2.19 minus c4.75b2) and PSA_HR (£500)</v>
      </c>
    </row>
    <row r="530" spans="2:14" x14ac:dyDescent="0.25">
      <c r="B530" s="139"/>
      <c r="C530" s="147"/>
      <c r="K530" s="9" t="s">
        <v>7450</v>
      </c>
      <c r="L530" s="2162" t="str">
        <f>A186</f>
        <v>c4.75c</v>
      </c>
      <c r="M530" s="2161">
        <f>MAX(0,MIN(('Savings (c2)'!I79-'Deductions (c4)'!M527),PSA_HR))</f>
        <v>0</v>
      </c>
      <c r="N530" s="78"/>
    </row>
    <row r="531" spans="2:14" x14ac:dyDescent="0.25">
      <c r="B531" s="139"/>
      <c r="C531" s="147"/>
      <c r="K531" s="9"/>
      <c r="L531" s="139"/>
      <c r="M531" s="219"/>
    </row>
    <row r="532" spans="2:14" x14ac:dyDescent="0.25">
      <c r="B532" s="139"/>
      <c r="C532" s="147"/>
      <c r="K532" s="9"/>
      <c r="L532" s="139"/>
      <c r="M532" s="550" t="str">
        <f>L527&amp;" + "&amp;L530</f>
        <v>c4.75b2 + c4.75c</v>
      </c>
    </row>
    <row r="533" spans="2:14" x14ac:dyDescent="0.25">
      <c r="B533" s="139"/>
      <c r="C533" s="147"/>
      <c r="L533" s="2162" t="str">
        <f>A187</f>
        <v>c4.75c1</v>
      </c>
      <c r="M533" s="2161">
        <f>M527+M530</f>
        <v>0</v>
      </c>
    </row>
    <row r="534" spans="2:14" x14ac:dyDescent="0.25">
      <c r="B534" s="139"/>
      <c r="C534" s="147"/>
    </row>
    <row r="535" spans="2:14" x14ac:dyDescent="0.25">
      <c r="B535" s="139"/>
      <c r="C535" s="147"/>
      <c r="M535" s="9" t="str">
        <f>'Savings (c2)'!H79&amp;" minus "&amp;'Deductions (c4)'!L533</f>
        <v>c2.19 minus c4.75c1</v>
      </c>
    </row>
    <row r="536" spans="2:14" x14ac:dyDescent="0.25">
      <c r="B536" s="139"/>
      <c r="C536" s="147"/>
      <c r="K536" s="9" t="s">
        <v>7451</v>
      </c>
      <c r="L536" s="2162" t="str">
        <f>A188</f>
        <v>c4.75d</v>
      </c>
      <c r="M536" s="2161">
        <f>MAX(0,('Savings (c2)'!I79-'Deductions (c4)'!M533))</f>
        <v>0</v>
      </c>
    </row>
    <row r="537" spans="2:14" x14ac:dyDescent="0.25">
      <c r="B537" s="139"/>
      <c r="C537" s="147"/>
      <c r="K537" s="9"/>
    </row>
    <row r="538" spans="2:14" x14ac:dyDescent="0.25">
      <c r="B538" s="139"/>
      <c r="C538" s="147"/>
      <c r="M538" s="9" t="str">
        <f>L536&amp;" minus "&amp;L521</f>
        <v>c4.75d minus c4.75b</v>
      </c>
    </row>
    <row r="539" spans="2:14" x14ac:dyDescent="0.25">
      <c r="B539" s="139"/>
      <c r="C539" s="147"/>
      <c r="K539" s="9" t="s">
        <v>7452</v>
      </c>
      <c r="L539" s="2162" t="str">
        <f>A189</f>
        <v>c4.75e</v>
      </c>
      <c r="M539" s="2161">
        <f>MAX(0,M536-M521)</f>
        <v>0</v>
      </c>
    </row>
    <row r="540" spans="2:14" x14ac:dyDescent="0.25">
      <c r="B540" s="139"/>
      <c r="C540" s="147"/>
    </row>
    <row r="541" spans="2:14" x14ac:dyDescent="0.25">
      <c r="B541" s="139"/>
      <c r="C541" s="147"/>
      <c r="M541" s="9" t="str">
        <f>L521&amp;" minus ("&amp;L530&amp;" + "&amp;L536&amp;")"</f>
        <v>c4.75b minus (c4.75c + c4.75d)</v>
      </c>
    </row>
    <row r="542" spans="2:14" x14ac:dyDescent="0.25">
      <c r="B542" s="139"/>
      <c r="C542" s="147"/>
      <c r="K542" s="9" t="s">
        <v>7448</v>
      </c>
      <c r="L542" s="2162" t="str">
        <f>A190</f>
        <v>c4.75f</v>
      </c>
      <c r="M542" s="2161">
        <f>MAX(0,M521-(M530+M536))</f>
        <v>12570</v>
      </c>
    </row>
    <row r="543" spans="2:14" x14ac:dyDescent="0.25">
      <c r="B543" s="139"/>
      <c r="C543" s="147"/>
    </row>
    <row r="544" spans="2:14" x14ac:dyDescent="0.25">
      <c r="B544" s="139"/>
      <c r="C544" s="147"/>
      <c r="M544" s="9" t="str">
        <f>'Divs (c3)'!G58&amp;" minus "&amp;L542</f>
        <v>c3.15 minus c4.75f</v>
      </c>
    </row>
    <row r="545" spans="2:14" x14ac:dyDescent="0.25">
      <c r="B545" s="139"/>
      <c r="C545" s="147"/>
      <c r="K545" s="9" t="s">
        <v>7453</v>
      </c>
      <c r="L545" s="2162" t="str">
        <f>A191</f>
        <v>c4.75g</v>
      </c>
      <c r="M545" s="2161">
        <f>MAX(0,'Divs (c3)'!H58-M542)</f>
        <v>0</v>
      </c>
    </row>
    <row r="546" spans="2:14" x14ac:dyDescent="0.25">
      <c r="B546" s="139"/>
      <c r="C546" s="147"/>
      <c r="K546" s="9"/>
    </row>
    <row r="547" spans="2:14" x14ac:dyDescent="0.25">
      <c r="B547" s="139"/>
      <c r="C547" s="147"/>
      <c r="M547" s="9" t="str">
        <f>" (BR_band ("&amp;DOLLAR(BR_band,0)&amp;") + "&amp;L511&amp;") minus ("&amp;L518&amp;" + "&amp;L545&amp;")"</f>
        <v xml:space="preserve"> (BR_band (£37,700) + c4.75) minus (c4.75a + c4.75g)</v>
      </c>
    </row>
    <row r="548" spans="2:14" x14ac:dyDescent="0.25">
      <c r="B548" s="139"/>
      <c r="C548" s="147"/>
      <c r="K548" s="9" t="s">
        <v>7454</v>
      </c>
      <c r="L548" s="2162" t="str">
        <f>A192</f>
        <v>c4.75h</v>
      </c>
      <c r="M548" s="2161">
        <f>MAX(0,((BR_band+M511)-(M518+M545)))</f>
        <v>37700</v>
      </c>
      <c r="N548" s="26"/>
    </row>
    <row r="549" spans="2:14" x14ac:dyDescent="0.25">
      <c r="B549" s="139"/>
      <c r="C549" s="147"/>
    </row>
    <row r="550" spans="2:14" x14ac:dyDescent="0.25">
      <c r="B550" s="139"/>
      <c r="C550" s="147"/>
      <c r="M550" s="9" t="str">
        <f>"lower of "&amp;L530&amp;" and ("&amp;L548&amp;" minus "&amp;L539&amp;")"</f>
        <v>lower of c4.75c and (c4.75h minus c4.75e)</v>
      </c>
    </row>
    <row r="551" spans="2:14" x14ac:dyDescent="0.25">
      <c r="B551" s="139"/>
      <c r="C551" s="147"/>
      <c r="K551" s="9" t="s">
        <v>7455</v>
      </c>
      <c r="L551" s="2162" t="str">
        <f>A193</f>
        <v>c4.75i</v>
      </c>
      <c r="M551" s="2161">
        <f>MIN(M530,MAX(0,M548-M539))</f>
        <v>0</v>
      </c>
    </row>
    <row r="552" spans="2:14" x14ac:dyDescent="0.25">
      <c r="B552" s="139"/>
      <c r="C552" s="147"/>
    </row>
    <row r="553" spans="2:14" x14ac:dyDescent="0.25">
      <c r="B553" s="139"/>
      <c r="C553" s="147"/>
      <c r="M553" s="9" t="str">
        <f>L530&amp;" minus "&amp;L551</f>
        <v>c4.75c minus c4.75i</v>
      </c>
    </row>
    <row r="554" spans="2:14" x14ac:dyDescent="0.25">
      <c r="B554" s="139"/>
      <c r="C554" s="147"/>
      <c r="K554" s="9" t="s">
        <v>7456</v>
      </c>
      <c r="L554" s="2162" t="str">
        <f>A194</f>
        <v>c4.75j</v>
      </c>
      <c r="M554" s="2161">
        <f>MAX(0,M530-M551)</f>
        <v>0</v>
      </c>
    </row>
    <row r="555" spans="2:14" x14ac:dyDescent="0.25">
      <c r="B555" s="139"/>
      <c r="C555" s="147"/>
    </row>
    <row r="556" spans="2:14" x14ac:dyDescent="0.25">
      <c r="B556" s="139"/>
      <c r="C556" s="147"/>
      <c r="M556" s="9" t="str">
        <f>"lower of ("&amp;L548&amp;" minus PSA_HR ("&amp;DOLLAR(PSA_HR,0)&amp;")) and "&amp;L554</f>
        <v>lower of (c4.75h minus PSA_HR (£500)) and c4.75j</v>
      </c>
    </row>
    <row r="557" spans="2:14" x14ac:dyDescent="0.25">
      <c r="B557" s="139"/>
      <c r="C557" s="147"/>
      <c r="K557" s="9" t="s">
        <v>7457</v>
      </c>
      <c r="L557" s="2162" t="str">
        <f>A195</f>
        <v>c4.75k</v>
      </c>
      <c r="M557" s="2161">
        <f>MIN(MAX(0,(M548-PSA_HR)),M554)</f>
        <v>0</v>
      </c>
    </row>
    <row r="558" spans="2:14" x14ac:dyDescent="0.25">
      <c r="B558" s="139"/>
      <c r="C558" s="147"/>
    </row>
    <row r="559" spans="2:14" x14ac:dyDescent="0.25">
      <c r="B559" s="139"/>
      <c r="C559" s="147"/>
      <c r="M559" s="9" t="str">
        <f>"(BR_band ("&amp;DOLLAR(BR_band,0)&amp;") + "&amp;L511&amp;") minus ("&amp;L518&amp;" + "&amp;L530&amp;" + "&amp;L539&amp;")"</f>
        <v>(BR_band (£37,700) + c4.75) minus (c4.75a + c4.75c + c4.75e)</v>
      </c>
    </row>
    <row r="560" spans="2:14" x14ac:dyDescent="0.25">
      <c r="B560" s="139"/>
      <c r="C560" s="147"/>
      <c r="K560" s="9" t="s">
        <v>7458</v>
      </c>
      <c r="L560" s="2162" t="str">
        <f>A196</f>
        <v>c4.75l</v>
      </c>
      <c r="M560" s="2161">
        <f>MAX(0,((BR_band+M511)-(M518+M530+M539)))</f>
        <v>37700</v>
      </c>
    </row>
    <row r="561" spans="2:21" x14ac:dyDescent="0.25">
      <c r="B561" s="139"/>
      <c r="C561" s="147"/>
    </row>
    <row r="562" spans="2:21" x14ac:dyDescent="0.25">
      <c r="B562" s="139"/>
      <c r="C562" s="147"/>
      <c r="M562" s="9" t="str">
        <f>"lower of "&amp;L545&amp;" and "&amp;L560</f>
        <v>lower of c4.75g and c4.75l</v>
      </c>
    </row>
    <row r="563" spans="2:21" x14ac:dyDescent="0.25">
      <c r="B563" s="139"/>
      <c r="C563" s="147"/>
      <c r="K563" s="9" t="s">
        <v>7459</v>
      </c>
      <c r="L563" s="2162" t="str">
        <f>A200</f>
        <v>c4.75m</v>
      </c>
      <c r="M563" s="2161">
        <f>MIN(M545,M560)</f>
        <v>0</v>
      </c>
    </row>
    <row r="564" spans="2:21" x14ac:dyDescent="0.25">
      <c r="B564" s="139"/>
      <c r="C564" s="147"/>
    </row>
    <row r="565" spans="2:21" x14ac:dyDescent="0.25">
      <c r="B565" s="139"/>
      <c r="C565" s="147"/>
      <c r="M565" s="9" t="str">
        <f>L545&amp;" minus "&amp;L563</f>
        <v>c4.75g minus c4.75m</v>
      </c>
    </row>
    <row r="566" spans="2:21" x14ac:dyDescent="0.25">
      <c r="B566" s="139"/>
      <c r="C566" s="147"/>
      <c r="K566" s="9" t="s">
        <v>7460</v>
      </c>
      <c r="L566" s="2162" t="str">
        <f>A204</f>
        <v>c4.75n</v>
      </c>
      <c r="M566" s="2161">
        <f>MAX(0,M545-M563)</f>
        <v>0</v>
      </c>
    </row>
    <row r="567" spans="2:21" x14ac:dyDescent="0.25">
      <c r="B567" s="139"/>
      <c r="C567" s="147"/>
      <c r="R567" s="9" t="str">
        <f>L484&amp;" minus ("&amp;L536&amp;" + "&amp;L545&amp;")"</f>
        <v>c4.70 minus (c4.75d + c4.75g)</v>
      </c>
    </row>
    <row r="568" spans="2:21" x14ac:dyDescent="0.25">
      <c r="B568" s="139"/>
      <c r="C568" s="147"/>
      <c r="M568" s="9" t="str">
        <f>L542&amp;" minus "&amp;L545</f>
        <v>c4.75f minus c4.75g</v>
      </c>
      <c r="Q568" s="2162" t="str">
        <f>A207</f>
        <v>c4.75q</v>
      </c>
      <c r="R568" s="2161">
        <f>MAX(0,M484-(M536+M545))</f>
        <v>12570</v>
      </c>
    </row>
    <row r="569" spans="2:21" x14ac:dyDescent="0.25">
      <c r="B569" s="139"/>
      <c r="C569" s="147"/>
      <c r="K569" s="9" t="s">
        <v>7448</v>
      </c>
      <c r="L569" s="2162" t="str">
        <f>A205</f>
        <v>c4.75o</v>
      </c>
      <c r="M569" s="2161">
        <f>MAX(0,M542-M545)</f>
        <v>12570</v>
      </c>
    </row>
    <row r="570" spans="2:21" x14ac:dyDescent="0.25">
      <c r="B570" s="139"/>
      <c r="C570" s="147"/>
      <c r="R570" s="9" t="str">
        <f>'NS income (c1)'!I184&amp;" minus "&amp;Q568</f>
        <v>c1.57 minus c4.75q</v>
      </c>
    </row>
    <row r="571" spans="2:21" x14ac:dyDescent="0.25">
      <c r="B571" s="139"/>
      <c r="C571" s="147"/>
      <c r="M571" s="9" t="str">
        <f>"("&amp;'Divs (c3)'!G69&amp;" + "&amp;'Divs (c3)'!G75&amp;" + "&amp;'Divs (c3)'!G80&amp;") minus "&amp;L569</f>
        <v>(c3.18 + c3.19 + c3.20) minus c4.75o</v>
      </c>
      <c r="Q571" s="2162" t="str">
        <f>A208</f>
        <v>c4.75r</v>
      </c>
      <c r="R571" s="2161">
        <f>MAX(0,'NS income (c1)'!J184-R568)</f>
        <v>0</v>
      </c>
    </row>
    <row r="572" spans="2:21" x14ac:dyDescent="0.25">
      <c r="B572" s="139"/>
      <c r="C572" s="147"/>
      <c r="K572" s="9" t="s">
        <v>7461</v>
      </c>
      <c r="L572" s="2162" t="str">
        <f>A206</f>
        <v>c4.75p</v>
      </c>
      <c r="M572" s="2161">
        <f>MAX(0,('Divs (c3)'!H69+'Divs (c3)'!H75+'Divs (c3)'!H80)-M569)</f>
        <v>0</v>
      </c>
      <c r="R572" s="9" t="str">
        <f>"lower of "&amp;L530&amp;" and"</f>
        <v>lower of c4.75c and</v>
      </c>
    </row>
    <row r="573" spans="2:21" x14ac:dyDescent="0.25">
      <c r="B573" s="139"/>
      <c r="C573" s="147"/>
      <c r="R573" s="9" t="str">
        <f>"((BR_band ("&amp;DOLLAR(BR_band,0)&amp;") + "&amp;L511&amp;") minus "&amp;Q571&amp;")"</f>
        <v>((BR_band (£37,700) + c4.75) minus c4.75r)</v>
      </c>
    </row>
    <row r="574" spans="2:21" x14ac:dyDescent="0.25">
      <c r="B574" s="139"/>
      <c r="C574" s="147"/>
      <c r="M574" s="9" t="str">
        <f>L530&amp;" minus "&amp;Q574</f>
        <v>c4.75c minus c4.75s</v>
      </c>
      <c r="O574" s="457"/>
      <c r="P574" s="457" t="s">
        <v>7462</v>
      </c>
      <c r="Q574" s="2162" t="str">
        <f>A209</f>
        <v>c4.75s</v>
      </c>
      <c r="R574" s="2161">
        <f>MAX(0,MIN(M530,((BR_band+M511)-R571)))</f>
        <v>0</v>
      </c>
      <c r="T574" s="26"/>
      <c r="U574" s="457">
        <f>MIN(M530,MAX(0,((BR_band+M511)-R571)))</f>
        <v>0</v>
      </c>
    </row>
    <row r="575" spans="2:21" x14ac:dyDescent="0.25">
      <c r="B575" s="139"/>
      <c r="C575" s="147"/>
      <c r="K575" s="457" t="s">
        <v>7463</v>
      </c>
      <c r="L575" s="2162" t="str">
        <f>A210</f>
        <v>c4.75t</v>
      </c>
      <c r="M575" s="2161">
        <f>MAX(0,M530-R574)</f>
        <v>0</v>
      </c>
      <c r="O575" s="457"/>
      <c r="P575" s="139"/>
      <c r="Q575" s="219"/>
    </row>
    <row r="576" spans="2:21" x14ac:dyDescent="0.25">
      <c r="B576" s="139"/>
      <c r="C576" s="147"/>
      <c r="O576" s="457"/>
      <c r="P576" s="139"/>
      <c r="Q576" s="219"/>
    </row>
    <row r="577" spans="2:18" x14ac:dyDescent="0.25">
      <c r="B577" s="139"/>
      <c r="C577" s="147"/>
      <c r="M577" s="9" t="str">
        <f>L508&amp;" minus "&amp;L575</f>
        <v>c4.74 minus c4.75t</v>
      </c>
      <c r="O577" s="457"/>
      <c r="P577" s="139"/>
      <c r="Q577" s="219"/>
    </row>
    <row r="578" spans="2:18" x14ac:dyDescent="0.25">
      <c r="B578" s="139"/>
      <c r="C578" s="147"/>
      <c r="K578" s="457" t="s">
        <v>7464</v>
      </c>
      <c r="L578" s="2162" t="str">
        <f>A216</f>
        <v>c4.75u</v>
      </c>
      <c r="M578" s="2161">
        <f>MAX(0,M508-M575)</f>
        <v>0</v>
      </c>
      <c r="N578" s="458" t="s">
        <v>7465</v>
      </c>
    </row>
    <row r="579" spans="2:18" x14ac:dyDescent="0.25">
      <c r="B579" s="139"/>
      <c r="C579" s="147"/>
    </row>
    <row r="580" spans="2:18" x14ac:dyDescent="0.25">
      <c r="B580" s="147"/>
      <c r="C580" s="147"/>
      <c r="R580" s="9" t="s">
        <v>7043</v>
      </c>
    </row>
    <row r="581" spans="2:18" x14ac:dyDescent="0.25">
      <c r="E581" s="138" t="s">
        <v>7466</v>
      </c>
      <c r="I581" s="138" t="s">
        <v>7467</v>
      </c>
      <c r="M581" s="138" t="s">
        <v>7468</v>
      </c>
      <c r="Q581" s="2160" t="str">
        <f>A217</f>
        <v>c4.76</v>
      </c>
      <c r="R581" s="2161"/>
    </row>
    <row r="582" spans="2:18" x14ac:dyDescent="0.25">
      <c r="E582" s="138"/>
      <c r="I582" s="138"/>
      <c r="M582" s="138"/>
      <c r="Q582" s="171"/>
      <c r="R582" s="219"/>
    </row>
    <row r="583" spans="2:18" x14ac:dyDescent="0.25">
      <c r="B583" s="147"/>
      <c r="K583" s="210"/>
      <c r="L583" s="210"/>
      <c r="M583" s="9" t="str">
        <f>"if "&amp;L566&amp;" &gt; 0 (zero)"</f>
        <v>if c4.75n &gt; 0 (zero)</v>
      </c>
    </row>
    <row r="584" spans="2:18" x14ac:dyDescent="0.25">
      <c r="B584" s="147"/>
      <c r="I584" s="9"/>
      <c r="K584" s="210"/>
      <c r="L584" s="210"/>
      <c r="M584" s="9" t="str">
        <f>"and (("&amp;L566&amp;" &gt; "&amp;L554&amp;")"</f>
        <v>and ((c4.75n &gt; c4.75j)</v>
      </c>
    </row>
    <row r="585" spans="2:18" x14ac:dyDescent="0.25">
      <c r="E585" s="9" t="str">
        <f>"if "&amp;L518&amp;" &gt; ("&amp;'Status (c3a)'!H33&amp;" + "&amp;'Status (c3a)'!L33&amp;" + "&amp;'Status (c3a)'!P33&amp;" + "&amp;L511&amp;")"</f>
        <v>if c4.75a &gt; (c3a.1a + c3a.2 + c3a.2a + c4.75)</v>
      </c>
      <c r="I585" s="9" t="str">
        <f>"if "&amp;L578&amp;" &gt; (BR_band ("&amp;DOLLAR(BR_band,0)&amp;") + "&amp;L511&amp;")"</f>
        <v>if c4.75u &gt; (BR_band (£37,700) + c4.75)</v>
      </c>
      <c r="K585" s="210"/>
      <c r="L585" s="210"/>
      <c r="M585" s="9" t="str">
        <f>"or ("&amp;L563&amp;" + "&amp;L566&amp;" &gt; T_P_A ("&amp;DOLLAR(T_P_A,0)&amp;")))"</f>
        <v>or (c4.75m + c4.75n &gt; T_P_A (£1,260)))</v>
      </c>
      <c r="R585" s="9" t="str">
        <f>"if "&amp;D590&amp;" + "&amp;H590&amp;" + "&amp;L590&amp;" &gt; 0 (zero)"</f>
        <v>if c4.76a + c4.76b + c4.76b1 &gt; 0 (zero)</v>
      </c>
    </row>
    <row r="586" spans="2:18" x14ac:dyDescent="0.25">
      <c r="E586" s="9" t="str">
        <f>D590&amp;" = 1 (HR_case? 'Y')"</f>
        <v>c4.76a = 1 (HR_case? 'Y')</v>
      </c>
      <c r="I586" s="9" t="str">
        <f>H590&amp;" = 1 (HR_case? 'Y')"</f>
        <v>c4.76b = 1 (HR_case? 'Y')</v>
      </c>
      <c r="K586" s="210"/>
      <c r="L586" s="210"/>
      <c r="M586" s="9" t="str">
        <f>L590&amp;" = 1 (HR_case? 'Y')"</f>
        <v>c4.76b1 = 1 (HR_case? 'Y')</v>
      </c>
      <c r="R586" s="9" t="str">
        <f>Q590&amp;" = 1 (HR_case? 'Y')"</f>
        <v>c4.76c = 1 (HR_case? 'Y')</v>
      </c>
    </row>
    <row r="587" spans="2:18" x14ac:dyDescent="0.25">
      <c r="B587" s="24"/>
      <c r="E587" s="9" t="s">
        <v>7143</v>
      </c>
      <c r="I587" s="9" t="s">
        <v>7143</v>
      </c>
      <c r="K587" s="210"/>
      <c r="L587" s="210"/>
      <c r="M587" s="9" t="s">
        <v>7143</v>
      </c>
      <c r="R587" s="9" t="s">
        <v>7143</v>
      </c>
    </row>
    <row r="588" spans="2:18" x14ac:dyDescent="0.25">
      <c r="E588" s="9" t="str">
        <f>D590&amp;" = 0 (HR_case? 'N')"</f>
        <v>c4.76a = 0 (HR_case? 'N')</v>
      </c>
      <c r="I588" s="9" t="str">
        <f>H590&amp;" = 0 (HR_case? 'N')"</f>
        <v>c4.76b = 0 (HR_case? 'N')</v>
      </c>
      <c r="K588" s="210"/>
      <c r="L588" s="210"/>
      <c r="M588" s="9" t="str">
        <f>L590&amp;" = 0 (HR_case? 'N')"</f>
        <v>c4.76b1 = 0 (HR_case? 'N')</v>
      </c>
      <c r="R588" s="9" t="str">
        <f>Q590&amp;" = 0 (HR_case? 'N')"</f>
        <v>c4.76c = 0 (HR_case? 'N')</v>
      </c>
    </row>
    <row r="589" spans="2:18" x14ac:dyDescent="0.25">
      <c r="E589" s="9" t="s">
        <v>75</v>
      </c>
      <c r="I589" s="9" t="s">
        <v>75</v>
      </c>
      <c r="K589" s="210"/>
      <c r="L589" s="210"/>
      <c r="M589" s="432" t="s">
        <v>75</v>
      </c>
      <c r="R589" s="9" t="s">
        <v>75</v>
      </c>
    </row>
    <row r="590" spans="2:18" x14ac:dyDescent="0.25">
      <c r="D590" s="2160" t="str">
        <f>A218</f>
        <v>c4.76a</v>
      </c>
      <c r="E590" s="2129">
        <f>IF(M518&gt;('Status (c3a)'!I33+'Status (c3a)'!M33+'Status (c3a)'!Q33+M511),1,0)</f>
        <v>0</v>
      </c>
      <c r="G590" s="8" t="s">
        <v>7469</v>
      </c>
      <c r="H590" s="2160" t="str">
        <f>A219</f>
        <v>c4.76b</v>
      </c>
      <c r="I590" s="2029">
        <f>IF(M578&gt;BR_band+M511,1,0)</f>
        <v>0</v>
      </c>
      <c r="K590" s="8" t="s">
        <v>7470</v>
      </c>
      <c r="L590" s="2160" t="str">
        <f>A220</f>
        <v>c4.76b1</v>
      </c>
      <c r="M590" s="2029">
        <f>IF(AND(M566&gt;0,OR((M566&gt;M554),(M563+M566&gt;T_P_A))),1,0)</f>
        <v>0</v>
      </c>
      <c r="P590" s="9" t="s">
        <v>7471</v>
      </c>
      <c r="Q590" s="2160" t="str">
        <f>A221</f>
        <v>c4.76c</v>
      </c>
      <c r="R590" s="2029">
        <f>IF(E590+I590+M590&gt;0,1,0)</f>
        <v>0</v>
      </c>
    </row>
    <row r="591" spans="2:18" x14ac:dyDescent="0.25">
      <c r="B591" s="22" t="str">
        <f>"if "&amp;'Deductions (c4)'!H473&amp;" = T_P_A "&amp;DOLLAR(T_P_A,0)&amp;" and "&amp;'Deductions (c4)'!Q590&amp;" = 1 (HR_case? YES)"</f>
        <v>if c4.68 = T_P_A £1,260 and c4.76c = 1 (HR_case? YES)</v>
      </c>
    </row>
    <row r="592" spans="2:18" x14ac:dyDescent="0.25">
      <c r="B592" s="22" t="str">
        <f>'Deductions (c4)'!H473&amp;" = 0 (zero)"</f>
        <v>c4.68 = 0 (zero)</v>
      </c>
    </row>
    <row r="593" spans="2:13" x14ac:dyDescent="0.25">
      <c r="B593" s="22" t="str">
        <f>"Calculate boxes "&amp;'Deductions (c4)'!L477&amp;" through "&amp;'Deductions (c4)'!Q590</f>
        <v>Calculate boxes c4.69 through c4.76c</v>
      </c>
    </row>
    <row r="594" spans="2:13" x14ac:dyDescent="0.25">
      <c r="B594" s="22" t="s">
        <v>7143</v>
      </c>
    </row>
    <row r="595" spans="2:13" x14ac:dyDescent="0.25">
      <c r="B595" s="22" t="str">
        <f>"Retain calculation from "&amp;'Deductions (c4)'!H473&amp;" to "&amp;'Deductions (c4)'!Q590</f>
        <v>Retain calculation from c4.68 to c4.76c</v>
      </c>
    </row>
    <row r="596" spans="2:13" x14ac:dyDescent="0.25">
      <c r="B596" s="22" t="s">
        <v>75</v>
      </c>
    </row>
    <row r="598" spans="2:13" x14ac:dyDescent="0.25">
      <c r="B598" s="147" t="s">
        <v>922</v>
      </c>
    </row>
    <row r="599" spans="2:13" x14ac:dyDescent="0.25">
      <c r="B599" s="8" t="str">
        <f>"Boxes "&amp;L613&amp;" and "&amp;L628&amp;" are used to calculate the amount of personal savings allowance"</f>
        <v>Boxes c4.77 and c4.78 are used to calculate the amount of personal savings allowance</v>
      </c>
    </row>
    <row r="601" spans="2:13" x14ac:dyDescent="0.25">
      <c r="B601" s="12" t="s">
        <v>9592</v>
      </c>
    </row>
    <row r="602" spans="2:13" x14ac:dyDescent="0.25">
      <c r="B602" s="458" t="s">
        <v>924</v>
      </c>
      <c r="C602" s="147"/>
    </row>
    <row r="603" spans="2:13" x14ac:dyDescent="0.25">
      <c r="B603" s="458" t="s">
        <v>7472</v>
      </c>
    </row>
    <row r="604" spans="2:13" x14ac:dyDescent="0.25">
      <c r="B604" s="458" t="s">
        <v>7473</v>
      </c>
    </row>
    <row r="605" spans="2:13" x14ac:dyDescent="0.25">
      <c r="B605" s="458" t="s">
        <v>7474</v>
      </c>
      <c r="C605" s="147"/>
    </row>
    <row r="606" spans="2:13" x14ac:dyDescent="0.25">
      <c r="B606" s="458" t="s">
        <v>7475</v>
      </c>
      <c r="C606" s="147"/>
    </row>
    <row r="607" spans="2:13" x14ac:dyDescent="0.25">
      <c r="B607" s="422"/>
      <c r="C607" s="147"/>
    </row>
    <row r="608" spans="2:13" x14ac:dyDescent="0.25">
      <c r="M608" s="9" t="str">
        <f>"If "&amp;L508&amp;" &gt; (BR_band ("&amp;DOLLAR(BR_band,0)&amp;") + "&amp;L511&amp;")"</f>
        <v>If c4.74 &gt; (BR_band (£37,700) + c4.75)</v>
      </c>
    </row>
    <row r="609" spans="2:13" x14ac:dyDescent="0.25">
      <c r="B609" s="24"/>
      <c r="M609" s="9" t="str">
        <f>L613&amp;" = 1 (HR_case? 'Y')"</f>
        <v>c4.77 = 1 (HR_case? 'Y')</v>
      </c>
    </row>
    <row r="610" spans="2:13" x14ac:dyDescent="0.25">
      <c r="M610" s="9" t="s">
        <v>7143</v>
      </c>
    </row>
    <row r="611" spans="2:13" x14ac:dyDescent="0.25">
      <c r="M611" s="9" t="str">
        <f>L613&amp;" = 0 (HR_case? 'N')"</f>
        <v>c4.77 = 0 (HR_case? 'N')</v>
      </c>
    </row>
    <row r="612" spans="2:13" x14ac:dyDescent="0.25">
      <c r="M612" s="9" t="s">
        <v>75</v>
      </c>
    </row>
    <row r="613" spans="2:13" x14ac:dyDescent="0.25">
      <c r="K613" s="9"/>
      <c r="L613" s="2160" t="str">
        <f>A223</f>
        <v>c4.77</v>
      </c>
      <c r="M613" s="2029">
        <f>IF(M508&gt;BR_band+M511,1,0)</f>
        <v>0</v>
      </c>
    </row>
    <row r="614" spans="2:13" x14ac:dyDescent="0.25">
      <c r="C614" s="147"/>
    </row>
    <row r="615" spans="2:13" x14ac:dyDescent="0.25">
      <c r="B615" s="12" t="s">
        <v>9591</v>
      </c>
    </row>
    <row r="616" spans="2:13" x14ac:dyDescent="0.25">
      <c r="B616" s="458" t="s">
        <v>930</v>
      </c>
    </row>
    <row r="617" spans="2:13" x14ac:dyDescent="0.25">
      <c r="B617" s="458" t="s">
        <v>7476</v>
      </c>
    </row>
    <row r="618" spans="2:13" x14ac:dyDescent="0.25">
      <c r="B618" s="458" t="s">
        <v>7477</v>
      </c>
    </row>
    <row r="619" spans="2:13" x14ac:dyDescent="0.25">
      <c r="B619" s="458" t="s">
        <v>7478</v>
      </c>
    </row>
    <row r="620" spans="2:13" x14ac:dyDescent="0.25">
      <c r="B620" s="458" t="s">
        <v>7479</v>
      </c>
    </row>
    <row r="621" spans="2:13" x14ac:dyDescent="0.25">
      <c r="B621" s="458" t="s">
        <v>7480</v>
      </c>
    </row>
    <row r="622" spans="2:13" x14ac:dyDescent="0.25">
      <c r="B622" s="422"/>
    </row>
    <row r="623" spans="2:13" x14ac:dyDescent="0.25">
      <c r="M623" s="9" t="str">
        <f>"If "&amp;L508&amp;" &gt; (AHR_band ("&amp;DOLLAR(AHR_band,0)&amp;") + "&amp;L511&amp;")"</f>
        <v>If c4.74 &gt; (AHR_band (£125,140) + c4.75)</v>
      </c>
    </row>
    <row r="624" spans="2:13" x14ac:dyDescent="0.25">
      <c r="M624" s="9" t="str">
        <f>L628&amp;" = 1 (AHR_case? 'Y')"</f>
        <v>c4.78 = 1 (AHR_case? 'Y')</v>
      </c>
    </row>
    <row r="625" spans="2:13" x14ac:dyDescent="0.25">
      <c r="M625" s="9" t="s">
        <v>7143</v>
      </c>
    </row>
    <row r="626" spans="2:13" x14ac:dyDescent="0.25">
      <c r="M626" s="9" t="str">
        <f>L628&amp;" = 0 (AHR_case? 'N')"</f>
        <v>c4.78 = 0 (AHR_case? 'N')</v>
      </c>
    </row>
    <row r="627" spans="2:13" x14ac:dyDescent="0.25">
      <c r="M627" s="9" t="s">
        <v>75</v>
      </c>
    </row>
    <row r="628" spans="2:13" x14ac:dyDescent="0.25">
      <c r="K628" s="9"/>
      <c r="L628" s="2160" t="str">
        <f>A224</f>
        <v>c4.78</v>
      </c>
      <c r="M628" s="2029">
        <f>IF(M508&gt;AHR_band+M511,1,0)</f>
        <v>0</v>
      </c>
    </row>
    <row r="630" spans="2:13" x14ac:dyDescent="0.25">
      <c r="M630" s="9" t="str">
        <f>"if "&amp;L628&amp;" = 1 (Y)"</f>
        <v>if c4.78 = 1 (Y)</v>
      </c>
    </row>
    <row r="631" spans="2:13" x14ac:dyDescent="0.25">
      <c r="M631" s="9" t="str">
        <f>L639&amp;" = PSA_AHR ("&amp;DOLLAR(PSA_AHR,0)&amp;")"</f>
        <v>c4.79 = PSA_AHR (£0)</v>
      </c>
    </row>
    <row r="632" spans="2:13" x14ac:dyDescent="0.25">
      <c r="M632" s="9" t="s">
        <v>7143</v>
      </c>
    </row>
    <row r="633" spans="2:13" x14ac:dyDescent="0.25">
      <c r="M633" s="9" t="str">
        <f>"if "&amp;L613&amp;" = 1 (Y)"</f>
        <v>if c4.77 = 1 (Y)</v>
      </c>
    </row>
    <row r="634" spans="2:13" x14ac:dyDescent="0.25">
      <c r="M634" s="9" t="str">
        <f>L639&amp;" = PSA_HR ("&amp;DOLLAR(PSA_HR,0)&amp;")"</f>
        <v>c4.79 = PSA_HR (£500)</v>
      </c>
    </row>
    <row r="635" spans="2:13" x14ac:dyDescent="0.25">
      <c r="M635" s="9" t="s">
        <v>7143</v>
      </c>
    </row>
    <row r="636" spans="2:13" x14ac:dyDescent="0.25">
      <c r="M636" s="9" t="str">
        <f>L639&amp;" = PSA_BR ("&amp;DOLLAR(PSA_BR,0)&amp;")"</f>
        <v>c4.79 = PSA_BR (£1,000)</v>
      </c>
    </row>
    <row r="637" spans="2:13" x14ac:dyDescent="0.25">
      <c r="M637" s="9" t="s">
        <v>75</v>
      </c>
    </row>
    <row r="638" spans="2:13" x14ac:dyDescent="0.25">
      <c r="M638" s="9" t="s">
        <v>75</v>
      </c>
    </row>
    <row r="639" spans="2:13" x14ac:dyDescent="0.25">
      <c r="B639" s="147" t="s">
        <v>7481</v>
      </c>
      <c r="L639" s="2160" t="str">
        <f>A229</f>
        <v>c4.79</v>
      </c>
      <c r="M639" s="2029">
        <f>IF(AHR_case_PSA=1,PSA_AHR,IF(HR_case_PSA=1,PSA_HR,PSA_BR))</f>
        <v>1000</v>
      </c>
    </row>
    <row r="641" spans="2:13" x14ac:dyDescent="0.25">
      <c r="M641" s="9"/>
    </row>
    <row r="642" spans="2:13" x14ac:dyDescent="0.25">
      <c r="M642" s="9"/>
    </row>
    <row r="644" spans="2:13" x14ac:dyDescent="0.25">
      <c r="M644" s="9"/>
    </row>
    <row r="645" spans="2:13" x14ac:dyDescent="0.25">
      <c r="M645" s="9" t="str">
        <f>L646&amp;" = DA ("&amp;DOLLAR(DTA,0)&amp;")"</f>
        <v>c4.80 = DA (£500)</v>
      </c>
    </row>
    <row r="646" spans="2:13" x14ac:dyDescent="0.25">
      <c r="B646" s="147" t="s">
        <v>344</v>
      </c>
      <c r="L646" s="2160" t="str">
        <f>A230</f>
        <v>c4.80</v>
      </c>
      <c r="M646" s="2029">
        <f>DTA</f>
        <v>500</v>
      </c>
    </row>
    <row r="647" spans="2:13" x14ac:dyDescent="0.25">
      <c r="M647" s="9" t="str">
        <f>"copy to "&amp;'tax it (c6)'!A34</f>
        <v>copy to c6.24</v>
      </c>
    </row>
  </sheetData>
  <phoneticPr fontId="58" type="noConversion"/>
  <pageMargins left="0.15748031496062992" right="0.15748031496062992" top="0.19685039370078741" bottom="0.19685039370078741" header="0.19685039370078741" footer="0.19685039370078741"/>
  <pageSetup paperSize="9" orientation="portrait" r:id="rId1"/>
  <headerFooter alignWithMargins="0">
    <oddFooter>&amp;C&amp;1#&amp;"Calibri"&amp;10&amp;K000000OFFICIAL-SENSITIVE</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1"/>
  <dimension ref="A1:BD419"/>
  <sheetViews>
    <sheetView showGridLines="0" topLeftCell="B1" zoomScale="112" zoomScaleNormal="112" zoomScaleSheetLayoutView="50" workbookViewId="0">
      <selection activeCell="B1" sqref="B1"/>
    </sheetView>
  </sheetViews>
  <sheetFormatPr defaultColWidth="10.453125" defaultRowHeight="11.5" x14ac:dyDescent="0.25"/>
  <cols>
    <col min="1" max="1" width="4.81640625" style="8" hidden="1" customWidth="1"/>
    <col min="2" max="2" width="2.54296875" style="8" customWidth="1"/>
    <col min="3" max="3" width="17.81640625" style="8" customWidth="1"/>
    <col min="4" max="4" width="14.54296875" style="8" customWidth="1"/>
    <col min="5" max="5" width="6.1796875" style="8" customWidth="1"/>
    <col min="6" max="6" width="31.81640625" style="8" customWidth="1"/>
    <col min="7" max="8" width="9.1796875" style="8" customWidth="1"/>
    <col min="9" max="9" width="6.453125" style="8" customWidth="1"/>
    <col min="10" max="10" width="31.81640625" style="8" customWidth="1"/>
    <col min="11" max="12" width="9.1796875" style="8" customWidth="1"/>
    <col min="13" max="13" width="7.1796875" style="8" customWidth="1"/>
    <col min="14" max="14" width="31.81640625" style="8" customWidth="1"/>
    <col min="15" max="15" width="17.453125" style="8" customWidth="1"/>
    <col min="16" max="16" width="23.453125" style="8" customWidth="1"/>
    <col min="17" max="17" width="8" style="8" customWidth="1"/>
    <col min="18" max="18" width="47.54296875" style="8" customWidth="1"/>
    <col min="19" max="19" width="17.453125" style="8" customWidth="1"/>
    <col min="20" max="20" width="27" style="8" customWidth="1"/>
    <col min="21" max="21" width="7.1796875" style="8" customWidth="1"/>
    <col min="22" max="22" width="31.81640625" style="8" customWidth="1"/>
    <col min="23" max="23" width="17.54296875" style="8" customWidth="1"/>
    <col min="24" max="24" width="84.1796875" style="8" customWidth="1"/>
    <col min="25" max="25" width="9" style="8" customWidth="1"/>
    <col min="26" max="26" width="31.81640625" style="8" customWidth="1"/>
    <col min="27" max="28" width="9.1796875" style="8" customWidth="1"/>
    <col min="29" max="29" width="7.453125" style="8" customWidth="1"/>
    <col min="30" max="30" width="31.81640625" style="8" customWidth="1"/>
    <col min="31" max="31" width="14" style="8" customWidth="1"/>
    <col min="32" max="32" width="9.1796875" style="8" customWidth="1"/>
    <col min="33" max="33" width="7.54296875" style="8" customWidth="1"/>
    <col min="34" max="34" width="31.81640625" style="8" customWidth="1"/>
    <col min="35" max="36" width="9.1796875" style="8" customWidth="1"/>
    <col min="37" max="37" width="7.1796875" style="8" customWidth="1"/>
    <col min="38" max="38" width="31.81640625" style="8" customWidth="1"/>
    <col min="39" max="39" width="6.1796875" style="8" customWidth="1"/>
    <col min="40" max="40" width="9.1796875" style="8" customWidth="1"/>
    <col min="41" max="41" width="7.453125" style="8" customWidth="1"/>
    <col min="42" max="42" width="31.81640625" style="8" customWidth="1"/>
    <col min="43" max="43" width="8.1796875" style="8" customWidth="1"/>
    <col min="44" max="44" width="16" style="8" customWidth="1"/>
    <col min="45" max="45" width="7.54296875" style="8" customWidth="1"/>
    <col min="46" max="46" width="33.1796875" style="8" customWidth="1"/>
    <col min="47" max="47" width="9" style="8" customWidth="1"/>
    <col min="48" max="48" width="21.81640625" style="8" customWidth="1"/>
    <col min="49" max="49" width="7.81640625" style="8" customWidth="1"/>
    <col min="50" max="50" width="33.453125" style="8" customWidth="1"/>
    <col min="51" max="51" width="9.1796875" style="8" customWidth="1"/>
    <col min="52" max="52" width="18.54296875" style="8" bestFit="1" customWidth="1"/>
    <col min="53" max="53" width="5.54296875" style="8" customWidth="1"/>
    <col min="54" max="54" width="31.81640625" style="8" customWidth="1"/>
    <col min="55" max="55" width="5.54296875" style="8" customWidth="1"/>
    <col min="56" max="56" width="18.1796875" style="8" bestFit="1" customWidth="1"/>
    <col min="57" max="16384" width="10.453125" style="8"/>
  </cols>
  <sheetData>
    <row r="1" spans="1:52" ht="18" x14ac:dyDescent="0.4">
      <c r="A1" s="8" t="s">
        <v>7482</v>
      </c>
      <c r="B1" s="483" t="s">
        <v>7483</v>
      </c>
      <c r="G1" s="2144" t="s">
        <v>7019</v>
      </c>
      <c r="H1" s="2146"/>
      <c r="I1" s="2146"/>
      <c r="J1" s="2146"/>
      <c r="K1" s="2146"/>
      <c r="L1" s="2147"/>
    </row>
    <row r="2" spans="1:52" ht="18" x14ac:dyDescent="0.4">
      <c r="A2" s="8" t="s">
        <v>7484</v>
      </c>
      <c r="C2" s="859" t="s">
        <v>5551</v>
      </c>
    </row>
    <row r="3" spans="1:52" ht="12" customHeight="1" x14ac:dyDescent="0.4">
      <c r="A3" s="8" t="s">
        <v>4940</v>
      </c>
      <c r="C3" s="859"/>
      <c r="F3" s="215"/>
      <c r="G3" s="814"/>
      <c r="Q3" s="856"/>
      <c r="R3" s="856"/>
    </row>
    <row r="4" spans="1:52" ht="12" customHeight="1" x14ac:dyDescent="0.4">
      <c r="A4" s="8" t="s">
        <v>7485</v>
      </c>
      <c r="C4" s="859"/>
      <c r="F4" s="210"/>
      <c r="G4" s="814"/>
      <c r="Q4" s="856"/>
      <c r="R4" s="856"/>
    </row>
    <row r="5" spans="1:52" ht="12" customHeight="1" x14ac:dyDescent="0.4">
      <c r="A5" s="8" t="s">
        <v>7486</v>
      </c>
      <c r="C5" s="859"/>
      <c r="F5" s="210"/>
      <c r="G5" s="814"/>
      <c r="Q5" s="856"/>
      <c r="R5" s="856"/>
    </row>
    <row r="6" spans="1:52" ht="12" customHeight="1" x14ac:dyDescent="0.4">
      <c r="A6" s="8" t="s">
        <v>7487</v>
      </c>
      <c r="C6" s="859"/>
      <c r="F6" s="215"/>
      <c r="G6" s="814"/>
      <c r="Q6" s="856"/>
      <c r="R6" s="856"/>
    </row>
    <row r="7" spans="1:52" ht="12" customHeight="1" x14ac:dyDescent="0.25">
      <c r="A7" s="8" t="s">
        <v>7488</v>
      </c>
      <c r="E7" s="1065"/>
      <c r="F7" s="1067" t="str">
        <f>'Deductions (c4)'!L484&amp;" minus ("&amp;'Deductions (c4)'!H281&amp;" + "&amp;'Deductions (c4)'!H294&amp;" + "&amp;'Deductions (c4)'!H310&amp;" + "&amp;'Deductions (c4)'!H321&amp;" + "&amp;'Deductions (c4)'!H413&amp;")"</f>
        <v>c4.70 minus (c4.47.19 + c4.47.23 + c4.47.27 + c4.47.30 + c4.63b)</v>
      </c>
      <c r="G7" s="814"/>
      <c r="Q7" s="856"/>
      <c r="R7" s="856"/>
      <c r="V7" s="9" t="str">
        <f>'Status (c3a)'!L33&amp;" + "&amp;'Deductions (c4)'!H383</f>
        <v>c3a.2 + c4.59</v>
      </c>
      <c r="W7" s="9"/>
      <c r="X7" s="9"/>
      <c r="Y7" s="9"/>
      <c r="Z7" s="9"/>
      <c r="AA7" s="9"/>
      <c r="AL7" s="174" t="str">
        <f>"BR_band ("&amp;DOLLAR(BR_band,0)&amp;") + "&amp;'Deductions (c4)'!H383</f>
        <v>BR_band (£37,700) + c4.59</v>
      </c>
      <c r="AM7" s="148"/>
    </row>
    <row r="8" spans="1:52" ht="12" customHeight="1" x14ac:dyDescent="0.25">
      <c r="A8" s="8" t="s">
        <v>7489</v>
      </c>
      <c r="D8" s="9" t="s">
        <v>7490</v>
      </c>
      <c r="E8" s="2180" t="str">
        <f>A1</f>
        <v>c5.1</v>
      </c>
      <c r="F8" s="2149">
        <f>MAX(0,'Deductions (c4)'!M484-('Deductions (c4)'!I281+'Deductions (c4)'!I294+'Deductions (c4)'!I310+'Deductions (c4)'!I321+'Deductions (c4)'!I413))</f>
        <v>12570</v>
      </c>
      <c r="G8" s="814"/>
      <c r="Q8" s="856"/>
      <c r="R8" s="856"/>
      <c r="T8" s="9" t="s">
        <v>7491</v>
      </c>
      <c r="U8" s="2180" t="str">
        <f>A2</f>
        <v>c5.2</v>
      </c>
      <c r="V8" s="2149">
        <f>'Status (c3a)'!M33+'Deductions (c4)'!I383</f>
        <v>37700</v>
      </c>
      <c r="W8" s="26"/>
      <c r="X8" s="26"/>
      <c r="Y8" s="26"/>
      <c r="Z8" s="26"/>
      <c r="AA8" s="26"/>
      <c r="AE8" s="221"/>
      <c r="AF8" s="221"/>
      <c r="AJ8" s="9" t="s">
        <v>7492</v>
      </c>
      <c r="AK8" s="2162" t="str">
        <f>A3</f>
        <v>c5.2a</v>
      </c>
      <c r="AL8" s="2149">
        <f>BR_band+'Deductions (c4)'!I383</f>
        <v>37700</v>
      </c>
    </row>
    <row r="9" spans="1:52" ht="12" customHeight="1" x14ac:dyDescent="0.25">
      <c r="A9" s="8" t="s">
        <v>7493</v>
      </c>
      <c r="B9" s="2151"/>
      <c r="C9" s="2151"/>
      <c r="D9" s="2151"/>
      <c r="E9" s="2151"/>
      <c r="F9" s="2151"/>
      <c r="G9" s="2151"/>
      <c r="H9" s="2151"/>
      <c r="I9" s="2151"/>
      <c r="J9" s="2151"/>
      <c r="K9" s="2151"/>
      <c r="L9" s="2151"/>
      <c r="M9" s="2151"/>
      <c r="N9" s="2151"/>
      <c r="O9" s="2151"/>
      <c r="P9" s="2151"/>
      <c r="Q9" s="2151"/>
      <c r="R9" s="2151"/>
      <c r="S9" s="2151"/>
      <c r="T9" s="2151"/>
      <c r="U9" s="2151"/>
      <c r="V9" s="2151"/>
      <c r="W9" s="2151"/>
      <c r="X9" s="2151"/>
      <c r="Y9" s="2151"/>
      <c r="Z9" s="2151"/>
      <c r="AA9" s="2151"/>
      <c r="AB9" s="2151"/>
      <c r="AC9" s="2151"/>
      <c r="AD9" s="2151"/>
      <c r="AE9" s="2151"/>
      <c r="AF9" s="2151"/>
      <c r="AG9" s="2151"/>
      <c r="AH9" s="2151"/>
      <c r="AI9" s="2151"/>
      <c r="AJ9" s="2151"/>
      <c r="AK9" s="2151"/>
      <c r="AL9" s="2151"/>
      <c r="AM9" s="2151"/>
      <c r="AN9" s="2151"/>
      <c r="AO9" s="2151"/>
      <c r="AP9" s="2151"/>
      <c r="AQ9" s="2151"/>
      <c r="AR9" s="2151"/>
      <c r="AS9" s="2151"/>
      <c r="AT9" s="2151"/>
      <c r="AU9" s="2151"/>
      <c r="AV9" s="2151"/>
      <c r="AW9" s="2151"/>
      <c r="AX9" s="2151"/>
      <c r="AY9" s="2151"/>
      <c r="AZ9" s="2151"/>
    </row>
    <row r="10" spans="1:52" ht="12" customHeight="1" x14ac:dyDescent="0.25">
      <c r="A10" s="8" t="s">
        <v>7494</v>
      </c>
    </row>
    <row r="11" spans="1:52" ht="12" customHeight="1" x14ac:dyDescent="0.25">
      <c r="A11" s="8" t="s">
        <v>7495</v>
      </c>
      <c r="G11" s="814"/>
      <c r="R11" s="138"/>
      <c r="V11" s="138"/>
      <c r="W11" s="138"/>
      <c r="X11" s="138"/>
      <c r="Y11" s="138"/>
      <c r="Z11" s="138"/>
      <c r="AA11" s="138"/>
      <c r="AD11" s="138"/>
      <c r="AE11" s="138"/>
      <c r="AF11" s="138"/>
      <c r="AL11" s="138"/>
      <c r="AP11" s="138"/>
      <c r="AT11" s="138"/>
    </row>
    <row r="12" spans="1:52" ht="12" customHeight="1" x14ac:dyDescent="0.25">
      <c r="A12" s="8" t="s">
        <v>7496</v>
      </c>
      <c r="F12" s="9" t="s">
        <v>7252</v>
      </c>
      <c r="G12" s="814"/>
      <c r="H12" s="78"/>
    </row>
    <row r="13" spans="1:52" ht="12" customHeight="1" x14ac:dyDescent="0.25">
      <c r="A13" s="8" t="s">
        <v>7497</v>
      </c>
      <c r="F13" s="1067" t="str">
        <f>E17&amp;" = "&amp;'non-res (c91)'!M33&amp;" minus ("&amp;'Deductions (c4)'!H281&amp;" + "&amp;'Deductions (c4)'!H321&amp;" + "&amp;'Deductions (c4)'!H413&amp;")"</f>
        <v>c5.3 = c91.6 minus (c4.47.19 + c4.47.30 + c4.63b)</v>
      </c>
      <c r="G13" s="814"/>
      <c r="H13" s="78"/>
      <c r="AH13" s="36"/>
    </row>
    <row r="14" spans="1:52" ht="12" customHeight="1" x14ac:dyDescent="0.25">
      <c r="A14" s="8" t="s">
        <v>7498</v>
      </c>
      <c r="F14" s="9" t="s">
        <v>7143</v>
      </c>
      <c r="G14" s="814"/>
      <c r="H14" s="78"/>
      <c r="AH14" s="36"/>
    </row>
    <row r="15" spans="1:52" ht="12" customHeight="1" x14ac:dyDescent="0.25">
      <c r="A15" s="8" t="s">
        <v>7499</v>
      </c>
      <c r="F15" s="9" t="str">
        <f>E17&amp;" = "&amp;'Deductions (c4)'!L418</f>
        <v>c5.3 = c4.63c</v>
      </c>
      <c r="G15" s="814"/>
      <c r="J15" s="26"/>
      <c r="AD15" s="9"/>
      <c r="AE15" s="9"/>
      <c r="AF15" s="9"/>
      <c r="AH15" s="36"/>
      <c r="AL15" s="9"/>
    </row>
    <row r="16" spans="1:52" ht="12" customHeight="1" x14ac:dyDescent="0.25">
      <c r="A16" s="8" t="s">
        <v>7500</v>
      </c>
      <c r="F16" s="9" t="s">
        <v>75</v>
      </c>
      <c r="G16" s="814"/>
      <c r="R16" s="9" t="s">
        <v>4816</v>
      </c>
      <c r="V16" s="9" t="s">
        <v>4816</v>
      </c>
      <c r="W16" s="9"/>
      <c r="X16" s="9"/>
      <c r="Y16" s="9"/>
      <c r="Z16" s="9"/>
      <c r="AA16" s="9"/>
      <c r="AD16" s="9" t="s">
        <v>4816</v>
      </c>
      <c r="AE16" s="9"/>
      <c r="AF16" s="9"/>
      <c r="AH16" s="36" t="s">
        <v>7043</v>
      </c>
      <c r="AL16" s="9" t="s">
        <v>4816</v>
      </c>
      <c r="AT16" s="9" t="s">
        <v>4816</v>
      </c>
    </row>
    <row r="17" spans="1:52" ht="12" customHeight="1" x14ac:dyDescent="0.25">
      <c r="A17" s="8" t="s">
        <v>7501</v>
      </c>
      <c r="C17" s="469" t="s">
        <v>5681</v>
      </c>
      <c r="D17" s="469"/>
      <c r="E17" s="2180" t="s">
        <v>7485</v>
      </c>
      <c r="F17" s="2149">
        <f>IF(non_resident,MAX(0,'non-res (c91)'!N33-('Deductions (c4)'!I281+'Deductions (c4)'!I321+'Deductions (c4)'!I413)),'Deductions (c4)'!M418)</f>
        <v>0</v>
      </c>
      <c r="G17" s="814"/>
      <c r="Q17" s="2180" t="str">
        <f>A5</f>
        <v>c5.3a</v>
      </c>
      <c r="R17" s="2149"/>
      <c r="U17" s="2180" t="str">
        <f>A6</f>
        <v>c5.4</v>
      </c>
      <c r="V17" s="2149"/>
      <c r="W17" s="26"/>
      <c r="X17" s="26"/>
      <c r="Y17" s="26"/>
      <c r="Z17" s="26"/>
      <c r="AA17" s="26"/>
      <c r="AC17" s="2180" t="str">
        <f>A7</f>
        <v>c5.4a</v>
      </c>
      <c r="AD17" s="2149">
        <v>0</v>
      </c>
      <c r="AE17" s="26"/>
      <c r="AF17" s="285"/>
      <c r="AG17" s="2180" t="str">
        <f>A8</f>
        <v>c5.4b</v>
      </c>
      <c r="AH17" s="2149">
        <v>0</v>
      </c>
      <c r="AK17" s="2180" t="str">
        <f>A9</f>
        <v>c5.5</v>
      </c>
      <c r="AL17" s="2149">
        <v>0</v>
      </c>
      <c r="AS17" s="2180" t="str">
        <f>A10</f>
        <v>c5.6</v>
      </c>
      <c r="AT17" s="2129">
        <v>0</v>
      </c>
      <c r="AV17" s="458" t="s">
        <v>5681</v>
      </c>
      <c r="AW17" s="458"/>
    </row>
    <row r="18" spans="1:52" ht="12" customHeight="1" x14ac:dyDescent="0.25">
      <c r="A18" s="8" t="s">
        <v>7502</v>
      </c>
      <c r="B18" s="2151"/>
      <c r="C18" s="2151"/>
      <c r="D18" s="2151"/>
      <c r="E18" s="2151"/>
      <c r="F18" s="2151"/>
      <c r="G18" s="2151"/>
      <c r="H18" s="2151"/>
      <c r="I18" s="2151"/>
      <c r="J18" s="2151"/>
      <c r="K18" s="2151"/>
      <c r="L18" s="2151"/>
      <c r="M18" s="2151"/>
      <c r="N18" s="2151"/>
      <c r="O18" s="2151"/>
      <c r="P18" s="2151"/>
      <c r="Q18" s="2151"/>
      <c r="R18" s="2151"/>
      <c r="S18" s="2151"/>
      <c r="T18" s="2151"/>
      <c r="U18" s="2151"/>
      <c r="V18" s="2151"/>
      <c r="W18" s="2151"/>
      <c r="X18" s="2151"/>
      <c r="Y18" s="2151"/>
      <c r="Z18" s="2151"/>
      <c r="AA18" s="2151"/>
      <c r="AB18" s="2151"/>
      <c r="AC18" s="2151"/>
      <c r="AD18" s="2151"/>
      <c r="AE18" s="2151"/>
      <c r="AF18" s="2151"/>
      <c r="AG18" s="2151"/>
      <c r="AH18" s="2151"/>
      <c r="AI18" s="2151"/>
      <c r="AJ18" s="2151"/>
      <c r="AK18" s="2151"/>
      <c r="AL18" s="2151"/>
      <c r="AM18" s="2151"/>
      <c r="AN18" s="2151"/>
      <c r="AO18" s="2151"/>
      <c r="AP18" s="2151"/>
      <c r="AQ18" s="2151"/>
      <c r="AR18" s="2151"/>
      <c r="AS18" s="2151"/>
      <c r="AT18" s="2151"/>
      <c r="AU18" s="2151"/>
      <c r="AV18" s="2151"/>
      <c r="AW18" s="2151"/>
      <c r="AX18" s="2151"/>
      <c r="AY18" s="2151"/>
      <c r="AZ18" s="2151"/>
    </row>
    <row r="19" spans="1:52" ht="12" customHeight="1" x14ac:dyDescent="0.25">
      <c r="A19" s="8" t="s">
        <v>7503</v>
      </c>
    </row>
    <row r="20" spans="1:52" ht="12" customHeight="1" x14ac:dyDescent="0.25">
      <c r="A20" s="8" t="s">
        <v>7504</v>
      </c>
      <c r="G20" s="814"/>
      <c r="Q20" s="856"/>
      <c r="R20" s="856"/>
      <c r="V20" s="138" t="s">
        <v>7505</v>
      </c>
      <c r="W20" s="138"/>
      <c r="X20" s="138"/>
      <c r="Y20" s="138"/>
      <c r="Z20" s="138"/>
      <c r="AA20" s="138"/>
      <c r="AL20" s="138" t="s">
        <v>7506</v>
      </c>
      <c r="AT20" s="138" t="s">
        <v>7507</v>
      </c>
    </row>
    <row r="21" spans="1:52" x14ac:dyDescent="0.25">
      <c r="A21" s="8" t="s">
        <v>7508</v>
      </c>
      <c r="G21" s="814"/>
      <c r="Q21" s="856"/>
      <c r="R21" s="856"/>
    </row>
    <row r="22" spans="1:52" x14ac:dyDescent="0.25">
      <c r="A22" s="8" t="s">
        <v>7509</v>
      </c>
      <c r="G22" s="814"/>
      <c r="Q22" s="856"/>
      <c r="R22" s="856"/>
      <c r="V22" s="9"/>
      <c r="W22" s="9"/>
      <c r="X22" s="9"/>
      <c r="Y22" s="9"/>
      <c r="Z22" s="9"/>
      <c r="AA22" s="9"/>
      <c r="AL22" s="215"/>
    </row>
    <row r="23" spans="1:52" ht="12" customHeight="1" x14ac:dyDescent="0.25">
      <c r="A23" s="8" t="s">
        <v>7510</v>
      </c>
      <c r="F23" s="9" t="s">
        <v>7043</v>
      </c>
      <c r="G23" s="814"/>
      <c r="Q23" s="856"/>
      <c r="R23" s="856"/>
      <c r="V23" s="9" t="s">
        <v>7043</v>
      </c>
      <c r="W23" s="9"/>
      <c r="X23" s="9"/>
      <c r="Y23" s="9"/>
      <c r="Z23" s="9"/>
      <c r="AA23" s="9"/>
      <c r="AL23" s="9" t="s">
        <v>7043</v>
      </c>
      <c r="AT23" s="9" t="s">
        <v>7043</v>
      </c>
    </row>
    <row r="24" spans="1:52" ht="12" customHeight="1" x14ac:dyDescent="0.25">
      <c r="A24" s="8" t="s">
        <v>7511</v>
      </c>
      <c r="C24" s="469" t="s">
        <v>7119</v>
      </c>
      <c r="D24" s="469"/>
      <c r="E24" s="2162" t="str">
        <f>A11</f>
        <v>c5.7</v>
      </c>
      <c r="F24" s="2127">
        <v>0</v>
      </c>
      <c r="G24" s="814"/>
      <c r="Q24" s="856"/>
      <c r="R24" s="856"/>
      <c r="U24" s="2162" t="str">
        <f>A12</f>
        <v>c5.8</v>
      </c>
      <c r="V24" s="2127">
        <v>0</v>
      </c>
      <c r="W24" s="857"/>
      <c r="X24" s="857"/>
      <c r="Y24" s="857"/>
      <c r="Z24" s="857"/>
      <c r="AA24" s="857"/>
      <c r="AK24" s="2162" t="str">
        <f>A13</f>
        <v>c5.9</v>
      </c>
      <c r="AL24" s="2129">
        <v>0</v>
      </c>
      <c r="AS24" s="2162" t="str">
        <f>A14</f>
        <v>c5.10</v>
      </c>
      <c r="AT24" s="2129">
        <v>0</v>
      </c>
      <c r="AV24" s="458" t="s">
        <v>7119</v>
      </c>
      <c r="AW24" s="458"/>
    </row>
    <row r="25" spans="1:52" ht="12" customHeight="1" x14ac:dyDescent="0.25">
      <c r="A25" s="8" t="s">
        <v>7512</v>
      </c>
      <c r="B25" s="2151"/>
      <c r="C25" s="2151"/>
      <c r="D25" s="2151"/>
      <c r="E25" s="2151"/>
      <c r="F25" s="2151"/>
      <c r="G25" s="2151"/>
      <c r="H25" s="2151"/>
      <c r="I25" s="2151"/>
      <c r="J25" s="2151"/>
      <c r="K25" s="2151"/>
      <c r="L25" s="2151"/>
      <c r="M25" s="2151"/>
      <c r="N25" s="2151"/>
      <c r="O25" s="2151"/>
      <c r="P25" s="2151"/>
      <c r="Q25" s="2151"/>
      <c r="R25" s="2151"/>
      <c r="S25" s="2151"/>
      <c r="T25" s="2151"/>
      <c r="U25" s="2151"/>
      <c r="V25" s="2151"/>
      <c r="W25" s="2151"/>
      <c r="X25" s="2151"/>
      <c r="Y25" s="2151"/>
      <c r="Z25" s="2151"/>
      <c r="AA25" s="2151"/>
      <c r="AB25" s="2151"/>
      <c r="AC25" s="2151"/>
      <c r="AD25" s="2151"/>
      <c r="AE25" s="2151"/>
      <c r="AF25" s="2151"/>
      <c r="AG25" s="2151"/>
      <c r="AH25" s="2151"/>
      <c r="AI25" s="2151"/>
      <c r="AJ25" s="2151"/>
      <c r="AK25" s="2151"/>
      <c r="AL25" s="2151"/>
      <c r="AM25" s="2151"/>
      <c r="AN25" s="2151"/>
      <c r="AO25" s="2151"/>
      <c r="AP25" s="2151"/>
      <c r="AQ25" s="2151"/>
      <c r="AR25" s="2151"/>
      <c r="AS25" s="2151"/>
      <c r="AT25" s="2151"/>
      <c r="AU25" s="2151"/>
      <c r="AV25" s="2151"/>
      <c r="AW25" s="2151"/>
      <c r="AX25" s="2151"/>
      <c r="AY25" s="2151"/>
      <c r="AZ25" s="2151"/>
    </row>
    <row r="26" spans="1:52" ht="12" customHeight="1" x14ac:dyDescent="0.25">
      <c r="A26" s="8" t="s">
        <v>7513</v>
      </c>
    </row>
    <row r="27" spans="1:52" ht="12" customHeight="1" x14ac:dyDescent="0.25">
      <c r="A27" s="8" t="s">
        <v>7514</v>
      </c>
      <c r="G27" s="814"/>
      <c r="J27" s="138" t="s">
        <v>7515</v>
      </c>
      <c r="N27" s="138" t="s">
        <v>7516</v>
      </c>
      <c r="O27" s="138"/>
      <c r="P27" s="138"/>
      <c r="Q27" s="856"/>
      <c r="R27" s="856"/>
      <c r="V27" s="138" t="s">
        <v>7505</v>
      </c>
      <c r="W27" s="138"/>
      <c r="X27" s="138"/>
      <c r="Y27" s="138"/>
      <c r="Z27" s="138"/>
      <c r="AA27" s="138"/>
      <c r="AH27" s="138" t="s">
        <v>7517</v>
      </c>
      <c r="AI27" s="138"/>
      <c r="AL27" s="138" t="s">
        <v>7506</v>
      </c>
      <c r="AP27" s="138" t="s">
        <v>7518</v>
      </c>
      <c r="AT27" s="138" t="s">
        <v>7507</v>
      </c>
    </row>
    <row r="28" spans="1:52" ht="12" customHeight="1" x14ac:dyDescent="0.25">
      <c r="A28" s="8" t="s">
        <v>7519</v>
      </c>
      <c r="G28" s="814"/>
      <c r="H28" s="856"/>
      <c r="Q28" s="856"/>
      <c r="R28" s="856"/>
      <c r="V28" s="138"/>
      <c r="W28" s="138"/>
      <c r="X28" s="138"/>
      <c r="Y28" s="138"/>
      <c r="Z28" s="138"/>
      <c r="AA28" s="138"/>
      <c r="AH28" s="138"/>
      <c r="AI28" s="138"/>
      <c r="AL28" s="138"/>
      <c r="AT28" s="138"/>
    </row>
    <row r="29" spans="1:52" ht="12" customHeight="1" x14ac:dyDescent="0.25">
      <c r="A29" s="8" t="s">
        <v>7520</v>
      </c>
      <c r="G29" s="814"/>
      <c r="H29" s="856"/>
      <c r="N29" s="9" t="str">
        <f>"lower of ("&amp;E36&amp;" minus "&amp;I36&amp;") and "&amp;'Deductions (c4)'!L639</f>
        <v>lower of (c5.11 minus c5.12) and c4.79</v>
      </c>
      <c r="O29" s="9"/>
      <c r="P29" s="9"/>
      <c r="Q29" s="856"/>
      <c r="R29" s="856"/>
      <c r="AG29" s="26"/>
      <c r="AH29" s="174" t="str">
        <f>"("&amp;'Status (c3a)'!AD33&amp;" + "&amp;'Deductions (c4)'!H383&amp;") minus ("&amp;E17&amp;" + "&amp;M36&amp;" + "&amp;U36&amp;")"</f>
        <v>(c3a.3a + c4.59) minus (c5.3 + c5.15 + c5.16)</v>
      </c>
      <c r="AI29" s="174"/>
      <c r="AP29" s="9" t="str">
        <f>"from "&amp;'Deductions (c4)'!L639</f>
        <v>from c4.79</v>
      </c>
    </row>
    <row r="30" spans="1:52" ht="12" customHeight="1" x14ac:dyDescent="0.25">
      <c r="A30" s="8" t="s">
        <v>7521</v>
      </c>
      <c r="G30" s="814"/>
      <c r="K30" s="298"/>
      <c r="M30" s="2162" t="str">
        <f>A18</f>
        <v>c5.13</v>
      </c>
      <c r="N30" s="2149">
        <f>MIN(MAX(0,F36-J36),'Deductions (c4)'!M639)</f>
        <v>0</v>
      </c>
      <c r="O30" s="26"/>
      <c r="P30" s="26"/>
      <c r="Q30" s="856"/>
      <c r="R30" s="856"/>
      <c r="AG30" s="2180" t="str">
        <f>A22</f>
        <v>c5.17</v>
      </c>
      <c r="AH30" s="2149">
        <f>MAX(0,('Status (c3a)'!AE33+'Deductions (c4)'!I383)-(F17+N36+V36))</f>
        <v>125140</v>
      </c>
      <c r="AI30" s="26"/>
      <c r="AO30" s="2162" t="str">
        <f>A26</f>
        <v>c5.20a</v>
      </c>
      <c r="AP30" s="2149">
        <f>PSA</f>
        <v>1000</v>
      </c>
    </row>
    <row r="31" spans="1:52" ht="12" customHeight="1" x14ac:dyDescent="0.25">
      <c r="A31" s="8" t="s">
        <v>7522</v>
      </c>
      <c r="F31" s="9" t="s">
        <v>7252</v>
      </c>
      <c r="G31" s="814"/>
      <c r="Q31" s="856"/>
      <c r="R31" s="856"/>
      <c r="V31" s="26"/>
      <c r="W31" s="26"/>
      <c r="X31" s="26"/>
      <c r="Y31" s="26"/>
      <c r="Z31" s="26"/>
      <c r="AA31" s="26"/>
      <c r="AG31" s="9"/>
      <c r="AH31" s="8" t="s">
        <v>7523</v>
      </c>
      <c r="AP31" s="8" t="str">
        <f>"lower of "&amp;E36&amp;" minus"</f>
        <v>lower of c5.11 minus</v>
      </c>
    </row>
    <row r="32" spans="1:52" ht="12" customHeight="1" x14ac:dyDescent="0.25">
      <c r="A32" s="8" t="s">
        <v>7524</v>
      </c>
      <c r="F32" s="8" t="str">
        <f>E36&amp;" = "&amp;'non-res (c91)'!M59</f>
        <v>c5.11 = c91.14</v>
      </c>
      <c r="G32" s="814"/>
      <c r="J32" s="9" t="str">
        <f>"lower of "&amp;E36&amp;" and SR_band ("&amp;DOLLAR(SR_band,0)&amp;")"</f>
        <v>lower of c5.11 and SR_band (£5,000)</v>
      </c>
      <c r="N32" s="9" t="str">
        <f>"lower of "&amp;M30&amp;" and ("&amp;AK8&amp;" minus "&amp;E17&amp;")"</f>
        <v>lower of c5.13 and (c5.2a minus c5.3)</v>
      </c>
      <c r="O32" s="9"/>
      <c r="P32" s="9"/>
      <c r="Q32" s="856"/>
      <c r="R32" s="856"/>
      <c r="AG32" s="9"/>
      <c r="AH32" s="9" t="str">
        <f>"("&amp;AG30&amp;" and ("&amp;'Deductions (c4)'!L639&amp;" minus "&amp;M33&amp;"))"</f>
        <v>(c5.17 and (c4.79 minus c5.14))</v>
      </c>
      <c r="AI32" s="9"/>
      <c r="AL32" s="9"/>
      <c r="AP32" s="9" t="str">
        <f>"("&amp;M36&amp;" + "&amp;U36&amp;" + "&amp;AG36&amp;" + "&amp;AK36&amp;") and"</f>
        <v>(c5.15 + c5.16 + c5.19 + c5.20) and</v>
      </c>
    </row>
    <row r="33" spans="1:52" ht="12" customHeight="1" x14ac:dyDescent="0.25">
      <c r="A33" s="8" t="s">
        <v>7525</v>
      </c>
      <c r="F33" s="8" t="s">
        <v>7143</v>
      </c>
      <c r="G33" s="814"/>
      <c r="I33" s="2162" t="str">
        <f>A16</f>
        <v>c5.11a</v>
      </c>
      <c r="J33" s="2149">
        <f>MIN(F36,SR_band)</f>
        <v>0</v>
      </c>
      <c r="M33" s="2162" t="str">
        <f>A19</f>
        <v>c5.14</v>
      </c>
      <c r="N33" s="2149">
        <f>MAX(0,MIN(N30,(AL8-F17)))</f>
        <v>0</v>
      </c>
      <c r="O33" s="26"/>
      <c r="P33" s="26"/>
      <c r="Q33" s="856"/>
      <c r="R33" s="856"/>
      <c r="AG33" s="2180" t="str">
        <f>A23</f>
        <v>c5.18</v>
      </c>
      <c r="AH33" s="2149">
        <f>MAX(0,MIN(AH30,PSA-N33))</f>
        <v>1000</v>
      </c>
      <c r="AI33" s="26"/>
      <c r="AL33" s="8" t="s">
        <v>7523</v>
      </c>
      <c r="AP33" s="9" t="str">
        <f>"("&amp;'Deductions (c4)'!L639&amp;" minus ("&amp;M33&amp;" + "&amp;AG36&amp;"))"</f>
        <v>(c4.79 minus (c5.14 + c5.19))</v>
      </c>
    </row>
    <row r="34" spans="1:52" ht="12" customHeight="1" x14ac:dyDescent="0.25">
      <c r="A34" s="8" t="s">
        <v>7526</v>
      </c>
      <c r="F34" s="1065" t="str">
        <f>E36&amp;" = "&amp;'Savings (c2)'!H79&amp;" minus "&amp;'Deductions (c4)'!H294</f>
        <v>c5.11 = c2.19 minus c4.47.23</v>
      </c>
      <c r="G34" s="814"/>
      <c r="J34" s="9" t="str">
        <f>"lower of "&amp;I33&amp;" and"</f>
        <v>lower of c5.11a and</v>
      </c>
      <c r="Q34" s="856"/>
      <c r="R34" s="856"/>
      <c r="V34" s="9" t="str">
        <f>"lower of ("&amp;E36&amp;" minus "&amp;M36&amp;") and"</f>
        <v>lower of (c5.11 minus c5.15) and</v>
      </c>
      <c r="W34" s="9"/>
      <c r="X34" s="9"/>
      <c r="Y34" s="9"/>
      <c r="Z34" s="9"/>
      <c r="AA34" s="9"/>
      <c r="AG34" s="9"/>
      <c r="AH34" s="8" t="str">
        <f>"lower of "&amp;AG33&amp;" and"</f>
        <v>lower of c5.18 and</v>
      </c>
      <c r="AL34" s="9" t="str">
        <f>"("&amp;E36&amp;" minus ("&amp;M36&amp;" + "&amp;U36&amp;" + "&amp;AG36&amp;")) and"</f>
        <v>(c5.11 minus (c5.15 + c5.16 + c5.19)) and</v>
      </c>
      <c r="AO34" s="2162" t="str">
        <f>A27</f>
        <v>c5.20b</v>
      </c>
      <c r="AP34" s="2149">
        <f>MAX(0,MIN(F36-(N36+V36+AH36+AL36),MAX(0,PSA-(N33+AH36))))</f>
        <v>0</v>
      </c>
      <c r="AT34" s="8" t="str">
        <f>E36&amp;" minus"</f>
        <v>c5.11 minus</v>
      </c>
    </row>
    <row r="35" spans="1:52" ht="12" customHeight="1" x14ac:dyDescent="0.25">
      <c r="A35" s="8" t="s">
        <v>7527</v>
      </c>
      <c r="F35" s="8" t="s">
        <v>75</v>
      </c>
      <c r="G35" s="814"/>
      <c r="J35" s="9" t="str">
        <f>"(("&amp;E8&amp;" + SR_band ("&amp;DOLLAR(SR_band,0)&amp;")) minus "&amp;E17&amp;")"</f>
        <v>((c5.1 + SR_band (£5,000)) minus c5.3)</v>
      </c>
      <c r="N35" s="9" t="str">
        <f>I36&amp;" + "&amp;M33</f>
        <v>c5.12 + c5.14</v>
      </c>
      <c r="O35" s="9"/>
      <c r="P35" s="9"/>
      <c r="Q35" s="856"/>
      <c r="R35" s="856"/>
      <c r="V35" s="9" t="str">
        <f>"("&amp;AK8&amp;" minus ("&amp;E17&amp;" + "&amp;M36&amp;"))"</f>
        <v>(c5.2a minus (c5.3 + c5.15))</v>
      </c>
      <c r="W35" s="9"/>
      <c r="X35" s="9"/>
      <c r="Y35" s="9"/>
      <c r="Z35" s="9"/>
      <c r="AA35" s="9"/>
      <c r="AH35" s="9" t="str">
        <f>"("&amp;E36&amp;" minus ("&amp;M36&amp;" + "&amp;U36&amp;"))"</f>
        <v>(c5.11 minus (c5.15 + c5.16))</v>
      </c>
      <c r="AI35" s="9"/>
      <c r="AL35" s="9" t="str">
        <f>"("&amp;AG30&amp;" minus "&amp;AG36&amp;")"</f>
        <v>(c5.17 minus c5.19)</v>
      </c>
      <c r="AP35" s="9" t="str">
        <f>"lower of "&amp;AO30&amp;" and "&amp;AO34</f>
        <v>lower of c5.20a and c5.20b</v>
      </c>
      <c r="AT35" s="9" t="str">
        <f>"("&amp;M36&amp;" + "&amp;U36&amp;" + "&amp;AG36&amp;" + "&amp;AK36&amp;" + "&amp;AO36&amp;")"</f>
        <v>(c5.15 + c5.16 + c5.19 + c5.20 + c5.20c)</v>
      </c>
    </row>
    <row r="36" spans="1:52" ht="12" customHeight="1" x14ac:dyDescent="0.25">
      <c r="A36" s="8" t="s">
        <v>7528</v>
      </c>
      <c r="C36" s="469" t="s">
        <v>7529</v>
      </c>
      <c r="D36" s="469"/>
      <c r="E36" s="2162" t="str">
        <f>A15</f>
        <v>c5.11</v>
      </c>
      <c r="F36" s="2149">
        <f>IF(non_resident,'non-res (c91)'!N59,'Savings (c2)'!I79-'Deductions (c4)'!I294)</f>
        <v>0</v>
      </c>
      <c r="G36" s="814"/>
      <c r="I36" s="2162" t="str">
        <f>A17</f>
        <v>c5.12</v>
      </c>
      <c r="J36" s="2149">
        <f>MIN(J33,MAX(0,(F8+SR_band)-F17))</f>
        <v>0</v>
      </c>
      <c r="M36" s="2180" t="str">
        <f>A20</f>
        <v>c5.15</v>
      </c>
      <c r="N36" s="2149">
        <f>J36+N33</f>
        <v>0</v>
      </c>
      <c r="O36" s="26"/>
      <c r="P36" s="26"/>
      <c r="Q36" s="856"/>
      <c r="R36" s="856"/>
      <c r="U36" s="2180" t="str">
        <f>A21</f>
        <v>c5.16</v>
      </c>
      <c r="V36" s="2149">
        <f>MAX(0,MIN(F36-N36,AL8-(F17+N36)))</f>
        <v>0</v>
      </c>
      <c r="W36" s="26"/>
      <c r="X36" s="26"/>
      <c r="Y36" s="26"/>
      <c r="Z36" s="26"/>
      <c r="AA36" s="78"/>
      <c r="AC36" s="78"/>
      <c r="AD36" s="78"/>
      <c r="AE36" s="78"/>
      <c r="AF36" s="78"/>
      <c r="AG36" s="2162" t="str">
        <f>A24</f>
        <v>c5.19</v>
      </c>
      <c r="AH36" s="2129">
        <f>MAX(0,MIN(AH33,F36-(N36+V36)))</f>
        <v>0</v>
      </c>
      <c r="AI36" s="78"/>
      <c r="AK36" s="2162" t="str">
        <f>A25</f>
        <v>c5.20</v>
      </c>
      <c r="AL36" s="2149">
        <f>MAX(0,MIN((F36-(N36+V36+AH36)),(AH30-AH36)))</f>
        <v>0</v>
      </c>
      <c r="AO36" s="2162" t="str">
        <f>A28</f>
        <v>c5.20c</v>
      </c>
      <c r="AP36" s="2129">
        <f>MAX(0,MIN(AP30,AP34))</f>
        <v>0</v>
      </c>
      <c r="AS36" s="2162" t="str">
        <f>A29</f>
        <v>c5.21</v>
      </c>
      <c r="AT36" s="2149">
        <f>MAX(0,F36-(N36+V36+AH36+AL36+AP36))</f>
        <v>0</v>
      </c>
      <c r="AV36" s="458" t="s">
        <v>7529</v>
      </c>
      <c r="AW36" s="458"/>
    </row>
    <row r="37" spans="1:52" ht="12" customHeight="1" x14ac:dyDescent="0.25">
      <c r="A37" s="8" t="s">
        <v>7530</v>
      </c>
      <c r="B37" s="2151"/>
      <c r="C37" s="2151"/>
      <c r="D37" s="2151"/>
      <c r="E37" s="2151"/>
      <c r="F37" s="2151"/>
      <c r="G37" s="2151"/>
      <c r="H37" s="2151"/>
      <c r="I37" s="2151"/>
      <c r="J37" s="2151"/>
      <c r="K37" s="2151"/>
      <c r="L37" s="2151"/>
      <c r="M37" s="2151"/>
      <c r="N37" s="2151"/>
      <c r="O37" s="2151"/>
      <c r="P37" s="2151"/>
      <c r="Q37" s="2151"/>
      <c r="R37" s="2151"/>
      <c r="S37" s="2151"/>
      <c r="T37" s="2151"/>
      <c r="U37" s="2151"/>
      <c r="V37" s="2151"/>
      <c r="W37" s="2151"/>
      <c r="X37" s="2151"/>
      <c r="Y37" s="2151"/>
      <c r="Z37" s="2151"/>
      <c r="AA37" s="2151"/>
      <c r="AB37" s="2151"/>
      <c r="AC37" s="2151"/>
      <c r="AD37" s="2151"/>
      <c r="AE37" s="2151"/>
      <c r="AF37" s="2151"/>
      <c r="AG37" s="2151"/>
      <c r="AH37" s="2151"/>
      <c r="AI37" s="2151"/>
      <c r="AJ37" s="2151"/>
      <c r="AK37" s="2151"/>
      <c r="AL37" s="2151"/>
      <c r="AM37" s="2151"/>
      <c r="AN37" s="2151"/>
      <c r="AO37" s="2151"/>
      <c r="AP37" s="2151"/>
      <c r="AQ37" s="2151"/>
      <c r="AR37" s="2151"/>
      <c r="AS37" s="2151"/>
      <c r="AT37" s="2151"/>
      <c r="AU37" s="2151"/>
      <c r="AV37" s="2151"/>
      <c r="AW37" s="2151"/>
      <c r="AX37" s="2151"/>
      <c r="AY37" s="2151"/>
      <c r="AZ37" s="2151"/>
    </row>
    <row r="38" spans="1:52" ht="12" customHeight="1" x14ac:dyDescent="0.25">
      <c r="A38" s="8" t="s">
        <v>7531</v>
      </c>
    </row>
    <row r="39" spans="1:52" ht="12" customHeight="1" x14ac:dyDescent="0.25">
      <c r="A39" s="8" t="s">
        <v>7532</v>
      </c>
      <c r="G39" s="814"/>
      <c r="N39" s="138" t="s">
        <v>7533</v>
      </c>
      <c r="O39" s="138"/>
      <c r="P39" s="138"/>
      <c r="Q39" s="856"/>
      <c r="R39" s="856"/>
      <c r="V39" s="138" t="s">
        <v>7534</v>
      </c>
      <c r="W39" s="138"/>
      <c r="X39" s="138"/>
      <c r="Y39" s="138"/>
      <c r="Z39" s="138"/>
      <c r="AH39" s="138" t="s">
        <v>7517</v>
      </c>
      <c r="AI39" s="138"/>
      <c r="AL39" s="138" t="s">
        <v>7535</v>
      </c>
      <c r="AP39" s="138" t="s">
        <v>7518</v>
      </c>
      <c r="AT39" s="138" t="s">
        <v>7536</v>
      </c>
    </row>
    <row r="40" spans="1:52" ht="12" customHeight="1" x14ac:dyDescent="0.25">
      <c r="A40" s="8" t="s">
        <v>7537</v>
      </c>
      <c r="G40" s="814"/>
      <c r="N40" s="138"/>
      <c r="O40" s="138"/>
      <c r="P40" s="138"/>
      <c r="Q40" s="856"/>
      <c r="R40" s="856"/>
      <c r="V40" s="138"/>
      <c r="W40" s="138"/>
      <c r="X40" s="138"/>
      <c r="Y40" s="138"/>
      <c r="Z40" s="138"/>
      <c r="AH40" s="138"/>
      <c r="AI40" s="138"/>
      <c r="AL40" s="138"/>
      <c r="AP40" s="138"/>
      <c r="AT40" s="138"/>
    </row>
    <row r="41" spans="1:52" ht="12" customHeight="1" x14ac:dyDescent="0.25">
      <c r="A41" s="8" t="s">
        <v>7538</v>
      </c>
      <c r="G41" s="814"/>
      <c r="J41" s="26"/>
      <c r="Q41" s="856"/>
      <c r="R41" s="856"/>
      <c r="AG41" s="26"/>
      <c r="AH41" s="174" t="str">
        <f>"("&amp;'Status (c3a)'!AD33&amp;" + "&amp;'Deductions (c4)'!H383&amp;") minus ("&amp;E17&amp;" + "&amp;E36&amp;" + "&amp;M49&amp;" + "&amp;U49&amp;")"</f>
        <v>(c3a.3a + c4.59) minus (c5.3 + c5.11 + c5.24 + c5.25)</v>
      </c>
      <c r="AI41" s="174"/>
    </row>
    <row r="42" spans="1:52" x14ac:dyDescent="0.25">
      <c r="A42" s="8" t="s">
        <v>7539</v>
      </c>
      <c r="G42" s="814"/>
      <c r="Q42" s="856"/>
      <c r="R42" s="856"/>
      <c r="AA42" s="138"/>
      <c r="AG42" s="2162" t="str">
        <f>A34</f>
        <v>c5.26</v>
      </c>
      <c r="AH42" s="2149">
        <f>MAX(0,('Status (c3a)'!AE33+'Deductions (c4)'!I383)-(F17+F36+N49+V49))</f>
        <v>125140</v>
      </c>
      <c r="AI42" s="26"/>
      <c r="AO42" s="26"/>
      <c r="AP42" s="174" t="str">
        <f>"AHR_band ("&amp;DOLLAR(AHR_band,0)&amp;") minus ("&amp;E17&amp;" + "&amp;E36&amp;")"</f>
        <v>AHR_band (£125,140) minus (c5.3 + c5.11)</v>
      </c>
    </row>
    <row r="43" spans="1:52" x14ac:dyDescent="0.25">
      <c r="A43" s="8" t="s">
        <v>7540</v>
      </c>
      <c r="G43" s="814"/>
      <c r="N43" s="138"/>
      <c r="O43" s="138"/>
      <c r="P43" s="138"/>
      <c r="Q43" s="856"/>
      <c r="R43" s="856"/>
      <c r="AA43" s="138"/>
      <c r="AG43" s="9"/>
      <c r="AH43" s="9" t="str">
        <f>"lower of ("&amp;'Deductions (c4)'!L646&amp;" and "&amp;AG42&amp;")"</f>
        <v>lower of (c4.80 and c5.26)</v>
      </c>
      <c r="AI43" s="9"/>
      <c r="AL43" s="138"/>
      <c r="AO43" s="2162" t="str">
        <f>A39</f>
        <v>c5.31</v>
      </c>
      <c r="AP43" s="2149">
        <f>MAX(0,AHR_band-(F17+F36))</f>
        <v>125140</v>
      </c>
      <c r="AT43" s="138"/>
    </row>
    <row r="44" spans="1:52" x14ac:dyDescent="0.25">
      <c r="A44" s="8" t="s">
        <v>7541</v>
      </c>
      <c r="F44" s="9" t="s">
        <v>7252</v>
      </c>
      <c r="G44" s="814"/>
      <c r="N44" s="9" t="str">
        <f>"lower of ("&amp;E49&amp;" and "&amp;'Deductions (c4)'!L646&amp;")"</f>
        <v>lower of (c5.22 and c4.80)</v>
      </c>
      <c r="O44" s="9"/>
      <c r="P44" s="9"/>
      <c r="Q44" s="856"/>
      <c r="R44" s="856"/>
      <c r="AG44" s="2162" t="str">
        <f>A35</f>
        <v>c5.27</v>
      </c>
      <c r="AH44" s="2149">
        <f>MAX(0,MIN('Deductions (c4)'!M646,AH42))</f>
        <v>500</v>
      </c>
      <c r="AI44" s="26"/>
      <c r="AL44" s="138"/>
      <c r="AP44" s="8" t="str">
        <f>"lower of "&amp;E49&amp;" minus"</f>
        <v>lower of c5.22 minus</v>
      </c>
    </row>
    <row r="45" spans="1:52" x14ac:dyDescent="0.25">
      <c r="A45" s="8" t="s">
        <v>7542</v>
      </c>
      <c r="F45" s="22" t="str">
        <f>E49&amp;" = "&amp;'non-res (c91)'!M96</f>
        <v>c5.22 = c91.23</v>
      </c>
      <c r="G45" s="814"/>
      <c r="M45" s="2162" t="str">
        <f>A31</f>
        <v>c5.23</v>
      </c>
      <c r="N45" s="2029">
        <f>MIN(F49,'Deductions (c4)'!M646)</f>
        <v>0</v>
      </c>
      <c r="Q45" s="856"/>
      <c r="R45" s="856"/>
      <c r="U45" s="22"/>
      <c r="V45" s="22"/>
      <c r="W45" s="22"/>
      <c r="X45" s="22"/>
      <c r="Y45" s="22"/>
      <c r="Z45" s="22"/>
      <c r="AA45" s="22"/>
      <c r="AG45" s="9"/>
      <c r="AH45" s="9" t="str">
        <f>"lower of ("&amp;AG44&amp;" and ("&amp;'Deductions (c4)'!L646&amp;" minus "&amp;M49&amp;"))"</f>
        <v>lower of (c5.27 and (c4.80 minus c5.24))</v>
      </c>
      <c r="AI45" s="9"/>
      <c r="AP45" s="9" t="str">
        <f>"("&amp;M49&amp;" + "&amp;U49&amp;" + "&amp;AG49&amp;" + "&amp;AK49&amp;") and"</f>
        <v>(c5.24 + c5.25 + c5.29 + c5.30) and</v>
      </c>
    </row>
    <row r="46" spans="1:52" x14ac:dyDescent="0.25">
      <c r="A46" s="8" t="s">
        <v>7543</v>
      </c>
      <c r="F46" s="8" t="s">
        <v>7143</v>
      </c>
      <c r="G46" s="814"/>
      <c r="Q46" s="856"/>
      <c r="R46" s="856"/>
      <c r="V46" s="9" t="str">
        <f>"lower of ("&amp;E49&amp;" minus "&amp;M49&amp;") and"</f>
        <v>lower of (c5.22 minus c5.24) and</v>
      </c>
      <c r="W46" s="9"/>
      <c r="X46" s="9"/>
      <c r="Y46" s="9"/>
      <c r="Z46" s="9"/>
      <c r="AA46" s="9"/>
      <c r="AG46" s="2162" t="str">
        <f>A36</f>
        <v>c5.28</v>
      </c>
      <c r="AH46" s="2149">
        <f>MAX(0,MIN(AH44,'Deductions (c4)'!M646-N49))</f>
        <v>500</v>
      </c>
      <c r="AI46" s="26"/>
      <c r="AL46" s="8" t="s">
        <v>7523</v>
      </c>
      <c r="AP46" s="36" t="str">
        <f>"("&amp;'Deductions (c4)'!L646&amp;" minus ("&amp;M49&amp;" + "&amp;AG49&amp;"))"</f>
        <v>(c4.80 minus (c5.24 + c5.29))</v>
      </c>
    </row>
    <row r="47" spans="1:52" x14ac:dyDescent="0.25">
      <c r="A47" s="8" t="s">
        <v>7544</v>
      </c>
      <c r="F47" s="1065" t="str">
        <f>E49&amp;" = "&amp;'Divs (c3)'!G58&amp;" minus "&amp;'Deductions (c4)'!H310</f>
        <v>c5.22 = c3.15 minus c4.47.27</v>
      </c>
      <c r="G47" s="814"/>
      <c r="N47" s="9" t="str">
        <f>"lower of ("&amp;M45&amp;" and"</f>
        <v>lower of (c5.23 and</v>
      </c>
      <c r="O47" s="9"/>
      <c r="P47" s="9"/>
      <c r="Q47" s="856"/>
      <c r="R47" s="856"/>
      <c r="V47" s="9" t="str">
        <f>"("&amp;AK8&amp;" minus"</f>
        <v>(c5.2a minus</v>
      </c>
      <c r="W47" s="9"/>
      <c r="X47" s="9"/>
      <c r="Y47" s="9"/>
      <c r="Z47" s="9"/>
      <c r="AH47" s="9" t="str">
        <f>"lower of "&amp;AG46&amp;" and"</f>
        <v>lower of c5.28 and</v>
      </c>
      <c r="AI47" s="9"/>
      <c r="AL47" s="9" t="str">
        <f>E49&amp;" minus ("&amp;M49&amp;" + "&amp;U49&amp;" + "&amp;AG49&amp;") and"</f>
        <v>c5.22 minus (c5.24 + c5.25 + c5.29) and</v>
      </c>
      <c r="AO47" s="2162" t="str">
        <f>A40</f>
        <v>c5.32</v>
      </c>
      <c r="AP47" s="2149">
        <f>MAX(0,MIN(F49-(N49+V49+AH49+AL49),('Deductions (c4)'!M646-(N49+AH49))))</f>
        <v>0</v>
      </c>
      <c r="AQ47" s="858"/>
      <c r="AR47" s="858"/>
      <c r="AT47" s="8" t="str">
        <f>E49&amp;" minus "</f>
        <v xml:space="preserve">c5.22 minus </v>
      </c>
    </row>
    <row r="48" spans="1:52" x14ac:dyDescent="0.25">
      <c r="A48" s="8" t="s">
        <v>7545</v>
      </c>
      <c r="F48" s="8" t="s">
        <v>75</v>
      </c>
      <c r="G48" s="814"/>
      <c r="M48" s="9"/>
      <c r="N48" s="9" t="str">
        <f>"("&amp;AK8&amp;" minus ("&amp;E17&amp;" + "&amp;E36&amp;")))"</f>
        <v>(c5.2a minus (c5.3 + c5.11)))</v>
      </c>
      <c r="O48" s="9"/>
      <c r="P48" s="9"/>
      <c r="Q48" s="856"/>
      <c r="R48" s="856"/>
      <c r="V48" s="9" t="str">
        <f>"("&amp;E17&amp;" + "&amp;E36&amp;" + "&amp;M49&amp;"))"</f>
        <v>(c5.3 + c5.11 + c5.24))</v>
      </c>
      <c r="W48" s="9"/>
      <c r="X48" s="9"/>
      <c r="Y48" s="9"/>
      <c r="Z48" s="9"/>
      <c r="AA48" s="9"/>
      <c r="AH48" s="9" t="str">
        <f>"("&amp;E49&amp;" minus ("&amp;M49&amp;" + "&amp;U49&amp;"))"</f>
        <v>(c5.22 minus (c5.24 + c5.25))</v>
      </c>
      <c r="AI48" s="9"/>
      <c r="AL48" s="9" t="str">
        <f>"("&amp;AG42&amp;" minus "&amp;AG49&amp;")"</f>
        <v>(c5.26 minus c5.29)</v>
      </c>
      <c r="AP48" s="36" t="str">
        <f>"lower of "&amp;AO43&amp;" and "&amp;AO47</f>
        <v>lower of c5.31 and c5.32</v>
      </c>
      <c r="AT48" s="9" t="str">
        <f>"("&amp;M49&amp;" + "&amp;U49&amp;" + "&amp;AG49&amp;" + "&amp;AK49&amp;" + "&amp;AO49&amp;")"</f>
        <v>(c5.24 + c5.25 + c5.29 + c5.30 + c5.33)</v>
      </c>
    </row>
    <row r="49" spans="1:54" x14ac:dyDescent="0.25">
      <c r="A49" s="8" t="s">
        <v>7546</v>
      </c>
      <c r="C49" s="469" t="s">
        <v>7547</v>
      </c>
      <c r="D49" s="469"/>
      <c r="E49" s="2162" t="str">
        <f>A30</f>
        <v>c5.22</v>
      </c>
      <c r="F49" s="2029">
        <f>IF(non_resident,'non-res (c91)'!N96,'Divs (c3)'!H58-'Deductions (c4)'!I310)</f>
        <v>0</v>
      </c>
      <c r="G49" s="814"/>
      <c r="M49" s="2162" t="str">
        <f>A32</f>
        <v>c5.24</v>
      </c>
      <c r="N49" s="2129">
        <f>MAX(0,MIN(N45,AL8-(F17+F36)))</f>
        <v>0</v>
      </c>
      <c r="O49" s="78"/>
      <c r="P49" s="78"/>
      <c r="Q49" s="856"/>
      <c r="R49" s="856"/>
      <c r="U49" s="2162" t="str">
        <f>A33</f>
        <v>c5.25</v>
      </c>
      <c r="V49" s="2129">
        <f>MAX(0,MIN(MAX(0,F49-N49),AL8-(F17+F36+N49)))</f>
        <v>0</v>
      </c>
      <c r="W49" s="78"/>
      <c r="X49" s="78"/>
      <c r="Y49" s="78"/>
      <c r="Z49" s="78"/>
      <c r="AA49" s="858"/>
      <c r="AG49" s="2162" t="str">
        <f>A37</f>
        <v>c5.29</v>
      </c>
      <c r="AH49" s="2149">
        <f>MAX(0,MIN(AH46,F49-(N49+V49)))</f>
        <v>0</v>
      </c>
      <c r="AI49" s="26"/>
      <c r="AK49" s="2162" t="str">
        <f>A38</f>
        <v>c5.30</v>
      </c>
      <c r="AL49" s="2149">
        <f>MAX(0,MIN((F49-(N49+V49+AH49)),(AH42-AH49)))</f>
        <v>0</v>
      </c>
      <c r="AM49" s="858"/>
      <c r="AO49" s="2162" t="str">
        <f>A41</f>
        <v>c5.33</v>
      </c>
      <c r="AP49" s="2129">
        <f>MAX(0,MIN(AP43,AP47))</f>
        <v>0</v>
      </c>
      <c r="AS49" s="2162" t="str">
        <f>A42</f>
        <v>c5.34</v>
      </c>
      <c r="AT49" s="2149">
        <f>MAX(0,F49-(N49+V49+AH49+AL49+AP49))</f>
        <v>0</v>
      </c>
      <c r="AV49" s="458" t="s">
        <v>7547</v>
      </c>
      <c r="AW49" s="458"/>
    </row>
    <row r="50" spans="1:54" x14ac:dyDescent="0.25">
      <c r="A50" s="8" t="s">
        <v>7548</v>
      </c>
      <c r="B50" s="2151"/>
      <c r="C50" s="2151"/>
      <c r="D50" s="2151"/>
      <c r="E50" s="2151"/>
      <c r="F50" s="2151"/>
      <c r="G50" s="2151"/>
      <c r="H50" s="2151"/>
      <c r="I50" s="2151"/>
      <c r="J50" s="2151"/>
      <c r="K50" s="2151"/>
      <c r="L50" s="2151"/>
      <c r="M50" s="2151"/>
      <c r="N50" s="2151"/>
      <c r="O50" s="2151"/>
      <c r="P50" s="2151"/>
      <c r="Q50" s="2151"/>
      <c r="R50" s="2151"/>
      <c r="S50" s="2151"/>
      <c r="T50" s="2151"/>
      <c r="U50" s="2151"/>
      <c r="V50" s="2151"/>
      <c r="W50" s="2151"/>
      <c r="X50" s="2151"/>
      <c r="Y50" s="2151"/>
      <c r="Z50" s="2151"/>
      <c r="AA50" s="2151"/>
      <c r="AB50" s="2151"/>
      <c r="AC50" s="2151"/>
      <c r="AD50" s="2151"/>
      <c r="AE50" s="2151"/>
      <c r="AF50" s="2151"/>
      <c r="AG50" s="2151"/>
      <c r="AH50" s="2151"/>
      <c r="AI50" s="2151"/>
      <c r="AJ50" s="2151"/>
      <c r="AK50" s="2151"/>
      <c r="AL50" s="2151"/>
      <c r="AM50" s="2151"/>
      <c r="AN50" s="2151"/>
      <c r="AO50" s="2151"/>
      <c r="AP50" s="2151"/>
      <c r="AQ50" s="2151"/>
      <c r="AR50" s="2151"/>
      <c r="AS50" s="2151"/>
      <c r="AT50" s="2151"/>
      <c r="AU50" s="2151"/>
      <c r="AV50" s="2151"/>
      <c r="AW50" s="2151"/>
      <c r="AX50" s="2151"/>
      <c r="AY50" s="2151"/>
      <c r="AZ50" s="2151"/>
    </row>
    <row r="51" spans="1:54" ht="12" customHeight="1" x14ac:dyDescent="0.25">
      <c r="A51" s="8" t="s">
        <v>7549</v>
      </c>
    </row>
    <row r="52" spans="1:54" x14ac:dyDescent="0.25">
      <c r="A52" s="8" t="s">
        <v>7550</v>
      </c>
      <c r="G52" s="814"/>
      <c r="R52" s="138"/>
      <c r="V52" s="138"/>
      <c r="W52" s="138"/>
      <c r="X52" s="138"/>
      <c r="Y52" s="138"/>
      <c r="Z52" s="138"/>
      <c r="AA52" s="138"/>
      <c r="AD52" s="138"/>
      <c r="AE52" s="138"/>
      <c r="AF52" s="138"/>
      <c r="AL52" s="138"/>
      <c r="AP52" s="138"/>
      <c r="AT52" s="138"/>
    </row>
    <row r="53" spans="1:54" x14ac:dyDescent="0.25">
      <c r="A53" s="8" t="s">
        <v>7551</v>
      </c>
      <c r="G53" s="814"/>
      <c r="R53" s="138"/>
      <c r="V53" s="138"/>
      <c r="W53" s="138"/>
      <c r="X53" s="138"/>
      <c r="Y53" s="138"/>
      <c r="Z53" s="138"/>
      <c r="AA53" s="138"/>
      <c r="AD53" s="138"/>
      <c r="AE53" s="138"/>
      <c r="AF53" s="138"/>
      <c r="AL53" s="138"/>
      <c r="AP53" s="138"/>
      <c r="AT53" s="138"/>
    </row>
    <row r="54" spans="1:54" x14ac:dyDescent="0.25">
      <c r="A54" s="8" t="s">
        <v>7552</v>
      </c>
      <c r="G54" s="814"/>
      <c r="V54" s="9"/>
      <c r="W54" s="9"/>
      <c r="X54" s="9"/>
      <c r="Y54" s="9"/>
      <c r="Z54" s="9"/>
      <c r="AL54" s="9"/>
    </row>
    <row r="55" spans="1:54" x14ac:dyDescent="0.25">
      <c r="A55" s="8" t="s">
        <v>7553</v>
      </c>
      <c r="G55" s="814"/>
      <c r="R55" s="9"/>
      <c r="V55" s="9"/>
      <c r="W55" s="9"/>
      <c r="X55" s="9"/>
      <c r="Y55" s="9"/>
      <c r="Z55" s="9"/>
      <c r="AA55" s="9"/>
      <c r="AE55" s="9"/>
      <c r="AF55" s="9"/>
      <c r="AL55" s="9"/>
    </row>
    <row r="56" spans="1:54" ht="12" customHeight="1" x14ac:dyDescent="0.25">
      <c r="A56" s="8" t="s">
        <v>7554</v>
      </c>
      <c r="F56" s="9" t="str">
        <f>"from "&amp;'NS income (c1)'!I188</f>
        <v>from c1.58</v>
      </c>
      <c r="G56" s="814"/>
      <c r="R56" s="9" t="s">
        <v>4816</v>
      </c>
      <c r="V56" s="9" t="s">
        <v>4816</v>
      </c>
      <c r="W56" s="9"/>
      <c r="X56" s="9"/>
      <c r="Y56" s="9"/>
      <c r="Z56" s="9"/>
      <c r="AA56" s="9"/>
      <c r="AD56" s="9" t="s">
        <v>4816</v>
      </c>
      <c r="AE56" s="9"/>
      <c r="AF56" s="9"/>
      <c r="AK56" s="26"/>
      <c r="AL56" s="9" t="s">
        <v>4816</v>
      </c>
      <c r="AT56" s="9" t="s">
        <v>4816</v>
      </c>
    </row>
    <row r="57" spans="1:54" x14ac:dyDescent="0.25">
      <c r="A57" s="8" t="s">
        <v>7555</v>
      </c>
      <c r="C57" s="469" t="s">
        <v>7119</v>
      </c>
      <c r="D57" s="469"/>
      <c r="E57" s="2162" t="str">
        <f>A43</f>
        <v>c5.34a</v>
      </c>
      <c r="F57" s="2127">
        <f>'NS income (c1)'!J188</f>
        <v>0</v>
      </c>
      <c r="G57" s="814"/>
      <c r="Q57" s="2180" t="str">
        <f>A44</f>
        <v>c5.34a1</v>
      </c>
      <c r="R57" s="2149">
        <v>0</v>
      </c>
      <c r="U57" s="2162" t="str">
        <f>A45</f>
        <v>c5.34b</v>
      </c>
      <c r="V57" s="2149">
        <v>0</v>
      </c>
      <c r="W57" s="857"/>
      <c r="X57" s="857"/>
      <c r="Y57" s="857"/>
      <c r="Z57" s="857"/>
      <c r="AA57" s="857"/>
      <c r="AC57" s="2180" t="str">
        <f>A46</f>
        <v>c5.34b1</v>
      </c>
      <c r="AD57" s="2149">
        <v>0</v>
      </c>
      <c r="AE57" s="26"/>
      <c r="AF57" s="26"/>
      <c r="AK57" s="2162" t="str">
        <f>A47</f>
        <v>c5.34c</v>
      </c>
      <c r="AL57" s="2149">
        <v>0</v>
      </c>
      <c r="AS57" s="2162" t="str">
        <f>A48</f>
        <v>c5.34d</v>
      </c>
      <c r="AT57" s="2149">
        <v>0</v>
      </c>
      <c r="AV57" s="458" t="s">
        <v>7119</v>
      </c>
      <c r="AW57" s="458"/>
    </row>
    <row r="58" spans="1:54" x14ac:dyDescent="0.25">
      <c r="A58" s="8" t="s">
        <v>7556</v>
      </c>
      <c r="B58" s="2151"/>
      <c r="C58" s="2151"/>
      <c r="D58" s="2151"/>
      <c r="E58" s="2151"/>
      <c r="F58" s="2151"/>
      <c r="G58" s="2151"/>
      <c r="H58" s="2151"/>
      <c r="I58" s="2151"/>
      <c r="J58" s="2151"/>
      <c r="K58" s="2151"/>
      <c r="L58" s="2151"/>
      <c r="M58" s="2151"/>
      <c r="N58" s="2151"/>
      <c r="O58" s="2151"/>
      <c r="P58" s="2151"/>
      <c r="Q58" s="2151"/>
      <c r="R58" s="2151"/>
      <c r="S58" s="2151"/>
      <c r="T58" s="2151"/>
      <c r="U58" s="2151"/>
      <c r="V58" s="2151"/>
      <c r="W58" s="2151"/>
      <c r="X58" s="2151"/>
      <c r="Y58" s="2151"/>
      <c r="Z58" s="2151"/>
      <c r="AA58" s="2151"/>
      <c r="AB58" s="2151"/>
      <c r="AC58" s="2151"/>
      <c r="AD58" s="2151"/>
      <c r="AE58" s="2151"/>
      <c r="AF58" s="2151"/>
      <c r="AG58" s="2151"/>
      <c r="AH58" s="2151"/>
      <c r="AI58" s="2151"/>
      <c r="AJ58" s="2151"/>
      <c r="AK58" s="2151"/>
      <c r="AL58" s="2151"/>
      <c r="AM58" s="2151"/>
      <c r="AN58" s="2151"/>
      <c r="AO58" s="2151"/>
      <c r="AP58" s="2151"/>
      <c r="AQ58" s="2151"/>
      <c r="AR58" s="2151"/>
      <c r="AS58" s="2151"/>
      <c r="AT58" s="2151"/>
      <c r="AU58" s="2151"/>
      <c r="AV58" s="2151"/>
      <c r="AW58" s="2151"/>
      <c r="AX58" s="2151"/>
      <c r="AY58" s="2151"/>
      <c r="AZ58" s="2151"/>
    </row>
    <row r="59" spans="1:54" x14ac:dyDescent="0.25">
      <c r="A59" s="8" t="s">
        <v>7557</v>
      </c>
    </row>
    <row r="60" spans="1:54" ht="18" x14ac:dyDescent="0.4">
      <c r="A60" s="8" t="s">
        <v>7558</v>
      </c>
      <c r="B60" s="859" t="s">
        <v>7483</v>
      </c>
      <c r="G60" s="860"/>
      <c r="H60" s="35"/>
      <c r="J60" s="138" t="s">
        <v>6650</v>
      </c>
      <c r="O60" s="138"/>
      <c r="R60" s="138" t="s">
        <v>7559</v>
      </c>
      <c r="S60" s="138"/>
      <c r="AD60" s="138" t="s">
        <v>7559</v>
      </c>
      <c r="AH60" s="138" t="s">
        <v>6646</v>
      </c>
      <c r="AL60" s="138" t="s">
        <v>4616</v>
      </c>
      <c r="AM60" s="221"/>
      <c r="AP60" s="138" t="s">
        <v>6645</v>
      </c>
      <c r="AR60" s="221"/>
      <c r="AT60" s="138"/>
      <c r="AW60" s="221"/>
      <c r="AX60" s="138" t="s">
        <v>7560</v>
      </c>
      <c r="BB60" s="138" t="s">
        <v>7561</v>
      </c>
    </row>
    <row r="61" spans="1:54" ht="18" x14ac:dyDescent="0.4">
      <c r="A61" s="8" t="s">
        <v>7562</v>
      </c>
      <c r="B61" s="859"/>
      <c r="C61" s="859" t="s">
        <v>5556</v>
      </c>
      <c r="G61" s="860"/>
      <c r="H61" s="35"/>
      <c r="J61" s="532" t="s">
        <v>7563</v>
      </c>
      <c r="N61" s="457" t="s">
        <v>7564</v>
      </c>
      <c r="O61" s="138"/>
      <c r="R61" s="138" t="s">
        <v>6648</v>
      </c>
      <c r="AL61" s="138"/>
      <c r="AM61" s="221"/>
      <c r="AR61" s="221"/>
      <c r="AT61" s="138"/>
      <c r="AW61" s="221"/>
      <c r="AX61" s="138"/>
      <c r="BB61" s="138"/>
    </row>
    <row r="62" spans="1:54" ht="11.5" customHeight="1" x14ac:dyDescent="0.4">
      <c r="A62" s="8" t="s">
        <v>7565</v>
      </c>
      <c r="B62" s="859"/>
      <c r="C62" s="859"/>
      <c r="G62" s="860"/>
      <c r="H62" s="35"/>
      <c r="J62" s="457"/>
      <c r="N62" s="457"/>
      <c r="O62" s="138"/>
      <c r="R62" s="457"/>
      <c r="AL62" s="138"/>
      <c r="AM62" s="221"/>
      <c r="AR62" s="221"/>
      <c r="AT62" s="138"/>
      <c r="BB62" s="138"/>
    </row>
    <row r="63" spans="1:54" ht="11.5" customHeight="1" x14ac:dyDescent="0.4">
      <c r="A63" s="8" t="s">
        <v>7566</v>
      </c>
      <c r="B63" s="859"/>
      <c r="C63" s="859"/>
      <c r="G63" s="860"/>
      <c r="H63" s="35"/>
      <c r="J63" s="138"/>
      <c r="AL63" s="138"/>
      <c r="AM63" s="221"/>
      <c r="AX63" s="9" t="str">
        <f>"lower of "&amp;AS75&amp;" and "&amp;AS100</f>
        <v>lower of c5.66b and c5.66i4</v>
      </c>
      <c r="BB63" s="138"/>
    </row>
    <row r="64" spans="1:54" ht="11.5" customHeight="1" x14ac:dyDescent="0.4">
      <c r="A64" s="8" t="s">
        <v>7567</v>
      </c>
      <c r="B64" s="859"/>
      <c r="C64" s="859"/>
      <c r="G64" s="860"/>
      <c r="H64" s="35"/>
      <c r="J64" s="138"/>
      <c r="S64" s="861"/>
      <c r="AL64" s="138"/>
      <c r="AM64" s="221"/>
      <c r="AV64" s="9" t="s">
        <v>7568</v>
      </c>
      <c r="AW64" s="2029" t="str">
        <f>A367</f>
        <v>c5.66o</v>
      </c>
      <c r="AX64" s="2149">
        <f>MIN(AT75,AT100)</f>
        <v>0</v>
      </c>
      <c r="BB64" s="138"/>
    </row>
    <row r="65" spans="1:54" ht="11.5" customHeight="1" x14ac:dyDescent="0.4">
      <c r="A65" s="8" t="s">
        <v>7569</v>
      </c>
      <c r="B65" s="859"/>
      <c r="C65" s="859"/>
      <c r="G65" s="860"/>
      <c r="H65" s="35"/>
      <c r="J65" s="138"/>
      <c r="S65" s="861"/>
      <c r="Z65" s="9" t="str">
        <f>"lower of "&amp;M176&amp;" and (("&amp;E149&amp;" + "&amp;I140&amp;") minus ("&amp;Q149&amp;" + "&amp;Q330&amp;" + "&amp;U271&amp;"))"</f>
        <v>lower of c5.50 and ((c5.35 + c5.43e) minus (c5.52h + c5.56 + c5.56p))</v>
      </c>
      <c r="AL65" s="138"/>
      <c r="AM65" s="221"/>
      <c r="AR65" s="221"/>
      <c r="AT65" s="9"/>
      <c r="AX65" s="9" t="str">
        <f>"lower of ("&amp;E199&amp;" minus ("&amp;I199&amp;" + "&amp;Q199&amp;" + "&amp;AK199&amp;" + "&amp;AS199&amp;" + "&amp;AS108&amp;")) and "&amp;AW64</f>
        <v>lower of (c5.37 minus (c5.46 + c5.52l + c5.64 + c5.68a + c5.66j3)) and c5.66o</v>
      </c>
      <c r="BB65" s="138"/>
    </row>
    <row r="66" spans="1:54" ht="11.5" customHeight="1" x14ac:dyDescent="0.4">
      <c r="A66" s="8" t="s">
        <v>7570</v>
      </c>
      <c r="B66" s="859"/>
      <c r="C66" s="859"/>
      <c r="G66" s="860"/>
      <c r="H66" s="35"/>
      <c r="J66" s="138"/>
      <c r="R66" s="457" t="s">
        <v>7571</v>
      </c>
      <c r="S66" s="861"/>
      <c r="X66" s="9"/>
      <c r="Y66" s="2180" t="str">
        <f>A200</f>
        <v>c5.58a.1a</v>
      </c>
      <c r="Z66" s="2149">
        <f>MIN(N176,((F149+J140)-(R149+R330+V271)))</f>
        <v>0</v>
      </c>
      <c r="AL66" s="138"/>
      <c r="AM66" s="221"/>
      <c r="AR66" s="221"/>
      <c r="AT66" s="9"/>
      <c r="AV66" s="9" t="s">
        <v>7572</v>
      </c>
      <c r="AW66" s="2029" t="str">
        <f>A368</f>
        <v>c5.66p</v>
      </c>
      <c r="AX66" s="2149">
        <f>MAX(0,MIN(F199-(J199+R199+AL199+AT199+AT108),AX64))</f>
        <v>0</v>
      </c>
      <c r="BB66" s="138"/>
    </row>
    <row r="67" spans="1:54" ht="11.5" customHeight="1" x14ac:dyDescent="0.4">
      <c r="A67" s="8" t="s">
        <v>7573</v>
      </c>
      <c r="B67" s="859"/>
      <c r="C67" s="859"/>
      <c r="G67" s="860"/>
      <c r="H67" s="35"/>
      <c r="J67" s="138"/>
      <c r="S67" s="861"/>
      <c r="Z67" s="9" t="str">
        <f>M176&amp;" minus "&amp;Y66</f>
        <v>c5.50 minus c5.58a.1a</v>
      </c>
      <c r="AL67" s="138"/>
      <c r="AM67" s="221"/>
      <c r="AR67" s="221"/>
      <c r="AT67" s="9"/>
      <c r="AX67" s="9" t="str">
        <f>"lower of "&amp;AW64&amp;" and "&amp;AW66</f>
        <v>lower of c5.66o and c5.66p</v>
      </c>
      <c r="BB67" s="138"/>
    </row>
    <row r="68" spans="1:54" ht="11.5" customHeight="1" x14ac:dyDescent="0.4">
      <c r="A68" s="8" t="s">
        <v>7574</v>
      </c>
      <c r="B68" s="859"/>
      <c r="C68" s="859"/>
      <c r="G68" s="860"/>
      <c r="H68" s="35"/>
      <c r="J68" s="138"/>
      <c r="S68" s="861"/>
      <c r="X68" s="9"/>
      <c r="Y68" s="2180" t="str">
        <f>A201</f>
        <v>c5.58a.1b</v>
      </c>
      <c r="Z68" s="2149">
        <f>MAX(0,N176-Z66)</f>
        <v>0</v>
      </c>
      <c r="AL68" s="138"/>
      <c r="AM68" s="221"/>
      <c r="AV68" s="9" t="s">
        <v>7575</v>
      </c>
      <c r="AW68" s="2029" t="str">
        <f>A369</f>
        <v>c5.66p1</v>
      </c>
      <c r="AX68" s="2149">
        <f>MIN(AX64,AX66)</f>
        <v>0</v>
      </c>
      <c r="BB68" s="138"/>
    </row>
    <row r="69" spans="1:54" ht="11.5" customHeight="1" x14ac:dyDescent="0.4">
      <c r="A69" s="8" t="s">
        <v>7576</v>
      </c>
      <c r="B69" s="859"/>
      <c r="C69" s="859"/>
      <c r="G69" s="860"/>
      <c r="H69" s="35"/>
      <c r="J69" s="138"/>
      <c r="S69" s="861"/>
      <c r="Y69" s="210"/>
      <c r="Z69" s="9" t="str">
        <f>"lower of "&amp;Y66&amp;" and "&amp;U219</f>
        <v>lower of c5.58a.1a and c5.56.1</v>
      </c>
      <c r="AL69" s="138"/>
      <c r="AM69" s="221"/>
      <c r="AX69" s="9" t="str">
        <f>"lower of ("&amp;AS91&amp;" minus "&amp;AS112&amp;") and "&amp;AW68</f>
        <v>lower of (c5.66i minus c5.66j5) and c5.66p1</v>
      </c>
      <c r="BB69" s="138"/>
    </row>
    <row r="70" spans="1:54" ht="11.5" customHeight="1" x14ac:dyDescent="0.4">
      <c r="A70" s="8" t="s">
        <v>7577</v>
      </c>
      <c r="B70" s="859"/>
      <c r="C70" s="859"/>
      <c r="G70" s="860"/>
      <c r="H70" s="35"/>
      <c r="J70" s="138"/>
      <c r="N70" s="138"/>
      <c r="O70" s="138"/>
      <c r="R70" s="9" t="str">
        <f>"if "&amp;M123&amp;" &lt;= BR_band ("&amp;DOLLAR(BR_band,0)&amp;") + "&amp;'Deductions (c4)'!H383</f>
        <v>if c5.48b &lt;= BR_band (£37,700) + c4.59</v>
      </c>
      <c r="S70" s="861"/>
      <c r="X70" s="135" t="s">
        <v>7578</v>
      </c>
      <c r="Y70" s="2181" t="str">
        <f>A202</f>
        <v>c5.58a.1</v>
      </c>
      <c r="Z70" s="2149">
        <f>MIN(Z66,V219)</f>
        <v>0</v>
      </c>
      <c r="AL70" s="138"/>
      <c r="AM70" s="221"/>
      <c r="AV70" s="9" t="s">
        <v>7579</v>
      </c>
      <c r="AW70" s="2029" t="str">
        <f>A370</f>
        <v>c5.66p1a</v>
      </c>
      <c r="AX70" s="2149">
        <f>MAX(0,MIN(AT91-AT112,AX68))</f>
        <v>0</v>
      </c>
      <c r="BB70" s="138"/>
    </row>
    <row r="71" spans="1:54" ht="11.5" customHeight="1" x14ac:dyDescent="0.4">
      <c r="A71" s="8" t="s">
        <v>7580</v>
      </c>
      <c r="B71" s="859"/>
      <c r="C71" s="859"/>
      <c r="G71" s="860"/>
      <c r="H71" s="35"/>
      <c r="J71" s="138"/>
      <c r="N71" s="138"/>
      <c r="O71" s="138"/>
      <c r="R71" s="9" t="str">
        <f>Q75&amp;" = 0 (zero)"</f>
        <v>c5.52a = 0 (zero)</v>
      </c>
      <c r="S71" s="861"/>
      <c r="Y71" s="9"/>
      <c r="Z71" s="9" t="str">
        <f>"from "&amp;U219</f>
        <v>from c5.56.1</v>
      </c>
      <c r="AL71" s="138"/>
      <c r="AM71" s="221"/>
      <c r="AX71" s="9" t="str">
        <f>"lower of "&amp;AW70&amp;" and ("&amp;AS87&amp;" minus "&amp;AS89&amp;")"</f>
        <v>lower of c5.66p1a and (c5.66g minus c5.66h)</v>
      </c>
      <c r="BB71" s="138"/>
    </row>
    <row r="72" spans="1:54" ht="11.5" customHeight="1" x14ac:dyDescent="0.4">
      <c r="A72" s="8" t="s">
        <v>7581</v>
      </c>
      <c r="B72" s="859"/>
      <c r="C72" s="859"/>
      <c r="G72" s="860"/>
      <c r="H72" s="35"/>
      <c r="J72" s="138"/>
      <c r="N72" s="138"/>
      <c r="O72" s="138"/>
      <c r="P72" s="210"/>
      <c r="Q72" s="210"/>
      <c r="R72" s="8" t="s">
        <v>7143</v>
      </c>
      <c r="S72" s="861"/>
      <c r="X72" s="9" t="s">
        <v>7582</v>
      </c>
      <c r="Y72" s="2180" t="str">
        <f>A203</f>
        <v>c5.58a.2</v>
      </c>
      <c r="Z72" s="2149">
        <f>V219</f>
        <v>0</v>
      </c>
      <c r="AA72" s="26"/>
      <c r="AL72" s="138"/>
      <c r="AM72" s="221"/>
      <c r="AR72" s="221"/>
      <c r="AT72" s="9" t="str">
        <f>"("&amp;E149&amp;" + "&amp;E307&amp;") minus ("&amp;I149&amp;" + "&amp;Q149&amp;" + "&amp;AG149&amp;" + "&amp;AK149&amp;" + "&amp;AO149&amp;")"</f>
        <v>(c5.35 + c5.42) minus (c5.44 + c5.52h + c5.58.7 + c5.62 + c5.66.7)</v>
      </c>
      <c r="AV72" s="9" t="s">
        <v>7583</v>
      </c>
      <c r="AW72" s="2029" t="str">
        <f>A371</f>
        <v>c5.66p1b</v>
      </c>
      <c r="AX72" s="2149">
        <f>MAX(0,MIN(AX70,AT87-AT89))</f>
        <v>0</v>
      </c>
      <c r="BB72" s="138"/>
    </row>
    <row r="73" spans="1:54" ht="11.5" customHeight="1" x14ac:dyDescent="0.4">
      <c r="A73" s="8" t="s">
        <v>7584</v>
      </c>
      <c r="B73" s="859"/>
      <c r="C73" s="859"/>
      <c r="G73" s="860"/>
      <c r="H73" s="35"/>
      <c r="J73" s="138"/>
      <c r="N73" s="138"/>
      <c r="O73" s="138"/>
      <c r="P73" s="210"/>
      <c r="Q73" s="210"/>
      <c r="R73" s="9" t="str">
        <f>Q75&amp;" = "&amp;E8&amp;" minus ("&amp;I205&amp;" + "&amp;I280&amp;" + "&amp;M205&amp;")"</f>
        <v>c5.52a = c5.1 minus (c5.47 + c5.48 + c5.52)</v>
      </c>
      <c r="S73" s="861"/>
      <c r="Y73" s="9"/>
      <c r="Z73" s="9" t="str">
        <f>U221&amp;" minus ("&amp;Q248&amp;" minus "&amp;U271&amp;")"</f>
        <v>c5.56.2 minus (c5.55.7 minus c5.56p)</v>
      </c>
      <c r="AL73" s="138"/>
      <c r="AM73" s="221"/>
      <c r="AR73" s="9" t="s">
        <v>7585</v>
      </c>
      <c r="AS73" s="2029" t="str">
        <f>A341</f>
        <v>c5.66a</v>
      </c>
      <c r="AT73" s="2149">
        <f>MAX(0,(F149+F307)-(J149+R149+AH149+AL149+AP149))</f>
        <v>0</v>
      </c>
      <c r="AV73" s="9"/>
      <c r="AX73" s="9" t="str">
        <f>"lower of ("&amp;AW70&amp;" minus "&amp;AW72&amp;") and ("&amp;AS75&amp;" minus "&amp;AS122&amp;")"</f>
        <v>lower of (c5.66p1a minus c5.66p1b) and (c5.66b minus c5.66n)</v>
      </c>
      <c r="BB73" s="138"/>
    </row>
    <row r="74" spans="1:54" ht="11.5" customHeight="1" x14ac:dyDescent="0.4">
      <c r="A74" s="8" t="s">
        <v>7586</v>
      </c>
      <c r="B74" s="859"/>
      <c r="C74" s="859"/>
      <c r="G74" s="860"/>
      <c r="H74" s="35"/>
      <c r="J74" s="138"/>
      <c r="N74" s="138"/>
      <c r="O74" s="138"/>
      <c r="P74" s="210"/>
      <c r="Q74" s="210"/>
      <c r="R74" s="8" t="s">
        <v>75</v>
      </c>
      <c r="S74" s="862"/>
      <c r="X74" s="9" t="s">
        <v>7587</v>
      </c>
      <c r="Y74" s="2180" t="str">
        <f>A204</f>
        <v>c5.58a.3</v>
      </c>
      <c r="Z74" s="2149">
        <f>MAX(0,V221-(R248-V271))</f>
        <v>0</v>
      </c>
      <c r="AL74" s="138"/>
      <c r="AM74" s="221"/>
      <c r="AR74" s="221"/>
      <c r="AT74" s="9" t="str">
        <f>E199&amp;" minus ("&amp;I199&amp;" + "&amp;Q199&amp;" + "&amp;AK199&amp;" + "&amp;AS199&amp;")"</f>
        <v>c5.37 minus (c5.46 + c5.52l + c5.64 + c5.68a)</v>
      </c>
      <c r="AV74" s="9" t="s">
        <v>7588</v>
      </c>
      <c r="AW74" s="2029" t="str">
        <f>A372</f>
        <v>c5.66p1c</v>
      </c>
      <c r="AX74" s="2149">
        <f>MAX(0,MIN(AX70-AX72,AT75-AT122))</f>
        <v>0</v>
      </c>
      <c r="BB74" s="138"/>
    </row>
    <row r="75" spans="1:54" ht="11.5" customHeight="1" x14ac:dyDescent="0.4">
      <c r="A75" s="8" t="s">
        <v>7589</v>
      </c>
      <c r="B75" s="859"/>
      <c r="C75" s="859"/>
      <c r="G75" s="860"/>
      <c r="H75" s="35"/>
      <c r="I75" s="146"/>
      <c r="J75" s="138"/>
      <c r="N75" s="138"/>
      <c r="O75" s="138"/>
      <c r="P75" s="9" t="s">
        <v>7590</v>
      </c>
      <c r="Q75" s="2180" t="str">
        <f>A94</f>
        <v>c5.52a</v>
      </c>
      <c r="R75" s="2149">
        <f>IF(N123&lt;=BR_band+'Deductions (c4)'!I383,0,MAX(0,F8-(J205+J280+N205)))</f>
        <v>0</v>
      </c>
      <c r="S75" s="291"/>
      <c r="Y75" s="9"/>
      <c r="Z75" s="9" t="str">
        <f>E49&amp;" minus ("&amp;I280&amp;" + "&amp;U280&amp;")"</f>
        <v>c5.22 minus (c5.48 + c5.58)</v>
      </c>
      <c r="AL75" s="138"/>
      <c r="AM75" s="221"/>
      <c r="AR75" s="9" t="s">
        <v>7591</v>
      </c>
      <c r="AS75" s="2029" t="str">
        <f>A342</f>
        <v>c5.66b</v>
      </c>
      <c r="AT75" s="2149">
        <f>MAX(0,F199-(J199+R199+AL199+AT199))</f>
        <v>0</v>
      </c>
      <c r="AX75" s="9" t="str">
        <f>"lower of "&amp;AW68&amp;" and "&amp;AW72</f>
        <v>lower of c5.66p1 and c5.66p1b</v>
      </c>
      <c r="BB75" s="138"/>
    </row>
    <row r="76" spans="1:54" ht="11.5" customHeight="1" x14ac:dyDescent="0.4">
      <c r="A76" s="8" t="s">
        <v>7592</v>
      </c>
      <c r="B76" s="859"/>
      <c r="C76" s="859"/>
      <c r="G76" s="860"/>
      <c r="H76" s="35"/>
      <c r="I76" s="146"/>
      <c r="J76" s="138"/>
      <c r="O76" s="138"/>
      <c r="P76" s="9"/>
      <c r="R76" s="9" t="str">
        <f>Q75&amp;" minus "&amp;AK49</f>
        <v>c5.52a minus c5.30</v>
      </c>
      <c r="S76" s="862"/>
      <c r="X76" s="9" t="s">
        <v>7593</v>
      </c>
      <c r="Y76" s="2180" t="str">
        <f>A205</f>
        <v>c5.58a.4</v>
      </c>
      <c r="Z76" s="2149">
        <f>MAX(0,F49-(J280+V280))</f>
        <v>0</v>
      </c>
      <c r="AL76" s="138"/>
      <c r="AM76" s="221"/>
      <c r="AR76" s="221"/>
      <c r="AT76" s="9" t="str">
        <f>"SR_band ("&amp;DOLLAR(SR_band,0)&amp;") minus "&amp;AS73</f>
        <v>SR_band (£5,000) minus c5.66a</v>
      </c>
      <c r="AV76" s="9" t="s">
        <v>7594</v>
      </c>
      <c r="AW76" s="2029" t="str">
        <f>A373</f>
        <v>c5.66p2</v>
      </c>
      <c r="AX76" s="2149">
        <f>MIN(AX68,AX72)</f>
        <v>0</v>
      </c>
      <c r="BB76" s="138"/>
    </row>
    <row r="77" spans="1:54" ht="11.5" customHeight="1" x14ac:dyDescent="0.4">
      <c r="A77" s="8" t="s">
        <v>7595</v>
      </c>
      <c r="B77" s="859"/>
      <c r="C77" s="859"/>
      <c r="G77" s="860"/>
      <c r="H77" s="35"/>
      <c r="I77" s="146"/>
      <c r="J77" s="138"/>
      <c r="N77" s="457"/>
      <c r="O77" s="138"/>
      <c r="P77" s="9" t="s">
        <v>7596</v>
      </c>
      <c r="Q77" s="2180" t="str">
        <f>A95</f>
        <v>c5.52b</v>
      </c>
      <c r="R77" s="2149">
        <f>MAX(0,R75-AL49)</f>
        <v>0</v>
      </c>
      <c r="S77" s="291"/>
      <c r="Y77" s="9"/>
      <c r="Z77" s="9" t="str">
        <f>"lower of "&amp;Y76&amp;" and "&amp;'Deductions (c4)'!L646</f>
        <v>lower of c5.58a.4 and c4.80</v>
      </c>
      <c r="AL77" s="138"/>
      <c r="AM77" s="221"/>
      <c r="AR77" s="9" t="s">
        <v>7597</v>
      </c>
      <c r="AS77" s="2029" t="str">
        <f>A343</f>
        <v>c5.66c</v>
      </c>
      <c r="AT77" s="2149">
        <f>MAX(0,SR_band-AT73)</f>
        <v>5000</v>
      </c>
      <c r="AX77" s="9" t="str">
        <f>"(lower of "&amp;AW68&amp;" and "&amp;AW74&amp;") minus "&amp;AW76</f>
        <v>(lower of c5.66p1 and c5.66p1c) minus c5.66p2</v>
      </c>
      <c r="BB77" s="138"/>
    </row>
    <row r="78" spans="1:54" ht="11.5" customHeight="1" x14ac:dyDescent="0.4">
      <c r="A78" s="8" t="s">
        <v>7598</v>
      </c>
      <c r="B78" s="859"/>
      <c r="C78" s="859"/>
      <c r="G78" s="860"/>
      <c r="H78" s="35"/>
      <c r="I78" s="146"/>
      <c r="J78" s="138"/>
      <c r="N78" s="457"/>
      <c r="O78" s="138"/>
      <c r="R78" s="9" t="str">
        <f>"lower of ((("&amp;E17&amp;" + ("&amp;E36&amp;" minus "&amp;M36&amp;")) minus "&amp;Q77&amp;") and ("&amp;Q75&amp;" minus "&amp;Q77&amp;"))"</f>
        <v>lower of (((c5.3 + (c5.11 minus c5.15)) minus c5.52b) and (c5.52a minus c5.52b))</v>
      </c>
      <c r="S78" s="291"/>
      <c r="X78" s="36" t="s">
        <v>7599</v>
      </c>
      <c r="Y78" s="2180" t="str">
        <f>A206</f>
        <v>c5.58a.5</v>
      </c>
      <c r="Z78" s="2149">
        <f>MIN(Z76,DA)</f>
        <v>0</v>
      </c>
      <c r="AL78" s="138"/>
      <c r="AM78" s="221"/>
      <c r="AR78" s="221"/>
      <c r="AT78" s="9" t="str">
        <f>"lower of "&amp;AS75&amp;" and "&amp;AS77</f>
        <v>lower of c5.66b and c5.66c</v>
      </c>
      <c r="AV78" s="9" t="s">
        <v>7600</v>
      </c>
      <c r="AW78" s="2029" t="str">
        <f>A374</f>
        <v>c5.66p3</v>
      </c>
      <c r="AX78" s="2149">
        <f>MAX(0,(MIN(AX68,AX74)-AX76))</f>
        <v>0</v>
      </c>
      <c r="BB78" s="138"/>
    </row>
    <row r="79" spans="1:54" ht="11.5" customHeight="1" x14ac:dyDescent="0.4">
      <c r="A79" s="8" t="s">
        <v>7601</v>
      </c>
      <c r="B79" s="859"/>
      <c r="C79" s="859"/>
      <c r="G79" s="860"/>
      <c r="H79" s="35"/>
      <c r="I79" s="146"/>
      <c r="J79" s="138"/>
      <c r="N79" s="457"/>
      <c r="O79" s="138"/>
      <c r="P79" s="9" t="s">
        <v>7602</v>
      </c>
      <c r="Q79" s="2180" t="str">
        <f>A96</f>
        <v>c5.52c</v>
      </c>
      <c r="R79" s="2149">
        <f>MAX(0,MIN(((F17+(F36-N36))-R77),R75-R77))</f>
        <v>0</v>
      </c>
      <c r="S79" s="291"/>
      <c r="Y79" s="9"/>
      <c r="Z79" s="9" t="str">
        <f>"lower of "&amp;Y78&amp;" and ("&amp;AK8&amp;" minus ("&amp;Y72&amp;" + "&amp;Y74&amp;"))"</f>
        <v>lower of c5.58a.5 and (c5.2a minus (c5.58a.2 + c5.58a.3))</v>
      </c>
      <c r="AL79" s="138"/>
      <c r="AM79" s="221"/>
      <c r="AR79" s="9" t="s">
        <v>7603</v>
      </c>
      <c r="AS79" s="2029" t="str">
        <f>A344</f>
        <v>c5.66d</v>
      </c>
      <c r="AT79" s="2149">
        <f>MIN(AT75,AT77)</f>
        <v>0</v>
      </c>
      <c r="AX79" s="9" t="str">
        <f>"lower of ("&amp;'Status (c3a)'!H33&amp;" minus "&amp;'Taxable (c5)'!AS73&amp;") and "&amp;AW68</f>
        <v>lower of (c3a.1a minus c5.66a) and c5.66p1</v>
      </c>
      <c r="BB79" s="138"/>
    </row>
    <row r="80" spans="1:54" ht="11.5" customHeight="1" x14ac:dyDescent="0.4">
      <c r="A80" s="8" t="s">
        <v>7604</v>
      </c>
      <c r="B80" s="859"/>
      <c r="C80" s="859"/>
      <c r="G80" s="860"/>
      <c r="H80" s="35"/>
      <c r="I80" s="146"/>
      <c r="J80" s="138"/>
      <c r="N80" s="457"/>
      <c r="O80" s="138"/>
      <c r="R80" s="9" t="str">
        <f>"If MAT_IN and "&amp;'Deductions (c4)'!Q590&amp;" = 0 (zero)"</f>
        <v>If MAT_IN and c4.76c = 0 (zero)</v>
      </c>
      <c r="S80" s="291"/>
      <c r="X80" s="36" t="s">
        <v>7605</v>
      </c>
      <c r="Y80" s="2180" t="str">
        <f>A207</f>
        <v>c5.58a.6</v>
      </c>
      <c r="Z80" s="2149">
        <f>MAX(0,MIN(Z78,(AL8-(Z72+Z74))))</f>
        <v>0</v>
      </c>
      <c r="AL80" s="138"/>
      <c r="AM80" s="221"/>
      <c r="AR80" s="221"/>
      <c r="AT80" s="9" t="str">
        <f>M33&amp;" + "&amp;AG36&amp;" + "&amp;AO36</f>
        <v>c5.14 + c5.19 + c5.20c</v>
      </c>
      <c r="AV80" s="9" t="s">
        <v>7606</v>
      </c>
      <c r="AW80" s="2029" t="str">
        <f>A375</f>
        <v>c5.66p4</v>
      </c>
      <c r="AX80" s="2149">
        <f>MAX(0,MIN('Status (c3a)'!I33-AT73,AX68))</f>
        <v>0</v>
      </c>
      <c r="BB80" s="138"/>
    </row>
    <row r="81" spans="1:54" ht="11.5" customHeight="1" x14ac:dyDescent="0.4">
      <c r="A81" s="8" t="s">
        <v>7607</v>
      </c>
      <c r="B81" s="859"/>
      <c r="C81" s="859"/>
      <c r="G81" s="860"/>
      <c r="H81" s="35"/>
      <c r="I81" s="146"/>
      <c r="J81" s="138"/>
      <c r="N81" s="457"/>
      <c r="O81" s="138"/>
      <c r="P81" s="9"/>
      <c r="R81" s="9" t="str">
        <f>"and "&amp;'Deductions (c4)'!L508&amp;" &gt; (BR_band ("&amp;DOLLAR(BR_band,0)&amp;") + "&amp;'Deductions (c4)'!L511&amp;")"</f>
        <v>and c4.74 &gt; (BR_band (£37,700) + c4.75)</v>
      </c>
      <c r="S81" s="291"/>
      <c r="Y81" s="9"/>
      <c r="Z81" s="9" t="str">
        <f>"lower of "&amp;Y76&amp;" minus "&amp;Y80&amp;" and ("&amp;AK8&amp;" minus ("&amp;Y72&amp;" + "&amp;Y74&amp;" + "&amp;Y80&amp;"))"</f>
        <v>lower of c5.58a.4 minus c5.58a.6 and (c5.2a minus (c5.58a.2 + c5.58a.3 + c5.58a.6))</v>
      </c>
      <c r="AL81" s="138"/>
      <c r="AM81" s="221"/>
      <c r="AR81" s="9" t="s">
        <v>7608</v>
      </c>
      <c r="AS81" s="2029" t="str">
        <f>A345</f>
        <v>c5.66e</v>
      </c>
      <c r="AT81" s="2149">
        <f>N33+AH36+AP36</f>
        <v>0</v>
      </c>
      <c r="AX81" s="9" t="str">
        <f>"lower of (("&amp;'Status (c3a)'!H33&amp;" + "&amp;'Status (c3a)'!L33&amp;" + "&amp;'Deductions (c4)'!H383&amp;") minus "&amp;AS73&amp;") and ("&amp;AW68&amp;" minus "&amp;AW80&amp;")"</f>
        <v>lower of ((c3a.1a + c3a.2 + c4.59) minus c5.66a) and (c5.66p1 minus c5.66p4)</v>
      </c>
      <c r="BB81" s="138"/>
    </row>
    <row r="82" spans="1:54" ht="11.5" customHeight="1" x14ac:dyDescent="0.4">
      <c r="A82" s="8" t="s">
        <v>7609</v>
      </c>
      <c r="B82" s="859"/>
      <c r="C82" s="859"/>
      <c r="G82" s="860"/>
      <c r="H82" s="35"/>
      <c r="I82" s="146"/>
      <c r="J82" s="138"/>
      <c r="O82" s="138"/>
      <c r="Q82" s="146"/>
      <c r="R82" s="9" t="str">
        <f>Q86&amp;" = "&amp;'Deductions (c4)'!L563&amp;" + "&amp;'Deductions (c4)'!L566</f>
        <v>c5.52d = c4.75m + c4.75n</v>
      </c>
      <c r="S82" s="291"/>
      <c r="X82" s="36" t="s">
        <v>7610</v>
      </c>
      <c r="Y82" s="2180" t="str">
        <f>A208</f>
        <v>c5.58a.7</v>
      </c>
      <c r="Z82" s="2149">
        <f>MAX(0,MIN((Z76-Z80),(AL8-(Z72+Z74+Z80))))</f>
        <v>0</v>
      </c>
      <c r="AL82" s="138"/>
      <c r="AM82" s="221"/>
      <c r="AR82" s="9"/>
      <c r="AT82" s="9" t="str">
        <f>'Deductions (c4)'!L639&amp;" minus "&amp;'Taxable (c5)'!AS81</f>
        <v>c4.79 minus c5.66e</v>
      </c>
      <c r="AV82" s="8" t="s">
        <v>7611</v>
      </c>
      <c r="AW82" s="2029" t="str">
        <f>A376</f>
        <v>c5.66p5</v>
      </c>
      <c r="AX82" s="2149">
        <f>MAX(0,MIN(('Status (c3a)'!I33+'Status (c3a)'!M33+'Deductions (c4)'!I383)-AT73,AX68-AX80))</f>
        <v>0</v>
      </c>
      <c r="BB82" s="138"/>
    </row>
    <row r="83" spans="1:54" ht="11.5" customHeight="1" x14ac:dyDescent="0.4">
      <c r="A83" s="8" t="s">
        <v>7612</v>
      </c>
      <c r="B83" s="859"/>
      <c r="C83" s="859"/>
      <c r="G83" s="860"/>
      <c r="H83" s="35"/>
      <c r="I83" s="146"/>
      <c r="J83" s="138"/>
      <c r="O83" s="138"/>
      <c r="Q83" s="146"/>
      <c r="R83" s="167" t="s">
        <v>7143</v>
      </c>
      <c r="Y83" s="9"/>
      <c r="Z83" s="9" t="str">
        <f>"lower of ("&amp;'Deductions (c4)'!L646&amp;" minus "&amp;Y80&amp;") and ("&amp;Y76&amp;" minus ("&amp;Y80&amp;" + "&amp;Y82&amp;"))"</f>
        <v>lower of (c4.80 minus c5.58a.6) and (c5.58a.4 minus (c5.58a.6 + c5.58a.7))</v>
      </c>
      <c r="AL83" s="138"/>
      <c r="AM83" s="221"/>
      <c r="AR83" s="9" t="s">
        <v>7613</v>
      </c>
      <c r="AS83" s="2029" t="str">
        <f>A346</f>
        <v>c5.66e1</v>
      </c>
      <c r="AT83" s="2149">
        <f>MAX(0,PSA-'Taxable (c5)'!AT81)</f>
        <v>1000</v>
      </c>
      <c r="AX83" s="9" t="str">
        <f>"lower of (("&amp;'Status (c3a)'!H33&amp;" + "&amp;'Status (c3a)'!L33&amp;" + "&amp;'Status (c3a)'!P33&amp;" + "&amp;'Deductions (c4)'!H383&amp;") minus "&amp;AS73&amp;") and ("&amp;AW68&amp;" minus ("&amp;AW80&amp;" + "&amp;AW82&amp;"))"</f>
        <v>lower of ((c3a.1a + c3a.2 + c3a.2a + c4.59) minus c5.66a) and (c5.66p1 minus (c5.66p4 + c5.66p5))</v>
      </c>
      <c r="BB83" s="138"/>
    </row>
    <row r="84" spans="1:54" ht="11.5" customHeight="1" x14ac:dyDescent="0.4">
      <c r="A84" s="8" t="s">
        <v>7614</v>
      </c>
      <c r="B84" s="859"/>
      <c r="C84" s="859"/>
      <c r="G84" s="860"/>
      <c r="H84" s="35"/>
      <c r="I84" s="146"/>
      <c r="J84" s="138"/>
      <c r="O84" s="138"/>
      <c r="Q84" s="146"/>
      <c r="R84" s="167" t="str">
        <f>Q86&amp;" = 0 (zero)"</f>
        <v>c5.52d = 0 (zero)</v>
      </c>
      <c r="X84" s="36" t="s">
        <v>7615</v>
      </c>
      <c r="Y84" s="2180" t="str">
        <f>A209</f>
        <v>c5.58a.8</v>
      </c>
      <c r="Z84" s="2149">
        <f>MAX(0,MIN(DA-Z80,Z76-(Z80+Z82)))</f>
        <v>0</v>
      </c>
      <c r="AA84" s="458"/>
      <c r="AL84" s="138"/>
      <c r="AM84" s="221"/>
      <c r="AT84" s="9" t="str">
        <f>"lower of ("&amp;E302&amp;" minus "&amp;AS83&amp;") and "&amp;AS81</f>
        <v>lower of (c5.41 minus c5.66e1) and c5.66e</v>
      </c>
      <c r="AV84" s="9" t="s">
        <v>7616</v>
      </c>
      <c r="AW84" s="2029" t="str">
        <f>A377</f>
        <v>c5.66p6</v>
      </c>
      <c r="AX84" s="2149">
        <f>MAX(0,MIN(('Status (c3a)'!I33+'Status (c3a)'!M33+'Status (c3a)'!Q33+'Deductions (c4)'!I383)-AT73,AX68-(AX80+AX82)))</f>
        <v>0</v>
      </c>
      <c r="BB84" s="138"/>
    </row>
    <row r="85" spans="1:54" ht="11.5" customHeight="1" x14ac:dyDescent="0.4">
      <c r="A85" s="8" t="s">
        <v>7617</v>
      </c>
      <c r="B85" s="859"/>
      <c r="C85" s="859"/>
      <c r="G85" s="860"/>
      <c r="H85" s="35"/>
      <c r="I85" s="146"/>
      <c r="J85" s="138"/>
      <c r="O85" s="138"/>
      <c r="Q85" s="146"/>
      <c r="R85" s="167" t="s">
        <v>75</v>
      </c>
      <c r="S85" s="291"/>
      <c r="Y85" s="9"/>
      <c r="Z85" s="9" t="str">
        <f>Y76&amp;" minus ("&amp;Y80&amp;" + "&amp;Y82&amp;" + "&amp;Y84&amp;")"</f>
        <v>c5.58a.4 minus (c5.58a.6 + c5.58a.7 + c5.58a.8)</v>
      </c>
      <c r="AL85" s="138"/>
      <c r="AM85" s="221"/>
      <c r="AR85" s="9" t="s">
        <v>7618</v>
      </c>
      <c r="AS85" s="2029" t="str">
        <f>A347</f>
        <v>c5.66f</v>
      </c>
      <c r="AT85" s="2149">
        <f>MAX(0,MIN((F302-AT83),AT81))</f>
        <v>0</v>
      </c>
      <c r="AX85" s="9" t="str">
        <f>AW68&amp;" minus ("&amp;AW80&amp;" + "&amp;AW82&amp;" + "&amp;AW84&amp;")"</f>
        <v>c5.66p1 minus (c5.66p4 + c5.66p5 + c5.66p6)</v>
      </c>
      <c r="BB85" s="138"/>
    </row>
    <row r="86" spans="1:54" ht="11.5" customHeight="1" x14ac:dyDescent="0.4">
      <c r="A86" s="8" t="s">
        <v>7619</v>
      </c>
      <c r="B86" s="859"/>
      <c r="C86" s="859"/>
      <c r="G86" s="860"/>
      <c r="H86" s="35"/>
      <c r="I86" s="146"/>
      <c r="J86" s="138"/>
      <c r="N86" s="138"/>
      <c r="O86" s="138"/>
      <c r="P86" s="9" t="str">
        <f>"Allowances for Dividends to retain more beneficial MAT_IN ("&amp;DOLLAR(T_P_A,0)&amp;")"</f>
        <v>Allowances for Dividends to retain more beneficial MAT_IN (£1,260)</v>
      </c>
      <c r="Q86" s="2180" t="str">
        <f>A97</f>
        <v>c5.52d</v>
      </c>
      <c r="R86" s="2149">
        <f>IF(AND(MAT_IN,HR_case_MAT=0,'Deductions (c4)'!M508&gt;BR_band+'Deductions (c4)'!M511),'Deductions (c4)'!M563+'Deductions (c4)'!M566,0)</f>
        <v>0</v>
      </c>
      <c r="S86" s="518"/>
      <c r="X86" s="36" t="s">
        <v>7620</v>
      </c>
      <c r="Y86" s="2180" t="str">
        <f>A210</f>
        <v>c5.58a.9</v>
      </c>
      <c r="Z86" s="2149">
        <f>MAX(0,Z76-(Z80+Z82+Z84))</f>
        <v>0</v>
      </c>
      <c r="AL86" s="138"/>
      <c r="AM86" s="221"/>
      <c r="AT86" s="9" t="str">
        <f>AK8&amp;" minus "&amp;AS73</f>
        <v>c5.2a minus c5.66a</v>
      </c>
      <c r="AV86" s="9" t="s">
        <v>7621</v>
      </c>
      <c r="AW86" s="2029" t="str">
        <f>A378</f>
        <v>c5.66p7</v>
      </c>
      <c r="AX86" s="2149">
        <f>MAX(0,AX68-(AX80+AX82+AX84))</f>
        <v>0</v>
      </c>
      <c r="BB86" s="138"/>
    </row>
    <row r="87" spans="1:54" ht="11.5" customHeight="1" x14ac:dyDescent="0.4">
      <c r="A87" s="8" t="s">
        <v>7622</v>
      </c>
      <c r="B87" s="859"/>
      <c r="C87" s="859"/>
      <c r="G87" s="860"/>
      <c r="H87" s="35"/>
      <c r="I87" s="146"/>
      <c r="J87" s="138"/>
      <c r="N87" s="457"/>
      <c r="O87" s="138"/>
      <c r="R87" s="9" t="str">
        <f>E8&amp;" minus ("&amp;Q79&amp;" + "&amp;Q86&amp;")"</f>
        <v>c5.1 minus (c5.52c + c5.52d)</v>
      </c>
      <c r="S87" s="291"/>
      <c r="Y87" s="9"/>
      <c r="Z87" s="9" t="str">
        <f>"lower of ("&amp;E176&amp;" minus "&amp;Y68&amp;") and ("&amp;'Status (c3a)'!H33&amp;" minus ("&amp;Y72&amp;" + "&amp;Y74&amp;" + "&amp;Y76&amp;"))"</f>
        <v>lower of (c5.36 minus c5.58a.1b) and (c3a.1a minus (c5.58a.2 + c5.58a.3 + c5.58a.4))</v>
      </c>
      <c r="AL87" s="138"/>
      <c r="AM87" s="221"/>
      <c r="AR87" s="9" t="s">
        <v>7623</v>
      </c>
      <c r="AS87" s="2029" t="str">
        <f>A348</f>
        <v>c5.66g</v>
      </c>
      <c r="AT87" s="2149">
        <f>MAX(0,AL8-AT73)</f>
        <v>37700</v>
      </c>
      <c r="AX87" s="9" t="s">
        <v>7043</v>
      </c>
      <c r="BB87" s="138"/>
    </row>
    <row r="88" spans="1:54" ht="11.5" customHeight="1" x14ac:dyDescent="0.4">
      <c r="A88" s="8" t="s">
        <v>7624</v>
      </c>
      <c r="B88" s="859"/>
      <c r="C88" s="859"/>
      <c r="G88" s="860"/>
      <c r="H88" s="35"/>
      <c r="I88" s="146"/>
      <c r="J88" s="138"/>
      <c r="O88" s="138"/>
      <c r="P88" s="9"/>
      <c r="Q88" s="2180" t="str">
        <f>A98</f>
        <v>c5.52e</v>
      </c>
      <c r="R88" s="2149">
        <f>MAX(0,F8-(R79+R86))</f>
        <v>12570</v>
      </c>
      <c r="S88" s="221"/>
      <c r="X88" s="9" t="s">
        <v>7625</v>
      </c>
      <c r="Y88" s="2180" t="str">
        <f>A211</f>
        <v>c5.58a.10</v>
      </c>
      <c r="Z88" s="2149">
        <f>MAX(0,MIN(F176-Z68,'Status (c3a)'!I33-(Z72+Z74+Z76)))</f>
        <v>0</v>
      </c>
      <c r="AL88" s="138"/>
      <c r="AM88" s="221"/>
      <c r="AT88" s="9" t="str">
        <f>AS81&amp;" minus "&amp;AS85</f>
        <v>c5.66e minus c5.66f</v>
      </c>
      <c r="AW88" s="2029" t="str">
        <f>A379</f>
        <v>c5.66p7a</v>
      </c>
      <c r="AX88" s="2149">
        <v>0</v>
      </c>
      <c r="BB88" s="138"/>
    </row>
    <row r="89" spans="1:54" ht="11.5" customHeight="1" x14ac:dyDescent="0.4">
      <c r="A89" s="8" t="s">
        <v>7626</v>
      </c>
      <c r="B89" s="859"/>
      <c r="C89" s="859"/>
      <c r="G89" s="860"/>
      <c r="H89" s="35"/>
      <c r="I89" s="146"/>
      <c r="J89" s="138"/>
      <c r="O89" s="138"/>
      <c r="P89" s="9"/>
      <c r="Q89" s="146"/>
      <c r="R89" s="9"/>
      <c r="Y89" s="9"/>
      <c r="Z89" s="9" t="str">
        <f>"lower of ("&amp;E176&amp;" minus ("&amp;Y68&amp;" + "&amp;Y88&amp;")) and (("&amp;'Status (c3a)'!H33&amp;" + "&amp;U8&amp;") minus ("&amp;Y72&amp;" + "&amp;Y74&amp;" + "&amp;Y76&amp;" + "&amp;Y88&amp;"))"</f>
        <v>lower of (c5.36 minus (c5.58a.1b + c5.58a.10)) and ((c3a.1a + c5.2) minus (c5.58a.2 + c5.58a.3 + c5.58a.4 + c5.58a.10))</v>
      </c>
      <c r="AL89" s="138"/>
      <c r="AM89" s="221"/>
      <c r="AR89" s="9" t="s">
        <v>7627</v>
      </c>
      <c r="AS89" s="2029" t="str">
        <f>A349</f>
        <v>c5.66h</v>
      </c>
      <c r="AT89" s="2149">
        <f>MAX(0,AT81-AT85)</f>
        <v>0</v>
      </c>
      <c r="AX89" s="11" t="str">
        <f>"(("&amp;AW76&amp;" × BR_rate ("&amp;BR_rate*100&amp;"%)) + ("&amp;AW78&amp;" × HR_rate ("&amp;HR_rate*100&amp;"%)) + ("&amp;AS118&amp;" × BR_rate ("&amp;BR_rate*100&amp;"%)) + ("&amp;AS120&amp;" × HR_rate ("&amp;HR_rate*100&amp;"%))) minus"</f>
        <v>((c5.66p2 × BR_rate (20%)) + (c5.66p3 × HR_rate (40%)) + (c5.66l × BR_rate (20%)) + (c5.66m × HR_rate (40%))) minus</v>
      </c>
      <c r="BB89" s="138"/>
    </row>
    <row r="90" spans="1:54" ht="11.5" customHeight="1" x14ac:dyDescent="0.4">
      <c r="A90" s="8" t="s">
        <v>7628</v>
      </c>
      <c r="B90" s="859"/>
      <c r="C90" s="859"/>
      <c r="G90" s="860"/>
      <c r="H90" s="35"/>
      <c r="I90" s="146"/>
      <c r="J90" s="138"/>
      <c r="O90" s="138"/>
      <c r="P90" s="9"/>
      <c r="Q90" s="146"/>
      <c r="R90" s="9"/>
      <c r="S90" s="862"/>
      <c r="X90" s="9" t="s">
        <v>7629</v>
      </c>
      <c r="Y90" s="2180" t="str">
        <f>A212</f>
        <v>c5.58a.11</v>
      </c>
      <c r="Z90" s="2149">
        <f>MAX(0,MIN(F176-(Z68+Z88),('Status (c3a)'!I33+V8)-(Z72+Z74+Z76+Z88)))</f>
        <v>0</v>
      </c>
      <c r="AL90" s="138"/>
      <c r="AM90" s="221"/>
      <c r="AT90" s="9" t="str">
        <f>AS75&amp;" minus ("&amp;AS79&amp;" + "&amp;AS81&amp;")"</f>
        <v>c5.66b minus (c5.66d + c5.66e)</v>
      </c>
      <c r="AX90" s="9" t="str">
        <f>"(("&amp;AW80&amp;" × "&amp;'Status (c3a)'!H45&amp;") + ("&amp;'Taxable (c5)'!AW82&amp;" × "&amp;'Status (c3a)'!L45&amp;") + ("&amp;'Taxable (c5)'!AW84&amp;" × "&amp;'Status (c3a)'!P45&amp;") + ("&amp;'Taxable (c5)'!AW86&amp;" × "&amp;'Status (c3a)'!X45&amp;"))"</f>
        <v>((c5.66p4 × c3a.3b) + (c5.66p5 × c3a.4) + (c5.66p6 × c3a.4a) + (c5.66p7 × c3a.5))</v>
      </c>
      <c r="AY90" s="863"/>
      <c r="AZ90" s="9"/>
      <c r="BB90" s="138"/>
    </row>
    <row r="91" spans="1:54" ht="11.5" customHeight="1" x14ac:dyDescent="0.4">
      <c r="A91" s="8" t="s">
        <v>7630</v>
      </c>
      <c r="B91" s="859"/>
      <c r="C91" s="859"/>
      <c r="G91" s="860"/>
      <c r="N91" s="457"/>
      <c r="O91" s="138"/>
      <c r="P91" s="9"/>
      <c r="Q91" s="146"/>
      <c r="R91" s="26"/>
      <c r="S91" s="221"/>
      <c r="X91" s="210"/>
      <c r="Y91" s="9"/>
      <c r="Z91" s="9" t="str">
        <f>"lower of ("&amp;E176&amp;" minus ("&amp;Y68&amp;" + "&amp;Y88&amp;" + "&amp;Y90&amp;")) and (("&amp;'Status (c3a)'!H33&amp;" + "&amp;U8&amp;" + "&amp;'Status (c3a)'!P33&amp;") minus ("&amp;Y72&amp;" + "&amp;Y74&amp;" + "&amp;Y76&amp;" + "&amp;Y88&amp;" + "&amp;Y90&amp;"))"</f>
        <v>lower of (c5.36 minus (c5.58a.1b + c5.58a.10 + c5.58a.11)) and ((c3a.1a + c5.2 + c3a.2a) minus (c5.58a.2 + c5.58a.3 + c5.58a.4 + c5.58a.10 + c5.58a.11))</v>
      </c>
      <c r="AL91" s="138"/>
      <c r="AM91" s="221"/>
      <c r="AR91" s="9" t="s">
        <v>7631</v>
      </c>
      <c r="AS91" s="2029" t="str">
        <f>A350</f>
        <v>c5.66i</v>
      </c>
      <c r="AT91" s="2149">
        <f>MAX(0,AT75-(AT79+AT81))</f>
        <v>0</v>
      </c>
      <c r="AW91" s="2029" t="str">
        <f>A380</f>
        <v>c5.66p8</v>
      </c>
      <c r="AX91" s="2182">
        <f>MAX(0,((AX76*BR_rate)+(AX78*HR_rate)+(AT118*BR_rate)+(AT120*HR_rate))-((AX80*'Status (c3a)'!I45)+(AX82*'Status (c3a)'!M45)+(AX84*'Status (c3a)'!Q45)+(AX86*'Status (c3a)'!Y45)))</f>
        <v>0</v>
      </c>
      <c r="AY91" s="863"/>
      <c r="BB91" s="138"/>
    </row>
    <row r="92" spans="1:54" ht="11.5" customHeight="1" x14ac:dyDescent="0.4">
      <c r="A92" s="8" t="s">
        <v>7632</v>
      </c>
      <c r="B92" s="859"/>
      <c r="C92" s="859"/>
      <c r="G92" s="860"/>
      <c r="J92" s="9"/>
      <c r="N92" s="457"/>
      <c r="O92" s="138"/>
      <c r="P92" s="9"/>
      <c r="Q92" s="146"/>
      <c r="R92" s="9"/>
      <c r="S92" s="221"/>
      <c r="X92" s="9" t="s">
        <v>7633</v>
      </c>
      <c r="Y92" s="2180" t="str">
        <f>A213</f>
        <v>c5.58a.12</v>
      </c>
      <c r="Z92" s="2149">
        <f>MAX(0,MIN(F176-(Z68+Z88+Z90),('Status (c3a)'!I33+V8+'Status (c3a)'!Q33)-(Z72+Z74+Z76+Z88+Z90)))</f>
        <v>0</v>
      </c>
      <c r="AL92" s="138"/>
      <c r="AM92" s="221"/>
      <c r="AT92" s="9" t="str">
        <f>I280&amp;" + "&amp;U280&amp;" + "&amp;AC280&amp;" + "&amp;AK280</f>
        <v>c5.48 + c5.58 + c5.58k + c5.66</v>
      </c>
      <c r="AX92" s="9" t="str">
        <f>"if ("&amp;AS75&amp;" minus "&amp;AS79&amp;") &gt; 0 (zero) and"</f>
        <v>if (c5.66b minus c5.66d) &gt; 0 (zero) and</v>
      </c>
      <c r="BB92" s="138"/>
    </row>
    <row r="93" spans="1:54" ht="11.5" customHeight="1" x14ac:dyDescent="0.4">
      <c r="A93" s="8" t="s">
        <v>7634</v>
      </c>
      <c r="B93" s="859"/>
      <c r="C93" s="859"/>
      <c r="G93" s="860"/>
      <c r="J93" s="9"/>
      <c r="N93" s="457"/>
      <c r="O93" s="138"/>
      <c r="Q93" s="210"/>
      <c r="R93" s="9" t="s">
        <v>4816</v>
      </c>
      <c r="S93" s="221"/>
      <c r="Y93" s="9"/>
      <c r="Z93" s="9" t="str">
        <f>"lower of ("&amp;E176&amp;" minus ("&amp;Y68&amp;" + "&amp;Y88&amp;" + "&amp;Y90&amp;" + "&amp;Y92&amp;")) and (("&amp;'Status (c3a)'!H33&amp;" + "&amp;U8&amp;" + "&amp;'Status (c3a)'!P33&amp;" + "&amp;'Status (c3a)'!X33&amp;") minus ("&amp;Y72&amp;" + "&amp;Y74&amp;" + "&amp;Y76&amp;" + "&amp;Y88&amp;" + "&amp;Y90&amp;" + "&amp;Y92&amp;"))"</f>
        <v>lower of (c5.36 minus (c5.58a.1b + c5.58a.10 + c5.58a.11 + c5.58a.12)) and ((c3a.1a + c5.2 + c3a.2a + c3a.3) minus (c5.58a.2 + c5.58a.3 + c5.58a.4 + c5.58a.10 + c5.58a.11 + c5.58a.12))</v>
      </c>
      <c r="AL93" s="138"/>
      <c r="AM93" s="221"/>
      <c r="AR93" s="9" t="s">
        <v>7635</v>
      </c>
      <c r="AS93" s="2029" t="str">
        <f>A351</f>
        <v>c5.66i1</v>
      </c>
      <c r="AT93" s="2149">
        <f>J280+V280+AD280+AL280</f>
        <v>0</v>
      </c>
      <c r="AX93" s="9" t="str">
        <f>"("&amp;AS75&amp;" + "&amp;E302&amp;") &gt; ("&amp;AS79&amp;" + "&amp;'Deductions (c4)'!L639&amp;") and"</f>
        <v>(c5.66b + c5.41) &gt; (c5.66d + c4.79) and</v>
      </c>
      <c r="BB93" s="138"/>
    </row>
    <row r="94" spans="1:54" ht="11.5" customHeight="1" x14ac:dyDescent="0.4">
      <c r="A94" s="8" t="s">
        <v>7636</v>
      </c>
      <c r="B94" s="859"/>
      <c r="C94" s="859"/>
      <c r="G94" s="860"/>
      <c r="J94" s="9"/>
      <c r="O94" s="138"/>
      <c r="P94" s="9" t="s">
        <v>7637</v>
      </c>
      <c r="Q94" s="2180" t="str">
        <f>A99</f>
        <v>c5.52e1</v>
      </c>
      <c r="R94" s="2149">
        <v>0</v>
      </c>
      <c r="S94" s="221"/>
      <c r="X94" s="9" t="s">
        <v>7638</v>
      </c>
      <c r="Y94" s="2180" t="str">
        <f>A214</f>
        <v>c5.58a.13</v>
      </c>
      <c r="Z94" s="2149">
        <f>MAX(0,MIN(F176-(Z68+Z88+Z90+Z92),('Status (c3a)'!I33+V8+'Status (c3a)'!Q33+'Status (c3a)'!Y33)-(Z72+Z74+Z76+Z88+Z90+Z92)))</f>
        <v>0</v>
      </c>
      <c r="AL94" s="138"/>
      <c r="AM94" s="221"/>
      <c r="AT94" s="9" t="str">
        <f>"lower of ((("&amp;AS75&amp;" minus "&amp;AS79&amp;") + "&amp;E302&amp;") minus "&amp;'Deductions (c4)'!L639&amp;") and "&amp;AS93</f>
        <v>lower of (((c5.66b minus c5.66d) + c5.41) minus c4.79) and c5.66i1</v>
      </c>
      <c r="AX94" s="9" t="str">
        <f>AW91&amp;" &gt; 0 (zero) and"</f>
        <v>c5.66p8 &gt; 0 (zero) and</v>
      </c>
      <c r="BB94" s="138"/>
    </row>
    <row r="95" spans="1:54" ht="11.5" customHeight="1" x14ac:dyDescent="0.4">
      <c r="A95" s="8" t="s">
        <v>7639</v>
      </c>
      <c r="B95" s="859"/>
      <c r="C95" s="859"/>
      <c r="G95" s="860"/>
      <c r="O95" s="138"/>
      <c r="Q95" s="210"/>
      <c r="R95" s="9" t="s">
        <v>7043</v>
      </c>
      <c r="S95" s="221"/>
      <c r="Y95" s="9"/>
      <c r="Z95" s="9" t="str">
        <f>"lower of ("&amp;E176&amp;" minus ("&amp;Y68&amp;" + "&amp;Y88&amp;" + "&amp;Y90&amp;" + "&amp;Y92&amp;" + "&amp;Y94&amp;")) and"</f>
        <v>lower of (c5.36 minus (c5.58a.1b + c5.58a.10 + c5.58a.11 + c5.58a.12 + c5.58a.13)) and</v>
      </c>
      <c r="AL95" s="138"/>
      <c r="AM95" s="221"/>
      <c r="AR95" s="135" t="s">
        <v>7640</v>
      </c>
      <c r="AS95" s="2029" t="str">
        <f>A352</f>
        <v>c5.66i2</v>
      </c>
      <c r="AT95" s="2149">
        <f>MAX(0,MIN(((AT75-AT79)+F302)-PSA,AT93))</f>
        <v>0</v>
      </c>
      <c r="AX95" s="9" t="str">
        <f>E302&amp;" &gt; 0 (zero)"</f>
        <v>c5.41 &gt; 0 (zero)</v>
      </c>
      <c r="BB95" s="138"/>
    </row>
    <row r="96" spans="1:54" ht="11.5" customHeight="1" x14ac:dyDescent="0.4">
      <c r="A96" s="8" t="s">
        <v>7641</v>
      </c>
      <c r="B96" s="859"/>
      <c r="C96" s="859"/>
      <c r="G96" s="860"/>
      <c r="H96" s="9"/>
      <c r="N96" s="138"/>
      <c r="O96" s="138"/>
      <c r="Q96" s="2180" t="str">
        <f>A100</f>
        <v>c5.52e2</v>
      </c>
      <c r="R96" s="2149">
        <v>0</v>
      </c>
      <c r="S96" s="496"/>
      <c r="Z96" s="9" t="str">
        <f>"(("&amp;'Status (c3a)'!H33&amp;" + "&amp;U8&amp;" + "&amp;'Status (c3a)'!P33&amp;" + "&amp;'Status (c3a)'!X33&amp;" + "&amp;'Status (c3a)'!AA33&amp;") minus ("&amp;Y72&amp;" + "&amp;Y74&amp;" + "&amp;Y76&amp;" + "&amp;Y88&amp;" + "&amp;Y90&amp;" + "&amp;Y92&amp;" + "&amp;Y94&amp;"))"</f>
        <v>((c3a.1a + c5.2 + c3a.2a + c3a.3 + c3a.3.1) minus (c5.58a.2 + c5.58a.3 + c5.58a.4 + c5.58a.10 + c5.58a.11 + c5.58a.12 + c5.58a.13))</v>
      </c>
      <c r="AL96" s="138"/>
      <c r="AM96" s="221"/>
      <c r="AX96" s="9" t="str">
        <f>AW100&amp;" = "&amp;AW68</f>
        <v>c5.66q = c5.66p1</v>
      </c>
      <c r="BB96" s="138"/>
    </row>
    <row r="97" spans="1:54" ht="11.5" customHeight="1" x14ac:dyDescent="0.4">
      <c r="A97" s="8" t="s">
        <v>7642</v>
      </c>
      <c r="B97" s="859"/>
      <c r="F97" s="210"/>
      <c r="G97" s="814"/>
      <c r="N97" s="138"/>
      <c r="O97" s="138"/>
      <c r="Q97" s="210"/>
      <c r="R97" s="9" t="s">
        <v>7043</v>
      </c>
      <c r="Y97" s="2180" t="str">
        <f>A215</f>
        <v>c5.58a.13a</v>
      </c>
      <c r="Z97" s="2149">
        <f>MAX(0,MIN(F176-(Z68+Z88+Z90+Z92+Z94),('Status (c3a)'!I33+V8+'Status (c3a)'!Q33+'Status (c3a)'!Y33+'Status (c3a)'!AB33)-(Z72+Z74+Z76+Z88+Z90+Z92+Z94)))</f>
        <v>0</v>
      </c>
      <c r="AL97" s="138"/>
      <c r="AM97" s="221"/>
      <c r="AT97" s="9" t="str">
        <f>I149&amp;" + "&amp;Q149&amp;" + "&amp;AG149&amp;" + "&amp;AK149&amp;" + "&amp;AO149</f>
        <v>c5.44 + c5.52h + c5.58.7 + c5.62 + c5.66.7</v>
      </c>
      <c r="AX97" s="22" t="s">
        <v>7143</v>
      </c>
    </row>
    <row r="98" spans="1:54" ht="11.5" customHeight="1" x14ac:dyDescent="0.4">
      <c r="A98" s="8" t="s">
        <v>7643</v>
      </c>
      <c r="B98" s="859"/>
      <c r="G98" s="814"/>
      <c r="H98" s="9"/>
      <c r="N98" s="138"/>
      <c r="O98" s="138"/>
      <c r="P98" s="215"/>
      <c r="Q98" s="2180" t="str">
        <f>A101</f>
        <v>c5.52e3</v>
      </c>
      <c r="R98" s="2149">
        <v>0</v>
      </c>
      <c r="S98" s="862"/>
      <c r="Y98" s="9"/>
      <c r="Z98" s="9" t="str">
        <f>"("&amp;Y88&amp;" × "&amp;'Status (c3a)'!H45&amp;") + ("&amp;Y90&amp;" × "&amp;'Status (c3a)'!L45&amp;") + ("&amp;Y92&amp;" × "&amp;'Status (c3a)'!P45&amp;") + ("&amp;Y94&amp;" × "&amp;'Status (c3a)'!X45&amp;") + ("&amp;Y97&amp;" × "&amp;'Status (c3a)'!AA45&amp;")"</f>
        <v>(c5.58a.10 × c3a.3b) + (c5.58a.11 × c3a.4) + (c5.58a.12 × c3a.4a) + (c5.58a.13 × c3a.5) + (c5.58a.13a × c3a.5a)</v>
      </c>
      <c r="AL98" s="138"/>
      <c r="AM98" s="221"/>
      <c r="AR98" s="9" t="s">
        <v>7644</v>
      </c>
      <c r="AS98" s="2029" t="str">
        <f>A353</f>
        <v>c5.66i3</v>
      </c>
      <c r="AT98" s="2149">
        <f>J149+R149+AH149+AL149+AP149</f>
        <v>0</v>
      </c>
      <c r="AW98" s="221"/>
      <c r="AX98" s="9" t="str">
        <f>AW100&amp;" = 0 (zero)"</f>
        <v>c5.66q = 0 (zero)</v>
      </c>
    </row>
    <row r="99" spans="1:54" ht="11.5" customHeight="1" x14ac:dyDescent="0.4">
      <c r="A99" s="8" t="s">
        <v>7645</v>
      </c>
      <c r="B99" s="859"/>
      <c r="G99" s="860"/>
      <c r="J99" s="9"/>
      <c r="M99" s="146"/>
      <c r="N99" s="138"/>
      <c r="O99" s="138"/>
      <c r="Q99" s="210"/>
      <c r="R99" s="9" t="s">
        <v>7043</v>
      </c>
      <c r="X99" s="9" t="s">
        <v>7646</v>
      </c>
      <c r="Y99" s="2180" t="str">
        <f>A216</f>
        <v>c5.58a.14</v>
      </c>
      <c r="Z99" s="2182">
        <f>TRUNC((Z88*'Status (c3a)'!I45)+(Z90*'Status (c3a)'!M45)+(Z92*'Status (c3a)'!Q45)+(Z94*'Status (c3a)'!Y45)+(Z97*'Status (c3a)'!AB45),2)</f>
        <v>0</v>
      </c>
      <c r="AA99" s="861" t="s">
        <v>7647</v>
      </c>
      <c r="AI99" s="9"/>
      <c r="AL99" s="138"/>
      <c r="AM99" s="221"/>
      <c r="AT99" s="9" t="str">
        <f>"lower of ("&amp;AS79&amp;" + "&amp;AS85&amp;" + "&amp;AS91&amp;") and "&amp;AS98</f>
        <v>lower of (c5.66d + c5.66f + c5.66i) and c5.66i3</v>
      </c>
      <c r="AW99" s="221"/>
      <c r="AX99" s="22" t="s">
        <v>75</v>
      </c>
      <c r="BB99" s="138"/>
    </row>
    <row r="100" spans="1:54" ht="11.5" customHeight="1" x14ac:dyDescent="0.4">
      <c r="A100" s="8" t="s">
        <v>7648</v>
      </c>
      <c r="B100" s="859"/>
      <c r="G100" s="860"/>
      <c r="N100" s="138"/>
      <c r="O100" s="138"/>
      <c r="Q100" s="2180" t="str">
        <f>A102</f>
        <v>c5.52e4</v>
      </c>
      <c r="R100" s="2149">
        <v>0</v>
      </c>
      <c r="Y100" s="9"/>
      <c r="Z100" s="9" t="str">
        <f>"lower of ("&amp;E176&amp;" minus ("&amp;Y68&amp;" + "&amp;Y70&amp;")) and ("&amp;'Status (c3a)'!H33&amp;" minus ("&amp;Y72&amp;" + "&amp;Y74&amp;" + "&amp;Y76&amp;"))"</f>
        <v>lower of (c5.36 minus (c5.58a.1b + c5.58a.1)) and (c3a.1a minus (c5.58a.2 + c5.58a.3 + c5.58a.4))</v>
      </c>
      <c r="AI100" s="9"/>
      <c r="AR100" s="135" t="s">
        <v>7649</v>
      </c>
      <c r="AS100" s="2029" t="str">
        <f>A354</f>
        <v>c5.66i4</v>
      </c>
      <c r="AT100" s="2169">
        <f>MIN((AT79+AT85+AT91),AT98)</f>
        <v>0</v>
      </c>
      <c r="AV100" s="9" t="s">
        <v>7650</v>
      </c>
      <c r="AW100" s="2029" t="str">
        <f>A381</f>
        <v>c5.66q</v>
      </c>
      <c r="AX100" s="2149">
        <f>IF(AND((AT75-AT79&gt;0),(AT75+F302)&gt;AT79+PSA,AX91&gt;0,F302&gt;0),AX68,0)</f>
        <v>0</v>
      </c>
    </row>
    <row r="101" spans="1:54" ht="11.5" customHeight="1" x14ac:dyDescent="0.4">
      <c r="A101" s="8" t="s">
        <v>7651</v>
      </c>
      <c r="B101" s="859"/>
      <c r="C101" s="859"/>
      <c r="G101" s="860"/>
      <c r="N101" s="9"/>
      <c r="O101" s="138"/>
      <c r="Q101" s="210"/>
      <c r="R101" s="9" t="s">
        <v>7043</v>
      </c>
      <c r="X101" s="9" t="s">
        <v>7625</v>
      </c>
      <c r="Y101" s="2180" t="str">
        <f>A217</f>
        <v>c5.58a.15</v>
      </c>
      <c r="Z101" s="2149">
        <f>MAX(0,MIN(F176-(Z68+Z70),'Status (c3a)'!I33-(Z72+Z74+Z76)))</f>
        <v>0</v>
      </c>
      <c r="AA101" s="458"/>
      <c r="AI101" s="9"/>
      <c r="AT101" s="9" t="str">
        <f>AK8&amp;" minus ("&amp;'Deductions (c4)'!L508&amp;" minus "&amp;'Divs (c3)'!G69&amp;")"</f>
        <v>c5.2a minus (c4.74 minus c3.18)</v>
      </c>
      <c r="AY101" s="458"/>
      <c r="AZ101" s="9"/>
    </row>
    <row r="102" spans="1:54" ht="11.5" customHeight="1" x14ac:dyDescent="0.4">
      <c r="A102" s="8" t="s">
        <v>7652</v>
      </c>
      <c r="B102" s="859"/>
      <c r="C102" s="859"/>
      <c r="G102" s="860"/>
      <c r="N102" s="9"/>
      <c r="O102" s="138"/>
      <c r="Q102" s="2180" t="str">
        <f>A103</f>
        <v>c5.52e5</v>
      </c>
      <c r="R102" s="2149">
        <v>0</v>
      </c>
      <c r="Y102" s="9"/>
      <c r="Z102" s="9" t="str">
        <f>"lower of ("&amp;E176&amp;" minus ("&amp;Y68&amp;" + "&amp;Y70&amp;" + "&amp;Y101&amp;")) and (("&amp;'Status (c3a)'!H33&amp;" + "&amp;U8&amp;") minus ("&amp;Y72&amp;" + "&amp;Y74&amp;" + "&amp;Y76&amp;" + "&amp;Y101&amp;"))"</f>
        <v>lower of (c5.36 minus (c5.58a.1b + c5.58a.1 + c5.58a.15)) and ((c3a.1a + c5.2) minus (c5.58a.2 + c5.58a.3 + c5.58a.4 + c5.58a.15))</v>
      </c>
      <c r="AI102" s="9"/>
      <c r="AR102" s="9" t="s">
        <v>7653</v>
      </c>
      <c r="AS102" s="2029" t="str">
        <f>A355</f>
        <v>c5.66j</v>
      </c>
      <c r="AT102" s="2149">
        <f>MAX(0,AL8-('Deductions (c4)'!M508-'Divs (c3)'!H69))</f>
        <v>37700</v>
      </c>
      <c r="AX102" s="9" t="str">
        <f>"lower of ("&amp;AS75&amp;" minus "&amp;AW100&amp;") and "&amp;AS95</f>
        <v>lower of (c5.66b minus c5.66q) and c5.66i2</v>
      </c>
    </row>
    <row r="103" spans="1:54" ht="11.5" customHeight="1" x14ac:dyDescent="0.4">
      <c r="A103" s="8" t="s">
        <v>7654</v>
      </c>
      <c r="B103" s="859"/>
      <c r="C103" s="859"/>
      <c r="G103" s="860"/>
      <c r="H103" s="856"/>
      <c r="N103" s="9"/>
      <c r="O103" s="138"/>
      <c r="Q103" s="210"/>
      <c r="R103" s="9" t="s">
        <v>7043</v>
      </c>
      <c r="X103" s="9" t="s">
        <v>7629</v>
      </c>
      <c r="Y103" s="2180" t="str">
        <f>A218</f>
        <v>c5.58a.16</v>
      </c>
      <c r="Z103" s="2149">
        <f>MAX(0,MIN(F176-(Z68+Z70+Z101),('Status (c3a)'!I33+V8)-(Z72+Z74+Z76+Z101)))</f>
        <v>0</v>
      </c>
      <c r="AI103" s="9"/>
      <c r="AS103" s="221"/>
      <c r="AT103" s="9" t="str">
        <f>"SR_band ("&amp;DOLLAR(SR_band,0)&amp;") minus ("&amp;AS73&amp;" + "&amp;AS100&amp;")"</f>
        <v>SR_band (£5,000) minus (c5.66a + c5.66i4)</v>
      </c>
      <c r="AV103" s="9" t="s">
        <v>7655</v>
      </c>
      <c r="AW103" s="2029" t="str">
        <f>A382</f>
        <v>c5.66r</v>
      </c>
      <c r="AX103" s="2149">
        <f>MAX(0,MIN(AT75-AX100,AT95))</f>
        <v>0</v>
      </c>
    </row>
    <row r="104" spans="1:54" ht="11.5" customHeight="1" x14ac:dyDescent="0.4">
      <c r="A104" s="8" t="s">
        <v>7656</v>
      </c>
      <c r="B104" s="859"/>
      <c r="C104" s="859"/>
      <c r="G104" s="860"/>
      <c r="H104" s="856"/>
      <c r="N104" s="9"/>
      <c r="O104" s="138"/>
      <c r="Q104" s="2180" t="str">
        <f>A104</f>
        <v>c5.52e6</v>
      </c>
      <c r="R104" s="2149">
        <v>0</v>
      </c>
      <c r="X104" s="210"/>
      <c r="Y104" s="9"/>
      <c r="Z104" s="9" t="str">
        <f>"lower of ("&amp;E176&amp;" minus ("&amp;Y68&amp;" + "&amp;Y70&amp;" + "&amp;Y101&amp;" + "&amp;Y103&amp;")) and (("&amp;'Status (c3a)'!H33&amp;" + "&amp;U8&amp;" + "&amp;'Status (c3a)'!P33&amp;") minus ("&amp;Y72&amp;" + "&amp;Y74&amp;" + "&amp;Y76&amp;" + "&amp;Y101&amp;" + "&amp;Y103&amp;"))"</f>
        <v>lower of (c5.36 minus (c5.58a.1b + c5.58a.1 + c5.58a.15 + c5.58a.16)) and ((c3a.1a + c5.2 + c3a.2a) minus (c5.58a.2 + c5.58a.3 + c5.58a.4 + c5.58a.15 + c5.58a.16))</v>
      </c>
      <c r="AI104" s="9"/>
      <c r="AR104" s="9" t="s">
        <v>7597</v>
      </c>
      <c r="AS104" s="2183" t="str">
        <f>A356</f>
        <v>c5.66j1</v>
      </c>
      <c r="AT104" s="2149">
        <f>MAX(0,SR_band-(AT73+AT100))</f>
        <v>5000</v>
      </c>
      <c r="AX104" s="9" t="str">
        <f>AS75&amp;" minus ("&amp;AS79&amp;" + "&amp;AS89&amp;" + "&amp;AW100&amp;")"</f>
        <v>c5.66b minus (c5.66d + c5.66h + c5.66q)</v>
      </c>
    </row>
    <row r="105" spans="1:54" ht="11.5" customHeight="1" x14ac:dyDescent="0.4">
      <c r="A105" s="8" t="s">
        <v>7657</v>
      </c>
      <c r="B105" s="859"/>
      <c r="C105" s="859"/>
      <c r="G105" s="814"/>
      <c r="H105" s="856"/>
      <c r="N105" s="9"/>
      <c r="O105" s="138"/>
      <c r="Q105" s="9"/>
      <c r="R105" s="9" t="s">
        <v>7043</v>
      </c>
      <c r="X105" s="9" t="s">
        <v>7633</v>
      </c>
      <c r="Y105" s="2180" t="str">
        <f>A219</f>
        <v>c5.58a.17</v>
      </c>
      <c r="Z105" s="2149">
        <f>MAX(0,MIN(F176-(Z68+Z70+Z101+Z103),('Status (c3a)'!I33+V8+'Status (c3a)'!Q33)-(Z72+Z74+Z76+Z101+Z103)))</f>
        <v>0</v>
      </c>
      <c r="AI105" s="9"/>
      <c r="AT105" s="9" t="str">
        <f>"lower of ("&amp;AS75&amp;" minus "&amp;AS100&amp;") and "&amp;AS104</f>
        <v>lower of (c5.66b minus c5.66i4) and c5.66j1</v>
      </c>
      <c r="AV105" s="9" t="s">
        <v>7572</v>
      </c>
      <c r="AW105" s="2029" t="str">
        <f>A383</f>
        <v>c5.66s</v>
      </c>
      <c r="AX105" s="2149">
        <f>MAX(0,AT75-(AT79+AT89+AX100))</f>
        <v>0</v>
      </c>
    </row>
    <row r="106" spans="1:54" ht="12" customHeight="1" x14ac:dyDescent="0.4">
      <c r="A106" s="8" t="s">
        <v>7658</v>
      </c>
      <c r="B106" s="859"/>
      <c r="G106" s="814"/>
      <c r="H106" s="856"/>
      <c r="M106" s="210"/>
      <c r="O106" s="138"/>
      <c r="P106" s="215"/>
      <c r="Q106" s="2180" t="str">
        <f>A105</f>
        <v>c5.52e7</v>
      </c>
      <c r="R106" s="2149">
        <v>0</v>
      </c>
      <c r="S106" s="862"/>
      <c r="Y106" s="9"/>
      <c r="Z106" s="9" t="str">
        <f>"lower of ("&amp;E176&amp;" minus ("&amp;Y68&amp;" + "&amp;Y70&amp;" + "&amp;Y101&amp;" + "&amp;Y103&amp;" + "&amp;Y105&amp;")) and (("&amp;'Status (c3a)'!H33&amp;" + "&amp;U8&amp;" + "&amp;'Status (c3a)'!P33&amp;" + "&amp;'Status (c3a)'!X33&amp;") minus ("&amp;Y72&amp;" + "&amp;Y74&amp;" + "&amp;Y76&amp;" + "&amp;Y101&amp;" + "&amp;Y103&amp;" + "&amp;Y105&amp;"))"</f>
        <v>lower of (c5.36 minus (c5.58a.1b + c5.58a.1 + c5.58a.15 + c5.58a.16 + c5.58a.17)) and ((c3a.1a + c5.2 + c3a.2a + c3a.3) minus (c5.58a.2 + c5.58a.3 + c5.58a.4 + c5.58a.15 + c5.58a.16 + c5.58a.17))</v>
      </c>
      <c r="AI106" s="864"/>
      <c r="AR106" s="9" t="s">
        <v>7659</v>
      </c>
      <c r="AS106" s="2183" t="str">
        <f>A357</f>
        <v>c5.66j2</v>
      </c>
      <c r="AT106" s="2149">
        <f>MAX(0,MIN((AT75-AT100),AT104))</f>
        <v>0</v>
      </c>
      <c r="AX106" s="9" t="str">
        <f>"lower of "&amp;AW103&amp;" and "&amp;AW105</f>
        <v>lower of c5.66r and c5.66s</v>
      </c>
    </row>
    <row r="107" spans="1:54" ht="12" customHeight="1" x14ac:dyDescent="0.4">
      <c r="A107" s="8" t="s">
        <v>7660</v>
      </c>
      <c r="B107" s="859"/>
      <c r="G107" s="814"/>
      <c r="H107" s="856"/>
      <c r="I107" s="473"/>
      <c r="O107" s="138"/>
      <c r="Q107" s="210"/>
      <c r="R107" s="9" t="s">
        <v>7043</v>
      </c>
      <c r="S107" s="862"/>
      <c r="X107" s="9" t="s">
        <v>7638</v>
      </c>
      <c r="Y107" s="2180" t="str">
        <f>A220</f>
        <v>c5.58a.18</v>
      </c>
      <c r="Z107" s="2149">
        <f>MAX(0,MIN(F176-(Z68+Z70+Z101+Z103+Z105),('Status (c3a)'!I33+V8+'Status (c3a)'!Q33+'Status (c3a)'!Y33)-(Z72+Z74+Z76+Z101+Z103+Z105)))</f>
        <v>0</v>
      </c>
      <c r="AT107" s="9" t="str">
        <f>"lower of "&amp;AS81&amp;" and ("&amp;AS75&amp;" minus ("&amp;AS100&amp;" + "&amp;AS106&amp;"))"</f>
        <v>lower of c5.66e and (c5.66b minus (c5.66i4 + c5.66j2))</v>
      </c>
      <c r="AV107" s="9" t="s">
        <v>7661</v>
      </c>
      <c r="AW107" s="2029" t="str">
        <f>A384</f>
        <v>c5.66s1</v>
      </c>
      <c r="AX107" s="2149">
        <f>MIN(AX103,AX105)</f>
        <v>0</v>
      </c>
    </row>
    <row r="108" spans="1:54" ht="12" customHeight="1" x14ac:dyDescent="0.4">
      <c r="A108" s="8" t="s">
        <v>7662</v>
      </c>
      <c r="B108" s="859"/>
      <c r="G108" s="814"/>
      <c r="H108" s="856"/>
      <c r="O108" s="138"/>
      <c r="Q108" s="2180" t="str">
        <f>A106</f>
        <v>c5.52e8</v>
      </c>
      <c r="R108" s="2149">
        <v>0</v>
      </c>
      <c r="S108" s="862"/>
      <c r="Z108" s="9" t="str">
        <f>"lower of ("&amp;E176&amp;" minus ("&amp;Y68&amp;" + "&amp;Y70&amp;" + "&amp;Y101&amp;" + "&amp;Y103&amp;" + "&amp;Y105&amp;" + "&amp;Y107&amp;")) and"</f>
        <v>lower of (c5.36 minus (c5.58a.1b + c5.58a.1 + c5.58a.15 + c5.58a.16 + c5.58a.17 + c5.58a.18)) and</v>
      </c>
      <c r="AR108" s="9" t="s">
        <v>7663</v>
      </c>
      <c r="AS108" s="2183" t="str">
        <f>A358</f>
        <v>c5.66j3</v>
      </c>
      <c r="AT108" s="2149">
        <f>MAX(0,MIN(AT81,AT75-(AT100+AT106)))</f>
        <v>0</v>
      </c>
      <c r="AX108" s="9" t="str">
        <f>"lower of "&amp;AS91&amp;" and "&amp;AW107</f>
        <v>lower of c5.66i and c5.66s1</v>
      </c>
    </row>
    <row r="109" spans="1:54" ht="12" customHeight="1" x14ac:dyDescent="0.4">
      <c r="A109" s="8" t="s">
        <v>7664</v>
      </c>
      <c r="B109" s="859"/>
      <c r="G109" s="814"/>
      <c r="H109" s="856"/>
      <c r="I109" s="473"/>
      <c r="N109" s="457" t="s">
        <v>7564</v>
      </c>
      <c r="O109" s="138"/>
      <c r="R109" s="9" t="s">
        <v>7043</v>
      </c>
      <c r="S109" s="862"/>
      <c r="Z109" s="9" t="str">
        <f>"(("&amp;'Status (c3a)'!H33&amp;" + "&amp;U8&amp;" + "&amp;'Status (c3a)'!P33&amp;" + "&amp;'Status (c3a)'!X33&amp;" + "&amp;'Status (c3a)'!AA33&amp;") minus ("&amp;Y72&amp;" + "&amp;Y74&amp;" + "&amp;Y76&amp;" + "&amp;Y101&amp;" + "&amp;Y103&amp;" + "&amp;Y105&amp;" + "&amp;Y107&amp;"))"</f>
        <v>((c3a.1a + c5.2 + c3a.2a + c3a.3 + c3a.3.1) minus (c5.58a.2 + c5.58a.3 + c5.58a.4 + c5.58a.15 + c5.58a.16 + c5.58a.17 + c5.58a.18))</v>
      </c>
      <c r="AH109" s="9"/>
      <c r="AL109" s="9"/>
      <c r="AP109" s="9"/>
      <c r="AT109" s="9" t="str">
        <f>AS75&amp;" minus "&amp;AS100</f>
        <v>c5.66b minus c5.66i4</v>
      </c>
      <c r="AV109" s="9" t="s">
        <v>7665</v>
      </c>
      <c r="AW109" s="2184" t="str">
        <f>A385</f>
        <v>c5.66s1a</v>
      </c>
      <c r="AX109" s="2149">
        <f>MIN(AT91,AX107)</f>
        <v>0</v>
      </c>
    </row>
    <row r="110" spans="1:54" ht="12" customHeight="1" x14ac:dyDescent="0.4">
      <c r="A110" s="8" t="s">
        <v>7666</v>
      </c>
      <c r="B110" s="859"/>
      <c r="G110" s="814"/>
      <c r="H110" s="856"/>
      <c r="I110" s="473"/>
      <c r="O110" s="138"/>
      <c r="Q110" s="2180" t="str">
        <f>A107</f>
        <v>c5.52e9</v>
      </c>
      <c r="R110" s="2149">
        <v>0</v>
      </c>
      <c r="S110" s="862"/>
      <c r="Y110" s="2180" t="str">
        <f>A221</f>
        <v>c5.58a.18a</v>
      </c>
      <c r="Z110" s="2149">
        <f>MAX(0,MIN(F176-(Z68+Z70+Z101+Z103+Z105+Z107),('Status (c3a)'!I33+V8+'Status (c3a)'!Q33+'Status (c3a)'!Y33+'Status (c3a)'!AB33)-(Z72+Z74+Z76+Z101+Z103+Z105+Z107)))</f>
        <v>0</v>
      </c>
      <c r="AH110" s="9"/>
      <c r="AL110" s="9"/>
      <c r="AP110" s="9"/>
      <c r="AR110" s="9" t="s">
        <v>7667</v>
      </c>
      <c r="AS110" s="2183" t="str">
        <f>A359</f>
        <v>c5.66j4</v>
      </c>
      <c r="AT110" s="2149">
        <f>MAX(0,AT75-AT100)</f>
        <v>0</v>
      </c>
      <c r="AX110" s="9" t="str">
        <f>"lower of "&amp;AW109&amp;" and ("&amp;AS87&amp;" minus ("&amp;AS79&amp;" + "&amp;AS81&amp;"))"</f>
        <v>lower of c5.66s1a and (c5.66g minus (c5.66d + c5.66e))</v>
      </c>
    </row>
    <row r="111" spans="1:54" ht="12" customHeight="1" x14ac:dyDescent="0.4">
      <c r="A111" s="8" t="s">
        <v>7668</v>
      </c>
      <c r="B111" s="859"/>
      <c r="G111" s="814"/>
      <c r="H111" s="856"/>
      <c r="I111" s="473"/>
      <c r="N111" s="457" t="s">
        <v>7669</v>
      </c>
      <c r="Q111" s="210"/>
      <c r="R111" s="9" t="s">
        <v>7043</v>
      </c>
      <c r="S111" s="862"/>
      <c r="Y111" s="9"/>
      <c r="Z111" s="9" t="str">
        <f>"("&amp;Y101&amp;" × "&amp;'Status (c3a)'!H45&amp;") + ("&amp;Y103&amp;" × "&amp;'Status (c3a)'!L45&amp;") + ("&amp;Y105&amp;" × "&amp;'Status (c3a)'!P45&amp;") + ("&amp;Y107&amp;" × "&amp;'Status (c3a)'!X45&amp;") + ("&amp;Y110&amp;" × "&amp;'Status (c3a)'!AA45&amp;")"</f>
        <v>(c5.58a.15 × c3a.3b) + (c5.58a.16 × c3a.4) + (c5.58a.17 × c3a.4a) + (c5.58a.18 × c3a.5) + (c5.58a.18a × c3a.5a)</v>
      </c>
      <c r="AH111" s="9"/>
      <c r="AL111" s="9"/>
      <c r="AP111" s="9"/>
      <c r="AT111" s="9" t="str">
        <f>AS110&amp;" minus ("&amp;AS106&amp;" + "&amp;AS108&amp;")"</f>
        <v>c5.66j4 minus (c5.66j2 + c5.66j3)</v>
      </c>
      <c r="AV111" s="9" t="s">
        <v>7583</v>
      </c>
      <c r="AW111" s="2184" t="str">
        <f>A386</f>
        <v>c5.66s1b</v>
      </c>
      <c r="AX111" s="2149">
        <f>MAX(0,MIN(AX109,AT87-(AT79+AT81)))</f>
        <v>0</v>
      </c>
    </row>
    <row r="112" spans="1:54" ht="12" customHeight="1" x14ac:dyDescent="0.4">
      <c r="A112" s="8" t="s">
        <v>7670</v>
      </c>
      <c r="B112" s="859"/>
      <c r="G112" s="814"/>
      <c r="H112" s="856"/>
      <c r="I112" s="473"/>
      <c r="N112" s="457" t="s">
        <v>7671</v>
      </c>
      <c r="Q112" s="2180" t="str">
        <f>A108</f>
        <v>c5.52e10</v>
      </c>
      <c r="R112" s="2149">
        <v>0</v>
      </c>
      <c r="S112" s="862"/>
      <c r="X112" s="9" t="s">
        <v>7646</v>
      </c>
      <c r="Y112" s="2180" t="str">
        <f>A222</f>
        <v>c5.58a.19</v>
      </c>
      <c r="Z112" s="2182">
        <f>TRUNC((Z101*'Status (c3a)'!I45)+('Taxable (c5)'!Z103*'Status (c3a)'!M45)+('Taxable (c5)'!Z105*'Status (c3a)'!Q45)+('Taxable (c5)'!Z107*'Status (c3a)'!Y45)+('Taxable (c5)'!Z110*'Status (c3a)'!AB45),2)</f>
        <v>0</v>
      </c>
      <c r="AA112" s="861" t="s">
        <v>7647</v>
      </c>
      <c r="AH112" s="9"/>
      <c r="AL112" s="9"/>
      <c r="AP112" s="9"/>
      <c r="AR112" s="9" t="s">
        <v>7631</v>
      </c>
      <c r="AS112" s="2183" t="str">
        <f>A360</f>
        <v>c5.66j5</v>
      </c>
      <c r="AT112" s="2149">
        <f>MAX(0,AT110-(AT106+AT108))</f>
        <v>0</v>
      </c>
      <c r="AV112" s="9"/>
      <c r="AX112" s="9" t="str">
        <f>"lower of ("&amp;AW107&amp;" minus "&amp;AW111&amp;") and ("&amp;AS75&amp;" minus "&amp;AS87&amp;")"</f>
        <v>lower of (c5.66s1 minus c5.66s1b) and (c5.66b minus c5.66g)</v>
      </c>
    </row>
    <row r="113" spans="1:52" ht="11.25" customHeight="1" x14ac:dyDescent="0.4">
      <c r="A113" s="8" t="s">
        <v>7672</v>
      </c>
      <c r="B113" s="859"/>
      <c r="G113" s="814"/>
      <c r="H113" s="856"/>
      <c r="I113" s="473"/>
      <c r="N113" s="457" t="s">
        <v>7673</v>
      </c>
      <c r="O113" s="215"/>
      <c r="Q113" s="146"/>
      <c r="R113" s="9"/>
      <c r="S113" s="862"/>
      <c r="Y113" s="9"/>
      <c r="Z113" s="9" t="str">
        <f>Y99&amp;" minus "&amp;Y112</f>
        <v>c5.58a.14 minus c5.58a.19</v>
      </c>
      <c r="AH113" s="9"/>
      <c r="AL113" s="9"/>
      <c r="AP113" s="9"/>
      <c r="AT113" s="9" t="str">
        <f>AS81&amp;" minus "&amp;AS108</f>
        <v>c5.66e minus c5.66j3</v>
      </c>
      <c r="AV113" s="9" t="s">
        <v>7588</v>
      </c>
      <c r="AW113" s="2184" t="str">
        <f>A387</f>
        <v>c5.66s1c</v>
      </c>
      <c r="AX113" s="2149">
        <f>MAX(0,MIN(AX107-AX111,AT75-AT87))</f>
        <v>0</v>
      </c>
    </row>
    <row r="114" spans="1:52" ht="11.25" customHeight="1" x14ac:dyDescent="0.4">
      <c r="A114" s="8" t="s">
        <v>7674</v>
      </c>
      <c r="B114" s="859"/>
      <c r="G114" s="814"/>
      <c r="H114" s="856"/>
      <c r="I114" s="865" t="s">
        <v>7675</v>
      </c>
      <c r="J114" s="210"/>
      <c r="O114" s="215"/>
      <c r="Q114" s="146"/>
      <c r="R114" s="9"/>
      <c r="S114" s="862"/>
      <c r="X114" s="866" t="s">
        <v>7676</v>
      </c>
      <c r="Y114" s="2180" t="str">
        <f>A223</f>
        <v>c5.58a.20</v>
      </c>
      <c r="Z114" s="2182">
        <f>MAX(0,Z99-Z112)</f>
        <v>0</v>
      </c>
      <c r="AR114" s="9" t="s">
        <v>7677</v>
      </c>
      <c r="AS114" s="2183" t="str">
        <f>A361</f>
        <v>c5.66j6</v>
      </c>
      <c r="AT114" s="2149">
        <f>MAX(0,AT81-AT108)</f>
        <v>0</v>
      </c>
      <c r="AX114" s="9" t="str">
        <f>M49&amp;" + "&amp;AG49&amp;" + "&amp;AO49</f>
        <v>c5.24 + c5.29 + c5.33</v>
      </c>
    </row>
    <row r="115" spans="1:52" ht="12" customHeight="1" x14ac:dyDescent="0.4">
      <c r="A115" s="8" t="s">
        <v>7678</v>
      </c>
      <c r="B115" s="859"/>
      <c r="G115" s="814"/>
      <c r="H115" s="856"/>
      <c r="I115" s="865" t="s">
        <v>7679</v>
      </c>
      <c r="J115" s="210"/>
      <c r="M115" s="210"/>
      <c r="N115" s="9" t="str">
        <f>'Status (c3a)'!H33&amp;" + "&amp;'Status (c3a)'!P33&amp;" + "&amp;U8</f>
        <v>c3a.1a + c3a.2a + c5.2</v>
      </c>
      <c r="O115" s="215"/>
      <c r="Q115" s="146"/>
      <c r="R115" s="9"/>
      <c r="S115" s="862"/>
      <c r="AI115" s="864"/>
      <c r="AT115" s="9" t="str">
        <f>"lower of "&amp;E302&amp;" and "&amp;AS114</f>
        <v>lower of c5.41 and c5.66j6</v>
      </c>
      <c r="AV115" s="9" t="s">
        <v>7680</v>
      </c>
      <c r="AW115" s="2180" t="str">
        <f>A388</f>
        <v>c5.66s2</v>
      </c>
      <c r="AX115" s="2149">
        <f>N49+AH49+AP49</f>
        <v>0</v>
      </c>
    </row>
    <row r="116" spans="1:52" ht="12" customHeight="1" x14ac:dyDescent="0.25">
      <c r="A116" s="8" t="s">
        <v>7681</v>
      </c>
      <c r="G116" s="814"/>
      <c r="H116" s="856"/>
      <c r="L116" s="9" t="s">
        <v>7682</v>
      </c>
      <c r="M116" s="2181" t="str">
        <f>A73</f>
        <v>c5.48a</v>
      </c>
      <c r="N116" s="2149">
        <f>'Status (c3a)'!I33+'Status (c3a)'!Q33+V8</f>
        <v>37700</v>
      </c>
      <c r="O116" s="215"/>
      <c r="Q116" s="146"/>
      <c r="R116" s="26"/>
      <c r="S116" s="862"/>
      <c r="Y116" s="9"/>
      <c r="Z116" s="9" t="str">
        <f>U219&amp;" minus "&amp;Y70</f>
        <v>c5.56.1 minus c5.58a.1</v>
      </c>
      <c r="AI116" s="9"/>
      <c r="AR116" s="9" t="s">
        <v>7683</v>
      </c>
      <c r="AS116" s="2029" t="str">
        <f>A362</f>
        <v>c5.66k</v>
      </c>
      <c r="AT116" s="2149">
        <f>MIN(F302,AT114)</f>
        <v>0</v>
      </c>
      <c r="AX116" s="9" t="str">
        <f>"lower of "&amp;AW107&amp;" and "&amp;AW111</f>
        <v>lower of c5.66s1 and c5.66s1b</v>
      </c>
      <c r="AY116" s="458"/>
      <c r="AZ116" s="458"/>
    </row>
    <row r="117" spans="1:52" ht="12" customHeight="1" x14ac:dyDescent="0.25">
      <c r="A117" s="8" t="s">
        <v>7684</v>
      </c>
      <c r="G117" s="814"/>
      <c r="H117" s="856"/>
      <c r="M117" s="210"/>
      <c r="N117" s="9" t="str">
        <f>E149&amp;" minus "&amp;M116</f>
        <v>c5.35 minus c5.48a</v>
      </c>
      <c r="O117" s="215"/>
      <c r="Q117" s="146"/>
      <c r="R117" s="9"/>
      <c r="S117" s="862"/>
      <c r="X117" s="135" t="s">
        <v>7685</v>
      </c>
      <c r="Y117" s="2180" t="str">
        <f>A224</f>
        <v>c5.58a.21</v>
      </c>
      <c r="Z117" s="2149">
        <f>MAX(0,V219-Z70)</f>
        <v>0</v>
      </c>
      <c r="AA117" s="26"/>
      <c r="AI117" s="9"/>
      <c r="AT117" s="9" t="str">
        <f>"lower of "&amp;AS102&amp;" and "&amp;AS116</f>
        <v>lower of c5.66j and c5.66k</v>
      </c>
      <c r="AV117" s="9" t="s">
        <v>7594</v>
      </c>
      <c r="AW117" s="2180" t="str">
        <f>A389</f>
        <v>c5.66s3</v>
      </c>
      <c r="AX117" s="2149">
        <f>MIN(AX107,AX111)</f>
        <v>0</v>
      </c>
      <c r="AY117" s="458"/>
      <c r="AZ117" s="458"/>
    </row>
    <row r="118" spans="1:52" ht="12" customHeight="1" x14ac:dyDescent="0.25">
      <c r="A118" s="8" t="s">
        <v>7686</v>
      </c>
      <c r="G118" s="814"/>
      <c r="H118" s="856"/>
      <c r="L118" s="9" t="s">
        <v>7687</v>
      </c>
      <c r="M118" s="2181" t="str">
        <f>A74</f>
        <v>c5.48a1</v>
      </c>
      <c r="N118" s="2149">
        <f>MAX(0,F149-N116)</f>
        <v>0</v>
      </c>
      <c r="O118" s="215"/>
      <c r="R118" s="9" t="s">
        <v>4816</v>
      </c>
      <c r="S118" s="867"/>
      <c r="Y118" s="9"/>
      <c r="Z118" s="9" t="str">
        <f>"lower of "&amp;Y117&amp;" and "&amp;'Status (c3a)'!H33</f>
        <v>lower of c5.58a.21 and c3a.1a</v>
      </c>
      <c r="AI118" s="9"/>
      <c r="AM118" s="221"/>
      <c r="AR118" s="9" t="s">
        <v>7688</v>
      </c>
      <c r="AS118" s="2029" t="str">
        <f>A363</f>
        <v>c5.66l</v>
      </c>
      <c r="AT118" s="2149">
        <f>MIN(AT102,AT116)</f>
        <v>0</v>
      </c>
      <c r="AX118" s="9" t="str">
        <f>"(lower of "&amp;AW107&amp;" and "&amp;AW113&amp;") minus "&amp;AW117</f>
        <v>(lower of c5.66s1 and c5.66s1c) minus c5.66s3</v>
      </c>
      <c r="AY118" s="458"/>
      <c r="AZ118" s="458"/>
    </row>
    <row r="119" spans="1:52" ht="12" customHeight="1" x14ac:dyDescent="0.4">
      <c r="A119" s="8" t="s">
        <v>7689</v>
      </c>
      <c r="C119" s="859"/>
      <c r="G119" s="814"/>
      <c r="H119" s="856"/>
      <c r="M119" s="210"/>
      <c r="N119" s="9" t="str">
        <f>"("&amp;E49&amp;" + "&amp;E149&amp;" + "&amp;E199&amp;") minus ("&amp;AK8&amp;" + "&amp;M118&amp;")"</f>
        <v>(c5.22 + c5.35 + c5.37) minus (c5.2a + c5.48a1)</v>
      </c>
      <c r="P119" s="9" t="s">
        <v>7690</v>
      </c>
      <c r="Q119" s="2180" t="str">
        <f>A109</f>
        <v>c5.52f</v>
      </c>
      <c r="R119" s="2149">
        <v>0</v>
      </c>
      <c r="S119" s="868"/>
      <c r="X119" s="9" t="s">
        <v>7691</v>
      </c>
      <c r="Y119" s="2180" t="str">
        <f>A225</f>
        <v>c5.58a.22</v>
      </c>
      <c r="Z119" s="2149">
        <f>MIN(Z117,'Status (c3a)'!I33)</f>
        <v>0</v>
      </c>
      <c r="AI119" s="9"/>
      <c r="AM119" s="221"/>
      <c r="AT119" s="9" t="str">
        <f>AS116&amp;" minus "&amp;AS118</f>
        <v>c5.66k minus c5.66l</v>
      </c>
      <c r="AV119" s="9" t="s">
        <v>7600</v>
      </c>
      <c r="AW119" s="2180" t="str">
        <f>A390</f>
        <v>c5.66s4</v>
      </c>
      <c r="AX119" s="2149">
        <f>MAX(0,(MIN(AX107,AX113)-AX117))</f>
        <v>0</v>
      </c>
      <c r="AY119" s="458"/>
      <c r="AZ119" s="458"/>
    </row>
    <row r="120" spans="1:52" ht="12" customHeight="1" x14ac:dyDescent="0.4">
      <c r="A120" s="8" t="s">
        <v>7692</v>
      </c>
      <c r="C120" s="859"/>
      <c r="G120" s="814"/>
      <c r="H120" s="856"/>
      <c r="J120" s="9"/>
      <c r="L120" s="9" t="s">
        <v>7693</v>
      </c>
      <c r="M120" s="2181" t="str">
        <f>A75</f>
        <v>c5.48a2</v>
      </c>
      <c r="N120" s="2149">
        <f>MAX(0,(F49+F149+F199)-(AL8+N118))</f>
        <v>0</v>
      </c>
      <c r="P120" s="9"/>
      <c r="Q120" s="146"/>
      <c r="R120" s="26"/>
      <c r="S120" s="868"/>
      <c r="Y120" s="9"/>
      <c r="Z120" s="9" t="str">
        <f>"lower of ("&amp;Y117&amp;" minus "&amp;Y119&amp;") and "&amp;U8</f>
        <v>lower of (c5.58a.21 minus c5.58a.22) and c5.2</v>
      </c>
      <c r="AG120" s="869"/>
      <c r="AH120" s="26"/>
      <c r="AI120" s="9"/>
      <c r="AK120" s="146"/>
      <c r="AL120" s="26"/>
      <c r="AM120" s="221"/>
      <c r="AO120" s="869"/>
      <c r="AP120" s="864"/>
      <c r="AR120" s="9" t="s">
        <v>7694</v>
      </c>
      <c r="AS120" s="2029" t="str">
        <f>A364</f>
        <v>c5.66m</v>
      </c>
      <c r="AT120" s="2149">
        <f>MAX(0,AT116-AT118)</f>
        <v>0</v>
      </c>
      <c r="AX120" s="9" t="str">
        <f>"lower of ("&amp;AS81&amp;" minus "&amp;AS124&amp;") and "&amp;AW107</f>
        <v>lower of (c5.66e minus c5.66n1) and c5.66s1</v>
      </c>
      <c r="AY120" s="458"/>
      <c r="AZ120" s="458"/>
    </row>
    <row r="121" spans="1:52" ht="12" customHeight="1" x14ac:dyDescent="0.4">
      <c r="A121" s="8" t="s">
        <v>7695</v>
      </c>
      <c r="C121" s="859"/>
      <c r="G121" s="814"/>
      <c r="H121" s="856"/>
      <c r="J121" s="9"/>
      <c r="P121" s="9"/>
      <c r="Q121" s="146"/>
      <c r="R121" s="26"/>
      <c r="S121" s="868"/>
      <c r="X121" s="9" t="s">
        <v>7696</v>
      </c>
      <c r="Y121" s="2180" t="str">
        <f>A226</f>
        <v>c5.58a.23</v>
      </c>
      <c r="Z121" s="2149">
        <f>MIN(MAX(0,Z117-Z119),V8)</f>
        <v>0</v>
      </c>
      <c r="AG121" s="869"/>
      <c r="AH121" s="26"/>
      <c r="AI121" s="9"/>
      <c r="AK121" s="146"/>
      <c r="AL121" s="26"/>
      <c r="AM121" s="221"/>
      <c r="AO121" s="869"/>
      <c r="AP121" s="864"/>
      <c r="AT121" s="9" t="str">
        <f>AK8&amp;" minus ("&amp;AS73&amp;" + "&amp;AS100&amp;")"</f>
        <v>c5.2a minus (c5.66a + c5.66i4)</v>
      </c>
      <c r="AV121" s="9" t="s">
        <v>7697</v>
      </c>
      <c r="AW121" s="2180" t="str">
        <f>A391</f>
        <v>c5.66s5</v>
      </c>
      <c r="AX121" s="2149">
        <f>MAX(0,MIN(AT81-AT124,AX107))</f>
        <v>0</v>
      </c>
      <c r="AY121" s="458"/>
      <c r="AZ121" s="458"/>
    </row>
    <row r="122" spans="1:52" ht="12" customHeight="1" x14ac:dyDescent="0.4">
      <c r="A122" s="8" t="s">
        <v>7698</v>
      </c>
      <c r="C122" s="859"/>
      <c r="G122" s="814"/>
      <c r="H122" s="856"/>
      <c r="J122" s="9"/>
      <c r="M122" s="210"/>
      <c r="N122" s="9" t="str">
        <f>"("&amp;E49&amp;" + "&amp;E149&amp;" + "&amp;E199&amp;") minus "&amp;E8</f>
        <v>(c5.22 + c5.35 + c5.37) minus c5.1</v>
      </c>
      <c r="P122" s="9"/>
      <c r="Q122" s="146"/>
      <c r="R122" s="9" t="str">
        <f>"if "&amp;'Status (c3a)'!D21&amp;" = 2 and"</f>
        <v>if c3a.1 = 2 and</v>
      </c>
      <c r="S122" s="868"/>
      <c r="X122" s="210"/>
      <c r="Y122" s="9"/>
      <c r="Z122" s="9" t="str">
        <f>"lower of ("&amp;Y117&amp;" minus ("&amp;Y119&amp;" + "&amp;Y121&amp;")) and "&amp;'Status (c3a)'!P33</f>
        <v>lower of (c5.58a.21 minus (c5.58a.22 + c5.58a.23)) and c3a.2a</v>
      </c>
      <c r="AG122" s="869"/>
      <c r="AH122" s="26"/>
      <c r="AI122" s="9"/>
      <c r="AK122" s="146"/>
      <c r="AL122" s="26"/>
      <c r="AM122" s="221"/>
      <c r="AO122" s="869"/>
      <c r="AP122" s="864"/>
      <c r="AR122" s="9" t="s">
        <v>7699</v>
      </c>
      <c r="AS122" s="2029" t="str">
        <f>A365</f>
        <v>c5.66n</v>
      </c>
      <c r="AT122" s="2149">
        <f>MAX(0,AL8-(AT73+AT100))</f>
        <v>37700</v>
      </c>
      <c r="AW122" s="2185"/>
      <c r="AX122" s="9" t="str">
        <f>"lower of "&amp;AS102&amp;" and "&amp;AW121</f>
        <v>lower of c5.66j and c5.66s5</v>
      </c>
      <c r="AY122" s="458"/>
      <c r="AZ122" s="458"/>
    </row>
    <row r="123" spans="1:52" ht="12" customHeight="1" x14ac:dyDescent="0.4">
      <c r="A123" s="8" t="s">
        <v>7700</v>
      </c>
      <c r="C123" s="859"/>
      <c r="G123" s="814"/>
      <c r="H123" s="856"/>
      <c r="J123" s="9"/>
      <c r="M123" s="2180" t="str">
        <f>A76</f>
        <v>c5.48b</v>
      </c>
      <c r="N123" s="2149">
        <f>MAX(0,(F49+F149+F199)-F8)</f>
        <v>0</v>
      </c>
      <c r="O123" s="26"/>
      <c r="P123" s="9"/>
      <c r="Q123" s="146"/>
      <c r="R123" s="9" t="str">
        <f>E149&amp;" minus "&amp;E8&amp;" &lt; SSR_band ("&amp;DOLLAR(SSR_band,0)&amp;") and"</f>
        <v>c5.35 minus c5.1 &lt; SSR_band (£2,827) and</v>
      </c>
      <c r="S123" s="868"/>
      <c r="X123" s="9" t="s">
        <v>7701</v>
      </c>
      <c r="Y123" s="2180" t="str">
        <f>A227</f>
        <v>c5.58a.24</v>
      </c>
      <c r="Z123" s="2149">
        <f>MAX(0,MIN((Z117-(Z119+Z121)),'Status (c3a)'!Q33))</f>
        <v>0</v>
      </c>
      <c r="AG123" s="869"/>
      <c r="AH123" s="26"/>
      <c r="AI123" s="9"/>
      <c r="AK123" s="146"/>
      <c r="AL123" s="26"/>
      <c r="AM123" s="221"/>
      <c r="AO123" s="869"/>
      <c r="AP123" s="864"/>
      <c r="AT123" s="9" t="str">
        <f>"lower of ("&amp;AS75&amp;" minus ("&amp;AS79&amp;" + "&amp;AS95&amp;")) and "&amp;AS81</f>
        <v>lower of (c5.66b minus (c5.66d + c5.66i2)) and c5.66e</v>
      </c>
      <c r="AV123" s="9" t="s">
        <v>7688</v>
      </c>
      <c r="AW123" s="2029" t="str">
        <f>A392</f>
        <v>c5.66s6</v>
      </c>
      <c r="AX123" s="2182">
        <f>MIN(AT102,AX121)</f>
        <v>0</v>
      </c>
      <c r="AY123" s="458"/>
      <c r="AZ123" s="458"/>
    </row>
    <row r="124" spans="1:52" ht="12" customHeight="1" x14ac:dyDescent="0.4">
      <c r="A124" s="8" t="s">
        <v>7702</v>
      </c>
      <c r="C124" s="859"/>
      <c r="G124" s="814"/>
      <c r="H124" s="856"/>
      <c r="J124" s="9"/>
      <c r="M124" s="146"/>
      <c r="N124" s="26"/>
      <c r="P124" s="9"/>
      <c r="Q124" s="146"/>
      <c r="R124" s="9" t="str">
        <f>E49&amp;" + "&amp;E149&amp;" + "&amp;E199&amp;" &lt; "&amp;M116&amp;" and"</f>
        <v>c5.22 + c5.35 + c5.37 &lt; c5.48a and</v>
      </c>
      <c r="S124" s="868"/>
      <c r="Y124" s="9"/>
      <c r="Z124" s="9" t="str">
        <f>"lower of ("&amp;Y117&amp;" minus ("&amp;Y119&amp;" + "&amp;Y121&amp;" + "&amp;Y123&amp;")) and "&amp;'Status (c3a)'!X33</f>
        <v>lower of (c5.58a.21 minus (c5.58a.22 + c5.58a.23 + c5.58a.24)) and c3a.3</v>
      </c>
      <c r="AG124" s="869"/>
      <c r="AH124" s="26"/>
      <c r="AI124" s="9"/>
      <c r="AK124" s="146"/>
      <c r="AL124" s="26"/>
      <c r="AM124" s="221"/>
      <c r="AO124" s="869"/>
      <c r="AP124" s="864"/>
      <c r="AR124" s="9"/>
      <c r="AS124" s="2029" t="str">
        <f>A366</f>
        <v>c5.66n1</v>
      </c>
      <c r="AT124" s="2149">
        <f>(MAX(0,MIN(AT75-(AT79+AT95),AT81)))</f>
        <v>0</v>
      </c>
      <c r="AX124" s="9" t="str">
        <f>AW121&amp;" minus "&amp;AW123</f>
        <v>c5.66s5 minus c5.66s6</v>
      </c>
      <c r="AY124" s="458"/>
      <c r="AZ124" s="458"/>
    </row>
    <row r="125" spans="1:52" ht="12" customHeight="1" x14ac:dyDescent="0.4">
      <c r="A125" s="8" t="s">
        <v>7703</v>
      </c>
      <c r="C125" s="859"/>
      <c r="G125" s="814"/>
      <c r="H125" s="856"/>
      <c r="J125" s="9"/>
      <c r="M125" s="146"/>
      <c r="N125" s="26"/>
      <c r="P125" s="9"/>
      <c r="Q125" s="146"/>
      <c r="R125" s="9" t="str">
        <f>E176&amp;" &gt; 0 and"</f>
        <v>c5.36 &gt; 0 and</v>
      </c>
      <c r="S125" s="868"/>
      <c r="X125" s="9" t="s">
        <v>7704</v>
      </c>
      <c r="Y125" s="2180" t="str">
        <f>A228</f>
        <v>c5.58a.25</v>
      </c>
      <c r="Z125" s="2149">
        <f>MAX(0,MIN((Z117-(Z119+Z121+Z123)),'Status (c3a)'!Y33))</f>
        <v>0</v>
      </c>
      <c r="AI125" s="9"/>
      <c r="AM125" s="221"/>
      <c r="AV125" s="9" t="s">
        <v>7694</v>
      </c>
      <c r="AW125" s="2029" t="str">
        <f>A393</f>
        <v>c5.66s7</v>
      </c>
      <c r="AX125" s="2149">
        <f>MAX(0,AX121-AX123)</f>
        <v>0</v>
      </c>
      <c r="AY125" s="458"/>
      <c r="AZ125" s="458"/>
    </row>
    <row r="126" spans="1:52" ht="12" customHeight="1" x14ac:dyDescent="0.4">
      <c r="A126" s="8" t="s">
        <v>7705</v>
      </c>
      <c r="C126" s="859"/>
      <c r="G126" s="814"/>
      <c r="H126" s="856"/>
      <c r="J126" s="9"/>
      <c r="M126" s="146"/>
      <c r="N126" s="26"/>
      <c r="P126" s="9"/>
      <c r="Q126" s="146"/>
      <c r="R126" s="9" t="str">
        <f>E199&amp;" &gt; 0 and"</f>
        <v>c5.37 &gt; 0 and</v>
      </c>
      <c r="S126" s="868"/>
      <c r="Z126" s="9" t="str">
        <f>"lower of ("&amp;Y117&amp;" minus ("&amp;Y119&amp;" + "&amp;Y121&amp;" + "&amp;Y123&amp;" + "&amp;Y125&amp;")) and "&amp;'Status (c3a)'!AA33</f>
        <v>lower of (c5.58a.21 minus (c5.58a.22 + c5.58a.23 + c5.58a.24 + c5.58a.25)) and c3a.3.1</v>
      </c>
      <c r="AI126" s="9"/>
      <c r="AM126" s="221"/>
      <c r="AT126" s="12"/>
      <c r="AX126" s="9" t="str">
        <f>"lower of ("&amp;AK8&amp;" minus ("&amp;AS73&amp;" + "&amp;AS75&amp;" + "&amp;AW115&amp;")) and "&amp;AW107</f>
        <v>lower of (c5.2a minus (c5.66a + c5.66b + c5.66s2)) and c5.66s1</v>
      </c>
      <c r="AY126" s="458"/>
      <c r="AZ126" s="458"/>
    </row>
    <row r="127" spans="1:52" ht="12" customHeight="1" x14ac:dyDescent="0.4">
      <c r="A127" s="8" t="s">
        <v>7706</v>
      </c>
      <c r="C127" s="859"/>
      <c r="G127" s="814"/>
      <c r="H127" s="856"/>
      <c r="J127" s="9"/>
      <c r="M127" s="146"/>
      <c r="N127" s="26"/>
      <c r="P127" s="9"/>
      <c r="Q127" s="146"/>
      <c r="R127" s="9" t="str">
        <f>I138&amp;" &gt; 0"</f>
        <v>c5.43d &gt; 0</v>
      </c>
      <c r="S127" s="868"/>
      <c r="Y127" s="2180" t="str">
        <f>A229</f>
        <v>c5.58a.25a</v>
      </c>
      <c r="Z127" s="2149">
        <f>MAX(0,MIN((Z117-(Z119+Z121+Z123+Z125)),'Status (c3a)'!AB33))</f>
        <v>0</v>
      </c>
      <c r="AI127" s="9"/>
      <c r="AM127" s="221"/>
      <c r="AR127" s="9"/>
      <c r="AV127" s="9" t="s">
        <v>7707</v>
      </c>
      <c r="AW127" s="2029" t="str">
        <f>A394</f>
        <v>c5.66s8</v>
      </c>
      <c r="AX127" s="2149">
        <f>MAX(0,MIN((AL8-(AT73+AT75+AX115)),AX107))</f>
        <v>0</v>
      </c>
      <c r="AY127" s="458"/>
      <c r="AZ127" s="458"/>
    </row>
    <row r="128" spans="1:52" ht="12" customHeight="1" x14ac:dyDescent="0.4">
      <c r="A128" s="8" t="s">
        <v>7708</v>
      </c>
      <c r="C128" s="859"/>
      <c r="G128" s="814"/>
      <c r="H128" s="856"/>
      <c r="J128" s="9"/>
      <c r="M128" s="146"/>
      <c r="N128" s="26"/>
      <c r="P128" s="9"/>
      <c r="Q128" s="146"/>
      <c r="R128" s="9" t="str">
        <f>Q133&amp;" = "&amp;E149&amp;" minus (lower of SSR_band ("&amp;DOLLAR(SSR_band,0)&amp;") and "&amp;I138&amp;")"</f>
        <v>c5.52g = c5.35 minus (lower of SSR_band (£2,827) and c5.43d)</v>
      </c>
      <c r="S128" s="868"/>
      <c r="Y128" s="9"/>
      <c r="Z128" s="9" t="str">
        <f>"lower of "&amp;Y74&amp;" and SR_band ("&amp;DOLLAR(SR_band,0)&amp;")"</f>
        <v>lower of c5.58a.3 and SR_band (£5,000)</v>
      </c>
      <c r="AI128" s="9"/>
      <c r="AM128" s="221"/>
      <c r="AR128" s="12"/>
      <c r="AS128" s="12"/>
      <c r="AX128" s="9" t="str">
        <f>AW107&amp;" minus "&amp;AW127</f>
        <v>c5.66s1 minus c5.66s8</v>
      </c>
      <c r="AY128" s="863"/>
      <c r="AZ128" s="458"/>
    </row>
    <row r="129" spans="1:56" ht="12" customHeight="1" x14ac:dyDescent="0.4">
      <c r="A129" s="8" t="s">
        <v>7709</v>
      </c>
      <c r="C129" s="859"/>
      <c r="G129" s="814"/>
      <c r="H129" s="856"/>
      <c r="J129" s="9"/>
      <c r="M129" s="146"/>
      <c r="N129" s="26"/>
      <c r="P129" s="9"/>
      <c r="Q129" s="146"/>
      <c r="R129" s="9" t="s">
        <v>7143</v>
      </c>
      <c r="S129" s="868"/>
      <c r="Y129" s="2180" t="str">
        <f>A230</f>
        <v>c5.58a.26</v>
      </c>
      <c r="Z129" s="2149">
        <f>MIN(Z74,SR_band)</f>
        <v>0</v>
      </c>
      <c r="AI129" s="9"/>
      <c r="AM129" s="221"/>
      <c r="AR129" s="12"/>
      <c r="AS129" s="12"/>
      <c r="AV129" s="457"/>
      <c r="AW129" s="2029" t="str">
        <f>A395</f>
        <v>c5.66s9</v>
      </c>
      <c r="AX129" s="2149">
        <f>MAX(0,AX107-AX127)</f>
        <v>0</v>
      </c>
      <c r="AY129" s="863"/>
      <c r="AZ129" s="458"/>
    </row>
    <row r="130" spans="1:56" ht="12" customHeight="1" x14ac:dyDescent="0.4">
      <c r="A130" s="8" t="s">
        <v>7710</v>
      </c>
      <c r="C130" s="859"/>
      <c r="G130" s="814"/>
      <c r="H130" s="856"/>
      <c r="M130" s="146"/>
      <c r="N130" s="26"/>
      <c r="P130" s="9"/>
      <c r="Q130" s="146"/>
      <c r="R130" s="9" t="str">
        <f>Q133&amp;" = lower of ("&amp;E149&amp;" minus "&amp;Q86&amp;") and"</f>
        <v>c5.52g = lower of (c5.35 minus c5.52d) and</v>
      </c>
      <c r="S130" s="868"/>
      <c r="Y130" s="9"/>
      <c r="Z130" s="9" t="str">
        <f>"lower of "&amp;Y129&amp;" and (SR_band ("&amp;DOLLAR(SR_band,0)&amp;") minus "&amp;Y117&amp;")"</f>
        <v>lower of c5.58a.26 and (SR_band (£5,000) minus c5.58a.21)</v>
      </c>
      <c r="AI130" s="9"/>
      <c r="AM130" s="221"/>
      <c r="AR130" s="12"/>
      <c r="AS130" s="12"/>
      <c r="AW130" s="2185"/>
      <c r="AX130" s="9" t="str">
        <f>"(("&amp;AW117&amp;" × BR_rate ("&amp;BR_rate*100&amp;"%)) + ("&amp;AW119&amp;" × HR_rate ("&amp;HR_rate*100&amp;"%)) + ("&amp;AW123&amp;" × BR_rate ("&amp;BR_rate*100&amp;"%)) + ("&amp;AW125&amp;" × HR_rate ("&amp;HR_rate*100&amp;"%))) minus"</f>
        <v>((c5.66s3 × BR_rate (20%)) + (c5.66s4 × HR_rate (40%)) + (c5.66s6 × BR_rate (20%)) + (c5.66s7 × HR_rate (40%))) minus</v>
      </c>
      <c r="AY130" s="458"/>
      <c r="AZ130" s="458"/>
    </row>
    <row r="131" spans="1:56" ht="12" customHeight="1" x14ac:dyDescent="0.4">
      <c r="A131" s="8" t="s">
        <v>7711</v>
      </c>
      <c r="C131" s="859"/>
      <c r="G131" s="814"/>
      <c r="H131" s="856"/>
      <c r="J131" s="9" t="str">
        <f>E199&amp;" minus "&amp;'Deductions (c4)'!L639</f>
        <v>c5.37 minus c4.79</v>
      </c>
      <c r="M131" s="146"/>
      <c r="N131" s="26"/>
      <c r="R131" s="9" t="str">
        <f>"("&amp;E8&amp;" minus ("&amp;M176&amp;" + "&amp;Q79&amp;" + "&amp;Q86&amp;"))"</f>
        <v>(c5.1 minus (c5.50 + c5.52c + c5.52d))</v>
      </c>
      <c r="S131" s="868"/>
      <c r="X131" s="9" t="s">
        <v>7712</v>
      </c>
      <c r="Y131" s="2180" t="str">
        <f>A231</f>
        <v>c5.58a.27</v>
      </c>
      <c r="Z131" s="2149">
        <f>MAX(0,MIN(Z129,SR_band-Z117))</f>
        <v>0</v>
      </c>
      <c r="AI131" s="9"/>
      <c r="AR131" s="12"/>
      <c r="AS131" s="12"/>
      <c r="AT131" s="12"/>
      <c r="AW131" s="1222"/>
      <c r="AX131" s="9" t="str">
        <f>"("&amp;AW127&amp;" × DivBR_rate ("&amp;DivBR_rate*100&amp;"%) + "&amp;AW129&amp;" × DivHR_rate ("&amp;DivHR_rate*100&amp;"%))"</f>
        <v>(c5.66s8 × DivBR_rate (8.75%) + c5.66s9 × DivHR_rate (33.75%))</v>
      </c>
      <c r="AY131" s="458"/>
      <c r="AZ131" s="458"/>
    </row>
    <row r="132" spans="1:56" ht="12" customHeight="1" x14ac:dyDescent="0.4">
      <c r="A132" s="8" t="s">
        <v>7713</v>
      </c>
      <c r="C132" s="859"/>
      <c r="G132" s="814"/>
      <c r="H132" s="9" t="s">
        <v>7714</v>
      </c>
      <c r="I132" s="2181" t="str">
        <f>A58</f>
        <v>c5.43a</v>
      </c>
      <c r="J132" s="2169">
        <f>MAX(0,F199-PSA)</f>
        <v>0</v>
      </c>
      <c r="M132" s="210"/>
      <c r="N132" s="9" t="str">
        <f>"lower of "&amp;E8&amp;" and "&amp;E149</f>
        <v>lower of c5.1 and c5.35</v>
      </c>
      <c r="O132" s="215"/>
      <c r="R132" s="9" t="s">
        <v>75</v>
      </c>
      <c r="S132" s="9"/>
      <c r="Y132" s="9"/>
      <c r="Z132" s="9" t="str">
        <f>"lower of ("&amp;Y74&amp;" minus "&amp;Y131&amp;") and "&amp;'Deductions (c4)'!L639</f>
        <v>lower of (c5.58a.3 minus c5.58a.27) and c4.79</v>
      </c>
      <c r="AH132" s="9" t="str">
        <f>E149&amp;" minus "&amp;Q149</f>
        <v>c5.35 minus c5.52h</v>
      </c>
      <c r="AI132" s="9"/>
      <c r="AL132" s="9" t="str">
        <f>E149&amp;" minus ("&amp;Q149&amp;" + "&amp;AG149&amp;")"</f>
        <v>c5.35 minus (c5.52h + c5.58.7)</v>
      </c>
      <c r="AP132" s="9" t="str">
        <f>E149&amp;" minus ("&amp;Q149&amp;" + "&amp;AG149&amp;" + "&amp;AK149&amp;")"</f>
        <v>c5.35 minus (c5.52h + c5.58.7 + c5.62)</v>
      </c>
      <c r="AQ132" s="12"/>
      <c r="AT132" s="135"/>
      <c r="AW132" s="2029" t="str">
        <f>A396</f>
        <v>c5.66s10</v>
      </c>
      <c r="AX132" s="2182">
        <f>MAX(0,((AX117*BR_rate)+(AX119*HR_rate)+(AX123*BR_rate)+(AX125*HR_rate))-((AX127*DivBR_rate)+(AX129*DivHR_rate)))</f>
        <v>0</v>
      </c>
      <c r="AY132" s="458"/>
      <c r="AZ132" s="458"/>
    </row>
    <row r="133" spans="1:56" ht="12" customHeight="1" x14ac:dyDescent="0.25">
      <c r="A133" s="8" t="s">
        <v>7715</v>
      </c>
      <c r="E133" s="210"/>
      <c r="G133" s="860"/>
      <c r="J133" s="9" t="str">
        <f>"lower of SR_band ("&amp;DOLLAR(SR_band,0)&amp;") and ("&amp;E149&amp;" minus "&amp;E8&amp;")"</f>
        <v>lower of SR_band (£5,000) and (c5.35 minus c5.1)</v>
      </c>
      <c r="M133" s="2180" t="str">
        <f>A77</f>
        <v>c5.48c</v>
      </c>
      <c r="N133" s="2149">
        <f>MIN(F8,F149)</f>
        <v>0</v>
      </c>
      <c r="P133" s="9" t="s">
        <v>7716</v>
      </c>
      <c r="Q133" s="2180" t="str">
        <f>A110</f>
        <v>c5.52g</v>
      </c>
      <c r="R133" s="2149">
        <f>MAX(0,IF(AND('Status (c3a)'!E21=2,F149-F8&lt;SSR_band,F49+F149+F199&lt;N116,F176&gt;0,F199&gt;0,J138&gt;0),MAX(F149-MIN(SSR_band,J138)),MIN(F149-R86,(F8-(N176+R79+R86)))))</f>
        <v>0</v>
      </c>
      <c r="Y133" s="2180" t="str">
        <f>A232</f>
        <v>c5.58a.28</v>
      </c>
      <c r="Z133" s="2149">
        <f>MIN(MAX(0,Z74-Z131),'Deductions (c4)'!M639)</f>
        <v>0</v>
      </c>
      <c r="AG133" s="2181" t="str">
        <f>A311</f>
        <v>c5.58.1</v>
      </c>
      <c r="AH133" s="2149">
        <f>MAX(0,F149-R149)</f>
        <v>0</v>
      </c>
      <c r="AI133" s="9"/>
      <c r="AK133" s="2181" t="str">
        <f>A320</f>
        <v>c5.58.10</v>
      </c>
      <c r="AL133" s="2149">
        <f>MAX(0,F149-(R149+AH149))</f>
        <v>0</v>
      </c>
      <c r="AM133" s="12"/>
      <c r="AN133" s="12"/>
      <c r="AO133" s="2181" t="str">
        <f>A332</f>
        <v>c5.66.1</v>
      </c>
      <c r="AP133" s="2149">
        <f>MAX(0,F149-(R149+AH149+AL149))</f>
        <v>0</v>
      </c>
      <c r="AQ133" s="12"/>
      <c r="AR133" s="12"/>
      <c r="AS133" s="12"/>
      <c r="AT133" s="12"/>
      <c r="AX133" s="9" t="str">
        <f>"if "&amp;E302&amp;" &gt; 0 (zero) and"</f>
        <v>if c5.41 &gt; 0 (zero) and</v>
      </c>
      <c r="AY133" s="458"/>
      <c r="AZ133" s="458"/>
    </row>
    <row r="134" spans="1:56" ht="12" customHeight="1" x14ac:dyDescent="0.25">
      <c r="A134" s="8" t="s">
        <v>7717</v>
      </c>
      <c r="E134" s="210"/>
      <c r="G134" s="860"/>
      <c r="H134" s="9" t="s">
        <v>7718</v>
      </c>
      <c r="I134" s="2181" t="str">
        <f>A59</f>
        <v>c5.43b</v>
      </c>
      <c r="J134" s="2169">
        <f>MAX(0,MIN(SR_band,(F149-F8)))</f>
        <v>0</v>
      </c>
      <c r="N134" s="9"/>
      <c r="S134" s="862"/>
      <c r="Y134" s="9"/>
      <c r="Z134" s="9" t="str">
        <f>"lower of "&amp;Y133&amp;" and ("&amp;AK8&amp;" minus "&amp;Y117&amp;")"</f>
        <v>lower of c5.58a.28 and (c5.2a minus c5.58a.21)</v>
      </c>
      <c r="AH134" s="9"/>
      <c r="AI134" s="9"/>
      <c r="AL134" s="9" t="str">
        <f>"lower of "&amp;E8&amp;" minus"</f>
        <v>lower of c5.1 minus</v>
      </c>
      <c r="AM134" s="12"/>
      <c r="AN134" s="12"/>
      <c r="AP134" s="9" t="str">
        <f>"lower of ("&amp;E8&amp;" + "&amp;AK193&amp;") minus"</f>
        <v>lower of (c5.1 + c5.63a) minus</v>
      </c>
      <c r="AQ134" s="12"/>
      <c r="AR134" s="12"/>
      <c r="AS134" s="12"/>
      <c r="AT134" s="12"/>
      <c r="AX134" s="9" t="str">
        <f>AW132&amp;" &gt; 0 (zero)"</f>
        <v>c5.66s10 &gt; 0 (zero)</v>
      </c>
      <c r="AY134" s="458"/>
      <c r="AZ134" s="458"/>
    </row>
    <row r="135" spans="1:56" ht="12" customHeight="1" x14ac:dyDescent="0.25">
      <c r="A135" s="8" t="s">
        <v>7719</v>
      </c>
      <c r="E135" s="210"/>
      <c r="F135" s="210"/>
      <c r="G135" s="814"/>
      <c r="J135" s="9" t="str">
        <f>"lower of "&amp;I132&amp;" and (SR_band ("&amp;DOLLAR(SR_band,0)&amp;") minus "&amp;I134&amp;")"</f>
        <v>lower of c5.43a and (SR_band (£5,000) minus c5.43b)</v>
      </c>
      <c r="N135" s="9"/>
      <c r="X135" s="9" t="s">
        <v>7720</v>
      </c>
      <c r="Y135" s="2180" t="str">
        <f>A233</f>
        <v>c5.58a.29</v>
      </c>
      <c r="Z135" s="2149">
        <f>MAX(0,MIN(Z133,AL8-Z117))</f>
        <v>0</v>
      </c>
      <c r="AB135" s="9"/>
      <c r="AH135" s="9" t="str">
        <f>"lower of "&amp;E8&amp;" minus ("&amp;AC269&amp;" + "&amp;AC280&amp;") and"</f>
        <v>lower of c5.1 minus (c5.58i + c5.58k) and</v>
      </c>
      <c r="AI135" s="9"/>
      <c r="AL135" s="9" t="str">
        <f>"("&amp;AC269&amp;" + "&amp;AC280&amp;" + "&amp;AG149&amp;" + "&amp;AG176&amp;") and"</f>
        <v>(c5.58i + c5.58k + c5.58.7 + c5.58.9) and</v>
      </c>
      <c r="AM135" s="12"/>
      <c r="AN135" s="12"/>
      <c r="AP135" s="9" t="str">
        <f>"("&amp;AC269&amp;" + "&amp;AC280&amp;" + "&amp;AK269&amp;" + "&amp;AK280&amp;") and"</f>
        <v>(c5.58i + c5.58k + c5.65 + c5.66) and</v>
      </c>
      <c r="AX135" s="9" t="str">
        <f>AW139&amp;" = "&amp;AW107</f>
        <v>c5.66t = c5.66s1</v>
      </c>
      <c r="AY135" s="458"/>
      <c r="AZ135" s="458"/>
    </row>
    <row r="136" spans="1:56" ht="12" customHeight="1" x14ac:dyDescent="0.25">
      <c r="A136" s="8" t="s">
        <v>7721</v>
      </c>
      <c r="E136" s="210"/>
      <c r="H136" s="9" t="s">
        <v>7722</v>
      </c>
      <c r="I136" s="2181" t="str">
        <f>A60</f>
        <v>c5.43c</v>
      </c>
      <c r="J136" s="2169">
        <f>MAX(0,MIN(J132,(SR_band-J134)))</f>
        <v>0</v>
      </c>
      <c r="N136" s="9"/>
      <c r="Y136" s="9"/>
      <c r="Z136" s="9" t="str">
        <f>"lower of ("&amp;Y74&amp;" minus ("&amp;Y131&amp;" + "&amp;Y135&amp;")) and ("&amp;AK8&amp;" minus ("&amp;Y117&amp;" + "&amp;Y131&amp;" + "&amp;Y135&amp;"))"</f>
        <v>lower of (c5.58a.3 minus (c5.58a.27 + c5.58a.29)) and (c5.2a minus (c5.58a.21 + c5.58a.27 + c5.58a.29))</v>
      </c>
      <c r="AB136" s="9"/>
      <c r="AH136" s="9" t="str">
        <f>AG133</f>
        <v>c5.58.1</v>
      </c>
      <c r="AI136" s="9"/>
      <c r="AL136" s="9" t="str">
        <f>AK133</f>
        <v>c5.58.10</v>
      </c>
      <c r="AM136" s="12"/>
      <c r="AN136" s="12"/>
      <c r="AP136" s="9" t="str">
        <f>AO133</f>
        <v>c5.66.1</v>
      </c>
      <c r="AU136" s="148"/>
      <c r="AX136" s="22" t="s">
        <v>7143</v>
      </c>
      <c r="AY136" s="458"/>
      <c r="AZ136" s="458"/>
    </row>
    <row r="137" spans="1:56" ht="12" customHeight="1" x14ac:dyDescent="0.25">
      <c r="A137" s="8" t="s">
        <v>7723</v>
      </c>
      <c r="G137" s="860"/>
      <c r="H137" s="856"/>
      <c r="J137" s="9" t="str">
        <f>"(SR_band ("&amp;DOLLAR(SR_band,0)&amp;") minus "&amp;I134&amp;") minus "&amp;I136</f>
        <v>(SR_band (£5,000) minus c5.43b) minus c5.43c</v>
      </c>
      <c r="N137" s="9"/>
      <c r="X137" s="9" t="s">
        <v>7724</v>
      </c>
      <c r="Y137" s="2180" t="str">
        <f>A234</f>
        <v>c5.58a.30</v>
      </c>
      <c r="Z137" s="2149">
        <f>MAX(0,MIN(Z74-(Z131+Z135),(AL8-(Z117+Z131+Z135))))</f>
        <v>0</v>
      </c>
      <c r="AB137" s="9"/>
      <c r="AG137" s="2181" t="str">
        <f>A312</f>
        <v>c5.58.2</v>
      </c>
      <c r="AH137" s="2149">
        <f>MIN(MAX(0,F8-(AD269+AD280)),AH133)</f>
        <v>0</v>
      </c>
      <c r="AK137" s="2180" t="str">
        <f>A321</f>
        <v>c5.59</v>
      </c>
      <c r="AL137" s="2149">
        <f>MIN(MAX(0,F8-(AD269+AD280+AH149+AH176)),AL133)</f>
        <v>0</v>
      </c>
      <c r="AM137" s="12"/>
      <c r="AN137" s="12"/>
      <c r="AO137" s="2181" t="str">
        <f>A333</f>
        <v>c5.66.2</v>
      </c>
      <c r="AP137" s="2149">
        <f>MIN(MAX(0,F8+AL193-(AD269+AD280+AL269+AL280)),AP133)</f>
        <v>0</v>
      </c>
      <c r="AX137" s="9" t="str">
        <f>AW139&amp;" = 0 (zero)"</f>
        <v>c5.66t = 0 (zero)</v>
      </c>
      <c r="AY137" s="458"/>
      <c r="AZ137" s="458"/>
    </row>
    <row r="138" spans="1:56" ht="12" customHeight="1" x14ac:dyDescent="0.25">
      <c r="A138" s="8" t="s">
        <v>7725</v>
      </c>
      <c r="C138" s="12"/>
      <c r="D138" s="12"/>
      <c r="E138" s="12"/>
      <c r="G138" s="814"/>
      <c r="H138" s="9" t="s">
        <v>7726</v>
      </c>
      <c r="I138" s="2181" t="str">
        <f>A61</f>
        <v>c5.43d</v>
      </c>
      <c r="J138" s="2169">
        <f>MAX(0,(SR_band-J134)-J136)</f>
        <v>5000</v>
      </c>
      <c r="M138" s="210"/>
      <c r="N138" s="9" t="str">
        <f>E149&amp;" minus "&amp;M116</f>
        <v>c5.35 minus c5.48a</v>
      </c>
      <c r="O138" s="9"/>
      <c r="R138" s="9" t="str">
        <f>"if "&amp;'Status (c3a)'!D21&amp;" = 1 or  "&amp;'Status (c3a)'!D21&amp;" = 3"</f>
        <v>if c3a.1 = 1 or  c3a.1 = 3</v>
      </c>
      <c r="S138" s="9"/>
      <c r="Y138" s="9"/>
      <c r="Z138" s="9" t="str">
        <f>"("&amp;'Status (c3a)'!AD33&amp;" + "&amp;'Deductions (c4)'!H383&amp;") minus ("&amp;Y117&amp;" + "&amp;Y131&amp;" + "&amp;Y135&amp;" + "&amp;Y137&amp;")"</f>
        <v>(c3a.3a + c4.59) minus (c5.58a.21 + c5.58a.27 + c5.58a.29 + c5.58a.30)</v>
      </c>
      <c r="AB138" s="9"/>
      <c r="AH138" s="9"/>
      <c r="AL138" s="9"/>
      <c r="AM138" s="12"/>
      <c r="AN138" s="12"/>
      <c r="AP138" s="9"/>
      <c r="AX138" s="22" t="s">
        <v>75</v>
      </c>
      <c r="AY138" s="458"/>
      <c r="AZ138" s="459"/>
      <c r="BA138" s="12"/>
      <c r="BB138" s="12"/>
      <c r="BC138" s="12"/>
      <c r="BD138" s="12"/>
    </row>
    <row r="139" spans="1:56" ht="12" customHeight="1" x14ac:dyDescent="0.25">
      <c r="A139" s="8" t="s">
        <v>7727</v>
      </c>
      <c r="C139" s="12"/>
      <c r="D139" s="12"/>
      <c r="E139" s="12"/>
      <c r="F139" s="12"/>
      <c r="G139" s="814"/>
      <c r="H139" s="12"/>
      <c r="J139" s="9" t="str">
        <f>I132&amp;" minus "&amp;I136</f>
        <v>c5.43a minus c5.43c</v>
      </c>
      <c r="M139" s="2180" t="str">
        <f>A78</f>
        <v>c5.48d</v>
      </c>
      <c r="N139" s="2149">
        <f>MAX(0,F149-N116)</f>
        <v>0</v>
      </c>
      <c r="O139" s="496"/>
      <c r="R139" s="9" t="s">
        <v>7728</v>
      </c>
      <c r="Y139" s="2180" t="str">
        <f>A235</f>
        <v>c5.58a.31</v>
      </c>
      <c r="Z139" s="2149">
        <f>MAX(0,('Status (c3a)'!AE33+'Deductions (c4)'!I383)-(Z117+Z131+Z135+Z137))</f>
        <v>125140</v>
      </c>
      <c r="AB139" s="9"/>
      <c r="AG139" s="9"/>
      <c r="AH139" s="9" t="str">
        <f>"lower of "&amp;AG137&amp;" and "&amp;'Status (c3a)'!P33</f>
        <v>lower of c5.58.2 and c3a.2a</v>
      </c>
      <c r="AK139" s="9"/>
      <c r="AL139" s="9" t="s">
        <v>4816</v>
      </c>
      <c r="AM139" s="12"/>
      <c r="AN139" s="12"/>
      <c r="AP139" s="9" t="s">
        <v>4816</v>
      </c>
      <c r="AV139" s="9" t="s">
        <v>7729</v>
      </c>
      <c r="AW139" s="2029" t="str">
        <f>A397</f>
        <v>c5.66t</v>
      </c>
      <c r="AX139" s="2169">
        <f>IF(AND(F302&gt;0,AX132&gt;0),AX107,0)</f>
        <v>0</v>
      </c>
      <c r="AY139" s="458"/>
      <c r="AZ139" s="459"/>
      <c r="BA139" s="12"/>
      <c r="BB139" s="12"/>
      <c r="BC139" s="12"/>
      <c r="BD139" s="12"/>
    </row>
    <row r="140" spans="1:56" ht="12" customHeight="1" x14ac:dyDescent="0.25">
      <c r="A140" s="8" t="s">
        <v>7730</v>
      </c>
      <c r="C140" s="12"/>
      <c r="D140" s="12"/>
      <c r="E140" s="12"/>
      <c r="F140" s="12"/>
      <c r="G140" s="814"/>
      <c r="H140" s="9" t="s">
        <v>7731</v>
      </c>
      <c r="I140" s="2181" t="str">
        <f>A62</f>
        <v>c5.43e</v>
      </c>
      <c r="J140" s="2169">
        <f>MAX(0,J132-J136)</f>
        <v>0</v>
      </c>
      <c r="M140" s="12"/>
      <c r="N140" s="12"/>
      <c r="O140" s="9"/>
      <c r="R140" s="9" t="str">
        <f>E8&amp;" &gt; 0 and"</f>
        <v>c5.1 &gt; 0 and</v>
      </c>
      <c r="Y140" s="9"/>
      <c r="Z140" s="9" t="str">
        <f>"lower of ("&amp;Y139&amp;" and ("&amp;'Deductions (c4)'!L639&amp;" minus "&amp;Y135&amp;"))"</f>
        <v>lower of (c5.58a.31 and (c4.79 minus c5.58a.29))</v>
      </c>
      <c r="AD140" s="9"/>
      <c r="AG140" s="2181" t="str">
        <f>A313</f>
        <v>c5.58.3</v>
      </c>
      <c r="AH140" s="2149">
        <f>MIN(AH137,'Status (c3a)'!Q33)</f>
        <v>0</v>
      </c>
      <c r="AK140" s="2180" t="str">
        <f>A322</f>
        <v>c5.60</v>
      </c>
      <c r="AL140" s="2149">
        <v>0</v>
      </c>
      <c r="AM140" s="12"/>
      <c r="AN140" s="12"/>
      <c r="AO140" s="2181" t="str">
        <f>A334</f>
        <v>c5.66.3</v>
      </c>
      <c r="AP140" s="2149">
        <v>0</v>
      </c>
      <c r="AV140" s="12"/>
      <c r="AX140" s="563" t="str">
        <f>"if ("&amp;E149&amp;" minus (("&amp;I149&amp;" + "&amp;Q149&amp;" + "&amp;AG149&amp;" + "&amp;AK149&amp;" + "&amp;AO149&amp;") minus "&amp;AW100&amp;")) + (("&amp;E199&amp;" + "&amp;E302&amp;") minus"</f>
        <v>if (c5.35 minus ((c5.44 + c5.52h + c5.58.7 + c5.62 + c5.66.7) minus c5.66q)) + ((c5.37 + c5.41) minus</v>
      </c>
      <c r="AY140" s="459"/>
      <c r="AZ140" s="459"/>
      <c r="BA140" s="12"/>
      <c r="BB140" s="12"/>
      <c r="BC140" s="12"/>
      <c r="BD140" s="12"/>
    </row>
    <row r="141" spans="1:56" ht="12" customHeight="1" x14ac:dyDescent="0.25">
      <c r="A141" s="8" t="s">
        <v>7732</v>
      </c>
      <c r="E141" s="22"/>
      <c r="G141" s="814"/>
      <c r="H141" s="12"/>
      <c r="J141" s="9" t="s">
        <v>4816</v>
      </c>
      <c r="O141" s="26"/>
      <c r="R141" s="9" t="str">
        <f>'Deductions (c4)'!L639&amp;" &gt; 0 and"</f>
        <v>c4.79 &gt; 0 and</v>
      </c>
      <c r="S141" s="9"/>
      <c r="T141" s="12"/>
      <c r="U141" s="12"/>
      <c r="V141" s="12"/>
      <c r="W141" s="12"/>
      <c r="Y141" s="2180" t="str">
        <f>A236</f>
        <v>c5.58a.32</v>
      </c>
      <c r="Z141" s="2149">
        <f>MAX(0,MIN(Z139,PSA-Z135))</f>
        <v>1000</v>
      </c>
      <c r="AB141" s="12"/>
      <c r="AC141" s="12"/>
      <c r="AD141" s="9"/>
      <c r="AH141" s="9" t="s">
        <v>4816</v>
      </c>
      <c r="AL141" s="9" t="s">
        <v>4816</v>
      </c>
      <c r="AM141" s="12"/>
      <c r="AN141" s="12"/>
      <c r="AP141" s="9" t="s">
        <v>4816</v>
      </c>
      <c r="AQ141" s="12"/>
      <c r="AR141" s="12"/>
      <c r="AS141" s="12"/>
      <c r="AT141" s="12"/>
      <c r="AU141" s="148"/>
      <c r="AV141" s="12"/>
      <c r="AW141" s="870"/>
      <c r="AX141" s="9" t="str">
        <f>"("&amp;I199&amp;" + "&amp;Q199&amp;" + "&amp;AK199&amp;" + "&amp;AS199&amp;" + "&amp;AW100&amp;" + "&amp;AW139&amp;")) &gt; "&amp;AK8</f>
        <v>(c5.46 + c5.52l + c5.64 + c5.68a + c5.66q + c5.66t)) &gt; c5.2a</v>
      </c>
    </row>
    <row r="142" spans="1:56" ht="12" customHeight="1" x14ac:dyDescent="0.25">
      <c r="A142" s="8" t="s">
        <v>7733</v>
      </c>
      <c r="E142" s="22"/>
      <c r="F142" s="9"/>
      <c r="G142" s="814"/>
      <c r="H142" s="12"/>
      <c r="I142" s="2181" t="str">
        <f>A63</f>
        <v>c5.43f</v>
      </c>
      <c r="J142" s="2169">
        <v>0</v>
      </c>
      <c r="N142" s="9"/>
      <c r="O142" s="26"/>
      <c r="R142" s="9" t="str">
        <f>E149&amp;" &gt; ("&amp;U8&amp;" minus "&amp;'Deductions (c4)'!L639&amp;") and"</f>
        <v>c5.35 &gt; (c5.2 minus c4.79) and</v>
      </c>
      <c r="S142" s="9"/>
      <c r="T142" s="12"/>
      <c r="U142" s="12"/>
      <c r="V142" s="12"/>
      <c r="W142" s="12"/>
      <c r="Y142" s="9"/>
      <c r="Z142" s="9" t="str">
        <f>"lower of "&amp;Y141&amp;" and ("&amp;Y74&amp;" minus ("&amp;Y131&amp;" + "&amp;Y135&amp;" + "&amp;Y137&amp;"))"</f>
        <v>lower of c5.58a.32 and (c5.58a.3 minus (c5.58a.27 + c5.58a.29 + c5.58a.30))</v>
      </c>
      <c r="AB142" s="12"/>
      <c r="AC142" s="12"/>
      <c r="AD142" s="9"/>
      <c r="AG142" s="2181" t="str">
        <f>A314</f>
        <v>c5.58.4</v>
      </c>
      <c r="AH142" s="2149">
        <v>0</v>
      </c>
      <c r="AK142" s="2180" t="str">
        <f>A323</f>
        <v>c5.61</v>
      </c>
      <c r="AL142" s="2149">
        <v>0</v>
      </c>
      <c r="AM142" s="12"/>
      <c r="AN142" s="12"/>
      <c r="AO142" s="2181" t="str">
        <f>A335</f>
        <v>c5.66.4</v>
      </c>
      <c r="AP142" s="2149">
        <v>0</v>
      </c>
      <c r="AQ142" s="12"/>
      <c r="AR142" s="12"/>
      <c r="AS142" s="12"/>
      <c r="AT142" s="12"/>
      <c r="AU142" s="148"/>
      <c r="AV142" s="12"/>
      <c r="AW142" s="870"/>
      <c r="AX142" s="9" t="str">
        <f>AW146&amp;" = 0 (zero)"</f>
        <v>c5.66u = 0 (zero)</v>
      </c>
    </row>
    <row r="143" spans="1:56" ht="12" customHeight="1" x14ac:dyDescent="0.25">
      <c r="A143" s="8" t="s">
        <v>7734</v>
      </c>
      <c r="E143" s="22"/>
      <c r="F143" s="9"/>
      <c r="G143" s="814"/>
      <c r="H143" s="12"/>
      <c r="J143" s="9"/>
      <c r="N143" s="9" t="str">
        <f>"if "&amp;I134&amp;" = 0 (zero) and"</f>
        <v>if c5.43b = 0 (zero) and</v>
      </c>
      <c r="O143" s="26"/>
      <c r="R143" s="9" t="str">
        <f>"("&amp;E149&amp;" + "&amp;E199&amp;") minus "&amp;Q88&amp;" &gt; "&amp;U8&amp;" and"</f>
        <v>(c5.35 + c5.37) minus c5.52e &gt; c5.2 and</v>
      </c>
      <c r="S143" s="9"/>
      <c r="T143" s="12"/>
      <c r="U143" s="12"/>
      <c r="V143" s="12"/>
      <c r="W143" s="12"/>
      <c r="X143" s="9" t="s">
        <v>7735</v>
      </c>
      <c r="Y143" s="2180" t="str">
        <f>A237</f>
        <v>c5.58a.33</v>
      </c>
      <c r="Z143" s="2149">
        <f>MAX(0,MIN(Z141,Z74-(Z131+Z135+Z137)))</f>
        <v>0</v>
      </c>
      <c r="AB143" s="12"/>
      <c r="AC143" s="12"/>
      <c r="AD143" s="9"/>
      <c r="AG143" s="12"/>
      <c r="AH143" s="9"/>
      <c r="AL143" s="9"/>
      <c r="AM143" s="12"/>
      <c r="AN143" s="12"/>
      <c r="AO143" s="12"/>
      <c r="AP143" s="9"/>
      <c r="AQ143" s="12"/>
      <c r="AR143" s="12"/>
      <c r="AS143" s="12"/>
      <c r="AT143" s="12"/>
      <c r="AU143" s="148"/>
      <c r="AV143" s="12"/>
      <c r="AW143" s="870"/>
      <c r="AX143" s="9" t="s">
        <v>7143</v>
      </c>
    </row>
    <row r="144" spans="1:56" ht="12" customHeight="1" x14ac:dyDescent="0.25">
      <c r="A144" s="8" t="s">
        <v>7736</v>
      </c>
      <c r="E144" s="22"/>
      <c r="F144" s="9"/>
      <c r="G144" s="814"/>
      <c r="H144" s="12"/>
      <c r="I144" s="12"/>
      <c r="J144" s="9"/>
      <c r="N144" s="9" t="str">
        <f>I136&amp;" &gt; 0 (zero)"</f>
        <v>c5.43c &gt; 0 (zero)</v>
      </c>
      <c r="O144" s="26"/>
      <c r="R144" s="9" t="str">
        <f>I132&amp;" &gt; 0"</f>
        <v>c5.43a &gt; 0</v>
      </c>
      <c r="S144" s="9"/>
      <c r="T144" s="12"/>
      <c r="U144" s="12"/>
      <c r="V144" s="12"/>
      <c r="W144" s="12"/>
      <c r="Y144" s="9"/>
      <c r="Z144" s="9" t="str">
        <f>"lower of ("&amp;Y74&amp;" minus ("&amp;Y131&amp;" + "&amp;Y135&amp;" + "&amp;Y137&amp;" + "&amp;Y143&amp;")) and "&amp;Y139</f>
        <v>lower of (c5.58a.3 minus (c5.58a.27 + c5.58a.29 + c5.58a.30 + c5.58a.33)) and c5.58a.31</v>
      </c>
      <c r="AB144" s="12"/>
      <c r="AC144" s="12"/>
      <c r="AD144" s="9"/>
      <c r="AH144" s="9" t="s">
        <v>4816</v>
      </c>
      <c r="AL144" s="9" t="s">
        <v>4816</v>
      </c>
      <c r="AM144" s="12"/>
      <c r="AN144" s="12"/>
      <c r="AO144" s="12"/>
      <c r="AP144" s="9" t="s">
        <v>4816</v>
      </c>
      <c r="AQ144" s="12"/>
      <c r="AR144" s="12"/>
      <c r="AS144" s="12"/>
      <c r="AT144" s="12"/>
      <c r="AU144" s="148"/>
      <c r="AV144" s="12"/>
      <c r="AW144" s="870"/>
      <c r="AX144" s="9" t="str">
        <f>AW146&amp;" = lower of ("&amp;E149&amp;" minus ("&amp;I149&amp;" + "&amp;Q149&amp;" + "&amp;AG149&amp;" + "&amp;AK149&amp;" + "&amp;AO149&amp;")) and "&amp;Q199</f>
        <v>c5.66u = lower of (c5.35 minus (c5.44 + c5.52h + c5.58.7 + c5.62 + c5.66.7)) and c5.52l</v>
      </c>
    </row>
    <row r="145" spans="1:56" ht="12" customHeight="1" x14ac:dyDescent="0.25">
      <c r="A145" s="8" t="s">
        <v>7737</v>
      </c>
      <c r="E145" s="22"/>
      <c r="F145" s="9"/>
      <c r="G145" s="814"/>
      <c r="H145" s="12"/>
      <c r="I145" s="12"/>
      <c r="J145" s="9"/>
      <c r="N145" s="9" t="str">
        <f>M149&amp;" = "&amp;M133</f>
        <v>c5.49 = c5.48c</v>
      </c>
      <c r="O145" s="26"/>
      <c r="R145" s="174" t="str">
        <f>Q149&amp;" = "&amp;M149</f>
        <v>c5.52h = c5.49</v>
      </c>
      <c r="S145" s="9"/>
      <c r="T145" s="12"/>
      <c r="U145" s="12"/>
      <c r="V145" s="12"/>
      <c r="W145" s="12"/>
      <c r="X145" s="9" t="s">
        <v>7738</v>
      </c>
      <c r="Y145" s="2180" t="str">
        <f>A238</f>
        <v>c5.58a.34</v>
      </c>
      <c r="Z145" s="2149">
        <f>MAX(0,MIN(Z74-(Z131+Z135+Z137+Z143),Z139))</f>
        <v>0</v>
      </c>
      <c r="AB145" s="12"/>
      <c r="AC145" s="12"/>
      <c r="AD145" s="9"/>
      <c r="AG145" s="2181" t="str">
        <f>A315</f>
        <v>c5.58.5</v>
      </c>
      <c r="AH145" s="2149">
        <v>0</v>
      </c>
      <c r="AK145" s="2180" t="str">
        <f>A324</f>
        <v>c5.61a</v>
      </c>
      <c r="AL145" s="2149">
        <v>0</v>
      </c>
      <c r="AM145" s="12"/>
      <c r="AN145" s="12"/>
      <c r="AO145" s="2181" t="str">
        <f>A336</f>
        <v>c5.66.5</v>
      </c>
      <c r="AP145" s="2149">
        <v>0</v>
      </c>
      <c r="AQ145" s="12"/>
      <c r="AR145" s="12"/>
      <c r="AS145" s="12"/>
      <c r="AT145" s="12"/>
      <c r="AU145" s="148"/>
      <c r="AV145" s="12"/>
      <c r="AW145" s="870"/>
      <c r="AX145" s="9" t="s">
        <v>75</v>
      </c>
    </row>
    <row r="146" spans="1:56" ht="12" customHeight="1" x14ac:dyDescent="0.25">
      <c r="A146" s="8" t="s">
        <v>7739</v>
      </c>
      <c r="E146" s="22"/>
      <c r="F146" s="9"/>
      <c r="G146" s="814"/>
      <c r="H146" s="12"/>
      <c r="I146" s="12"/>
      <c r="N146" s="9" t="s">
        <v>7143</v>
      </c>
      <c r="O146" s="26"/>
      <c r="R146" s="174" t="s">
        <v>7143</v>
      </c>
      <c r="S146" s="9"/>
      <c r="T146" s="12"/>
      <c r="U146" s="12"/>
      <c r="V146" s="12"/>
      <c r="W146" s="12"/>
      <c r="X146" s="135"/>
      <c r="Y146" s="9"/>
      <c r="Z146" s="9" t="str">
        <f>"lower of "&amp;Y76&amp;" and "&amp;'Deductions (c4)'!L646</f>
        <v>lower of c5.58a.4 and c4.80</v>
      </c>
      <c r="AA146" s="12"/>
      <c r="AB146" s="12"/>
      <c r="AC146" s="12"/>
      <c r="AD146" s="9"/>
      <c r="AG146" s="12"/>
      <c r="AH146" s="9" t="s">
        <v>4816</v>
      </c>
      <c r="AM146" s="12"/>
      <c r="AN146" s="12"/>
      <c r="AO146" s="12"/>
      <c r="AP146" s="9" t="s">
        <v>4816</v>
      </c>
      <c r="AQ146" s="12"/>
      <c r="AR146" s="12"/>
      <c r="AS146" s="12"/>
      <c r="AT146" s="12"/>
      <c r="AU146" s="148"/>
      <c r="AV146" s="12"/>
      <c r="AW146" s="2029" t="str">
        <f>A398</f>
        <v>c5.66u</v>
      </c>
      <c r="AX146" s="2169">
        <f>IF((F149-((J149+R149+AH149+AL149+AP149)-AX100)+((F199+F302)-(J199+R199+AL199+AT199+AX100+AX139)))&gt;AL8,0,MAX(0,MIN(F149-(J149+R149+AH149+AL149+AP149),R199)))</f>
        <v>0</v>
      </c>
    </row>
    <row r="147" spans="1:56" ht="12" customHeight="1" x14ac:dyDescent="0.25">
      <c r="A147" s="8" t="s">
        <v>7740</v>
      </c>
      <c r="E147" s="22"/>
      <c r="F147" s="9"/>
      <c r="G147" s="814"/>
      <c r="H147" s="12"/>
      <c r="I147" s="12"/>
      <c r="J147" s="9"/>
      <c r="N147" s="9" t="str">
        <f>M149&amp;" = lower of "&amp;M133&amp;" and "&amp;M139</f>
        <v>c5.49 = lower of c5.48c and c5.48d</v>
      </c>
      <c r="O147" s="26"/>
      <c r="R147" s="9" t="str">
        <f>Q149&amp;" = "&amp;Q133</f>
        <v>c5.52h = c5.52g</v>
      </c>
      <c r="S147" s="9"/>
      <c r="T147" s="12"/>
      <c r="U147" s="12"/>
      <c r="V147" s="12"/>
      <c r="W147" s="12"/>
      <c r="X147" s="36" t="s">
        <v>7599</v>
      </c>
      <c r="Y147" s="2180" t="str">
        <f>A239</f>
        <v>c5.58a.35</v>
      </c>
      <c r="Z147" s="2149">
        <f>MIN(Z76,DA)</f>
        <v>0</v>
      </c>
      <c r="AA147" s="12"/>
      <c r="AB147" s="12"/>
      <c r="AC147" s="12"/>
      <c r="AD147" s="9"/>
      <c r="AG147" s="2181" t="str">
        <f>A316</f>
        <v>c5.58.6</v>
      </c>
      <c r="AH147" s="2169"/>
      <c r="AM147" s="12"/>
      <c r="AN147" s="12"/>
      <c r="AO147" s="2181" t="str">
        <f>A337</f>
        <v>c5.66.6</v>
      </c>
      <c r="AP147" s="2149">
        <v>0</v>
      </c>
      <c r="AQ147" s="12"/>
      <c r="AR147" s="12"/>
      <c r="AS147" s="12"/>
      <c r="AT147" s="12"/>
      <c r="AU147" s="148"/>
      <c r="AV147" s="12"/>
      <c r="AW147" s="870"/>
      <c r="AX147" s="9"/>
      <c r="BB147" s="26"/>
    </row>
    <row r="148" spans="1:56" ht="12" customHeight="1" thickBot="1" x14ac:dyDescent="0.3">
      <c r="A148" s="8" t="s">
        <v>7741</v>
      </c>
      <c r="E148" s="22"/>
      <c r="F148" s="9" t="str">
        <f>"from "&amp;E17</f>
        <v>from c5.3</v>
      </c>
      <c r="G148" s="814"/>
      <c r="H148" s="12"/>
      <c r="I148" s="12"/>
      <c r="J148" s="9" t="s">
        <v>4816</v>
      </c>
      <c r="N148" s="9" t="s">
        <v>75</v>
      </c>
      <c r="O148" s="26"/>
      <c r="R148" s="26" t="s">
        <v>75</v>
      </c>
      <c r="S148" s="9"/>
      <c r="T148" s="12"/>
      <c r="U148" s="12"/>
      <c r="V148" s="12"/>
      <c r="W148" s="12"/>
      <c r="Y148" s="9"/>
      <c r="Z148" s="9" t="str">
        <f>"lower of "&amp;Y147&amp;" and ("&amp;AK8&amp;" minus ("&amp;Y74&amp;" + "&amp;Y117&amp;"))"</f>
        <v>lower of c5.58a.35 and (c5.2a minus (c5.58a.3 + c5.58a.21))</v>
      </c>
      <c r="AA148" s="12"/>
      <c r="AB148" s="12"/>
      <c r="AC148" s="12"/>
      <c r="AD148" s="9"/>
      <c r="AH148" s="9" t="str">
        <f>"larger of "&amp;Y206&amp;" and "&amp;AG140</f>
        <v>larger of c5.58a.53 and c5.58.3</v>
      </c>
      <c r="AL148" s="9" t="str">
        <f>"lower of "&amp;U8&amp;" and "&amp;AK137</f>
        <v>lower of c5.2 and c5.59</v>
      </c>
      <c r="AM148" s="12"/>
      <c r="AN148" s="12"/>
      <c r="AP148" s="9" t="str">
        <f>"lower of "&amp;AO137&amp;" and "&amp;'Status (c3a)'!H33</f>
        <v>lower of c5.66.2 and c3a.1a</v>
      </c>
      <c r="AQ148" s="12"/>
      <c r="AR148" s="12"/>
      <c r="AS148" s="12"/>
      <c r="AT148" s="12"/>
      <c r="AU148" s="148"/>
      <c r="AV148" s="12"/>
      <c r="AW148" s="870"/>
      <c r="AX148" s="9" t="str">
        <f>"("&amp;I149&amp;" + "&amp;Q149&amp;" + "&amp;AG149&amp;" + "&amp;AK149&amp;" + "&amp;AO149&amp;" + "&amp;AW146&amp;") minus "&amp;AW100</f>
        <v>(c5.44 + c5.52h + c5.58.7 + c5.62 + c5.66.7 + c5.66u) minus c5.66q</v>
      </c>
      <c r="BB148" s="36" t="str">
        <f>E149&amp;" minus "&amp;AW149</f>
        <v>c5.35 minus c5.67</v>
      </c>
      <c r="BD148" s="458" t="s">
        <v>7742</v>
      </c>
    </row>
    <row r="149" spans="1:56" ht="12" customHeight="1" thickBot="1" x14ac:dyDescent="0.3">
      <c r="A149" s="8" t="s">
        <v>7743</v>
      </c>
      <c r="C149" s="469" t="s">
        <v>5681</v>
      </c>
      <c r="D149" s="12"/>
      <c r="E149" s="871" t="str">
        <f>A49</f>
        <v>c5.35</v>
      </c>
      <c r="F149" s="872">
        <f>F17</f>
        <v>0</v>
      </c>
      <c r="G149" s="814"/>
      <c r="H149" s="12"/>
      <c r="I149" s="871" t="str">
        <f>A64</f>
        <v>c5.44</v>
      </c>
      <c r="J149" s="872">
        <v>0</v>
      </c>
      <c r="M149" s="2180" t="str">
        <f>A79</f>
        <v>c5.49</v>
      </c>
      <c r="N149" s="2149">
        <f>IF(AND(J134=0,J136&gt;0),N133,MIN(N133,N139))</f>
        <v>0</v>
      </c>
      <c r="P149" s="9" t="s">
        <v>7744</v>
      </c>
      <c r="Q149" s="871" t="str">
        <f>A111</f>
        <v>c5.52h</v>
      </c>
      <c r="R149" s="872">
        <f>IF(AND(OR('Status (c3a)'!E21=1,'Status (c3a)'!E21=3),F8&gt;0,PSA&gt;0,F149&gt;(V8-PSA),(F149+F199)-R88&gt;V8,J132&gt;0),N149,R133)</f>
        <v>0</v>
      </c>
      <c r="S149" s="9"/>
      <c r="T149" s="12"/>
      <c r="U149" s="12"/>
      <c r="V149" s="12"/>
      <c r="W149" s="12"/>
      <c r="X149" s="36" t="s">
        <v>7605</v>
      </c>
      <c r="Y149" s="2180" t="str">
        <f>A240</f>
        <v>c5.58a.36</v>
      </c>
      <c r="Z149" s="2149">
        <f>MAX(0,MIN(Z147,(AL8-(Z74+Z117))))</f>
        <v>0</v>
      </c>
      <c r="AA149" s="12"/>
      <c r="AB149" s="12"/>
      <c r="AC149" s="12"/>
      <c r="AD149" s="9"/>
      <c r="AE149" s="12"/>
      <c r="AF149" s="12"/>
      <c r="AG149" s="871" t="str">
        <f>A317</f>
        <v>c5.58.7</v>
      </c>
      <c r="AH149" s="872">
        <f>MAX(Z206,AH140)</f>
        <v>0</v>
      </c>
      <c r="AI149" s="864"/>
      <c r="AJ149" s="12"/>
      <c r="AK149" s="871" t="str">
        <f>A325</f>
        <v>c5.62</v>
      </c>
      <c r="AL149" s="872">
        <f>MIN(V8,AL137)</f>
        <v>0</v>
      </c>
      <c r="AM149" s="12"/>
      <c r="AN149" s="12"/>
      <c r="AO149" s="871" t="str">
        <f>A338</f>
        <v>c5.66.7</v>
      </c>
      <c r="AP149" s="872">
        <f>MIN(AP137,'Status (c3a)'!I33)</f>
        <v>0</v>
      </c>
      <c r="AQ149" s="12"/>
      <c r="AR149" s="12"/>
      <c r="AS149" s="12"/>
      <c r="AT149" s="12"/>
      <c r="AU149" s="148"/>
      <c r="AV149" s="12"/>
      <c r="AW149" s="871" t="str">
        <f>A399</f>
        <v>c5.67</v>
      </c>
      <c r="AX149" s="872">
        <f>MAX(0,(J149+R149+AH149+AL149+AP149+AX146)-AX100)</f>
        <v>0</v>
      </c>
      <c r="AY149" s="873"/>
      <c r="AZ149" s="22"/>
      <c r="BA149" s="871" t="str">
        <f>A409</f>
        <v>c5.76</v>
      </c>
      <c r="BB149" s="872">
        <f>MAX(0,F149-AX149)</f>
        <v>0</v>
      </c>
      <c r="BC149" s="12"/>
      <c r="BD149" s="458" t="s">
        <v>6983</v>
      </c>
    </row>
    <row r="150" spans="1:56" ht="12" customHeight="1" x14ac:dyDescent="0.25">
      <c r="A150" s="8" t="s">
        <v>7745</v>
      </c>
      <c r="G150" s="814"/>
      <c r="H150" s="856"/>
      <c r="K150" s="12"/>
      <c r="L150" s="12"/>
      <c r="O150" s="9"/>
      <c r="S150" s="12"/>
      <c r="T150" s="12"/>
      <c r="U150" s="12"/>
      <c r="V150" s="12"/>
      <c r="W150" s="12"/>
      <c r="Y150" s="9"/>
      <c r="Z150" s="9" t="str">
        <f>"lower of "&amp;Y76&amp;" minus "&amp;Y149&amp;" and ("&amp;AK8&amp;" minus ("&amp;Y74&amp;" + "&amp;Y117&amp;" + "&amp;Y149&amp;"))"</f>
        <v>lower of c5.58a.4 minus c5.58a.36 and (c5.2a minus (c5.58a.3 + c5.58a.21 + c5.58a.36))</v>
      </c>
      <c r="AA150" s="12"/>
      <c r="AB150" s="12"/>
      <c r="AC150" s="12"/>
      <c r="AD150" s="12"/>
      <c r="AQ150" s="12"/>
      <c r="AR150" s="12"/>
      <c r="AS150" s="12"/>
      <c r="AT150" s="12"/>
      <c r="AU150" s="148"/>
      <c r="AY150" s="864"/>
      <c r="AZ150" s="12"/>
      <c r="BB150" s="9" t="str">
        <f>"copy to "&amp;'Notional (c21c23)'!A8</f>
        <v>copy to c21.8</v>
      </c>
    </row>
    <row r="151" spans="1:56" ht="12" customHeight="1" x14ac:dyDescent="0.25">
      <c r="A151" s="8" t="s">
        <v>7746</v>
      </c>
      <c r="X151" s="36" t="s">
        <v>7610</v>
      </c>
      <c r="Y151" s="2180" t="str">
        <f>A241</f>
        <v>c5.58a.37</v>
      </c>
      <c r="Z151" s="2149">
        <f>MAX(0,MIN(Z76-Z149,(AL8-(Z74+Z117+Z149))))</f>
        <v>0</v>
      </c>
      <c r="AA151" s="12"/>
      <c r="BB151" s="9" t="str">
        <f>"and add "&amp;BA149&amp;" + "&amp;BA307&amp;" and copy to "&amp;'tax it (c6)'!G14</f>
        <v>and add c5.76 + c5.83 and copy to c6.1</v>
      </c>
    </row>
    <row r="152" spans="1:56" ht="12" customHeight="1" x14ac:dyDescent="0.25">
      <c r="A152" s="8" t="s">
        <v>7747</v>
      </c>
      <c r="X152" s="12"/>
      <c r="Y152" s="9"/>
      <c r="Z152" s="9" t="str">
        <f>"lower of ("&amp;'Deductions (c4)'!L646&amp;" minus "&amp;Y149&amp;") and ("&amp;Y76&amp;" minus ("&amp;Y149&amp;" + "&amp;Y151&amp;"))"</f>
        <v>lower of (c4.80 minus c5.58a.36) and (c5.58a.4 minus (c5.58a.36 + c5.58a.37))</v>
      </c>
      <c r="AA152" s="12"/>
    </row>
    <row r="153" spans="1:56" ht="12" customHeight="1" x14ac:dyDescent="0.25">
      <c r="A153" s="8" t="s">
        <v>7748</v>
      </c>
      <c r="X153" s="36" t="s">
        <v>7615</v>
      </c>
      <c r="Y153" s="2180" t="str">
        <f>A242</f>
        <v>c5.58a.38</v>
      </c>
      <c r="Z153" s="2149">
        <f>MAX(0,MIN(DA-Z149,Z76-(Z149+Z151)))</f>
        <v>0</v>
      </c>
      <c r="AA153" s="12"/>
    </row>
    <row r="154" spans="1:56" ht="12" customHeight="1" x14ac:dyDescent="0.25">
      <c r="A154" s="8" t="s">
        <v>7749</v>
      </c>
      <c r="Y154" s="9"/>
      <c r="Z154" s="9" t="str">
        <f>Y76&amp;" minus ("&amp;Y149&amp;" + "&amp;Y151&amp;" + "&amp;Y153&amp;")"</f>
        <v>c5.58a.4 minus (c5.58a.36 + c5.58a.37 + c5.58a.38)</v>
      </c>
      <c r="AA154" s="12"/>
      <c r="AH154" s="26"/>
    </row>
    <row r="155" spans="1:56" ht="12" customHeight="1" x14ac:dyDescent="0.25">
      <c r="A155" s="8" t="s">
        <v>7750</v>
      </c>
      <c r="X155" s="36" t="s">
        <v>7620</v>
      </c>
      <c r="Y155" s="2180" t="str">
        <f>A243</f>
        <v>c5.58a.39</v>
      </c>
      <c r="Z155" s="2149">
        <f>MAX(0,Z76-(Z149+Z151+Z153))</f>
        <v>0</v>
      </c>
      <c r="AA155" s="12"/>
      <c r="AH155" s="26"/>
    </row>
    <row r="156" spans="1:56" ht="12" customHeight="1" x14ac:dyDescent="0.25">
      <c r="A156" s="8" t="s">
        <v>7751</v>
      </c>
      <c r="X156" s="12"/>
      <c r="Y156" s="9"/>
      <c r="Z156" s="9" t="str">
        <f>"lower of ("&amp;E176&amp;" minus "&amp;Y68&amp;") and ("&amp;'Status (c3a)'!H33&amp;" minus ("&amp;Y74&amp;" + "&amp;Y76&amp;" + "&amp;Y117&amp;"))"</f>
        <v>lower of (c5.36 minus c5.58a.1b) and (c3a.1a minus (c5.58a.3 + c5.58a.4 + c5.58a.21))</v>
      </c>
      <c r="AA156" s="12"/>
      <c r="AH156" s="26"/>
    </row>
    <row r="157" spans="1:56" x14ac:dyDescent="0.25">
      <c r="A157" s="8" t="s">
        <v>7752</v>
      </c>
      <c r="X157" s="9" t="s">
        <v>7625</v>
      </c>
      <c r="Y157" s="2180" t="str">
        <f>A244</f>
        <v>c5.58a.40</v>
      </c>
      <c r="Z157" s="2149">
        <f>MAX(0,MIN(F176-Z68,'Status (c3a)'!I33-(Z74+Z76+Z117)))</f>
        <v>0</v>
      </c>
      <c r="AA157" s="12"/>
      <c r="AH157" s="26"/>
    </row>
    <row r="158" spans="1:56" x14ac:dyDescent="0.25">
      <c r="A158" s="8" t="s">
        <v>7753</v>
      </c>
      <c r="Y158" s="9"/>
      <c r="Z158" s="9" t="str">
        <f>"lower of ("&amp;E176&amp;" minus ("&amp;Y68&amp;" + "&amp;Y157&amp;")) and (("&amp;'Status (c3a)'!H33&amp;" + "&amp;U8&amp;") minus ("&amp;Y74&amp;" + "&amp;Y76&amp;" + "&amp;Y117&amp;" + "&amp;Y157&amp;"))"</f>
        <v>lower of (c5.36 minus (c5.58a.1b + c5.58a.40)) and ((c3a.1a + c5.2) minus (c5.58a.3 + c5.58a.4 + c5.58a.21 + c5.58a.40))</v>
      </c>
      <c r="AA158" s="12"/>
    </row>
    <row r="159" spans="1:56" x14ac:dyDescent="0.25">
      <c r="A159" s="8" t="s">
        <v>7754</v>
      </c>
      <c r="X159" s="9" t="s">
        <v>7629</v>
      </c>
      <c r="Y159" s="2180" t="str">
        <f>A245</f>
        <v>c5.58a.41</v>
      </c>
      <c r="Z159" s="2149">
        <f>MAX(0,MIN(F176-(Z68+Z157),('Status (c3a)'!I33+V8)-(Z74+Z76+Z117+Z157)))</f>
        <v>0</v>
      </c>
      <c r="AA159" s="12"/>
    </row>
    <row r="160" spans="1:56" x14ac:dyDescent="0.25">
      <c r="A160" s="8" t="s">
        <v>7755</v>
      </c>
      <c r="X160" s="210"/>
      <c r="Y160" s="9"/>
      <c r="Z160" s="9" t="str">
        <f>"lower of ("&amp;E176&amp;" minus ("&amp;Y68&amp;" + "&amp;Y157&amp;" + "&amp;Y159&amp;")) and (("&amp;'Status (c3a)'!H33&amp;" + "&amp;U8&amp;" + "&amp;'Status (c3a)'!P33&amp;") minus ("&amp;Y74&amp;" + "&amp;Y76&amp;" + "&amp;Y117&amp;" + "&amp;Y157&amp;" + "&amp;Y159&amp;"))"</f>
        <v>lower of (c5.36 minus (c5.58a.1b + c5.58a.40 + c5.58a.41)) and ((c3a.1a + c5.2 + c3a.2a) minus (c5.58a.3 + c5.58a.4 + c5.58a.21 + c5.58a.40 + c5.58a.41))</v>
      </c>
      <c r="AA160" s="12"/>
    </row>
    <row r="161" spans="1:56" x14ac:dyDescent="0.25">
      <c r="A161" s="8" t="s">
        <v>7756</v>
      </c>
      <c r="B161" s="12"/>
      <c r="X161" s="9" t="s">
        <v>7633</v>
      </c>
      <c r="Y161" s="2180" t="str">
        <f>A246</f>
        <v>c5.58a.42</v>
      </c>
      <c r="Z161" s="2149">
        <f>MAX(0,MIN(F176-(Z68+Z157+Z159),('Status (c3a)'!I33+V8+'Status (c3a)'!Q33)-(Z74+Z76+Z117+Z157+Z159)))</f>
        <v>0</v>
      </c>
      <c r="AA161" s="12"/>
      <c r="AD161" s="9" t="str">
        <f>"if "&amp;'Status (c3a)'!D21&amp;" = 2 and"</f>
        <v>if c3a.1 = 2 and</v>
      </c>
    </row>
    <row r="162" spans="1:56" x14ac:dyDescent="0.25">
      <c r="A162" s="8" t="s">
        <v>7757</v>
      </c>
      <c r="B162" s="12"/>
      <c r="L162" s="12"/>
      <c r="M162" s="12"/>
      <c r="N162" s="12"/>
      <c r="Y162" s="9"/>
      <c r="Z162" s="9" t="str">
        <f>"lower of ("&amp;E176&amp;" minus ("&amp;Y68&amp;" + "&amp;Y157&amp;" + "&amp;Y159&amp;" + "&amp;Y161&amp;")) and (("&amp;'Status (c3a)'!H33&amp;" + "&amp;U8&amp;" + "&amp;'Status (c3a)'!P33&amp;" + "&amp;'Status (c3a)'!X33&amp;") minus ("&amp;Y74&amp;" + "&amp;Y76&amp;" + "&amp;Y117&amp;" + "&amp;Y157&amp;" + "&amp;Y159&amp;" + "&amp;Y161&amp;"))"</f>
        <v>lower of (c5.36 minus (c5.58a.1b + c5.58a.40 + c5.58a.41 + c5.58a.42)) and ((c3a.1a + c5.2 + c3a.2a + c3a.3) minus (c5.58a.3 + c5.58a.4 + c5.58a.21 + c5.58a.40 + c5.58a.41 + c5.58a.42))</v>
      </c>
      <c r="AA162" s="12"/>
      <c r="AD162" s="9" t="str">
        <f>E149&amp;" minus "&amp;E8&amp;" &lt; SSR_band ("&amp;DOLLAR(SSR_band,0)&amp;") and"</f>
        <v>c5.35 minus c5.1 &lt; SSR_band (£2,827) and</v>
      </c>
    </row>
    <row r="163" spans="1:56" s="12" customFormat="1" x14ac:dyDescent="0.25">
      <c r="A163" s="8" t="s">
        <v>7758</v>
      </c>
      <c r="M163" s="8"/>
      <c r="N163" s="9" t="str">
        <f>"lower of ("&amp;E8&amp;" minus "&amp;M149&amp;") and "&amp;E176</f>
        <v>lower of (c5.1 minus c5.49) and c5.36</v>
      </c>
      <c r="X163" s="9" t="s">
        <v>7638</v>
      </c>
      <c r="Y163" s="2180" t="str">
        <f>A247</f>
        <v>c5.58a.43</v>
      </c>
      <c r="Z163" s="2149">
        <f>MAX(0,MIN(F176-(Z68+Z157+Z159+Z161),('Status (c3a)'!I33+V8+'Status (c3a)'!Q33+'Status (c3a)'!Y33)-(Z74+Z76+Z117+Z157+Z159+Z161)))</f>
        <v>0</v>
      </c>
      <c r="AD163" s="9" t="str">
        <f>E49&amp;" + "&amp;E149&amp;" + "&amp;E199&amp;" &lt; "&amp;M116&amp;" and"</f>
        <v>c5.22 + c5.35 + c5.37 &lt; c5.48a and</v>
      </c>
    </row>
    <row r="164" spans="1:56" s="12" customFormat="1" x14ac:dyDescent="0.25">
      <c r="A164" s="8" t="s">
        <v>7759</v>
      </c>
      <c r="M164" s="2180" t="str">
        <f>A80</f>
        <v>c5.49a</v>
      </c>
      <c r="N164" s="2149">
        <f>MAX(0,MIN((F8-N149),F176))</f>
        <v>0</v>
      </c>
      <c r="X164" s="135"/>
      <c r="Y164" s="9"/>
      <c r="AD164" s="9" t="str">
        <f>E176&amp;" &gt; 0 and"</f>
        <v>c5.36 &gt; 0 and</v>
      </c>
    </row>
    <row r="165" spans="1:56" s="12" customFormat="1" x14ac:dyDescent="0.25">
      <c r="A165" s="8" t="s">
        <v>7760</v>
      </c>
      <c r="B165" s="8"/>
      <c r="N165" s="9" t="str">
        <f>"lower of "&amp;M164&amp;" and (("&amp;E49&amp;" + "&amp;E149&amp;" + "&amp;E176&amp;" + "&amp;E199&amp;") minus ("&amp;M116&amp;" + "&amp;M149&amp;"))"</f>
        <v>lower of c5.49a and ((c5.22 + c5.35 + c5.36 + c5.37) minus (c5.48a + c5.49))</v>
      </c>
      <c r="X165" s="2353"/>
      <c r="Y165" s="563"/>
      <c r="Z165" s="563" t="str">
        <f>"lower of ("&amp;E176&amp;" minus ("&amp;Y68&amp;" + "&amp;Y157&amp;" + "&amp;Y159&amp;" + "&amp;Y161&amp;" + "&amp;Y163&amp;")) and"</f>
        <v>lower of (c5.36 minus (c5.58a.1b + c5.58a.40 + c5.58a.41 + c5.58a.42 + c5.58a.43)) and</v>
      </c>
      <c r="AD165" s="9" t="str">
        <f>E199&amp;" &gt; 0 and"</f>
        <v>c5.37 &gt; 0 and</v>
      </c>
    </row>
    <row r="166" spans="1:56" s="12" customFormat="1" x14ac:dyDescent="0.25">
      <c r="A166" s="8" t="s">
        <v>7761</v>
      </c>
      <c r="C166" s="139"/>
      <c r="E166" s="869"/>
      <c r="F166" s="864"/>
      <c r="G166" s="814"/>
      <c r="H166" s="856"/>
      <c r="I166" s="869"/>
      <c r="J166" s="864"/>
      <c r="L166" s="9" t="s">
        <v>7762</v>
      </c>
      <c r="M166" s="2180" t="str">
        <f>A81</f>
        <v>c5.49b</v>
      </c>
      <c r="N166" s="2149">
        <f>MAX(0,MIN(N164,((F49+F149+F176+F199)-(N116+N149))))</f>
        <v>0</v>
      </c>
      <c r="O166" s="26"/>
      <c r="X166" s="2354"/>
      <c r="Y166" s="2354"/>
      <c r="Z166" s="563" t="str">
        <f>"(("&amp;'Status (c3a)'!H33&amp;" + "&amp;U8&amp;" + "&amp;'Status (c3a)'!P33&amp;" + "&amp;'Status (c3a)'!X33&amp;" + "&amp;'Status (c3a)'!AA33&amp;") minus ("&amp;Y74&amp;" + "&amp;Y76&amp;" + "&amp;Y117&amp;" + "&amp;Y157&amp;" + "&amp;Y159&amp;" + "&amp;Y161&amp;" + "&amp;Y163&amp;"))"</f>
        <v>((c3a.1a + c5.2 + c3a.2a + c3a.3 + c3a.3.1) minus (c5.58a.3 + c5.58a.4 + c5.58a.21 + c5.58a.40 + c5.58a.41 + c5.58a.42 + c5.58a.43))</v>
      </c>
      <c r="AD166" s="9" t="str">
        <f>I138&amp;" &gt; 0 "</f>
        <v xml:space="preserve">c5.43d &gt; 0 </v>
      </c>
      <c r="AI166" s="864"/>
      <c r="AK166" s="869"/>
      <c r="AL166" s="864"/>
      <c r="AU166" s="148"/>
      <c r="AW166" s="869"/>
      <c r="AX166" s="864"/>
      <c r="BA166" s="869"/>
      <c r="BB166" s="864"/>
      <c r="BD166" s="139"/>
    </row>
    <row r="167" spans="1:56" s="12" customFormat="1" x14ac:dyDescent="0.25">
      <c r="A167" s="8" t="s">
        <v>7763</v>
      </c>
      <c r="C167" s="139"/>
      <c r="E167" s="869"/>
      <c r="F167" s="864"/>
      <c r="G167" s="814"/>
      <c r="H167" s="856"/>
      <c r="I167" s="869"/>
      <c r="J167" s="864"/>
      <c r="N167" s="9" t="str">
        <f>"lower of ("&amp;M118&amp;" + "&amp;M120&amp;") and ("&amp;M166&amp;" minus ("&amp;M118&amp;" + "&amp;M120&amp;"))"</f>
        <v>lower of (c5.48a1 + c5.48a2) and (c5.49b minus (c5.48a1 + c5.48a2))</v>
      </c>
      <c r="O167" s="26"/>
      <c r="Y167" s="2352" t="str">
        <f>A248</f>
        <v>c5.58a.43a</v>
      </c>
      <c r="Z167" s="2149">
        <f>MAX(0,MIN(F176-(Z68+Z157+Z159+Z161+Z163),('Status (c3a)'!I33+V8+'Status (c3a)'!Q33+'Status (c3a)'!Y33+'Status (c3a)'!AB33)-(Z74+Z76+Z117+Z157+Z159+Z161+Z163)))</f>
        <v>0</v>
      </c>
      <c r="AD167" s="9" t="str">
        <f>AC170&amp;" = lower of ("&amp;E8&amp;" minus "&amp;Q149&amp;") and "&amp;E176</f>
        <v>c5.58f = lower of (c5.1 minus c5.52h) and c5.36</v>
      </c>
      <c r="AI167" s="864"/>
      <c r="AK167" s="8"/>
      <c r="AU167" s="148"/>
      <c r="AW167" s="869"/>
      <c r="AX167" s="864"/>
      <c r="BA167" s="869"/>
      <c r="BB167" s="864"/>
      <c r="BD167" s="139"/>
    </row>
    <row r="168" spans="1:56" s="12" customFormat="1" x14ac:dyDescent="0.25">
      <c r="A168" s="8" t="s">
        <v>7764</v>
      </c>
      <c r="C168" s="139"/>
      <c r="E168" s="869"/>
      <c r="F168" s="864"/>
      <c r="G168" s="814"/>
      <c r="H168" s="856"/>
      <c r="I168" s="869"/>
      <c r="J168" s="864"/>
      <c r="M168" s="2180" t="str">
        <f>A82</f>
        <v>c5.49c</v>
      </c>
      <c r="N168" s="2149">
        <f>MAX(0,MIN(N118+N120,N166-(N118+N120)))</f>
        <v>0</v>
      </c>
      <c r="O168" s="26"/>
      <c r="Z168" s="563" t="s">
        <v>7043</v>
      </c>
      <c r="AD168" s="9" t="s">
        <v>7143</v>
      </c>
      <c r="AI168" s="864"/>
      <c r="AK168" s="8"/>
      <c r="AL168" s="9" t="s">
        <v>7043</v>
      </c>
      <c r="AU168" s="148"/>
      <c r="AW168" s="869"/>
      <c r="AX168" s="864"/>
      <c r="BA168" s="869"/>
      <c r="BB168" s="864"/>
      <c r="BD168" s="139"/>
    </row>
    <row r="169" spans="1:56" s="12" customFormat="1" x14ac:dyDescent="0.25">
      <c r="A169" s="8" t="s">
        <v>7766</v>
      </c>
      <c r="C169" s="139"/>
      <c r="E169" s="869"/>
      <c r="F169" s="864"/>
      <c r="G169" s="814"/>
      <c r="H169" s="856"/>
      <c r="I169" s="869"/>
      <c r="J169" s="864"/>
      <c r="N169" s="9" t="str">
        <f>E8&amp;" minus ("&amp;M149&amp;" + "&amp;M166&amp;")"</f>
        <v>c5.1 minus (c5.49 + c5.49b)</v>
      </c>
      <c r="O169" s="26"/>
      <c r="Y169" s="2180" t="str">
        <f>A249</f>
        <v>c5.58.43a</v>
      </c>
      <c r="Z169" s="2149">
        <v>0</v>
      </c>
      <c r="AB169" s="9"/>
      <c r="AC169" s="8"/>
      <c r="AD169" s="9" t="str">
        <f>AC170&amp;" = 0 (zero)"</f>
        <v>c5.58f = 0 (zero)</v>
      </c>
      <c r="AG169" s="8"/>
      <c r="AH169" s="8"/>
      <c r="AK169" s="2181" t="str">
        <f>A326</f>
        <v>c5.62a</v>
      </c>
      <c r="AL169" s="2169">
        <v>0</v>
      </c>
      <c r="AM169" s="8"/>
      <c r="AN169" s="8"/>
      <c r="AO169" s="8"/>
      <c r="AP169" s="9"/>
      <c r="AQ169" s="8"/>
      <c r="AR169" s="8"/>
      <c r="AS169" s="8"/>
      <c r="AT169" s="8"/>
      <c r="AU169" s="8"/>
      <c r="AV169" s="8"/>
      <c r="AW169" s="869"/>
      <c r="AX169" s="8"/>
      <c r="BA169" s="869"/>
      <c r="BB169" s="864"/>
      <c r="BD169" s="139"/>
    </row>
    <row r="170" spans="1:56" s="12" customFormat="1" x14ac:dyDescent="0.25">
      <c r="A170" s="8" t="s">
        <v>7767</v>
      </c>
      <c r="C170" s="139"/>
      <c r="E170" s="869"/>
      <c r="F170" s="864"/>
      <c r="G170" s="814"/>
      <c r="H170" s="856"/>
      <c r="I170" s="869"/>
      <c r="J170" s="864"/>
      <c r="L170" s="9" t="s">
        <v>7768</v>
      </c>
      <c r="M170" s="2180" t="str">
        <f>A83</f>
        <v>c5.49d</v>
      </c>
      <c r="N170" s="2149">
        <f>MAX(0,F8-(N149+N166))</f>
        <v>12570</v>
      </c>
      <c r="O170" s="26"/>
      <c r="Y170" s="9"/>
      <c r="Z170" s="563" t="str">
        <f>"(("&amp;Y119&amp;" + "&amp;Y157&amp;") × "&amp;'Status (c3a)'!H45&amp;") + (("&amp;Y121&amp;" + "&amp;Y159&amp;") × "&amp;'Status (c3a)'!L45&amp;") + (("&amp;Y123&amp;" + "&amp;Y161&amp;") × "&amp;'Status (c3a)'!P45&amp;") + (("&amp;Y125&amp;" + "&amp;Y163&amp;") × "&amp;'Status (c3a)'!X45&amp;") + (("&amp;Y127&amp;" + "&amp;Y167&amp;") × "&amp;'Status (c3a)'!AA45&amp;")"</f>
        <v>((c5.58a.22 + c5.58a.40) × c3a.3b) + ((c5.58a.23 + c5.58a.41) × c3a.4) + ((c5.58a.24 + c5.58a.42) × c3a.4a) + ((c5.58a.25 + c5.58a.43) × c3a.5) + ((c5.58a.25a + c5.58a.43a) × c3a.5a)</v>
      </c>
      <c r="AA170" s="874"/>
      <c r="AB170" s="9"/>
      <c r="AC170" s="2180" t="str">
        <f>A305</f>
        <v>c5.58f</v>
      </c>
      <c r="AD170" s="2149">
        <f>MAX(0,IF(AND('Status (c3a)'!E21=2,F149-F8&lt;SSR_band,F49+F149+F199&lt;N116,F176&gt;0,F199&gt;0,J138&gt;0),MIN(F8-R149,F176),0))</f>
        <v>0</v>
      </c>
      <c r="AF170" s="8"/>
      <c r="AK170" s="8"/>
      <c r="AL170" s="9"/>
      <c r="AP170" s="9"/>
      <c r="AQ170" s="8"/>
      <c r="AR170" s="8"/>
      <c r="AS170" s="8"/>
      <c r="AT170" s="8"/>
      <c r="AU170" s="8"/>
      <c r="AV170" s="8"/>
      <c r="AW170" s="869"/>
      <c r="AX170" s="8"/>
      <c r="BA170" s="869"/>
      <c r="BB170" s="864"/>
      <c r="BD170" s="139"/>
    </row>
    <row r="171" spans="1:56" s="12" customFormat="1" x14ac:dyDescent="0.25">
      <c r="A171" s="8" t="s">
        <v>7770</v>
      </c>
      <c r="C171" s="139"/>
      <c r="E171" s="869"/>
      <c r="F171" s="864"/>
      <c r="G171" s="814"/>
      <c r="H171" s="856"/>
      <c r="I171" s="869"/>
      <c r="J171" s="864"/>
      <c r="N171" s="9" t="str">
        <f>M168&amp;" minus ("&amp;M149&amp;" + "&amp;M170&amp;")"</f>
        <v>c5.49c minus (c5.49 + c5.49d)</v>
      </c>
      <c r="O171" s="26"/>
      <c r="X171" s="9" t="s">
        <v>7765</v>
      </c>
      <c r="Y171" s="2180" t="str">
        <f>A250</f>
        <v>c5.58a.44</v>
      </c>
      <c r="Z171" s="2182">
        <f>TRUNC(((Z119+Z157)*'Status (c3a)'!I45)+((Z121+Z159)*'Status (c3a)'!M45)+((Z123+Z161)*'Status (c3a)'!Q45)+((Z125+Z163)*'Status (c3a)'!Y45)+((Z127+Z167)*'Status (c3a)'!AB45),2)</f>
        <v>0</v>
      </c>
      <c r="AA171" s="861" t="s">
        <v>7647</v>
      </c>
      <c r="AB171" s="9"/>
      <c r="AC171" s="8"/>
      <c r="AD171" s="875" t="str">
        <f>"lower of "&amp;E176&amp;" and "&amp;AC170</f>
        <v>lower of c5.36 and c5.58f</v>
      </c>
      <c r="AE171" s="8"/>
      <c r="AF171" s="8"/>
      <c r="AG171" s="8"/>
      <c r="AH171" s="22" t="s">
        <v>7523</v>
      </c>
      <c r="AM171" s="8"/>
      <c r="AN171" s="8"/>
      <c r="AO171" s="8"/>
      <c r="AP171" s="22" t="str">
        <f>"lower of ("&amp;E8&amp;" minus ("&amp;AC269&amp;" +"</f>
        <v>lower of (c5.1 minus (c5.58i +</v>
      </c>
      <c r="AQ171" s="8"/>
      <c r="AR171" s="8"/>
      <c r="AS171" s="8"/>
      <c r="AT171" s="8"/>
      <c r="AU171" s="38"/>
      <c r="AV171" s="8"/>
      <c r="AW171" s="8"/>
      <c r="AX171" s="8"/>
      <c r="AY171" s="8"/>
      <c r="AZ171" s="8"/>
      <c r="BA171" s="8"/>
      <c r="BB171" s="8"/>
      <c r="BC171" s="8"/>
      <c r="BD171" s="8"/>
    </row>
    <row r="172" spans="1:56" s="12" customFormat="1" x14ac:dyDescent="0.25">
      <c r="A172" s="8" t="s">
        <v>7771</v>
      </c>
      <c r="C172" s="139"/>
      <c r="E172" s="869"/>
      <c r="F172" s="864"/>
      <c r="G172" s="814"/>
      <c r="H172" s="856"/>
      <c r="I172" s="869"/>
      <c r="J172" s="864"/>
      <c r="L172" s="9" t="s">
        <v>7772</v>
      </c>
      <c r="M172" s="2180" t="str">
        <f>A84</f>
        <v>c5.49e</v>
      </c>
      <c r="N172" s="2149">
        <f>MAX(0,N168-(N149+N170))</f>
        <v>0</v>
      </c>
      <c r="O172" s="26"/>
      <c r="Y172" s="9"/>
      <c r="Z172" s="9" t="str">
        <f>"("&amp;Y137&amp;" × BR_rate ("&amp;BR_rate*100&amp;"%)) + ("&amp;Y145&amp;" × HR_rate ("&amp;HR_rate*100&amp;"%)) + ("&amp;Y151&amp;" × DivBR_rate ("&amp;DivBR_rate*100&amp;"%)) + ("&amp;Y155&amp;" × DivHR_rate ("&amp;DivHR_rate*100&amp;"%))"</f>
        <v>(c5.58a.30 × BR_rate (20%)) + (c5.58a.34 × HR_rate (40%)) + (c5.58a.37 × DivBR_rate (8.75%)) + (c5.58a.39 × DivHR_rate (33.75%))</v>
      </c>
      <c r="AA172" s="874"/>
      <c r="AB172" s="8"/>
      <c r="AC172" s="2180" t="str">
        <f>A306</f>
        <v>c5.58g</v>
      </c>
      <c r="AD172" s="2149">
        <f>MIN(F176,AD170)</f>
        <v>0</v>
      </c>
      <c r="AE172" s="8"/>
      <c r="AF172" s="8"/>
      <c r="AG172" s="8"/>
      <c r="AH172" s="9" t="str">
        <f>"("&amp;E8&amp;" minus ("&amp;U271&amp;" + "&amp;Y312&amp;" + "&amp;AC269&amp;" + "&amp;AC280&amp;" + "&amp;AG149&amp;")) and"</f>
        <v>(c5.1 minus (c5.56p + c5.58e + c5.58i + c5.58k + c5.58.7)) and</v>
      </c>
      <c r="AK172" s="9"/>
      <c r="AL172" s="9"/>
      <c r="AM172" s="8"/>
      <c r="AN172" s="8"/>
      <c r="AO172" s="8"/>
      <c r="AP172" s="9" t="str">
        <f>AC280&amp;" + "&amp;AK269&amp;" + "&amp;AK280&amp;" + "&amp;AO149&amp;")) and"</f>
        <v>c5.58k + c5.65 + c5.66 + c5.66.7)) and</v>
      </c>
      <c r="AU172" s="148"/>
      <c r="AW172" s="8"/>
      <c r="AX172" s="8"/>
      <c r="AY172" s="8"/>
      <c r="AZ172" s="8"/>
      <c r="BA172" s="8"/>
      <c r="BB172" s="8"/>
      <c r="BC172" s="8"/>
      <c r="BD172" s="8"/>
    </row>
    <row r="173" spans="1:56" s="12" customFormat="1" x14ac:dyDescent="0.25">
      <c r="A173" s="8" t="s">
        <v>7774</v>
      </c>
      <c r="C173" s="139"/>
      <c r="E173" s="869"/>
      <c r="F173" s="864"/>
      <c r="G173" s="814"/>
      <c r="H173" s="856"/>
      <c r="I173" s="869"/>
      <c r="J173" s="864"/>
      <c r="O173" s="26"/>
      <c r="X173" s="9" t="s">
        <v>7769</v>
      </c>
      <c r="Y173" s="2180" t="str">
        <f>A251</f>
        <v>c5.58a.45</v>
      </c>
      <c r="Z173" s="2182">
        <f>TRUNC((Z137*BR_rate)+(Z145*HR_rate)+(Z151*DivBR_rate)+(Z155*DivHR_rate),2)</f>
        <v>0</v>
      </c>
      <c r="AA173" s="861" t="s">
        <v>7647</v>
      </c>
      <c r="AB173" s="8"/>
      <c r="AC173" s="8"/>
      <c r="AD173" s="22" t="str">
        <f>"lower of ("&amp;E8&amp;" minus"</f>
        <v>lower of (c5.1 minus</v>
      </c>
      <c r="AE173" s="8"/>
      <c r="AF173" s="8"/>
      <c r="AG173" s="8"/>
      <c r="AH173" s="9" t="str">
        <f>"("&amp;E176&amp;" minus "&amp;AC176&amp;")"</f>
        <v>(c5.36 minus c5.58h)</v>
      </c>
      <c r="AK173" s="8"/>
      <c r="AL173" s="9" t="str">
        <f>"lower of ("&amp;E8&amp;" minus ("&amp;U271&amp;" + "&amp;Y312&amp;" + "&amp;AC269&amp;" +"</f>
        <v>lower of (c5.1 minus (c5.56p + c5.58e + c5.58i +</v>
      </c>
      <c r="AM173" s="8"/>
      <c r="AN173" s="8"/>
      <c r="AO173" s="8"/>
      <c r="AP173" s="9" t="str">
        <f>"("&amp;E176&amp;" minus ("&amp;AC176&amp;" + "&amp;AG176&amp;" + "&amp;AK176&amp;"))"</f>
        <v>(c5.36 minus (c5.58h + c5.58.9 + c5.63))</v>
      </c>
      <c r="AQ173" s="8"/>
      <c r="AR173" s="8"/>
      <c r="AS173" s="8"/>
      <c r="AT173" s="8"/>
      <c r="AU173" s="8"/>
      <c r="AV173" s="8"/>
      <c r="AW173" s="8"/>
      <c r="AX173" s="8"/>
      <c r="AY173" s="8"/>
      <c r="AZ173" s="8"/>
      <c r="BA173" s="8"/>
      <c r="BB173" s="8"/>
      <c r="BC173" s="8"/>
      <c r="BD173" s="8"/>
    </row>
    <row r="174" spans="1:56" s="12" customFormat="1" x14ac:dyDescent="0.25">
      <c r="A174" s="8" t="s">
        <v>7775</v>
      </c>
      <c r="C174" s="139"/>
      <c r="E174" s="869"/>
      <c r="F174" s="864"/>
      <c r="G174" s="814"/>
      <c r="H174" s="856"/>
      <c r="I174" s="869"/>
      <c r="J174" s="864"/>
      <c r="M174" s="8"/>
      <c r="N174" s="9"/>
      <c r="O174" s="26"/>
      <c r="X174" s="135"/>
      <c r="Y174" s="9"/>
      <c r="Z174" s="9" t="str">
        <f>Y171&amp;" + "&amp;Y173</f>
        <v>c5.58a.44 + c5.58a.45</v>
      </c>
      <c r="AB174" s="8"/>
      <c r="AC174" s="8"/>
      <c r="AD174" s="9" t="str">
        <f>"("&amp;Q79&amp;" + "&amp;Q86&amp;" + "&amp;Q149&amp;" + "&amp;Q199&amp;" + "&amp;Y206&amp;" + "&amp;Y312&amp;"))"</f>
        <v>(c5.52c + c5.52d + c5.52h + c5.52l + c5.58a.53 + c5.58e))</v>
      </c>
      <c r="AE174" s="8"/>
      <c r="AF174" s="8"/>
      <c r="AG174" s="2181" t="str">
        <f>A318</f>
        <v>c5.58.8</v>
      </c>
      <c r="AH174" s="2169">
        <f>MAX(0,MIN(F8-(V271+Z312+AD269+AD280+AH149),F176-AD176))</f>
        <v>0</v>
      </c>
      <c r="AK174" s="8"/>
      <c r="AL174" s="9" t="str">
        <f>AC280&amp;" + "&amp;AG149&amp;" + "&amp;AG176&amp;" + "&amp;AK149&amp;")) and"</f>
        <v>c5.58k + c5.58.7 + c5.58.9 + c5.62)) and</v>
      </c>
      <c r="AO174" s="2181" t="str">
        <f>A339</f>
        <v>c5.66.8</v>
      </c>
      <c r="AP174" s="2169">
        <f>MAX(0,MIN(F8-(AD269+AD280+AL269+AL280+AP149),F176-(AD176+AH176+AL176)))</f>
        <v>0</v>
      </c>
      <c r="AQ174" s="8"/>
      <c r="AR174" s="8"/>
      <c r="AS174" s="8"/>
      <c r="AT174" s="8"/>
      <c r="AU174" s="8"/>
      <c r="AV174" s="8"/>
      <c r="AW174" s="8"/>
      <c r="AX174" s="8"/>
      <c r="AY174" s="8"/>
      <c r="AZ174" s="8"/>
      <c r="BA174" s="8"/>
      <c r="BB174" s="8"/>
      <c r="BC174" s="8"/>
      <c r="BD174" s="8"/>
    </row>
    <row r="175" spans="1:56" s="12" customFormat="1" ht="12" thickBot="1" x14ac:dyDescent="0.3">
      <c r="A175" s="8" t="s">
        <v>7776</v>
      </c>
      <c r="C175" s="139"/>
      <c r="D175" s="8"/>
      <c r="E175" s="8"/>
      <c r="F175" s="36" t="str">
        <f>"from "&amp;E57</f>
        <v>from c5.34a</v>
      </c>
      <c r="G175" s="860"/>
      <c r="H175" s="35"/>
      <c r="I175" s="8"/>
      <c r="J175" s="9" t="s">
        <v>4816</v>
      </c>
      <c r="M175" s="8"/>
      <c r="N175" s="9" t="str">
        <f>M166&amp;" minus "&amp;M172</f>
        <v>c5.49b minus c5.49e</v>
      </c>
      <c r="O175" s="26"/>
      <c r="X175" s="135" t="s">
        <v>7773</v>
      </c>
      <c r="Y175" s="2180" t="str">
        <f>A252</f>
        <v>c5.58a.46</v>
      </c>
      <c r="Z175" s="2182">
        <f>Z171+Z173</f>
        <v>0</v>
      </c>
      <c r="AB175" s="8"/>
      <c r="AC175" s="8"/>
      <c r="AD175" s="9" t="str">
        <f>"and (("&amp;M176&amp;" + "&amp;AC172&amp;") minus ("&amp;Y206&amp;" + "&amp;Y312&amp;"))"</f>
        <v>and ((c5.50 + c5.58g) minus (c5.58a.53 + c5.58e))</v>
      </c>
      <c r="AE175" s="8"/>
      <c r="AF175" s="8"/>
      <c r="AG175" s="8"/>
      <c r="AH175" s="9" t="str">
        <f>"lower of "&amp;AG174&amp;" and "&amp;'Status (c3a)'!P33</f>
        <v>lower of c5.58.8 and c3a.2a</v>
      </c>
      <c r="AI175" s="8"/>
      <c r="AJ175" s="8"/>
      <c r="AK175" s="8"/>
      <c r="AL175" s="9" t="str">
        <f>"("&amp;E176&amp;" minus ("&amp;AC176&amp;" + "&amp;AG176&amp;"))"</f>
        <v>(c5.36 minus (c5.58h + c5.58.9))</v>
      </c>
      <c r="AM175" s="8"/>
      <c r="AN175" s="8"/>
      <c r="AO175" s="8"/>
      <c r="AP175" s="9" t="str">
        <f>"lower of "&amp;AO174&amp;" and "&amp;'Status (c3a)'!H33</f>
        <v>lower of c5.66.8 and c3a.1a</v>
      </c>
      <c r="AQ175" s="8"/>
      <c r="AR175" s="8"/>
      <c r="AS175" s="8"/>
      <c r="AT175" s="8"/>
      <c r="AU175" s="8"/>
      <c r="AV175" s="8"/>
      <c r="AW175" s="870"/>
      <c r="AX175" s="9" t="str">
        <f>I176&amp;" + "&amp;AC176&amp;" + "&amp;AG176&amp;" + "&amp;AK176&amp;" + "&amp;AO176</f>
        <v>c5.45 + c5.58h + c5.58.9 + c5.63 + c5.66.9</v>
      </c>
      <c r="AY175" s="8"/>
      <c r="AZ175" s="8"/>
      <c r="BA175" s="8"/>
      <c r="BB175" s="38" t="str">
        <f>E176&amp;" minus "&amp;AW176</f>
        <v>c5.36 minus c5.68</v>
      </c>
      <c r="BC175" s="8"/>
      <c r="BD175" s="458" t="s">
        <v>7777</v>
      </c>
    </row>
    <row r="176" spans="1:56" s="12" customFormat="1" ht="12.5" thickTop="1" thickBot="1" x14ac:dyDescent="0.3">
      <c r="A176" s="8" t="s">
        <v>7778</v>
      </c>
      <c r="C176" s="469" t="s">
        <v>7119</v>
      </c>
      <c r="E176" s="876" t="s">
        <v>7548</v>
      </c>
      <c r="F176" s="877">
        <f>F57</f>
        <v>0</v>
      </c>
      <c r="G176" s="860"/>
      <c r="H176" s="856"/>
      <c r="I176" s="876" t="str">
        <f>A65</f>
        <v>c5.45</v>
      </c>
      <c r="J176" s="877">
        <v>0</v>
      </c>
      <c r="M176" s="2180" t="str">
        <f>A85</f>
        <v>c5.50</v>
      </c>
      <c r="N176" s="2149">
        <f>MAX(0,N166-N172)</f>
        <v>0</v>
      </c>
      <c r="O176" s="26"/>
      <c r="X176" s="135"/>
      <c r="Y176" s="9"/>
      <c r="Z176" s="9" t="str">
        <f>"if "&amp;Q330&amp;" larger than 0 (zero)"</f>
        <v>if c5.56 larger than 0 (zero)</v>
      </c>
      <c r="AB176" s="8"/>
      <c r="AC176" s="876" t="str">
        <f>A307</f>
        <v>c5.58h</v>
      </c>
      <c r="AD176" s="877">
        <f>MAX(0,MIN(F8-(R79+R86+R149+R199+Z206+Z312),(N176+AD172)-(Z206+Z312)))</f>
        <v>0</v>
      </c>
      <c r="AG176" s="876" t="str">
        <f>A319</f>
        <v>c5.58.9</v>
      </c>
      <c r="AH176" s="877">
        <f>MIN(AH174,'Status (c3a)'!Q33)</f>
        <v>0</v>
      </c>
      <c r="AI176" s="8"/>
      <c r="AJ176" s="8"/>
      <c r="AK176" s="876" t="str">
        <f>A327</f>
        <v>c5.63</v>
      </c>
      <c r="AL176" s="877">
        <f>MAX(0,MIN(F8-(V271+Z312+AD269+AD280+AH149+AH176+AL149),F176-(AD176+AH176)))</f>
        <v>0</v>
      </c>
      <c r="AM176" s="8"/>
      <c r="AN176" s="8"/>
      <c r="AO176" s="876" t="str">
        <f>A340</f>
        <v>c5.66.9</v>
      </c>
      <c r="AP176" s="877">
        <f>MIN(AP174,'Status (c3a)'!I33)</f>
        <v>0</v>
      </c>
      <c r="AQ176" s="8"/>
      <c r="AR176" s="8"/>
      <c r="AS176" s="8"/>
      <c r="AT176" s="8"/>
      <c r="AU176" s="8"/>
      <c r="AV176" s="8"/>
      <c r="AW176" s="876" t="str">
        <f>A400</f>
        <v>c5.68</v>
      </c>
      <c r="AX176" s="877">
        <f>J176+AD176+AH176+AL176+AP176</f>
        <v>0</v>
      </c>
      <c r="AY176" s="864"/>
      <c r="BA176" s="876" t="str">
        <f>A410</f>
        <v>c5.77</v>
      </c>
      <c r="BB176" s="877">
        <f>MAX(0,F176-AX176)</f>
        <v>0</v>
      </c>
      <c r="BD176" s="458" t="s">
        <v>6984</v>
      </c>
    </row>
    <row r="177" spans="1:56" s="12" customFormat="1" ht="12" thickTop="1" x14ac:dyDescent="0.25">
      <c r="A177" s="8" t="s">
        <v>7779</v>
      </c>
      <c r="C177" s="139"/>
      <c r="E177" s="869"/>
      <c r="F177" s="864"/>
      <c r="G177" s="814"/>
      <c r="H177" s="856"/>
      <c r="I177" s="869"/>
      <c r="J177" s="864"/>
      <c r="O177" s="26"/>
      <c r="Y177" s="9"/>
      <c r="Z177" s="9" t="str">
        <f>Y181&amp; " = ("&amp;Q282&amp;" × "&amp;'Status (c3a)'!H45&amp;") + ("&amp;Q284&amp;" × "&amp;'Status (c3a)'!L45&amp;") + ("&amp;Q286&amp;" × "&amp;'Status (c3a)'!P45&amp;") + ("&amp;Q288&amp;" × "&amp;'Status (c3a)'!X45&amp;") + ("&amp;Q290&amp;" × "&amp;'Status (c3a)'!AA45&amp;")"</f>
        <v>c5.58a.47 = (c5.55.23 × c3a.3b) + (c5.55.24 × c3a.4) + (c5.55.25 × c3a.4a) + (c5.55.26 × c3a.5) + (c5.55.26a × c3a.5a)</v>
      </c>
      <c r="AI177" s="864"/>
      <c r="AK177" s="8"/>
      <c r="AL177" s="9"/>
      <c r="AU177" s="148"/>
      <c r="AW177" s="869"/>
      <c r="AX177" s="864"/>
      <c r="BA177" s="869"/>
      <c r="BB177" s="864"/>
      <c r="BD177" s="139"/>
    </row>
    <row r="178" spans="1:56" s="12" customFormat="1" x14ac:dyDescent="0.25">
      <c r="A178" s="8" t="s">
        <v>7780</v>
      </c>
      <c r="C178" s="139"/>
      <c r="E178" s="869"/>
      <c r="F178" s="864"/>
      <c r="G178" s="814"/>
      <c r="H178" s="856"/>
      <c r="I178" s="869"/>
      <c r="J178" s="864"/>
      <c r="O178" s="26"/>
      <c r="Y178" s="9"/>
      <c r="Z178" s="22" t="s">
        <v>7143</v>
      </c>
      <c r="AI178" s="864"/>
      <c r="AK178" s="8"/>
      <c r="AL178" s="9"/>
      <c r="AU178" s="148"/>
      <c r="AW178" s="869"/>
      <c r="AX178" s="864"/>
      <c r="BA178" s="869"/>
      <c r="BB178" s="864"/>
      <c r="BD178" s="139"/>
    </row>
    <row r="179" spans="1:56" s="12" customFormat="1" x14ac:dyDescent="0.25">
      <c r="A179" s="8" t="s">
        <v>7782</v>
      </c>
      <c r="C179" s="139"/>
      <c r="E179" s="869"/>
      <c r="F179" s="864"/>
      <c r="G179" s="814"/>
      <c r="H179" s="856"/>
      <c r="I179" s="869"/>
      <c r="J179" s="864"/>
      <c r="O179" s="26"/>
      <c r="Y179" s="9"/>
      <c r="Z179" s="9" t="str">
        <f>Y181&amp; " = ("&amp;Q256&amp;" × "&amp;'Status (c3a)'!H45&amp;") + ("&amp;Q258&amp;" × "&amp;'Status (c3a)'!L45&amp;") + ("&amp;Q260&amp;" × "&amp;'Status (c3a)'!P45&amp;") + ("&amp;Q262&amp;" × "&amp;'Status (c3a)'!X45&amp;") + ("&amp;Q264&amp;" × "&amp;'Status (c3a)'!AA45&amp;")"</f>
        <v>c5.58a.47 = (c5.55.11 × c3a.3b) + (c5.55.12 × c3a.4) + (c5.55.13 × c3a.4a) + (c5.55.14 × c3a.5) + (c5.55.14a × c3a.5a)</v>
      </c>
      <c r="AI179" s="864"/>
      <c r="AK179" s="8"/>
      <c r="AL179" s="9"/>
      <c r="AU179" s="148"/>
      <c r="AW179" s="869"/>
      <c r="AX179" s="864"/>
      <c r="BA179" s="869"/>
      <c r="BB179" s="864"/>
      <c r="BD179" s="139"/>
    </row>
    <row r="180" spans="1:56" s="12" customFormat="1" x14ac:dyDescent="0.25">
      <c r="A180" s="8" t="s">
        <v>7783</v>
      </c>
      <c r="C180" s="139"/>
      <c r="E180" s="869"/>
      <c r="F180" s="864"/>
      <c r="G180" s="814"/>
      <c r="H180" s="856"/>
      <c r="I180" s="869"/>
      <c r="J180" s="864"/>
      <c r="O180" s="26"/>
      <c r="Y180" s="9"/>
      <c r="Z180" s="22" t="s">
        <v>75</v>
      </c>
      <c r="AA180" s="874"/>
      <c r="AI180" s="864"/>
      <c r="AK180" s="8"/>
      <c r="AL180" s="9"/>
      <c r="AU180" s="148"/>
      <c r="AW180" s="869"/>
      <c r="AX180" s="864"/>
      <c r="BA180" s="869"/>
      <c r="BB180" s="864"/>
      <c r="BD180" s="139"/>
    </row>
    <row r="181" spans="1:56" s="12" customFormat="1" x14ac:dyDescent="0.25">
      <c r="A181" s="8" t="s">
        <v>7784</v>
      </c>
      <c r="C181" s="139"/>
      <c r="E181" s="869"/>
      <c r="F181" s="864"/>
      <c r="G181" s="814"/>
      <c r="H181" s="35"/>
      <c r="I181" s="8"/>
      <c r="J181" s="9" t="s">
        <v>4816</v>
      </c>
      <c r="M181" s="8"/>
      <c r="N181" s="9" t="s">
        <v>4816</v>
      </c>
      <c r="O181" s="26"/>
      <c r="X181" s="9" t="s">
        <v>7781</v>
      </c>
      <c r="Y181" s="2180" t="str">
        <f>A253</f>
        <v>c5.58a.47</v>
      </c>
      <c r="Z181" s="2182">
        <f>IF(R330&gt;0,TRUNC((R282*'Status (c3a)'!I45)+(R284*'Status (c3a)'!M45)+(R286*'Status (c3a)'!Q45)+(R288*'Status (c3a)'!Y45)+(R290*'Status (c3a)'!AB45),2),TRUNC((R256*'Status (c3a)'!I45)+(R258*'Status (c3a)'!M45)+(R260*'Status (c3a)'!Q45)+(R262*'Status (c3a)'!Y45)+(R264*'Status (c3a)'!AB45),2))</f>
        <v>0</v>
      </c>
      <c r="AA181" s="861" t="s">
        <v>7647</v>
      </c>
      <c r="AI181" s="864"/>
      <c r="AK181" s="8"/>
      <c r="AL181" s="9"/>
      <c r="AU181" s="148"/>
      <c r="AW181" s="869"/>
      <c r="AX181" s="864"/>
      <c r="BA181" s="869"/>
      <c r="BB181" s="864"/>
      <c r="BD181" s="139"/>
    </row>
    <row r="182" spans="1:56" s="12" customFormat="1" x14ac:dyDescent="0.25">
      <c r="A182" s="8" t="s">
        <v>7785</v>
      </c>
      <c r="C182" s="139"/>
      <c r="E182" s="869"/>
      <c r="F182" s="864"/>
      <c r="G182" s="814"/>
      <c r="H182" s="35"/>
      <c r="I182" s="2180" t="str">
        <f>A66</f>
        <v>c5.45a</v>
      </c>
      <c r="J182" s="2149">
        <v>0</v>
      </c>
      <c r="M182" s="2180" t="str">
        <f>A86</f>
        <v>c5.50.1</v>
      </c>
      <c r="N182" s="2149">
        <v>0</v>
      </c>
      <c r="O182" s="26"/>
      <c r="Y182" s="9"/>
      <c r="Z182" s="9" t="str">
        <f>"if "&amp;Q330&amp;" larger than 0 (zero)"</f>
        <v>if c5.56 larger than 0 (zero)</v>
      </c>
      <c r="AI182" s="864"/>
      <c r="AK182" s="8"/>
      <c r="AL182" s="9"/>
      <c r="AU182" s="148"/>
      <c r="AW182" s="869"/>
      <c r="AX182" s="864"/>
      <c r="BA182" s="869"/>
      <c r="BB182" s="864"/>
      <c r="BD182" s="139"/>
    </row>
    <row r="183" spans="1:56" s="12" customFormat="1" x14ac:dyDescent="0.25">
      <c r="A183" s="8" t="s">
        <v>7786</v>
      </c>
      <c r="C183" s="139"/>
      <c r="E183" s="869"/>
      <c r="F183" s="864"/>
      <c r="G183" s="814"/>
      <c r="H183" s="35"/>
      <c r="I183" s="8"/>
      <c r="J183" s="9"/>
      <c r="M183" s="8"/>
      <c r="N183" s="9" t="s">
        <v>4816</v>
      </c>
      <c r="O183" s="26"/>
      <c r="Y183" s="9"/>
      <c r="Z183" s="9" t="str">
        <f>Y187&amp;" = ("&amp;Q300&amp;" × BR_rate ("&amp;BR_rate*100&amp;"%)) + ("&amp;Q308&amp;" × HR_rate ("&amp;HR_rate*100&amp;"%))"</f>
        <v>c5.58a.48 = (c5.55.31 × BR_rate (20%)) + (c5.55.35 × HR_rate (40%))</v>
      </c>
      <c r="AA183" s="874"/>
      <c r="AI183" s="864"/>
      <c r="AK183" s="8"/>
      <c r="AL183" s="9"/>
      <c r="AU183" s="148"/>
      <c r="AW183" s="869"/>
      <c r="AX183" s="864"/>
      <c r="BA183" s="869"/>
      <c r="BB183" s="864"/>
      <c r="BD183" s="139"/>
    </row>
    <row r="184" spans="1:56" s="12" customFormat="1" x14ac:dyDescent="0.25">
      <c r="A184" s="8" t="s">
        <v>7787</v>
      </c>
      <c r="C184" s="139"/>
      <c r="E184" s="869"/>
      <c r="F184" s="864"/>
      <c r="G184" s="814"/>
      <c r="H184" s="35"/>
      <c r="I184" s="8"/>
      <c r="J184" s="9" t="s">
        <v>4816</v>
      </c>
      <c r="M184" s="2180" t="str">
        <f>A87</f>
        <v>c5.50.2</v>
      </c>
      <c r="N184" s="2149">
        <v>0</v>
      </c>
      <c r="O184" s="26"/>
      <c r="Y184" s="9"/>
      <c r="Z184" s="22" t="s">
        <v>7143</v>
      </c>
    </row>
    <row r="185" spans="1:56" s="12" customFormat="1" x14ac:dyDescent="0.25">
      <c r="A185" s="8" t="s">
        <v>7789</v>
      </c>
      <c r="C185" s="139"/>
      <c r="E185" s="869"/>
      <c r="F185" s="864"/>
      <c r="G185" s="860"/>
      <c r="H185" s="35"/>
      <c r="I185" s="2180" t="str">
        <f>A67</f>
        <v>c5.45b</v>
      </c>
      <c r="J185" s="2149">
        <v>0</v>
      </c>
      <c r="M185" s="146"/>
      <c r="N185" s="9"/>
      <c r="O185" s="26"/>
      <c r="T185" s="8"/>
      <c r="U185" s="8"/>
      <c r="V185" s="8"/>
      <c r="W185" s="8"/>
      <c r="X185" s="8"/>
      <c r="Y185" s="9"/>
      <c r="Z185" s="9" t="str">
        <f>Y187&amp;" = ("&amp;Q270&amp;" × BR_rate ("&amp;BR_rate*100&amp;"%)) + ("&amp;Q278&amp;" × HR_rate ("&amp;HR_rate*100&amp;"%))"</f>
        <v>c5.58a.48 = (c5.55.17 × BR_rate (20%)) + (c5.55.21 × HR_rate (40%))</v>
      </c>
      <c r="AA185" s="874"/>
    </row>
    <row r="186" spans="1:56" s="12" customFormat="1" x14ac:dyDescent="0.25">
      <c r="A186" s="8" t="s">
        <v>7790</v>
      </c>
      <c r="C186" s="139"/>
      <c r="E186" s="869"/>
      <c r="F186" s="864"/>
      <c r="G186" s="860"/>
      <c r="H186" s="35"/>
      <c r="I186" s="8"/>
      <c r="J186" s="8"/>
      <c r="M186" s="8"/>
      <c r="N186" s="9" t="str">
        <f>"lower of ("&amp;E8&amp;" minus ("&amp;M149&amp;" + "&amp;M176&amp;")) and "&amp;E199</f>
        <v>lower of (c5.1 minus (c5.49 + c5.50)) and c5.37</v>
      </c>
      <c r="O186" s="26"/>
      <c r="T186" s="8"/>
      <c r="U186" s="8"/>
      <c r="V186" s="8"/>
      <c r="W186" s="8"/>
      <c r="X186" s="8"/>
      <c r="Y186" s="9"/>
      <c r="Z186" s="22" t="s">
        <v>75</v>
      </c>
      <c r="AA186" s="8"/>
    </row>
    <row r="187" spans="1:56" s="12" customFormat="1" x14ac:dyDescent="0.25">
      <c r="A187" s="8" t="s">
        <v>7791</v>
      </c>
      <c r="C187" s="8"/>
      <c r="D187" s="8"/>
      <c r="E187" s="8"/>
      <c r="F187" s="8"/>
      <c r="G187" s="860"/>
      <c r="H187" s="35"/>
      <c r="I187" s="8"/>
      <c r="J187" s="8"/>
      <c r="K187" s="8"/>
      <c r="M187" s="2180" t="str">
        <f>A88</f>
        <v>c5.50a</v>
      </c>
      <c r="N187" s="2149">
        <f>MAX(0,MIN((F8-(N149+N176)),F199))</f>
        <v>0</v>
      </c>
      <c r="O187" s="8"/>
      <c r="T187" s="8"/>
      <c r="U187" s="8"/>
      <c r="V187" s="8"/>
      <c r="W187" s="8"/>
      <c r="X187" s="9" t="s">
        <v>7788</v>
      </c>
      <c r="Y187" s="2180" t="str">
        <f>A254</f>
        <v>c5.58a.48</v>
      </c>
      <c r="Z187" s="2182">
        <f>IF(R330&gt;0,TRUNC((R300*BR_rate)+(R308*HR_rate),2),TRUNC((R270*BR_rate)+(R278*HR_rate),2))</f>
        <v>0</v>
      </c>
      <c r="AA187" s="861" t="s">
        <v>7647</v>
      </c>
      <c r="AK187" s="8"/>
      <c r="AL187" s="8"/>
      <c r="AM187" s="8"/>
      <c r="AN187" s="8"/>
      <c r="AO187" s="8"/>
      <c r="AP187" s="8"/>
      <c r="AQ187" s="8"/>
      <c r="AR187" s="8"/>
      <c r="AS187" s="8"/>
      <c r="AT187" s="138" t="s">
        <v>7792</v>
      </c>
      <c r="AU187" s="8"/>
      <c r="AV187" s="8"/>
      <c r="AW187" s="8"/>
      <c r="AX187" s="8"/>
      <c r="AY187" s="8"/>
      <c r="AZ187" s="8"/>
      <c r="BA187" s="8"/>
      <c r="BB187" s="8"/>
      <c r="BC187" s="8"/>
      <c r="BD187" s="8"/>
    </row>
    <row r="188" spans="1:56" s="12" customFormat="1" x14ac:dyDescent="0.25">
      <c r="A188" s="8" t="s">
        <v>7793</v>
      </c>
      <c r="C188" s="8"/>
      <c r="D188" s="8"/>
      <c r="E188" s="8"/>
      <c r="F188" s="8"/>
      <c r="G188" s="814"/>
      <c r="H188" s="35"/>
      <c r="I188" s="8"/>
      <c r="J188" s="9" t="s">
        <v>4816</v>
      </c>
      <c r="K188" s="8"/>
      <c r="M188" s="8"/>
      <c r="N188" s="9"/>
      <c r="O188" s="8"/>
      <c r="T188" s="8"/>
      <c r="U188" s="8"/>
      <c r="V188" s="8"/>
      <c r="W188" s="8"/>
      <c r="X188" s="8"/>
      <c r="Y188" s="9"/>
      <c r="Z188" s="9" t="str">
        <f>"if "&amp;U271&amp;" larger than 0 (zero)"</f>
        <v>if c5.56p larger than 0 (zero)</v>
      </c>
      <c r="AA188" s="8"/>
      <c r="AK188" s="8"/>
      <c r="AL188" s="8"/>
      <c r="AM188" s="8"/>
      <c r="AN188" s="8"/>
      <c r="AO188" s="8"/>
      <c r="AP188" s="8"/>
      <c r="AQ188" s="8"/>
      <c r="AR188" s="8"/>
      <c r="AS188" s="8"/>
      <c r="AT188" s="8"/>
      <c r="AU188" s="8"/>
      <c r="AV188" s="8"/>
      <c r="AW188" s="8"/>
      <c r="AX188" s="8"/>
      <c r="AY188" s="8"/>
      <c r="AZ188" s="8"/>
      <c r="BA188" s="8"/>
      <c r="BB188" s="8"/>
      <c r="BC188" s="8"/>
      <c r="BD188" s="8"/>
    </row>
    <row r="189" spans="1:56" s="12" customFormat="1" x14ac:dyDescent="0.25">
      <c r="A189" s="8" t="s">
        <v>7794</v>
      </c>
      <c r="C189" s="8"/>
      <c r="D189" s="8"/>
      <c r="E189" s="8"/>
      <c r="F189" s="8"/>
      <c r="G189" s="860"/>
      <c r="H189" s="35"/>
      <c r="I189" s="2180" t="str">
        <f>A68</f>
        <v>c5.45c</v>
      </c>
      <c r="J189" s="2149">
        <v>0</v>
      </c>
      <c r="K189" s="8"/>
      <c r="M189" s="8"/>
      <c r="N189" s="9" t="str">
        <f>"("&amp;E149&amp;" + "&amp;E199&amp;") minus (BR_band ("&amp;DOLLAR(BR_band,0)&amp;") + "&amp;'Deductions (c4)'!H383&amp;" + "&amp;M149&amp;")"</f>
        <v>(c5.35 + c5.37) minus (BR_band (£37,700) + c4.59 + c5.49)</v>
      </c>
      <c r="O189" s="8"/>
      <c r="X189" s="8"/>
      <c r="Y189" s="9"/>
      <c r="Z189" s="9" t="str">
        <f>Y193&amp;" = ("&amp;U243&amp;" × BR_rate ("&amp;BR_rate*100&amp;"%)) + ("&amp;U251&amp;" × HR_rate ("&amp;HR_rate*100&amp;"%))"</f>
        <v>c5.58a.49 = (c5.56h × BR_rate (20%)) + (c5.56l × HR_rate (40%))</v>
      </c>
      <c r="AA189" s="874"/>
      <c r="AK189" s="8"/>
      <c r="AL189" s="8"/>
      <c r="AM189" s="8"/>
      <c r="AN189" s="8"/>
      <c r="AO189" s="8"/>
      <c r="AP189" s="8"/>
      <c r="AQ189" s="8"/>
      <c r="AR189" s="8"/>
      <c r="AS189" s="8"/>
      <c r="AT189" s="8"/>
      <c r="AU189" s="8"/>
      <c r="AV189" s="8"/>
      <c r="AW189" s="8"/>
      <c r="AX189" s="8"/>
      <c r="AY189" s="8"/>
      <c r="AZ189" s="8"/>
      <c r="BA189" s="8"/>
      <c r="BB189" s="8"/>
      <c r="BC189" s="8"/>
      <c r="BD189" s="8"/>
    </row>
    <row r="190" spans="1:56" s="12" customFormat="1" x14ac:dyDescent="0.25">
      <c r="A190" s="8" t="s">
        <v>7795</v>
      </c>
      <c r="C190" s="8"/>
      <c r="D190" s="8"/>
      <c r="E190" s="8"/>
      <c r="F190" s="8"/>
      <c r="G190" s="860"/>
      <c r="H190" s="35"/>
      <c r="I190" s="8"/>
      <c r="J190" s="8"/>
      <c r="K190" s="8"/>
      <c r="M190" s="2180" t="str">
        <f>A89</f>
        <v>c5.50b</v>
      </c>
      <c r="N190" s="2149">
        <f>MAX(0,((F149+F199)-(BR_band+'Deductions (c4)'!I383+N149)))</f>
        <v>0</v>
      </c>
      <c r="O190" s="9"/>
      <c r="T190" s="8"/>
      <c r="U190" s="8"/>
      <c r="V190" s="8"/>
      <c r="W190" s="8"/>
      <c r="X190" s="8"/>
      <c r="Y190" s="9"/>
      <c r="Z190" s="22" t="s">
        <v>7143</v>
      </c>
      <c r="AA190" s="8"/>
      <c r="AK190" s="8"/>
      <c r="AL190" s="8"/>
      <c r="AM190" s="8"/>
      <c r="AN190" s="8"/>
      <c r="AO190" s="8"/>
      <c r="AP190" s="8"/>
      <c r="AQ190" s="8"/>
      <c r="AR190" s="8"/>
      <c r="AS190" s="8"/>
      <c r="AT190" s="8"/>
      <c r="AU190" s="8"/>
      <c r="AV190" s="8"/>
      <c r="AW190" s="8"/>
      <c r="AX190" s="8"/>
      <c r="AY190" s="8"/>
      <c r="AZ190" s="8"/>
      <c r="BA190" s="8"/>
      <c r="BB190" s="8"/>
      <c r="BC190" s="8"/>
      <c r="BD190" s="8"/>
    </row>
    <row r="191" spans="1:56" s="12" customFormat="1" x14ac:dyDescent="0.25">
      <c r="A191" s="8" t="s">
        <v>7796</v>
      </c>
      <c r="H191" s="35"/>
      <c r="I191" s="8"/>
      <c r="J191" s="8"/>
      <c r="K191" s="8"/>
      <c r="L191" s="8"/>
      <c r="M191" s="146"/>
      <c r="N191" s="9"/>
      <c r="O191" s="9"/>
      <c r="T191" s="8"/>
      <c r="U191" s="8"/>
      <c r="V191" s="8"/>
      <c r="W191" s="8"/>
      <c r="Y191" s="9"/>
      <c r="Z191" s="9" t="str">
        <f>Y193&amp;" = "&amp;Y187</f>
        <v>c5.58a.49 = c5.58a.48</v>
      </c>
      <c r="AA191" s="874"/>
      <c r="AK191" s="8"/>
      <c r="AL191" s="8"/>
      <c r="AM191" s="8"/>
      <c r="AN191" s="8"/>
      <c r="AO191" s="8"/>
      <c r="AP191" s="8"/>
      <c r="AQ191" s="8"/>
      <c r="AR191" s="8"/>
      <c r="AS191" s="8"/>
      <c r="AT191" s="8"/>
      <c r="AU191" s="8"/>
      <c r="AV191" s="8"/>
      <c r="AW191" s="8"/>
      <c r="AX191" s="8"/>
      <c r="AY191" s="8"/>
      <c r="AZ191" s="8"/>
      <c r="BA191" s="8"/>
      <c r="BB191" s="8"/>
      <c r="BC191" s="8"/>
      <c r="BD191" s="8"/>
    </row>
    <row r="192" spans="1:56" s="12" customFormat="1" x14ac:dyDescent="0.25">
      <c r="A192" s="8" t="s">
        <v>7797</v>
      </c>
      <c r="H192" s="35"/>
      <c r="I192" s="8"/>
      <c r="J192" s="8"/>
      <c r="L192" s="8"/>
      <c r="M192" s="8"/>
      <c r="N192" s="9" t="str">
        <f>"lower of "&amp;M187&amp;" and "&amp;M190</f>
        <v>lower of c5.50a and c5.50b</v>
      </c>
      <c r="O192" s="26"/>
      <c r="P192" s="9"/>
      <c r="Q192" s="8"/>
      <c r="R192" s="9" t="s">
        <v>4816</v>
      </c>
      <c r="S192" s="8"/>
      <c r="T192" s="8"/>
      <c r="U192" s="8"/>
      <c r="V192" s="8"/>
      <c r="W192" s="8"/>
      <c r="X192" s="8"/>
      <c r="Y192" s="9"/>
      <c r="Z192" s="22" t="s">
        <v>75</v>
      </c>
      <c r="AA192" s="8"/>
      <c r="AK192" s="8"/>
      <c r="AL192" s="9" t="str">
        <f>Q330&amp;" minus ("&amp;AG149&amp;" + "&amp;AK149&amp;")"</f>
        <v>c5.56 minus (c5.58.7 + c5.62)</v>
      </c>
      <c r="AM192" s="8"/>
      <c r="AN192" s="8"/>
      <c r="AO192" s="8"/>
      <c r="AP192" s="8"/>
      <c r="AQ192" s="8"/>
      <c r="AR192" s="8"/>
      <c r="AS192" s="8"/>
      <c r="AT192" s="8"/>
      <c r="AU192" s="8"/>
      <c r="AV192" s="8"/>
      <c r="AW192" s="8"/>
      <c r="AX192" s="8"/>
      <c r="AY192" s="8"/>
      <c r="AZ192" s="8"/>
      <c r="BA192" s="8"/>
      <c r="BB192" s="8"/>
      <c r="BC192" s="8"/>
      <c r="BD192" s="8"/>
    </row>
    <row r="193" spans="1:56" s="12" customFormat="1" x14ac:dyDescent="0.25">
      <c r="A193" s="8" t="s">
        <v>7799</v>
      </c>
      <c r="C193" s="139"/>
      <c r="E193" s="869"/>
      <c r="F193" s="864"/>
      <c r="G193" s="814"/>
      <c r="H193" s="35"/>
      <c r="I193" s="8"/>
      <c r="J193" s="8"/>
      <c r="L193" s="8"/>
      <c r="M193" s="2180" t="str">
        <f>A90</f>
        <v>c5.50c</v>
      </c>
      <c r="N193" s="2149">
        <f>MIN(N187,N190)</f>
        <v>0</v>
      </c>
      <c r="O193" s="26"/>
      <c r="P193" s="9"/>
      <c r="Q193" s="2180" t="str">
        <f>A112</f>
        <v>c5.52i</v>
      </c>
      <c r="R193" s="2149">
        <v>0</v>
      </c>
      <c r="X193" s="9" t="s">
        <v>7788</v>
      </c>
      <c r="Y193" s="2180" t="str">
        <f>A255</f>
        <v>c5.58a.49</v>
      </c>
      <c r="Z193" s="2182">
        <f>IF(V271&gt;0,TRUNC((V243*BR_rate)+(V251*HR_rate),2),Z187)</f>
        <v>0</v>
      </c>
      <c r="AA193" s="861" t="s">
        <v>7647</v>
      </c>
      <c r="AB193" s="9"/>
      <c r="AC193" s="869"/>
      <c r="AD193" s="864"/>
      <c r="AI193" s="864"/>
      <c r="AJ193" s="135" t="s">
        <v>7800</v>
      </c>
      <c r="AK193" s="2181" t="str">
        <f>A328</f>
        <v>c5.63a</v>
      </c>
      <c r="AL193" s="2169">
        <f>MAX(0,R330-(AH149+AL149))</f>
        <v>0</v>
      </c>
      <c r="AM193" s="8"/>
      <c r="AN193" s="8"/>
      <c r="AO193" s="8"/>
      <c r="AP193" s="8"/>
      <c r="AQ193" s="8"/>
      <c r="AR193" s="8"/>
      <c r="AS193" s="8"/>
      <c r="AT193" s="8"/>
      <c r="AU193" s="8"/>
      <c r="AV193" s="8"/>
      <c r="AW193" s="8"/>
      <c r="AX193" s="8"/>
      <c r="AY193" s="8"/>
      <c r="AZ193" s="8"/>
      <c r="BA193" s="8"/>
      <c r="BB193" s="8"/>
      <c r="BC193" s="8"/>
      <c r="BD193" s="8"/>
    </row>
    <row r="194" spans="1:56" s="12" customFormat="1" x14ac:dyDescent="0.25">
      <c r="A194" s="8" t="s">
        <v>7801</v>
      </c>
      <c r="C194" s="139"/>
      <c r="E194" s="869"/>
      <c r="F194" s="864"/>
      <c r="G194" s="814"/>
      <c r="H194" s="35"/>
      <c r="I194" s="8"/>
      <c r="J194" s="9"/>
      <c r="L194" s="8"/>
      <c r="M194" s="8"/>
      <c r="N194" s="22"/>
      <c r="O194" s="26"/>
      <c r="P194" s="9"/>
      <c r="Q194" s="8"/>
      <c r="R194" s="9" t="s">
        <v>4816</v>
      </c>
      <c r="X194" s="8"/>
      <c r="Y194" s="9"/>
      <c r="Z194" s="9" t="str">
        <f>"("&amp;Y82&amp;" × DivBR_rate ("&amp;DivBR_rate*100&amp;"%)) + ("&amp;Y86&amp;" × DivHR_rate ("&amp;DivHR_rate*100&amp;"%))"</f>
        <v>(c5.58a.7 × DivBR_rate (8.75%)) + (c5.58a.9 × DivHR_rate (33.75%))</v>
      </c>
      <c r="AA194" s="8"/>
      <c r="AB194" s="9"/>
      <c r="AC194" s="869"/>
      <c r="AD194" s="864"/>
      <c r="AI194" s="864"/>
      <c r="AK194" s="8"/>
      <c r="AL194" s="8"/>
      <c r="AT194" s="8"/>
      <c r="AU194" s="8"/>
      <c r="AV194" s="8"/>
      <c r="AW194" s="8"/>
      <c r="AX194" s="8"/>
      <c r="AY194" s="8"/>
      <c r="AZ194" s="8"/>
      <c r="BA194" s="8"/>
      <c r="BB194" s="8"/>
      <c r="BC194" s="8"/>
      <c r="BD194" s="8"/>
    </row>
    <row r="195" spans="1:56" s="12" customFormat="1" x14ac:dyDescent="0.25">
      <c r="A195" s="8" t="s">
        <v>7803</v>
      </c>
      <c r="C195" s="8"/>
      <c r="E195" s="147"/>
      <c r="F195" s="864"/>
      <c r="G195" s="860"/>
      <c r="H195" s="35"/>
      <c r="I195" s="8"/>
      <c r="J195" s="9"/>
      <c r="L195" s="8"/>
      <c r="M195" s="8"/>
      <c r="N195" s="9" t="s">
        <v>4816</v>
      </c>
      <c r="O195" s="26"/>
      <c r="P195" s="9"/>
      <c r="Q195" s="2180" t="str">
        <f>A113</f>
        <v>c5.52j</v>
      </c>
      <c r="R195" s="2149">
        <v>0</v>
      </c>
      <c r="X195" s="9" t="s">
        <v>7798</v>
      </c>
      <c r="Y195" s="2180" t="str">
        <f>A256</f>
        <v>c5.58a.50</v>
      </c>
      <c r="Z195" s="2182">
        <f>TRUNC((Z82*DivBR_rate)+(Z86*DivHR_rate),2)</f>
        <v>0</v>
      </c>
      <c r="AA195" s="861" t="s">
        <v>7647</v>
      </c>
      <c r="AB195" s="9"/>
      <c r="AC195" s="869"/>
      <c r="AD195" s="864"/>
      <c r="AG195" s="8"/>
      <c r="AH195" s="8"/>
      <c r="AI195" s="864"/>
      <c r="AK195" s="8"/>
      <c r="AL195" s="8"/>
      <c r="AM195" s="8"/>
      <c r="AN195" s="8"/>
      <c r="AO195" s="8"/>
      <c r="AP195" s="8"/>
      <c r="AQ195" s="8"/>
      <c r="AR195" s="8"/>
      <c r="AS195" s="8"/>
      <c r="AT195" s="8"/>
      <c r="AU195" s="8"/>
      <c r="AV195" s="8"/>
      <c r="AW195" s="8"/>
      <c r="AX195" s="8"/>
      <c r="AY195" s="8"/>
      <c r="AZ195" s="8"/>
      <c r="BA195" s="8"/>
      <c r="BB195" s="8"/>
      <c r="BC195" s="8"/>
      <c r="BD195" s="8"/>
    </row>
    <row r="196" spans="1:56" s="12" customFormat="1" x14ac:dyDescent="0.25">
      <c r="A196" s="8" t="s">
        <v>7804</v>
      </c>
      <c r="C196" s="8"/>
      <c r="E196" s="147"/>
      <c r="F196" s="864"/>
      <c r="G196" s="860"/>
      <c r="H196" s="35"/>
      <c r="I196" s="8"/>
      <c r="J196" s="8"/>
      <c r="K196" s="8"/>
      <c r="M196" s="2180" t="str">
        <f>A91</f>
        <v>c5.50d</v>
      </c>
      <c r="N196" s="2149">
        <v>0</v>
      </c>
      <c r="O196" s="26"/>
      <c r="P196" s="8"/>
      <c r="Q196" s="8"/>
      <c r="R196" s="9" t="str">
        <f>"lower of "&amp;M199&amp;" and ("&amp;E8&amp;" minus ("&amp;M176&amp;" + "&amp;Q79&amp;" + "&amp;Q86&amp;" + "&amp;Q149&amp;"))"</f>
        <v>lower of c5.51 and (c5.1 minus (c5.50 + c5.52c + c5.52d + c5.52h))</v>
      </c>
      <c r="Y196" s="9"/>
      <c r="Z196" s="9" t="str">
        <f>Y99&amp;" + "&amp;Y181&amp;" + "&amp;Y193&amp;" + "&amp;Y195</f>
        <v>c5.58a.14 + c5.58a.47 + c5.58a.49 + c5.58a.50</v>
      </c>
      <c r="AA196" s="8"/>
      <c r="AB196" s="9"/>
      <c r="AC196" s="869"/>
      <c r="AD196" s="864"/>
      <c r="AG196" s="8"/>
      <c r="AH196" s="8"/>
      <c r="AI196" s="864"/>
      <c r="AK196" s="8"/>
      <c r="AL196" s="9" t="str">
        <f>"lower of ("&amp;E8&amp;" minus ("&amp;I205&amp;" + "&amp;I280&amp;" +"</f>
        <v>lower of (c5.1 minus (c5.47 + c5.48 +</v>
      </c>
      <c r="AM196" s="8"/>
      <c r="AN196" s="8"/>
      <c r="AO196" s="8"/>
      <c r="AP196" s="8"/>
      <c r="AQ196" s="8"/>
      <c r="AR196" s="8"/>
      <c r="AS196" s="8"/>
      <c r="AT196" s="9" t="str">
        <f xml:space="preserve"> "lower of ("&amp;E8&amp;" minus"</f>
        <v>lower of (c5.1 minus</v>
      </c>
      <c r="AU196" s="8"/>
      <c r="AV196" s="8"/>
      <c r="AW196" s="8"/>
      <c r="AX196" s="8"/>
      <c r="AY196" s="8"/>
      <c r="AZ196" s="8"/>
      <c r="BA196" s="8"/>
      <c r="BB196" s="8"/>
      <c r="BC196" s="8"/>
      <c r="BD196" s="8"/>
    </row>
    <row r="197" spans="1:56" x14ac:dyDescent="0.25">
      <c r="A197" s="8" t="s">
        <v>7806</v>
      </c>
      <c r="B197" s="12"/>
      <c r="G197" s="860"/>
      <c r="H197" s="35"/>
      <c r="J197" s="9"/>
      <c r="N197" s="9"/>
      <c r="O197" s="26"/>
      <c r="Q197" s="2180" t="str">
        <f>A114</f>
        <v>c5.52k</v>
      </c>
      <c r="R197" s="2149">
        <f>MAX(0,MIN(N199,(F8-(N176+R79+R86+R149))))</f>
        <v>0</v>
      </c>
      <c r="S197" s="12"/>
      <c r="X197" s="135" t="s">
        <v>7802</v>
      </c>
      <c r="Y197" s="2180" t="str">
        <f>A257</f>
        <v>c5.58a.51</v>
      </c>
      <c r="Z197" s="2182">
        <f>Z99+Z181+Z193+Z195</f>
        <v>0</v>
      </c>
      <c r="AB197" s="9"/>
      <c r="AC197" s="869"/>
      <c r="AD197" s="864"/>
      <c r="AE197" s="12"/>
      <c r="AF197" s="12"/>
      <c r="AI197" s="12"/>
      <c r="AJ197" s="12"/>
      <c r="AL197" s="9" t="str">
        <f>AC269&amp;" + "&amp;AC280&amp;" + "&amp;AG149&amp;" + "&amp;AG176&amp;" + "&amp;AK149&amp;" + "&amp;AK176&amp;" + "&amp;AK193&amp;")) and"</f>
        <v>c5.58i + c5.58k + c5.58.7 + c5.58.9 + c5.62 + c5.63 + c5.63a)) and</v>
      </c>
      <c r="AT197" s="9" t="str">
        <f>"("&amp;I205&amp;" + "&amp;I280&amp;" + "&amp;U280&amp;" + "&amp;AC269&amp;" + "&amp;AC280&amp;" + "&amp;AK269&amp;" + "&amp;AK280&amp;" + "&amp;AO149&amp;" + "&amp;AO176&amp;"))"</f>
        <v>(c5.47 + c5.48 + c5.58 + c5.58i + c5.58k + c5.65 + c5.66 + c5.66.7 + c5.66.9))</v>
      </c>
    </row>
    <row r="198" spans="1:56" ht="12" thickBot="1" x14ac:dyDescent="0.3">
      <c r="A198" s="8" t="s">
        <v>7807</v>
      </c>
      <c r="B198" s="12"/>
      <c r="C198" s="139"/>
      <c r="F198" s="9" t="s">
        <v>7808</v>
      </c>
      <c r="G198" s="860"/>
      <c r="H198" s="35"/>
      <c r="J198" s="9" t="s">
        <v>4816</v>
      </c>
      <c r="N198" s="9" t="str">
        <f>"lower of "&amp;I140&amp;" and "&amp;M193</f>
        <v>lower of c5.43e and c5.50c</v>
      </c>
      <c r="Q198" s="221"/>
      <c r="R198" s="9" t="str">
        <f>"lower of "&amp;Q197&amp;" and ("&amp;E199&amp;" minus "&amp;I199&amp;")"</f>
        <v>lower of c5.52k and (c5.37 minus c5.46)</v>
      </c>
      <c r="S198" s="12"/>
      <c r="X198" s="12"/>
      <c r="Y198" s="9"/>
      <c r="Z198" s="9" t="str">
        <f>Y197&amp;" minus "&amp;Y175</f>
        <v>c5.58a.51 minus c5.58a.46</v>
      </c>
      <c r="AL198" s="9" t="str">
        <f>"("&amp;U36&amp;" + ("&amp;AK36&amp;" minus "&amp;Q199&amp;") + ("&amp;AS36&amp;" minus "&amp;I199&amp;"))"</f>
        <v>(c5.16 + (c5.20 minus c5.52l) + (c5.21 minus c5.46))</v>
      </c>
      <c r="AT198" s="9" t="str">
        <f>"and ("&amp;E36&amp;" minus ("&amp;I199&amp;" + "&amp;Q199&amp;" + "&amp;AK199&amp;"))"</f>
        <v>and (c5.11 minus (c5.46 + c5.52l + c5.64))</v>
      </c>
      <c r="AX198" s="9" t="str">
        <f>"("&amp;I199&amp;" + "&amp;Q199&amp;" + "&amp;AK199&amp;" + "&amp;AS199&amp;" + "&amp;AW139&amp;" + "&amp;AW100&amp;") minus "&amp;AW146</f>
        <v>(c5.46 + c5.52l + c5.64 + c5.68a + c5.66t + c5.66q) minus c5.66u</v>
      </c>
      <c r="BB198" s="38" t="str">
        <f>E199&amp;" minus "&amp;AW199</f>
        <v>c5.37 minus c5.69</v>
      </c>
      <c r="BD198" s="458" t="s">
        <v>7809</v>
      </c>
    </row>
    <row r="199" spans="1:56" ht="12.5" thickTop="1" thickBot="1" x14ac:dyDescent="0.3">
      <c r="A199" s="8" t="s">
        <v>7810</v>
      </c>
      <c r="B199" s="12"/>
      <c r="C199" s="469" t="s">
        <v>7529</v>
      </c>
      <c r="D199" s="12"/>
      <c r="E199" s="878" t="s">
        <v>7549</v>
      </c>
      <c r="F199" s="879">
        <f>F36</f>
        <v>0</v>
      </c>
      <c r="G199" s="860"/>
      <c r="H199" s="856"/>
      <c r="I199" s="878" t="str">
        <f>A69</f>
        <v>c5.46</v>
      </c>
      <c r="J199" s="879">
        <v>0</v>
      </c>
      <c r="M199" s="2180" t="str">
        <f>A92</f>
        <v>c5.51</v>
      </c>
      <c r="N199" s="2149">
        <f>MIN(J140,N193)</f>
        <v>0</v>
      </c>
      <c r="P199" s="9"/>
      <c r="Q199" s="878" t="str">
        <f>A115</f>
        <v>c5.52l</v>
      </c>
      <c r="R199" s="879">
        <f>MAX(0,MIN(R197,F199-J199))</f>
        <v>0</v>
      </c>
      <c r="S199" s="12"/>
      <c r="X199" s="135" t="s">
        <v>7805</v>
      </c>
      <c r="Y199" s="2180" t="str">
        <f>A258</f>
        <v>c5.58a.52</v>
      </c>
      <c r="Z199" s="2182">
        <f>MAX(0,Z197-Z175)</f>
        <v>0</v>
      </c>
      <c r="AK199" s="878" t="str">
        <f>A329</f>
        <v>c5.64</v>
      </c>
      <c r="AL199" s="879">
        <f>MAX(0,MIN(F8-(J205+J280+AD269+AD280+AH149+AH176+AL149+AL176+AL193),(V36+(AL36-R199)+(AT36-J199))))</f>
        <v>0</v>
      </c>
      <c r="AM199" s="26"/>
      <c r="AR199" s="12"/>
      <c r="AS199" s="878" t="str">
        <f>A401</f>
        <v>c5.68a</v>
      </c>
      <c r="AT199" s="879">
        <f>MIN(MAX(0,F8-(J205+J280+V280+AD269+AD280+AL269+AL280+AP149+AP176)),MAX(0,F36-(J199+R199+AL199)))</f>
        <v>0</v>
      </c>
      <c r="AW199" s="878" t="str">
        <f>A402</f>
        <v>c5.69</v>
      </c>
      <c r="AX199" s="879">
        <f>MAX(0,((J199+R199+AL199+AT199+AX139+AX100)-AX146))</f>
        <v>0</v>
      </c>
      <c r="AY199" s="148"/>
      <c r="AZ199" s="148"/>
      <c r="BA199" s="878" t="str">
        <f>A411</f>
        <v>c5.78</v>
      </c>
      <c r="BB199" s="879">
        <f>MAX(0,F199-AX199)</f>
        <v>0</v>
      </c>
      <c r="BC199" s="12"/>
      <c r="BD199" s="458" t="s">
        <v>6983</v>
      </c>
    </row>
    <row r="200" spans="1:56" ht="12" thickTop="1" x14ac:dyDescent="0.25">
      <c r="A200" s="8" t="s">
        <v>7811</v>
      </c>
      <c r="G200" s="860"/>
      <c r="M200" s="146"/>
      <c r="N200" s="26"/>
      <c r="P200" s="9"/>
      <c r="Q200" s="221"/>
      <c r="R200" s="9" t="s">
        <v>7043</v>
      </c>
      <c r="S200" s="12"/>
      <c r="AL200" s="26"/>
      <c r="AM200" s="26"/>
      <c r="AX200" s="26"/>
      <c r="BB200" s="38" t="str">
        <f>"copy to "&amp;'tax it (c6)'!L14</f>
        <v>copy to c6.11</v>
      </c>
    </row>
    <row r="201" spans="1:56" x14ac:dyDescent="0.25">
      <c r="A201" s="8" t="s">
        <v>7812</v>
      </c>
      <c r="G201" s="860"/>
      <c r="K201" s="496"/>
      <c r="M201" s="146"/>
      <c r="N201" s="26"/>
      <c r="Q201" s="2180" t="str">
        <f>A116</f>
        <v>c5.52m</v>
      </c>
      <c r="R201" s="2149">
        <v>0</v>
      </c>
      <c r="S201" s="12"/>
      <c r="Y201" s="12"/>
      <c r="Z201" s="9" t="str">
        <f>"If "&amp;Y199&amp;" larger than or equal to "&amp;Y114</f>
        <v>If c5.58a.52 larger than or equal to c5.58a.20</v>
      </c>
      <c r="BB201" s="9"/>
    </row>
    <row r="202" spans="1:56" s="12" customFormat="1" x14ac:dyDescent="0.25">
      <c r="A202" s="8" t="s">
        <v>7813</v>
      </c>
      <c r="B202" s="8"/>
      <c r="C202" s="8"/>
      <c r="D202" s="8"/>
      <c r="E202" s="8"/>
      <c r="F202" s="8"/>
      <c r="G202" s="860"/>
      <c r="K202" s="8"/>
      <c r="L202" s="8"/>
      <c r="M202" s="8"/>
      <c r="N202" s="8"/>
      <c r="P202" s="8"/>
      <c r="Q202" s="221"/>
      <c r="R202" s="9" t="str">
        <f>E149&amp;" minus ("&amp;I149&amp;" + "&amp;Q149&amp;")"</f>
        <v>c5.35 minus (c5.44 + c5.52h)</v>
      </c>
      <c r="X202" s="8"/>
      <c r="Z202" s="9" t="str">
        <f>Y206&amp;" = "&amp;Y70</f>
        <v>c5.58a.53 = c5.58a.1</v>
      </c>
      <c r="AA202" s="8"/>
    </row>
    <row r="203" spans="1:56" x14ac:dyDescent="0.25">
      <c r="A203" s="8" t="s">
        <v>7814</v>
      </c>
      <c r="G203" s="860"/>
      <c r="L203" s="12"/>
      <c r="Q203" s="2180" t="str">
        <f>A117</f>
        <v>c5.52n</v>
      </c>
      <c r="R203" s="2149">
        <f>MAX(0,F149-(J149+R149))</f>
        <v>0</v>
      </c>
      <c r="S203" s="12"/>
      <c r="Y203" s="12"/>
      <c r="Z203" s="22" t="s">
        <v>7143</v>
      </c>
    </row>
    <row r="204" spans="1:56" x14ac:dyDescent="0.25">
      <c r="A204" s="8" t="s">
        <v>7816</v>
      </c>
      <c r="G204" s="860"/>
      <c r="J204" s="9" t="s">
        <v>4816</v>
      </c>
      <c r="N204" s="9" t="str">
        <f>M149&amp;" + "&amp;M176&amp;" + "&amp;M199</f>
        <v>c5.49 + c5.50 + c5.51</v>
      </c>
      <c r="Q204" s="146"/>
      <c r="R204" s="9" t="str">
        <f>Q203&amp;" minus SR_band ("&amp;DOLLAR(SR_band,0)&amp;")"</f>
        <v>c5.52n minus SR_band (£5,000)</v>
      </c>
      <c r="S204" s="12"/>
      <c r="Y204" s="12"/>
      <c r="Z204" s="9" t="str">
        <f>Y206&amp;" = 0 (zero)"</f>
        <v>c5.58a.53 = 0 (zero)</v>
      </c>
    </row>
    <row r="205" spans="1:56" ht="12.5" x14ac:dyDescent="0.25">
      <c r="A205" s="8" t="s">
        <v>7817</v>
      </c>
      <c r="B205" s="12"/>
      <c r="G205" s="860"/>
      <c r="I205" s="2180" t="s">
        <v>7577</v>
      </c>
      <c r="J205" s="2149">
        <v>0</v>
      </c>
      <c r="M205" s="2180" t="str">
        <f>A93</f>
        <v>c5.52</v>
      </c>
      <c r="N205" s="2149">
        <f>N149+N176+N199</f>
        <v>0</v>
      </c>
      <c r="P205" s="880"/>
      <c r="Q205" s="2180" t="str">
        <f>A118</f>
        <v>c5.52o</v>
      </c>
      <c r="R205" s="2149">
        <f>MAX(0,R203-SR_band)</f>
        <v>0</v>
      </c>
      <c r="S205" s="862"/>
      <c r="Z205" s="22" t="s">
        <v>75</v>
      </c>
    </row>
    <row r="206" spans="1:56" ht="13" x14ac:dyDescent="0.3">
      <c r="A206" s="8" t="s">
        <v>7818</v>
      </c>
      <c r="B206" s="12"/>
      <c r="G206" s="860"/>
      <c r="P206" s="9"/>
      <c r="R206" s="9" t="s">
        <v>4816</v>
      </c>
      <c r="S206" s="26"/>
      <c r="X206" s="866" t="s">
        <v>7815</v>
      </c>
      <c r="Y206" s="2180" t="str">
        <f>A259</f>
        <v>c5.58a.53</v>
      </c>
      <c r="Z206" s="2149">
        <f>IF(Z199&gt;=Z114,Z70,0)</f>
        <v>0</v>
      </c>
    </row>
    <row r="207" spans="1:56" ht="12.5" x14ac:dyDescent="0.25">
      <c r="A207" s="8" t="s">
        <v>7819</v>
      </c>
      <c r="B207" s="12"/>
      <c r="G207" s="860"/>
      <c r="P207" s="880"/>
      <c r="Q207" s="2180" t="str">
        <f>A119</f>
        <v>c5.52p</v>
      </c>
      <c r="R207" s="2149">
        <v>0</v>
      </c>
      <c r="S207" s="862"/>
    </row>
    <row r="208" spans="1:56" x14ac:dyDescent="0.25">
      <c r="A208" s="8" t="s">
        <v>7820</v>
      </c>
      <c r="B208" s="12"/>
      <c r="G208" s="860"/>
      <c r="O208" s="26"/>
      <c r="P208" s="9"/>
      <c r="R208" s="9" t="str">
        <f>Q77&amp;" minus "&amp;Q207</f>
        <v>c5.52b minus c5.52p</v>
      </c>
      <c r="Z208" s="9" t="str">
        <f>"("&amp;E49&amp;" + "&amp;E149&amp;" + "&amp;E199&amp;") minus ("&amp;AK8&amp;" + "&amp;Q149&amp;" + "&amp;Q199&amp;" + "&amp;Q330&amp;" + "&amp;U271&amp;" + "&amp;U280&amp;")"</f>
        <v>(c5.22 + c5.35 + c5.37) minus (c5.2a + c5.52h + c5.52l + c5.56 + c5.56p + c5.58)</v>
      </c>
      <c r="AE208" s="12"/>
      <c r="AF208" s="12"/>
      <c r="AJ208" s="12"/>
    </row>
    <row r="209" spans="1:39" x14ac:dyDescent="0.25">
      <c r="A209" s="8" t="s">
        <v>7821</v>
      </c>
      <c r="B209" s="12"/>
      <c r="G209" s="860"/>
      <c r="O209" s="26"/>
      <c r="Q209" s="2180" t="str">
        <f>A120</f>
        <v>c5.52q</v>
      </c>
      <c r="R209" s="2149">
        <f>MAX(0,R77-R207)</f>
        <v>0</v>
      </c>
      <c r="Y209" s="2180" t="str">
        <f>A260</f>
        <v>c5.58a.53a</v>
      </c>
      <c r="Z209" s="2149">
        <f>MAX(0,(F49+F149+F199)-(AL8+R149+R199+R330+V271+V280))</f>
        <v>0</v>
      </c>
      <c r="AE209" s="12"/>
      <c r="AF209" s="12"/>
      <c r="AJ209" s="12"/>
    </row>
    <row r="210" spans="1:39" x14ac:dyDescent="0.25">
      <c r="A210" s="8" t="s">
        <v>7822</v>
      </c>
      <c r="B210" s="12"/>
      <c r="E210" s="210"/>
      <c r="F210" s="215"/>
      <c r="G210" s="814"/>
      <c r="O210" s="26"/>
      <c r="Q210" s="12"/>
      <c r="R210" s="9" t="str">
        <f>Q203&amp;" minus "&amp;Q205</f>
        <v>c5.52n minus c5.52o</v>
      </c>
      <c r="Z210" s="9" t="str">
        <f>"if "&amp;Y206&amp;" greater than 0 (zero)"</f>
        <v>if c5.58a.53 greater than 0 (zero)</v>
      </c>
      <c r="AE210" s="12"/>
      <c r="AF210" s="12"/>
      <c r="AJ210" s="12"/>
    </row>
    <row r="211" spans="1:39" x14ac:dyDescent="0.25">
      <c r="A211" s="8" t="s">
        <v>7823</v>
      </c>
      <c r="B211" s="12"/>
      <c r="E211" s="210"/>
      <c r="F211" s="210"/>
      <c r="G211" s="860"/>
      <c r="O211" s="26"/>
      <c r="Q211" s="2180" t="str">
        <f>A121</f>
        <v>c5.53</v>
      </c>
      <c r="R211" s="2149">
        <f>MAX(0,R203-R205)</f>
        <v>0</v>
      </c>
      <c r="Z211" s="9" t="str">
        <f>Y215&amp;" = lower of ("&amp;Y66&amp;" minus "&amp;Y70&amp;") and ("&amp;Y74&amp;" minus ("&amp;Y131&amp;" + "&amp;Y135&amp;" + "&amp;Y143&amp;"))"</f>
        <v>c5.58a.53b = lower of (c5.58a.1a minus c5.58a.1) and (c5.58a.3 minus (c5.58a.27 + c5.58a.29 + c5.58a.33))</v>
      </c>
      <c r="AE211" s="12"/>
      <c r="AF211" s="12"/>
      <c r="AJ211" s="12"/>
    </row>
    <row r="212" spans="1:39" x14ac:dyDescent="0.25">
      <c r="A212" s="8" t="s">
        <v>7824</v>
      </c>
      <c r="B212" s="12"/>
      <c r="E212" s="210"/>
      <c r="F212" s="210"/>
      <c r="G212" s="860"/>
      <c r="O212" s="26"/>
      <c r="T212" s="12"/>
      <c r="V212" s="457" t="s">
        <v>7825</v>
      </c>
      <c r="Z212" s="8" t="s">
        <v>7143</v>
      </c>
      <c r="AE212" s="12"/>
      <c r="AF212" s="12"/>
      <c r="AJ212" s="12"/>
    </row>
    <row r="213" spans="1:39" ht="12.5" x14ac:dyDescent="0.25">
      <c r="A213" s="8" t="s">
        <v>7826</v>
      </c>
      <c r="B213" s="12"/>
      <c r="E213" s="210"/>
      <c r="F213" s="210"/>
      <c r="G213" s="860"/>
      <c r="O213" s="26"/>
      <c r="P213" s="12"/>
      <c r="R213" s="457" t="s">
        <v>7827</v>
      </c>
      <c r="T213" s="880"/>
      <c r="V213" s="457" t="s">
        <v>7828</v>
      </c>
      <c r="Z213" s="9" t="str">
        <f>Y215&amp;" = lower of ("&amp;Y66&amp;" minus "&amp;Y70&amp;") and ("&amp;U221&amp;" minus ("&amp;U237&amp;" + "&amp;U241&amp;" + "&amp;U249&amp;"))"</f>
        <v>c5.58a.53b = lower of (c5.58a.1a minus c5.58a.1) and (c5.56.2 minus (c5.56e1 + c5.56g + c5.56k))</v>
      </c>
      <c r="AE213" s="12"/>
      <c r="AF213" s="12"/>
      <c r="AJ213" s="12"/>
    </row>
    <row r="214" spans="1:39" ht="12.5" x14ac:dyDescent="0.25">
      <c r="A214" s="8" t="s">
        <v>7829</v>
      </c>
      <c r="B214" s="12"/>
      <c r="G214" s="860"/>
      <c r="O214" s="26"/>
      <c r="P214" s="880"/>
      <c r="R214" s="457" t="s">
        <v>7828</v>
      </c>
      <c r="S214" s="12"/>
      <c r="T214" s="881"/>
      <c r="U214" s="146"/>
      <c r="V214" s="457" t="s">
        <v>7830</v>
      </c>
      <c r="Y214" s="9"/>
      <c r="Z214" s="8" t="s">
        <v>75</v>
      </c>
      <c r="AE214" s="12"/>
      <c r="AF214" s="12"/>
      <c r="AJ214" s="12"/>
    </row>
    <row r="215" spans="1:39" ht="12.5" x14ac:dyDescent="0.25">
      <c r="A215" s="8" t="s">
        <v>7832</v>
      </c>
      <c r="B215" s="12"/>
      <c r="G215" s="860"/>
      <c r="K215" s="12"/>
      <c r="L215" s="12"/>
      <c r="O215" s="26"/>
      <c r="P215" s="881"/>
      <c r="Q215" s="146"/>
      <c r="R215" s="457" t="s">
        <v>7833</v>
      </c>
      <c r="T215" s="881"/>
      <c r="U215" s="146"/>
      <c r="V215" s="457" t="s">
        <v>7834</v>
      </c>
      <c r="Y215" s="2180" t="str">
        <f>A261</f>
        <v>c5.58a.53b</v>
      </c>
      <c r="Z215" s="2149">
        <f>MAX(0,IF(Z206&gt;0,MIN(Z66-Z70,Z74-(Z131+Z135+Z143)),MIN(Z66-Z70,V221-(V237+V241+V249))))</f>
        <v>0</v>
      </c>
      <c r="AE215" s="12"/>
      <c r="AF215" s="12"/>
      <c r="AJ215" s="12"/>
    </row>
    <row r="216" spans="1:39" ht="12.5" x14ac:dyDescent="0.25">
      <c r="A216" s="8" t="s">
        <v>7835</v>
      </c>
      <c r="B216" s="12"/>
      <c r="C216" s="139"/>
      <c r="D216" s="12"/>
      <c r="E216" s="869"/>
      <c r="F216" s="864"/>
      <c r="G216" s="860"/>
      <c r="H216" s="856"/>
      <c r="I216" s="869"/>
      <c r="J216" s="864"/>
      <c r="K216" s="12"/>
      <c r="L216" s="12"/>
      <c r="O216" s="26"/>
      <c r="P216" s="881"/>
      <c r="Q216" s="146"/>
      <c r="R216" s="457" t="s">
        <v>7836</v>
      </c>
      <c r="T216" s="881"/>
      <c r="U216" s="146"/>
      <c r="V216" s="457" t="s">
        <v>7837</v>
      </c>
      <c r="Z216" s="9" t="str">
        <f>"lower of "&amp;Y209&amp;" and "&amp;Y215</f>
        <v>lower of c5.58a.53a and c5.58a.53b</v>
      </c>
      <c r="AE216" s="12"/>
      <c r="AF216" s="12"/>
      <c r="AJ216" s="12"/>
    </row>
    <row r="217" spans="1:39" ht="12.5" x14ac:dyDescent="0.25">
      <c r="A217" s="8" t="s">
        <v>7838</v>
      </c>
      <c r="B217" s="12"/>
      <c r="C217" s="139"/>
      <c r="D217" s="12"/>
      <c r="E217" s="869"/>
      <c r="F217" s="864"/>
      <c r="G217" s="860"/>
      <c r="H217" s="856"/>
      <c r="I217" s="869"/>
      <c r="J217" s="864"/>
      <c r="K217" s="12"/>
      <c r="L217" s="12"/>
      <c r="O217" s="26"/>
      <c r="P217" s="881"/>
      <c r="Q217" s="146"/>
      <c r="R217" s="457" t="s">
        <v>7839</v>
      </c>
      <c r="X217" s="9" t="s">
        <v>7831</v>
      </c>
      <c r="Y217" s="2180" t="str">
        <f>A262</f>
        <v>c5.58a.54</v>
      </c>
      <c r="Z217" s="2149">
        <f>MIN(Z209,Z215)</f>
        <v>0</v>
      </c>
      <c r="AA217" s="874"/>
      <c r="AE217" s="12"/>
      <c r="AF217" s="12"/>
      <c r="AJ217" s="12"/>
      <c r="AM217" s="26"/>
    </row>
    <row r="218" spans="1:39" ht="12.5" x14ac:dyDescent="0.25">
      <c r="A218" s="8" t="s">
        <v>7840</v>
      </c>
      <c r="B218" s="12"/>
      <c r="C218" s="139"/>
      <c r="D218" s="12"/>
      <c r="E218" s="869"/>
      <c r="F218" s="864"/>
      <c r="G218" s="860"/>
      <c r="H218" s="856"/>
      <c r="O218" s="26"/>
      <c r="P218" s="881"/>
      <c r="Q218" s="146"/>
      <c r="S218" s="12"/>
      <c r="V218" s="9" t="str">
        <f>Q222&amp;" minus "&amp;Q330</f>
        <v>c5.54a minus c5.56</v>
      </c>
      <c r="W218" s="9"/>
      <c r="Y218" s="9"/>
      <c r="Z218" s="9" t="str">
        <f>Y72&amp;" minus "&amp;Y206</f>
        <v>c5.58a.2 minus c5.58a.53</v>
      </c>
      <c r="AE218" s="12"/>
      <c r="AF218" s="12"/>
      <c r="AJ218" s="12"/>
    </row>
    <row r="219" spans="1:39" ht="12.5" x14ac:dyDescent="0.25">
      <c r="A219" s="8" t="s">
        <v>7842</v>
      </c>
      <c r="B219" s="12"/>
      <c r="C219" s="139"/>
      <c r="D219" s="12"/>
      <c r="E219" s="869"/>
      <c r="F219" s="864"/>
      <c r="G219" s="860"/>
      <c r="H219" s="856"/>
      <c r="O219" s="26"/>
      <c r="P219" s="881"/>
      <c r="R219" s="9" t="str">
        <f>Q77&amp;" minus ("&amp;Q207&amp;" + "&amp;Q209&amp;")"</f>
        <v>c5.52b minus (c5.52p + c5.52q)</v>
      </c>
      <c r="S219" s="12"/>
      <c r="T219" s="9" t="s">
        <v>7582</v>
      </c>
      <c r="U219" s="2181" t="str">
        <f>A176</f>
        <v>c5.56.1</v>
      </c>
      <c r="V219" s="2149">
        <f>MAX(0,R222-R330)</f>
        <v>0</v>
      </c>
      <c r="W219" s="26"/>
      <c r="X219" s="9" t="s">
        <v>7582</v>
      </c>
      <c r="Y219" s="2180" t="str">
        <f>A263</f>
        <v>c5.58a.55</v>
      </c>
      <c r="Z219" s="2149">
        <f>MAX(0,Z72-Z206)</f>
        <v>0</v>
      </c>
      <c r="AE219" s="12"/>
      <c r="AF219" s="12"/>
      <c r="AJ219" s="12"/>
    </row>
    <row r="220" spans="1:39" ht="12.5" x14ac:dyDescent="0.25">
      <c r="A220" s="8" t="s">
        <v>7843</v>
      </c>
      <c r="B220" s="12"/>
      <c r="G220" s="860"/>
      <c r="H220" s="35"/>
      <c r="K220" s="12"/>
      <c r="L220" s="12"/>
      <c r="O220" s="26"/>
      <c r="P220" s="880"/>
      <c r="Q220" s="2180" t="str">
        <f>A122</f>
        <v>c5.54</v>
      </c>
      <c r="R220" s="2149">
        <f>MAX(0,R77-(R207+R209))</f>
        <v>0</v>
      </c>
      <c r="S220" s="12"/>
      <c r="V220" s="9" t="str">
        <f>Q224&amp;" minus "&amp;Q248</f>
        <v>c5.54a1 minus c5.55.7</v>
      </c>
      <c r="W220" s="9"/>
      <c r="Z220" s="9" t="str">
        <f>U221&amp;" minus "&amp;Y217</f>
        <v>c5.56.2 minus c5.58a.54</v>
      </c>
      <c r="AE220" s="12"/>
      <c r="AF220" s="12"/>
      <c r="AJ220" s="12"/>
    </row>
    <row r="221" spans="1:39" x14ac:dyDescent="0.25">
      <c r="A221" s="8" t="s">
        <v>7845</v>
      </c>
      <c r="B221" s="12"/>
      <c r="G221" s="860"/>
      <c r="K221" s="12"/>
      <c r="L221" s="12"/>
      <c r="O221" s="26"/>
      <c r="R221" s="9" t="str">
        <f>E149&amp;" minus ("&amp;I149&amp;" + "&amp;Q149&amp;" + "&amp;Q207&amp;" + "&amp;Q220&amp;")"</f>
        <v>c5.35 minus (c5.44 + c5.52h + c5.52p + c5.54)</v>
      </c>
      <c r="T221" s="9" t="s">
        <v>7587</v>
      </c>
      <c r="U221" s="2181" t="str">
        <f>A177</f>
        <v>c5.56.2</v>
      </c>
      <c r="V221" s="2149">
        <f>MAX(0,R224-R248)</f>
        <v>0</v>
      </c>
      <c r="W221" s="26"/>
      <c r="X221" s="9" t="s">
        <v>7841</v>
      </c>
      <c r="Y221" s="2180" t="str">
        <f>A264</f>
        <v>c5.58a.56</v>
      </c>
      <c r="Z221" s="2149">
        <f>MAX(0,V221-Z217)</f>
        <v>0</v>
      </c>
      <c r="AE221" s="12"/>
      <c r="AF221" s="12"/>
      <c r="AJ221" s="12"/>
    </row>
    <row r="222" spans="1:39" x14ac:dyDescent="0.25">
      <c r="A222" s="8" t="s">
        <v>7846</v>
      </c>
      <c r="B222" s="12"/>
      <c r="G222" s="860"/>
      <c r="O222" s="26"/>
      <c r="P222" s="9" t="s">
        <v>7582</v>
      </c>
      <c r="Q222" s="2180" t="str">
        <f>A123</f>
        <v>c5.54a</v>
      </c>
      <c r="R222" s="2149">
        <f>MAX(0,F149-(J149+R149+R207+R220))</f>
        <v>0</v>
      </c>
      <c r="V222" s="9" t="str">
        <f>"lower of ("&amp;E49&amp;" minus "&amp;I280&amp;") and ((BR_band ("&amp;DOLLAR(BR_band,0)&amp;") + "&amp;'Deductions (c4)'!L511&amp;") minus ("&amp;U219&amp;" + "&amp;U221&amp;"))"</f>
        <v>lower of (c5.22 minus c5.48) and ((BR_band (£37,700) + c4.75) minus (c5.56.1 + c5.56.2))</v>
      </c>
      <c r="W222" s="9"/>
      <c r="Y222" s="9"/>
      <c r="Z222" s="9" t="str">
        <f>E176&amp;" minus ("&amp;Y68&amp;" + ("&amp;Y70&amp;" minus "&amp;Y206&amp;"))"</f>
        <v>c5.36 minus (c5.58a.1b + (c5.58a.1 minus c5.58a.53))</v>
      </c>
      <c r="AE222" s="12"/>
      <c r="AF222" s="12"/>
      <c r="AJ222" s="12"/>
    </row>
    <row r="223" spans="1:39" x14ac:dyDescent="0.25">
      <c r="A223" s="8" t="s">
        <v>7847</v>
      </c>
      <c r="B223" s="12"/>
      <c r="G223" s="860"/>
      <c r="O223" s="26"/>
      <c r="R223" s="9" t="str">
        <f>E199&amp;" minus ("&amp;I199&amp;" + "&amp;Q199&amp;" + "&amp;Q209&amp;")"</f>
        <v>c5.37 minus (c5.46 + c5.52l + c5.52q)</v>
      </c>
      <c r="T223" s="36" t="s">
        <v>7848</v>
      </c>
      <c r="U223" s="2181" t="str">
        <f>A178</f>
        <v>c5.56a</v>
      </c>
      <c r="V223" s="2149">
        <f>MAX(0,MIN(F49-J280,(BR_band+'Deductions (c4)'!M511)-(V219+V221)))</f>
        <v>0</v>
      </c>
      <c r="W223" s="26"/>
      <c r="X223" s="9" t="s">
        <v>7844</v>
      </c>
      <c r="Y223" s="2180" t="str">
        <f>A265</f>
        <v>c5.58a.57</v>
      </c>
      <c r="Z223" s="2149">
        <f>MAX(0,F176-(Z68+(Z70-Z206)))</f>
        <v>0</v>
      </c>
      <c r="AE223" s="12"/>
      <c r="AF223" s="12"/>
      <c r="AJ223" s="12"/>
    </row>
    <row r="224" spans="1:39" x14ac:dyDescent="0.25">
      <c r="A224" s="8" t="s">
        <v>7849</v>
      </c>
      <c r="B224" s="12"/>
      <c r="G224" s="860"/>
      <c r="O224" s="26"/>
      <c r="P224" s="9" t="s">
        <v>7587</v>
      </c>
      <c r="Q224" s="2180" t="str">
        <f>A124</f>
        <v>c5.54a1</v>
      </c>
      <c r="R224" s="2149">
        <f>MAX(0,F199-(J199+R199+R209))</f>
        <v>0</v>
      </c>
      <c r="S224" s="26"/>
      <c r="V224" s="9" t="str">
        <f>"lower of "&amp;M45&amp;" and "&amp;U223</f>
        <v>lower of c5.23 and c5.56a</v>
      </c>
      <c r="W224" s="9"/>
      <c r="Y224" s="9"/>
      <c r="Z224" s="9" t="str">
        <f>"lower of ("&amp;E176&amp;" minus "&amp;Y68&amp;") and ("&amp;'Status (c3a)'!H33&amp;" minus ("&amp;Y74&amp;" + "&amp;Y76&amp;" + "&amp;Y219&amp;"))"</f>
        <v>lower of (c5.36 minus c5.58a.1b) and (c3a.1a minus (c5.58a.3 + c5.58a.4 + c5.58a.55))</v>
      </c>
      <c r="AE224" s="12"/>
      <c r="AF224" s="12"/>
      <c r="AJ224" s="12"/>
    </row>
    <row r="225" spans="1:56" x14ac:dyDescent="0.25">
      <c r="A225" s="8" t="s">
        <v>7850</v>
      </c>
      <c r="B225" s="12"/>
      <c r="G225" s="860"/>
      <c r="O225" s="26"/>
      <c r="R225" s="9" t="str">
        <f>"lower of "&amp;Q224&amp;" and SR_band ("&amp;DOLLAR(SR_band,0)&amp;")"</f>
        <v>lower of c5.54a1 and SR_band (£5,000)</v>
      </c>
      <c r="T225" s="36" t="s">
        <v>7605</v>
      </c>
      <c r="U225" s="2181" t="str">
        <f>A179</f>
        <v>c5.56b</v>
      </c>
      <c r="V225" s="2149">
        <f>MIN(N45,V223)</f>
        <v>0</v>
      </c>
      <c r="W225" s="26"/>
      <c r="X225" s="9" t="s">
        <v>7625</v>
      </c>
      <c r="Y225" s="2180" t="str">
        <f>A266</f>
        <v>c5.58a.58</v>
      </c>
      <c r="Z225" s="2149">
        <f>MAX(0,MIN(F176-Z68,'Status (c3a)'!I33-(Z74+Z76+Z219)))</f>
        <v>0</v>
      </c>
      <c r="AE225" s="12"/>
      <c r="AF225" s="12"/>
      <c r="AJ225" s="12"/>
    </row>
    <row r="226" spans="1:56" x14ac:dyDescent="0.25">
      <c r="A226" s="8" t="s">
        <v>7851</v>
      </c>
      <c r="B226" s="12"/>
      <c r="G226" s="860"/>
      <c r="O226" s="26"/>
      <c r="Q226" s="2180" t="str">
        <f>A125</f>
        <v>c5.54b</v>
      </c>
      <c r="R226" s="2149">
        <f>MIN(R224,SR_band)</f>
        <v>0</v>
      </c>
      <c r="S226" s="12"/>
      <c r="V226" s="9" t="str">
        <f>U223&amp;" minus "&amp;U225</f>
        <v>c5.56a minus c5.56b</v>
      </c>
      <c r="W226" s="9"/>
      <c r="Y226" s="9"/>
      <c r="Z226" s="9" t="str">
        <f>"lower of ("&amp;E176&amp;" minus ("&amp;Y68&amp;" + "&amp;Y225&amp;")) and (("&amp;'Status (c3a)'!H33&amp;" + "&amp;U8&amp;") minus ("&amp;Y74&amp;" + "&amp;Y76&amp;" + "&amp;Y88&amp;" + "&amp;Y219&amp;"))"</f>
        <v>lower of (c5.36 minus (c5.58a.1b + c5.58a.58)) and ((c3a.1a + c5.2) minus (c5.58a.3 + c5.58a.4 + c5.58a.10 + c5.58a.55))</v>
      </c>
      <c r="AE226" s="12"/>
      <c r="AF226" s="12"/>
      <c r="AJ226" s="12"/>
    </row>
    <row r="227" spans="1:56" x14ac:dyDescent="0.25">
      <c r="A227" s="8" t="s">
        <v>7852</v>
      </c>
      <c r="B227" s="12"/>
      <c r="G227" s="860"/>
      <c r="O227" s="26"/>
      <c r="R227" s="9" t="str">
        <f>"lower of "&amp;Q226&amp;" and (SR_band ("&amp;DOLLAR(SR_band,0)&amp;") minus "&amp;Q222&amp;")"</f>
        <v>lower of c5.54b and (SR_band (£5,000) minus c5.54a)</v>
      </c>
      <c r="T227" s="36" t="s">
        <v>7610</v>
      </c>
      <c r="U227" s="2181" t="str">
        <f>A180</f>
        <v>c5.56c</v>
      </c>
      <c r="V227" s="2149">
        <f>MAX(0,V223-V225)</f>
        <v>0</v>
      </c>
      <c r="W227" s="26"/>
      <c r="X227" s="9" t="s">
        <v>7629</v>
      </c>
      <c r="Y227" s="2180" t="str">
        <f>A267</f>
        <v>c5.58a.59</v>
      </c>
      <c r="Z227" s="2149">
        <f>MAX(0,MIN(F176-(Z68+Z225),('Status (c3a)'!I33+V8)-(Z74+Z76+Z88+Z219)))</f>
        <v>0</v>
      </c>
      <c r="AE227" s="12"/>
      <c r="AF227" s="12"/>
      <c r="AJ227" s="12"/>
    </row>
    <row r="228" spans="1:56" x14ac:dyDescent="0.25">
      <c r="A228" s="8" t="s">
        <v>7853</v>
      </c>
      <c r="B228" s="12"/>
      <c r="G228" s="860"/>
      <c r="O228" s="26"/>
      <c r="P228" s="9" t="s">
        <v>7854</v>
      </c>
      <c r="Q228" s="2180" t="str">
        <f>A126</f>
        <v>c5.54c</v>
      </c>
      <c r="R228" s="2149">
        <f>MIN(R226,MAX(0,(SR_band-R222)))</f>
        <v>0</v>
      </c>
      <c r="V228" s="9" t="str">
        <f>"lower of ("&amp;Q248&amp;" and "&amp;U227&amp;") × DivBR_rate ("&amp;DivBR_rate*100&amp;"%)"</f>
        <v>lower of (c5.55.7 and c5.56c) × DivBR_rate (8.75%)</v>
      </c>
      <c r="W228" s="9"/>
      <c r="X228" s="210"/>
      <c r="Y228" s="9"/>
      <c r="Z228" s="11" t="str">
        <f>"lower of ("&amp;E176&amp;" minus ("&amp;Y68&amp;" + "&amp;Y225&amp;" + "&amp;Y227&amp;")) and (("&amp;'Status (c3a)'!H33&amp;" + "&amp;U8&amp;" + "&amp;'Status (c3a)'!P33&amp;") minus ("&amp;Y74&amp;" + "&amp;Y76&amp;" + "&amp;Y219&amp;" + "&amp;Y225&amp;" + "&amp;Y227&amp;"))"</f>
        <v>lower of (c5.36 minus (c5.58a.1b + c5.58a.58 + c5.58a.59)) and ((c3a.1a + c5.2 + c3a.2a) minus (c5.58a.3 + c5.58a.4 + c5.58a.55 + c5.58a.58 + c5.58a.59))</v>
      </c>
      <c r="AE228" s="12"/>
      <c r="AF228" s="12"/>
      <c r="AJ228" s="12"/>
      <c r="AK228" s="869"/>
      <c r="AL228" s="864"/>
      <c r="AW228" s="147"/>
      <c r="AX228" s="148"/>
      <c r="AY228" s="12"/>
      <c r="AZ228" s="12"/>
      <c r="BA228" s="147"/>
      <c r="BB228" s="864"/>
      <c r="BC228" s="12"/>
      <c r="BD228" s="139"/>
    </row>
    <row r="229" spans="1:56" x14ac:dyDescent="0.25">
      <c r="A229" s="8" t="s">
        <v>7855</v>
      </c>
      <c r="B229" s="12"/>
      <c r="G229" s="860"/>
      <c r="O229" s="26"/>
      <c r="R229" s="9" t="s">
        <v>7043</v>
      </c>
      <c r="U229" s="2181" t="str">
        <f>A181</f>
        <v>c5.56c1</v>
      </c>
      <c r="V229" s="2182">
        <f>TRUNC(MIN(R248,V227)*DivBR_rate,2)</f>
        <v>0</v>
      </c>
      <c r="W229" s="861" t="s">
        <v>7647</v>
      </c>
      <c r="X229" s="9" t="s">
        <v>7633</v>
      </c>
      <c r="Y229" s="2180" t="str">
        <f>A268</f>
        <v>c5.58a.60</v>
      </c>
      <c r="Z229" s="2149">
        <f>MAX(0,MIN(F176-(Z68+Z225+Z227),('Status (c3a)'!I33+V8+'Status (c3a)'!Q33)-(Z74+Z76+Z219+Z225+Z227)))</f>
        <v>0</v>
      </c>
      <c r="AE229" s="12"/>
      <c r="AF229" s="12"/>
      <c r="AJ229" s="12"/>
      <c r="AK229" s="869"/>
      <c r="AL229" s="864"/>
      <c r="AW229" s="147"/>
      <c r="AX229" s="148"/>
      <c r="AY229" s="12"/>
      <c r="AZ229" s="12"/>
      <c r="BA229" s="147"/>
      <c r="BC229" s="12"/>
      <c r="BD229" s="139"/>
    </row>
    <row r="230" spans="1:56" ht="12.5" x14ac:dyDescent="0.25">
      <c r="A230" s="8" t="s">
        <v>7856</v>
      </c>
      <c r="B230" s="12"/>
      <c r="G230" s="860"/>
      <c r="O230" s="26"/>
      <c r="P230" s="880"/>
      <c r="Q230" s="2181" t="str">
        <f>A127</f>
        <v>c5.55</v>
      </c>
      <c r="R230" s="2149">
        <v>0</v>
      </c>
      <c r="V230" s="9" t="str">
        <f>"("&amp;Q248&amp;" minus (lower of "&amp;Q248&amp;" and "&amp;U227&amp;")) × DivHR_rate ("&amp;DivHR_rate*100&amp;"%)"</f>
        <v>(c5.55.7 minus (lower of c5.55.7 and c5.56c)) × DivHR_rate (33.75%)</v>
      </c>
      <c r="W230" s="9"/>
      <c r="Y230" s="9"/>
      <c r="Z230" s="11" t="str">
        <f>"lower of ("&amp;E176&amp;" minus ("&amp;Y68&amp;" + "&amp;Y225&amp;" + "&amp;Y227&amp;" + "&amp;Y229&amp;")) and (("&amp;'Status (c3a)'!H33&amp;" + "&amp;U8&amp;" + "&amp;'Status (c3a)'!P33&amp;" + "&amp;'Status (c3a)'!X33&amp;") minus ("&amp;Y74&amp;" + "&amp;Y76&amp;" + "&amp;Y219&amp;" + "&amp;Y225&amp;" + "&amp;Y227&amp;" + "&amp;Y229&amp;"))"</f>
        <v>lower of (c5.36 minus (c5.58a.1b + c5.58a.58 + c5.58a.59 + c5.58a.60)) and ((c3a.1a + c5.2 + c3a.2a + c3a.3) minus (c5.58a.3 + c5.58a.4 + c5.58a.55 + c5.58a.58 + c5.58a.59 + c5.58a.60))</v>
      </c>
      <c r="AC230" s="26"/>
      <c r="AE230" s="12"/>
      <c r="AF230" s="12"/>
      <c r="AJ230" s="12"/>
      <c r="AK230" s="869"/>
      <c r="AL230" s="864"/>
      <c r="AW230" s="147"/>
      <c r="AX230" s="148"/>
      <c r="AY230" s="12"/>
      <c r="AZ230" s="12"/>
      <c r="BA230" s="147"/>
      <c r="BB230" s="864"/>
      <c r="BC230" s="12"/>
      <c r="BD230" s="139"/>
    </row>
    <row r="231" spans="1:56" x14ac:dyDescent="0.25">
      <c r="A231" s="8" t="s">
        <v>7857</v>
      </c>
      <c r="B231" s="12"/>
      <c r="G231" s="860"/>
      <c r="O231" s="26"/>
      <c r="R231" s="9" t="str">
        <f>E17&amp;" + "&amp;E36&amp;" + "&amp;M49&amp;" + "&amp;U49&amp;" + "&amp;AG49&amp;" + "&amp;AK49</f>
        <v>c5.3 + c5.11 + c5.24 + c5.25 + c5.29 + c5.30</v>
      </c>
      <c r="S231" s="9"/>
      <c r="U231" s="2181" t="str">
        <f>A182</f>
        <v>c5.56c2</v>
      </c>
      <c r="V231" s="2182">
        <f>MAX(0,TRUNC((R248-(MIN(R248,V227)))*DivHR_rate,2))</f>
        <v>0</v>
      </c>
      <c r="W231" s="861" t="s">
        <v>7647</v>
      </c>
      <c r="X231" s="9" t="s">
        <v>7638</v>
      </c>
      <c r="Y231" s="2180" t="str">
        <f>A269</f>
        <v>c5.58a.61</v>
      </c>
      <c r="Z231" s="2149">
        <f>MAX(0,MIN(F176-(Z68+Z225+Z227+Z229),('Status (c3a)'!I33+V8+'Status (c3a)'!Q33+'Status (c3a)'!Y33)-(Z74+Z76+Z219+Z225+Z227+Z229)))</f>
        <v>0</v>
      </c>
      <c r="AE231" s="12"/>
      <c r="AF231" s="12"/>
      <c r="AJ231" s="12"/>
      <c r="AK231" s="869"/>
      <c r="AL231" s="864"/>
      <c r="AW231" s="147"/>
      <c r="AX231" s="148"/>
      <c r="AY231" s="12"/>
      <c r="AZ231" s="12"/>
      <c r="BA231" s="147"/>
      <c r="BB231" s="864"/>
      <c r="BC231" s="12"/>
      <c r="BD231" s="139"/>
    </row>
    <row r="232" spans="1:56" x14ac:dyDescent="0.25">
      <c r="A232" s="8" t="s">
        <v>7858</v>
      </c>
      <c r="B232" s="12"/>
      <c r="G232" s="860"/>
      <c r="O232" s="26"/>
      <c r="Q232" s="2180" t="str">
        <f>A128</f>
        <v>c5.55.1</v>
      </c>
      <c r="R232" s="2149">
        <f>F17+F36+N49+V49+AH49+AL49</f>
        <v>0</v>
      </c>
      <c r="S232" s="26"/>
      <c r="V232" s="9" t="str">
        <f>U229&amp;" + "&amp;U231</f>
        <v>c5.56c1 + c5.56c2</v>
      </c>
      <c r="W232" s="9"/>
      <c r="Z232" s="9" t="str">
        <f>"lower of ("&amp;E176&amp;" minus ("&amp;Y68&amp;" + "&amp;Y225&amp;" + "&amp;Y227&amp;" + "&amp;Y229&amp;" + "&amp;Y231&amp;")) and"</f>
        <v>lower of (c5.36 minus (c5.58a.1b + c5.58a.58 + c5.58a.59 + c5.58a.60 + c5.58a.61)) and</v>
      </c>
      <c r="AB232" s="458"/>
      <c r="AE232" s="12"/>
      <c r="AF232" s="12"/>
      <c r="AJ232" s="12"/>
      <c r="AK232" s="869"/>
      <c r="AL232" s="864"/>
      <c r="AW232" s="147"/>
      <c r="AX232" s="148"/>
      <c r="AY232" s="12"/>
      <c r="AZ232" s="12"/>
      <c r="BA232" s="147"/>
      <c r="BB232" s="864"/>
      <c r="BC232" s="12"/>
      <c r="BD232" s="139"/>
    </row>
    <row r="233" spans="1:56" x14ac:dyDescent="0.25">
      <c r="A233" s="8" t="s">
        <v>7859</v>
      </c>
      <c r="B233" s="12"/>
      <c r="G233" s="860"/>
      <c r="O233" s="26"/>
      <c r="R233" s="9" t="str">
        <f>"("&amp;Q232&amp;" minus ("&amp;E8&amp;" minus ("&amp;I205&amp;" + "&amp;I280&amp;" + "&amp;M205&amp;"))) minus (BR_band ("&amp;DOLLAR(BR_band,0)&amp;") + "&amp;'Deductions (c4)'!L511&amp;")"</f>
        <v>(c5.55.1 minus (c5.1 minus (c5.47 + c5.48 + c5.52))) minus (BR_band (£37,700) + c4.75)</v>
      </c>
      <c r="S233" s="9"/>
      <c r="T233" s="882" t="s">
        <v>7860</v>
      </c>
      <c r="U233" s="2181" t="str">
        <f>A183</f>
        <v>c5.56d</v>
      </c>
      <c r="V233" s="2182">
        <f>V229+V231</f>
        <v>0</v>
      </c>
      <c r="W233" s="26"/>
      <c r="Z233" s="9" t="str">
        <f>"(("&amp;'Status (c3a)'!H33&amp;" + "&amp;U8&amp;" + "&amp;'Status (c3a)'!P33&amp;" + "&amp;'Status (c3a)'!X33&amp;" + "&amp;'Status (c3a)'!AA33&amp;") minus ("&amp;Y74&amp;" + "&amp;Y76&amp;" + "&amp;Y219&amp;" + "&amp;Y225&amp;" + "&amp;Y227&amp;" + "&amp;Y229&amp;" + "&amp;Y231&amp;"))"</f>
        <v>((c3a.1a + c5.2 + c3a.2a + c3a.3 + c3a.3.1) minus (c5.58a.3 + c5.58a.4 + c5.58a.55 + c5.58a.58 + c5.58a.59 + c5.58a.60 + c5.58a.61))</v>
      </c>
      <c r="AE233" s="12"/>
      <c r="AF233" s="12"/>
      <c r="AJ233" s="12"/>
      <c r="AK233" s="869"/>
      <c r="AL233" s="864"/>
      <c r="AW233" s="147"/>
      <c r="AX233" s="148"/>
      <c r="AY233" s="12"/>
      <c r="AZ233" s="12"/>
      <c r="BA233" s="147"/>
      <c r="BB233" s="864"/>
      <c r="BC233" s="12"/>
      <c r="BD233" s="139"/>
    </row>
    <row r="234" spans="1:56" x14ac:dyDescent="0.25">
      <c r="A234" s="8" t="s">
        <v>7861</v>
      </c>
      <c r="B234" s="12"/>
      <c r="G234" s="860"/>
      <c r="O234" s="26"/>
      <c r="P234" s="36" t="s">
        <v>7862</v>
      </c>
      <c r="Q234" s="2180" t="str">
        <f>A129</f>
        <v>c5.55.2</v>
      </c>
      <c r="R234" s="2149">
        <f>MAX(0,(R232-(F8-(J205+J280+N205)))-(BR_band+'Deductions (c4)'!M511))</f>
        <v>0</v>
      </c>
      <c r="S234" s="26"/>
      <c r="V234" s="9" t="str">
        <f>"lower of "&amp;U221&amp;" and SR_band ("&amp;DOLLAR(SR_band,0)&amp;")"</f>
        <v>lower of c5.56.2 and SR_band (£5,000)</v>
      </c>
      <c r="W234" s="9"/>
      <c r="Y234" s="2180" t="str">
        <f>A270</f>
        <v>c5.58a.61a</v>
      </c>
      <c r="Z234" s="2149">
        <f>MAX(0,MIN(F176-(Z68+Z225+Z227+Z229+Z231),('Status (c3a)'!I33+V8+'Status (c3a)'!Q33+'Status (c3a)'!Y33+'Status (c3a)'!AB33)-(Z74+Z76+Z219+Z225+Z227+Z229+Z231)))</f>
        <v>0</v>
      </c>
      <c r="AE234" s="12"/>
      <c r="AF234" s="12"/>
      <c r="AJ234" s="12"/>
      <c r="AK234" s="869"/>
      <c r="AL234" s="864"/>
      <c r="AT234" s="26"/>
      <c r="AW234" s="147"/>
      <c r="AX234" s="148"/>
      <c r="AY234" s="12"/>
      <c r="AZ234" s="12"/>
      <c r="BA234" s="147"/>
      <c r="BB234" s="864"/>
      <c r="BC234" s="12"/>
      <c r="BD234" s="139"/>
    </row>
    <row r="235" spans="1:56" x14ac:dyDescent="0.25">
      <c r="A235" s="8" t="s">
        <v>7863</v>
      </c>
      <c r="B235" s="12"/>
      <c r="G235" s="860"/>
      <c r="O235" s="26"/>
      <c r="R235" s="9" t="str">
        <f>"("&amp;M49&amp;" + "&amp;U49&amp;" + "&amp;AG49&amp;" + "&amp;AK49&amp;") minus ("&amp;Q234&amp;" minus ("&amp;M149&amp;" + "&amp;M199&amp;"))"</f>
        <v>(c5.24 + c5.25 + c5.29 + c5.30) minus (c5.55.2 minus (c5.49 + c5.51))</v>
      </c>
      <c r="S235" s="9"/>
      <c r="U235" s="2181" t="str">
        <f>A184</f>
        <v>c5.56e</v>
      </c>
      <c r="V235" s="2149">
        <f>MIN(V221,SR_band)</f>
        <v>0</v>
      </c>
      <c r="W235" s="26"/>
      <c r="Y235" s="9"/>
      <c r="Z235" s="9" t="str">
        <f>"("&amp;Y225&amp;" × "&amp;'Status (c3a)'!H45&amp;") + ("&amp;Y227&amp;" × "&amp;'Status (c3a)'!L45&amp;") + ("&amp;Y229&amp;" × "&amp;'Status (c3a)'!P45&amp;") + ("&amp;Y231&amp;" × "&amp;'Status (c3a)'!X45&amp;") + ("&amp;Y234&amp;" × "&amp;'Status (c3a)'!AA45&amp;")"</f>
        <v>(c5.58a.58 × c3a.3b) + (c5.58a.59 × c3a.4) + (c5.58a.60 × c3a.4a) + (c5.58a.61 × c3a.5) + (c5.58a.61a × c3a.5a)</v>
      </c>
      <c r="AE235" s="12"/>
      <c r="AF235" s="12"/>
      <c r="AJ235" s="12"/>
      <c r="AK235" s="869"/>
      <c r="AL235" s="864"/>
      <c r="AW235" s="147"/>
      <c r="AX235" s="148"/>
      <c r="AY235" s="12"/>
      <c r="AZ235" s="12"/>
      <c r="BA235" s="147"/>
      <c r="BB235" s="864"/>
      <c r="BC235" s="12"/>
      <c r="BD235" s="139"/>
    </row>
    <row r="236" spans="1:56" x14ac:dyDescent="0.25">
      <c r="A236" s="8" t="s">
        <v>7864</v>
      </c>
      <c r="B236" s="12"/>
      <c r="G236" s="860"/>
      <c r="O236" s="26"/>
      <c r="P236" s="36" t="s">
        <v>7865</v>
      </c>
      <c r="Q236" s="2180" t="str">
        <f>A130</f>
        <v>c5.55.3</v>
      </c>
      <c r="R236" s="2149">
        <f>MAX(0,(N49+V49+AH49+AL49)-(R234-(N149+N199)))</f>
        <v>0</v>
      </c>
      <c r="S236" s="496"/>
      <c r="V236" s="9" t="str">
        <f>"lower of "&amp;U235&amp;" and (SR_band ("&amp;DOLLAR(SR_band,0)&amp;") minus "&amp;U219&amp;")"</f>
        <v>lower of c5.56e and (SR_band (£5,000) minus c5.56.1)</v>
      </c>
      <c r="W236" s="9"/>
      <c r="X236" s="9" t="s">
        <v>7646</v>
      </c>
      <c r="Y236" s="2180" t="str">
        <f>A271</f>
        <v>c5.58a.62</v>
      </c>
      <c r="Z236" s="2182">
        <f>TRUNC((Z225*'Status (c3a)'!I45)+(Z227*'Status (c3a)'!M45)+(Z229*'Status (c3a)'!Q45)+(Z231*'Status (c3a)'!Y45)+(Z234*'Status (c3a)'!AB45),2)</f>
        <v>0</v>
      </c>
      <c r="AA236" s="861" t="s">
        <v>7647</v>
      </c>
      <c r="AE236" s="12"/>
      <c r="AF236" s="12"/>
      <c r="AJ236" s="12"/>
      <c r="AK236" s="869"/>
      <c r="AL236" s="864"/>
      <c r="AW236" s="147"/>
      <c r="AX236" s="148"/>
      <c r="AY236" s="12"/>
      <c r="AZ236" s="12"/>
      <c r="BA236" s="147"/>
      <c r="BB236" s="864"/>
      <c r="BC236" s="12"/>
      <c r="BD236" s="139"/>
    </row>
    <row r="237" spans="1:56" x14ac:dyDescent="0.25">
      <c r="A237" s="8" t="s">
        <v>7866</v>
      </c>
      <c r="B237" s="12"/>
      <c r="G237" s="860"/>
      <c r="O237" s="26"/>
      <c r="P237" s="26"/>
      <c r="R237" s="9" t="str">
        <f>"lower of "&amp;M45&amp;" and "&amp;Q236</f>
        <v>lower of c5.23 and c5.55.3</v>
      </c>
      <c r="S237" s="9"/>
      <c r="T237" s="9" t="s">
        <v>7854</v>
      </c>
      <c r="U237" s="2181" t="str">
        <f>A185</f>
        <v>c5.56e1</v>
      </c>
      <c r="V237" s="2149">
        <f>MIN(V235,MAX(0,(SR_band-V219)))</f>
        <v>0</v>
      </c>
      <c r="W237" s="26"/>
      <c r="Y237" s="9"/>
      <c r="Z237" s="174" t="str">
        <f>"lower of ("&amp;E176&amp;" minus ("&amp;Y68&amp;" + "&amp;Y217&amp;")) and ("&amp;'Status (c3a)'!H33&amp;" minus ("&amp;Y74&amp;" + "&amp;Y76&amp;" + "&amp;Y219&amp;"))"</f>
        <v>lower of (c5.36 minus (c5.58a.1b + c5.58a.54)) and (c3a.1a minus (c5.58a.3 + c5.58a.4 + c5.58a.55))</v>
      </c>
      <c r="AE237" s="12"/>
      <c r="AF237" s="12"/>
      <c r="AJ237" s="12"/>
      <c r="AK237" s="869"/>
      <c r="AL237" s="864"/>
      <c r="AW237" s="147"/>
      <c r="AX237" s="148"/>
      <c r="AY237" s="12"/>
      <c r="AZ237" s="12"/>
      <c r="BA237" s="147"/>
      <c r="BB237" s="864"/>
      <c r="BC237" s="12"/>
      <c r="BD237" s="139"/>
    </row>
    <row r="238" spans="1:56" x14ac:dyDescent="0.25">
      <c r="A238" s="8" t="s">
        <v>7867</v>
      </c>
      <c r="B238" s="12"/>
      <c r="G238" s="860"/>
      <c r="O238" s="26"/>
      <c r="P238" s="9" t="s">
        <v>7605</v>
      </c>
      <c r="Q238" s="2180" t="str">
        <f>A131</f>
        <v>c5.55.4</v>
      </c>
      <c r="R238" s="2149">
        <f>MIN(N45,R236)</f>
        <v>0</v>
      </c>
      <c r="S238" s="26"/>
      <c r="V238" s="9" t="str">
        <f>"lower of ("&amp;U221&amp;" minus "&amp;U237&amp;") and "&amp;'Deductions (c4)'!L639</f>
        <v>lower of (c5.56.2 minus c5.56e1) and c4.79</v>
      </c>
      <c r="W238" s="9"/>
      <c r="X238" s="9" t="s">
        <v>7625</v>
      </c>
      <c r="Y238" s="2180" t="str">
        <f>A272</f>
        <v>c5.58a.63</v>
      </c>
      <c r="Z238" s="2149">
        <f>MAX(0,MIN(F176-(Z68+Z217),'Status (c3a)'!I33-(Z74+Z76+Z219)))</f>
        <v>0</v>
      </c>
      <c r="AE238" s="12"/>
      <c r="AF238" s="12"/>
      <c r="AJ238" s="12"/>
      <c r="AK238" s="869"/>
      <c r="AL238" s="864"/>
      <c r="AW238" s="147"/>
      <c r="AX238" s="148"/>
      <c r="AY238" s="12"/>
      <c r="AZ238" s="12"/>
      <c r="BA238" s="147"/>
      <c r="BB238" s="864"/>
      <c r="BC238" s="12"/>
      <c r="BD238" s="139"/>
    </row>
    <row r="239" spans="1:56" x14ac:dyDescent="0.25">
      <c r="A239" s="8" t="s">
        <v>7868</v>
      </c>
      <c r="B239" s="12"/>
      <c r="G239" s="860"/>
      <c r="O239" s="26"/>
      <c r="R239" s="9" t="str">
        <f>Q236&amp;" minus "&amp;Q238</f>
        <v>c5.55.3 minus c5.55.4</v>
      </c>
      <c r="S239" s="9"/>
      <c r="U239" s="2181" t="str">
        <f>A186</f>
        <v>c5.56f</v>
      </c>
      <c r="V239" s="2149">
        <f>MIN(MAX(0,V221-V237),'Deductions (c4)'!M639)</f>
        <v>0</v>
      </c>
      <c r="W239" s="26"/>
      <c r="Y239" s="9"/>
      <c r="Z239" s="11" t="str">
        <f>"lower of ("&amp;E176&amp;" minus ("&amp;Y68&amp;" + "&amp;Y217&amp;" + "&amp;Y238&amp;")) and (("&amp;'Status (c3a)'!H33&amp;" + "&amp;U8&amp;") minus ("&amp;Y74&amp;" + "&amp;Y76&amp;" + "&amp;Y219&amp;" + "&amp;Y238&amp;"))"</f>
        <v>lower of (c5.36 minus (c5.58a.1b + c5.58a.54 + c5.58a.63)) and ((c3a.1a + c5.2) minus (c5.58a.3 + c5.58a.4 + c5.58a.55 + c5.58a.63))</v>
      </c>
      <c r="AE239" s="12"/>
      <c r="AF239" s="12"/>
      <c r="AJ239" s="12"/>
      <c r="AK239" s="869"/>
      <c r="AL239" s="864"/>
      <c r="AW239" s="147"/>
      <c r="AX239" s="148"/>
      <c r="AY239" s="12"/>
      <c r="AZ239" s="12"/>
      <c r="BA239" s="147"/>
      <c r="BB239" s="864"/>
      <c r="BC239" s="12"/>
      <c r="BD239" s="139"/>
    </row>
    <row r="240" spans="1:56" x14ac:dyDescent="0.25">
      <c r="A240" s="8" t="s">
        <v>7869</v>
      </c>
      <c r="B240" s="12"/>
      <c r="G240" s="860"/>
      <c r="O240" s="26"/>
      <c r="P240" s="9" t="s">
        <v>7610</v>
      </c>
      <c r="Q240" s="2180" t="str">
        <f>A132</f>
        <v>c5.55.5</v>
      </c>
      <c r="R240" s="2149">
        <f>MAX(0,R236-R238)</f>
        <v>0</v>
      </c>
      <c r="S240" s="26"/>
      <c r="V240" s="9" t="str">
        <f>"lower of "&amp;U239&amp;" and ("&amp;AK8&amp;" minus "&amp;U219&amp;")"</f>
        <v>lower of c5.56f and (c5.2a minus c5.56.1)</v>
      </c>
      <c r="W240" s="9"/>
      <c r="X240" s="9" t="s">
        <v>7629</v>
      </c>
      <c r="Y240" s="2180" t="str">
        <f>A273</f>
        <v>c5.58a.64</v>
      </c>
      <c r="Z240" s="2149">
        <f>MAX(0,MIN(F176-(Z68+Z217+Z238),('Status (c3a)'!I33+V8)-(Z74+Z76+Z219+Z238)))</f>
        <v>0</v>
      </c>
      <c r="AE240" s="12"/>
      <c r="AF240" s="12"/>
      <c r="AJ240" s="12"/>
      <c r="AK240" s="869"/>
      <c r="AL240" s="864"/>
      <c r="AW240" s="147"/>
      <c r="AX240" s="148"/>
      <c r="AY240" s="12"/>
      <c r="AZ240" s="12"/>
      <c r="BA240" s="147"/>
      <c r="BB240" s="864"/>
      <c r="BC240" s="12"/>
      <c r="BD240" s="139"/>
    </row>
    <row r="241" spans="1:56" x14ac:dyDescent="0.25">
      <c r="A241" s="8" t="s">
        <v>7870</v>
      </c>
      <c r="B241" s="12"/>
      <c r="G241" s="860"/>
      <c r="O241" s="26"/>
      <c r="R241" s="9" t="str">
        <f>"lower of "&amp;Q79&amp;" and ("&amp;E149&amp;" minus ("&amp;I149&amp;" + "&amp;Q149&amp;"))"</f>
        <v>lower of c5.52c and (c5.35 minus (c5.44 + c5.52h))</v>
      </c>
      <c r="S241" s="9"/>
      <c r="T241" s="9" t="s">
        <v>7720</v>
      </c>
      <c r="U241" s="2181" t="str">
        <f>A187</f>
        <v>c5.56g</v>
      </c>
      <c r="V241" s="2149">
        <f>MAX(0,MIN(V239,AL8-V219))</f>
        <v>0</v>
      </c>
      <c r="W241" s="26"/>
      <c r="X241" s="210"/>
      <c r="Y241" s="9"/>
      <c r="Z241" s="11" t="str">
        <f>"lower of ("&amp;E176&amp;" minus ("&amp;Y68&amp;" + "&amp;Y217&amp;" + "&amp;Y238&amp;" + "&amp;Y240&amp;")) and (("&amp;'Status (c3a)'!H33&amp;" + "&amp;U8&amp;" + "&amp;'Status (c3a)'!P33&amp;") minus ("&amp;Y74&amp;" + "&amp;Y76&amp;" + "&amp;Y219&amp;" + "&amp;Y238&amp;" + "&amp;Y240&amp;"))"</f>
        <v>lower of (c5.36 minus (c5.58a.1b + c5.58a.54 + c5.58a.63 + c5.58a.64)) and ((c3a.1a + c5.2 + c3a.2a) minus (c5.58a.3 + c5.58a.4 + c5.58a.55 + c5.58a.63 + c5.58a.64))</v>
      </c>
      <c r="AE241" s="12"/>
      <c r="AF241" s="12"/>
      <c r="AJ241" s="12"/>
      <c r="AK241" s="869"/>
      <c r="AL241" s="864"/>
      <c r="AW241" s="147"/>
      <c r="AX241" s="148"/>
      <c r="AY241" s="12"/>
      <c r="AZ241" s="12"/>
      <c r="BA241" s="147"/>
      <c r="BB241" s="864"/>
      <c r="BC241" s="12"/>
      <c r="BD241" s="139"/>
    </row>
    <row r="242" spans="1:56" x14ac:dyDescent="0.25">
      <c r="A242" s="8" t="s">
        <v>7871</v>
      </c>
      <c r="B242" s="12"/>
      <c r="G242" s="860"/>
      <c r="O242" s="26"/>
      <c r="P242" s="9" t="s">
        <v>7872</v>
      </c>
      <c r="Q242" s="2180" t="str">
        <f>A133</f>
        <v>c5.55.6</v>
      </c>
      <c r="R242" s="2149">
        <f>MIN(R79,MAX(0,F149-(J149+R149)))</f>
        <v>0</v>
      </c>
      <c r="S242" s="26"/>
      <c r="V242" s="9" t="str">
        <f>"lower of ("&amp;U221&amp;" minus ("&amp;U237&amp;" + "&amp;U241&amp;")) and ("&amp;AK8&amp;" minus ("&amp;U219&amp;" + "&amp;U237&amp;" + "&amp;U241&amp;"))"</f>
        <v>lower of (c5.56.2 minus (c5.56e1 + c5.56g)) and (c5.2a minus (c5.56.1 + c5.56e1 + c5.56g))</v>
      </c>
      <c r="W242" s="9"/>
      <c r="X242" s="9" t="s">
        <v>7633</v>
      </c>
      <c r="Y242" s="2180" t="str">
        <f>A274</f>
        <v>c5.58a.65</v>
      </c>
      <c r="Z242" s="2149">
        <f>MAX(0,MIN(F176-(Z68+Z217+Z238+Z240),('Status (c3a)'!I33+V8+'Status (c3a)'!Q33)-(Z74+Z76+Z219+Z238+Z240)))</f>
        <v>0</v>
      </c>
      <c r="AE242" s="12"/>
      <c r="AF242" s="12"/>
      <c r="AJ242" s="12"/>
      <c r="AK242" s="869"/>
      <c r="AL242" s="864"/>
      <c r="AW242" s="147"/>
      <c r="AX242" s="148"/>
      <c r="AY242" s="12"/>
      <c r="AZ242" s="12"/>
      <c r="BA242" s="147"/>
      <c r="BB242" s="864"/>
      <c r="BC242" s="12"/>
      <c r="BD242" s="139"/>
    </row>
    <row r="243" spans="1:56" x14ac:dyDescent="0.25">
      <c r="A243" s="8" t="s">
        <v>7873</v>
      </c>
      <c r="B243" s="12"/>
      <c r="G243" s="860"/>
      <c r="O243" s="26"/>
      <c r="P243" s="9"/>
      <c r="R243" s="9" t="str">
        <f>Q222&amp;" minus "&amp;Q242</f>
        <v>c5.54a minus c5.55.6</v>
      </c>
      <c r="S243" s="26"/>
      <c r="T243" s="9" t="s">
        <v>7724</v>
      </c>
      <c r="U243" s="2181" t="str">
        <f>A188</f>
        <v>c5.56h</v>
      </c>
      <c r="V243" s="2149">
        <f>MAX(0,MIN(V221-(V237+V241),(AL8-(V219+V237+V241))))</f>
        <v>0</v>
      </c>
      <c r="W243" s="26"/>
      <c r="Y243" s="9"/>
      <c r="Z243" s="11" t="str">
        <f>"lower of ("&amp;E176&amp;" minus ("&amp;Y68&amp;" + "&amp;Y217&amp;" + "&amp;Y238&amp;" + "&amp;Y240&amp;" + "&amp;Y242&amp;")) and (("&amp;'Status (c3a)'!H33&amp;" + "&amp;U8&amp;" + "&amp;'Status (c3a)'!P33&amp;" + "&amp;'Status (c3a)'!X33&amp;") minus ("&amp;Y74&amp;" + "&amp;Y76&amp;" + "&amp;Y219&amp;" + "&amp;Y238&amp;" + "&amp;Y240&amp;" + "&amp;Y242&amp;"))"</f>
        <v>lower of (c5.36 minus (c5.58a.1b + c5.58a.54 + c5.58a.63 + c5.58a.64 + c5.58a.65)) and ((c3a.1a + c5.2 + c3a.2a + c3a.3) minus (c5.58a.3 + c5.58a.4 + c5.58a.55 + c5.58a.63 + c5.58a.64 + c5.58a.65))</v>
      </c>
      <c r="AE243" s="12"/>
      <c r="AF243" s="12"/>
      <c r="AJ243" s="12"/>
      <c r="AK243" s="869"/>
      <c r="AL243" s="864"/>
      <c r="AY243" s="12"/>
      <c r="AZ243" s="12"/>
      <c r="BA243" s="147"/>
      <c r="BB243" s="864"/>
      <c r="BC243" s="12"/>
      <c r="BD243" s="139"/>
    </row>
    <row r="244" spans="1:56" x14ac:dyDescent="0.25">
      <c r="A244" s="8" t="s">
        <v>7874</v>
      </c>
      <c r="B244" s="12"/>
      <c r="G244" s="860"/>
      <c r="P244" s="9"/>
      <c r="Q244" s="2180" t="str">
        <f>A134</f>
        <v>c5.55.6a</v>
      </c>
      <c r="R244" s="2149">
        <f>MAX(0,R222-R242)</f>
        <v>0</v>
      </c>
      <c r="S244" s="26"/>
      <c r="V244" s="9" t="str">
        <f>"("&amp;'Status (c3a)'!AD33&amp;" + "&amp;'Deductions (c4)'!H383&amp;") minus ("&amp;U219&amp;" + "&amp;U237&amp;" + "&amp;U241&amp;" + "&amp;U243&amp;")"</f>
        <v>(c3a.3a + c4.59) minus (c5.56.1 + c5.56e1 + c5.56g + c5.56h)</v>
      </c>
      <c r="W244" s="9"/>
      <c r="X244" s="9" t="s">
        <v>7638</v>
      </c>
      <c r="Y244" s="2180" t="str">
        <f>A275</f>
        <v>c5.58a.66</v>
      </c>
      <c r="Z244" s="2149">
        <f>MAX(0,MIN(F176-(Z68+Z217+Z238+Z240+Z242),('Status (c3a)'!I33+V8+'Status (c3a)'!Q33+'Status (c3a)'!Y33)-(Z74+Z76+Z219+Z238+Z240+Z242)))</f>
        <v>0</v>
      </c>
      <c r="AE244" s="12"/>
      <c r="AF244" s="12"/>
      <c r="AJ244" s="12"/>
      <c r="AK244" s="869"/>
      <c r="AL244" s="864"/>
      <c r="AY244" s="12"/>
      <c r="AZ244" s="12"/>
      <c r="BA244" s="147"/>
      <c r="BB244" s="864"/>
      <c r="BC244" s="12"/>
      <c r="BD244" s="139"/>
    </row>
    <row r="245" spans="1:56" x14ac:dyDescent="0.25">
      <c r="A245" s="8" t="s">
        <v>7875</v>
      </c>
      <c r="G245" s="860"/>
      <c r="O245" s="9"/>
      <c r="P245" s="9"/>
      <c r="R245" s="9" t="str">
        <f>"SR_band ("&amp;DOLLAR(SR_band,0)&amp;") minus "&amp;Q244</f>
        <v>SR_band (£5,000) minus c5.55.6a</v>
      </c>
      <c r="S245" s="26"/>
      <c r="U245" s="2180" t="str">
        <f>A189</f>
        <v>c5.56i</v>
      </c>
      <c r="V245" s="2149">
        <f>MAX(0,('Status (c3a)'!AE33+'Deductions (c4)'!I383)-(V219+V237+V241+V243))</f>
        <v>125140</v>
      </c>
      <c r="W245" s="26"/>
      <c r="Z245" s="9" t="str">
        <f>"lower of ("&amp;E176&amp;" minus ("&amp;Y68&amp;" + "&amp;Y217&amp;" + "&amp;Y238&amp;" + "&amp;Y240&amp;" + "&amp;Y242&amp;" + "&amp;Y244&amp;")) and"</f>
        <v>lower of (c5.36 minus (c5.58a.1b + c5.58a.54 + c5.58a.63 + c5.58a.64 + c5.58a.65 + c5.58a.66)) and</v>
      </c>
      <c r="AB245" s="458"/>
      <c r="AL245" s="291"/>
    </row>
    <row r="246" spans="1:56" x14ac:dyDescent="0.25">
      <c r="A246" s="8" t="s">
        <v>7876</v>
      </c>
      <c r="G246" s="860"/>
      <c r="O246" s="26"/>
      <c r="P246" s="9"/>
      <c r="Q246" s="2180" t="str">
        <f>A135</f>
        <v>c5.55.6b</v>
      </c>
      <c r="R246" s="2149">
        <f>MAX(0,SR_band-R244)</f>
        <v>5000</v>
      </c>
      <c r="S246" s="26"/>
      <c r="V246" s="9" t="str">
        <f>"lower of ("&amp;U245&amp;" and ("&amp;'Deductions (c4)'!L639&amp;" minus "&amp;U241&amp;"))"</f>
        <v>lower of (c5.56i and (c4.79 minus c5.56g))</v>
      </c>
      <c r="W246" s="9"/>
      <c r="Z246" s="9" t="str">
        <f>"(("&amp;'Status (c3a)'!H33&amp;" + "&amp;U8&amp;" + "&amp;'Status (c3a)'!P33&amp;" + "&amp;'Status (c3a)'!X33&amp;" + "&amp;'Status (c3a)'!AA33&amp;") minus ("&amp;Y74&amp;" + "&amp;Y76&amp;" + "&amp;Y219&amp;" + "&amp;Y238&amp;" + "&amp;Y240&amp;" + "&amp;Y242&amp;" + "&amp;Y244&amp;"))"</f>
        <v>((c3a.1a + c5.2 + c3a.2a + c3a.3 + c3a.3.1) minus (c5.58a.3 + c5.58a.4 + c5.58a.55 + c5.58a.63 + c5.58a.64 + c5.58a.65 + c5.58a.66))</v>
      </c>
    </row>
    <row r="247" spans="1:56" x14ac:dyDescent="0.25">
      <c r="A247" s="8" t="s">
        <v>7877</v>
      </c>
      <c r="G247" s="860"/>
      <c r="O247" s="883"/>
      <c r="R247" s="9" t="str">
        <f>"lower of ("&amp;Q79&amp;" minus "&amp;Q242&amp;") and ("&amp;E199&amp;" minus ("&amp;M33&amp;" + "&amp;AG36&amp;" + "&amp;AO36&amp;" + "&amp;I199&amp;" + "&amp;Q199&amp;" + "&amp;Q246&amp;"))"</f>
        <v>lower of (c5.52c minus c5.55.6) and (c5.37 minus (c5.14 + c5.19 + c5.20c + c5.46 + c5.52l + c5.55.6b))</v>
      </c>
      <c r="S247" s="9"/>
      <c r="U247" s="2181" t="str">
        <f>A190</f>
        <v>c5.56j</v>
      </c>
      <c r="V247" s="2149">
        <f>MAX(0,MIN(V245,PSA-V241))</f>
        <v>1000</v>
      </c>
      <c r="W247" s="26"/>
      <c r="Y247" s="2180" t="str">
        <f>A276</f>
        <v>c5.58a.66a</v>
      </c>
      <c r="Z247" s="2149">
        <f>MAX(0,MIN(F176-(Z68+Z217+Z238+Z240+Z242+Z244),('Status (c3a)'!I33+V8+'Status (c3a)'!Q33+'Status (c3a)'!Y33+'Status (c3a)'!AB33)-(Z74+Z76+Z219+Z238+Z240+Z242+Z244)))</f>
        <v>0</v>
      </c>
      <c r="BB247" s="9"/>
    </row>
    <row r="248" spans="1:56" x14ac:dyDescent="0.25">
      <c r="A248" s="8" t="s">
        <v>9540</v>
      </c>
      <c r="G248" s="860"/>
      <c r="O248" s="9"/>
      <c r="P248" s="9" t="s">
        <v>7879</v>
      </c>
      <c r="Q248" s="2180" t="str">
        <f>A136</f>
        <v>c5.55.7</v>
      </c>
      <c r="R248" s="2149">
        <f>MAX(0,MIN(R79-R242,F199-(N33+AH36+AP36+J199+R199+R246)))</f>
        <v>0</v>
      </c>
      <c r="S248" s="26"/>
      <c r="V248" s="9" t="str">
        <f>"lower of "&amp;U247&amp;" and ("&amp;U221&amp;" minus ("&amp;U237&amp;" + "&amp;U241&amp;" + "&amp;U243&amp;"))"</f>
        <v>lower of c5.56j and (c5.56.2 minus (c5.56e1 + c5.56g + c5.56h))</v>
      </c>
      <c r="W248" s="9"/>
      <c r="Y248" s="9"/>
      <c r="Z248" s="9" t="str">
        <f>"("&amp;Y238&amp;" × "&amp;'Status (c3a)'!H45&amp;") + ("&amp;Y240&amp;" × "&amp;'Status (c3a)'!L45&amp;") + ("&amp;Y242&amp;" × "&amp;'Status (c3a)'!P45&amp;") + ("&amp;Y244&amp;" × "&amp;'Status (c3a)'!X45&amp;") + ("&amp;Y247&amp;" × "&amp;'Status (c3a)'!AA45&amp;")"</f>
        <v>(c5.58a.63 × c3a.3b) + (c5.58a.64 × c3a.4) + (c5.58a.65 × c3a.4a) + (c5.58a.66 × c3a.5) + (c5.58a.66a × c3a.5a)</v>
      </c>
    </row>
    <row r="249" spans="1:56" x14ac:dyDescent="0.25">
      <c r="A249" s="8" t="s">
        <v>7878</v>
      </c>
      <c r="G249" s="860"/>
      <c r="O249" s="26"/>
      <c r="Q249" s="221"/>
      <c r="R249" s="9" t="str">
        <f>"lower of ("&amp;Q242&amp;" and "&amp;Q240&amp;") × DivBR_rate ("&amp;DivBR_rate*100&amp;"%)"</f>
        <v>lower of (c5.55.6 and c5.55.5) × DivBR_rate (8.75%)</v>
      </c>
      <c r="S249" s="9"/>
      <c r="T249" s="9" t="s">
        <v>7735</v>
      </c>
      <c r="U249" s="2181" t="str">
        <f>A191</f>
        <v>c5.56k</v>
      </c>
      <c r="V249" s="2149">
        <f>MAX(0,MIN(V247,V221-(V237+V241+V243)))</f>
        <v>0</v>
      </c>
      <c r="W249" s="26"/>
      <c r="X249" s="9" t="s">
        <v>7646</v>
      </c>
      <c r="Y249" s="2180" t="str">
        <f>A277</f>
        <v>c5.58a.67</v>
      </c>
      <c r="Z249" s="2182">
        <f>TRUNC((Z238*'Status (c3a)'!I45)+(Z240*'Status (c3a)'!M45)+(Z242*'Status (c3a)'!Q45)+(Z244*'Status (c3a)'!Y45)+(Z247*'Status (c3a)'!AB45),2)</f>
        <v>0</v>
      </c>
      <c r="AA249" s="861" t="s">
        <v>7647</v>
      </c>
    </row>
    <row r="250" spans="1:56" x14ac:dyDescent="0.25">
      <c r="A250" s="8" t="s">
        <v>7880</v>
      </c>
      <c r="G250" s="860"/>
      <c r="Q250" s="2180" t="str">
        <f>A137</f>
        <v>c5.55.8</v>
      </c>
      <c r="R250" s="2182">
        <f>TRUNC(MIN(R242,R240)*DivBR_rate,2)</f>
        <v>0</v>
      </c>
      <c r="S250" s="861" t="s">
        <v>7647</v>
      </c>
      <c r="V250" s="9" t="str">
        <f>"lower of ("&amp;U221&amp;" minus ("&amp;U237&amp;" + "&amp;U241&amp;" + "&amp;U243&amp;" + "&amp;U249&amp;")) and "&amp;U245</f>
        <v>lower of (c5.56.2 minus (c5.56e1 + c5.56g + c5.56h + c5.56k)) and c5.56i</v>
      </c>
      <c r="W250" s="9"/>
      <c r="Y250" s="9"/>
      <c r="Z250" s="9" t="str">
        <f>Y236&amp;" minus "&amp;Y249</f>
        <v>c5.58a.62 minus c5.58a.67</v>
      </c>
    </row>
    <row r="251" spans="1:56" x14ac:dyDescent="0.25">
      <c r="A251" s="8" t="s">
        <v>7881</v>
      </c>
      <c r="G251" s="860"/>
      <c r="R251" s="9" t="str">
        <f>"("&amp;Q242&amp;" minus (lower of "&amp;Q242&amp;" and "&amp;Q240&amp;")) × DivHR_rate ("&amp;DivHR_rate*100&amp;"%)"</f>
        <v>(c5.55.6 minus (lower of c5.55.6 and c5.55.5)) × DivHR_rate (33.75%)</v>
      </c>
      <c r="S251" s="26"/>
      <c r="T251" s="9" t="s">
        <v>7738</v>
      </c>
      <c r="U251" s="2181" t="str">
        <f>A192</f>
        <v>c5.56l</v>
      </c>
      <c r="V251" s="2149">
        <f>MAX(0,MIN(V221-(V237+V241+V243+V249),V245))</f>
        <v>0</v>
      </c>
      <c r="W251" s="26"/>
      <c r="X251" s="884" t="s">
        <v>7676</v>
      </c>
      <c r="Y251" s="2180" t="str">
        <f>A278</f>
        <v>c5.58a.68</v>
      </c>
      <c r="Z251" s="2182">
        <f>MAX(0,Z236-Z249)</f>
        <v>0</v>
      </c>
    </row>
    <row r="252" spans="1:56" x14ac:dyDescent="0.25">
      <c r="A252" s="8" t="s">
        <v>7882</v>
      </c>
      <c r="G252" s="860"/>
      <c r="O252" s="9"/>
      <c r="Q252" s="2180" t="str">
        <f>A138</f>
        <v>c5.55.9</v>
      </c>
      <c r="R252" s="2182">
        <f>MAX(0,TRUNC((R242-(MIN(R242,R240)))*DivHR_rate,2))</f>
        <v>0</v>
      </c>
      <c r="S252" s="861" t="s">
        <v>7647</v>
      </c>
      <c r="V252" s="8" t="str">
        <f>"if "&amp;Q330&amp;" = 0 (zero)"</f>
        <v>if c5.56 = 0 (zero)</v>
      </c>
      <c r="X252" s="9"/>
      <c r="Y252" s="9"/>
      <c r="Z252" s="9" t="str">
        <f>"lower of "&amp;Y221&amp;" and SR_band ("&amp;DOLLAR(SR_band,0)&amp;")"</f>
        <v>lower of c5.58a.56 and SR_band (£5,000)</v>
      </c>
    </row>
    <row r="253" spans="1:56" x14ac:dyDescent="0.25">
      <c r="A253" s="8" t="s">
        <v>7883</v>
      </c>
      <c r="G253" s="860"/>
      <c r="O253" s="496"/>
      <c r="Q253" s="9"/>
      <c r="R253" s="9" t="str">
        <f>Q250&amp;" + "&amp;Q252</f>
        <v>c5.55.8 + c5.55.9</v>
      </c>
      <c r="V253" s="9" t="str">
        <f>U257&amp;" = (lower of "&amp;Q248&amp;" and ("&amp;Q270&amp;" minus "&amp;U243&amp;")) × BR_rate ("&amp;BR_rate*100&amp;"%)"</f>
        <v>c5.56m = (lower of c5.55.7 and (c5.55.17 minus c5.56h)) × BR_rate (20%)</v>
      </c>
      <c r="W253" s="9"/>
      <c r="Y253" s="2180" t="str">
        <f>A279</f>
        <v>c5.58a.69</v>
      </c>
      <c r="Z253" s="2149">
        <f>MIN(Z221,SR_band)</f>
        <v>0</v>
      </c>
    </row>
    <row r="254" spans="1:56" ht="13" x14ac:dyDescent="0.3">
      <c r="A254" s="8" t="s">
        <v>7884</v>
      </c>
      <c r="G254" s="860"/>
      <c r="O254" s="22"/>
      <c r="P254" s="866" t="s">
        <v>7860</v>
      </c>
      <c r="Q254" s="2180" t="str">
        <f>A139</f>
        <v>c5.55.10</v>
      </c>
      <c r="R254" s="2186">
        <f>R250+R252</f>
        <v>0</v>
      </c>
      <c r="V254" s="8" t="s">
        <v>7143</v>
      </c>
      <c r="X254" s="9"/>
      <c r="Y254" s="9"/>
      <c r="Z254" s="9" t="str">
        <f>"lower of "&amp;Y253&amp;" and (SR_band ("&amp;DOLLAR(SR_band,0)&amp;") minus "&amp;Y219&amp;")"</f>
        <v>lower of c5.58a.69 and (SR_band (£5,000) minus c5.58a.55)</v>
      </c>
    </row>
    <row r="255" spans="1:56" x14ac:dyDescent="0.25">
      <c r="A255" s="8" t="s">
        <v>7885</v>
      </c>
      <c r="G255" s="860"/>
      <c r="O255" s="9"/>
      <c r="R255" s="9" t="str">
        <f>"lower of "&amp;Q222&amp;" and "&amp;'Status (c3a)'!H33</f>
        <v>lower of c5.54a and c3a.1a</v>
      </c>
      <c r="V255" s="9" t="str">
        <f>U257&amp;" = (lower of "&amp;Q248&amp;" and ("&amp;Q300&amp;" minus "&amp;U243&amp;")) × BR_rate ("&amp;BR_rate*100&amp;"%)"</f>
        <v>c5.56m = (lower of c5.55.7 and (c5.55.31 minus c5.56h)) × BR_rate (20%)</v>
      </c>
      <c r="W255" s="9"/>
      <c r="X255" s="9" t="s">
        <v>7854</v>
      </c>
      <c r="Y255" s="2180" t="str">
        <f>A280</f>
        <v>c5.58a.70</v>
      </c>
      <c r="Z255" s="2149">
        <f>MIN(Z253,MAX(0,(SR_band-Z219)))</f>
        <v>0</v>
      </c>
      <c r="AB255" s="458"/>
      <c r="AD255" s="9"/>
      <c r="AI255" s="9"/>
    </row>
    <row r="256" spans="1:56" x14ac:dyDescent="0.25">
      <c r="A256" s="8" t="s">
        <v>7886</v>
      </c>
      <c r="G256" s="860"/>
      <c r="O256" s="26"/>
      <c r="P256" s="9" t="s">
        <v>7691</v>
      </c>
      <c r="Q256" s="2180" t="str">
        <f>A140</f>
        <v>c5.55.11</v>
      </c>
      <c r="R256" s="2149">
        <f>MIN(R222,'Status (c3a)'!I33)</f>
        <v>0</v>
      </c>
      <c r="S256" s="26"/>
      <c r="V256" s="8" t="s">
        <v>75</v>
      </c>
      <c r="Y256" s="9"/>
      <c r="Z256" s="9" t="str">
        <f>"lower of ("&amp;Y221&amp;" minus "&amp;Y255&amp;") and "&amp;'Deductions (c4)'!L639</f>
        <v>lower of (c5.58a.56 minus c5.58a.70) and c4.79</v>
      </c>
      <c r="AB256" s="9"/>
      <c r="AI256" s="9"/>
    </row>
    <row r="257" spans="1:56" x14ac:dyDescent="0.25">
      <c r="A257" s="8" t="s">
        <v>7887</v>
      </c>
      <c r="G257" s="860"/>
      <c r="R257" s="9" t="str">
        <f>"lower of ("&amp;Q222&amp;" minus "&amp;Q256&amp;") and "&amp;U8</f>
        <v>lower of (c5.54a minus c5.55.11) and c5.2</v>
      </c>
      <c r="T257" s="9" t="s">
        <v>7889</v>
      </c>
      <c r="U257" s="2181" t="str">
        <f>A193</f>
        <v>c5.56m</v>
      </c>
      <c r="V257" s="2182">
        <f>MAX(0,IF(R330=0,TRUNC((MIN(R248,R270-V243))*BR_rate,2),TRUNC((MIN(R248,R300-V243))*BR_rate,2)))</f>
        <v>0</v>
      </c>
      <c r="W257" s="861" t="s">
        <v>7647</v>
      </c>
      <c r="Y257" s="2180" t="str">
        <f>A281</f>
        <v>c5.58a.71</v>
      </c>
      <c r="Z257" s="2149">
        <f>MAX(0,MIN(Z221-Z255,'Deductions (c4)'!M639))</f>
        <v>0</v>
      </c>
      <c r="AE257" s="861"/>
      <c r="AI257" s="26"/>
    </row>
    <row r="258" spans="1:56" x14ac:dyDescent="0.25">
      <c r="A258" s="8" t="s">
        <v>7888</v>
      </c>
      <c r="G258" s="860"/>
      <c r="O258" s="9"/>
      <c r="P258" s="9" t="s">
        <v>7696</v>
      </c>
      <c r="Q258" s="2180" t="str">
        <f>A141</f>
        <v>c5.55.12</v>
      </c>
      <c r="R258" s="2149">
        <f>MIN(MAX(0,R222-R256),V8)</f>
        <v>0</v>
      </c>
      <c r="S258" s="496"/>
      <c r="V258" s="8" t="str">
        <f>"if "&amp;Q330&amp;" = 0 (zero)"</f>
        <v>if c5.56 = 0 (zero)</v>
      </c>
      <c r="Y258" s="9"/>
      <c r="Z258" s="9" t="str">
        <f>"lower of "&amp;Y257&amp;" and ("&amp;AK8&amp;" minus "&amp;Y219&amp;")"</f>
        <v>lower of c5.58a.71 and (c5.2a minus c5.58a.55)</v>
      </c>
      <c r="AB258" s="12"/>
      <c r="AG258" s="12"/>
      <c r="AH258" s="12"/>
      <c r="AI258" s="9"/>
    </row>
    <row r="259" spans="1:56" x14ac:dyDescent="0.25">
      <c r="A259" s="8" t="s">
        <v>7890</v>
      </c>
      <c r="G259" s="860"/>
      <c r="O259" s="9"/>
      <c r="P259" s="210"/>
      <c r="Q259" s="210"/>
      <c r="R259" s="9" t="str">
        <f>"lower of ("&amp;Q222&amp;" minus ("&amp;Q256&amp;" + "&amp;Q258&amp;")) and "&amp;'Status (c3a)'!P33</f>
        <v>lower of (c5.54a minus (c5.55.11 + c5.55.12)) and c3a.2a</v>
      </c>
      <c r="V259" s="9" t="str">
        <f>U263&amp;" = (lower of "&amp;Q248&amp;" and ("&amp;Q278&amp;" minus "&amp;U251&amp;")) × HR_rate ("&amp;HR_rate*100&amp;"%)"</f>
        <v>c5.56n = (lower of c5.55.7 and (c5.55.21 minus c5.56l)) × HR_rate (40%)</v>
      </c>
      <c r="W259" s="9"/>
      <c r="X259" s="9" t="s">
        <v>7720</v>
      </c>
      <c r="Y259" s="2180" t="str">
        <f>A282</f>
        <v>c5.58a.72</v>
      </c>
      <c r="Z259" s="2149">
        <f>MAX(0,MIN(Z257,AL8-Z219))</f>
        <v>0</v>
      </c>
      <c r="AE259" s="26"/>
      <c r="AI259" s="26"/>
    </row>
    <row r="260" spans="1:56" x14ac:dyDescent="0.25">
      <c r="A260" s="8" t="s">
        <v>7891</v>
      </c>
      <c r="G260" s="860"/>
      <c r="O260" s="9"/>
      <c r="P260" s="9" t="s">
        <v>7701</v>
      </c>
      <c r="Q260" s="2180" t="str">
        <f>A142</f>
        <v>c5.55.13</v>
      </c>
      <c r="R260" s="2149">
        <f>MAX(0,MIN((R222-(R256+R258)),'Status (c3a)'!Q33))</f>
        <v>0</v>
      </c>
      <c r="S260" s="26"/>
      <c r="V260" s="8" t="s">
        <v>7143</v>
      </c>
      <c r="Y260" s="9"/>
      <c r="Z260" s="9" t="str">
        <f>"lower of ("&amp;Y221&amp;" minus ("&amp;Y255&amp;" + "&amp;Y259&amp;")) and ("&amp;AK8&amp;" minus ("&amp;Y219&amp;" + "&amp;Y255&amp;" + "&amp;Y259&amp;"))"</f>
        <v>lower of (c5.58a.56 minus (c5.58a.70 + c5.58a.72)) and (c5.2a minus (c5.58a.55 + c5.58a.70 + c5.58a.72))</v>
      </c>
      <c r="AE260" s="26"/>
      <c r="AI260" s="26"/>
    </row>
    <row r="261" spans="1:56" x14ac:dyDescent="0.25">
      <c r="A261" s="8" t="s">
        <v>7892</v>
      </c>
      <c r="G261" s="860"/>
      <c r="O261" s="9"/>
      <c r="R261" s="9" t="str">
        <f>"lower of ("&amp;Q222&amp;" minus ("&amp;Q256&amp;" + "&amp;Q258&amp;" + "&amp;Q260&amp;")) and "&amp;'Status (c3a)'!X33</f>
        <v>lower of (c5.54a minus (c5.55.11 + c5.55.12 + c5.55.13)) and c3a.3</v>
      </c>
      <c r="V261" s="9" t="str">
        <f>U263&amp;" = (lower of "&amp;Q248&amp;" and ("&amp;Q308&amp;" minus "&amp;U251&amp;")) × HR_rate ("&amp;HR_rate*100&amp;"%)"</f>
        <v>c5.56n = (lower of c5.55.7 and (c5.55.35 minus c5.56l)) × HR_rate (40%)</v>
      </c>
      <c r="W261" s="9"/>
      <c r="X261" s="9" t="s">
        <v>7724</v>
      </c>
      <c r="Y261" s="2180" t="str">
        <f>A283</f>
        <v>c5.58a.73</v>
      </c>
      <c r="Z261" s="2149">
        <f>MAX(0,MIN(Z221-(Z255+Z259),(AL8-(Z219+Z255+Z259))))</f>
        <v>0</v>
      </c>
      <c r="AA261" s="12"/>
      <c r="AE261" s="26"/>
      <c r="AI261" s="26"/>
    </row>
    <row r="262" spans="1:56" x14ac:dyDescent="0.25">
      <c r="A262" s="8" t="s">
        <v>7893</v>
      </c>
      <c r="G262" s="860"/>
      <c r="O262" s="9"/>
      <c r="P262" s="9" t="s">
        <v>7704</v>
      </c>
      <c r="Q262" s="2180" t="str">
        <f>A143</f>
        <v>c5.55.14</v>
      </c>
      <c r="R262" s="2149">
        <f>MAX(0,MIN((R222-(R256+R258+R260)),'Status (c3a)'!Y33))</f>
        <v>0</v>
      </c>
      <c r="V262" s="8" t="s">
        <v>75</v>
      </c>
      <c r="Y262" s="9"/>
      <c r="Z262" s="9" t="str">
        <f>"("&amp;'Status (c3a)'!AD33&amp;" + "&amp;'Deductions (c4)'!H383&amp;") minus ("&amp;Y219&amp;" + "&amp;Y255&amp;" + "&amp;Y259&amp;" + "&amp;Y261&amp;")"</f>
        <v>(c3a.3a + c4.59) minus (c5.58a.55 + c5.58a.70 + c5.58a.72 + c5.58a.73)</v>
      </c>
      <c r="AE262" s="26"/>
      <c r="AI262" s="26"/>
    </row>
    <row r="263" spans="1:56" x14ac:dyDescent="0.25">
      <c r="A263" s="8" t="s">
        <v>7894</v>
      </c>
      <c r="G263" s="860"/>
      <c r="O263" s="9"/>
      <c r="R263" s="9" t="str">
        <f>"lower of ("&amp;Q222&amp;" minus ("&amp;Q256&amp;" + "&amp;Q258&amp;" + "&amp;Q260&amp;" + "&amp;Q262&amp;")) and "&amp;'Status (c3a)'!AA33</f>
        <v>lower of (c5.54a minus (c5.55.11 + c5.55.12 + c5.55.13 + c5.55.14)) and c3a.3.1</v>
      </c>
      <c r="T263" s="9" t="s">
        <v>7896</v>
      </c>
      <c r="U263" s="2181" t="str">
        <f>A194</f>
        <v>c5.56n</v>
      </c>
      <c r="V263" s="2182">
        <f>MAX(0,IF(R330=0,TRUNC((MIN(R248,R278-V251))*HR_rate,2),TRUNC((MIN(R248,R308-V251))*HR_rate,2)))</f>
        <v>0</v>
      </c>
      <c r="W263" s="861" t="s">
        <v>7647</v>
      </c>
      <c r="Y263" s="2180" t="str">
        <f>A284</f>
        <v>c5.58a.74</v>
      </c>
      <c r="Z263" s="2149">
        <f>MAX(0,('Status (c3a)'!AE33+'Deductions (c4)'!I383)-(Z219+Z255+Z259+Z261))</f>
        <v>125140</v>
      </c>
      <c r="AE263" s="26"/>
      <c r="AI263" s="26"/>
    </row>
    <row r="264" spans="1:56" s="12" customFormat="1" x14ac:dyDescent="0.25">
      <c r="A264" s="8" t="s">
        <v>7895</v>
      </c>
      <c r="B264" s="8"/>
      <c r="C264" s="8"/>
      <c r="D264" s="8"/>
      <c r="E264" s="8"/>
      <c r="F264" s="8"/>
      <c r="G264" s="860"/>
      <c r="H264" s="8"/>
      <c r="I264" s="8"/>
      <c r="J264" s="8"/>
      <c r="K264" s="8"/>
      <c r="L264" s="8"/>
      <c r="M264" s="8"/>
      <c r="N264" s="8"/>
      <c r="O264" s="8"/>
      <c r="P264" s="9" t="s">
        <v>7898</v>
      </c>
      <c r="Q264" s="2180" t="str">
        <f>A144</f>
        <v>c5.55.14a</v>
      </c>
      <c r="R264" s="2149">
        <f>MAX(0,MIN((R222-(R256+R258+R260+R262)),'Status (c3a)'!AB33))</f>
        <v>0</v>
      </c>
      <c r="T264" s="8"/>
      <c r="U264" s="8"/>
      <c r="V264" s="9" t="str">
        <f>U257&amp;" + "&amp;U263</f>
        <v>c5.56m + c5.56n</v>
      </c>
      <c r="W264" s="9"/>
      <c r="X264" s="8"/>
      <c r="Y264" s="9"/>
      <c r="Z264" s="9" t="str">
        <f>"lower of ("&amp;Y263&amp;" and ("&amp;'Deductions (c4)'!L639&amp;" minus "&amp;Y259&amp;"))"</f>
        <v>lower of (c5.58a.74 and (c4.79 minus c5.58a.72))</v>
      </c>
      <c r="AA264" s="8"/>
      <c r="AB264" s="8"/>
      <c r="AE264" s="861"/>
      <c r="AF264" s="8"/>
      <c r="AG264" s="8"/>
      <c r="AH264" s="8"/>
      <c r="AI264" s="9"/>
      <c r="AJ264" s="8"/>
    </row>
    <row r="265" spans="1:56" ht="13" x14ac:dyDescent="0.3">
      <c r="A265" s="8" t="s">
        <v>7897</v>
      </c>
      <c r="G265" s="860"/>
      <c r="O265" s="9"/>
      <c r="R265" s="9" t="str">
        <f>"lower of ("&amp;Q224&amp;" minus "&amp;Q228&amp;") and "&amp;'Deductions (c4)'!L639</f>
        <v>lower of (c5.54a1 minus c5.54c) and c4.79</v>
      </c>
      <c r="S265" s="26"/>
      <c r="T265" s="866" t="s">
        <v>7900</v>
      </c>
      <c r="U265" s="2181" t="str">
        <f>A195</f>
        <v>c5.56o</v>
      </c>
      <c r="V265" s="2182">
        <f>V257+V263</f>
        <v>0</v>
      </c>
      <c r="W265" s="26"/>
      <c r="Y265" s="2180" t="str">
        <f>A285</f>
        <v>c5.58a.75</v>
      </c>
      <c r="Z265" s="2149">
        <f>MAX(0,MIN(Z263,PSA-Z259))</f>
        <v>1000</v>
      </c>
      <c r="AI265" s="26"/>
    </row>
    <row r="266" spans="1:56" x14ac:dyDescent="0.25">
      <c r="A266" s="8" t="s">
        <v>7899</v>
      </c>
      <c r="G266" s="860"/>
      <c r="P266" s="9" t="s">
        <v>7902</v>
      </c>
      <c r="Q266" s="2180" t="str">
        <f>A145</f>
        <v>c5.55.15</v>
      </c>
      <c r="R266" s="2149">
        <f>MIN(MAX(0,R224-R228),'Deductions (c4)'!M639)</f>
        <v>0</v>
      </c>
      <c r="S266" s="862"/>
      <c r="V266" s="9" t="str">
        <f>"If "&amp;U265&amp;" larger than or equal to "&amp;U233</f>
        <v>If c5.56o larger than or equal to c5.56d</v>
      </c>
      <c r="W266" s="9"/>
      <c r="Y266" s="9"/>
      <c r="Z266" s="9" t="str">
        <f>"lower of "&amp;Y265&amp;" and ("&amp;Y221&amp;" minus ("&amp;Y255&amp;" + "&amp;Y259&amp;" + "&amp;Y261&amp;"))"</f>
        <v>lower of c5.58a.75 and (c5.58a.56 minus (c5.58a.70 + c5.58a.72 + c5.58a.73))</v>
      </c>
      <c r="AI266" s="9"/>
    </row>
    <row r="267" spans="1:56" x14ac:dyDescent="0.25">
      <c r="A267" s="8" t="s">
        <v>7901</v>
      </c>
      <c r="B267" s="12"/>
      <c r="G267" s="860"/>
      <c r="O267" s="26"/>
      <c r="R267" s="9" t="str">
        <f>"lower of "&amp;Q266&amp;" and ("&amp;AK8&amp;" minus "&amp;Q222&amp;")"</f>
        <v>lower of c5.55.15 and (c5.2a minus c5.54a)</v>
      </c>
      <c r="V267" s="9" t="str">
        <f>U271&amp;" = "&amp;Q248</f>
        <v>c5.56p = c5.55.7</v>
      </c>
      <c r="W267" s="9"/>
      <c r="X267" s="9" t="s">
        <v>7735</v>
      </c>
      <c r="Y267" s="2180" t="str">
        <f>A286</f>
        <v>c5.58a.76</v>
      </c>
      <c r="Z267" s="2149">
        <f>MAX(0,MIN(Z265,Z221-(Z255+Z259+Z261)))</f>
        <v>0</v>
      </c>
      <c r="AE267" s="12"/>
      <c r="AF267" s="12"/>
      <c r="AI267" s="864"/>
      <c r="AJ267" s="12"/>
    </row>
    <row r="268" spans="1:56" x14ac:dyDescent="0.25">
      <c r="A268" s="8" t="s">
        <v>7903</v>
      </c>
      <c r="B268" s="12"/>
      <c r="G268" s="860"/>
      <c r="O268" s="26"/>
      <c r="P268" s="9" t="s">
        <v>7720</v>
      </c>
      <c r="Q268" s="2180" t="str">
        <f>A146</f>
        <v>c5.55.16</v>
      </c>
      <c r="R268" s="2149">
        <f>MAX(0,MIN(R266,AL8-R222))</f>
        <v>0</v>
      </c>
      <c r="S268" s="12"/>
      <c r="V268" s="9" t="s">
        <v>7143</v>
      </c>
      <c r="W268" s="9"/>
      <c r="Y268" s="9"/>
      <c r="Z268" s="9" t="str">
        <f>"lower of ("&amp;Y221&amp;" minus ("&amp;Y255&amp;" + "&amp;Y259&amp;" + "&amp;Y261&amp;" + "&amp;Y267&amp;")) and "&amp;Y263</f>
        <v>lower of (c5.58a.56 minus (c5.58a.70 + c5.58a.72 + c5.58a.73 + c5.58a.76)) and c5.58a.74</v>
      </c>
      <c r="AD268" s="9" t="str">
        <f>Q149&amp;" + "&amp;Q199&amp;" + "&amp;U280&amp;" + "&amp;AC176</f>
        <v>c5.52h + c5.52l + c5.58 + c5.58h</v>
      </c>
      <c r="AI268" s="9"/>
      <c r="AL268" s="9" t="str">
        <f>AG149&amp;" + "&amp;AG176&amp;" + "&amp;AK149&amp;" + "&amp;AK176&amp;" + "&amp;AK193&amp;" + "&amp;AK199</f>
        <v>c5.58.7 + c5.58.9 + c5.62 + c5.63 + c5.63a + c5.64</v>
      </c>
      <c r="AR268" s="12"/>
      <c r="AS268" s="869"/>
      <c r="AT268" s="864"/>
      <c r="AW268" s="869"/>
      <c r="AX268" s="864"/>
      <c r="AY268" s="148"/>
      <c r="AZ268" s="148"/>
      <c r="BA268" s="869"/>
      <c r="BC268" s="12"/>
      <c r="BD268" s="139"/>
    </row>
    <row r="269" spans="1:56" x14ac:dyDescent="0.25">
      <c r="A269" s="8" t="s">
        <v>7904</v>
      </c>
      <c r="B269" s="12"/>
      <c r="F269" s="9"/>
      <c r="G269" s="860"/>
      <c r="O269" s="26"/>
      <c r="R269" s="9" t="str">
        <f>"lower of ("&amp;Q224&amp;" minus ("&amp;Q228&amp;" + "&amp;Q268&amp;")) and ("&amp;AK8&amp;" minus ("&amp;Q222&amp;" + "&amp;Q228&amp;" + "&amp;Q268&amp;"))"</f>
        <v>lower of (c5.54a1 minus (c5.54c + c5.55.16)) and (c5.2a minus (c5.54a + c5.54c + c5.55.16))</v>
      </c>
      <c r="S269" s="167"/>
      <c r="V269" s="9" t="str">
        <f>U271&amp;" = 0 (zero)"</f>
        <v>c5.56p = 0 (zero)</v>
      </c>
      <c r="W269" s="9"/>
      <c r="X269" s="9" t="s">
        <v>7738</v>
      </c>
      <c r="Y269" s="2180" t="str">
        <f>A287</f>
        <v>c5.58a.77</v>
      </c>
      <c r="Z269" s="2149">
        <f>MAX(0,MIN(Z221-(Z255+Z259+Z261+Z267),Z263))</f>
        <v>0</v>
      </c>
      <c r="AC269" s="2181" t="str">
        <f>A308</f>
        <v>c5.58i</v>
      </c>
      <c r="AD269" s="2149">
        <f>R149+R199+V280+AD176</f>
        <v>0</v>
      </c>
      <c r="AI269" s="26"/>
      <c r="AK269" s="2180" t="str">
        <f>A330</f>
        <v>c5.65</v>
      </c>
      <c r="AL269" s="2149">
        <f>AH149+AH176+AL149+AL176+AL193+AL199</f>
        <v>0</v>
      </c>
      <c r="AR269" s="12"/>
      <c r="AS269" s="869"/>
      <c r="AT269" s="864"/>
      <c r="AW269" s="869"/>
      <c r="AX269" s="864"/>
      <c r="AY269" s="148"/>
      <c r="AZ269" s="148"/>
      <c r="BA269" s="869"/>
      <c r="BB269" s="864"/>
      <c r="BC269" s="12"/>
      <c r="BD269" s="139"/>
    </row>
    <row r="270" spans="1:56" x14ac:dyDescent="0.25">
      <c r="A270" s="8" t="s">
        <v>7905</v>
      </c>
      <c r="B270" s="12"/>
      <c r="G270" s="860"/>
      <c r="O270" s="26"/>
      <c r="P270" s="9" t="s">
        <v>7724</v>
      </c>
      <c r="Q270" s="2180" t="str">
        <f>A147</f>
        <v>c5.55.17</v>
      </c>
      <c r="R270" s="2149">
        <f>MAX(0,MIN(R224-(R228+R268),(AL8-(R222+R228+R268))))</f>
        <v>0</v>
      </c>
      <c r="S270" s="863"/>
      <c r="T270" s="12"/>
      <c r="V270" s="9" t="s">
        <v>75</v>
      </c>
      <c r="W270" s="9"/>
      <c r="Y270" s="9"/>
      <c r="Z270" s="9" t="str">
        <f>"lower of "&amp;Y76&amp;" and ((BR_band ("&amp;DOLLAR(BR_band,0)&amp;") + "&amp;'Deductions (c4)'!L511&amp;") minus ("&amp;Y221&amp;" + "&amp;Y219&amp;"))"</f>
        <v>lower of c5.58a.4 and ((BR_band (£37,700) + c4.75) minus (c5.58a.56 + c5.58a.55))</v>
      </c>
      <c r="AI270" s="9"/>
      <c r="AR270" s="12"/>
      <c r="AS270" s="869"/>
      <c r="AT270" s="864"/>
      <c r="AW270" s="869"/>
      <c r="AX270" s="864"/>
      <c r="AY270" s="148"/>
      <c r="AZ270" s="148"/>
      <c r="BA270" s="869"/>
      <c r="BB270" s="864"/>
      <c r="BC270" s="12"/>
      <c r="BD270" s="139"/>
    </row>
    <row r="271" spans="1:56" x14ac:dyDescent="0.25">
      <c r="A271" s="8" t="s">
        <v>7906</v>
      </c>
      <c r="B271" s="12"/>
      <c r="G271" s="860"/>
      <c r="H271" s="35"/>
      <c r="O271" s="26"/>
      <c r="Q271" s="9"/>
      <c r="R271" s="9" t="str">
        <f>"("&amp;'Status (c3a)'!AD33&amp;" + "&amp;'Deductions (c4)'!H383&amp;") minus ("&amp;Q222&amp;" + "&amp;Q228&amp;" + "&amp;Q268&amp;" + "&amp;Q270&amp;")"</f>
        <v>(c3a.3a + c4.59) minus (c5.54a + c5.54c + c5.55.16 + c5.55.17)</v>
      </c>
      <c r="U271" s="2181" t="str">
        <f>A196</f>
        <v>c5.56p</v>
      </c>
      <c r="V271" s="2149">
        <f>IF(V265&gt;=V233,R248,0)</f>
        <v>0</v>
      </c>
      <c r="W271" s="26"/>
      <c r="X271" s="36" t="s">
        <v>7848</v>
      </c>
      <c r="Y271" s="2180" t="str">
        <f>A288</f>
        <v>c5.58a.78</v>
      </c>
      <c r="Z271" s="2149">
        <f>MAX(0,MIN(Z76,(BR_band+'Deductions (c4)'!M511)-(Z221+Z219)))</f>
        <v>0</v>
      </c>
      <c r="AI271" s="9"/>
      <c r="AR271" s="12"/>
      <c r="AS271" s="869"/>
      <c r="AT271" s="864"/>
      <c r="AW271" s="869"/>
      <c r="AX271" s="864"/>
      <c r="AY271" s="148"/>
      <c r="AZ271" s="148"/>
      <c r="BA271" s="869"/>
      <c r="BB271" s="864"/>
      <c r="BC271" s="12"/>
      <c r="BD271" s="139"/>
    </row>
    <row r="272" spans="1:56" x14ac:dyDescent="0.25">
      <c r="A272" s="8" t="s">
        <v>7907</v>
      </c>
      <c r="G272" s="860"/>
      <c r="H272" s="35"/>
      <c r="J272" s="9" t="s">
        <v>4816</v>
      </c>
      <c r="Q272" s="2180" t="str">
        <f>A148</f>
        <v>c5.55.18</v>
      </c>
      <c r="R272" s="2149">
        <f>MAX(0,('Status (c3a)'!AE33+'Deductions (c4)'!I383)-(R222+R228+R268+R270))</f>
        <v>125140</v>
      </c>
      <c r="S272" s="862"/>
      <c r="Y272" s="9"/>
      <c r="Z272" s="9" t="str">
        <f>"lower of "&amp;U225&amp;" and "&amp;Y147</f>
        <v>lower of c5.56b and c5.58a.35</v>
      </c>
      <c r="AD272" s="9"/>
      <c r="AI272" s="9"/>
      <c r="AX272" s="26"/>
    </row>
    <row r="273" spans="1:56" x14ac:dyDescent="0.25">
      <c r="A273" s="8" t="s">
        <v>7908</v>
      </c>
      <c r="G273" s="860"/>
      <c r="H273" s="35"/>
      <c r="I273" s="2029" t="str">
        <f>A71</f>
        <v>c5.47a</v>
      </c>
      <c r="J273" s="2129">
        <v>0</v>
      </c>
      <c r="R273" s="9" t="str">
        <f>"lower of ("&amp;Q272&amp;" and ("&amp;'Deductions (c4)'!L639&amp;" minus "&amp;Q268&amp;"))"</f>
        <v>lower of (c5.55.18 and (c4.79 minus c5.55.16))</v>
      </c>
      <c r="U273" s="9"/>
      <c r="V273" s="9" t="str">
        <f>"lower of "&amp;Q330&amp;" and ("&amp;E149&amp;" minus "&amp;Q149&amp;")"</f>
        <v>lower of c5.56 and (c5.35 minus c5.52h)</v>
      </c>
      <c r="W273" s="9"/>
      <c r="X273" s="36" t="s">
        <v>7605</v>
      </c>
      <c r="Y273" s="2180" t="str">
        <f>A289</f>
        <v>c5.58a.79</v>
      </c>
      <c r="Z273" s="2149">
        <f>MIN(V225,Z147)</f>
        <v>0</v>
      </c>
      <c r="AI273" s="9"/>
    </row>
    <row r="274" spans="1:56" x14ac:dyDescent="0.25">
      <c r="A274" s="8" t="s">
        <v>7909</v>
      </c>
      <c r="G274" s="860"/>
      <c r="H274" s="35"/>
      <c r="Q274" s="2180" t="str">
        <f>A149</f>
        <v>c5.55.19</v>
      </c>
      <c r="R274" s="2149">
        <f>MAX(0,MIN(R272,PSA-R268))</f>
        <v>1000</v>
      </c>
      <c r="S274" s="458"/>
      <c r="U274" s="2180" t="str">
        <f>A198</f>
        <v>c5.57</v>
      </c>
      <c r="V274" s="2149">
        <f>MAX(0,MIN(R330,F149-R149))</f>
        <v>0</v>
      </c>
      <c r="W274" s="26"/>
      <c r="Y274" s="9"/>
      <c r="Z274" s="9" t="str">
        <f>Y271&amp;" minus "&amp;Y273</f>
        <v>c5.58a.78 minus c5.58a.79</v>
      </c>
      <c r="AI274" s="9"/>
    </row>
    <row r="275" spans="1:56" x14ac:dyDescent="0.25">
      <c r="A275" s="8" t="s">
        <v>7910</v>
      </c>
      <c r="E275" s="9"/>
      <c r="F275" s="9" t="s">
        <v>7252</v>
      </c>
      <c r="G275" s="860"/>
      <c r="H275" s="35"/>
      <c r="R275" s="9" t="str">
        <f>"lower of "&amp;Q274&amp;" and ("&amp;Q224&amp;" minus ("&amp;Q228&amp;" + "&amp;Q268&amp;" + "&amp;Q270&amp;"))"</f>
        <v>lower of c5.55.19 and (c5.54a1 minus (c5.54c + c5.55.16 + c5.55.17))</v>
      </c>
      <c r="V275" s="9" t="str">
        <f>"lower of "&amp;U271&amp;" and (("&amp;E149&amp;" minus "&amp;Q330&amp;") + "&amp;I136&amp;")"</f>
        <v>lower of c5.56p and ((c5.35 minus c5.56) + c5.43c)</v>
      </c>
      <c r="W275" s="9"/>
      <c r="X275" s="36" t="s">
        <v>7610</v>
      </c>
      <c r="Y275" s="2180" t="str">
        <f>A290</f>
        <v>c5.58a.80</v>
      </c>
      <c r="Z275" s="2149">
        <f>MAX(0,Z271-Z273)</f>
        <v>0</v>
      </c>
      <c r="AI275" s="413"/>
    </row>
    <row r="276" spans="1:56" ht="12.5" x14ac:dyDescent="0.25">
      <c r="A276" s="8" t="s">
        <v>7911</v>
      </c>
      <c r="F276" s="22" t="s">
        <v>7913</v>
      </c>
      <c r="G276" s="860"/>
      <c r="H276" s="35"/>
      <c r="M276" s="885"/>
      <c r="N276" s="885"/>
      <c r="P276" s="9" t="s">
        <v>7735</v>
      </c>
      <c r="Q276" s="2180" t="str">
        <f>A150</f>
        <v>c5.55.20</v>
      </c>
      <c r="R276" s="2149">
        <f>MAX(0,MIN(R274,R224-(R228+R268+R270)))</f>
        <v>0</v>
      </c>
      <c r="U276" s="2180" t="str">
        <f>A197</f>
        <v>c5.57a</v>
      </c>
      <c r="V276" s="2149">
        <f>MAX(0,MIN(V271,(F149-R330)+J136))</f>
        <v>0</v>
      </c>
      <c r="W276" s="26"/>
      <c r="X276" s="12"/>
      <c r="Y276" s="9"/>
      <c r="Z276" s="9" t="str">
        <f>"lower of ("&amp;'Deductions (c4)'!L646&amp;" minus "&amp;Y273&amp;") and ("&amp;Y76&amp;" minus ("&amp;Y273&amp;" + "&amp;Y275&amp;"))"</f>
        <v>lower of (c4.80 minus c5.58a.79) and (c5.58a.4 minus (c5.58a.79 + c5.58a.80))</v>
      </c>
      <c r="AD276" s="9"/>
      <c r="AI276" s="433"/>
    </row>
    <row r="277" spans="1:56" x14ac:dyDescent="0.25">
      <c r="A277" s="8" t="s">
        <v>7912</v>
      </c>
      <c r="F277" s="8" t="s">
        <v>7143</v>
      </c>
      <c r="G277" s="860"/>
      <c r="H277" s="35"/>
      <c r="J277" s="9"/>
      <c r="R277" s="9" t="str">
        <f>"lower of ("&amp;Q224&amp;" minus ("&amp;Q228&amp;" + "&amp;Q268&amp;" + "&amp;Q270&amp;" + "&amp;Q276&amp;")) and "&amp;Q272</f>
        <v>lower of (c5.54a1 minus (c5.54c + c5.55.16 + c5.55.17 + c5.55.20)) and c5.55.18</v>
      </c>
      <c r="V277" s="8" t="str">
        <f>"lower of ("&amp;E8&amp;" minus"</f>
        <v>lower of (c5.1 minus</v>
      </c>
      <c r="X277" s="36" t="s">
        <v>7615</v>
      </c>
      <c r="Y277" s="2180" t="str">
        <f>A291</f>
        <v>c5.58a.81</v>
      </c>
      <c r="Z277" s="2149">
        <f>MAX(0,MIN(DA-Z273,Z76-(Z273+Z275)))</f>
        <v>0</v>
      </c>
      <c r="AD277" s="9" t="s">
        <v>7043</v>
      </c>
      <c r="AI277" s="9"/>
      <c r="AL277" s="9" t="str">
        <f>"lower of ("&amp;E8&amp;" minus"</f>
        <v>lower of (c5.1 minus</v>
      </c>
    </row>
    <row r="278" spans="1:56" x14ac:dyDescent="0.25">
      <c r="A278" s="8" t="s">
        <v>7914</v>
      </c>
      <c r="F278" s="1065" t="str">
        <f>E280&amp;" = ("&amp;'Divs (c3)'!G5&amp;" + "&amp;'Divs (c3)'!G21&amp;") minus "&amp;'Deductions (c4)'!H310</f>
        <v>c5.38 = (c3.1 + c3.5) minus c4.47.27</v>
      </c>
      <c r="G278" s="860"/>
      <c r="J278" s="9"/>
      <c r="P278" s="9" t="s">
        <v>7738</v>
      </c>
      <c r="Q278" s="2180" t="str">
        <f>A151</f>
        <v>c5.55.21</v>
      </c>
      <c r="R278" s="2182">
        <f>MAX(0,MIN(R224-(R228+R268+R270+R276),R272))</f>
        <v>0</v>
      </c>
      <c r="S278" s="862"/>
      <c r="V278" s="9" t="str">
        <f>"("&amp;I205&amp;" + "&amp;I280&amp;" + "&amp;Q149&amp;" + "&amp;Q199&amp;" + "&amp;U274&amp;" + "&amp;U276&amp;"))"</f>
        <v>(c5.47 + c5.48 + c5.52h + c5.52l + c5.57 + c5.57a))</v>
      </c>
      <c r="W278" s="9"/>
      <c r="Y278" s="9"/>
      <c r="Z278" s="9" t="str">
        <f>Y76&amp;" minus ("&amp;Y273&amp;" + "&amp;Y275&amp;" + "&amp;Y277&amp;")"</f>
        <v>c5.58a.4 minus (c5.58a.79 + c5.58a.80 + c5.58a.81)</v>
      </c>
      <c r="AC278" s="2181" t="str">
        <f>A309</f>
        <v>c5.58j</v>
      </c>
      <c r="AD278" s="2169">
        <v>0</v>
      </c>
      <c r="AI278" s="864"/>
      <c r="AL278" s="9" t="str">
        <f>"("&amp;I205&amp;" + "&amp;I280&amp;" + "&amp;AC269&amp;" + "&amp;AC280&amp;" + "&amp;AK269&amp;")) and"</f>
        <v>(c5.47 + c5.48 + c5.58i + c5.58k + c5.65)) and</v>
      </c>
      <c r="AX278" s="9" t="str">
        <f>" larger of ("&amp;E8&amp;" minus ("&amp;AW149&amp;" + "&amp;AW176&amp;" + "&amp;AW199&amp;")) and"</f>
        <v xml:space="preserve"> larger of (c5.1 minus (c5.67 + c5.68 + c5.69)) and</v>
      </c>
    </row>
    <row r="279" spans="1:56" ht="12" thickBot="1" x14ac:dyDescent="0.3">
      <c r="A279" s="8" t="s">
        <v>7915</v>
      </c>
      <c r="F279" s="8" t="s">
        <v>75</v>
      </c>
      <c r="G279" s="860"/>
      <c r="J279" s="9" t="s">
        <v>4816</v>
      </c>
      <c r="R279" s="9" t="str">
        <f>Q222&amp;" minus "&amp;Q242</f>
        <v>c5.54a minus c5.55.6</v>
      </c>
      <c r="V279" s="9" t="str">
        <f>"and ("&amp;Q242&amp;" + "&amp;Q248&amp;") minus ("&amp;Q330&amp;" + "&amp;U271&amp;")"</f>
        <v>and (c5.55.6 + c5.55.7) minus (c5.56 + c5.56p)</v>
      </c>
      <c r="W279" s="9"/>
      <c r="X279" s="36" t="s">
        <v>7620</v>
      </c>
      <c r="Y279" s="2180" t="str">
        <f>A292</f>
        <v>c5.58a.82</v>
      </c>
      <c r="Z279" s="2149">
        <f>MAX(0,Z76-(Z273+Z275+Z277))</f>
        <v>0</v>
      </c>
      <c r="AD279" s="9" t="str">
        <f>"lower of ("&amp;E8&amp;" minus ("&amp;I205&amp;" + "&amp;I280&amp;" + "&amp;AC269&amp;")) and "&amp;Q86</f>
        <v>lower of (c5.1 minus (c5.47 + c5.48 + c5.58i)) and c5.52d</v>
      </c>
      <c r="AI279" s="9"/>
      <c r="AL279" s="9" t="str">
        <f>"("&amp;U49&amp;" + ("&amp;AK49&amp;" minus ("&amp;U280&amp;" + "&amp;AC280&amp;")) + ("&amp;AS49&amp;" minus "&amp;I280&amp;"))"</f>
        <v>(c5.25 + (c5.30 minus (c5.58 + c5.58k)) + (c5.34 minus c5.48))</v>
      </c>
      <c r="AX279" s="9" t="str">
        <f>"(("&amp;I280&amp;" + "&amp;U280&amp;" + "&amp;AC280&amp;" + "&amp;AK280&amp;") minus "&amp;AW139&amp;")"</f>
        <v>((c5.48 + c5.58 + c5.58k + c5.66) minus c5.66t)</v>
      </c>
      <c r="BB279" s="38" t="str">
        <f>E280&amp;" minus "&amp;AW280</f>
        <v>c5.38 minus c5.70</v>
      </c>
    </row>
    <row r="280" spans="1:56" ht="12.5" thickTop="1" thickBot="1" x14ac:dyDescent="0.3">
      <c r="A280" s="8" t="s">
        <v>7916</v>
      </c>
      <c r="C280" s="139" t="s">
        <v>7165</v>
      </c>
      <c r="D280" s="12"/>
      <c r="E280" s="886" t="s">
        <v>7550</v>
      </c>
      <c r="F280" s="887">
        <f>IF(non_resident,0,'Divs (c3)'!H5+'Divs (c3)'!H21-'Deductions (c4)'!I310)</f>
        <v>0</v>
      </c>
      <c r="G280" s="860"/>
      <c r="I280" s="886" t="str">
        <f>A72</f>
        <v>c5.48</v>
      </c>
      <c r="J280" s="887">
        <v>0</v>
      </c>
      <c r="P280" s="9" t="s">
        <v>7918</v>
      </c>
      <c r="Q280" s="2180" t="str">
        <f>A152</f>
        <v>c5.55.22</v>
      </c>
      <c r="R280" s="2149">
        <f>MAX(0,R222-R242)</f>
        <v>0</v>
      </c>
      <c r="U280" s="886" t="str">
        <f>A199</f>
        <v>c5.58</v>
      </c>
      <c r="V280" s="887">
        <f>MAX(0,MIN(F8-(J205+J280+R149+R199+V274+V276),(R242+R248)-(R330+V271)))</f>
        <v>0</v>
      </c>
      <c r="W280" s="864"/>
      <c r="X280" s="12"/>
      <c r="Y280" s="9"/>
      <c r="Z280" s="9" t="str">
        <f>"lower of "&amp;Y223&amp;" and ("&amp;'Status (c3a)'!H33&amp;" minus ("&amp;Y76&amp;" + "&amp;Y221&amp;" + "&amp;Y219&amp;"))"</f>
        <v>lower of c5.58a.57 and (c3a.1a minus (c5.58a.4 + c5.58a.56 + c5.58a.55))</v>
      </c>
      <c r="AC280" s="2181" t="str">
        <f>A310</f>
        <v>c5.58k</v>
      </c>
      <c r="AD280" s="887">
        <f>MAX(0,MIN(F8-(J205+J280+AD269),R86))</f>
        <v>0</v>
      </c>
      <c r="AE280" s="12"/>
      <c r="AF280" s="12"/>
      <c r="AI280" s="864"/>
      <c r="AJ280" s="12"/>
      <c r="AK280" s="886" t="str">
        <f>A331</f>
        <v>c5.66</v>
      </c>
      <c r="AL280" s="887">
        <f>MAX(0,MIN(F8-(J205+J280+AD269+AD280+AL269),V49+(AL49-(V280+AD280))+(AT49-J280)))</f>
        <v>0</v>
      </c>
      <c r="AW280" s="886" t="str">
        <f>A403</f>
        <v>c5.70</v>
      </c>
      <c r="AX280" s="887">
        <f>MAX(0,F8-(AX149+AX176+AX199),(J280+V280+AD280+AL280)-AX139)</f>
        <v>12570</v>
      </c>
      <c r="AY280" s="864"/>
      <c r="AZ280" s="12"/>
      <c r="BA280" s="886" t="str">
        <f>A412</f>
        <v>c5.79</v>
      </c>
      <c r="BB280" s="887">
        <f>MAX(0,F280-AX280)</f>
        <v>0</v>
      </c>
      <c r="BC280" s="12"/>
      <c r="BD280" s="458" t="s">
        <v>7165</v>
      </c>
    </row>
    <row r="281" spans="1:56" ht="12" thickTop="1" x14ac:dyDescent="0.25">
      <c r="A281" s="8" t="s">
        <v>7917</v>
      </c>
      <c r="G281" s="860"/>
      <c r="R281" s="9" t="str">
        <f>"lower of "&amp;Q280&amp;" and "&amp;'Status (c3a)'!H33</f>
        <v>lower of c5.55.22 and c3a.1a</v>
      </c>
      <c r="X281" s="9" t="s">
        <v>7625</v>
      </c>
      <c r="Y281" s="2180" t="str">
        <f>A293</f>
        <v>c5.58a.83</v>
      </c>
      <c r="Z281" s="2149">
        <f>MAX(0,MIN(Z223,'Status (c3a)'!I33-(Z76+Z221+Z219)))</f>
        <v>0</v>
      </c>
      <c r="AX281" s="26"/>
      <c r="AY281" s="78"/>
      <c r="AZ281" s="78"/>
      <c r="BA281" s="22"/>
      <c r="BB281" s="217"/>
      <c r="BD281" s="458"/>
    </row>
    <row r="282" spans="1:56" x14ac:dyDescent="0.25">
      <c r="A282" s="8" t="s">
        <v>7919</v>
      </c>
      <c r="G282" s="860"/>
      <c r="P282" s="9" t="s">
        <v>7691</v>
      </c>
      <c r="Q282" s="2180" t="str">
        <f>A153</f>
        <v>c5.55.23</v>
      </c>
      <c r="R282" s="2149">
        <f>MIN(R280,'Status (c3a)'!I33)</f>
        <v>0</v>
      </c>
      <c r="S282" s="862"/>
      <c r="Y282" s="9"/>
      <c r="Z282" s="9" t="str">
        <f>"lower of ("&amp;Y223&amp;" minus "&amp;Y281&amp;") and (("&amp;'Status (c3a)'!H33&amp;" + "&amp;U8&amp;") minus ("&amp;Y76&amp;" + "&amp;Y219&amp;" + "&amp;Y221&amp;" + "&amp;Y281&amp;"))"</f>
        <v>lower of (c5.58a.57 minus c5.58a.83) and ((c3a.1a + c5.2) minus (c5.58a.4 + c5.58a.55 + c5.58a.56 + c5.58a.83))</v>
      </c>
    </row>
    <row r="283" spans="1:56" x14ac:dyDescent="0.25">
      <c r="A283" s="8" t="s">
        <v>7920</v>
      </c>
      <c r="E283" s="9"/>
      <c r="F283" s="9" t="s">
        <v>7252</v>
      </c>
      <c r="G283" s="860"/>
      <c r="R283" s="9" t="str">
        <f>"lower of ("&amp;Q280&amp;" minus "&amp;Q282&amp;") and "&amp;U8</f>
        <v>lower of (c5.55.22 minus c5.55.23) and c5.2</v>
      </c>
      <c r="X283" s="9" t="s">
        <v>7629</v>
      </c>
      <c r="Y283" s="2180" t="str">
        <f>A294</f>
        <v>c5.58a.84</v>
      </c>
      <c r="Z283" s="2149">
        <f>MAX(0,MIN((Z223-Z281),(('Status (c3a)'!I33+V8)-(Z76+Z219+Z221+Z281))))</f>
        <v>0</v>
      </c>
    </row>
    <row r="284" spans="1:56" x14ac:dyDescent="0.25">
      <c r="A284" s="8" t="s">
        <v>7921</v>
      </c>
      <c r="F284" s="9" t="s">
        <v>7923</v>
      </c>
      <c r="G284" s="860"/>
      <c r="P284" s="9" t="s">
        <v>7696</v>
      </c>
      <c r="Q284" s="2180" t="str">
        <f>A154</f>
        <v>c5.55.24</v>
      </c>
      <c r="R284" s="2149">
        <f>MIN(MAX(0,R280-R282),V8)</f>
        <v>0</v>
      </c>
      <c r="X284" s="210"/>
      <c r="Y284" s="9"/>
      <c r="Z284" s="9" t="str">
        <f>"lower of ("&amp;Y223&amp;" minus ("&amp;Y281&amp;" + "&amp;Y283&amp;")) and (("&amp;'Status (c3a)'!H33&amp;" + "&amp;U8&amp;" + "&amp;'Status (c3a)'!P33&amp;") minus ("&amp;Y76&amp;" + "&amp;Y219&amp;" + "&amp;Y221&amp;" + "&amp;Y281&amp;" + "&amp;Y283&amp;"))"</f>
        <v>lower of (c5.58a.57 minus (c5.58a.83 + c5.58a.84)) and ((c3a.1a + c5.2 + c3a.2a) minus (c5.58a.4 + c5.58a.55 + c5.58a.56 + c5.58a.83 + c5.58a.84))</v>
      </c>
    </row>
    <row r="285" spans="1:56" x14ac:dyDescent="0.25">
      <c r="A285" s="8" t="s">
        <v>7922</v>
      </c>
      <c r="F285" s="8" t="s">
        <v>7143</v>
      </c>
      <c r="G285" s="860"/>
      <c r="R285" s="9" t="str">
        <f>"lower of ("&amp;Q280&amp;" minus ("&amp;Q282&amp;" + "&amp;Q284&amp;")) and "&amp;'Status (c3a)'!P33</f>
        <v>lower of (c5.55.22 minus (c5.55.23 + c5.55.24)) and c3a.2a</v>
      </c>
      <c r="X285" s="9" t="s">
        <v>7633</v>
      </c>
      <c r="Y285" s="2180" t="str">
        <f>A295</f>
        <v>c5.58a.85</v>
      </c>
      <c r="Z285" s="2149">
        <f>MAX(0,MIN(Z223-(Z281+Z283),('Status (c3a)'!I33+V8+'Status (c3a)'!Q33)-(Z76+Z219+Z221+Z281+Z283)))</f>
        <v>0</v>
      </c>
    </row>
    <row r="286" spans="1:56" x14ac:dyDescent="0.25">
      <c r="A286" s="8" t="s">
        <v>7924</v>
      </c>
      <c r="F286" s="9" t="s">
        <v>7926</v>
      </c>
      <c r="G286" s="860"/>
      <c r="P286" s="9" t="s">
        <v>7701</v>
      </c>
      <c r="Q286" s="2180" t="str">
        <f>A155</f>
        <v>c5.55.25</v>
      </c>
      <c r="R286" s="2149">
        <f>MAX(0,MIN((R280-(R282+R284)),'Status (c3a)'!Q33))</f>
        <v>0</v>
      </c>
      <c r="Y286" s="9"/>
      <c r="Z286" s="9" t="str">
        <f>"lower of ("&amp;Y223&amp;" minus ("&amp;Y281&amp;" + "&amp;Y283&amp;" + "&amp;Y285&amp;")) and (("&amp;'Status (c3a)'!H33&amp;" + "&amp;U8&amp;" + "&amp;'Status (c3a)'!P33&amp;" + "&amp;'Status (c3a)'!X33&amp;") minus ("&amp;Y76&amp;" + "&amp;Y219&amp;" + "&amp;Y221&amp;" + "&amp;Y281&amp;" + "&amp;Y283&amp;" + "&amp;Y285&amp;"))"</f>
        <v>lower of (c5.58a.57 minus (c5.58a.83 + c5.58a.84 + c5.58a.85)) and ((c3a.1a + c5.2 + c3a.2a + c3a.3) minus (c5.58a.4 + c5.58a.55 + c5.58a.56 + c5.58a.83 + c5.58a.84 + c5.58a.85))</v>
      </c>
    </row>
    <row r="287" spans="1:56" ht="12" thickBot="1" x14ac:dyDescent="0.3">
      <c r="A287" s="8" t="s">
        <v>7925</v>
      </c>
      <c r="F287" s="8" t="s">
        <v>75</v>
      </c>
      <c r="G287" s="860"/>
      <c r="R287" s="9" t="str">
        <f>"lower of ("&amp;Q280&amp;" minus ("&amp;Q282&amp;" + "&amp;Q284&amp;" + "&amp;Q286&amp;")) and "&amp;'Status (c3a)'!X33</f>
        <v>lower of (c5.55.22 minus (c5.55.23 + c5.55.24 + c5.55.25)) and c3a.3</v>
      </c>
      <c r="X287" s="9" t="s">
        <v>7638</v>
      </c>
      <c r="Y287" s="2180" t="str">
        <f>A296</f>
        <v>c5.58a.86</v>
      </c>
      <c r="Z287" s="2149">
        <f>MAX(0,MIN(Z223-(Z281+Z283+Z285),('Status (c3a)'!I33+V8+'Status (c3a)'!Q33+'Status (c3a)'!Y33)-(Z76+Z219+Z221+Z281+Z283+Z285)))</f>
        <v>0</v>
      </c>
      <c r="AX287" s="38" t="str">
        <f>AW280&amp;" minus "&amp;E280</f>
        <v>c5.70 minus c5.38</v>
      </c>
      <c r="BB287" s="38" t="str">
        <f>E288&amp;" minus "&amp;AW288</f>
        <v>c5.39 minus c5.71</v>
      </c>
    </row>
    <row r="288" spans="1:56" ht="12.5" thickTop="1" thickBot="1" x14ac:dyDescent="0.3">
      <c r="A288" s="8" t="s">
        <v>7927</v>
      </c>
      <c r="C288" s="139" t="s">
        <v>1485</v>
      </c>
      <c r="E288" s="886" t="s">
        <v>7551</v>
      </c>
      <c r="F288" s="887">
        <f>IF(non_resident,0,'Divs (c3)'!E50+'Divs (c3)'!E51)</f>
        <v>0</v>
      </c>
      <c r="G288" s="860"/>
      <c r="P288" s="9" t="s">
        <v>7704</v>
      </c>
      <c r="Q288" s="2180" t="str">
        <f>A156</f>
        <v>c5.55.26</v>
      </c>
      <c r="R288" s="2149">
        <f>MAX(0,MIN((R280-(R282+R284+R286)),'Status (c3a)'!Y33))</f>
        <v>0</v>
      </c>
      <c r="Z288" s="9" t="str">
        <f>"lower of ("&amp;Y223&amp;" minus ("&amp;Y281&amp;" + "&amp;Y283&amp;" + "&amp;Y285&amp;" + "&amp;Y287&amp;")) and"</f>
        <v>lower of (c5.58a.57 minus (c5.58a.83 + c5.58a.84 + c5.58a.85 + c5.58a.86)) and</v>
      </c>
      <c r="AW288" s="2187" t="str">
        <f>A404</f>
        <v>c5.71</v>
      </c>
      <c r="AX288" s="2129">
        <f>MAX(0,AX280-F280)</f>
        <v>12570</v>
      </c>
      <c r="BA288" s="886" t="str">
        <f>A413</f>
        <v>c5.80</v>
      </c>
      <c r="BB288" s="887">
        <f>MAX(0,F288-AX288)</f>
        <v>0</v>
      </c>
      <c r="BD288" s="458" t="s">
        <v>1485</v>
      </c>
    </row>
    <row r="289" spans="1:56" ht="12" thickTop="1" x14ac:dyDescent="0.25">
      <c r="A289" s="8" t="s">
        <v>7928</v>
      </c>
      <c r="G289" s="860"/>
      <c r="R289" s="9" t="str">
        <f>"lower of ("&amp;Q280&amp;" minus ("&amp;Q282&amp;" + "&amp;Q284&amp;" + "&amp;Q286&amp;" + "&amp;Q288&amp;")) and "&amp;'Status (c3a)'!AA33</f>
        <v>lower of (c5.55.22 minus (c5.55.23 + c5.55.24 + c5.55.25 + c5.55.26)) and c3a.3.1</v>
      </c>
      <c r="Z289" s="9" t="str">
        <f>"(("&amp;'Status (c3a)'!H33&amp;" + "&amp;U8&amp;" + "&amp;'Status (c3a)'!P33&amp;" + "&amp;'Status (c3a)'!X33&amp;" + "&amp;'Status (c3a)'!AA33&amp;") minus ("&amp;Y76&amp;" + "&amp;Y219&amp;" + "&amp;Y221&amp;" + "&amp;Y281&amp;" + "&amp;Y283&amp;" + "&amp;Y285&amp;" + "&amp;Y287&amp;"))"</f>
        <v>((c3a.1a + c5.2 + c3a.2a + c3a.3 + c3a.3.1) minus (c5.58a.4 + c5.58a.55 + c5.58a.56 + c5.58a.83 + c5.58a.84 + c5.58a.85 + c5.58a.86))</v>
      </c>
      <c r="AY289" s="210"/>
      <c r="AZ289" s="210"/>
      <c r="BA289" s="210"/>
      <c r="BB289" s="215"/>
      <c r="BD289" s="458"/>
    </row>
    <row r="290" spans="1:56" x14ac:dyDescent="0.25">
      <c r="A290" s="8" t="s">
        <v>7929</v>
      </c>
      <c r="G290" s="860"/>
      <c r="P290" s="9" t="s">
        <v>7898</v>
      </c>
      <c r="Q290" s="2180" t="str">
        <f>A157</f>
        <v>c5.55.26a</v>
      </c>
      <c r="R290" s="2149">
        <f>MAX(0,MIN((R280-(R282+R284+R286+R288)),'Status (c3a)'!AB33))</f>
        <v>0</v>
      </c>
      <c r="Y290" s="2180" t="str">
        <f>A297</f>
        <v>c5.58a.86a</v>
      </c>
      <c r="Z290" s="2149">
        <f>MAX(0,MIN(Z223-(Z281+Z283+Z285+Z287),('Status (c3a)'!I33+V8+'Status (c3a)'!Q33+'Status (c3a)'!Y33+'Status (c3a)'!AB33)-(Z76+Z219+Z221+Z281+Z283+Z285+Z287)))</f>
        <v>0</v>
      </c>
      <c r="BB290" s="215"/>
    </row>
    <row r="291" spans="1:56" ht="12" thickBot="1" x14ac:dyDescent="0.3">
      <c r="A291" s="8" t="s">
        <v>7930</v>
      </c>
      <c r="F291" s="9" t="s">
        <v>7252</v>
      </c>
      <c r="G291" s="860"/>
      <c r="N291" s="12"/>
      <c r="Q291" s="9"/>
      <c r="R291" s="9" t="str">
        <f>"lower of "&amp;Q224&amp;" and SR_band ("&amp;DOLLAR(SR_band,0)&amp;")"</f>
        <v>lower of c5.54a1 and SR_band (£5,000)</v>
      </c>
      <c r="X291" s="12"/>
      <c r="Y291" s="9"/>
      <c r="Z291" s="9" t="str">
        <f>"("&amp;Y281&amp;" × "&amp;'Status (c3a)'!H45&amp;") + ("&amp;Y283&amp;" × "&amp;'Status (c3a)'!L45&amp;") + ("&amp;Y285&amp;" × "&amp;'Status (c3a)'!P45&amp;") + ("&amp;Y287&amp;" × "&amp;'Status (c3a)'!X45&amp;") + ("&amp;Y290&amp;" × "&amp;'Status (c3a)'!AA45&amp;")"</f>
        <v>(c5.58a.83 × c3a.3b) + (c5.58a.84 × c3a.4) + (c5.58a.85 × c3a.4a) + (c5.58a.86 × c3a.5) + (c5.58a.86a × c3a.5a)</v>
      </c>
      <c r="AA291" s="874"/>
      <c r="AX291" s="38" t="str">
        <f>AW288&amp;" minus "&amp;E288</f>
        <v>c5.71 minus c5.39</v>
      </c>
      <c r="BB291" s="38" t="str">
        <f>E296&amp;" minus "&amp;AW292</f>
        <v>c5.40 minus c5.72</v>
      </c>
    </row>
    <row r="292" spans="1:56" ht="12.5" thickTop="1" thickBot="1" x14ac:dyDescent="0.3">
      <c r="A292" s="8" t="s">
        <v>7931</v>
      </c>
      <c r="F292" s="9" t="s">
        <v>7933</v>
      </c>
      <c r="G292" s="860"/>
      <c r="H292" s="35"/>
      <c r="Q292" s="2180" t="str">
        <f>A158</f>
        <v>c5.55.27</v>
      </c>
      <c r="R292" s="2149">
        <f>MIN(R224,SR_band)</f>
        <v>0</v>
      </c>
      <c r="X292" s="9" t="s">
        <v>7765</v>
      </c>
      <c r="Y292" s="2180" t="str">
        <f>A298</f>
        <v>c5.58a.87</v>
      </c>
      <c r="Z292" s="2182">
        <f>TRUNC((Z281*'Status (c3a)'!I45)+(Z283*'Status (c3a)'!M45)+(Z285*'Status (c3a)'!Q45)+(Z287*'Status (c3a)'!Y45)+(Z290*'Status (c3a)'!AB45),2)</f>
        <v>0</v>
      </c>
      <c r="AA292" s="861" t="s">
        <v>7647</v>
      </c>
      <c r="AW292" s="2187" t="str">
        <f>A405</f>
        <v>c5.72</v>
      </c>
      <c r="AX292" s="2129">
        <f>MAX(0,AX288-F288)</f>
        <v>12570</v>
      </c>
      <c r="BA292" s="886" t="str">
        <f>A414</f>
        <v>c5.81</v>
      </c>
      <c r="BB292" s="887">
        <f>MAX(0,F296-AX292)</f>
        <v>0</v>
      </c>
      <c r="BD292" s="458" t="s">
        <v>5500</v>
      </c>
    </row>
    <row r="293" spans="1:56" ht="12" thickTop="1" x14ac:dyDescent="0.25">
      <c r="A293" s="8" t="s">
        <v>7932</v>
      </c>
      <c r="F293" s="8" t="s">
        <v>7143</v>
      </c>
      <c r="G293" s="860"/>
      <c r="H293" s="35"/>
      <c r="Q293" s="9"/>
      <c r="R293" s="9" t="str">
        <f>"lower of "&amp;Q292&amp;" and (SR_band ("&amp;DOLLAR(SR_band,0)&amp;") minus "&amp;Q280&amp;")"</f>
        <v>lower of c5.55.27 and (SR_band (£5,000) minus c5.55.22)</v>
      </c>
      <c r="S293" s="862"/>
      <c r="X293" s="12"/>
      <c r="Y293" s="9"/>
      <c r="Z293" s="9" t="str">
        <f>"("&amp;Y261&amp;" × BR_rate ("&amp;BR_rate*100&amp;"%)) + ("&amp;Y269&amp;" × HR_rate ("&amp;HR_rate*100&amp;"%)) + ("&amp;Y275&amp;" × DivBR_rate ("&amp;DivBR_rate*100&amp;"%)) + ("&amp;Y279&amp;" × DivHR_rate ("&amp;DivHR_rate*100&amp;"%))"</f>
        <v>(c5.58a.73 × BR_rate (20%)) + (c5.58a.77 × HR_rate (40%)) + (c5.58a.80 × DivBR_rate (8.75%)) + (c5.58a.82 × DivHR_rate (33.75%))</v>
      </c>
      <c r="BB293" s="9" t="str">
        <f>"add "&amp;BA280&amp;" + "&amp;BA288&amp;" + "&amp;BA292&amp;" and copy to "&amp;'tax it (c6)'!Q14&amp;""</f>
        <v>add c5.79 + c5.80 + c5.81 and copy to c6.23</v>
      </c>
      <c r="BD293" s="458"/>
    </row>
    <row r="294" spans="1:56" x14ac:dyDescent="0.25">
      <c r="A294" s="8" t="s">
        <v>7934</v>
      </c>
      <c r="F294" s="1067" t="str">
        <f>E296&amp;" = "&amp;E49&amp;" minus ("&amp;'Taxable (c5)'!E280&amp;" + "&amp;'Taxable (c5)'!E288&amp;")"</f>
        <v>c5.40 = c5.22 minus (c5.38 + c5.39)</v>
      </c>
      <c r="G294" s="860"/>
      <c r="H294" s="35"/>
      <c r="P294" s="9" t="s">
        <v>7854</v>
      </c>
      <c r="Q294" s="2180" t="str">
        <f>A159</f>
        <v>c5.55.28</v>
      </c>
      <c r="R294" s="2149">
        <f>MIN(R292,MAX(0,(SR_band-R280)))</f>
        <v>0</v>
      </c>
      <c r="X294" s="9" t="s">
        <v>7769</v>
      </c>
      <c r="Y294" s="2180" t="str">
        <f>A299</f>
        <v>c5.58a.88</v>
      </c>
      <c r="Z294" s="2182">
        <f>TRUNC((Z261*BR_rate)+(Z269*HR_rate)+(Z275*DivBR_rate)+(Z279*DivHR_rate),2)</f>
        <v>0</v>
      </c>
      <c r="AA294" s="861" t="s">
        <v>7647</v>
      </c>
    </row>
    <row r="295" spans="1:56" ht="12" thickBot="1" x14ac:dyDescent="0.3">
      <c r="A295" s="8" t="s">
        <v>7936</v>
      </c>
      <c r="F295" s="8" t="s">
        <v>75</v>
      </c>
      <c r="G295" s="860"/>
      <c r="H295" s="35"/>
      <c r="R295" s="9" t="str">
        <f>"lower of ("&amp;Q224&amp;" minus "&amp;Q294&amp;") and "&amp;'Deductions (c4)'!L639</f>
        <v>lower of (c5.54a1 minus c5.55.28) and c4.79</v>
      </c>
      <c r="X295" s="135"/>
      <c r="Y295" s="9"/>
      <c r="Z295" s="9" t="str">
        <f>Y292&amp;" + "&amp;Y294</f>
        <v>c5.58a.87 + c5.58a.88</v>
      </c>
    </row>
    <row r="296" spans="1:56" ht="12.5" thickTop="1" thickBot="1" x14ac:dyDescent="0.3">
      <c r="A296" s="8" t="s">
        <v>7937</v>
      </c>
      <c r="C296" s="139" t="s">
        <v>5500</v>
      </c>
      <c r="E296" s="886" t="s">
        <v>7552</v>
      </c>
      <c r="F296" s="887">
        <f>IF(non_resident,'non-res (c91)'!N96,MAX(0,F49-('Taxable (c5)'!F280+'Taxable (c5)'!F288)))</f>
        <v>0</v>
      </c>
      <c r="G296" s="860"/>
      <c r="H296" s="856"/>
      <c r="K296" s="888"/>
      <c r="N296" s="9"/>
      <c r="Q296" s="2180" t="str">
        <f>A160</f>
        <v>c5.55.29</v>
      </c>
      <c r="R296" s="2149">
        <f>MIN(MAX(0,R224-R294),'Deductions (c4)'!M639)</f>
        <v>0</v>
      </c>
      <c r="X296" s="9" t="s">
        <v>7935</v>
      </c>
      <c r="Y296" s="2180" t="str">
        <f>A300</f>
        <v>c5.58a</v>
      </c>
      <c r="Z296" s="2182">
        <f>Z292+Z294</f>
        <v>0</v>
      </c>
    </row>
    <row r="297" spans="1:56" ht="12" thickTop="1" x14ac:dyDescent="0.25">
      <c r="A297" s="8" t="s">
        <v>7938</v>
      </c>
      <c r="G297" s="860"/>
      <c r="H297" s="35"/>
      <c r="J297" s="888"/>
      <c r="R297" s="9" t="str">
        <f>"lower of "&amp;Q296&amp;" and ("&amp;AK8&amp;" minus "&amp;Q284&amp;")"</f>
        <v>lower of c5.55.29 and (c5.2a minus c5.55.24)</v>
      </c>
      <c r="S297" s="9"/>
      <c r="T297" s="26"/>
      <c r="X297" s="9"/>
      <c r="Y297" s="12"/>
      <c r="Z297" s="9" t="str">
        <f>"if "&amp;Y206&amp;" larger than 0 (zero)"</f>
        <v>if c5.58a.53 larger than 0 (zero)</v>
      </c>
    </row>
    <row r="298" spans="1:56" x14ac:dyDescent="0.25">
      <c r="A298" s="8" t="s">
        <v>7939</v>
      </c>
      <c r="G298" s="860"/>
      <c r="H298" s="35"/>
      <c r="P298" s="9" t="s">
        <v>7720</v>
      </c>
      <c r="Q298" s="2180" t="str">
        <f>A161</f>
        <v>c5.55.30</v>
      </c>
      <c r="R298" s="2149">
        <f>MAX(0,MIN(R296,AL8-R284))</f>
        <v>0</v>
      </c>
      <c r="S298" s="9"/>
      <c r="X298" s="26"/>
      <c r="Y298" s="12"/>
      <c r="Z298" s="9" t="str">
        <f>Y302&amp;" = "&amp;Y173</f>
        <v>c5.58b = c5.58a.45</v>
      </c>
      <c r="AA298" s="874">
        <f>Z173</f>
        <v>0</v>
      </c>
      <c r="BB298" s="9"/>
    </row>
    <row r="299" spans="1:56" x14ac:dyDescent="0.25">
      <c r="A299" s="8" t="s">
        <v>7940</v>
      </c>
      <c r="G299" s="860"/>
      <c r="H299" s="35"/>
      <c r="R299" s="9" t="str">
        <f>"lower of ("&amp;Q224&amp;" minus ("&amp;Q294&amp;" + "&amp;Q298&amp;")) and ("&amp;AK8&amp;" minus ("&amp;Q280&amp;" + "&amp;Q294&amp;" + "&amp;Q298&amp;"))"</f>
        <v>lower of (c5.54a1 minus (c5.55.28 + c5.55.30)) and (c5.2a minus (c5.55.22 + c5.55.28 + c5.55.30))</v>
      </c>
      <c r="S299" s="9"/>
      <c r="Y299" s="12"/>
      <c r="Z299" s="22" t="s">
        <v>7143</v>
      </c>
      <c r="AB299" s="874"/>
      <c r="AX299" s="8" t="s">
        <v>7943</v>
      </c>
    </row>
    <row r="300" spans="1:56" x14ac:dyDescent="0.25">
      <c r="A300" s="8" t="s">
        <v>7941</v>
      </c>
      <c r="G300" s="860"/>
      <c r="H300" s="35"/>
      <c r="J300" s="26"/>
      <c r="P300" s="9" t="s">
        <v>7724</v>
      </c>
      <c r="Q300" s="2180" t="str">
        <f>A162</f>
        <v>c5.55.31</v>
      </c>
      <c r="R300" s="2149">
        <f>MAX(0,MIN(R224-(R294+R298),(AL8-(R280+R294+R298))))</f>
        <v>0</v>
      </c>
      <c r="X300" s="9"/>
      <c r="Y300" s="12"/>
      <c r="Z300" s="9" t="str">
        <f>Y302&amp;" = ("&amp;Y193&amp;" + "&amp;Y195&amp;")"</f>
        <v>c5.58b = (c5.58a.49 + c5.58a.50)</v>
      </c>
      <c r="AA300" s="874">
        <f>Z193+Z195</f>
        <v>0</v>
      </c>
      <c r="AB300" s="874"/>
      <c r="AX300" s="9" t="str">
        <f>"("&amp;E8&amp;" minus ("&amp;AW149&amp;" + "&amp;AW176&amp;" + "&amp;AW199&amp;" + "&amp;AW280&amp;"))"</f>
        <v>(c5.1 minus (c5.67 + c5.68 + c5.69 + c5.70))</v>
      </c>
    </row>
    <row r="301" spans="1:56" x14ac:dyDescent="0.25">
      <c r="A301" s="8" t="s">
        <v>7944</v>
      </c>
      <c r="C301" s="139"/>
      <c r="F301" s="9" t="s">
        <v>7946</v>
      </c>
      <c r="G301" s="860"/>
      <c r="H301" s="35"/>
      <c r="R301" s="9" t="str">
        <f>"("&amp;'Status (c3a)'!AD33&amp;" + "&amp;'Deductions (c4)'!H383&amp;") minus ("&amp;Q280&amp;" + "&amp;Q294&amp;" + "&amp;Q298&amp;" + "&amp;Q300&amp;")"</f>
        <v>(c3a.3a + c4.59) minus (c5.55.22 + c5.55.28 + c5.55.30 + c5.55.31)</v>
      </c>
      <c r="Z301" s="22" t="s">
        <v>75</v>
      </c>
      <c r="AB301" s="874"/>
      <c r="AX301" s="38" t="str">
        <f>"and ("&amp;AW292&amp;" minus "&amp;E296&amp;")"</f>
        <v>and (c5.72 minus c5.40)</v>
      </c>
      <c r="BB301" s="38" t="str">
        <f>E302&amp;" minus "&amp;AW302</f>
        <v>c5.41 minus c5.73</v>
      </c>
      <c r="BD301" s="458" t="s">
        <v>7947</v>
      </c>
    </row>
    <row r="302" spans="1:56" x14ac:dyDescent="0.25">
      <c r="A302" s="8" t="s">
        <v>7945</v>
      </c>
      <c r="C302" s="139" t="s">
        <v>7949</v>
      </c>
      <c r="E302" s="2162" t="s">
        <v>7553</v>
      </c>
      <c r="F302" s="2169">
        <f>'Divs (c3)'!H69</f>
        <v>0</v>
      </c>
      <c r="G302" s="860"/>
      <c r="H302" s="35"/>
      <c r="Q302" s="2180" t="str">
        <f>A163</f>
        <v>c5.55.32</v>
      </c>
      <c r="R302" s="2149">
        <f>MAX(0,('Status (c3a)'!AE33+'Deductions (c4)'!I383)-(R280+R294+R298+R300))</f>
        <v>125140</v>
      </c>
      <c r="X302" s="9" t="s">
        <v>7942</v>
      </c>
      <c r="Y302" s="2180" t="str">
        <f>A301</f>
        <v>c5.58b</v>
      </c>
      <c r="Z302" s="2182">
        <f>IF(Z206&gt;0,Z173,Z193+Z195)</f>
        <v>0</v>
      </c>
      <c r="AU302" s="9"/>
      <c r="AW302" s="2187" t="str">
        <f>A406</f>
        <v>c5.73</v>
      </c>
      <c r="AX302" s="2129">
        <f>MAX(0,F8-(AX149+AX176+AX199+AX280),MAX(0,AX292-F296))</f>
        <v>12570</v>
      </c>
      <c r="BA302" s="2187" t="str">
        <f>A415</f>
        <v>c5.82</v>
      </c>
      <c r="BB302" s="2129">
        <f>MAX(0,F302-AX302)</f>
        <v>0</v>
      </c>
      <c r="BD302" s="458" t="s">
        <v>6986</v>
      </c>
    </row>
    <row r="303" spans="1:56" x14ac:dyDescent="0.25">
      <c r="A303" s="8" t="s">
        <v>7948</v>
      </c>
      <c r="G303" s="860"/>
      <c r="H303" s="35"/>
      <c r="R303" s="9" t="str">
        <f>"lower of ("&amp;Q302&amp;" and ("&amp;'Deductions (c4)'!L639&amp;" minus "&amp;Q298&amp;"))"</f>
        <v>lower of (c5.55.32 and (c4.79 minus c5.55.30))</v>
      </c>
      <c r="X303" s="12"/>
      <c r="Z303" s="9" t="str">
        <f>Y99&amp;" + "&amp;Y302</f>
        <v>c5.58a.14 + c5.58b</v>
      </c>
      <c r="AU303" s="9"/>
      <c r="BB303" s="38" t="str">
        <f>"copy to "&amp;'tax it (c6)'!AA14&amp;" and "&amp;'Div Cr (c10)'!F57</f>
        <v>copy to c6.45 and c10.8</v>
      </c>
    </row>
    <row r="304" spans="1:56" x14ac:dyDescent="0.25">
      <c r="A304" s="8" t="s">
        <v>7950</v>
      </c>
      <c r="G304" s="860"/>
      <c r="Q304" s="2180" t="str">
        <f>A164</f>
        <v>c5.55.33</v>
      </c>
      <c r="R304" s="2149">
        <f>MAX(0,MIN(R302,PSA-R298))</f>
        <v>1000</v>
      </c>
      <c r="S304" s="22"/>
      <c r="X304" s="9" t="s">
        <v>7802</v>
      </c>
      <c r="Y304" s="2180" t="str">
        <f>A302</f>
        <v>c5.58c</v>
      </c>
      <c r="Z304" s="2182">
        <f>Z99+Z302</f>
        <v>0</v>
      </c>
      <c r="AU304" s="38"/>
      <c r="BB304" s="38"/>
    </row>
    <row r="305" spans="1:56" x14ac:dyDescent="0.25">
      <c r="A305" s="8" t="s">
        <v>7951</v>
      </c>
      <c r="G305" s="860"/>
      <c r="H305" s="35"/>
      <c r="R305" s="9" t="str">
        <f>"lower of "&amp;Q304&amp;" and ("&amp;Q224&amp;" minus ("&amp;Q294&amp;" + "&amp;Q298&amp;" + "&amp;Q300&amp;"))"</f>
        <v>lower of c5.55.33 and (c5.54a1 minus (c5.55.28 + c5.55.30 + c5.55.31))</v>
      </c>
      <c r="X305" s="12"/>
      <c r="Z305" s="9" t="str">
        <f>Y304&amp;" minus "&amp;Y296</f>
        <v>c5.58c minus c5.58a</v>
      </c>
      <c r="AU305" s="78"/>
    </row>
    <row r="306" spans="1:56" x14ac:dyDescent="0.25">
      <c r="A306" s="8" t="s">
        <v>7952</v>
      </c>
      <c r="C306" s="139"/>
      <c r="F306" s="9" t="s">
        <v>7954</v>
      </c>
      <c r="G306" s="860"/>
      <c r="H306" s="35"/>
      <c r="P306" s="9" t="s">
        <v>7735</v>
      </c>
      <c r="Q306" s="2180" t="str">
        <f>A165</f>
        <v>c5.55.34</v>
      </c>
      <c r="R306" s="2149">
        <f>MAX(0,MIN(R304,R224-(R294+R298+R300)))</f>
        <v>0</v>
      </c>
      <c r="S306" s="22"/>
      <c r="X306" s="135" t="s">
        <v>7805</v>
      </c>
      <c r="Y306" s="2180" t="str">
        <f>A303</f>
        <v>c5.58d</v>
      </c>
      <c r="Z306" s="2182">
        <f>MAX(0,Z304-Z296)</f>
        <v>0</v>
      </c>
      <c r="AN306" s="12"/>
      <c r="AO306" s="12"/>
      <c r="AP306" s="12"/>
      <c r="AQ306" s="12"/>
      <c r="AR306" s="12"/>
      <c r="AS306" s="12"/>
      <c r="AT306" s="12"/>
      <c r="AU306" s="12"/>
      <c r="AV306" s="12"/>
      <c r="AX306" s="38" t="str">
        <f>AW302&amp;" minus "&amp;E302</f>
        <v>c5.73 minus c5.41</v>
      </c>
      <c r="BB306" s="38" t="str">
        <f>E307&amp;" minus "&amp;AW307</f>
        <v>c5.42 minus c5.74</v>
      </c>
      <c r="BD306" s="458" t="s">
        <v>5681</v>
      </c>
    </row>
    <row r="307" spans="1:56" x14ac:dyDescent="0.25">
      <c r="A307" s="8" t="s">
        <v>7953</v>
      </c>
      <c r="C307" s="139" t="s">
        <v>5686</v>
      </c>
      <c r="E307" s="2162" t="s">
        <v>7554</v>
      </c>
      <c r="F307" s="2169">
        <f>'Divs (c3)'!H75</f>
        <v>0</v>
      </c>
      <c r="G307" s="860"/>
      <c r="H307" s="35"/>
      <c r="R307" s="9" t="str">
        <f>"lower of ("&amp;Q224&amp;" minus ("&amp;Q294&amp;" + "&amp;Q298&amp;" + "&amp;Q300&amp;" + "&amp;Q306&amp;")) and "&amp;Q302</f>
        <v>lower of (c5.54a1 minus (c5.55.28 + c5.55.30 + c5.55.31 + c5.55.34)) and c5.55.32</v>
      </c>
      <c r="Y307" s="12"/>
      <c r="Z307" s="9" t="str">
        <f>"if "&amp;Y306&amp;" larger than or equal to "&amp;Y251</f>
        <v>if c5.58d larger than or equal to c5.58a.68</v>
      </c>
      <c r="AV307" s="78"/>
      <c r="AW307" s="2187" t="str">
        <f>A407</f>
        <v>c5.74</v>
      </c>
      <c r="AX307" s="2129">
        <f>MAX(0,AX302-F302)</f>
        <v>12570</v>
      </c>
      <c r="BA307" s="2187" t="str">
        <f>A416</f>
        <v>c5.83</v>
      </c>
      <c r="BB307" s="2129">
        <f>MAX(0,F307-AX307)</f>
        <v>0</v>
      </c>
      <c r="BD307" s="458" t="s">
        <v>6987</v>
      </c>
    </row>
    <row r="308" spans="1:56" x14ac:dyDescent="0.25">
      <c r="A308" s="8" t="s">
        <v>7955</v>
      </c>
      <c r="G308" s="860"/>
      <c r="H308" s="35"/>
      <c r="P308" s="9" t="s">
        <v>7738</v>
      </c>
      <c r="Q308" s="2180" t="str">
        <f>A166</f>
        <v>c5.55.35</v>
      </c>
      <c r="R308" s="2149">
        <f>MAX(0,MIN(R224-(R294+R298+R300+R306),R302))</f>
        <v>0</v>
      </c>
      <c r="X308" s="12"/>
      <c r="Y308" s="12"/>
      <c r="Z308" s="9" t="str">
        <f>Y312&amp;" = "&amp;Y217</f>
        <v>c5.58e = c5.58a.54</v>
      </c>
      <c r="BB308" s="9" t="str">
        <f>"copy to "&amp;'Notional (c21c23)'!A52</f>
        <v>copy to c22.16</v>
      </c>
      <c r="BD308" s="459"/>
    </row>
    <row r="309" spans="1:56" x14ac:dyDescent="0.25">
      <c r="A309" s="8" t="s">
        <v>7956</v>
      </c>
      <c r="G309" s="860"/>
      <c r="H309" s="35"/>
      <c r="R309" s="9" t="str">
        <f>"("&amp;Q256&amp;" minus "&amp;Q282&amp;") × "&amp;'Status (c3a)'!H45</f>
        <v>(c5.55.11 minus c5.55.23) × c3a.3b</v>
      </c>
      <c r="X309" s="12"/>
      <c r="Y309" s="12"/>
      <c r="Z309" s="22" t="s">
        <v>7143</v>
      </c>
      <c r="BB309" s="38" t="str">
        <f>"add "&amp;BA149&amp;" + "&amp;BA307&amp;" and copy to "&amp;'tax it (c6)'!G14</f>
        <v>add c5.76 + c5.83 and copy to c6.1</v>
      </c>
    </row>
    <row r="310" spans="1:56" x14ac:dyDescent="0.25">
      <c r="A310" s="8" t="s">
        <v>7957</v>
      </c>
      <c r="G310" s="860"/>
      <c r="H310" s="35"/>
      <c r="P310" s="9" t="s">
        <v>7960</v>
      </c>
      <c r="Q310" s="2180" t="str">
        <f>A167</f>
        <v>c5.55.36</v>
      </c>
      <c r="R310" s="2182">
        <f>TRUNC(MAX(0,(R256-R282)*'Status (c3a)'!I45),2)</f>
        <v>0</v>
      </c>
      <c r="S310" s="861" t="s">
        <v>7647</v>
      </c>
      <c r="X310" s="12"/>
      <c r="Y310" s="12"/>
      <c r="Z310" s="9" t="str">
        <f>Y312&amp;" = 0 (zero)"</f>
        <v>c5.58e = 0 (zero)</v>
      </c>
    </row>
    <row r="311" spans="1:56" x14ac:dyDescent="0.25">
      <c r="A311" s="8" t="s">
        <v>7959</v>
      </c>
      <c r="C311" s="139"/>
      <c r="F311" s="9" t="s">
        <v>7962</v>
      </c>
      <c r="G311" s="860"/>
      <c r="H311" s="35"/>
      <c r="R311" s="9" t="str">
        <f>"("&amp;Q258&amp;" minus "&amp;Q284&amp;") × "&amp;'Status (c3a)'!L45</f>
        <v>(c5.55.12 minus c5.55.24) × c3a.4</v>
      </c>
      <c r="X311" s="26"/>
      <c r="Z311" s="22" t="s">
        <v>75</v>
      </c>
      <c r="AX311" s="38" t="str">
        <f>AW307&amp;" minus "&amp;E307</f>
        <v>c5.74 minus c5.42</v>
      </c>
      <c r="BB311" s="38" t="str">
        <f>E312&amp;" minus "&amp;AW312</f>
        <v>c5.43 minus c5.75</v>
      </c>
      <c r="BD311" s="458" t="s">
        <v>7963</v>
      </c>
    </row>
    <row r="312" spans="1:56" ht="13" x14ac:dyDescent="0.3">
      <c r="A312" s="8" t="s">
        <v>7961</v>
      </c>
      <c r="C312" s="139" t="s">
        <v>7965</v>
      </c>
      <c r="E312" s="2162" t="s">
        <v>7555</v>
      </c>
      <c r="F312" s="2169">
        <f>'Divs (c3)'!H80</f>
        <v>0</v>
      </c>
      <c r="G312" s="860"/>
      <c r="H312" s="35"/>
      <c r="P312" s="9" t="s">
        <v>7966</v>
      </c>
      <c r="Q312" s="2180" t="str">
        <f>A168</f>
        <v>c5.55.37</v>
      </c>
      <c r="R312" s="2182">
        <f>TRUNC(MAX(0,(R258-R284)*'Status (c3a)'!M45),2)</f>
        <v>0</v>
      </c>
      <c r="S312" s="861" t="s">
        <v>7647</v>
      </c>
      <c r="X312" s="866" t="s">
        <v>7958</v>
      </c>
      <c r="Y312" s="2180" t="str">
        <f>A304</f>
        <v>c5.58e</v>
      </c>
      <c r="Z312" s="2149">
        <f>IF(Z306&gt;=Z251,Z217,0)</f>
        <v>0</v>
      </c>
      <c r="AU312" s="38"/>
      <c r="AW312" s="2187" t="str">
        <f>A408</f>
        <v>c5.75</v>
      </c>
      <c r="AX312" s="2129">
        <f>MAX(0,AX307-F307)</f>
        <v>12570</v>
      </c>
      <c r="BA312" s="2187" t="str">
        <f>A417</f>
        <v>c5.84</v>
      </c>
      <c r="BB312" s="2129">
        <f>MAX(0,F312-AX312)</f>
        <v>0</v>
      </c>
      <c r="BD312" s="458" t="s">
        <v>735</v>
      </c>
    </row>
    <row r="313" spans="1:56" x14ac:dyDescent="0.25">
      <c r="A313" s="8" t="s">
        <v>7964</v>
      </c>
      <c r="G313" s="860"/>
      <c r="H313" s="35"/>
      <c r="R313" s="9" t="str">
        <f>"("&amp;Q260&amp;" minus "&amp;Q286&amp;") × "&amp;'Status (c3a)'!P45</f>
        <v>(c5.55.13 minus c5.55.25) × c3a.4a</v>
      </c>
      <c r="AU313" s="78"/>
      <c r="AW313" s="147"/>
      <c r="AX313" s="78"/>
      <c r="BA313" s="147"/>
      <c r="BB313" s="9" t="str">
        <f>"copy to "&amp;'Notional (c21c23)'!A34</f>
        <v>copy to c22.1</v>
      </c>
      <c r="BD313" s="139"/>
    </row>
    <row r="314" spans="1:56" x14ac:dyDescent="0.25">
      <c r="A314" s="8" t="s">
        <v>7967</v>
      </c>
      <c r="G314" s="860"/>
      <c r="P314" s="9" t="s">
        <v>7969</v>
      </c>
      <c r="Q314" s="2180" t="str">
        <f>A169</f>
        <v>c5.55.38</v>
      </c>
      <c r="R314" s="2182">
        <f>TRUNC(MAX(0,(R260-R286)*'Status (c3a)'!Q45),2)</f>
        <v>0</v>
      </c>
      <c r="S314" s="861" t="s">
        <v>7647</v>
      </c>
      <c r="AV314" s="210"/>
      <c r="BB314" s="9" t="str">
        <f>"and add "&amp;BA176&amp;" + "&amp;BA312&amp;" and copy to "&amp;'tax it (c6)'!V14</f>
        <v>and add c5.77 + c5.84 and copy to c6.35</v>
      </c>
    </row>
    <row r="315" spans="1:56" x14ac:dyDescent="0.25">
      <c r="A315" s="8" t="s">
        <v>7968</v>
      </c>
      <c r="G315" s="860"/>
      <c r="P315" s="26"/>
      <c r="R315" s="9" t="str">
        <f>"("&amp;Q262&amp;" minus "&amp;Q288&amp;") × "&amp;'Status (c3a)'!X45</f>
        <v>(c5.55.14 minus c5.55.26) × c3a.5</v>
      </c>
    </row>
    <row r="316" spans="1:56" x14ac:dyDescent="0.25">
      <c r="A316" s="8" t="s">
        <v>7970</v>
      </c>
      <c r="G316" s="860"/>
      <c r="P316" s="9" t="s">
        <v>7972</v>
      </c>
      <c r="Q316" s="2180" t="str">
        <f>A170</f>
        <v>c5.55.39</v>
      </c>
      <c r="R316" s="2182">
        <f>TRUNC(MAX(0,(R262-R288)*'Status (c3a)'!Y45),2)</f>
        <v>0</v>
      </c>
      <c r="S316" s="861" t="s">
        <v>7647</v>
      </c>
    </row>
    <row r="317" spans="1:56" x14ac:dyDescent="0.25">
      <c r="A317" s="8" t="s">
        <v>7971</v>
      </c>
      <c r="G317" s="860"/>
      <c r="H317" s="35"/>
      <c r="R317" s="9" t="str">
        <f>"("&amp;Q264&amp;" minus "&amp;Q290&amp;") × "&amp;'Status (c3a)'!AA45</f>
        <v>(c5.55.14a minus c5.55.26a) × c3a.5a</v>
      </c>
    </row>
    <row r="318" spans="1:56" x14ac:dyDescent="0.25">
      <c r="A318" s="8" t="s">
        <v>7973</v>
      </c>
      <c r="G318" s="860"/>
      <c r="H318" s="35"/>
      <c r="P318" s="9" t="s">
        <v>7975</v>
      </c>
      <c r="Q318" s="2180" t="str">
        <f>A171</f>
        <v>c5.55.39a</v>
      </c>
      <c r="R318" s="2182">
        <f>TRUNC(MAX(0,(R264-R290)*'Status (c3a)'!AB45),2)</f>
        <v>0</v>
      </c>
      <c r="S318" s="861" t="s">
        <v>7647</v>
      </c>
      <c r="AU318" s="78"/>
    </row>
    <row r="319" spans="1:56" x14ac:dyDescent="0.25">
      <c r="A319" s="8" t="s">
        <v>7974</v>
      </c>
      <c r="G319" s="860"/>
      <c r="H319" s="35"/>
      <c r="O319" s="9"/>
      <c r="R319" s="9" t="str">
        <f>"("&amp;Q270&amp;" minus "&amp;Q300&amp;") × BR_rate ("&amp;BR_rate*100&amp;"%)"</f>
        <v>(c5.55.17 minus c5.55.31) × BR_rate (20%)</v>
      </c>
    </row>
    <row r="320" spans="1:56" ht="12" x14ac:dyDescent="0.3">
      <c r="A320" s="8" t="s">
        <v>7976</v>
      </c>
      <c r="G320" s="860"/>
      <c r="H320" s="35"/>
      <c r="O320" s="26"/>
      <c r="P320" s="9" t="s">
        <v>7889</v>
      </c>
      <c r="Q320" s="2180" t="str">
        <f>A172</f>
        <v>c5.55.40</v>
      </c>
      <c r="R320" s="2182">
        <f>TRUNC((R270-R300)*BR_rate,2)</f>
        <v>0</v>
      </c>
      <c r="S320" s="861" t="s">
        <v>7647</v>
      </c>
      <c r="T320" s="144" t="s">
        <v>7220</v>
      </c>
    </row>
    <row r="321" spans="1:56" x14ac:dyDescent="0.25">
      <c r="A321" s="8" t="s">
        <v>7977</v>
      </c>
      <c r="G321" s="860"/>
      <c r="H321" s="35"/>
      <c r="R321" s="9" t="str">
        <f>"("&amp;Q278&amp;" minus "&amp;Q308&amp;") × HR_rate ("&amp;HR_rate*100&amp;"%)"</f>
        <v>(c5.55.21 minus c5.55.35) × HR_rate (40%)</v>
      </c>
    </row>
    <row r="322" spans="1:56" ht="12" x14ac:dyDescent="0.3">
      <c r="A322" s="8" t="s">
        <v>7978</v>
      </c>
      <c r="G322" s="860"/>
      <c r="H322" s="35"/>
      <c r="P322" s="9" t="s">
        <v>7896</v>
      </c>
      <c r="Q322" s="2180" t="str">
        <f>A173</f>
        <v>c5.55.41</v>
      </c>
      <c r="R322" s="2182">
        <f>TRUNC((R278-R308)*HR_rate,2)</f>
        <v>0</v>
      </c>
      <c r="S322" s="861" t="s">
        <v>7647</v>
      </c>
      <c r="T322" s="144" t="s">
        <v>7220</v>
      </c>
    </row>
    <row r="323" spans="1:56" x14ac:dyDescent="0.25">
      <c r="A323" s="8" t="s">
        <v>7979</v>
      </c>
      <c r="G323" s="860"/>
      <c r="H323" s="35"/>
      <c r="Q323" s="9"/>
      <c r="R323" s="9" t="str">
        <f>Q310&amp;" + "&amp;Q312&amp;" + "&amp;Q314&amp;" + "&amp;Q316&amp;" + "&amp;Q318&amp;" + "&amp;Q320&amp;" + "&amp;Q322</f>
        <v>c5.55.36 + c5.55.37 + c5.55.38 + c5.55.39 + c5.55.39a + c5.55.40 + c5.55.41</v>
      </c>
    </row>
    <row r="324" spans="1:56" ht="12" customHeight="1" x14ac:dyDescent="0.3">
      <c r="A324" s="8" t="s">
        <v>7980</v>
      </c>
      <c r="G324" s="860"/>
      <c r="H324" s="35"/>
      <c r="O324" s="885"/>
      <c r="P324" s="866" t="s">
        <v>7982</v>
      </c>
      <c r="Q324" s="2180" t="str">
        <f>A174</f>
        <v>c5.55.42</v>
      </c>
      <c r="R324" s="2186">
        <f>MAX(0,R310+R312+R314+R316+R318+R320+R322)</f>
        <v>0</v>
      </c>
    </row>
    <row r="325" spans="1:56" x14ac:dyDescent="0.25">
      <c r="A325" s="8" t="s">
        <v>7981</v>
      </c>
      <c r="G325" s="860"/>
      <c r="H325" s="35"/>
      <c r="Q325" s="12"/>
      <c r="R325" s="9" t="str">
        <f>"If "&amp;Q324&amp;" larger than or equal to "&amp;Q254</f>
        <v>If c5.55.42 larger than or equal to c5.55.10</v>
      </c>
    </row>
    <row r="326" spans="1:56" x14ac:dyDescent="0.25">
      <c r="A326" s="8" t="s">
        <v>7983</v>
      </c>
      <c r="G326" s="860"/>
      <c r="H326" s="35"/>
      <c r="O326" s="12"/>
      <c r="R326" s="9" t="str">
        <f>Q330&amp;" = "&amp;Q242</f>
        <v>c5.56 = c5.55.6</v>
      </c>
      <c r="AM326" s="12"/>
    </row>
    <row r="327" spans="1:56" x14ac:dyDescent="0.25">
      <c r="A327" s="8" t="s">
        <v>7984</v>
      </c>
      <c r="G327" s="860"/>
      <c r="R327" s="9" t="s">
        <v>7143</v>
      </c>
      <c r="S327" s="9"/>
      <c r="AU327" s="38"/>
    </row>
    <row r="328" spans="1:56" x14ac:dyDescent="0.25">
      <c r="A328" s="8" t="s">
        <v>7985</v>
      </c>
      <c r="G328" s="860"/>
      <c r="R328" s="9" t="str">
        <f>Q330&amp;" = 0 (zero)"</f>
        <v>c5.56 = 0 (zero)</v>
      </c>
      <c r="S328" s="9"/>
      <c r="AU328" s="78"/>
    </row>
    <row r="329" spans="1:56" x14ac:dyDescent="0.25">
      <c r="A329" s="8" t="s">
        <v>7986</v>
      </c>
      <c r="G329" s="35"/>
      <c r="R329" s="9" t="s">
        <v>75</v>
      </c>
      <c r="S329" s="9"/>
      <c r="AU329" s="78"/>
    </row>
    <row r="330" spans="1:56" x14ac:dyDescent="0.25">
      <c r="A330" s="8" t="s">
        <v>7987</v>
      </c>
      <c r="G330" s="35"/>
      <c r="Q330" s="2180" t="str">
        <f>A175</f>
        <v>c5.56</v>
      </c>
      <c r="R330" s="2149">
        <f>IF(R324&gt;=R254,R242,0)</f>
        <v>0</v>
      </c>
      <c r="S330" s="9"/>
      <c r="AU330" s="78"/>
    </row>
    <row r="331" spans="1:56" x14ac:dyDescent="0.25">
      <c r="A331" s="8" t="s">
        <v>7988</v>
      </c>
      <c r="B331" s="2151"/>
      <c r="C331" s="2151"/>
      <c r="D331" s="2151"/>
      <c r="E331" s="2151"/>
      <c r="F331" s="2151"/>
      <c r="G331" s="2151"/>
      <c r="H331" s="2151"/>
      <c r="I331" s="2151"/>
      <c r="J331" s="2151"/>
      <c r="K331" s="2151"/>
      <c r="L331" s="2151"/>
      <c r="M331" s="2151"/>
      <c r="N331" s="2151"/>
      <c r="O331" s="2151"/>
      <c r="P331" s="2151"/>
      <c r="Q331" s="2151"/>
      <c r="R331" s="2151"/>
      <c r="S331" s="2151"/>
      <c r="T331" s="2151"/>
      <c r="U331" s="2151"/>
      <c r="V331" s="2151"/>
      <c r="W331" s="2151"/>
      <c r="X331" s="2151"/>
      <c r="Y331" s="2151"/>
      <c r="Z331" s="2151"/>
      <c r="AA331" s="2151"/>
      <c r="AB331" s="2151"/>
      <c r="AC331" s="2151"/>
      <c r="AD331" s="2151"/>
      <c r="AE331" s="2151"/>
      <c r="AF331" s="2151"/>
      <c r="AG331" s="2151"/>
      <c r="AH331" s="2151"/>
      <c r="AI331" s="2151"/>
      <c r="AJ331" s="2151"/>
      <c r="AK331" s="2151"/>
      <c r="AL331" s="2151"/>
      <c r="AM331" s="2151"/>
      <c r="AN331" s="2151"/>
      <c r="AO331" s="2151"/>
      <c r="AP331" s="2151"/>
      <c r="AQ331" s="2151"/>
      <c r="AR331" s="2151"/>
      <c r="AS331" s="2151"/>
      <c r="AT331" s="2151"/>
      <c r="AU331" s="2151"/>
      <c r="AV331" s="2151"/>
      <c r="AW331" s="2151"/>
      <c r="AX331" s="2151"/>
      <c r="AY331" s="2151"/>
      <c r="AZ331" s="2151"/>
      <c r="BA331" s="2151"/>
      <c r="BB331" s="2151"/>
      <c r="BC331" s="2151"/>
      <c r="BD331" s="2151"/>
    </row>
    <row r="332" spans="1:56" x14ac:dyDescent="0.25">
      <c r="A332" s="8" t="s">
        <v>7989</v>
      </c>
      <c r="B332" s="12"/>
      <c r="G332" s="2188"/>
      <c r="Q332" s="35"/>
      <c r="R332" s="35"/>
    </row>
    <row r="333" spans="1:56" x14ac:dyDescent="0.25">
      <c r="A333" s="8" t="s">
        <v>7990</v>
      </c>
      <c r="F333" s="9" t="s">
        <v>7252</v>
      </c>
      <c r="G333" s="814"/>
      <c r="H333" s="35"/>
      <c r="Q333" s="35"/>
      <c r="R333" s="35"/>
      <c r="AA333" s="9"/>
    </row>
    <row r="334" spans="1:56" x14ac:dyDescent="0.25">
      <c r="A334" s="8" t="s">
        <v>7991</v>
      </c>
      <c r="C334" s="1065"/>
      <c r="D334" s="1065"/>
      <c r="E334" s="1065"/>
      <c r="F334" s="1067" t="str">
        <f>E338&amp;" = "&amp;'non-res (c91)'!M119&amp;" minus ("&amp;'Deductions (c4)'!H281&amp;" + "&amp;'Deductions (c4)'!H294&amp;" + "&amp;'Deductions (c4)'!H310&amp;" + "&amp;'Deductions (c4)'!H321&amp;" + "&amp;'Deductions (c4)'!H413&amp;")"</f>
        <v>c5.85 = c91.28 minus (c4.47.19 + c4.47.23 + c4.47.27 + c4.47.30 + c4.63b)</v>
      </c>
      <c r="G334" s="814"/>
      <c r="H334" s="35"/>
      <c r="Q334" s="35"/>
      <c r="R334" s="35"/>
      <c r="AA334" s="26"/>
    </row>
    <row r="335" spans="1:56" x14ac:dyDescent="0.25">
      <c r="A335" s="8" t="s">
        <v>7992</v>
      </c>
      <c r="F335" s="22" t="s">
        <v>7143</v>
      </c>
      <c r="G335" s="860"/>
      <c r="H335" s="35"/>
      <c r="Q335" s="35"/>
      <c r="R335" s="35"/>
      <c r="AA335" s="26"/>
    </row>
    <row r="336" spans="1:56" x14ac:dyDescent="0.25">
      <c r="A336" s="8" t="s">
        <v>7993</v>
      </c>
      <c r="C336" s="1065"/>
      <c r="D336" s="1065"/>
      <c r="E336" s="1067"/>
      <c r="F336" s="1067" t="str">
        <f>E338&amp;" = "&amp;'Divs (c3)'!G87&amp;" minus ("&amp;'Deductions (c4)'!H281&amp;" + "&amp;'Deductions (c4)'!H294&amp;" + "&amp;'Deductions (c4)'!H310&amp;" + "&amp;'Deductions (c4)'!H321&amp;" + "&amp;'Deductions (c4)'!H413&amp;")"</f>
        <v>c5.85 = c3.21 minus (c4.47.19 + c4.47.23 + c4.47.27 + c4.47.30 + c4.63b)</v>
      </c>
      <c r="G336" s="860"/>
      <c r="H336" s="35"/>
      <c r="Q336" s="35"/>
      <c r="R336" s="35"/>
    </row>
    <row r="337" spans="1:54" x14ac:dyDescent="0.25">
      <c r="A337" s="8" t="s">
        <v>7994</v>
      </c>
      <c r="C337" s="147"/>
      <c r="F337" s="8" t="s">
        <v>75</v>
      </c>
      <c r="G337" s="860"/>
      <c r="H337" s="35"/>
      <c r="Q337" s="35"/>
      <c r="R337" s="35"/>
      <c r="BB337" s="9" t="str">
        <f>E338&amp;" minus "&amp;E8</f>
        <v>c5.85 minus c5.1</v>
      </c>
    </row>
    <row r="338" spans="1:54" x14ac:dyDescent="0.25">
      <c r="A338" s="8" t="s">
        <v>7995</v>
      </c>
      <c r="C338" s="147" t="s">
        <v>7192</v>
      </c>
      <c r="E338" s="2162" t="str">
        <f>A418</f>
        <v>c5.85</v>
      </c>
      <c r="F338" s="2149">
        <f>IF(non_resident,MAX(0,'non-res (c91)'!N119-('Deductions (c4)'!I281+'Deductions (c4)'!I294+'Deductions (c4)'!I310+'Deductions (c4)'!I321+'Deductions (c4)'!I413)),MAX(0,'Divs (c3)'!H87-('Deductions (c4)'!I281+'Deductions (c4)'!I294+'Deductions (c4)'!I310+'Deductions (c4)'!I321+'Deductions (c4)'!I413)))</f>
        <v>0</v>
      </c>
      <c r="G338" s="860"/>
      <c r="H338" s="35"/>
      <c r="Q338" s="35"/>
      <c r="R338" s="35"/>
      <c r="T338" s="26"/>
      <c r="AV338" s="135" t="s">
        <v>5478</v>
      </c>
      <c r="AW338" s="135"/>
      <c r="AX338" s="135"/>
      <c r="AY338" s="135"/>
      <c r="AZ338" s="135"/>
      <c r="BA338" s="2187" t="str">
        <f>A419</f>
        <v>c5.86</v>
      </c>
      <c r="BB338" s="2129">
        <f>MAX(0,F338-F8)</f>
        <v>0</v>
      </c>
    </row>
    <row r="339" spans="1:54" x14ac:dyDescent="0.25">
      <c r="A339" s="8" t="s">
        <v>7996</v>
      </c>
      <c r="F339" s="9" t="str">
        <f>"copy to "&amp;'TSR (c17)'!A1</f>
        <v>copy to c17.1</v>
      </c>
      <c r="Q339" s="35"/>
      <c r="R339" s="35"/>
      <c r="AA339" s="9"/>
      <c r="BB339" s="9" t="str">
        <f>"copy to "&amp;'CG (c18)'!A59</f>
        <v>copy to c18.31</v>
      </c>
    </row>
    <row r="340" spans="1:54" x14ac:dyDescent="0.25">
      <c r="A340" s="8" t="s">
        <v>7997</v>
      </c>
      <c r="Q340" s="35"/>
      <c r="R340" s="35"/>
      <c r="T340" s="26"/>
      <c r="AA340" s="22"/>
    </row>
    <row r="341" spans="1:54" x14ac:dyDescent="0.25">
      <c r="A341" s="8" t="s">
        <v>7998</v>
      </c>
      <c r="Q341" s="35"/>
      <c r="R341" s="35"/>
      <c r="AA341" s="9"/>
    </row>
    <row r="342" spans="1:54" x14ac:dyDescent="0.25">
      <c r="A342" s="8" t="s">
        <v>7999</v>
      </c>
      <c r="Q342" s="35"/>
      <c r="R342" s="35"/>
      <c r="AA342" s="9"/>
    </row>
    <row r="343" spans="1:54" x14ac:dyDescent="0.25">
      <c r="A343" s="8" t="s">
        <v>8000</v>
      </c>
      <c r="Q343" s="35"/>
      <c r="R343" s="35"/>
      <c r="AA343" s="9"/>
    </row>
    <row r="344" spans="1:54" x14ac:dyDescent="0.25">
      <c r="A344" s="8" t="s">
        <v>8001</v>
      </c>
      <c r="Q344" s="35"/>
      <c r="R344" s="35"/>
      <c r="AA344" s="26"/>
    </row>
    <row r="345" spans="1:54" x14ac:dyDescent="0.25">
      <c r="A345" s="8" t="s">
        <v>8002</v>
      </c>
      <c r="Q345" s="35"/>
      <c r="R345" s="35"/>
    </row>
    <row r="346" spans="1:54" x14ac:dyDescent="0.25">
      <c r="A346" s="8" t="s">
        <v>8003</v>
      </c>
      <c r="Q346" s="35"/>
      <c r="R346" s="35"/>
    </row>
    <row r="347" spans="1:54" x14ac:dyDescent="0.25">
      <c r="A347" s="8" t="s">
        <v>8004</v>
      </c>
      <c r="Q347" s="35"/>
      <c r="R347" s="35"/>
    </row>
    <row r="348" spans="1:54" x14ac:dyDescent="0.25">
      <c r="A348" s="8" t="s">
        <v>8005</v>
      </c>
      <c r="Q348" s="35"/>
      <c r="R348" s="35"/>
    </row>
    <row r="349" spans="1:54" x14ac:dyDescent="0.25">
      <c r="A349" s="8" t="s">
        <v>8006</v>
      </c>
      <c r="Q349" s="35"/>
      <c r="R349" s="35"/>
    </row>
    <row r="350" spans="1:54" x14ac:dyDescent="0.25">
      <c r="A350" s="8" t="s">
        <v>8007</v>
      </c>
      <c r="Q350" s="35"/>
      <c r="R350" s="35"/>
    </row>
    <row r="351" spans="1:54" x14ac:dyDescent="0.25">
      <c r="A351" s="8" t="s">
        <v>8008</v>
      </c>
    </row>
    <row r="352" spans="1:54" x14ac:dyDescent="0.25">
      <c r="A352" s="8" t="s">
        <v>8009</v>
      </c>
      <c r="Q352" s="35"/>
      <c r="R352" s="35"/>
    </row>
    <row r="353" spans="1:18" x14ac:dyDescent="0.25">
      <c r="A353" s="8" t="s">
        <v>8010</v>
      </c>
      <c r="Q353" s="856"/>
      <c r="R353" s="856"/>
    </row>
    <row r="354" spans="1:18" x14ac:dyDescent="0.25">
      <c r="A354" s="8" t="s">
        <v>8011</v>
      </c>
      <c r="Q354" s="856"/>
      <c r="R354" s="856"/>
    </row>
    <row r="355" spans="1:18" x14ac:dyDescent="0.25">
      <c r="A355" s="8" t="s">
        <v>8012</v>
      </c>
    </row>
    <row r="356" spans="1:18" x14ac:dyDescent="0.25">
      <c r="A356" s="8" t="s">
        <v>8013</v>
      </c>
    </row>
    <row r="357" spans="1:18" x14ac:dyDescent="0.25">
      <c r="A357" s="8" t="s">
        <v>8014</v>
      </c>
    </row>
    <row r="358" spans="1:18" x14ac:dyDescent="0.25">
      <c r="A358" s="8" t="s">
        <v>8015</v>
      </c>
    </row>
    <row r="359" spans="1:18" x14ac:dyDescent="0.25">
      <c r="A359" s="8" t="s">
        <v>8016</v>
      </c>
    </row>
    <row r="360" spans="1:18" x14ac:dyDescent="0.25">
      <c r="A360" s="8" t="s">
        <v>8017</v>
      </c>
    </row>
    <row r="361" spans="1:18" x14ac:dyDescent="0.25">
      <c r="A361" s="8" t="s">
        <v>8018</v>
      </c>
    </row>
    <row r="362" spans="1:18" x14ac:dyDescent="0.25">
      <c r="A362" s="8" t="s">
        <v>8019</v>
      </c>
    </row>
    <row r="363" spans="1:18" x14ac:dyDescent="0.25">
      <c r="A363" s="8" t="s">
        <v>8020</v>
      </c>
    </row>
    <row r="364" spans="1:18" x14ac:dyDescent="0.25">
      <c r="A364" s="8" t="s">
        <v>8021</v>
      </c>
    </row>
    <row r="365" spans="1:18" x14ac:dyDescent="0.25">
      <c r="A365" s="8" t="s">
        <v>8022</v>
      </c>
    </row>
    <row r="366" spans="1:18" x14ac:dyDescent="0.25">
      <c r="A366" s="8" t="s">
        <v>8023</v>
      </c>
    </row>
    <row r="367" spans="1:18" x14ac:dyDescent="0.25">
      <c r="A367" s="8" t="s">
        <v>8024</v>
      </c>
    </row>
    <row r="368" spans="1:18" x14ac:dyDescent="0.25">
      <c r="A368" s="8" t="s">
        <v>8025</v>
      </c>
    </row>
    <row r="369" spans="1:1" x14ac:dyDescent="0.25">
      <c r="A369" s="8" t="s">
        <v>8026</v>
      </c>
    </row>
    <row r="370" spans="1:1" x14ac:dyDescent="0.25">
      <c r="A370" s="8" t="s">
        <v>8027</v>
      </c>
    </row>
    <row r="371" spans="1:1" x14ac:dyDescent="0.25">
      <c r="A371" s="8" t="s">
        <v>8028</v>
      </c>
    </row>
    <row r="372" spans="1:1" x14ac:dyDescent="0.25">
      <c r="A372" s="8" t="s">
        <v>8029</v>
      </c>
    </row>
    <row r="373" spans="1:1" x14ac:dyDescent="0.25">
      <c r="A373" s="8" t="s">
        <v>8030</v>
      </c>
    </row>
    <row r="374" spans="1:1" x14ac:dyDescent="0.25">
      <c r="A374" s="8" t="s">
        <v>8031</v>
      </c>
    </row>
    <row r="375" spans="1:1" x14ac:dyDescent="0.25">
      <c r="A375" s="8" t="s">
        <v>8032</v>
      </c>
    </row>
    <row r="376" spans="1:1" x14ac:dyDescent="0.25">
      <c r="A376" s="8" t="s">
        <v>8033</v>
      </c>
    </row>
    <row r="377" spans="1:1" x14ac:dyDescent="0.25">
      <c r="A377" s="8" t="s">
        <v>8034</v>
      </c>
    </row>
    <row r="378" spans="1:1" x14ac:dyDescent="0.25">
      <c r="A378" s="8" t="s">
        <v>8035</v>
      </c>
    </row>
    <row r="379" spans="1:1" x14ac:dyDescent="0.25">
      <c r="A379" s="8" t="s">
        <v>8036</v>
      </c>
    </row>
    <row r="380" spans="1:1" x14ac:dyDescent="0.25">
      <c r="A380" s="8" t="s">
        <v>8037</v>
      </c>
    </row>
    <row r="381" spans="1:1" x14ac:dyDescent="0.25">
      <c r="A381" s="8" t="s">
        <v>8038</v>
      </c>
    </row>
    <row r="382" spans="1:1" x14ac:dyDescent="0.25">
      <c r="A382" s="8" t="s">
        <v>8039</v>
      </c>
    </row>
    <row r="383" spans="1:1" x14ac:dyDescent="0.25">
      <c r="A383" s="8" t="s">
        <v>8040</v>
      </c>
    </row>
    <row r="384" spans="1:1" x14ac:dyDescent="0.25">
      <c r="A384" s="8" t="s">
        <v>8041</v>
      </c>
    </row>
    <row r="385" spans="1:1" x14ac:dyDescent="0.25">
      <c r="A385" s="8" t="s">
        <v>8042</v>
      </c>
    </row>
    <row r="386" spans="1:1" x14ac:dyDescent="0.25">
      <c r="A386" s="8" t="s">
        <v>8043</v>
      </c>
    </row>
    <row r="387" spans="1:1" x14ac:dyDescent="0.25">
      <c r="A387" s="8" t="s">
        <v>8044</v>
      </c>
    </row>
    <row r="388" spans="1:1" x14ac:dyDescent="0.25">
      <c r="A388" s="8" t="s">
        <v>8045</v>
      </c>
    </row>
    <row r="389" spans="1:1" x14ac:dyDescent="0.25">
      <c r="A389" s="8" t="s">
        <v>8046</v>
      </c>
    </row>
    <row r="390" spans="1:1" x14ac:dyDescent="0.25">
      <c r="A390" s="8" t="s">
        <v>8047</v>
      </c>
    </row>
    <row r="391" spans="1:1" x14ac:dyDescent="0.25">
      <c r="A391" s="8" t="s">
        <v>8048</v>
      </c>
    </row>
    <row r="392" spans="1:1" x14ac:dyDescent="0.25">
      <c r="A392" s="8" t="s">
        <v>8049</v>
      </c>
    </row>
    <row r="393" spans="1:1" x14ac:dyDescent="0.25">
      <c r="A393" s="8" t="s">
        <v>8050</v>
      </c>
    </row>
    <row r="394" spans="1:1" x14ac:dyDescent="0.25">
      <c r="A394" s="8" t="s">
        <v>8051</v>
      </c>
    </row>
    <row r="395" spans="1:1" x14ac:dyDescent="0.25">
      <c r="A395" s="8" t="s">
        <v>8052</v>
      </c>
    </row>
    <row r="396" spans="1:1" x14ac:dyDescent="0.25">
      <c r="A396" s="8" t="s">
        <v>8053</v>
      </c>
    </row>
    <row r="397" spans="1:1" x14ac:dyDescent="0.25">
      <c r="A397" s="8" t="s">
        <v>8054</v>
      </c>
    </row>
    <row r="398" spans="1:1" x14ac:dyDescent="0.25">
      <c r="A398" s="8" t="s">
        <v>8055</v>
      </c>
    </row>
    <row r="399" spans="1:1" x14ac:dyDescent="0.25">
      <c r="A399" s="8" t="s">
        <v>8056</v>
      </c>
    </row>
    <row r="400" spans="1:1" x14ac:dyDescent="0.25">
      <c r="A400" s="8" t="s">
        <v>8057</v>
      </c>
    </row>
    <row r="401" spans="1:1" x14ac:dyDescent="0.25">
      <c r="A401" s="8" t="s">
        <v>8058</v>
      </c>
    </row>
    <row r="402" spans="1:1" x14ac:dyDescent="0.25">
      <c r="A402" s="8" t="s">
        <v>8059</v>
      </c>
    </row>
    <row r="403" spans="1:1" x14ac:dyDescent="0.25">
      <c r="A403" s="8" t="s">
        <v>8060</v>
      </c>
    </row>
    <row r="404" spans="1:1" x14ac:dyDescent="0.25">
      <c r="A404" s="8" t="s">
        <v>8061</v>
      </c>
    </row>
    <row r="405" spans="1:1" x14ac:dyDescent="0.25">
      <c r="A405" s="8" t="s">
        <v>8062</v>
      </c>
    </row>
    <row r="406" spans="1:1" x14ac:dyDescent="0.25">
      <c r="A406" s="8" t="s">
        <v>8063</v>
      </c>
    </row>
    <row r="407" spans="1:1" x14ac:dyDescent="0.25">
      <c r="A407" s="8" t="s">
        <v>8064</v>
      </c>
    </row>
    <row r="408" spans="1:1" x14ac:dyDescent="0.25">
      <c r="A408" s="8" t="s">
        <v>8065</v>
      </c>
    </row>
    <row r="409" spans="1:1" x14ac:dyDescent="0.25">
      <c r="A409" s="8" t="s">
        <v>8066</v>
      </c>
    </row>
    <row r="410" spans="1:1" x14ac:dyDescent="0.25">
      <c r="A410" s="8" t="s">
        <v>8067</v>
      </c>
    </row>
    <row r="411" spans="1:1" x14ac:dyDescent="0.25">
      <c r="A411" s="8" t="s">
        <v>8068</v>
      </c>
    </row>
    <row r="412" spans="1:1" x14ac:dyDescent="0.25">
      <c r="A412" s="8" t="s">
        <v>8069</v>
      </c>
    </row>
    <row r="413" spans="1:1" x14ac:dyDescent="0.25">
      <c r="A413" s="8" t="s">
        <v>8070</v>
      </c>
    </row>
    <row r="414" spans="1:1" x14ac:dyDescent="0.25">
      <c r="A414" s="8" t="s">
        <v>8071</v>
      </c>
    </row>
    <row r="415" spans="1:1" x14ac:dyDescent="0.25">
      <c r="A415" s="8" t="s">
        <v>8072</v>
      </c>
    </row>
    <row r="416" spans="1:1" x14ac:dyDescent="0.25">
      <c r="A416" s="8" t="s">
        <v>8073</v>
      </c>
    </row>
    <row r="417" spans="1:1" x14ac:dyDescent="0.25">
      <c r="A417" s="8" t="s">
        <v>8074</v>
      </c>
    </row>
    <row r="418" spans="1:1" x14ac:dyDescent="0.25">
      <c r="A418" s="8" t="s">
        <v>8075</v>
      </c>
    </row>
    <row r="419" spans="1:1" x14ac:dyDescent="0.25">
      <c r="A419" s="8" t="s">
        <v>4929</v>
      </c>
    </row>
  </sheetData>
  <sortState xmlns:xlrd2="http://schemas.microsoft.com/office/spreadsheetml/2017/richdata2" ref="S234:S264">
    <sortCondition ref="S213"/>
  </sortState>
  <phoneticPr fontId="58" type="noConversion"/>
  <pageMargins left="0.196850393700787" right="0.196850393700787" top="0.196850393700787" bottom="0.196850393700787" header="0" footer="0"/>
  <pageSetup paperSize="8" orientation="landscape" r:id="rId1"/>
  <headerFooter alignWithMargins="0">
    <oddFooter>&amp;C&amp;1#&amp;"Calibri"&amp;10&amp;K000000OFFICIAL-SENSITIVE</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
  <dimension ref="A1:AC115"/>
  <sheetViews>
    <sheetView showGridLines="0" topLeftCell="B1" zoomScale="106" zoomScaleNormal="106" workbookViewId="0">
      <selection activeCell="B1" sqref="B1"/>
    </sheetView>
  </sheetViews>
  <sheetFormatPr defaultColWidth="8.81640625" defaultRowHeight="11.5" x14ac:dyDescent="0.25"/>
  <cols>
    <col min="1" max="1" width="4.26953125" style="35" hidden="1" customWidth="1"/>
    <col min="2" max="2" width="9" style="35" customWidth="1"/>
    <col min="3" max="3" width="6" style="35" customWidth="1"/>
    <col min="4" max="4" width="17.1796875" style="35" customWidth="1"/>
    <col min="5" max="5" width="2.1796875" style="35" customWidth="1"/>
    <col min="6" max="6" width="33.1796875" style="35" customWidth="1"/>
    <col min="7" max="7" width="5.54296875" style="35" customWidth="1"/>
    <col min="8" max="8" width="36.453125" style="35" customWidth="1"/>
    <col min="9" max="10" width="3.54296875" style="35" customWidth="1"/>
    <col min="11" max="11" width="26.81640625" style="35" customWidth="1"/>
    <col min="12" max="12" width="6.1796875" style="35" customWidth="1"/>
    <col min="13" max="13" width="36.453125" style="35" customWidth="1"/>
    <col min="14" max="15" width="3.54296875" style="35" customWidth="1"/>
    <col min="16" max="16" width="27.1796875" style="35" customWidth="1"/>
    <col min="17" max="17" width="5.54296875" style="35" customWidth="1"/>
    <col min="18" max="18" width="36.453125" style="35" customWidth="1"/>
    <col min="19" max="20" width="3.54296875" style="35" customWidth="1"/>
    <col min="21" max="21" width="25.81640625" style="35" customWidth="1"/>
    <col min="22" max="22" width="5.54296875" style="35" customWidth="1"/>
    <col min="23" max="23" width="36.453125" style="35" customWidth="1"/>
    <col min="24" max="25" width="3.54296875" style="35" customWidth="1"/>
    <col min="26" max="26" width="25.81640625" style="35" customWidth="1"/>
    <col min="27" max="27" width="5.54296875" style="35" customWidth="1"/>
    <col min="28" max="28" width="36.1796875" style="35" customWidth="1"/>
    <col min="29" max="29" width="2.1796875" style="35" customWidth="1"/>
    <col min="30" max="16384" width="8.81640625" style="35"/>
  </cols>
  <sheetData>
    <row r="1" spans="1:28" ht="18" x14ac:dyDescent="0.4">
      <c r="A1" s="35" t="s">
        <v>8076</v>
      </c>
      <c r="B1" s="889" t="s">
        <v>8077</v>
      </c>
    </row>
    <row r="2" spans="1:28" x14ac:dyDescent="0.25">
      <c r="A2" s="35" t="s">
        <v>8078</v>
      </c>
      <c r="G2" s="2189" t="s">
        <v>7019</v>
      </c>
      <c r="H2" s="2190"/>
      <c r="I2" s="2190"/>
      <c r="J2" s="2190"/>
      <c r="K2" s="2190"/>
      <c r="L2" s="2190"/>
      <c r="M2" s="2191"/>
    </row>
    <row r="3" spans="1:28" x14ac:dyDescent="0.25">
      <c r="A3" s="35" t="s">
        <v>8079</v>
      </c>
    </row>
    <row r="4" spans="1:28" ht="12.5" x14ac:dyDescent="0.25">
      <c r="A4" s="35" t="s">
        <v>8080</v>
      </c>
      <c r="B4" s="178" t="str">
        <f>"The first "&amp;DOLLAR(SR_band,0)&amp;" of savings income is taxed at "&amp;SR_rate*100&amp;"%; but only if non-savings and savings income is less than "&amp;DOLLAR(P_A+SR_band,0)&amp;"(the personal allowance – "&amp;DOLLAR(P_A,0)&amp;" plus the savings starting rate band of "&amp;DOLLAR(SR_band,0)&amp;")."</f>
        <v>The first £5,000 of savings income is taxed at 0%; but only if non-savings and savings income is less than £17,570(the personal allowance – £12,570 plus the savings starting rate band of £5,000).</v>
      </c>
    </row>
    <row r="5" spans="1:28" x14ac:dyDescent="0.25">
      <c r="A5" s="35" t="s">
        <v>8081</v>
      </c>
    </row>
    <row r="6" spans="1:28" x14ac:dyDescent="0.25">
      <c r="A6" s="35" t="s">
        <v>8082</v>
      </c>
      <c r="B6" s="35" t="s">
        <v>8083</v>
      </c>
    </row>
    <row r="7" spans="1:28" x14ac:dyDescent="0.25">
      <c r="A7" s="35" t="s">
        <v>8084</v>
      </c>
    </row>
    <row r="8" spans="1:28" x14ac:dyDescent="0.25">
      <c r="A8" s="35" t="s">
        <v>8085</v>
      </c>
      <c r="B8" s="35" t="s">
        <v>8086</v>
      </c>
    </row>
    <row r="9" spans="1:28" x14ac:dyDescent="0.25">
      <c r="A9" s="35" t="s">
        <v>8087</v>
      </c>
    </row>
    <row r="10" spans="1:28" x14ac:dyDescent="0.25">
      <c r="A10" s="35" t="s">
        <v>8088</v>
      </c>
      <c r="B10" s="856"/>
      <c r="C10" s="856"/>
      <c r="D10" s="856"/>
      <c r="E10" s="856"/>
      <c r="F10" s="856"/>
      <c r="G10" s="890" t="s">
        <v>8089</v>
      </c>
      <c r="H10" s="856"/>
      <c r="I10" s="814"/>
      <c r="J10" s="856"/>
      <c r="K10" s="856"/>
      <c r="L10" s="856" t="s">
        <v>8090</v>
      </c>
      <c r="M10" s="856"/>
      <c r="N10" s="814"/>
      <c r="O10" s="856"/>
      <c r="P10" s="856"/>
      <c r="Q10" s="856"/>
      <c r="R10" s="882" t="s">
        <v>8091</v>
      </c>
      <c r="S10" s="814"/>
      <c r="T10" s="856"/>
      <c r="U10" s="856"/>
      <c r="V10" s="856" t="s">
        <v>8092</v>
      </c>
      <c r="W10" s="856"/>
      <c r="X10" s="814"/>
      <c r="Y10" s="856"/>
      <c r="Z10" s="856"/>
      <c r="AA10" s="856" t="s">
        <v>8093</v>
      </c>
      <c r="AB10" s="856"/>
    </row>
    <row r="11" spans="1:28" x14ac:dyDescent="0.25">
      <c r="A11" s="35" t="s">
        <v>8094</v>
      </c>
      <c r="B11" s="856"/>
      <c r="C11" s="856"/>
      <c r="D11" s="856"/>
      <c r="E11" s="856"/>
      <c r="F11" s="856"/>
      <c r="G11" s="856"/>
      <c r="H11" s="856"/>
      <c r="I11" s="814"/>
      <c r="J11" s="856"/>
      <c r="K11" s="856"/>
      <c r="L11" s="856" t="s">
        <v>8095</v>
      </c>
      <c r="M11" s="856"/>
      <c r="N11" s="814"/>
      <c r="O11" s="856"/>
      <c r="P11" s="856"/>
      <c r="Q11" s="856"/>
      <c r="R11" s="856"/>
      <c r="S11" s="814"/>
      <c r="T11" s="856"/>
      <c r="U11" s="856"/>
      <c r="V11" s="856"/>
      <c r="W11" s="856"/>
      <c r="X11" s="814"/>
      <c r="Y11" s="856"/>
      <c r="Z11" s="856"/>
      <c r="AA11" s="856" t="s">
        <v>2927</v>
      </c>
      <c r="AB11" s="856"/>
    </row>
    <row r="12" spans="1:28" x14ac:dyDescent="0.25">
      <c r="A12" s="35" t="s">
        <v>8096</v>
      </c>
      <c r="I12" s="860"/>
      <c r="N12" s="860"/>
      <c r="S12" s="860"/>
      <c r="X12" s="860"/>
    </row>
    <row r="13" spans="1:28" s="856" customFormat="1" x14ac:dyDescent="0.25">
      <c r="A13" s="35" t="s">
        <v>8097</v>
      </c>
      <c r="B13" s="35"/>
      <c r="C13" s="35"/>
      <c r="D13" s="35"/>
      <c r="E13" s="35"/>
      <c r="F13" s="35"/>
      <c r="G13" s="35"/>
      <c r="H13" s="36" t="str">
        <f>'Taxable (c5)'!BA149&amp;" + "&amp;'Taxable (c5)'!BA307</f>
        <v>c5.76 + c5.83</v>
      </c>
      <c r="I13" s="860"/>
      <c r="J13" s="35"/>
      <c r="K13" s="35"/>
      <c r="L13" s="35"/>
      <c r="M13" s="36" t="str">
        <f>"from "&amp;'Taxable (c5)'!BA199</f>
        <v>from c5.78</v>
      </c>
      <c r="N13" s="860"/>
      <c r="O13" s="36"/>
      <c r="P13" s="36"/>
      <c r="Q13" s="35"/>
      <c r="R13" s="36" t="str">
        <f>'Taxable (c5)'!BA280&amp;" + "&amp;'Taxable (c5)'!BA288&amp;" + "&amp;'Taxable (c5)'!BA292</f>
        <v>c5.79 + c5.80 + c5.81</v>
      </c>
      <c r="S13" s="860"/>
      <c r="T13" s="35"/>
      <c r="U13" s="35"/>
      <c r="V13" s="35"/>
      <c r="W13" s="36" t="str">
        <f>'Taxable (c5)'!BA176&amp;" + "&amp;'Taxable (c5)'!BA312</f>
        <v>c5.77 + c5.84</v>
      </c>
      <c r="X13" s="860"/>
      <c r="Y13" s="36"/>
      <c r="Z13" s="36"/>
      <c r="AA13" s="35"/>
      <c r="AB13" s="36" t="str">
        <f>"from "&amp;'Taxable (c5)'!BA302</f>
        <v>from c5.82</v>
      </c>
    </row>
    <row r="14" spans="1:28" s="856" customFormat="1" x14ac:dyDescent="0.25">
      <c r="A14" s="35" t="s">
        <v>8098</v>
      </c>
      <c r="B14" s="35"/>
      <c r="C14" s="35"/>
      <c r="E14" s="35"/>
      <c r="F14" s="891" t="s">
        <v>1471</v>
      </c>
      <c r="G14" s="2160" t="str">
        <f>A1</f>
        <v>c6.1</v>
      </c>
      <c r="H14" s="2161">
        <f>'Taxable (c5)'!BB149+'Taxable (c5)'!BB307</f>
        <v>0</v>
      </c>
      <c r="I14" s="860"/>
      <c r="J14" s="35"/>
      <c r="K14" s="35"/>
      <c r="L14" s="2160" t="str">
        <f>A16</f>
        <v>c6.11</v>
      </c>
      <c r="M14" s="2149">
        <f>'Taxable (c5)'!BB199</f>
        <v>0</v>
      </c>
      <c r="N14" s="860"/>
      <c r="O14" s="32"/>
      <c r="P14" s="32"/>
      <c r="Q14" s="2160" t="str">
        <f>A33</f>
        <v>c6.23</v>
      </c>
      <c r="R14" s="2149">
        <f>'Taxable (c5)'!BB280+'Taxable (c5)'!BB288+'Taxable (c5)'!BB292</f>
        <v>0</v>
      </c>
      <c r="S14" s="860"/>
      <c r="T14" s="35"/>
      <c r="U14" s="35"/>
      <c r="V14" s="2160" t="str">
        <f>A45</f>
        <v>c6.35</v>
      </c>
      <c r="W14" s="2161">
        <f>'Taxable (c5)'!BB176+'Taxable (c5)'!BB312</f>
        <v>0</v>
      </c>
      <c r="X14" s="860"/>
      <c r="Y14" s="35"/>
      <c r="Z14" s="35"/>
      <c r="AA14" s="2160" t="str">
        <f>A60</f>
        <v>c6.45</v>
      </c>
      <c r="AB14" s="2149">
        <f>'Taxable (c5)'!BB302</f>
        <v>0</v>
      </c>
    </row>
    <row r="15" spans="1:28" s="856" customFormat="1" x14ac:dyDescent="0.25">
      <c r="A15" s="35" t="s">
        <v>8099</v>
      </c>
      <c r="I15" s="860"/>
      <c r="J15" s="35"/>
      <c r="K15" s="35"/>
      <c r="L15" s="35"/>
      <c r="M15" s="35"/>
      <c r="N15" s="860"/>
      <c r="O15" s="35"/>
      <c r="P15" s="35"/>
      <c r="Q15" s="35"/>
      <c r="R15" s="35"/>
      <c r="S15" s="860"/>
      <c r="T15" s="35"/>
      <c r="U15" s="35"/>
      <c r="W15" s="36" t="str">
        <f>"lower of "&amp;V14&amp;" and"</f>
        <v>lower of c6.35 and</v>
      </c>
      <c r="X15" s="860"/>
      <c r="Y15" s="35"/>
      <c r="Z15" s="35"/>
    </row>
    <row r="16" spans="1:28" s="856" customFormat="1" x14ac:dyDescent="0.25">
      <c r="A16" s="35" t="s">
        <v>8100</v>
      </c>
      <c r="B16" s="35"/>
      <c r="C16" s="35"/>
      <c r="D16" s="35"/>
      <c r="E16" s="35"/>
      <c r="F16" s="35"/>
      <c r="G16" s="35"/>
      <c r="H16" s="36" t="str">
        <f>"lower of "&amp;G14&amp;" and "&amp;'Status (c3a)'!H33</f>
        <v>lower of c6.1 and c3a.1a</v>
      </c>
      <c r="I16" s="860"/>
      <c r="J16" s="35"/>
      <c r="K16" s="35"/>
      <c r="N16" s="860"/>
      <c r="O16" s="285"/>
      <c r="P16" s="285"/>
      <c r="Q16" s="280"/>
      <c r="R16" s="285"/>
      <c r="S16" s="892"/>
      <c r="T16" s="285"/>
      <c r="U16" s="285"/>
      <c r="V16" s="35"/>
      <c r="W16" s="36" t="str">
        <f>"("&amp;'Status (c3a)'!H33&amp;" minus ("&amp;'tax it (c6)'!G14&amp;" + "&amp;'tax it (c6)'!L14&amp;" + "&amp;'tax it (c6)'!Q14&amp;"))"</f>
        <v>(c3a.1a minus (c6.1 + c6.11 + c6.23))</v>
      </c>
      <c r="X16" s="892"/>
      <c r="Y16" s="285"/>
      <c r="Z16" s="285"/>
    </row>
    <row r="17" spans="1:29" x14ac:dyDescent="0.25">
      <c r="A17" s="35" t="s">
        <v>8101</v>
      </c>
      <c r="E17" s="882"/>
      <c r="F17" s="882" t="s">
        <v>8102</v>
      </c>
      <c r="G17" s="2160" t="str">
        <f>A2</f>
        <v>c6.2</v>
      </c>
      <c r="H17" s="2192">
        <f>MIN(H14,'Status (c3a)'!I33)</f>
        <v>0</v>
      </c>
      <c r="I17" s="860"/>
      <c r="N17" s="860"/>
      <c r="O17" s="286"/>
      <c r="P17" s="286"/>
      <c r="Q17" s="893"/>
      <c r="R17" s="403"/>
      <c r="S17" s="892"/>
      <c r="T17" s="286"/>
      <c r="U17" s="882" t="s">
        <v>8102</v>
      </c>
      <c r="V17" s="2160" t="s">
        <v>8103</v>
      </c>
      <c r="W17" s="2161">
        <f>MIN(W14,MAX(0,'Status (c3a)'!I33-(H14+M14+R14)))</f>
        <v>0</v>
      </c>
      <c r="X17" s="892"/>
      <c r="Y17" s="286"/>
      <c r="Z17" s="286"/>
    </row>
    <row r="18" spans="1:29" x14ac:dyDescent="0.25">
      <c r="A18" s="35" t="s">
        <v>8104</v>
      </c>
      <c r="E18" s="882"/>
      <c r="F18" s="882"/>
      <c r="G18" s="171"/>
      <c r="H18" s="36" t="str">
        <f>"copy to "&amp;'tax it (c8)'!A1</f>
        <v>copy to c8.1</v>
      </c>
      <c r="I18" s="860"/>
      <c r="N18" s="860"/>
      <c r="O18" s="286"/>
      <c r="P18" s="286"/>
      <c r="Q18" s="893"/>
      <c r="R18" s="403"/>
      <c r="S18" s="892"/>
      <c r="T18" s="286"/>
      <c r="U18" s="882"/>
      <c r="V18" s="171"/>
      <c r="W18" s="36" t="str">
        <f>"copy to "&amp;'tax it (c8)'!A34</f>
        <v>copy to c8.24b</v>
      </c>
      <c r="X18" s="892"/>
      <c r="Y18" s="286"/>
      <c r="Z18" s="286"/>
    </row>
    <row r="19" spans="1:29" x14ac:dyDescent="0.25">
      <c r="A19" s="35" t="s">
        <v>8105</v>
      </c>
      <c r="D19" s="882"/>
      <c r="E19" s="882"/>
      <c r="F19" s="882"/>
      <c r="I19" s="860"/>
      <c r="L19" s="171"/>
      <c r="M19" s="219"/>
      <c r="N19" s="860"/>
      <c r="O19" s="286"/>
      <c r="P19" s="286"/>
      <c r="Q19" s="893"/>
      <c r="R19" s="403"/>
      <c r="S19" s="892"/>
      <c r="T19" s="286"/>
      <c r="U19" s="286"/>
      <c r="X19" s="892"/>
      <c r="Y19" s="286"/>
      <c r="Z19" s="286"/>
    </row>
    <row r="20" spans="1:29" x14ac:dyDescent="0.25">
      <c r="A20" s="35" t="s">
        <v>8106</v>
      </c>
      <c r="H20" s="36" t="s">
        <v>7043</v>
      </c>
      <c r="I20" s="860"/>
      <c r="N20" s="860"/>
      <c r="O20" s="286"/>
      <c r="P20" s="286"/>
      <c r="Q20" s="893"/>
      <c r="R20" s="403"/>
      <c r="S20" s="892"/>
      <c r="U20" s="882"/>
      <c r="W20" s="36" t="str">
        <f>"("&amp;G14&amp;" + "&amp;L14&amp;" + "&amp;Q14&amp;") minus "&amp;'Status (c3a)'!H33</f>
        <v>(c6.1 + c6.11 + c6.23) minus c3a.1a</v>
      </c>
      <c r="X20" s="892"/>
      <c r="Y20" s="286"/>
      <c r="Z20" s="286"/>
    </row>
    <row r="21" spans="1:29" x14ac:dyDescent="0.25">
      <c r="A21" s="35" t="s">
        <v>8107</v>
      </c>
      <c r="D21" s="863"/>
      <c r="E21" s="891"/>
      <c r="F21" s="891"/>
      <c r="G21" s="2193" t="str">
        <f>A3</f>
        <v>c6.3</v>
      </c>
      <c r="H21" s="2161"/>
      <c r="I21" s="860"/>
      <c r="N21" s="860"/>
      <c r="O21" s="286"/>
      <c r="P21" s="286"/>
      <c r="Q21" s="893"/>
      <c r="R21" s="403"/>
      <c r="S21" s="892"/>
      <c r="U21" s="882" t="s">
        <v>8108</v>
      </c>
      <c r="V21" s="2193" t="s">
        <v>8109</v>
      </c>
      <c r="W21" s="2161">
        <f>MAX(0,(H14+M14+R14)-'Status (c3a)'!I33)</f>
        <v>0</v>
      </c>
      <c r="X21" s="892"/>
      <c r="Y21" s="286"/>
      <c r="Z21" s="286"/>
    </row>
    <row r="22" spans="1:29" x14ac:dyDescent="0.25">
      <c r="A22" s="35" t="s">
        <v>8110</v>
      </c>
      <c r="E22" s="36"/>
      <c r="F22" s="36"/>
      <c r="I22" s="860"/>
      <c r="N22" s="860"/>
      <c r="O22" s="286"/>
      <c r="P22" s="286"/>
      <c r="Q22" s="893"/>
      <c r="R22" s="403"/>
      <c r="S22" s="892"/>
      <c r="U22" s="882"/>
      <c r="V22" s="826"/>
      <c r="W22" s="219"/>
      <c r="X22" s="892"/>
      <c r="Y22" s="286"/>
      <c r="Z22" s="286"/>
    </row>
    <row r="23" spans="1:29" x14ac:dyDescent="0.25">
      <c r="A23" s="35" t="s">
        <v>8111</v>
      </c>
      <c r="D23" s="863"/>
      <c r="H23" s="36" t="s">
        <v>7043</v>
      </c>
      <c r="I23" s="860"/>
      <c r="N23" s="860"/>
      <c r="O23" s="280"/>
      <c r="P23" s="280"/>
      <c r="Q23" s="280"/>
      <c r="R23" s="280"/>
      <c r="S23" s="892"/>
      <c r="U23" s="882"/>
      <c r="W23" s="36" t="str">
        <f>"("&amp;G17&amp;" + "&amp;G66&amp;" + "&amp;G70&amp;" + "&amp;L14&amp;" + "&amp;Q14&amp;") minus ("&amp;'Status (c3a)'!H33&amp;" + "&amp;'Status (c3a)'!L33&amp;" + "&amp;'Deductions (c4)'!H383&amp;")"</f>
        <v>(c6.2 + c6.6 + c6.7 + c6.11 + c6.23) minus (c3a.1a + c3a.2 + c4.59)</v>
      </c>
      <c r="X23" s="892"/>
      <c r="Y23" s="280"/>
      <c r="Z23" s="280"/>
      <c r="AC23" s="36"/>
    </row>
    <row r="24" spans="1:29" x14ac:dyDescent="0.25">
      <c r="A24" s="35" t="s">
        <v>8112</v>
      </c>
      <c r="D24" s="863"/>
      <c r="E24" s="891"/>
      <c r="F24" s="891"/>
      <c r="G24" s="2160" t="str">
        <f>A4</f>
        <v>c6.4</v>
      </c>
      <c r="H24" s="2161"/>
      <c r="I24" s="860"/>
      <c r="N24" s="860"/>
      <c r="O24" s="280"/>
      <c r="P24" s="280"/>
      <c r="Q24" s="280"/>
      <c r="R24" s="285"/>
      <c r="S24" s="892"/>
      <c r="U24" s="882" t="s">
        <v>8113</v>
      </c>
      <c r="V24" s="2160" t="s">
        <v>8114</v>
      </c>
      <c r="W24" s="2161">
        <f>MAX(0,(H17+H66+H70+M14+R14-('Status (c3a)'!I33+'Status (c3a)'!M33+'Deductions (c4)'!I383)))</f>
        <v>0</v>
      </c>
      <c r="X24" s="892"/>
      <c r="Y24" s="280"/>
      <c r="Z24" s="280"/>
      <c r="AC24" s="36"/>
    </row>
    <row r="25" spans="1:29" x14ac:dyDescent="0.25">
      <c r="A25" s="35" t="s">
        <v>5037</v>
      </c>
      <c r="I25" s="860"/>
      <c r="N25" s="860"/>
      <c r="O25" s="280"/>
      <c r="P25" s="280"/>
      <c r="Q25" s="893"/>
      <c r="R25" s="404"/>
      <c r="S25" s="892"/>
      <c r="T25" s="280"/>
      <c r="U25" s="280"/>
      <c r="X25" s="892"/>
      <c r="Y25" s="280"/>
      <c r="Z25" s="280"/>
    </row>
    <row r="26" spans="1:29" x14ac:dyDescent="0.25">
      <c r="A26" s="35" t="s">
        <v>8115</v>
      </c>
      <c r="H26" s="36" t="s">
        <v>7043</v>
      </c>
      <c r="I26" s="860"/>
      <c r="N26" s="860"/>
      <c r="O26" s="280"/>
      <c r="P26" s="280"/>
      <c r="Q26" s="280"/>
      <c r="R26" s="280"/>
      <c r="S26" s="892"/>
      <c r="T26" s="280"/>
      <c r="U26" s="280"/>
      <c r="X26" s="860"/>
    </row>
    <row r="27" spans="1:29" x14ac:dyDescent="0.25">
      <c r="A27" s="35" t="s">
        <v>8116</v>
      </c>
      <c r="B27" s="280"/>
      <c r="C27" s="894"/>
      <c r="D27" s="285"/>
      <c r="E27" s="280"/>
      <c r="F27" s="895"/>
      <c r="G27" s="2160" t="str">
        <f>A5</f>
        <v>c6.5</v>
      </c>
      <c r="H27" s="2161">
        <v>0</v>
      </c>
      <c r="I27" s="860"/>
      <c r="N27" s="860"/>
      <c r="O27" s="280"/>
      <c r="P27" s="280"/>
      <c r="Q27" s="280"/>
      <c r="R27" s="285"/>
      <c r="S27" s="892"/>
      <c r="T27" s="280"/>
      <c r="U27" s="280"/>
      <c r="X27" s="892"/>
      <c r="Y27" s="280"/>
      <c r="Z27" s="280"/>
    </row>
    <row r="28" spans="1:29" x14ac:dyDescent="0.25">
      <c r="A28" s="35" t="s">
        <v>8117</v>
      </c>
      <c r="I28" s="860"/>
      <c r="N28" s="860"/>
      <c r="Q28" s="280"/>
      <c r="R28" s="280"/>
      <c r="S28" s="860"/>
      <c r="X28" s="860"/>
    </row>
    <row r="29" spans="1:29" x14ac:dyDescent="0.25">
      <c r="A29" s="35" t="s">
        <v>8118</v>
      </c>
      <c r="I29" s="860"/>
      <c r="M29" s="36" t="str">
        <f>"SR_band ("&amp;DOLLAR(SR_band,0)&amp;") minus "&amp;G14</f>
        <v>SR_band (£5,000) minus c6.1</v>
      </c>
      <c r="N29" s="860"/>
      <c r="Q29" s="280"/>
      <c r="R29" s="280"/>
      <c r="S29" s="860"/>
      <c r="X29" s="860"/>
      <c r="AA29" s="280"/>
      <c r="AB29" s="36" t="str">
        <f>"SR_band ("&amp;DOLLAR(SR_band,0)&amp;") minus ("&amp;G14&amp;" + "&amp;L14&amp;" + "&amp;Q14&amp;" + "&amp;V14&amp;")"</f>
        <v>SR_band (£5,000) minus (c6.1 + c6.11 + c6.23 + c6.35)</v>
      </c>
    </row>
    <row r="30" spans="1:29" x14ac:dyDescent="0.25">
      <c r="A30" s="35" t="s">
        <v>5052</v>
      </c>
      <c r="I30" s="860"/>
      <c r="L30" s="2160" t="str">
        <f>A17</f>
        <v>c6.12</v>
      </c>
      <c r="M30" s="2161">
        <f>MAX(0,SR_band-H14)</f>
        <v>5000</v>
      </c>
      <c r="N30" s="860"/>
      <c r="Q30" s="280"/>
      <c r="R30" s="280"/>
      <c r="S30" s="860"/>
      <c r="X30" s="860"/>
      <c r="AA30" s="2160" t="str">
        <f>A61</f>
        <v>c6.46</v>
      </c>
      <c r="AB30" s="2161">
        <f>MAX(0,SR_band-(H14+M14+R14+W14))</f>
        <v>5000</v>
      </c>
    </row>
    <row r="31" spans="1:29" x14ac:dyDescent="0.25">
      <c r="A31" s="35" t="s">
        <v>8119</v>
      </c>
      <c r="I31" s="860"/>
      <c r="N31" s="860"/>
      <c r="Q31" s="280"/>
      <c r="R31" s="280"/>
      <c r="S31" s="860"/>
      <c r="X31" s="860"/>
    </row>
    <row r="32" spans="1:29" x14ac:dyDescent="0.25">
      <c r="A32" s="35" t="s">
        <v>8120</v>
      </c>
      <c r="I32" s="860"/>
      <c r="M32" s="36" t="str">
        <f>"lower of "&amp;L14&amp;" and "&amp;L30</f>
        <v>lower of c6.11 and c6.12</v>
      </c>
      <c r="N32" s="860"/>
      <c r="Q32" s="280"/>
      <c r="R32" s="280"/>
      <c r="S32" s="860"/>
      <c r="X32" s="860"/>
      <c r="AA32" s="896"/>
      <c r="AB32" s="36" t="str">
        <f>"lower of "&amp;AA14&amp;" and "&amp;AA30</f>
        <v>lower of c6.45 and c6.46</v>
      </c>
    </row>
    <row r="33" spans="1:29" x14ac:dyDescent="0.25">
      <c r="A33" s="35" t="s">
        <v>8121</v>
      </c>
      <c r="I33" s="860"/>
      <c r="L33" s="2160" t="str">
        <f>A18</f>
        <v>c6.13</v>
      </c>
      <c r="M33" s="2192">
        <f>MIN(M14,M30)</f>
        <v>0</v>
      </c>
      <c r="N33" s="860"/>
      <c r="Q33" s="280"/>
      <c r="R33" s="280"/>
      <c r="S33" s="860"/>
      <c r="X33" s="860"/>
      <c r="AA33" s="2160" t="str">
        <f>A62</f>
        <v>c6.47</v>
      </c>
      <c r="AB33" s="2192">
        <f>MIN(AB14,AB30)</f>
        <v>0</v>
      </c>
    </row>
    <row r="34" spans="1:29" x14ac:dyDescent="0.25">
      <c r="A34" s="35" t="s">
        <v>8122</v>
      </c>
      <c r="I34" s="860"/>
      <c r="N34" s="860"/>
      <c r="Q34" s="280"/>
      <c r="R34" s="280"/>
      <c r="S34" s="860"/>
      <c r="X34" s="860"/>
    </row>
    <row r="35" spans="1:29" x14ac:dyDescent="0.25">
      <c r="A35" s="35" t="s">
        <v>8123</v>
      </c>
      <c r="I35" s="860"/>
      <c r="M35" s="36" t="str">
        <f>"lower of SR_band ("&amp;DOLLAR(SR_band,0)&amp;") and "&amp;L33</f>
        <v>lower of SR_band (£5,000) and c6.13</v>
      </c>
      <c r="N35" s="860"/>
      <c r="Q35" s="280"/>
      <c r="R35" s="280"/>
      <c r="S35" s="860"/>
      <c r="X35" s="860"/>
      <c r="AB35" s="36" t="str">
        <f>"lower of (SR_band ("&amp;DOLLAR(SR_band,0)&amp;") minus "&amp;L36&amp;") and "&amp;AA33</f>
        <v>lower of (SR_band (£5,000) minus c6.14) and c6.47</v>
      </c>
    </row>
    <row r="36" spans="1:29" x14ac:dyDescent="0.25">
      <c r="A36" s="35" t="s">
        <v>8124</v>
      </c>
      <c r="I36" s="860"/>
      <c r="L36" s="2193" t="str">
        <f>A19</f>
        <v>c6.14</v>
      </c>
      <c r="M36" s="2192">
        <f>MIN(SR_band,M33)</f>
        <v>0</v>
      </c>
      <c r="N36" s="860"/>
      <c r="Q36" s="280"/>
      <c r="R36" s="280"/>
      <c r="S36" s="860"/>
      <c r="X36" s="860"/>
      <c r="AA36" s="2193" t="str">
        <f>A63</f>
        <v>c6.48</v>
      </c>
      <c r="AB36" s="2192">
        <f>MAX(0,MIN(SR_band-M36,AB33))</f>
        <v>0</v>
      </c>
    </row>
    <row r="37" spans="1:29" x14ac:dyDescent="0.25">
      <c r="A37" s="35" t="s">
        <v>5073</v>
      </c>
      <c r="I37" s="860"/>
      <c r="L37" s="826"/>
      <c r="M37" s="36" t="str">
        <f>"copy to "&amp;'tax it (c8)'!A14</f>
        <v>copy to c8.7</v>
      </c>
      <c r="N37" s="860"/>
      <c r="Q37" s="280"/>
      <c r="R37" s="280"/>
      <c r="S37" s="860"/>
      <c r="X37" s="860"/>
      <c r="AA37" s="826"/>
      <c r="AB37" s="36" t="str">
        <f>"copy to "&amp;'tax it (c8)'!A47</f>
        <v>copy to c8.24m</v>
      </c>
    </row>
    <row r="38" spans="1:29" x14ac:dyDescent="0.25">
      <c r="A38" s="35" t="s">
        <v>8125</v>
      </c>
      <c r="I38" s="860"/>
      <c r="N38" s="860"/>
      <c r="Q38" s="280"/>
      <c r="R38" s="285"/>
      <c r="S38" s="860"/>
      <c r="X38" s="860"/>
    </row>
    <row r="39" spans="1:29" x14ac:dyDescent="0.25">
      <c r="A39" s="35" t="s">
        <v>8126</v>
      </c>
      <c r="I39" s="860"/>
      <c r="M39" s="36" t="s">
        <v>7043</v>
      </c>
      <c r="N39" s="860"/>
      <c r="Q39" s="280"/>
      <c r="R39" s="285"/>
      <c r="S39" s="860"/>
      <c r="X39" s="860"/>
      <c r="AB39" s="36" t="s">
        <v>7043</v>
      </c>
    </row>
    <row r="40" spans="1:29" x14ac:dyDescent="0.25">
      <c r="A40" s="35" t="s">
        <v>8127</v>
      </c>
      <c r="I40" s="860"/>
      <c r="L40" s="2194" t="s">
        <v>8106</v>
      </c>
      <c r="M40" s="2161">
        <v>0</v>
      </c>
      <c r="N40" s="860"/>
      <c r="Q40" s="893"/>
      <c r="R40" s="405"/>
      <c r="S40" s="860"/>
      <c r="X40" s="860"/>
      <c r="AA40" s="2160" t="s">
        <v>8128</v>
      </c>
      <c r="AB40" s="2161">
        <v>0</v>
      </c>
    </row>
    <row r="41" spans="1:29" x14ac:dyDescent="0.25">
      <c r="A41" s="35" t="s">
        <v>8129</v>
      </c>
      <c r="I41" s="860"/>
      <c r="N41" s="860"/>
      <c r="S41" s="860"/>
      <c r="X41" s="860"/>
      <c r="AA41" s="280"/>
      <c r="AB41" s="280"/>
    </row>
    <row r="42" spans="1:29" x14ac:dyDescent="0.25">
      <c r="A42" s="35" t="s">
        <v>5090</v>
      </c>
      <c r="D42" s="897"/>
      <c r="I42" s="860"/>
      <c r="K42" s="898"/>
      <c r="M42" s="36" t="str">
        <f>"PSA from "&amp;'Deductions (c4)'!L639</f>
        <v>PSA from c4.79</v>
      </c>
      <c r="N42" s="860"/>
      <c r="R42" s="36" t="str">
        <f>"DA from "&amp;'Deductions (c4)'!L646</f>
        <v>DA from c4.80</v>
      </c>
      <c r="S42" s="860"/>
      <c r="X42" s="860"/>
      <c r="AA42" s="896"/>
      <c r="AB42" s="36" t="str">
        <f>L43&amp;" minus "&amp;L47</f>
        <v>c6.16 minus c6.17</v>
      </c>
    </row>
    <row r="43" spans="1:29" x14ac:dyDescent="0.25">
      <c r="A43" s="35" t="s">
        <v>8130</v>
      </c>
      <c r="F43" s="899" t="s">
        <v>8131</v>
      </c>
      <c r="I43" s="860"/>
      <c r="K43" s="36" t="s">
        <v>7481</v>
      </c>
      <c r="L43" s="2160" t="str">
        <f>A21</f>
        <v>c6.16</v>
      </c>
      <c r="M43" s="2161">
        <f>PSA</f>
        <v>1000</v>
      </c>
      <c r="N43" s="860"/>
      <c r="P43" s="36" t="s">
        <v>344</v>
      </c>
      <c r="Q43" s="2160" t="str">
        <f>A34</f>
        <v>c6.24</v>
      </c>
      <c r="R43" s="2195">
        <f>'Deductions (c4)'!M646</f>
        <v>500</v>
      </c>
      <c r="S43" s="860"/>
      <c r="X43" s="860"/>
      <c r="Z43" s="36" t="s">
        <v>7481</v>
      </c>
      <c r="AA43" s="2160" t="str">
        <f>A65</f>
        <v>c6.50</v>
      </c>
      <c r="AB43" s="2161">
        <f>MAX(0,M43-M47)</f>
        <v>1000</v>
      </c>
    </row>
    <row r="44" spans="1:29" x14ac:dyDescent="0.25">
      <c r="A44" s="35" t="s">
        <v>8132</v>
      </c>
      <c r="F44" s="863"/>
      <c r="I44" s="860"/>
      <c r="N44" s="860"/>
      <c r="S44" s="860"/>
      <c r="X44" s="860"/>
    </row>
    <row r="45" spans="1:29" x14ac:dyDescent="0.25">
      <c r="A45" s="35" t="s">
        <v>8133</v>
      </c>
      <c r="F45" s="863"/>
      <c r="I45" s="860"/>
      <c r="N45" s="860"/>
      <c r="S45" s="860"/>
      <c r="X45" s="860"/>
      <c r="AC45" s="36"/>
    </row>
    <row r="46" spans="1:29" x14ac:dyDescent="0.25">
      <c r="A46" s="35" t="s">
        <v>8103</v>
      </c>
      <c r="C46" s="856"/>
      <c r="F46" s="897"/>
      <c r="I46" s="860"/>
      <c r="M46" s="36" t="str">
        <f>"lower of ("&amp;L14&amp;" minus "&amp;L36&amp;") and "&amp;L43</f>
        <v>lower of (c6.11 minus c6.14) and c6.16</v>
      </c>
      <c r="N46" s="860"/>
      <c r="R46" s="36" t="str">
        <f>"lower of "&amp;Q14&amp;" and "&amp;Q43</f>
        <v>lower of c6.23 and c6.24</v>
      </c>
      <c r="S46" s="860"/>
      <c r="W46" s="36" t="s">
        <v>7043</v>
      </c>
      <c r="X46" s="860"/>
      <c r="AA46" s="896"/>
      <c r="AB46" s="36" t="str">
        <f>"lower of ("&amp;AA14&amp;" minus "&amp;AA36&amp;") and "&amp;AA43</f>
        <v>lower of (c6.45 minus c6.48) and c6.50</v>
      </c>
      <c r="AC46" s="36"/>
    </row>
    <row r="47" spans="1:29" x14ac:dyDescent="0.25">
      <c r="A47" s="35" t="s">
        <v>8109</v>
      </c>
      <c r="C47" s="856"/>
      <c r="F47" s="900" t="s">
        <v>8134</v>
      </c>
      <c r="I47" s="860"/>
      <c r="K47" s="9" t="s">
        <v>8135</v>
      </c>
      <c r="L47" s="2193" t="str">
        <f>A22</f>
        <v>c6.17</v>
      </c>
      <c r="M47" s="2192">
        <f>MIN(MAX(0,M14-M36),M43)</f>
        <v>0</v>
      </c>
      <c r="N47" s="860"/>
      <c r="P47" s="9" t="s">
        <v>8136</v>
      </c>
      <c r="Q47" s="2193" t="str">
        <f>A35</f>
        <v>c6.25</v>
      </c>
      <c r="R47" s="2196">
        <f>MIN(R14,R43)</f>
        <v>0</v>
      </c>
      <c r="S47" s="860"/>
      <c r="V47" s="2160" t="s">
        <v>8137</v>
      </c>
      <c r="W47" s="2161">
        <v>0</v>
      </c>
      <c r="X47" s="860"/>
      <c r="Z47" s="9" t="s">
        <v>8135</v>
      </c>
      <c r="AA47" s="2193" t="str">
        <f>A66</f>
        <v>c6.51</v>
      </c>
      <c r="AB47" s="2192">
        <f>MIN(MAX(0,AB14-AB36),AB43)</f>
        <v>0</v>
      </c>
      <c r="AC47" s="36"/>
    </row>
    <row r="48" spans="1:29" x14ac:dyDescent="0.25">
      <c r="A48" s="35" t="s">
        <v>8114</v>
      </c>
      <c r="C48" s="856"/>
      <c r="D48" s="901"/>
      <c r="I48" s="860"/>
      <c r="M48" s="36" t="str">
        <f>"copy to "&amp;'tax it (c8)'!A16</f>
        <v>copy to c8.9</v>
      </c>
      <c r="N48" s="860"/>
      <c r="Q48" s="826"/>
      <c r="R48" s="36" t="str">
        <f>"copy to "&amp;'tax it (c8)'!A25</f>
        <v>copy to c8.17</v>
      </c>
      <c r="S48" s="860"/>
      <c r="V48" s="171"/>
      <c r="W48" s="219"/>
      <c r="X48" s="860"/>
      <c r="AC48" s="36"/>
    </row>
    <row r="49" spans="1:29" x14ac:dyDescent="0.25">
      <c r="A49" s="35" t="s">
        <v>8137</v>
      </c>
      <c r="C49" s="856"/>
      <c r="D49" s="901"/>
      <c r="I49" s="860"/>
      <c r="L49" s="826"/>
      <c r="N49" s="860"/>
      <c r="Q49" s="826"/>
      <c r="R49" s="479"/>
      <c r="S49" s="860"/>
      <c r="V49" s="171"/>
      <c r="W49" s="219"/>
      <c r="X49" s="860"/>
      <c r="AC49" s="36"/>
    </row>
    <row r="50" spans="1:29" x14ac:dyDescent="0.25">
      <c r="A50" s="35" t="s">
        <v>8138</v>
      </c>
      <c r="C50" s="856"/>
      <c r="D50" s="901"/>
      <c r="I50" s="860"/>
      <c r="L50" s="826"/>
      <c r="N50" s="860"/>
      <c r="Q50" s="826"/>
      <c r="R50" s="479"/>
      <c r="S50" s="860"/>
      <c r="V50" s="171"/>
      <c r="W50" s="219"/>
      <c r="X50" s="860"/>
      <c r="AC50" s="36"/>
    </row>
    <row r="51" spans="1:29" x14ac:dyDescent="0.25">
      <c r="A51" s="35" t="s">
        <v>8139</v>
      </c>
      <c r="C51" s="856"/>
      <c r="D51" s="901"/>
      <c r="I51" s="860"/>
      <c r="L51" s="826"/>
      <c r="N51" s="860"/>
      <c r="Q51" s="826"/>
      <c r="R51" s="479"/>
      <c r="S51" s="860"/>
      <c r="V51" s="171"/>
      <c r="W51" s="219"/>
      <c r="X51" s="860"/>
      <c r="AA51" s="826"/>
      <c r="AC51" s="36"/>
    </row>
    <row r="52" spans="1:29" x14ac:dyDescent="0.25">
      <c r="A52" s="35" t="s">
        <v>8140</v>
      </c>
      <c r="C52" s="856"/>
      <c r="D52" s="901"/>
      <c r="I52" s="860"/>
      <c r="L52" s="826"/>
      <c r="N52" s="860"/>
      <c r="Q52" s="826"/>
      <c r="R52" s="479"/>
      <c r="S52" s="860"/>
      <c r="V52" s="171"/>
      <c r="W52" s="219"/>
      <c r="X52" s="860"/>
      <c r="AA52" s="826"/>
      <c r="AC52" s="36"/>
    </row>
    <row r="53" spans="1:29" x14ac:dyDescent="0.25">
      <c r="A53" s="35" t="s">
        <v>8141</v>
      </c>
      <c r="C53" s="856"/>
      <c r="D53" s="901"/>
      <c r="I53" s="860"/>
      <c r="L53" s="826"/>
      <c r="M53" s="36" t="s">
        <v>7043</v>
      </c>
      <c r="N53" s="860"/>
      <c r="Q53" s="826"/>
      <c r="R53" s="479"/>
      <c r="S53" s="860"/>
      <c r="V53" s="171"/>
      <c r="W53" s="219"/>
      <c r="X53" s="860"/>
      <c r="AA53" s="826"/>
      <c r="AB53" s="36" t="s">
        <v>7043</v>
      </c>
      <c r="AC53" s="36"/>
    </row>
    <row r="54" spans="1:29" x14ac:dyDescent="0.25">
      <c r="A54" s="35" t="s">
        <v>8142</v>
      </c>
      <c r="C54" s="856"/>
      <c r="I54" s="860"/>
      <c r="K54" s="285"/>
      <c r="L54" s="2193" t="str">
        <f>A23</f>
        <v>c6.17a</v>
      </c>
      <c r="M54" s="2192">
        <v>0</v>
      </c>
      <c r="N54" s="860"/>
      <c r="Q54" s="826"/>
      <c r="R54" s="479"/>
      <c r="S54" s="860"/>
      <c r="V54" s="171"/>
      <c r="W54" s="219"/>
      <c r="X54" s="860"/>
      <c r="AA54" s="2193" t="str">
        <f>A67</f>
        <v>c6.51a</v>
      </c>
      <c r="AB54" s="2192">
        <v>0</v>
      </c>
      <c r="AC54" s="36"/>
    </row>
    <row r="55" spans="1:29" x14ac:dyDescent="0.25">
      <c r="A55" s="35" t="s">
        <v>8143</v>
      </c>
      <c r="C55" s="856"/>
      <c r="D55" s="901"/>
      <c r="I55" s="860"/>
      <c r="L55" s="826"/>
      <c r="M55" s="435"/>
      <c r="N55" s="860"/>
      <c r="Q55" s="826"/>
      <c r="R55" s="479"/>
      <c r="S55" s="860"/>
      <c r="V55" s="171"/>
      <c r="W55" s="219"/>
      <c r="X55" s="860"/>
      <c r="AC55" s="36"/>
    </row>
    <row r="56" spans="1:29" x14ac:dyDescent="0.25">
      <c r="A56" s="35" t="s">
        <v>8144</v>
      </c>
      <c r="I56" s="860"/>
      <c r="M56" s="36" t="str">
        <f>"lower of ("&amp;L14&amp;" minus "&amp;L36&amp;") and"</f>
        <v>lower of (c6.11 minus c6.14) and</v>
      </c>
      <c r="N56" s="860"/>
      <c r="R56" s="36" t="str">
        <f>"lower of "&amp;Q14&amp;" and"</f>
        <v>lower of c6.23 and</v>
      </c>
      <c r="S56" s="860"/>
      <c r="X56" s="860"/>
      <c r="AB56" s="36" t="str">
        <f>"lower of ("&amp;AA14&amp;" minus "&amp;AA36&amp;") and"</f>
        <v>lower of (c6.45 minus c6.48) and</v>
      </c>
      <c r="AC56" s="36"/>
    </row>
    <row r="57" spans="1:29" x14ac:dyDescent="0.25">
      <c r="A57" s="35" t="s">
        <v>8145</v>
      </c>
      <c r="I57" s="860"/>
      <c r="M57" s="36" t="str">
        <f>"((BR_band ("&amp;DOLLAR(BR_band,0)&amp;") + "&amp;'Deductions (c4)'!H383&amp;")"</f>
        <v>((BR_band (£37,700) + c4.59)</v>
      </c>
      <c r="N57" s="860"/>
      <c r="R57" s="36" t="str">
        <f>" ((BR_band ("&amp;DOLLAR(BR_band,0)&amp;") + "&amp;'Deductions (c4)'!H383&amp;") minus"</f>
        <v xml:space="preserve"> ((BR_band (£37,700) + c4.59) minus</v>
      </c>
      <c r="S57" s="860"/>
      <c r="X57" s="860"/>
      <c r="AB57" s="36" t="str">
        <f>"((BR_band ("&amp;DOLLAR(BR_band,0)&amp;") + "&amp;'Deductions (c4)'!H383&amp;") minus"</f>
        <v>((BR_band (£37,700) + c4.59) minus</v>
      </c>
      <c r="AC57" s="36"/>
    </row>
    <row r="58" spans="1:29" x14ac:dyDescent="0.25">
      <c r="A58" s="35" t="s">
        <v>8146</v>
      </c>
      <c r="I58" s="860"/>
      <c r="M58" s="36" t="str">
        <f>"minus ("&amp;G14&amp;" + "&amp;L36&amp;"))"</f>
        <v>minus (c6.1 + c6.14))</v>
      </c>
      <c r="N58" s="860"/>
      <c r="R58" s="36" t="str">
        <f>"("&amp;G14&amp;" + "&amp;L14&amp;"))"</f>
        <v>(c6.1 + c6.11))</v>
      </c>
      <c r="S58" s="860"/>
      <c r="X58" s="860"/>
      <c r="AB58" s="36" t="str">
        <f>"("&amp;G14&amp;" + "&amp;L14&amp;" + "&amp;Q14&amp;" + "&amp;V14&amp;" + "&amp;AA36&amp;"))"</f>
        <v>(c6.1 + c6.11 + c6.23 + c6.35 + c6.48))</v>
      </c>
      <c r="AC58" s="36"/>
    </row>
    <row r="59" spans="1:29" x14ac:dyDescent="0.25">
      <c r="A59" s="35" t="s">
        <v>8147</v>
      </c>
      <c r="F59" s="891" t="s">
        <v>8148</v>
      </c>
      <c r="I59" s="860"/>
      <c r="K59" s="882" t="s">
        <v>8149</v>
      </c>
      <c r="L59" s="2193" t="str">
        <f>A24</f>
        <v>c6.17b</v>
      </c>
      <c r="M59" s="2161">
        <f>MIN(MAX(0,M14-M36),MAX(0,(BR_band+'Deductions (c4)'!I383)-(H14+M36)))</f>
        <v>0</v>
      </c>
      <c r="N59" s="860"/>
      <c r="P59" s="36" t="s">
        <v>8150</v>
      </c>
      <c r="Q59" s="2193" t="str">
        <f>A36</f>
        <v>c6.26</v>
      </c>
      <c r="R59" s="2196">
        <f>MIN(R14,MAX(0,(BR_band+'Deductions (c4)'!I383)-(H14+M14)))</f>
        <v>0</v>
      </c>
      <c r="S59" s="860"/>
      <c r="X59" s="860"/>
      <c r="Z59" s="882" t="s">
        <v>8149</v>
      </c>
      <c r="AA59" s="2193" t="str">
        <f>A68</f>
        <v>c6.51b</v>
      </c>
      <c r="AB59" s="2192">
        <f>MIN(MAX(0,AB14-AB36),MAX(0,(BR_band+'Deductions (c4)'!I383)-(H14+M14+R14+W14+AB36)))</f>
        <v>0</v>
      </c>
      <c r="AC59" s="36"/>
    </row>
    <row r="60" spans="1:29" x14ac:dyDescent="0.25">
      <c r="A60" s="35" t="s">
        <v>8151</v>
      </c>
      <c r="F60" s="891"/>
      <c r="I60" s="860"/>
      <c r="K60" s="882"/>
      <c r="N60" s="860"/>
      <c r="P60" s="36"/>
      <c r="Q60" s="826"/>
      <c r="R60" s="479"/>
      <c r="S60" s="860"/>
      <c r="X60" s="860"/>
      <c r="Z60" s="882"/>
      <c r="AC60" s="36"/>
    </row>
    <row r="61" spans="1:29" x14ac:dyDescent="0.25">
      <c r="A61" s="35" t="s">
        <v>8152</v>
      </c>
      <c r="F61" s="902"/>
      <c r="H61" s="898"/>
      <c r="I61" s="860"/>
      <c r="K61" s="36"/>
      <c r="M61" s="36" t="str">
        <f>"lower of "&amp;L47&amp;" and "&amp;L59</f>
        <v>lower of c6.17 and c6.17b</v>
      </c>
      <c r="N61" s="860"/>
      <c r="P61" s="36"/>
      <c r="R61" s="36" t="str">
        <f>"lower of "&amp;Q47&amp;" and "&amp;Q59</f>
        <v>lower of c6.25 and c6.26</v>
      </c>
      <c r="S61" s="860"/>
      <c r="X61" s="860"/>
      <c r="Z61" s="36"/>
      <c r="AB61" s="36" t="str">
        <f>"lower of "&amp;AA47&amp;" and "&amp;AA59</f>
        <v>lower of c6.51 and c6.51b</v>
      </c>
      <c r="AC61" s="36"/>
    </row>
    <row r="62" spans="1:29" x14ac:dyDescent="0.25">
      <c r="A62" s="35" t="s">
        <v>8153</v>
      </c>
      <c r="F62" s="891" t="s">
        <v>8154</v>
      </c>
      <c r="I62" s="860"/>
      <c r="K62" s="882" t="s">
        <v>8155</v>
      </c>
      <c r="L62" s="2193" t="str">
        <f>A25</f>
        <v>c6.17c</v>
      </c>
      <c r="M62" s="2196">
        <f>MIN(M47,M59)</f>
        <v>0</v>
      </c>
      <c r="N62" s="860"/>
      <c r="P62" s="36" t="s">
        <v>8156</v>
      </c>
      <c r="Q62" s="2193" t="str">
        <f>A37</f>
        <v>c6.27</v>
      </c>
      <c r="R62" s="2196">
        <f>MIN(R47,R59)</f>
        <v>0</v>
      </c>
      <c r="S62" s="860"/>
      <c r="X62" s="860"/>
      <c r="Z62" s="882" t="s">
        <v>8155</v>
      </c>
      <c r="AA62" s="2193" t="str">
        <f>A69</f>
        <v>c6.51c</v>
      </c>
      <c r="AB62" s="2196">
        <f>MIN(AB47,AB59)</f>
        <v>0</v>
      </c>
      <c r="AC62" s="36"/>
    </row>
    <row r="63" spans="1:29" x14ac:dyDescent="0.25">
      <c r="A63" s="35" t="s">
        <v>8157</v>
      </c>
      <c r="I63" s="860"/>
      <c r="N63" s="860"/>
      <c r="S63" s="860"/>
      <c r="X63" s="860"/>
      <c r="AB63" s="36" t="str">
        <f>"copy to "&amp;'tax it (c8)'!A49</f>
        <v>copy to c8.24o</v>
      </c>
      <c r="AC63" s="36"/>
    </row>
    <row r="64" spans="1:29" x14ac:dyDescent="0.25">
      <c r="A64" s="35" t="s">
        <v>8128</v>
      </c>
      <c r="I64" s="860"/>
      <c r="N64" s="860"/>
      <c r="S64" s="860"/>
      <c r="W64" s="36" t="str">
        <f>"lower of ("&amp;V14&amp;" minus "&amp;V17&amp;") and"</f>
        <v>lower of (c6.35 minus c6.36) and</v>
      </c>
      <c r="X64" s="860"/>
      <c r="AC64" s="36"/>
    </row>
    <row r="65" spans="1:28" x14ac:dyDescent="0.25">
      <c r="A65" s="35" t="s">
        <v>8158</v>
      </c>
      <c r="D65" s="36"/>
      <c r="E65" s="36"/>
      <c r="F65" s="36"/>
      <c r="G65" s="36"/>
      <c r="H65" s="36" t="str">
        <f>"lower of ("&amp;G14&amp;" minus "&amp;G17&amp;") and ("&amp;'Status (c3a)'!L33&amp;" + "&amp;'Deductions (c4)'!H383&amp;")"</f>
        <v>lower of (c6.1 minus c6.2) and (c3a.2 + c4.59)</v>
      </c>
      <c r="I65" s="860"/>
      <c r="M65" s="36" t="str">
        <f>L59&amp;" minus "&amp;L62</f>
        <v>c6.17b minus c6.17c</v>
      </c>
      <c r="N65" s="860"/>
      <c r="R65" s="36" t="str">
        <f>Q59&amp;" minus "&amp;Q62</f>
        <v>c6.26 minus c6.27</v>
      </c>
      <c r="S65" s="860"/>
      <c r="W65" s="36" t="str">
        <f>"(("&amp;'Status (c3a)'!L33&amp;" + "&amp;'Deductions (c4)'!H383&amp;") minus "&amp;V21&amp;")"</f>
        <v>((c3a.2 + c4.59) minus c6.37)</v>
      </c>
      <c r="X65" s="860"/>
      <c r="AB65" s="36" t="str">
        <f>AA59&amp;" minus "&amp;AA62</f>
        <v>c6.51b minus c6.51c</v>
      </c>
    </row>
    <row r="66" spans="1:28" x14ac:dyDescent="0.25">
      <c r="A66" s="35" t="s">
        <v>8159</v>
      </c>
      <c r="D66" s="891"/>
      <c r="E66" s="36"/>
      <c r="F66" s="882" t="s">
        <v>7865</v>
      </c>
      <c r="G66" s="2193" t="str">
        <f>A6</f>
        <v>c6.6</v>
      </c>
      <c r="H66" s="2192">
        <f>MAX(0,MIN((H14-H17),(('Status (c3a)'!M33+'Deductions (c4)'!I383))))</f>
        <v>0</v>
      </c>
      <c r="I66" s="860"/>
      <c r="K66" s="882" t="s">
        <v>7865</v>
      </c>
      <c r="L66" s="2193" t="str">
        <f>A26</f>
        <v>c6.18</v>
      </c>
      <c r="M66" s="2192">
        <f>MAX(0,M59-M62)</f>
        <v>0</v>
      </c>
      <c r="N66" s="860"/>
      <c r="P66" s="882" t="s">
        <v>7865</v>
      </c>
      <c r="Q66" s="2193" t="str">
        <f>A38</f>
        <v>c6.28</v>
      </c>
      <c r="R66" s="2192">
        <f>MAX(0,R59-R62)</f>
        <v>0</v>
      </c>
      <c r="S66" s="860"/>
      <c r="U66" s="882" t="s">
        <v>7865</v>
      </c>
      <c r="V66" s="2193" t="str">
        <f>A50</f>
        <v>c6.40</v>
      </c>
      <c r="W66" s="2192">
        <f>MAX(0,MIN((W14-W17),('Status (c3a)'!M33+'Deductions (c4)'!I383)-W21))</f>
        <v>0</v>
      </c>
      <c r="X66" s="860"/>
      <c r="Z66" s="882" t="s">
        <v>7865</v>
      </c>
      <c r="AA66" s="2193" t="str">
        <f>A70</f>
        <v>c6.52</v>
      </c>
      <c r="AB66" s="2192">
        <f>MAX(0,AB59-AB62)</f>
        <v>0</v>
      </c>
    </row>
    <row r="67" spans="1:28" x14ac:dyDescent="0.25">
      <c r="A67" s="35" t="s">
        <v>8160</v>
      </c>
      <c r="H67" s="36" t="str">
        <f>"copy to "&amp;'tax it (c8)'!A3</f>
        <v>copy to c8.1b</v>
      </c>
      <c r="I67" s="860"/>
      <c r="M67" s="36" t="str">
        <f>"copy to "&amp;'tax it (c8)'!A18</f>
        <v>copy to c8.11</v>
      </c>
      <c r="N67" s="860"/>
      <c r="R67" s="36" t="str">
        <f>"copy to "&amp;'tax it (c8)'!A27</f>
        <v>copy to c8.19</v>
      </c>
      <c r="S67" s="860"/>
      <c r="W67" s="36" t="str">
        <f>"copy to "&amp;'tax it (c8)'!A36</f>
        <v>copy to c8.24d</v>
      </c>
      <c r="X67" s="860"/>
      <c r="AB67" s="36" t="str">
        <f>"copy to "&amp;'tax it (c8)'!A51</f>
        <v>copy to c8.24q</v>
      </c>
    </row>
    <row r="68" spans="1:28" x14ac:dyDescent="0.25">
      <c r="A68" s="35" t="s">
        <v>8161</v>
      </c>
      <c r="H68" s="36"/>
      <c r="I68" s="860"/>
      <c r="N68" s="860"/>
      <c r="S68" s="860"/>
      <c r="X68" s="860"/>
    </row>
    <row r="69" spans="1:28" x14ac:dyDescent="0.25">
      <c r="A69" s="35" t="s">
        <v>8162</v>
      </c>
      <c r="C69" s="280"/>
      <c r="D69" s="280"/>
      <c r="E69" s="280"/>
      <c r="F69" s="280"/>
      <c r="G69" s="896"/>
      <c r="H69" s="36" t="str">
        <f>G14&amp;" minus ("&amp;G17&amp;" + "&amp;G66&amp;")"</f>
        <v>c6.1 minus (c6.2 + c6.6)</v>
      </c>
      <c r="I69" s="860"/>
      <c r="L69" s="896"/>
      <c r="M69" s="36" t="str">
        <f>L14&amp;" minus ("&amp;L36&amp;" + "&amp;L59&amp;")"</f>
        <v>c6.11 minus (c6.14 + c6.17b)</v>
      </c>
      <c r="N69" s="860"/>
      <c r="R69" s="36" t="str">
        <f>Q14&amp;" minus "&amp;Q59</f>
        <v>c6.23 minus c6.26</v>
      </c>
      <c r="S69" s="860"/>
      <c r="V69" s="896"/>
      <c r="W69" s="36" t="str">
        <f>"("&amp;V14&amp;" minus "&amp;V17&amp;") minus "&amp;V66</f>
        <v>(c6.35 minus c6.36) minus c6.40</v>
      </c>
      <c r="X69" s="860"/>
      <c r="AA69" s="896"/>
      <c r="AB69" s="36" t="str">
        <f>AA14&amp;" minus ("&amp;AA36&amp;" + "&amp;AA59&amp;")"</f>
        <v>c6.45 minus (c6.48 + c6.51b)</v>
      </c>
    </row>
    <row r="70" spans="1:28" x14ac:dyDescent="0.25">
      <c r="A70" s="35" t="s">
        <v>8163</v>
      </c>
      <c r="C70" s="280"/>
      <c r="D70" s="902"/>
      <c r="E70" s="280"/>
      <c r="F70" s="36" t="s">
        <v>7862</v>
      </c>
      <c r="G70" s="2194" t="str">
        <f>A7</f>
        <v>c6.7</v>
      </c>
      <c r="H70" s="2161">
        <f>MAX(0,(H14-(H17+H66)))</f>
        <v>0</v>
      </c>
      <c r="I70" s="860"/>
      <c r="K70" s="36" t="s">
        <v>7862</v>
      </c>
      <c r="L70" s="2194" t="str">
        <f>A27</f>
        <v>c6.19</v>
      </c>
      <c r="M70" s="2161">
        <f>MAX(0,M14-(M36+M59))</f>
        <v>0</v>
      </c>
      <c r="N70" s="860"/>
      <c r="P70" s="36" t="s">
        <v>8164</v>
      </c>
      <c r="Q70" s="2160" t="str">
        <f>A39</f>
        <v>c6.29</v>
      </c>
      <c r="R70" s="2161">
        <f>MAX(0,(R14-R59))</f>
        <v>0</v>
      </c>
      <c r="S70" s="860"/>
      <c r="U70" s="36" t="s">
        <v>7862</v>
      </c>
      <c r="V70" s="2194" t="str">
        <f>A51</f>
        <v>c6.41</v>
      </c>
      <c r="W70" s="2161">
        <f>MAX(0,(W14-W17)-W66)</f>
        <v>0</v>
      </c>
      <c r="X70" s="860"/>
      <c r="Z70" s="36" t="s">
        <v>7862</v>
      </c>
      <c r="AA70" s="2194" t="str">
        <f>A71</f>
        <v>c6.53</v>
      </c>
      <c r="AB70" s="2161">
        <f>MAX(0,AB14-(AB36+AB59))</f>
        <v>0</v>
      </c>
    </row>
    <row r="71" spans="1:28" x14ac:dyDescent="0.25">
      <c r="A71" s="35" t="s">
        <v>8165</v>
      </c>
      <c r="I71" s="860"/>
      <c r="L71" s="813"/>
      <c r="M71" s="219"/>
      <c r="N71" s="860"/>
      <c r="Q71" s="171"/>
      <c r="R71" s="219"/>
      <c r="S71" s="860"/>
      <c r="V71" s="813"/>
      <c r="W71" s="219"/>
      <c r="X71" s="860"/>
      <c r="AA71" s="813"/>
      <c r="AB71" s="219"/>
    </row>
    <row r="72" spans="1:28" x14ac:dyDescent="0.25">
      <c r="A72" s="35" t="s">
        <v>8166</v>
      </c>
      <c r="I72" s="860"/>
      <c r="N72" s="860"/>
      <c r="S72" s="860"/>
      <c r="W72" s="36"/>
      <c r="X72" s="860"/>
    </row>
    <row r="73" spans="1:28" x14ac:dyDescent="0.25">
      <c r="A73" s="35" t="s">
        <v>8167</v>
      </c>
      <c r="H73" s="36" t="str">
        <f>"larger of "&amp;'Status (c3a)'!P33&amp;" and "&amp;'Deductions (c4)'!H383</f>
        <v>larger of c3a.2a and c4.59</v>
      </c>
      <c r="I73" s="860"/>
      <c r="N73" s="860"/>
      <c r="R73" s="36"/>
      <c r="S73" s="860"/>
      <c r="W73" s="36" t="str">
        <f>'Status (c3a)'!P33&amp;" minus "&amp;V24</f>
        <v>c3a.2a minus c6.38</v>
      </c>
      <c r="X73" s="860"/>
    </row>
    <row r="74" spans="1:28" x14ac:dyDescent="0.25">
      <c r="A74" s="35" t="s">
        <v>8168</v>
      </c>
      <c r="F74" s="36" t="s">
        <v>8169</v>
      </c>
      <c r="G74" s="2194" t="str">
        <f>A8</f>
        <v>c6.7a</v>
      </c>
      <c r="H74" s="2161">
        <f>MAX('Status (c3a)'!Q33,'Deductions (c4)'!I383)</f>
        <v>0</v>
      </c>
      <c r="I74" s="860"/>
      <c r="N74" s="860"/>
      <c r="S74" s="860"/>
      <c r="U74" s="36" t="s">
        <v>8169</v>
      </c>
      <c r="V74" s="2194" t="str">
        <f>A52</f>
        <v>c6.41a</v>
      </c>
      <c r="W74" s="2161">
        <f>MAX(0,'Status (c3a)'!Q33-W24)</f>
        <v>0</v>
      </c>
      <c r="X74" s="860"/>
    </row>
    <row r="75" spans="1:28" x14ac:dyDescent="0.25">
      <c r="A75" s="35" t="s">
        <v>8170</v>
      </c>
      <c r="I75" s="860"/>
      <c r="N75" s="860"/>
      <c r="S75" s="860"/>
      <c r="X75" s="860"/>
    </row>
    <row r="76" spans="1:28" x14ac:dyDescent="0.25">
      <c r="A76" s="35" t="s">
        <v>8171</v>
      </c>
      <c r="E76" s="280"/>
      <c r="H76" s="36" t="str">
        <f>"lower of "&amp;G70&amp;" and "&amp;'Status (c3a)'!P33</f>
        <v>lower of c6.7 and c3a.2a</v>
      </c>
      <c r="I76" s="860"/>
      <c r="N76" s="860"/>
      <c r="S76" s="860"/>
      <c r="W76" s="36" t="str">
        <f>"lower of "&amp;V70&amp;" and "&amp;V74</f>
        <v>lower of c6.41 and c6.41a</v>
      </c>
      <c r="X76" s="860"/>
    </row>
    <row r="77" spans="1:28" x14ac:dyDescent="0.25">
      <c r="E77" s="280"/>
      <c r="F77" s="882" t="s">
        <v>8172</v>
      </c>
      <c r="G77" s="2194" t="str">
        <f>A9</f>
        <v>c6.7b</v>
      </c>
      <c r="H77" s="2161">
        <f>MIN(H70,'Status (c3a)'!Q33)</f>
        <v>0</v>
      </c>
      <c r="I77" s="860"/>
      <c r="N77" s="860"/>
      <c r="S77" s="860"/>
      <c r="U77" s="882" t="s">
        <v>8172</v>
      </c>
      <c r="V77" s="2194" t="str">
        <f>A53</f>
        <v>c6.41b</v>
      </c>
      <c r="W77" s="2161">
        <f>MIN(W70,W74)</f>
        <v>0</v>
      </c>
      <c r="X77" s="860"/>
    </row>
    <row r="78" spans="1:28" x14ac:dyDescent="0.25">
      <c r="C78" s="280"/>
      <c r="D78" s="36"/>
      <c r="G78" s="813"/>
      <c r="H78" s="550" t="str">
        <f>"copy to "&amp;'tax it (c8)'!A5</f>
        <v>copy to c8.2a</v>
      </c>
      <c r="I78" s="860"/>
      <c r="N78" s="860"/>
      <c r="S78" s="860"/>
      <c r="W78" s="36" t="str">
        <f>"copy to "&amp;'tax it (c8)'!A38</f>
        <v>copy to c8.24f</v>
      </c>
      <c r="X78" s="860"/>
    </row>
    <row r="79" spans="1:28" x14ac:dyDescent="0.25">
      <c r="C79" s="280"/>
      <c r="D79" s="36"/>
      <c r="G79" s="813"/>
      <c r="I79" s="860"/>
      <c r="N79" s="860"/>
      <c r="S79" s="860"/>
      <c r="V79" s="813"/>
      <c r="X79" s="860"/>
    </row>
    <row r="80" spans="1:28" x14ac:dyDescent="0.25">
      <c r="C80" s="280"/>
      <c r="D80" s="36"/>
      <c r="G80" s="813"/>
      <c r="I80" s="860"/>
      <c r="N80" s="860"/>
      <c r="S80" s="860"/>
      <c r="V80" s="813"/>
      <c r="X80" s="860"/>
    </row>
    <row r="81" spans="3:28" x14ac:dyDescent="0.25">
      <c r="C81" s="280"/>
      <c r="D81" s="36"/>
      <c r="G81" s="813"/>
      <c r="I81" s="860"/>
      <c r="N81" s="860"/>
      <c r="S81" s="860"/>
      <c r="V81" s="813"/>
      <c r="X81" s="860"/>
    </row>
    <row r="82" spans="3:28" x14ac:dyDescent="0.25">
      <c r="C82" s="280"/>
      <c r="D82" s="280"/>
      <c r="E82" s="280"/>
      <c r="F82" s="280"/>
      <c r="I82" s="860"/>
      <c r="L82" s="813"/>
      <c r="M82" s="219"/>
      <c r="N82" s="860"/>
      <c r="Q82" s="171"/>
      <c r="R82" s="219"/>
      <c r="S82" s="860"/>
      <c r="U82" s="280"/>
      <c r="V82" s="813"/>
      <c r="X82" s="860"/>
    </row>
    <row r="83" spans="3:28" x14ac:dyDescent="0.25">
      <c r="C83" s="280"/>
      <c r="D83" s="36"/>
      <c r="E83" s="280"/>
      <c r="F83" s="280"/>
      <c r="G83" s="813"/>
      <c r="H83" s="36" t="s">
        <v>7043</v>
      </c>
      <c r="I83" s="860"/>
      <c r="N83" s="860"/>
      <c r="S83" s="860"/>
      <c r="U83" s="280"/>
      <c r="V83" s="813"/>
      <c r="W83" s="36" t="s">
        <v>7043</v>
      </c>
      <c r="X83" s="860"/>
    </row>
    <row r="84" spans="3:28" x14ac:dyDescent="0.25">
      <c r="E84" s="280"/>
      <c r="F84" s="285"/>
      <c r="G84" s="2194" t="str">
        <f>A10</f>
        <v>c6.7c</v>
      </c>
      <c r="H84" s="2161">
        <v>0</v>
      </c>
      <c r="I84" s="860"/>
      <c r="N84" s="860"/>
      <c r="Q84" s="813"/>
      <c r="S84" s="860"/>
      <c r="U84" s="36"/>
      <c r="V84" s="2194" t="str">
        <f>A54</f>
        <v>c6.41c</v>
      </c>
      <c r="W84" s="2161"/>
      <c r="X84" s="860"/>
      <c r="AA84" s="813"/>
      <c r="AB84" s="36" t="str">
        <f>" (AHR_band ("&amp;DOLLAR(AHR_band,0)&amp;") + "&amp;'Deductions (c4)'!H383&amp;") minus"</f>
        <v xml:space="preserve"> (AHR_band (£125,140) + c4.59) minus</v>
      </c>
    </row>
    <row r="85" spans="3:28" x14ac:dyDescent="0.25">
      <c r="C85" s="280"/>
      <c r="D85" s="280"/>
      <c r="E85" s="280"/>
      <c r="F85" s="280"/>
      <c r="G85" s="280"/>
      <c r="I85" s="860"/>
      <c r="L85" s="36"/>
      <c r="M85" s="36" t="str">
        <f>" (AHR_band ("&amp;DOLLAR(AHR_band,0)&amp;") + "&amp;'Deductions (c4)'!H383&amp;")"</f>
        <v xml:space="preserve"> (AHR_band (£125,140) + c4.59)</v>
      </c>
      <c r="N85" s="860"/>
      <c r="Q85" s="813"/>
      <c r="R85" s="36" t="str">
        <f>" (AHR_band ("&amp;DOLLAR(AHR_band,0)&amp;") + "&amp;'Deductions (c4)'!H383&amp;")"</f>
        <v xml:space="preserve"> (AHR_band (£125,140) + c4.59)</v>
      </c>
      <c r="S85" s="860"/>
      <c r="W85" s="36" t="str">
        <f>"lower of "&amp;G87&amp;" and"</f>
        <v>lower of c6.8 and</v>
      </c>
      <c r="X85" s="860"/>
      <c r="AA85" s="813"/>
      <c r="AB85" s="36" t="str">
        <f>"("&amp;G14&amp;" + "&amp;L14&amp;" + "&amp;Q14&amp;" + "&amp;V14&amp;" + "&amp;AA36&amp;" +"</f>
        <v>(c6.1 + c6.11 + c6.23 + c6.35 + c6.48 +</v>
      </c>
    </row>
    <row r="86" spans="3:28" x14ac:dyDescent="0.25">
      <c r="H86" s="36" t="str">
        <f>" from "&amp;'Status (c3a)'!X33</f>
        <v xml:space="preserve"> from c3a.3</v>
      </c>
      <c r="I86" s="860"/>
      <c r="L86" s="813"/>
      <c r="M86" s="36" t="str">
        <f>"minus ("&amp;G14&amp;" + "&amp;L36&amp;" + "&amp;L62&amp;" + "&amp;L66&amp;")"</f>
        <v>minus (c6.1 + c6.14 + c6.17c + c6.18)</v>
      </c>
      <c r="N86" s="860"/>
      <c r="R86" s="36" t="str">
        <f>"minus ("&amp;G14&amp;" + "&amp;L14&amp;" + "&amp;Q62&amp;" + "&amp;Q66&amp;")"</f>
        <v>minus (c6.1 + c6.11 + c6.27 + c6.28)</v>
      </c>
      <c r="W86" s="36" t="str">
        <f>"(("&amp;'Status (c3a)'!H33&amp;" + "&amp;'Status (c3a)'!P33&amp;" + "&amp;'Status (c3a)'!X33&amp;" + "&amp;'Taxable (c5)'!U8&amp;") minus"</f>
        <v>((c3a.1a + c3a.2a + c3a.3 + c5.2) minus</v>
      </c>
      <c r="X86" s="860"/>
      <c r="AA86" s="813"/>
      <c r="AB86" s="36" t="str">
        <f>AA62&amp;" + "&amp;AA66&amp;")"</f>
        <v>c6.51c + c6.52)</v>
      </c>
    </row>
    <row r="87" spans="3:28" x14ac:dyDescent="0.25">
      <c r="C87" s="280"/>
      <c r="E87" s="280"/>
      <c r="F87" s="36" t="s">
        <v>8173</v>
      </c>
      <c r="G87" s="2194" t="str">
        <f>A11</f>
        <v>c6.8</v>
      </c>
      <c r="H87" s="2161">
        <f>'Status (c3a)'!Y33</f>
        <v>87440</v>
      </c>
      <c r="I87" s="860"/>
      <c r="K87" s="36" t="s">
        <v>8173</v>
      </c>
      <c r="L87" s="2194" t="str">
        <f>A28</f>
        <v>c6.20</v>
      </c>
      <c r="M87" s="2161">
        <f>MAX(0,AHR_band+'Deductions (c4)'!I383-(H14+M36+M62+M66))</f>
        <v>125140</v>
      </c>
      <c r="N87" s="860"/>
      <c r="P87" s="36" t="s">
        <v>8173</v>
      </c>
      <c r="Q87" s="2160" t="str">
        <f>A40</f>
        <v>c6.30</v>
      </c>
      <c r="R87" s="2161">
        <f>MAX(0,AHR_band+'Deductions (c4)'!I383-(H14+M14+R62+R66))</f>
        <v>125140</v>
      </c>
      <c r="S87" s="860"/>
      <c r="V87" s="813"/>
      <c r="W87" s="36" t="str">
        <f>"("&amp;G14&amp;" + "&amp;L14&amp;" + "&amp;Q14&amp;" + "&amp;V17&amp;" + "&amp;V66&amp;" + "&amp;V77&amp;"))"</f>
        <v>(c6.1 + c6.11 + c6.23 + c6.36 + c6.40 + c6.41b))</v>
      </c>
      <c r="X87" s="860"/>
      <c r="Z87" s="36" t="s">
        <v>8173</v>
      </c>
      <c r="AA87" s="2194" t="str">
        <f>A72</f>
        <v>c6.54</v>
      </c>
      <c r="AB87" s="2195">
        <f>MAX(0,AHR_band+'Deductions (c4)'!I383-(H14+M14+R14+W14+AB36+AB62+AB66))</f>
        <v>125140</v>
      </c>
    </row>
    <row r="88" spans="3:28" x14ac:dyDescent="0.25">
      <c r="I88" s="860"/>
      <c r="M88" s="36" t="str">
        <f>"lower of "&amp;L70&amp;" and "&amp;L87</f>
        <v>lower of c6.19 and c6.20</v>
      </c>
      <c r="N88" s="860"/>
      <c r="R88" s="36" t="str">
        <f>"lower of "&amp;Q70&amp;" and "&amp;Q87</f>
        <v>lower of c6.29 and c6.30</v>
      </c>
      <c r="S88" s="860"/>
      <c r="U88" s="36" t="s">
        <v>8173</v>
      </c>
      <c r="V88" s="2194" t="str">
        <f>A55</f>
        <v>c6.42</v>
      </c>
      <c r="W88" s="2195">
        <f>MAX(0,MIN(H87,(('Status (c3a)'!I33+'Status (c3a)'!Q33+'Status (c3a)'!Y33+'Taxable (c5)'!V8)-(H14+M14+R14+W17+W66+W77))))</f>
        <v>87440</v>
      </c>
      <c r="X88" s="860"/>
      <c r="AB88" s="36" t="str">
        <f>"lower of "&amp;AA70&amp;" and "&amp;AA87</f>
        <v>lower of c6.53 and c6.54</v>
      </c>
    </row>
    <row r="89" spans="3:28" x14ac:dyDescent="0.25">
      <c r="I89" s="860"/>
      <c r="K89" s="36" t="s">
        <v>8174</v>
      </c>
      <c r="L89" s="2194" t="str">
        <f>A29</f>
        <v>c6.20a</v>
      </c>
      <c r="M89" s="2161">
        <f>MIN(M70,M87)</f>
        <v>0</v>
      </c>
      <c r="N89" s="860"/>
      <c r="P89" s="36" t="s">
        <v>8175</v>
      </c>
      <c r="Q89" s="2160" t="str">
        <f>A41</f>
        <v>c6.31</v>
      </c>
      <c r="R89" s="2161">
        <f>MIN(R70,R87)</f>
        <v>0</v>
      </c>
      <c r="S89" s="860"/>
      <c r="X89" s="860"/>
      <c r="Z89" s="36" t="s">
        <v>8174</v>
      </c>
      <c r="AA89" s="2194" t="str">
        <f>A73</f>
        <v>c6.54a</v>
      </c>
      <c r="AB89" s="2161">
        <f>MIN(AB70,AB87)</f>
        <v>0</v>
      </c>
    </row>
    <row r="90" spans="3:28" x14ac:dyDescent="0.25">
      <c r="I90" s="860"/>
      <c r="M90" s="36" t="str">
        <f>"lower of ("&amp;L47&amp;" minus "&amp;L59&amp;") and "&amp;L87</f>
        <v>lower of (c6.17 minus c6.17b) and c6.20</v>
      </c>
      <c r="N90" s="860"/>
      <c r="R90" s="36" t="str">
        <f>"lower of ("&amp;Q47&amp;" minus "&amp;Q59&amp;") and "&amp;Q87</f>
        <v>lower of (c6.25 minus c6.26) and c6.30</v>
      </c>
      <c r="S90" s="860"/>
      <c r="X90" s="860"/>
      <c r="AB90" s="36" t="str">
        <f>"lower of ("&amp;AA47&amp;" minus "&amp;AA59&amp;") and "&amp;AA87</f>
        <v>lower of (c6.51 minus c6.51b) and c6.54</v>
      </c>
    </row>
    <row r="91" spans="3:28" x14ac:dyDescent="0.25">
      <c r="I91" s="860"/>
      <c r="K91" s="882" t="s">
        <v>8176</v>
      </c>
      <c r="L91" s="2194" t="str">
        <f>A30</f>
        <v>c6.20b</v>
      </c>
      <c r="M91" s="2161">
        <f>MIN(MAX(0,M47-M59),M87)</f>
        <v>0</v>
      </c>
      <c r="N91" s="860"/>
      <c r="P91" s="882" t="s">
        <v>8177</v>
      </c>
      <c r="Q91" s="2160" t="str">
        <f>A42</f>
        <v>c6.32</v>
      </c>
      <c r="R91" s="2161">
        <f>MIN(MAX(0,R47-R59),R87)</f>
        <v>0</v>
      </c>
      <c r="S91" s="860"/>
      <c r="X91" s="860"/>
      <c r="Z91" s="882" t="s">
        <v>8176</v>
      </c>
      <c r="AA91" s="2194" t="str">
        <f>A74</f>
        <v>c6.54b</v>
      </c>
      <c r="AB91" s="2161">
        <f>MIN(MAX(0,AB47-AB59),AB87)</f>
        <v>0</v>
      </c>
    </row>
    <row r="92" spans="3:28" x14ac:dyDescent="0.25">
      <c r="I92" s="860"/>
      <c r="K92" s="882"/>
      <c r="L92" s="813"/>
      <c r="M92" s="219"/>
      <c r="N92" s="860"/>
      <c r="P92" s="882"/>
      <c r="Q92" s="171"/>
      <c r="R92" s="219"/>
      <c r="S92" s="860"/>
      <c r="X92" s="860"/>
      <c r="Z92" s="882"/>
      <c r="AA92" s="813"/>
      <c r="AB92" s="36" t="str">
        <f>"copy to "&amp;'tax it (c8)'!A53</f>
        <v>copy to c8.24s</v>
      </c>
    </row>
    <row r="93" spans="3:28" x14ac:dyDescent="0.25">
      <c r="D93" s="898"/>
      <c r="I93" s="860"/>
      <c r="N93" s="860"/>
      <c r="Q93" s="171"/>
      <c r="R93" s="219"/>
      <c r="S93" s="860"/>
      <c r="X93" s="860"/>
    </row>
    <row r="94" spans="3:28" x14ac:dyDescent="0.25">
      <c r="H94" s="36" t="str">
        <f>"lower of ("&amp;G70&amp;" minus "&amp;G77&amp;") and "&amp;G87</f>
        <v>lower of (c6.7 minus c6.7b) and c6.8</v>
      </c>
      <c r="I94" s="860"/>
      <c r="M94" s="36" t="str">
        <f>L89&amp;" minus "&amp;L91</f>
        <v>c6.20a minus c6.20b</v>
      </c>
      <c r="N94" s="860"/>
      <c r="R94" s="36" t="str">
        <f>Q89&amp;" minus "&amp;Q91</f>
        <v>c6.31 minus c6.32</v>
      </c>
      <c r="S94" s="860"/>
      <c r="W94" s="36" t="str">
        <f>"lower of "&amp;V88&amp;" and ("&amp;V70&amp;" minus "&amp;V77&amp;")"</f>
        <v>lower of c6.42 and (c6.41 minus c6.41b)</v>
      </c>
      <c r="X94" s="860"/>
      <c r="AB94" s="36" t="str">
        <f>AA89&amp;" minus "&amp;AA91</f>
        <v>c6.54a minus c6.54b</v>
      </c>
    </row>
    <row r="95" spans="3:28" x14ac:dyDescent="0.25">
      <c r="F95" s="882" t="s">
        <v>8178</v>
      </c>
      <c r="G95" s="2193" t="str">
        <f>A12</f>
        <v>c6.9</v>
      </c>
      <c r="H95" s="2192">
        <f>MIN(MAX(0,H70-H77),H87)</f>
        <v>0</v>
      </c>
      <c r="I95" s="860"/>
      <c r="K95" s="882" t="s">
        <v>8178</v>
      </c>
      <c r="L95" s="2193" t="str">
        <f>A31</f>
        <v>c6.21</v>
      </c>
      <c r="M95" s="2192">
        <f>MAX(0,M89-M91)</f>
        <v>0</v>
      </c>
      <c r="N95" s="860"/>
      <c r="P95" s="882" t="s">
        <v>8178</v>
      </c>
      <c r="Q95" s="2193" t="str">
        <f>A43</f>
        <v>c6.33</v>
      </c>
      <c r="R95" s="2192">
        <f>MAX(0,R89-R91)</f>
        <v>0</v>
      </c>
      <c r="S95" s="860"/>
      <c r="U95" s="882" t="s">
        <v>8178</v>
      </c>
      <c r="V95" s="2193" t="str">
        <f>A56</f>
        <v>c6.43</v>
      </c>
      <c r="W95" s="2192">
        <f>MIN(MAX(0,W70-W77),W88)</f>
        <v>0</v>
      </c>
      <c r="X95" s="860"/>
      <c r="Z95" s="882" t="s">
        <v>8178</v>
      </c>
      <c r="AA95" s="2193" t="str">
        <f>A75</f>
        <v>c6.55</v>
      </c>
      <c r="AB95" s="2192">
        <f>MAX(0,AB89-AB91)</f>
        <v>0</v>
      </c>
    </row>
    <row r="96" spans="3:28" x14ac:dyDescent="0.25">
      <c r="H96" s="36" t="str">
        <f>"copy to "&amp;'tax it (c8)'!A7</f>
        <v>copy to c8.3</v>
      </c>
      <c r="I96" s="860"/>
      <c r="J96" s="856"/>
      <c r="M96" s="36" t="str">
        <f>"copy to "&amp;'tax it (c8)'!A20</f>
        <v>copy to c8.13</v>
      </c>
      <c r="N96" s="860"/>
      <c r="R96" s="36" t="str">
        <f>"copy to "&amp;'tax it (c8)'!A29&amp;" and "&amp;'Notional (c21c23)'!A74</f>
        <v>copy to c8.21 and c23.5</v>
      </c>
      <c r="S96" s="860"/>
      <c r="W96" s="36" t="str">
        <f>"copy to "&amp;'tax it (c8)'!A40</f>
        <v>copy to c8.24h</v>
      </c>
      <c r="X96" s="860"/>
      <c r="AB96" s="36" t="str">
        <f>"copy to "&amp;'tax it (c8)'!A55</f>
        <v>copy to c8.24u</v>
      </c>
    </row>
    <row r="97" spans="2:29" x14ac:dyDescent="0.25">
      <c r="H97" s="36"/>
      <c r="I97" s="860"/>
      <c r="J97" s="856"/>
      <c r="M97" s="36"/>
      <c r="N97" s="860"/>
      <c r="R97" s="36"/>
      <c r="S97" s="860"/>
      <c r="W97" s="36"/>
      <c r="X97" s="860"/>
    </row>
    <row r="98" spans="2:29" x14ac:dyDescent="0.25">
      <c r="I98" s="860"/>
      <c r="N98" s="860"/>
      <c r="S98" s="860"/>
      <c r="W98" s="36" t="str">
        <f>"lower of "&amp;'Status (c3a)'!AA33&amp;" and"</f>
        <v>lower of c3a.3.1 and</v>
      </c>
      <c r="X98" s="860"/>
    </row>
    <row r="99" spans="2:29" x14ac:dyDescent="0.25">
      <c r="H99" s="36" t="str">
        <f>G14&amp;" minus ("&amp;G17&amp;" + "&amp;G66&amp;" + "&amp;G77&amp;" + "&amp;G95&amp;")"</f>
        <v>c6.1 minus (c6.2 + c6.6 + c6.7b + c6.9)</v>
      </c>
      <c r="I99" s="860"/>
      <c r="N99" s="860"/>
      <c r="S99" s="860"/>
      <c r="W99" s="36" t="str">
        <f>"(("&amp;'Status (c3a)'!H33&amp;" + "&amp;'Status (c3a)'!P33&amp;" + "&amp;'Status (c3a)'!X33&amp;" + "&amp;'Status (c3a)'!AA33&amp;" + "&amp;'Taxable (c5)'!U8&amp;") minus"</f>
        <v>((c3a.1a + c3a.2a + c3a.3 + c3a.3.1 + c5.2) minus</v>
      </c>
      <c r="X99" s="860"/>
    </row>
    <row r="100" spans="2:29" x14ac:dyDescent="0.25">
      <c r="F100" s="882" t="s">
        <v>8179</v>
      </c>
      <c r="G100" s="2193" t="str">
        <f>A13</f>
        <v>c6.9.1</v>
      </c>
      <c r="H100" s="2192">
        <f>MAX(0,H14-(H17+H66+H77+H95))</f>
        <v>0</v>
      </c>
      <c r="I100" s="860"/>
      <c r="N100" s="860"/>
      <c r="O100" s="856"/>
      <c r="S100" s="814"/>
      <c r="T100" s="856"/>
      <c r="W100" s="36" t="str">
        <f>"("&amp;G14&amp;" + "&amp;L14&amp;" + "&amp;Q14&amp;" + "&amp;V17&amp;" + "&amp;V66&amp;" + "&amp;V77&amp;" + "&amp;V95&amp;"))"</f>
        <v>(c6.1 + c6.11 + c6.23 + c6.36 + c6.40 + c6.41b + c6.43))</v>
      </c>
      <c r="X100" s="814"/>
      <c r="Y100" s="856"/>
    </row>
    <row r="101" spans="2:29" x14ac:dyDescent="0.25">
      <c r="U101" s="36" t="s">
        <v>8180</v>
      </c>
      <c r="V101" s="2193" t="str">
        <f>A57</f>
        <v>c6.43.1</v>
      </c>
      <c r="W101" s="2192">
        <f>MAX(0,MIN('Status (c3a)'!AB33,(('Status (c3a)'!I33+'Status (c3a)'!Q33+'Status (c3a)'!Y33+'Status (c3a)'!AB33+'Taxable (c5)'!V8)-(H14+M14+R14+W17+W66+W77+W95))))</f>
        <v>0</v>
      </c>
    </row>
    <row r="103" spans="2:29" x14ac:dyDescent="0.25">
      <c r="F103" s="863"/>
      <c r="H103" s="36" t="str">
        <f>"lower of "&amp;'Status (c3a)'!AA33&amp;" and "&amp;G100</f>
        <v>lower of c3a.3.1 and c6.9.1</v>
      </c>
      <c r="I103" s="903"/>
      <c r="J103" s="863"/>
      <c r="N103" s="903"/>
      <c r="O103" s="863"/>
      <c r="P103" s="863"/>
      <c r="S103" s="903"/>
      <c r="T103" s="863"/>
      <c r="U103" s="863"/>
      <c r="W103" s="36" t="str">
        <f>"lower of "&amp;V101&amp;" and ("&amp;V70&amp;" minus ("&amp;V77&amp;" + "&amp;V95&amp;"))"</f>
        <v>lower of c6.43.1 and (c6.41 minus (c6.41b + c6.43))</v>
      </c>
      <c r="X103" s="903"/>
    </row>
    <row r="104" spans="2:29" x14ac:dyDescent="0.25">
      <c r="F104" s="882" t="s">
        <v>8181</v>
      </c>
      <c r="G104" s="2193" t="str">
        <f>A14</f>
        <v>c6.9.2</v>
      </c>
      <c r="H104" s="2192">
        <f>MIN('Status (c3a)'!AB33,'tax it (c6)'!H100)</f>
        <v>0</v>
      </c>
      <c r="I104" s="903"/>
      <c r="J104" s="863"/>
      <c r="N104" s="903"/>
      <c r="O104" s="863"/>
      <c r="P104" s="863"/>
      <c r="S104" s="903"/>
      <c r="T104" s="863"/>
      <c r="U104" s="882" t="s">
        <v>8182</v>
      </c>
      <c r="V104" s="2193" t="str">
        <f>A58</f>
        <v>c6.43.2</v>
      </c>
      <c r="W104" s="2192">
        <f>MAX(0,MIN(W101,(W70-(W77+W95))))</f>
        <v>0</v>
      </c>
      <c r="X104" s="903"/>
    </row>
    <row r="105" spans="2:29" x14ac:dyDescent="0.25">
      <c r="F105" s="882"/>
      <c r="G105" s="826"/>
      <c r="H105" s="36" t="str">
        <f>"copy to "&amp;'tax it (c8)'!A9</f>
        <v>copy to c8.4a</v>
      </c>
      <c r="I105" s="903"/>
      <c r="J105" s="863"/>
      <c r="N105" s="903"/>
      <c r="O105" s="863"/>
      <c r="P105" s="863"/>
      <c r="S105" s="903"/>
      <c r="T105" s="863"/>
      <c r="U105" s="882"/>
      <c r="V105" s="826"/>
      <c r="W105" s="36" t="str">
        <f>"copy to "&amp;'tax it (c8)'!A42</f>
        <v>copy to c8.24ia</v>
      </c>
      <c r="X105" s="903"/>
    </row>
    <row r="106" spans="2:29" x14ac:dyDescent="0.25">
      <c r="B106" s="863"/>
      <c r="C106" s="863"/>
      <c r="D106" s="863"/>
      <c r="E106" s="863"/>
      <c r="F106" s="863"/>
      <c r="G106" s="863"/>
      <c r="H106" s="863"/>
      <c r="I106" s="903"/>
      <c r="J106" s="863"/>
      <c r="M106" s="35" t="str">
        <f>L14&amp;" minus"</f>
        <v>c6.11 minus</v>
      </c>
      <c r="N106" s="903"/>
      <c r="O106" s="863"/>
      <c r="P106" s="863"/>
      <c r="Q106" s="863"/>
      <c r="R106" s="863"/>
      <c r="S106" s="903"/>
      <c r="T106" s="863"/>
      <c r="U106" s="863"/>
      <c r="V106" s="863"/>
      <c r="W106" s="863"/>
      <c r="X106" s="903"/>
      <c r="Y106" s="863"/>
      <c r="Z106" s="863"/>
      <c r="AA106" s="863"/>
      <c r="AB106" s="863"/>
    </row>
    <row r="107" spans="2:29" x14ac:dyDescent="0.25">
      <c r="H107" s="36" t="str">
        <f>G14&amp;" minus ("&amp;'Status (c3a)'!AD33&amp;" + "&amp;'Deductions (c4)'!H383&amp;")"</f>
        <v>c6.1 minus (c3a.3a + c4.59)</v>
      </c>
      <c r="I107" s="903"/>
      <c r="M107" s="36" t="str">
        <f>"("&amp;L36&amp;" + "&amp;L47&amp;" + "&amp;L66&amp;" + "&amp;L95&amp;")"</f>
        <v>(c6.14 + c6.17 + c6.18 + c6.21)</v>
      </c>
      <c r="N107" s="903"/>
      <c r="R107" s="36" t="str">
        <f>Q14&amp;" minus ("&amp;Q47&amp;" + "&amp;Q66&amp;" + "&amp;Q95&amp;")"</f>
        <v>c6.23 minus (c6.25 + c6.28 + c6.33)</v>
      </c>
      <c r="S107" s="903"/>
      <c r="W107" s="36" t="str">
        <f>V14&amp;" minus ("&amp;V17&amp;" + "&amp;V66&amp;" + "&amp;V77&amp;" + "&amp;V95&amp;" + "&amp;V104&amp;")"</f>
        <v>c6.35 minus (c6.36 + c6.40 + c6.41b + c6.43 + c6.43.2)</v>
      </c>
      <c r="X107" s="903"/>
      <c r="AB107" s="36" t="str">
        <f>AA14&amp;" minus ("&amp;AA36&amp;" + "&amp;AA47&amp;" + "&amp;AA66&amp;" + "&amp;AA95&amp;")"</f>
        <v>c6.45 minus (c6.48 + c6.51 + c6.52 + c6.55)</v>
      </c>
    </row>
    <row r="108" spans="2:29" x14ac:dyDescent="0.25">
      <c r="F108" s="882" t="s">
        <v>8183</v>
      </c>
      <c r="G108" s="2193" t="str">
        <f>A15</f>
        <v>c6.10</v>
      </c>
      <c r="H108" s="2192">
        <f>MAX(0,H14-('Status (c3a)'!AE33+'Deductions (c4)'!I383))</f>
        <v>0</v>
      </c>
      <c r="I108" s="903"/>
      <c r="K108" s="882" t="s">
        <v>8183</v>
      </c>
      <c r="L108" s="2193" t="str">
        <f>A32</f>
        <v>c6.22</v>
      </c>
      <c r="M108" s="2192">
        <f>MAX(0,M14-(M36+M47+M66+M95))</f>
        <v>0</v>
      </c>
      <c r="N108" s="903"/>
      <c r="P108" s="882" t="s">
        <v>8183</v>
      </c>
      <c r="Q108" s="2193" t="str">
        <f>A44</f>
        <v>c6.34</v>
      </c>
      <c r="R108" s="2192">
        <f>MAX(0,R14-(R47+R66+R95))</f>
        <v>0</v>
      </c>
      <c r="S108" s="903"/>
      <c r="U108" s="882" t="s">
        <v>8183</v>
      </c>
      <c r="V108" s="2193" t="str">
        <f>A59</f>
        <v>c6.44</v>
      </c>
      <c r="W108" s="2192">
        <f>MAX(0,W14-(W17+W66+W77+W95+W104))</f>
        <v>0</v>
      </c>
      <c r="X108" s="903"/>
      <c r="Z108" s="882" t="s">
        <v>8183</v>
      </c>
      <c r="AA108" s="2193" t="str">
        <f>A76</f>
        <v>c6.56</v>
      </c>
      <c r="AB108" s="2192">
        <f>MAX(0,AB14-(AB36+AB47+AB66+AB95))</f>
        <v>0</v>
      </c>
    </row>
    <row r="109" spans="2:29" x14ac:dyDescent="0.25">
      <c r="F109" s="882"/>
      <c r="G109" s="826"/>
      <c r="H109" s="36" t="str">
        <f>"copy to "&amp;'tax it (c8)'!A11</f>
        <v>copy to c8.5</v>
      </c>
      <c r="I109" s="903"/>
      <c r="K109" s="882"/>
      <c r="L109" s="826"/>
      <c r="M109" s="36" t="str">
        <f>"copy to "&amp;'tax it (c8)'!A22</f>
        <v>copy to c8.15</v>
      </c>
      <c r="N109" s="903"/>
      <c r="P109" s="882"/>
      <c r="Q109" s="826"/>
      <c r="R109" s="36" t="str">
        <f>"copy to "&amp;'tax it (c8)'!A31&amp;" and "&amp;'Notional (c21c23)'!A70</f>
        <v>copy to c8.23 and c23.1</v>
      </c>
      <c r="S109" s="903"/>
      <c r="U109" s="882"/>
      <c r="V109" s="826"/>
      <c r="W109" s="550" t="str">
        <f>"copy to "&amp;'tax it (c8)'!A44</f>
        <v>copy to c8.24j</v>
      </c>
      <c r="X109" s="903"/>
      <c r="Z109" s="882"/>
      <c r="AA109" s="826"/>
      <c r="AB109" s="36" t="str">
        <f>"copy to "&amp;'tax it (c8)'!A57</f>
        <v>copy to c8.24w</v>
      </c>
    </row>
    <row r="110" spans="2:29" x14ac:dyDescent="0.25">
      <c r="I110" s="903"/>
      <c r="N110" s="903"/>
      <c r="S110" s="903"/>
      <c r="X110" s="903"/>
    </row>
    <row r="111" spans="2:29" x14ac:dyDescent="0.25">
      <c r="B111" s="863" t="s">
        <v>8184</v>
      </c>
      <c r="G111" s="863"/>
      <c r="H111" s="902" t="str">
        <f>G17&amp;" + "&amp;G66&amp;" + "&amp;G77&amp;" + "&amp;G95&amp;" + "&amp;G104&amp;" + "&amp;G108</f>
        <v>c6.2 + c6.6 + c6.7b + c6.9 + c6.9.2 + c6.10</v>
      </c>
      <c r="I111" s="903"/>
      <c r="K111" s="863"/>
      <c r="L111" s="863"/>
      <c r="M111" s="902" t="str">
        <f>L36&amp;" + "&amp;L47&amp;" + "&amp;L66&amp;" + "&amp;L95&amp;" + "&amp;L108</f>
        <v>c6.14 + c6.17 + c6.18 + c6.21 + c6.22</v>
      </c>
      <c r="N111" s="903"/>
      <c r="Q111" s="863"/>
      <c r="R111" s="902" t="str">
        <f>Q47&amp;" + "&amp;Q66&amp;" + "&amp;Q95&amp;" + "&amp;Q108</f>
        <v>c6.25 + c6.28 + c6.33 + c6.34</v>
      </c>
      <c r="S111" s="903"/>
      <c r="V111" s="863"/>
      <c r="W111" s="902" t="str">
        <f>V17&amp;" + "&amp;V66&amp;" + "&amp;V77&amp;" + "&amp;V95&amp;" + "&amp;V104&amp;" + "&amp;V108</f>
        <v>c6.36 + c6.40 + c6.41b + c6.43 + c6.43.2 + c6.44</v>
      </c>
      <c r="X111" s="903"/>
      <c r="Y111" s="863"/>
      <c r="Z111" s="863"/>
      <c r="AA111" s="863"/>
      <c r="AB111" s="902" t="str">
        <f>AA36&amp;" + "&amp;AA47&amp;" + "&amp;AA66&amp;" + "&amp;AA95&amp;" + "&amp;AA108</f>
        <v>c6.48 + c6.51 + c6.52 + c6.55 + c6.56</v>
      </c>
      <c r="AC111" s="36"/>
    </row>
    <row r="112" spans="2:29" x14ac:dyDescent="0.25">
      <c r="D112" s="891" t="s">
        <v>3970</v>
      </c>
      <c r="G112" s="2197"/>
      <c r="H112" s="2198">
        <f>H17+H66+H77+H95+H104+H108</f>
        <v>0</v>
      </c>
      <c r="I112" s="903"/>
      <c r="K112" s="863"/>
      <c r="L112" s="2197"/>
      <c r="M112" s="2198">
        <f>M36+M47+M66+M95+M108</f>
        <v>0</v>
      </c>
      <c r="N112" s="903"/>
      <c r="Q112" s="2197"/>
      <c r="R112" s="2198">
        <f>R47+R66+R95+R108</f>
        <v>0</v>
      </c>
      <c r="S112" s="903"/>
      <c r="V112" s="2197"/>
      <c r="W112" s="2198">
        <f>(W17+W66+W77+W95+W104+W108)</f>
        <v>0</v>
      </c>
      <c r="X112" s="903"/>
      <c r="Y112" s="863"/>
      <c r="Z112" s="863"/>
      <c r="AA112" s="2197"/>
      <c r="AB112" s="2198">
        <f>AB36+AB47+AB66+AB95+AB108</f>
        <v>0</v>
      </c>
    </row>
    <row r="113" spans="2:19" x14ac:dyDescent="0.25">
      <c r="S113" s="863"/>
    </row>
    <row r="114" spans="2:19" x14ac:dyDescent="0.25">
      <c r="C114" s="863"/>
      <c r="D114" s="863"/>
      <c r="E114" s="863"/>
      <c r="S114" s="863"/>
    </row>
    <row r="115" spans="2:19" x14ac:dyDescent="0.25">
      <c r="B115" s="863"/>
      <c r="C115" s="863"/>
      <c r="E115" s="863"/>
    </row>
  </sheetData>
  <phoneticPr fontId="58" type="noConversion"/>
  <pageMargins left="0.15748031496062992" right="0.15748031496062992" top="0.19685039370078741" bottom="0.19685039370078741" header="0.19685039370078741" footer="0.19685039370078741"/>
  <pageSetup paperSize="9" orientation="landscape" r:id="rId1"/>
  <headerFooter alignWithMargins="0">
    <oddFooter>&amp;C&amp;1#&amp;"Calibri"&amp;10&amp;K000000OFFICIAL-SENSITIVE</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2"/>
  <dimension ref="A1:L96"/>
  <sheetViews>
    <sheetView showGridLines="0" topLeftCell="B1" workbookViewId="0">
      <selection activeCell="B1" sqref="B1"/>
    </sheetView>
  </sheetViews>
  <sheetFormatPr defaultColWidth="8.81640625" defaultRowHeight="11.5" x14ac:dyDescent="0.25"/>
  <cols>
    <col min="1" max="1" width="3.1796875" style="35" hidden="1" customWidth="1"/>
    <col min="2" max="2" width="6" style="35" customWidth="1"/>
    <col min="3" max="3" width="11.54296875" style="35" customWidth="1"/>
    <col min="4" max="4" width="12.453125" style="35" customWidth="1"/>
    <col min="5" max="5" width="6.54296875" style="35" customWidth="1"/>
    <col min="6" max="6" width="15.1796875" style="35" customWidth="1"/>
    <col min="7" max="7" width="17.1796875" style="35" customWidth="1"/>
    <col min="8" max="9" width="9" style="35" customWidth="1"/>
    <col min="10" max="10" width="6.7265625" style="35" customWidth="1"/>
    <col min="11" max="11" width="15.1796875" style="35" customWidth="1"/>
    <col min="12" max="12" width="13.453125" style="35" bestFit="1" customWidth="1"/>
    <col min="13" max="13" width="5.81640625" style="35" customWidth="1"/>
    <col min="14" max="14" width="10.54296875" style="35" customWidth="1"/>
    <col min="15" max="15" width="1.54296875" style="35" customWidth="1"/>
    <col min="16" max="16" width="5.54296875" style="35" customWidth="1"/>
    <col min="17" max="17" width="12.1796875" style="35" customWidth="1"/>
    <col min="18" max="19" width="2.54296875" style="35" customWidth="1"/>
    <col min="20" max="20" width="4.54296875" style="35" customWidth="1"/>
    <col min="21" max="16384" width="8.81640625" style="35"/>
  </cols>
  <sheetData>
    <row r="1" spans="1:11" ht="18" x14ac:dyDescent="0.4">
      <c r="A1" s="35" t="s">
        <v>8185</v>
      </c>
      <c r="B1" s="904" t="s">
        <v>8186</v>
      </c>
    </row>
    <row r="2" spans="1:11" x14ac:dyDescent="0.25">
      <c r="A2" s="35" t="s">
        <v>8187</v>
      </c>
      <c r="G2" s="2189" t="s">
        <v>7019</v>
      </c>
      <c r="H2" s="2199"/>
      <c r="I2" s="2199"/>
      <c r="J2" s="2199"/>
      <c r="K2" s="2191"/>
    </row>
    <row r="3" spans="1:11" x14ac:dyDescent="0.25">
      <c r="A3" s="35" t="s">
        <v>8188</v>
      </c>
      <c r="G3" s="34"/>
    </row>
    <row r="4" spans="1:11" x14ac:dyDescent="0.25">
      <c r="A4" s="35" t="s">
        <v>8189</v>
      </c>
      <c r="F4" s="143" t="str">
        <f>"from "&amp;AOI&amp;AOI!G22</f>
        <v>from AOI11</v>
      </c>
    </row>
    <row r="5" spans="1:11" x14ac:dyDescent="0.25">
      <c r="A5" s="35" t="s">
        <v>8190</v>
      </c>
      <c r="B5" s="905" t="s">
        <v>6673</v>
      </c>
      <c r="E5" s="2160" t="str">
        <f>A1</f>
        <v>c7.1</v>
      </c>
      <c r="F5" s="2161">
        <f>TRUNC(AOI!H23+0.99,0)</f>
        <v>0</v>
      </c>
      <c r="G5" s="861" t="s">
        <v>7035</v>
      </c>
    </row>
    <row r="6" spans="1:11" x14ac:dyDescent="0.25">
      <c r="A6" s="35" t="s">
        <v>8191</v>
      </c>
      <c r="B6" s="905"/>
      <c r="E6" s="171"/>
      <c r="F6" s="219"/>
      <c r="G6" s="861"/>
    </row>
    <row r="7" spans="1:11" x14ac:dyDescent="0.25">
      <c r="A7" s="35" t="s">
        <v>8192</v>
      </c>
      <c r="B7" s="769"/>
      <c r="C7" s="280"/>
      <c r="D7" s="280"/>
      <c r="E7" s="280"/>
      <c r="F7" s="280"/>
    </row>
    <row r="8" spans="1:11" x14ac:dyDescent="0.25">
      <c r="A8" s="35" t="s">
        <v>8193</v>
      </c>
      <c r="B8" s="856"/>
      <c r="F8" s="36" t="str">
        <f>"if "&amp;'Status (c3a)'!D21&amp;" = 3"</f>
        <v>if c3a.1 = 3</v>
      </c>
    </row>
    <row r="9" spans="1:11" x14ac:dyDescent="0.25">
      <c r="A9" s="35" t="s">
        <v>8194</v>
      </c>
      <c r="B9" s="856"/>
      <c r="F9" s="36" t="str">
        <f>E17&amp;" = "&amp;'tax it (c6)'!Q95</f>
        <v>c7.2 = c6.33</v>
      </c>
    </row>
    <row r="10" spans="1:11" x14ac:dyDescent="0.25">
      <c r="A10" s="35" t="s">
        <v>8195</v>
      </c>
      <c r="B10" s="856"/>
      <c r="F10" s="36" t="s">
        <v>7143</v>
      </c>
    </row>
    <row r="11" spans="1:11" x14ac:dyDescent="0.25">
      <c r="A11" s="35" t="s">
        <v>8196</v>
      </c>
      <c r="B11" s="856"/>
      <c r="F11" s="36" t="str">
        <f>"if "&amp;'Status (c3a)'!D21&amp;" = 2"</f>
        <v>if c3a.1 = 2</v>
      </c>
    </row>
    <row r="12" spans="1:11" x14ac:dyDescent="0.25">
      <c r="A12" s="35" t="s">
        <v>8197</v>
      </c>
      <c r="B12" s="856"/>
      <c r="F12" s="36" t="str">
        <f>E17&amp;" = "&amp;'tax it (c6)'!Q95</f>
        <v>c7.2 = c6.33</v>
      </c>
      <c r="K12" s="36" t="str">
        <f>"if "&amp;'Status (c3a)'!D21&amp;" = 3"</f>
        <v>if c3a.1 = 3</v>
      </c>
    </row>
    <row r="13" spans="1:11" x14ac:dyDescent="0.25">
      <c r="A13" s="35" t="s">
        <v>8198</v>
      </c>
      <c r="B13" s="856"/>
      <c r="F13" s="36" t="s">
        <v>7143</v>
      </c>
      <c r="K13" s="36" t="str">
        <f>J21&amp;" = "&amp;E21&amp;" × (DivHR_rate ("&amp;DivHR_rate*100&amp;"%) minus DivBR_rate ("&amp;DivBR_rate*100&amp;"%)) ("&amp;(DivHR_rate-DivBR_rate)*100&amp;"%)"</f>
        <v>c7.4 = c7.3 × (DivHR_rate (33.75%) minus DivBR_rate (8.75%)) (25%)</v>
      </c>
    </row>
    <row r="14" spans="1:11" x14ac:dyDescent="0.25">
      <c r="A14" s="35" t="s">
        <v>8199</v>
      </c>
      <c r="B14" s="856"/>
      <c r="F14" s="36" t="str">
        <f>E17&amp;" = "&amp;'tax it (c6)'!Q95</f>
        <v>c7.2 = c6.33</v>
      </c>
      <c r="K14" s="36" t="s">
        <v>7143</v>
      </c>
    </row>
    <row r="15" spans="1:11" x14ac:dyDescent="0.25">
      <c r="A15" s="35" t="s">
        <v>8200</v>
      </c>
      <c r="B15" s="856"/>
      <c r="F15" s="36" t="s">
        <v>75</v>
      </c>
      <c r="K15" s="36" t="str">
        <f>"if "&amp;'Status (c3a)'!D21&amp;" = 2"</f>
        <v>if c3a.1 = 2</v>
      </c>
    </row>
    <row r="16" spans="1:11" x14ac:dyDescent="0.25">
      <c r="A16" s="35" t="s">
        <v>8201</v>
      </c>
      <c r="F16" s="36" t="s">
        <v>75</v>
      </c>
      <c r="K16" s="36" t="str">
        <f>J21&amp;" = "&amp;E21&amp;" × (DivHR_rate ("&amp;DivHR_rate*100&amp;"%) minus DivBR_rate ("&amp;DivBR_rate*100&amp;"%)) ("&amp;(DivHR_rate-DivBR_rate)*100&amp;"%)"</f>
        <v>c7.4 = c7.3 × (DivHR_rate (33.75%) minus DivBR_rate (8.75%)) (25%)</v>
      </c>
    </row>
    <row r="17" spans="1:12" x14ac:dyDescent="0.25">
      <c r="A17" s="35" t="s">
        <v>8202</v>
      </c>
      <c r="B17" s="856"/>
      <c r="D17" s="36" t="s">
        <v>8203</v>
      </c>
      <c r="E17" s="2160" t="str">
        <f>A2</f>
        <v>c7.2</v>
      </c>
      <c r="F17" s="2149">
        <f>IF('Status (c3a)'!E21=3,'tax it (c6)'!R95,IF('Status (c3a)'!E21=2,'tax it (c6)'!R95,'tax it (c6)'!R95))</f>
        <v>0</v>
      </c>
      <c r="K17" s="36" t="s">
        <v>7143</v>
      </c>
    </row>
    <row r="18" spans="1:12" x14ac:dyDescent="0.25">
      <c r="B18" s="856"/>
      <c r="K18" s="36" t="str">
        <f>J21&amp;" = "&amp;E21&amp;" × (DivHR_rate ("&amp;DivHR_rate*100&amp;"%) minus DivBR_rate ("&amp;DivBR_rate*100&amp;"%)) ("&amp;(DivHR_rate-DivBR_rate)*100&amp;"%)"</f>
        <v>c7.4 = c7.3 × (DivHR_rate (33.75%) minus DivBR_rate (8.75%)) (25%)</v>
      </c>
    </row>
    <row r="19" spans="1:12" x14ac:dyDescent="0.25">
      <c r="B19" s="856"/>
      <c r="K19" s="36" t="s">
        <v>75</v>
      </c>
    </row>
    <row r="20" spans="1:12" x14ac:dyDescent="0.25">
      <c r="B20" s="856"/>
      <c r="F20" s="36" t="str">
        <f>"lower of "&amp;E5&amp;" and "&amp;E17</f>
        <v>lower of c7.1 and c7.2</v>
      </c>
      <c r="K20" s="36" t="s">
        <v>75</v>
      </c>
    </row>
    <row r="21" spans="1:12" x14ac:dyDescent="0.25">
      <c r="B21" s="856"/>
      <c r="D21" s="36" t="s">
        <v>8204</v>
      </c>
      <c r="E21" s="2160" t="str">
        <f>A3</f>
        <v>c7.3</v>
      </c>
      <c r="F21" s="2200">
        <f>MIN(F5,F17)</f>
        <v>0</v>
      </c>
      <c r="I21" s="36" t="s">
        <v>8205</v>
      </c>
      <c r="J21" s="2160" t="str">
        <f>A4</f>
        <v>c7.4</v>
      </c>
      <c r="K21" s="2201">
        <f>IF('Status (c3a)'!E21=3,TRUNC((F21*(DivHR_rate-DivBR_rate))+0.0099,2),IF('Status (c3a)'!E21=2,TRUNC((F21*(DivHR_rate-DivBR_rate))+0.0099,2),TRUNC((F21*(DivHR_rate-DivBR_rate))+0.0099,2)))</f>
        <v>0</v>
      </c>
      <c r="L21" s="861" t="s">
        <v>8206</v>
      </c>
    </row>
    <row r="22" spans="1:12" x14ac:dyDescent="0.25">
      <c r="B22" s="856"/>
    </row>
    <row r="23" spans="1:12" x14ac:dyDescent="0.25">
      <c r="B23" s="769"/>
      <c r="C23" s="280"/>
      <c r="D23" s="280"/>
      <c r="E23" s="280"/>
      <c r="F23" s="280"/>
      <c r="G23" s="280"/>
    </row>
    <row r="25" spans="1:12" x14ac:dyDescent="0.25">
      <c r="F25" s="36" t="str">
        <f>E5&amp;" minus "&amp;E21</f>
        <v>c7.1 minus c7.3</v>
      </c>
    </row>
    <row r="26" spans="1:12" x14ac:dyDescent="0.25">
      <c r="D26" s="36" t="s">
        <v>8207</v>
      </c>
      <c r="E26" s="2160" t="str">
        <f>A5</f>
        <v>c7.5</v>
      </c>
      <c r="F26" s="2200">
        <f>MAX(F5-F21,0)</f>
        <v>0</v>
      </c>
    </row>
    <row r="28" spans="1:12" x14ac:dyDescent="0.25">
      <c r="B28" s="856"/>
    </row>
    <row r="29" spans="1:12" x14ac:dyDescent="0.25">
      <c r="B29" s="280"/>
    </row>
    <row r="30" spans="1:12" x14ac:dyDescent="0.25">
      <c r="B30" s="280"/>
    </row>
    <row r="31" spans="1:12" x14ac:dyDescent="0.25">
      <c r="B31" s="280"/>
    </row>
    <row r="32" spans="1:12" x14ac:dyDescent="0.25">
      <c r="B32" s="280"/>
      <c r="F32" s="36" t="str">
        <f>"if "&amp;'Status (c3a)'!D21&amp;" = 3"</f>
        <v>if c3a.1 = 3</v>
      </c>
    </row>
    <row r="33" spans="2:12" x14ac:dyDescent="0.25">
      <c r="F33" s="36" t="str">
        <f>E41&amp;" = "&amp;'tax it (c6)'!G95&amp;" + "&amp;'tax it (c6)'!V95</f>
        <v>c7.6 = c6.9 + c6.43</v>
      </c>
    </row>
    <row r="34" spans="2:12" x14ac:dyDescent="0.25">
      <c r="F34" s="36" t="s">
        <v>7143</v>
      </c>
    </row>
    <row r="35" spans="2:12" x14ac:dyDescent="0.25">
      <c r="B35" s="856"/>
      <c r="F35" s="36" t="str">
        <f>"if "&amp;'Status (c3a)'!D21&amp;" = 2"</f>
        <v>if c3a.1 = 2</v>
      </c>
      <c r="K35" s="36" t="str">
        <f>"if "&amp;'Status (c3a)'!D21&amp;" = 3"</f>
        <v>if c3a.1 = 3</v>
      </c>
    </row>
    <row r="36" spans="2:12" x14ac:dyDescent="0.25">
      <c r="B36" s="856"/>
      <c r="F36" s="36" t="str">
        <f>E41&amp;" = "&amp;'tax it (c6)'!G104&amp;" + "&amp;'tax it (c6)'!V104</f>
        <v>c7.6 = c6.9.2 + c6.43.2</v>
      </c>
      <c r="K36" s="36" t="str">
        <f>J44&amp;" = "&amp;E44&amp;" × (WHR_rate ("&amp;WHR_rate*100&amp;"%) minus WBR_rate ("&amp;WBR_rate*100&amp;"%)) ("&amp;(WHR_rate-WBR_rate)*100&amp;"%)"</f>
        <v>c7.8 = c7.7 × (WHR_rate (40%) minus WBR_rate (20%)) (20%)</v>
      </c>
    </row>
    <row r="37" spans="2:12" x14ac:dyDescent="0.25">
      <c r="B37" s="856"/>
      <c r="F37" s="36" t="s">
        <v>7143</v>
      </c>
      <c r="K37" s="36" t="s">
        <v>7143</v>
      </c>
    </row>
    <row r="38" spans="2:12" x14ac:dyDescent="0.25">
      <c r="B38" s="856"/>
      <c r="D38" s="280"/>
      <c r="E38" s="280"/>
      <c r="F38" s="36" t="str">
        <f>E41&amp;" = "&amp;'tax it (c6)'!G95&amp;" + "&amp;'tax it (c6)'!V95</f>
        <v>c7.6 = c6.9 + c6.43</v>
      </c>
      <c r="K38" s="36" t="str">
        <f>"if "&amp;'Status (c3a)'!D21&amp;" = 2"</f>
        <v>if c3a.1 = 2</v>
      </c>
    </row>
    <row r="39" spans="2:12" x14ac:dyDescent="0.25">
      <c r="B39" s="856"/>
      <c r="F39" s="36" t="s">
        <v>75</v>
      </c>
      <c r="K39" s="36" t="str">
        <f>J44&amp;" = "&amp;E44&amp;" × (SAR_rate ("&amp;SAR_rate*100&amp;"%) minus SBR_rate ("&amp;SBR_rate*100&amp;"%)) ("&amp;(SAR_rate-BR_rate)*100&amp;"%)"</f>
        <v>c7.8 = c7.7 × (SAR_rate (45%) minus SBR_rate (20%)) (25%)</v>
      </c>
    </row>
    <row r="40" spans="2:12" x14ac:dyDescent="0.25">
      <c r="B40" s="856"/>
      <c r="F40" s="36" t="s">
        <v>75</v>
      </c>
      <c r="K40" s="36" t="s">
        <v>7143</v>
      </c>
    </row>
    <row r="41" spans="2:12" x14ac:dyDescent="0.25">
      <c r="B41" s="856"/>
      <c r="D41" s="36" t="s">
        <v>8178</v>
      </c>
      <c r="E41" s="2160" t="str">
        <f>A6</f>
        <v>c7.6</v>
      </c>
      <c r="F41" s="2149">
        <f>IF('Status (c3a)'!E21=3,'tax it (c6)'!H95+'tax it (c6)'!W95,IF('Status (c3a)'!E21=2,'tax it (c6)'!H104+'tax it (c6)'!W104,'tax it (c6)'!H95+'tax it (c6)'!W95))</f>
        <v>0</v>
      </c>
      <c r="K41" s="36" t="str">
        <f>J44&amp;" = "&amp;E44&amp;" × (HR_rate ("&amp;HR_rate*100&amp;"%) minus BR_rate ("&amp;BR_rate*100&amp;"%)) ("&amp;(HR_rate-BR_rate)*100&amp;"%)"</f>
        <v>c7.8 = c7.7 × (HR_rate (40%) minus BR_rate (20%)) (20%)</v>
      </c>
    </row>
    <row r="42" spans="2:12" x14ac:dyDescent="0.25">
      <c r="B42" s="856"/>
      <c r="K42" s="36" t="s">
        <v>75</v>
      </c>
    </row>
    <row r="43" spans="2:12" x14ac:dyDescent="0.25">
      <c r="B43" s="856"/>
      <c r="F43" s="36" t="str">
        <f>"lower of "&amp;E26&amp;" and "&amp;E41</f>
        <v>lower of c7.5 and c7.6</v>
      </c>
      <c r="K43" s="36" t="s">
        <v>75</v>
      </c>
    </row>
    <row r="44" spans="2:12" x14ac:dyDescent="0.25">
      <c r="B44" s="856"/>
      <c r="D44" s="36" t="s">
        <v>8204</v>
      </c>
      <c r="E44" s="2160" t="str">
        <f>A7</f>
        <v>c7.7</v>
      </c>
      <c r="F44" s="2200">
        <f>MIN(F26,F41)</f>
        <v>0</v>
      </c>
      <c r="I44" s="36" t="s">
        <v>8205</v>
      </c>
      <c r="J44" s="2160" t="str">
        <f>A8</f>
        <v>c7.8</v>
      </c>
      <c r="K44" s="2201">
        <f>IF('Status (c3a)'!E21=3,TRUNC((F44*(WHR_rate-WBR_rate))+0.0099,2),IF('Status (c3a)'!E21=2,TRUNC((F44*(SAR_rate-SBR_rate))+0.0099,2),TRUNC((F44*(HR_rate-BR_rate))+0.0099,2)))</f>
        <v>0</v>
      </c>
      <c r="L44" s="861" t="s">
        <v>8206</v>
      </c>
    </row>
    <row r="46" spans="2:12" x14ac:dyDescent="0.25">
      <c r="B46" s="280"/>
      <c r="C46" s="280"/>
      <c r="D46" s="285"/>
      <c r="E46" s="893"/>
      <c r="F46" s="832"/>
      <c r="G46" s="280"/>
      <c r="H46" s="280"/>
      <c r="I46" s="285"/>
      <c r="J46" s="893"/>
    </row>
    <row r="47" spans="2:12" x14ac:dyDescent="0.25">
      <c r="B47" s="280"/>
      <c r="C47" s="280"/>
      <c r="D47" s="280"/>
      <c r="E47" s="280"/>
      <c r="F47" s="280"/>
      <c r="G47" s="280"/>
      <c r="H47" s="280"/>
      <c r="I47" s="280"/>
      <c r="J47" s="280"/>
    </row>
    <row r="48" spans="2:12" x14ac:dyDescent="0.25">
      <c r="B48" s="280"/>
      <c r="C48" s="280"/>
      <c r="D48" s="280"/>
      <c r="E48" s="280"/>
      <c r="F48" s="280"/>
      <c r="G48" s="280"/>
      <c r="H48" s="280"/>
      <c r="I48" s="280"/>
      <c r="J48" s="280"/>
    </row>
    <row r="49" spans="2:11" x14ac:dyDescent="0.25">
      <c r="B49" s="280"/>
      <c r="C49" s="280"/>
      <c r="D49" s="280"/>
      <c r="E49" s="280"/>
      <c r="F49" s="280"/>
      <c r="G49" s="280"/>
      <c r="H49" s="280"/>
      <c r="I49" s="280"/>
      <c r="J49" s="280"/>
    </row>
    <row r="50" spans="2:11" x14ac:dyDescent="0.25">
      <c r="B50" s="906"/>
      <c r="C50" s="280"/>
      <c r="D50" s="280"/>
      <c r="E50" s="280"/>
      <c r="F50" s="280"/>
      <c r="G50" s="280"/>
      <c r="H50" s="280"/>
      <c r="I50" s="280"/>
      <c r="J50" s="280"/>
    </row>
    <row r="51" spans="2:11" x14ac:dyDescent="0.25">
      <c r="B51" s="769"/>
      <c r="C51" s="280"/>
      <c r="D51" s="280"/>
      <c r="E51" s="280"/>
      <c r="F51" s="280"/>
      <c r="G51" s="280"/>
      <c r="H51" s="280"/>
      <c r="I51" s="280"/>
      <c r="J51" s="280"/>
      <c r="K51" s="8"/>
    </row>
    <row r="54" spans="2:11" x14ac:dyDescent="0.25">
      <c r="F54" s="36" t="str">
        <f>E26&amp;" minus "&amp;E44</f>
        <v>c7.5 minus c7.7</v>
      </c>
    </row>
    <row r="55" spans="2:11" x14ac:dyDescent="0.25">
      <c r="D55" s="36" t="s">
        <v>8207</v>
      </c>
      <c r="E55" s="2160" t="str">
        <f>A9</f>
        <v>c7.9</v>
      </c>
      <c r="F55" s="2200">
        <f>MAX(0,F26-F44)</f>
        <v>0</v>
      </c>
    </row>
    <row r="56" spans="2:11" x14ac:dyDescent="0.25">
      <c r="D56" s="36"/>
      <c r="E56" s="171"/>
      <c r="F56" s="172"/>
    </row>
    <row r="57" spans="2:11" x14ac:dyDescent="0.25">
      <c r="F57" s="36" t="str">
        <f>"if "&amp;'Status (c3a)'!D21&amp;" = 3"</f>
        <v>if c3a.1 = 3</v>
      </c>
    </row>
    <row r="58" spans="2:11" x14ac:dyDescent="0.25">
      <c r="F58" s="36" t="str">
        <f>E66&amp;" = "&amp;'tax it (c6)'!L95&amp;" + "&amp;'tax it (c6)'!AA95</f>
        <v>c7.10 = c6.21 + c6.55</v>
      </c>
    </row>
    <row r="59" spans="2:11" x14ac:dyDescent="0.25">
      <c r="F59" s="36" t="s">
        <v>7143</v>
      </c>
    </row>
    <row r="60" spans="2:11" x14ac:dyDescent="0.25">
      <c r="F60" s="36" t="str">
        <f>"if "&amp;'Status (c3a)'!D21&amp;" = 2"</f>
        <v>if c3a.1 = 2</v>
      </c>
    </row>
    <row r="61" spans="2:11" x14ac:dyDescent="0.25">
      <c r="F61" s="36" t="str">
        <f>E66&amp;" = "&amp;'tax it (c6)'!G95&amp;" + "&amp;'tax it (c6)'!V95</f>
        <v>c7.10 = c6.9 + c6.43</v>
      </c>
      <c r="K61" s="36" t="str">
        <f>"if "&amp;'Status (c3a)'!D21&amp;" = 3"</f>
        <v>if c3a.1 = 3</v>
      </c>
    </row>
    <row r="62" spans="2:11" x14ac:dyDescent="0.25">
      <c r="F62" s="36" t="s">
        <v>7143</v>
      </c>
      <c r="K62" s="36" t="str">
        <f>J70&amp;" = "&amp;E70&amp;" × (SAVHR_rate ("&amp;SAVHR_rate*100&amp;"%) minus SAVBR_rate ("&amp;SAVBR_rate*100&amp;"%)) ("&amp;(SAVHR_rate-SAVBR_rate)*100&amp;"%)"</f>
        <v>c7.12 = c7.11 × (SAVHR_rate (40%) minus SAVBR_rate (20%)) (20%)</v>
      </c>
    </row>
    <row r="63" spans="2:11" x14ac:dyDescent="0.25">
      <c r="D63" s="280"/>
      <c r="E63" s="280"/>
      <c r="F63" s="36" t="str">
        <f>E66&amp;" = "&amp;'tax it (c6)'!L95&amp;" + "&amp;'tax it (c6)'!AA95</f>
        <v>c7.10 = c6.21 + c6.55</v>
      </c>
      <c r="K63" s="36" t="s">
        <v>7143</v>
      </c>
    </row>
    <row r="64" spans="2:11" x14ac:dyDescent="0.25">
      <c r="F64" s="36" t="s">
        <v>75</v>
      </c>
      <c r="K64" s="36" t="str">
        <f>"if "&amp;'Status (c3a)'!D21&amp;" = 2"</f>
        <v>if c3a.1 = 2</v>
      </c>
    </row>
    <row r="65" spans="4:12" x14ac:dyDescent="0.25">
      <c r="F65" s="36" t="s">
        <v>75</v>
      </c>
      <c r="K65" s="36" t="str">
        <f>J70&amp;" = "&amp;E70&amp;" × (SHR_rate ("&amp;SHR_rate*100&amp;"%) minus SBR_rate ("&amp;SBR_rate*100&amp;"%)) ("&amp;(SHR_rate-BR_rate)*100&amp;"%)"</f>
        <v>c7.12 = c7.11 × (SHR_rate (42%) minus SBR_rate (20%)) (22%)</v>
      </c>
    </row>
    <row r="66" spans="4:12" x14ac:dyDescent="0.25">
      <c r="D66" s="36"/>
      <c r="E66" s="2160" t="str">
        <f>A10</f>
        <v>c7.10</v>
      </c>
      <c r="F66" s="2149">
        <f>IF('Status (c3a)'!E21=3,'tax it (c6)'!M95+'tax it (c6)'!AB95,IF('Status (c3a)'!E21=2,'tax it (c6)'!H95+'tax it (c6)'!W95,'tax it (c6)'!M95+'tax it (c6)'!AB95))</f>
        <v>0</v>
      </c>
      <c r="K66" s="36" t="s">
        <v>7143</v>
      </c>
      <c r="L66" s="861"/>
    </row>
    <row r="67" spans="4:12" x14ac:dyDescent="0.25">
      <c r="D67" s="36"/>
      <c r="E67" s="171"/>
      <c r="F67" s="26"/>
      <c r="K67" s="36" t="str">
        <f>J70&amp;" = "&amp;E70&amp;" × (SAVHR_rate ("&amp;SAVHR_rate*100&amp;"%) minus SAVBR_rate ("&amp;SAVBR_rate*100&amp;"%)) ("&amp;(SAVHR_rate-SAVBR_rate)*100&amp;"%)"</f>
        <v>c7.12 = c7.11 × (SAVHR_rate (40%) minus SAVBR_rate (20%)) (20%)</v>
      </c>
      <c r="L67" s="861"/>
    </row>
    <row r="68" spans="4:12" x14ac:dyDescent="0.25">
      <c r="D68" s="36"/>
      <c r="E68" s="171"/>
      <c r="F68" s="26"/>
      <c r="K68" s="36" t="s">
        <v>75</v>
      </c>
      <c r="L68" s="861"/>
    </row>
    <row r="69" spans="4:12" x14ac:dyDescent="0.25">
      <c r="F69" s="36" t="str">
        <f>"lower of "&amp;E55&amp;" and "&amp;E66</f>
        <v>lower of c7.9 and c7.10</v>
      </c>
      <c r="K69" s="36" t="s">
        <v>75</v>
      </c>
      <c r="L69" s="861"/>
    </row>
    <row r="70" spans="4:12" x14ac:dyDescent="0.25">
      <c r="D70" s="36" t="s">
        <v>8204</v>
      </c>
      <c r="E70" s="2160" t="str">
        <f>A11</f>
        <v>c7.11</v>
      </c>
      <c r="F70" s="2200">
        <f>MIN(F55,F66)</f>
        <v>0</v>
      </c>
      <c r="I70" s="36" t="s">
        <v>8205</v>
      </c>
      <c r="J70" s="2160" t="str">
        <f>A12</f>
        <v>c7.12</v>
      </c>
      <c r="K70" s="2201">
        <f>IF('Status (c3a)'!E21=3,TRUNC((F70*(SAVHR_rate-SAVBR_rate))+0.0099,2),IF('Status (c3a)'!E21=2,TRUNC((F70*(SHR_rate-SBR_rate))+0.0099,2),TRUNC((F70*(SAVHR_rate-SAVBR_rate))+0.0099,2)))</f>
        <v>0</v>
      </c>
      <c r="L70" s="861" t="s">
        <v>8206</v>
      </c>
    </row>
    <row r="71" spans="4:12" x14ac:dyDescent="0.25">
      <c r="D71" s="36"/>
      <c r="E71" s="171"/>
      <c r="F71" s="26"/>
      <c r="I71" s="36"/>
      <c r="J71" s="171"/>
      <c r="K71" s="397"/>
      <c r="L71" s="861"/>
    </row>
    <row r="72" spans="4:12" x14ac:dyDescent="0.25">
      <c r="D72" s="36"/>
      <c r="E72" s="171"/>
      <c r="F72" s="26"/>
      <c r="I72" s="36"/>
      <c r="J72" s="171"/>
      <c r="K72" s="397"/>
      <c r="L72" s="861"/>
    </row>
    <row r="73" spans="4:12" x14ac:dyDescent="0.25">
      <c r="F73" s="36" t="str">
        <f>E55&amp;" minus "&amp;E70</f>
        <v>c7.9 minus c7.11</v>
      </c>
      <c r="L73" s="861"/>
    </row>
    <row r="74" spans="4:12" x14ac:dyDescent="0.25">
      <c r="D74" s="36" t="s">
        <v>8207</v>
      </c>
      <c r="E74" s="2160" t="str">
        <f>A13</f>
        <v>c7.13</v>
      </c>
      <c r="F74" s="2200">
        <f>MAX(0,F55-F70)</f>
        <v>0</v>
      </c>
      <c r="L74" s="861"/>
    </row>
    <row r="75" spans="4:12" x14ac:dyDescent="0.25">
      <c r="D75" s="36"/>
      <c r="E75" s="171"/>
      <c r="F75" s="172"/>
      <c r="L75" s="861"/>
    </row>
    <row r="76" spans="4:12" x14ac:dyDescent="0.25">
      <c r="F76" s="36" t="str">
        <f>"if "&amp;'Status (c3a)'!D21&amp;" = 3"</f>
        <v>if c3a.1 = 3</v>
      </c>
      <c r="L76" s="861"/>
    </row>
    <row r="77" spans="4:12" x14ac:dyDescent="0.25">
      <c r="F77" s="36" t="str">
        <f>E85&amp;" = 0 (zero)"</f>
        <v>c7.14 = 0 (zero)</v>
      </c>
      <c r="L77" s="861"/>
    </row>
    <row r="78" spans="4:12" x14ac:dyDescent="0.25">
      <c r="F78" s="36" t="s">
        <v>7143</v>
      </c>
      <c r="L78" s="861"/>
    </row>
    <row r="79" spans="4:12" x14ac:dyDescent="0.25">
      <c r="F79" s="36" t="str">
        <f>"if "&amp;'Status (c3a)'!D21&amp;" = 2"</f>
        <v>if c3a.1 = 2</v>
      </c>
      <c r="L79" s="861"/>
    </row>
    <row r="80" spans="4:12" x14ac:dyDescent="0.25">
      <c r="F80" s="36" t="str">
        <f>E85&amp;" = "&amp;'tax it (c6)'!L95&amp;" + "&amp;'tax it (c6)'!AA95</f>
        <v>c7.14 = c6.21 + c6.55</v>
      </c>
      <c r="K80" s="36" t="str">
        <f>"if "&amp;'Status (c3a)'!D21&amp;" = 3"</f>
        <v>if c3a.1 = 3</v>
      </c>
      <c r="L80" s="861"/>
    </row>
    <row r="81" spans="4:12" x14ac:dyDescent="0.25">
      <c r="F81" s="36" t="s">
        <v>7143</v>
      </c>
      <c r="K81" s="36" t="str">
        <f>J89&amp;" = 0 (zero)"</f>
        <v>c7.15.1 = 0 (zero)</v>
      </c>
      <c r="L81" s="861"/>
    </row>
    <row r="82" spans="4:12" x14ac:dyDescent="0.25">
      <c r="D82" s="280"/>
      <c r="E82" s="280"/>
      <c r="F82" s="36" t="str">
        <f>E85&amp;" = 0 (zero)"</f>
        <v>c7.14 = 0 (zero)</v>
      </c>
      <c r="K82" s="36" t="s">
        <v>7143</v>
      </c>
      <c r="L82" s="861"/>
    </row>
    <row r="83" spans="4:12" x14ac:dyDescent="0.25">
      <c r="F83" s="36" t="s">
        <v>75</v>
      </c>
      <c r="K83" s="36" t="str">
        <f>"if "&amp;'Status (c3a)'!D21&amp;" = 2"</f>
        <v>if c3a.1 = 2</v>
      </c>
      <c r="L83" s="861"/>
    </row>
    <row r="84" spans="4:12" x14ac:dyDescent="0.25">
      <c r="F84" s="36" t="s">
        <v>75</v>
      </c>
      <c r="K84" s="36" t="str">
        <f>J89&amp;" = "&amp;E89&amp;" × (SAVHR_rate ("&amp;SAVHR_rate*100&amp;"%) minus SAVBR_rate ("&amp;SAVBR_rate*100&amp;"%)) ("&amp;(SAVHR_rate-SAVBR_rate)*100&amp;"%)"</f>
        <v>c7.15.1 = c7.15 × (SAVHR_rate (40%) minus SAVBR_rate (20%)) (20%)</v>
      </c>
      <c r="L84" s="861"/>
    </row>
    <row r="85" spans="4:12" x14ac:dyDescent="0.25">
      <c r="D85" s="36"/>
      <c r="E85" s="2160" t="str">
        <f>A14</f>
        <v>c7.14</v>
      </c>
      <c r="F85" s="2149">
        <f>IF('Status (c3a)'!E21=3,0,IF('Status (c3a)'!E21=2,'tax it (c6)'!M95+'tax it (c6)'!AB95,0))</f>
        <v>0</v>
      </c>
      <c r="K85" s="36" t="s">
        <v>7143</v>
      </c>
      <c r="L85" s="861"/>
    </row>
    <row r="86" spans="4:12" x14ac:dyDescent="0.25">
      <c r="D86" s="36"/>
      <c r="E86" s="171"/>
      <c r="F86" s="26"/>
      <c r="K86" s="36" t="str">
        <f>J89&amp;" = 0 (zero)"</f>
        <v>c7.15.1 = 0 (zero)</v>
      </c>
      <c r="L86" s="861"/>
    </row>
    <row r="87" spans="4:12" x14ac:dyDescent="0.25">
      <c r="D87" s="36"/>
      <c r="E87" s="171"/>
      <c r="F87" s="26"/>
      <c r="K87" s="36" t="s">
        <v>75</v>
      </c>
      <c r="L87" s="861"/>
    </row>
    <row r="88" spans="4:12" x14ac:dyDescent="0.25">
      <c r="F88" s="36" t="str">
        <f>"lower of "&amp;E74&amp;" and "&amp;E85</f>
        <v>lower of c7.13 and c7.14</v>
      </c>
      <c r="K88" s="36" t="s">
        <v>75</v>
      </c>
      <c r="L88" s="861"/>
    </row>
    <row r="89" spans="4:12" x14ac:dyDescent="0.25">
      <c r="D89" s="36" t="s">
        <v>8204</v>
      </c>
      <c r="E89" s="2160" t="str">
        <f>A15</f>
        <v>c7.15</v>
      </c>
      <c r="F89" s="2200">
        <f>MIN(F74,F85)</f>
        <v>0</v>
      </c>
      <c r="I89" s="36" t="s">
        <v>8205</v>
      </c>
      <c r="J89" s="2160" t="str">
        <f>A16</f>
        <v>c7.15.1</v>
      </c>
      <c r="K89" s="2201">
        <f>IF('Status (c3a)'!E21=3,0,IF('Status (c3a)'!E21=2,TRUNC((F89*(SAVHR_rate-SAVBR_rate))+0.0099,2),0))</f>
        <v>0</v>
      </c>
      <c r="L89" s="861" t="s">
        <v>8206</v>
      </c>
    </row>
    <row r="90" spans="4:12" x14ac:dyDescent="0.25">
      <c r="D90" s="36"/>
      <c r="E90" s="171"/>
      <c r="F90" s="26"/>
      <c r="I90" s="36"/>
      <c r="J90" s="171"/>
      <c r="K90" s="397"/>
      <c r="L90" s="861"/>
    </row>
    <row r="91" spans="4:12" x14ac:dyDescent="0.25">
      <c r="D91" s="36"/>
      <c r="E91" s="171"/>
      <c r="F91" s="26"/>
      <c r="I91" s="36"/>
      <c r="J91" s="171"/>
      <c r="K91" s="397"/>
      <c r="L91" s="861"/>
    </row>
    <row r="92" spans="4:12" x14ac:dyDescent="0.25">
      <c r="D92" s="36"/>
      <c r="E92" s="171"/>
      <c r="F92" s="26"/>
      <c r="I92" s="36"/>
      <c r="J92" s="171"/>
      <c r="K92" s="397"/>
      <c r="L92" s="861"/>
    </row>
    <row r="93" spans="4:12" x14ac:dyDescent="0.25">
      <c r="D93" s="36"/>
      <c r="E93" s="171"/>
      <c r="F93" s="26"/>
      <c r="K93" s="36" t="str">
        <f>J21&amp;" + "&amp;J44&amp;" + "&amp;J70&amp;" + "&amp;J89</f>
        <v>c7.4 + c7.8 + c7.12 + c7.15.1</v>
      </c>
    </row>
    <row r="94" spans="4:12" x14ac:dyDescent="0.25">
      <c r="I94" s="36" t="s">
        <v>8208</v>
      </c>
      <c r="J94" s="2160" t="str">
        <f>A17</f>
        <v>c7.16</v>
      </c>
      <c r="K94" s="2182">
        <f>K21+K44+K70+K89</f>
        <v>0</v>
      </c>
    </row>
    <row r="95" spans="4:12" x14ac:dyDescent="0.25">
      <c r="D95" s="36"/>
      <c r="E95" s="171"/>
      <c r="F95" s="172"/>
      <c r="K95" s="36" t="str">
        <f>"copy to box "&amp;'Tax adj (c9)'!I8</f>
        <v>copy to box c9.2</v>
      </c>
    </row>
    <row r="96" spans="4:12" x14ac:dyDescent="0.25">
      <c r="K96" s="397"/>
      <c r="L96" s="861"/>
    </row>
  </sheetData>
  <phoneticPr fontId="58" type="noConversion"/>
  <pageMargins left="0.19685039370078741" right="0.19685039370078741" top="0.19685039370078741" bottom="0.19685039370078741" header="0" footer="0"/>
  <pageSetup paperSize="9" orientation="portrait" r:id="rId1"/>
  <headerFooter alignWithMargins="0">
    <oddFooter>&amp;C&amp;1#&amp;"Calibri"&amp;10&amp;K000000OFFICIAL-SENSITIVE</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2"/>
  <dimension ref="A1:V193"/>
  <sheetViews>
    <sheetView showGridLines="0" topLeftCell="B1" zoomScaleNormal="100" workbookViewId="0">
      <selection activeCell="B1" sqref="B1"/>
    </sheetView>
  </sheetViews>
  <sheetFormatPr defaultColWidth="9.1796875" defaultRowHeight="11.5" x14ac:dyDescent="0.25"/>
  <cols>
    <col min="1" max="1" width="7" style="39" hidden="1" customWidth="1"/>
    <col min="2" max="2" width="15.81640625" style="39" customWidth="1"/>
    <col min="3" max="3" width="6.1796875" style="39" customWidth="1"/>
    <col min="4" max="4" width="14.1796875" style="39" customWidth="1"/>
    <col min="5" max="5" width="19" style="39" customWidth="1"/>
    <col min="6" max="7" width="6.1796875" style="39" customWidth="1"/>
    <col min="8" max="8" width="14.1796875" style="39" customWidth="1"/>
    <col min="9" max="9" width="8.54296875" style="39" bestFit="1" customWidth="1"/>
    <col min="10" max="10" width="9" style="39" customWidth="1"/>
    <col min="11" max="11" width="4.81640625" style="39" customWidth="1"/>
    <col min="12" max="12" width="5.54296875" style="39" customWidth="1"/>
    <col min="13" max="15" width="9.1796875" style="39"/>
    <col min="16" max="16" width="13.1796875" style="39" customWidth="1"/>
    <col min="17" max="16384" width="9.1796875" style="39"/>
  </cols>
  <sheetData>
    <row r="1" spans="1:15" ht="18" x14ac:dyDescent="0.4">
      <c r="A1" s="35" t="s">
        <v>4962</v>
      </c>
      <c r="B1" s="484" t="s">
        <v>8209</v>
      </c>
      <c r="C1" s="35"/>
      <c r="D1" s="8"/>
      <c r="E1" s="8"/>
      <c r="F1" s="8"/>
      <c r="G1" s="8"/>
      <c r="H1" s="8"/>
      <c r="I1" s="8"/>
      <c r="J1" s="35"/>
      <c r="K1" s="35"/>
      <c r="L1" s="35"/>
      <c r="M1" s="35"/>
      <c r="N1" s="35"/>
      <c r="O1" s="35"/>
    </row>
    <row r="2" spans="1:15" x14ac:dyDescent="0.25">
      <c r="A2" s="35" t="s">
        <v>4967</v>
      </c>
      <c r="B2" s="8"/>
      <c r="C2" s="8"/>
      <c r="D2" s="8"/>
      <c r="E2" s="8"/>
      <c r="F2" s="8"/>
      <c r="G2" s="8"/>
      <c r="H2" s="8"/>
      <c r="I2" s="8"/>
      <c r="J2" s="35"/>
      <c r="K2" s="35"/>
      <c r="L2" s="35"/>
      <c r="M2" s="35"/>
      <c r="N2" s="35"/>
      <c r="O2" s="35"/>
    </row>
    <row r="3" spans="1:15" x14ac:dyDescent="0.25">
      <c r="A3" s="35" t="s">
        <v>4972</v>
      </c>
      <c r="B3" s="8"/>
      <c r="C3" s="8"/>
      <c r="D3" s="8"/>
      <c r="E3" s="2189" t="s">
        <v>7019</v>
      </c>
      <c r="F3" s="2199"/>
      <c r="G3" s="2199"/>
      <c r="H3" s="2191"/>
      <c r="I3" s="8"/>
      <c r="J3" s="8"/>
      <c r="K3" s="35"/>
      <c r="L3" s="35"/>
      <c r="M3" s="35"/>
      <c r="N3" s="35"/>
      <c r="O3" s="35"/>
    </row>
    <row r="4" spans="1:15" x14ac:dyDescent="0.25">
      <c r="A4" s="35" t="s">
        <v>4977</v>
      </c>
      <c r="B4" s="8"/>
      <c r="C4" s="8"/>
      <c r="D4" s="8"/>
      <c r="E4" s="8"/>
      <c r="F4" s="8"/>
      <c r="G4" s="8"/>
      <c r="H4" s="8"/>
      <c r="I4" s="8"/>
      <c r="J4" s="8"/>
      <c r="K4" s="35"/>
      <c r="L4" s="35"/>
      <c r="M4" s="35"/>
      <c r="N4" s="35"/>
      <c r="O4" s="35"/>
    </row>
    <row r="5" spans="1:15" x14ac:dyDescent="0.25">
      <c r="A5" s="35" t="s">
        <v>4983</v>
      </c>
      <c r="B5" s="856" t="s">
        <v>5681</v>
      </c>
      <c r="C5" s="8"/>
      <c r="D5" s="8"/>
      <c r="E5" s="8"/>
      <c r="F5" s="210"/>
      <c r="G5" s="210"/>
      <c r="H5" s="215"/>
      <c r="I5" s="8"/>
      <c r="J5" s="35"/>
      <c r="K5" s="35"/>
      <c r="L5" s="35"/>
      <c r="M5" s="35"/>
      <c r="N5" s="35"/>
      <c r="O5" s="35"/>
    </row>
    <row r="6" spans="1:15" x14ac:dyDescent="0.25">
      <c r="A6" s="35" t="s">
        <v>4988</v>
      </c>
      <c r="B6" s="8"/>
      <c r="C6" s="8"/>
      <c r="D6" s="8"/>
      <c r="E6" s="8"/>
      <c r="F6" s="8"/>
      <c r="G6" s="8"/>
      <c r="H6" s="8"/>
      <c r="I6" s="8"/>
      <c r="J6" s="8"/>
      <c r="K6" s="35"/>
      <c r="L6" s="35"/>
      <c r="M6" s="35"/>
      <c r="N6" s="35"/>
      <c r="O6" s="35"/>
    </row>
    <row r="7" spans="1:15" x14ac:dyDescent="0.25">
      <c r="A7" s="35" t="s">
        <v>4994</v>
      </c>
      <c r="B7" s="8"/>
      <c r="C7" s="8"/>
      <c r="D7" s="9" t="str">
        <f>"from "&amp;'tax it (c6)'!G17</f>
        <v>from c6.2</v>
      </c>
      <c r="E7" s="8"/>
      <c r="F7" s="210"/>
      <c r="G7" s="210"/>
      <c r="H7" s="9" t="str">
        <f>C8&amp;" × "&amp;'Status (c3a)'!H45</f>
        <v>c8.1 × c3a.3b</v>
      </c>
      <c r="I7" s="8"/>
      <c r="J7" s="8"/>
      <c r="K7" s="35"/>
      <c r="L7" s="8"/>
      <c r="M7" s="8"/>
      <c r="N7" s="8"/>
      <c r="O7" s="8"/>
    </row>
    <row r="8" spans="1:15" x14ac:dyDescent="0.25">
      <c r="A8" s="35" t="s">
        <v>4999</v>
      </c>
      <c r="B8" s="171" t="s">
        <v>6645</v>
      </c>
      <c r="C8" s="2160" t="str">
        <f>A1</f>
        <v>c8.1</v>
      </c>
      <c r="D8" s="2149">
        <f>'tax it (c6)'!H17</f>
        <v>0</v>
      </c>
      <c r="E8" s="8"/>
      <c r="F8" s="35"/>
      <c r="G8" s="2160" t="str">
        <f>A2</f>
        <v>c8.1a</v>
      </c>
      <c r="H8" s="2182">
        <f>TRUNC(D8*'Status (c3a)'!I45,2)</f>
        <v>0</v>
      </c>
      <c r="I8" s="861" t="s">
        <v>7647</v>
      </c>
      <c r="J8" s="8"/>
      <c r="K8" s="298"/>
      <c r="L8" s="8"/>
      <c r="M8" s="8"/>
      <c r="N8" s="8"/>
      <c r="O8" s="8"/>
    </row>
    <row r="9" spans="1:15" x14ac:dyDescent="0.25">
      <c r="A9" s="35" t="s">
        <v>5004</v>
      </c>
      <c r="B9" s="8"/>
      <c r="C9" s="8"/>
      <c r="D9" s="8"/>
      <c r="E9" s="8"/>
      <c r="F9" s="8"/>
      <c r="G9" s="8"/>
      <c r="H9" s="8"/>
      <c r="I9" s="8"/>
      <c r="J9" s="8"/>
      <c r="K9" s="8"/>
      <c r="L9" s="8"/>
      <c r="M9" s="8"/>
      <c r="N9" s="8"/>
      <c r="O9" s="8"/>
    </row>
    <row r="10" spans="1:15" x14ac:dyDescent="0.25">
      <c r="A10" s="35" t="s">
        <v>5009</v>
      </c>
      <c r="B10" s="8"/>
      <c r="C10" s="8"/>
      <c r="D10" s="36" t="str">
        <f>"from "&amp;'tax it (c6)'!G66</f>
        <v>from c6.6</v>
      </c>
      <c r="E10" s="8"/>
      <c r="F10" s="35"/>
      <c r="G10" s="8"/>
      <c r="H10" s="9" t="str">
        <f>C11&amp;" × "&amp;'Status (c3a)'!L45</f>
        <v>c8.1b × c3a.4</v>
      </c>
      <c r="I10" s="8"/>
      <c r="J10" s="8"/>
      <c r="K10" s="8"/>
      <c r="L10" s="8"/>
      <c r="M10" s="8"/>
      <c r="N10" s="8"/>
      <c r="O10" s="8"/>
    </row>
    <row r="11" spans="1:15" x14ac:dyDescent="0.25">
      <c r="A11" s="35" t="s">
        <v>5014</v>
      </c>
      <c r="B11" s="171" t="s">
        <v>4616</v>
      </c>
      <c r="C11" s="2160" t="str">
        <f>A3</f>
        <v>c8.1b</v>
      </c>
      <c r="D11" s="2149">
        <f>'tax it (c6)'!H66</f>
        <v>0</v>
      </c>
      <c r="E11" s="8"/>
      <c r="F11" s="35"/>
      <c r="G11" s="2160" t="str">
        <f>A4</f>
        <v>c8.2</v>
      </c>
      <c r="H11" s="2182">
        <f>TRUNC(D11*'Status (c3a)'!M45,2)</f>
        <v>0</v>
      </c>
      <c r="I11" s="861" t="s">
        <v>7647</v>
      </c>
      <c r="J11" s="907"/>
      <c r="K11" s="8"/>
      <c r="L11" s="8"/>
      <c r="M11" s="8"/>
      <c r="N11" s="8"/>
      <c r="O11" s="8"/>
    </row>
    <row r="12" spans="1:15" x14ac:dyDescent="0.25">
      <c r="A12" s="35" t="s">
        <v>5018</v>
      </c>
      <c r="B12" s="8"/>
      <c r="C12" s="8"/>
      <c r="D12" s="8"/>
      <c r="E12" s="8"/>
      <c r="F12" s="8"/>
      <c r="G12" s="8"/>
      <c r="H12" s="8"/>
      <c r="I12" s="8"/>
      <c r="J12" s="35"/>
      <c r="K12" s="8"/>
      <c r="L12" s="8"/>
      <c r="M12" s="8"/>
      <c r="N12" s="8"/>
      <c r="O12" s="8"/>
    </row>
    <row r="13" spans="1:15" x14ac:dyDescent="0.25">
      <c r="A13" s="35" t="s">
        <v>8210</v>
      </c>
      <c r="B13" s="8"/>
      <c r="C13" s="8"/>
      <c r="D13" s="9" t="str">
        <f>"from "&amp;'tax it (c6)'!G77</f>
        <v>from c6.7b</v>
      </c>
      <c r="E13" s="8"/>
      <c r="F13" s="210"/>
      <c r="G13" s="210"/>
      <c r="H13" s="9" t="str">
        <f>C14&amp;" × "&amp;'Status (c3a)'!P45</f>
        <v>c8.2a × c3a.4a</v>
      </c>
      <c r="I13" s="8"/>
      <c r="J13" s="35"/>
      <c r="K13" s="8"/>
      <c r="L13" s="8"/>
      <c r="M13" s="8"/>
      <c r="N13" s="8"/>
      <c r="O13" s="8"/>
    </row>
    <row r="14" spans="1:15" x14ac:dyDescent="0.25">
      <c r="A14" s="35" t="s">
        <v>5024</v>
      </c>
      <c r="B14" s="171" t="s">
        <v>6646</v>
      </c>
      <c r="C14" s="2160" t="str">
        <f>A5</f>
        <v>c8.2a</v>
      </c>
      <c r="D14" s="2149">
        <f>'tax it (c6)'!H77</f>
        <v>0</v>
      </c>
      <c r="E14" s="8"/>
      <c r="F14" s="35"/>
      <c r="G14" s="2160" t="str">
        <f>A6</f>
        <v>c8.2b</v>
      </c>
      <c r="H14" s="2182">
        <f>TRUNC(D14*'Status (c3a)'!Q45,2)</f>
        <v>0</v>
      </c>
      <c r="I14" s="861" t="s">
        <v>7647</v>
      </c>
      <c r="J14" s="8"/>
      <c r="K14" s="8"/>
      <c r="L14" s="8"/>
      <c r="M14" s="8"/>
      <c r="N14" s="8"/>
      <c r="O14" s="8"/>
    </row>
    <row r="15" spans="1:15" x14ac:dyDescent="0.25">
      <c r="A15" s="35" t="s">
        <v>5028</v>
      </c>
      <c r="B15" s="8"/>
      <c r="C15" s="8"/>
      <c r="D15" s="8"/>
      <c r="E15" s="8"/>
      <c r="F15" s="8"/>
      <c r="G15" s="8"/>
      <c r="H15" s="8"/>
      <c r="I15" s="8"/>
      <c r="J15" s="8"/>
      <c r="K15" s="8"/>
      <c r="L15" s="8"/>
      <c r="M15" s="8"/>
      <c r="N15" s="8"/>
      <c r="O15" s="8"/>
    </row>
    <row r="16" spans="1:15" x14ac:dyDescent="0.25">
      <c r="A16" s="35" t="s">
        <v>8211</v>
      </c>
      <c r="B16" s="8"/>
      <c r="C16" s="8"/>
      <c r="D16" s="36" t="str">
        <f>"from "&amp;'tax it (c6)'!G95</f>
        <v>from c6.9</v>
      </c>
      <c r="E16" s="8"/>
      <c r="F16" s="35"/>
      <c r="G16" s="8"/>
      <c r="H16" s="9" t="str">
        <f>C17&amp;" × "&amp;'Status (c3a)'!X45</f>
        <v>c8.3 × c3a.5</v>
      </c>
      <c r="I16" s="8"/>
      <c r="J16" s="8"/>
      <c r="K16" s="8"/>
      <c r="L16" s="8"/>
      <c r="M16" s="8"/>
      <c r="N16" s="8"/>
      <c r="O16" s="8"/>
    </row>
    <row r="17" spans="1:15" x14ac:dyDescent="0.25">
      <c r="A17" s="35" t="s">
        <v>8212</v>
      </c>
      <c r="B17" s="171" t="s">
        <v>6648</v>
      </c>
      <c r="C17" s="2160" t="str">
        <f>A7</f>
        <v>c8.3</v>
      </c>
      <c r="D17" s="2149">
        <f>'tax it (c6)'!H95</f>
        <v>0</v>
      </c>
      <c r="E17" s="8"/>
      <c r="F17" s="35"/>
      <c r="G17" s="2160" t="str">
        <f>A8</f>
        <v>c8.4</v>
      </c>
      <c r="H17" s="2182">
        <f>TRUNC(D17*'Status (c3a)'!Y45,2)</f>
        <v>0</v>
      </c>
      <c r="I17" s="861" t="s">
        <v>7647</v>
      </c>
      <c r="J17" s="8"/>
      <c r="K17" s="8"/>
      <c r="L17" s="8"/>
      <c r="M17" s="8"/>
      <c r="N17" s="8"/>
      <c r="O17" s="8"/>
    </row>
    <row r="18" spans="1:15" x14ac:dyDescent="0.25">
      <c r="A18" s="35" t="s">
        <v>5043</v>
      </c>
      <c r="B18" s="171"/>
      <c r="C18" s="171"/>
      <c r="D18" s="26"/>
      <c r="E18" s="8"/>
      <c r="F18" s="35"/>
      <c r="G18" s="171"/>
      <c r="H18" s="167"/>
      <c r="I18" s="861"/>
      <c r="J18" s="8"/>
      <c r="K18" s="8"/>
      <c r="L18" s="8"/>
      <c r="M18" s="8"/>
      <c r="N18" s="8"/>
      <c r="O18" s="8"/>
    </row>
    <row r="19" spans="1:15" x14ac:dyDescent="0.25">
      <c r="A19" s="35" t="s">
        <v>5047</v>
      </c>
      <c r="B19" s="8"/>
      <c r="C19" s="8"/>
      <c r="D19" s="36" t="str">
        <f>"from "&amp;'tax it (c6)'!G104</f>
        <v>from c6.9.2</v>
      </c>
      <c r="E19" s="8"/>
      <c r="F19" s="35"/>
      <c r="G19" s="8"/>
      <c r="H19" s="9" t="str">
        <f>C20&amp;" × "&amp;'Status (c3a)'!AA45</f>
        <v>c8.4a × c3a.5a</v>
      </c>
      <c r="I19" s="8"/>
      <c r="J19" s="8"/>
      <c r="K19" s="8"/>
      <c r="L19" s="8"/>
      <c r="M19" s="8"/>
      <c r="N19" s="8"/>
      <c r="O19" s="8"/>
    </row>
    <row r="20" spans="1:15" x14ac:dyDescent="0.25">
      <c r="A20" s="35" t="s">
        <v>5057</v>
      </c>
      <c r="B20" s="171" t="s">
        <v>6649</v>
      </c>
      <c r="C20" s="2160" t="str">
        <f>A9</f>
        <v>c8.4a</v>
      </c>
      <c r="D20" s="2149">
        <f>'tax it (c6)'!H104</f>
        <v>0</v>
      </c>
      <c r="E20" s="8"/>
      <c r="F20" s="35"/>
      <c r="G20" s="2160" t="str">
        <f>A10</f>
        <v>c8.4b</v>
      </c>
      <c r="H20" s="2182">
        <f>TRUNC(D20*'Status (c3a)'!AB45,2)</f>
        <v>0</v>
      </c>
      <c r="I20" s="861" t="s">
        <v>7647</v>
      </c>
      <c r="J20" s="8"/>
      <c r="K20" s="8"/>
      <c r="L20" s="8"/>
      <c r="M20" s="8"/>
      <c r="N20" s="8"/>
      <c r="O20" s="8"/>
    </row>
    <row r="21" spans="1:15" x14ac:dyDescent="0.25">
      <c r="A21" s="35" t="s">
        <v>5061</v>
      </c>
      <c r="B21" s="8"/>
      <c r="C21" s="8"/>
      <c r="D21" s="8"/>
      <c r="E21" s="8"/>
      <c r="F21" s="8"/>
      <c r="G21" s="8"/>
      <c r="H21" s="8"/>
      <c r="I21" s="8"/>
      <c r="J21" s="8"/>
      <c r="K21" s="8"/>
      <c r="L21" s="8"/>
      <c r="M21" s="8"/>
      <c r="N21" s="8"/>
      <c r="O21" s="8"/>
    </row>
    <row r="22" spans="1:15" x14ac:dyDescent="0.25">
      <c r="A22" s="35" t="s">
        <v>5065</v>
      </c>
      <c r="B22" s="8"/>
      <c r="C22" s="8"/>
      <c r="D22" s="36" t="str">
        <f>"from "&amp;'tax it (c6)'!G108</f>
        <v>from c6.10</v>
      </c>
      <c r="E22" s="8"/>
      <c r="F22" s="35"/>
      <c r="G22" s="8"/>
      <c r="H22" s="9" t="str">
        <f>C23&amp;" × "&amp;'Status (c3a)'!AD45</f>
        <v>c8.5 × c3a.6</v>
      </c>
      <c r="I22" s="8"/>
      <c r="J22" s="35"/>
      <c r="K22" s="8"/>
      <c r="L22" s="8"/>
      <c r="M22" s="8"/>
      <c r="N22" s="8"/>
      <c r="O22" s="8"/>
    </row>
    <row r="23" spans="1:15" x14ac:dyDescent="0.25">
      <c r="A23" s="35" t="s">
        <v>5069</v>
      </c>
      <c r="B23" s="171" t="s">
        <v>8213</v>
      </c>
      <c r="C23" s="2160" t="str">
        <f>A11</f>
        <v>c8.5</v>
      </c>
      <c r="D23" s="2149">
        <f>'tax it (c6)'!H108</f>
        <v>0</v>
      </c>
      <c r="E23" s="8"/>
      <c r="F23" s="35"/>
      <c r="G23" s="2160" t="str">
        <f>A12</f>
        <v>c8.6</v>
      </c>
      <c r="H23" s="2182">
        <f>TRUNC(D23*'Status (c3a)'!AE45,2)</f>
        <v>0</v>
      </c>
      <c r="I23" s="861" t="s">
        <v>7647</v>
      </c>
      <c r="J23" s="35"/>
      <c r="K23" s="8"/>
      <c r="L23" s="8"/>
      <c r="M23" s="8"/>
      <c r="N23" s="8"/>
      <c r="O23" s="8"/>
    </row>
    <row r="24" spans="1:15" x14ac:dyDescent="0.25">
      <c r="A24" s="35" t="s">
        <v>8214</v>
      </c>
      <c r="B24" s="8"/>
      <c r="C24" s="8"/>
      <c r="D24" s="8"/>
      <c r="E24" s="8"/>
      <c r="F24" s="8"/>
      <c r="G24" s="8"/>
      <c r="H24" s="8"/>
      <c r="I24" s="8"/>
      <c r="J24" s="35"/>
      <c r="K24" s="8"/>
      <c r="L24" s="8"/>
      <c r="M24" s="8"/>
      <c r="N24" s="8"/>
      <c r="O24" s="8"/>
    </row>
    <row r="25" spans="1:15" x14ac:dyDescent="0.25">
      <c r="A25" s="35" t="s">
        <v>8215</v>
      </c>
      <c r="B25" s="8"/>
      <c r="C25" s="171"/>
      <c r="D25" s="78"/>
      <c r="E25" s="8"/>
      <c r="F25" s="280"/>
      <c r="G25" s="210"/>
      <c r="H25" s="9" t="str">
        <f>G8&amp;" + "&amp;G11&amp;" + "&amp;G14&amp;" + "&amp;G17&amp;" + "&amp;G20&amp;" + "&amp;G23</f>
        <v>c8.1a + c8.2 + c8.2b + c8.4 + c8.4b + c8.6</v>
      </c>
      <c r="I25" s="35"/>
      <c r="J25" s="8"/>
      <c r="K25" s="8"/>
      <c r="L25" s="8"/>
      <c r="M25" s="8"/>
      <c r="N25" s="8"/>
      <c r="O25" s="8"/>
    </row>
    <row r="26" spans="1:15" x14ac:dyDescent="0.25">
      <c r="A26" s="35" t="s">
        <v>8216</v>
      </c>
      <c r="B26" s="8"/>
      <c r="C26" s="8"/>
      <c r="D26" s="8"/>
      <c r="E26" s="8"/>
      <c r="F26" s="8"/>
      <c r="G26" s="2160" t="str">
        <f>A13</f>
        <v>c8.6a</v>
      </c>
      <c r="H26" s="2182">
        <f>H8+H11+H14+H17+H20+H23</f>
        <v>0</v>
      </c>
      <c r="I26" s="8"/>
      <c r="J26" s="35"/>
      <c r="K26" s="35"/>
      <c r="L26" s="8"/>
      <c r="M26" s="8"/>
      <c r="N26" s="8"/>
      <c r="O26" s="35"/>
    </row>
    <row r="27" spans="1:15" x14ac:dyDescent="0.25">
      <c r="A27" s="35" t="s">
        <v>5079</v>
      </c>
      <c r="B27" s="2151"/>
      <c r="C27" s="2151"/>
      <c r="D27" s="2151"/>
      <c r="E27" s="2151"/>
      <c r="F27" s="2151"/>
      <c r="G27" s="2151"/>
      <c r="H27" s="2151"/>
      <c r="I27" s="2151"/>
      <c r="J27" s="2151"/>
      <c r="K27" s="35"/>
      <c r="L27" s="35"/>
      <c r="M27" s="35"/>
      <c r="N27" s="35"/>
      <c r="O27" s="35"/>
    </row>
    <row r="28" spans="1:15" x14ac:dyDescent="0.25">
      <c r="A28" s="35" t="s">
        <v>5084</v>
      </c>
      <c r="B28" s="8"/>
      <c r="C28" s="8"/>
      <c r="D28" s="8"/>
      <c r="E28" s="8"/>
      <c r="F28" s="8"/>
      <c r="G28" s="8"/>
      <c r="H28" s="8"/>
      <c r="I28" s="35"/>
      <c r="J28" s="35"/>
      <c r="K28" s="35"/>
      <c r="L28" s="35"/>
      <c r="M28" s="35"/>
      <c r="N28" s="35"/>
      <c r="O28" s="856"/>
    </row>
    <row r="29" spans="1:15" x14ac:dyDescent="0.25">
      <c r="A29" s="35" t="s">
        <v>5094</v>
      </c>
      <c r="B29" s="856" t="s">
        <v>7529</v>
      </c>
      <c r="C29" s="35"/>
      <c r="D29" s="36"/>
      <c r="E29" s="35"/>
      <c r="F29" s="35"/>
      <c r="G29" s="35"/>
      <c r="H29" s="35"/>
      <c r="I29" s="35"/>
      <c r="J29" s="35"/>
      <c r="K29" s="8"/>
      <c r="L29" s="8"/>
      <c r="M29" s="8"/>
      <c r="N29" s="8"/>
      <c r="O29" s="8"/>
    </row>
    <row r="30" spans="1:15" x14ac:dyDescent="0.25">
      <c r="A30" s="35" t="s">
        <v>5099</v>
      </c>
      <c r="B30" s="856"/>
      <c r="C30" s="35"/>
      <c r="D30" s="36"/>
      <c r="E30" s="35"/>
      <c r="F30" s="35"/>
      <c r="G30" s="35"/>
      <c r="H30" s="35"/>
      <c r="I30" s="35"/>
      <c r="J30" s="35"/>
      <c r="K30" s="8"/>
      <c r="L30" s="8"/>
      <c r="M30" s="8"/>
      <c r="N30" s="8"/>
      <c r="O30" s="8"/>
    </row>
    <row r="31" spans="1:15" x14ac:dyDescent="0.25">
      <c r="A31" s="35" t="s">
        <v>5111</v>
      </c>
      <c r="B31" s="35"/>
      <c r="C31" s="35"/>
      <c r="D31" s="36" t="str">
        <f>"from "&amp;'tax it (c6)'!L36</f>
        <v>from c6.14</v>
      </c>
      <c r="E31" s="35"/>
      <c r="F31" s="35"/>
      <c r="G31" s="35"/>
      <c r="H31" s="36" t="str">
        <f>C32&amp;" × SR_rate ("&amp;SR_rate*100&amp;"%)"</f>
        <v>c8.7 × SR_rate (0%)</v>
      </c>
      <c r="I31" s="35"/>
      <c r="J31" s="35"/>
      <c r="K31" s="8"/>
      <c r="L31" s="8"/>
      <c r="M31" s="8"/>
      <c r="N31" s="8"/>
      <c r="O31" s="8"/>
    </row>
    <row r="32" spans="1:15" x14ac:dyDescent="0.25">
      <c r="A32" s="35" t="s">
        <v>5116</v>
      </c>
      <c r="B32" s="171" t="s">
        <v>4619</v>
      </c>
      <c r="C32" s="2160" t="str">
        <f>A14</f>
        <v>c8.7</v>
      </c>
      <c r="D32" s="2129">
        <f>'tax it (c6)'!M36</f>
        <v>0</v>
      </c>
      <c r="E32" s="8"/>
      <c r="F32" s="35"/>
      <c r="G32" s="2160" t="str">
        <f>A15</f>
        <v>c8.8</v>
      </c>
      <c r="H32" s="2182">
        <f>TRUNC(D32*SR_rate,2)</f>
        <v>0</v>
      </c>
      <c r="I32" s="861" t="s">
        <v>7647</v>
      </c>
      <c r="J32" s="35"/>
      <c r="K32" s="8"/>
      <c r="L32" s="8"/>
      <c r="M32" s="8"/>
      <c r="N32" s="8"/>
      <c r="O32" s="8"/>
    </row>
    <row r="33" spans="1:15" x14ac:dyDescent="0.25">
      <c r="A33" s="8" t="s">
        <v>8217</v>
      </c>
      <c r="B33" s="35"/>
      <c r="C33" s="35"/>
      <c r="D33" s="36"/>
      <c r="E33" s="35"/>
      <c r="F33" s="35"/>
      <c r="G33" s="8"/>
      <c r="H33" s="8"/>
      <c r="I33" s="35"/>
      <c r="J33" s="35"/>
      <c r="K33" s="8"/>
      <c r="L33" s="8"/>
      <c r="M33" s="8"/>
      <c r="N33" s="8"/>
      <c r="O33" s="8"/>
    </row>
    <row r="34" spans="1:15" x14ac:dyDescent="0.25">
      <c r="A34" s="8" t="s">
        <v>5122</v>
      </c>
      <c r="B34" s="8"/>
      <c r="C34" s="8"/>
      <c r="D34" s="9" t="str">
        <f>"from "&amp;'tax it (c6)'!L47</f>
        <v>from c6.17</v>
      </c>
      <c r="E34" s="8"/>
      <c r="F34" s="8"/>
      <c r="G34" s="8"/>
      <c r="H34" s="9" t="str">
        <f>C35&amp;" × SNil_rate ("&amp;SNil_rate*100&amp;"%)"</f>
        <v>c8.9 × SNil_rate (0%)</v>
      </c>
      <c r="I34" s="8"/>
      <c r="J34" s="8"/>
      <c r="K34" s="8"/>
      <c r="L34" s="8"/>
      <c r="M34" s="8"/>
      <c r="N34" s="8"/>
      <c r="O34" s="8"/>
    </row>
    <row r="35" spans="1:15" x14ac:dyDescent="0.25">
      <c r="A35" s="8" t="s">
        <v>5127</v>
      </c>
      <c r="B35" s="171" t="s">
        <v>8218</v>
      </c>
      <c r="C35" s="2160" t="str">
        <f>A16</f>
        <v>c8.9</v>
      </c>
      <c r="D35" s="2129">
        <f>'tax it (c6)'!M47</f>
        <v>0</v>
      </c>
      <c r="E35" s="8"/>
      <c r="F35" s="8"/>
      <c r="G35" s="2160" t="str">
        <f>A17</f>
        <v>c8.10</v>
      </c>
      <c r="H35" s="2182">
        <f>D35*SNil_rate</f>
        <v>0</v>
      </c>
      <c r="I35" s="861" t="s">
        <v>7647</v>
      </c>
      <c r="J35" s="8"/>
      <c r="K35" s="8"/>
      <c r="L35" s="8"/>
      <c r="M35" s="8"/>
      <c r="N35" s="8"/>
      <c r="O35" s="8"/>
    </row>
    <row r="36" spans="1:15" x14ac:dyDescent="0.25">
      <c r="A36" s="8" t="s">
        <v>5133</v>
      </c>
      <c r="B36" s="8"/>
      <c r="C36" s="8"/>
      <c r="D36" s="8"/>
      <c r="E36" s="8"/>
      <c r="F36" s="8"/>
      <c r="G36" s="8"/>
      <c r="H36" s="8"/>
      <c r="I36" s="8"/>
      <c r="J36" s="8"/>
      <c r="K36" s="8"/>
      <c r="L36" s="8"/>
      <c r="M36" s="8"/>
      <c r="N36" s="8"/>
      <c r="O36" s="8"/>
    </row>
    <row r="37" spans="1:15" x14ac:dyDescent="0.25">
      <c r="A37" s="8" t="s">
        <v>5138</v>
      </c>
      <c r="B37" s="35"/>
      <c r="C37" s="35"/>
      <c r="D37" s="36" t="str">
        <f>"from "&amp;'tax it (c6)'!L66</f>
        <v>from c6.18</v>
      </c>
      <c r="E37" s="35"/>
      <c r="F37" s="35"/>
      <c r="G37" s="35"/>
      <c r="H37" s="36" t="str">
        <f>C38&amp;" × BR_rate ("&amp;BR_rate*100&amp;"%)"</f>
        <v>c8.11 × BR_rate (20%)</v>
      </c>
      <c r="I37" s="35"/>
      <c r="J37" s="35"/>
      <c r="K37" s="8"/>
      <c r="L37" s="8"/>
      <c r="M37" s="8"/>
      <c r="N37" s="8"/>
      <c r="O37" s="8"/>
    </row>
    <row r="38" spans="1:15" x14ac:dyDescent="0.25">
      <c r="A38" s="8" t="s">
        <v>5144</v>
      </c>
      <c r="B38" s="171" t="s">
        <v>4616</v>
      </c>
      <c r="C38" s="2160" t="str">
        <f>A18</f>
        <v>c8.11</v>
      </c>
      <c r="D38" s="2129">
        <f>'tax it (c6)'!M66</f>
        <v>0</v>
      </c>
      <c r="E38" s="8"/>
      <c r="F38" s="35"/>
      <c r="G38" s="2160" t="str">
        <f>A19</f>
        <v>c8.12</v>
      </c>
      <c r="H38" s="2182">
        <f>TRUNC(D38*BR_rate,2)</f>
        <v>0</v>
      </c>
      <c r="I38" s="861" t="s">
        <v>7647</v>
      </c>
      <c r="J38" s="35"/>
      <c r="K38" s="8"/>
      <c r="L38" s="8"/>
      <c r="M38" s="8"/>
      <c r="N38" s="8"/>
      <c r="O38" s="8"/>
    </row>
    <row r="39" spans="1:15" x14ac:dyDescent="0.25">
      <c r="A39" s="8" t="s">
        <v>5149</v>
      </c>
      <c r="B39" s="35"/>
      <c r="C39" s="8"/>
      <c r="D39" s="8"/>
      <c r="E39" s="8"/>
      <c r="F39" s="35"/>
      <c r="G39" s="8"/>
      <c r="H39" s="8"/>
      <c r="I39" s="35"/>
      <c r="J39" s="35"/>
      <c r="K39" s="8"/>
      <c r="L39" s="8"/>
      <c r="M39" s="8"/>
      <c r="N39" s="8"/>
      <c r="O39" s="8"/>
    </row>
    <row r="40" spans="1:15" x14ac:dyDescent="0.25">
      <c r="A40" s="8" t="s">
        <v>5155</v>
      </c>
      <c r="B40" s="856"/>
      <c r="C40" s="35"/>
      <c r="D40" s="36" t="str">
        <f>"from "&amp;'tax it (c6)'!L95</f>
        <v>from c6.21</v>
      </c>
      <c r="E40" s="8"/>
      <c r="F40" s="35"/>
      <c r="G40" s="35"/>
      <c r="H40" s="36" t="str">
        <f>C41&amp;" × HR_rate ("&amp;HR_rate*100&amp;"%)"</f>
        <v>c8.13 × HR_rate (40%)</v>
      </c>
      <c r="I40" s="8"/>
      <c r="J40" s="35"/>
      <c r="K40" s="8"/>
      <c r="L40" s="8"/>
      <c r="M40" s="8"/>
      <c r="N40" s="8"/>
      <c r="O40" s="8"/>
    </row>
    <row r="41" spans="1:15" x14ac:dyDescent="0.25">
      <c r="A41" s="8" t="s">
        <v>5160</v>
      </c>
      <c r="B41" s="171" t="s">
        <v>6648</v>
      </c>
      <c r="C41" s="2160" t="str">
        <f>A20</f>
        <v>c8.13</v>
      </c>
      <c r="D41" s="2149">
        <f>'tax it (c6)'!M95</f>
        <v>0</v>
      </c>
      <c r="E41" s="8"/>
      <c r="F41" s="35"/>
      <c r="G41" s="2160" t="str">
        <f>A21</f>
        <v>c8.14</v>
      </c>
      <c r="H41" s="2182">
        <f>TRUNC(D41*HR_rate,2)</f>
        <v>0</v>
      </c>
      <c r="I41" s="861" t="s">
        <v>7647</v>
      </c>
      <c r="J41" s="35"/>
      <c r="K41" s="8"/>
      <c r="L41" s="8"/>
      <c r="M41" s="8"/>
      <c r="N41" s="8"/>
      <c r="O41" s="8"/>
    </row>
    <row r="42" spans="1:15" x14ac:dyDescent="0.25">
      <c r="A42" s="8" t="s">
        <v>5166</v>
      </c>
      <c r="B42" s="35"/>
      <c r="C42" s="171"/>
      <c r="D42" s="78"/>
      <c r="E42" s="8"/>
      <c r="F42" s="35"/>
      <c r="G42" s="8"/>
      <c r="H42" s="35"/>
      <c r="I42" s="8"/>
      <c r="J42" s="35"/>
      <c r="K42" s="8"/>
      <c r="L42" s="8"/>
      <c r="M42" s="8"/>
      <c r="N42" s="8"/>
      <c r="O42" s="8"/>
    </row>
    <row r="43" spans="1:15" x14ac:dyDescent="0.25">
      <c r="A43" s="8" t="s">
        <v>5171</v>
      </c>
      <c r="B43" s="35"/>
      <c r="C43" s="8"/>
      <c r="D43" s="36" t="str">
        <f>"from "&amp;'tax it (c6)'!L108</f>
        <v>from c6.22</v>
      </c>
      <c r="E43" s="8"/>
      <c r="F43" s="35"/>
      <c r="G43" s="171"/>
      <c r="H43" s="36" t="str">
        <f>C44&amp;" × AHR_rate ("&amp;AHR_rate*100&amp;"%)"</f>
        <v>c8.15 × AHR_rate (45%)</v>
      </c>
      <c r="I43" s="8"/>
      <c r="J43" s="35"/>
      <c r="K43" s="8"/>
      <c r="L43" s="8"/>
      <c r="M43" s="8"/>
      <c r="N43" s="8"/>
      <c r="O43" s="8"/>
    </row>
    <row r="44" spans="1:15" x14ac:dyDescent="0.25">
      <c r="A44" s="8" t="s">
        <v>5176</v>
      </c>
      <c r="B44" s="171" t="s">
        <v>6650</v>
      </c>
      <c r="C44" s="2160" t="str">
        <f>A22</f>
        <v>c8.15</v>
      </c>
      <c r="D44" s="2149">
        <f>'tax it (c6)'!M108</f>
        <v>0</v>
      </c>
      <c r="E44" s="8"/>
      <c r="F44" s="35"/>
      <c r="G44" s="2160" t="str">
        <f>A23</f>
        <v>c8.16</v>
      </c>
      <c r="H44" s="2182">
        <f>TRUNC(D44*AHR_rate,2)</f>
        <v>0</v>
      </c>
      <c r="I44" s="861" t="s">
        <v>7647</v>
      </c>
      <c r="J44" s="35"/>
      <c r="K44" s="8"/>
      <c r="L44" s="8"/>
      <c r="M44" s="8"/>
      <c r="N44" s="8"/>
      <c r="O44" s="8"/>
    </row>
    <row r="45" spans="1:15" x14ac:dyDescent="0.25">
      <c r="A45" s="8" t="s">
        <v>5180</v>
      </c>
      <c r="B45" s="171"/>
      <c r="C45" s="171"/>
      <c r="D45" s="26"/>
      <c r="E45" s="8"/>
      <c r="F45" s="35"/>
      <c r="G45" s="8"/>
      <c r="H45" s="8"/>
      <c r="I45" s="861"/>
      <c r="J45" s="35"/>
      <c r="K45" s="8"/>
      <c r="L45" s="8"/>
      <c r="M45" s="8"/>
      <c r="N45" s="8"/>
      <c r="O45" s="8"/>
    </row>
    <row r="46" spans="1:15" x14ac:dyDescent="0.25">
      <c r="A46" s="8" t="s">
        <v>8219</v>
      </c>
      <c r="B46" s="171"/>
      <c r="C46" s="171"/>
      <c r="D46" s="26"/>
      <c r="E46" s="8"/>
      <c r="F46" s="35"/>
      <c r="G46" s="171"/>
      <c r="H46" s="9" t="str">
        <f>G32&amp;" + "&amp;G35&amp;" + "&amp;G38&amp;" + "&amp;G41&amp;" + "&amp;G44</f>
        <v>c8.8 + c8.10 + c8.12 + c8.14 + c8.16</v>
      </c>
      <c r="I46" s="861"/>
      <c r="J46" s="35"/>
      <c r="K46" s="8"/>
      <c r="L46" s="8"/>
      <c r="M46" s="8"/>
      <c r="N46" s="8"/>
      <c r="O46" s="8"/>
    </row>
    <row r="47" spans="1:15" x14ac:dyDescent="0.25">
      <c r="A47" s="8" t="s">
        <v>5184</v>
      </c>
      <c r="B47" s="171"/>
      <c r="C47" s="171"/>
      <c r="D47" s="26"/>
      <c r="E47" s="8"/>
      <c r="F47" s="35"/>
      <c r="G47" s="2160" t="str">
        <f>A24</f>
        <v>c8.16a</v>
      </c>
      <c r="H47" s="2182">
        <f>H32+H35+H38+H41+H44</f>
        <v>0</v>
      </c>
      <c r="I47" s="861"/>
      <c r="J47" s="35"/>
      <c r="K47" s="8"/>
      <c r="L47" s="8"/>
      <c r="M47" s="8"/>
      <c r="N47" s="8"/>
      <c r="O47" s="8"/>
    </row>
    <row r="48" spans="1:15" x14ac:dyDescent="0.25">
      <c r="A48" s="8" t="s">
        <v>5188</v>
      </c>
      <c r="B48" s="2151"/>
      <c r="C48" s="2151"/>
      <c r="D48" s="2151"/>
      <c r="E48" s="2151"/>
      <c r="F48" s="2151"/>
      <c r="G48" s="2151"/>
      <c r="H48" s="2151"/>
      <c r="I48" s="2151"/>
      <c r="J48" s="2151"/>
      <c r="K48" s="8"/>
      <c r="L48" s="8"/>
      <c r="M48" s="8"/>
      <c r="N48" s="8"/>
      <c r="O48" s="8"/>
    </row>
    <row r="49" spans="1:10" x14ac:dyDescent="0.25">
      <c r="A49" s="8" t="s">
        <v>5192</v>
      </c>
      <c r="B49" s="8"/>
      <c r="C49" s="8"/>
      <c r="D49" s="8"/>
      <c r="E49" s="8"/>
      <c r="F49" s="8"/>
      <c r="G49" s="8"/>
      <c r="H49" s="8"/>
      <c r="I49" s="8"/>
      <c r="J49" s="35"/>
    </row>
    <row r="50" spans="1:10" x14ac:dyDescent="0.25">
      <c r="A50" s="8" t="s">
        <v>8220</v>
      </c>
      <c r="B50" s="856" t="s">
        <v>6544</v>
      </c>
      <c r="C50" s="35"/>
      <c r="D50" s="35"/>
      <c r="E50" s="35"/>
      <c r="F50" s="35"/>
      <c r="G50" s="35"/>
      <c r="H50" s="35"/>
      <c r="I50" s="8"/>
      <c r="J50" s="35"/>
    </row>
    <row r="51" spans="1:10" x14ac:dyDescent="0.25">
      <c r="A51" s="8" t="s">
        <v>5197</v>
      </c>
      <c r="B51" s="856"/>
      <c r="C51" s="35"/>
      <c r="D51" s="35"/>
      <c r="E51" s="35"/>
      <c r="F51" s="35"/>
      <c r="G51" s="35"/>
      <c r="H51" s="35"/>
      <c r="I51" s="8"/>
      <c r="J51" s="35"/>
    </row>
    <row r="52" spans="1:10" x14ac:dyDescent="0.25">
      <c r="A52" s="8" t="s">
        <v>5201</v>
      </c>
      <c r="B52" s="8"/>
      <c r="C52" s="8"/>
      <c r="D52" s="9" t="str">
        <f>"from "&amp;'tax it (c6)'!Q47</f>
        <v>from c6.25</v>
      </c>
      <c r="E52" s="8"/>
      <c r="F52" s="8"/>
      <c r="G52" s="8"/>
      <c r="H52" s="9" t="str">
        <f>C53&amp;" × DivNil_rate ("&amp;DivNil_rate*100&amp;"%)"</f>
        <v>c8.17 × DivNil_rate (0%)</v>
      </c>
      <c r="I52" s="8"/>
      <c r="J52" s="8"/>
    </row>
    <row r="53" spans="1:10" x14ac:dyDescent="0.25">
      <c r="A53" s="8" t="s">
        <v>5206</v>
      </c>
      <c r="B53" s="171" t="s">
        <v>8218</v>
      </c>
      <c r="C53" s="2160" t="str">
        <f>A25</f>
        <v>c8.17</v>
      </c>
      <c r="D53" s="2149">
        <f>'tax it (c6)'!R47</f>
        <v>0</v>
      </c>
      <c r="E53" s="8"/>
      <c r="F53" s="8"/>
      <c r="G53" s="2160" t="str">
        <f>A26</f>
        <v>c8.18</v>
      </c>
      <c r="H53" s="2182">
        <f>D53*DivNil_rate</f>
        <v>0</v>
      </c>
      <c r="I53" s="861" t="s">
        <v>7647</v>
      </c>
      <c r="J53" s="8"/>
    </row>
    <row r="54" spans="1:10" x14ac:dyDescent="0.25">
      <c r="A54" s="8" t="s">
        <v>8221</v>
      </c>
      <c r="B54" s="8"/>
      <c r="C54" s="8"/>
      <c r="D54" s="8"/>
      <c r="E54" s="8"/>
      <c r="F54" s="8"/>
      <c r="G54" s="8"/>
      <c r="H54" s="8"/>
      <c r="I54" s="8"/>
      <c r="J54" s="8"/>
    </row>
    <row r="55" spans="1:10" x14ac:dyDescent="0.25">
      <c r="A55" s="8" t="s">
        <v>5211</v>
      </c>
      <c r="B55" s="35"/>
      <c r="C55" s="35"/>
      <c r="D55" s="36" t="str">
        <f>"from "&amp;'tax it (c6)'!Q66</f>
        <v>from c6.28</v>
      </c>
      <c r="E55" s="35"/>
      <c r="F55" s="35"/>
      <c r="G55" s="35"/>
      <c r="H55" s="36" t="str">
        <f>C56&amp;" × DivBR_rate ("&amp;DivBR_rate*100&amp;"%)"</f>
        <v>c8.19 × DivBR_rate (8.75%)</v>
      </c>
      <c r="I55" s="8"/>
      <c r="J55" s="35"/>
    </row>
    <row r="56" spans="1:10" x14ac:dyDescent="0.25">
      <c r="A56" s="8" t="s">
        <v>5216</v>
      </c>
      <c r="B56" s="171" t="s">
        <v>4616</v>
      </c>
      <c r="C56" s="2160" t="str">
        <f xml:space="preserve"> A27</f>
        <v>c8.19</v>
      </c>
      <c r="D56" s="2149">
        <f>'tax it (c6)'!R66</f>
        <v>0</v>
      </c>
      <c r="E56" s="8"/>
      <c r="F56" s="35"/>
      <c r="G56" s="2160" t="str">
        <f>A28</f>
        <v>c8.20</v>
      </c>
      <c r="H56" s="2182">
        <f>TRUNC(D56*DivBR_rate,2)</f>
        <v>0</v>
      </c>
      <c r="I56" s="861" t="s">
        <v>7647</v>
      </c>
      <c r="J56" s="35"/>
    </row>
    <row r="57" spans="1:10" x14ac:dyDescent="0.25">
      <c r="A57" s="8" t="s">
        <v>5221</v>
      </c>
      <c r="B57" s="35"/>
      <c r="C57" s="35"/>
      <c r="D57" s="35"/>
      <c r="E57" s="35"/>
      <c r="F57" s="35"/>
      <c r="G57" s="35"/>
      <c r="H57" s="35"/>
      <c r="I57" s="8"/>
      <c r="J57" s="35"/>
    </row>
    <row r="58" spans="1:10" x14ac:dyDescent="0.25">
      <c r="A58" s="8" t="s">
        <v>5226</v>
      </c>
      <c r="B58" s="856"/>
      <c r="C58" s="35"/>
      <c r="D58" s="36" t="str">
        <f>"from "&amp;'tax it (c6)'!Q95</f>
        <v>from c6.33</v>
      </c>
      <c r="E58" s="35"/>
      <c r="F58" s="35"/>
      <c r="G58" s="35"/>
      <c r="H58" s="36" t="str">
        <f>C59&amp;" × DivHR_rate ("&amp;DivHR_rate*100&amp;"%)"</f>
        <v>c8.21 × DivHR_rate (33.75%)</v>
      </c>
      <c r="I58" s="8"/>
      <c r="J58" s="8"/>
    </row>
    <row r="59" spans="1:10" x14ac:dyDescent="0.25">
      <c r="A59" s="35" t="s">
        <v>8222</v>
      </c>
      <c r="B59" s="171" t="s">
        <v>6648</v>
      </c>
      <c r="C59" s="2160" t="str">
        <f>A29</f>
        <v>c8.21</v>
      </c>
      <c r="D59" s="2129">
        <f>'tax it (c6)'!R95</f>
        <v>0</v>
      </c>
      <c r="E59" s="8"/>
      <c r="F59" s="35"/>
      <c r="G59" s="2160" t="str">
        <f>A30</f>
        <v>c8.22</v>
      </c>
      <c r="H59" s="2182">
        <f>TRUNC(D59*DivHR_rate,2)</f>
        <v>0</v>
      </c>
      <c r="I59" s="861" t="s">
        <v>7647</v>
      </c>
      <c r="J59" s="8"/>
    </row>
    <row r="60" spans="1:10" x14ac:dyDescent="0.25">
      <c r="A60" s="8" t="s">
        <v>8223</v>
      </c>
      <c r="B60" s="35"/>
      <c r="C60" s="8"/>
      <c r="D60" s="8"/>
      <c r="E60" s="8"/>
      <c r="F60" s="8"/>
      <c r="G60" s="8"/>
      <c r="H60" s="8"/>
      <c r="I60" s="8"/>
      <c r="J60" s="8"/>
    </row>
    <row r="61" spans="1:10" x14ac:dyDescent="0.25">
      <c r="A61" s="8" t="s">
        <v>5234</v>
      </c>
      <c r="B61" s="35"/>
      <c r="C61" s="8"/>
      <c r="D61" s="36" t="str">
        <f>"from "&amp;'tax it (c6)'!Q108</f>
        <v>from c6.34</v>
      </c>
      <c r="E61" s="8"/>
      <c r="F61" s="8"/>
      <c r="G61" s="35"/>
      <c r="H61" s="36" t="str">
        <f>C62&amp;" × DivAR_rate ("&amp;DivAR_rate*100&amp;"%)"</f>
        <v>c8.23 × DivAR_rate (39.35%)</v>
      </c>
      <c r="I61" s="8"/>
      <c r="J61" s="8"/>
    </row>
    <row r="62" spans="1:10" x14ac:dyDescent="0.25">
      <c r="A62" s="8" t="s">
        <v>5244</v>
      </c>
      <c r="B62" s="171" t="s">
        <v>6650</v>
      </c>
      <c r="C62" s="2160" t="str">
        <f>A31</f>
        <v>c8.23</v>
      </c>
      <c r="D62" s="2129">
        <f>'tax it (c6)'!R108</f>
        <v>0</v>
      </c>
      <c r="E62" s="8"/>
      <c r="F62" s="8"/>
      <c r="G62" s="2160" t="str">
        <f>A32</f>
        <v>c8.24</v>
      </c>
      <c r="H62" s="2182">
        <f>TRUNC(D62*DivAR_rate,2)</f>
        <v>0</v>
      </c>
      <c r="I62" s="861" t="s">
        <v>7647</v>
      </c>
      <c r="J62" s="8"/>
    </row>
    <row r="63" spans="1:10" x14ac:dyDescent="0.25">
      <c r="A63" s="35" t="s">
        <v>5249</v>
      </c>
      <c r="B63" s="171"/>
      <c r="C63" s="171"/>
      <c r="D63" s="78"/>
      <c r="E63" s="8"/>
      <c r="F63" s="8"/>
      <c r="G63" s="8"/>
      <c r="H63" s="8"/>
      <c r="I63" s="861"/>
      <c r="J63" s="8"/>
    </row>
    <row r="64" spans="1:10" x14ac:dyDescent="0.25">
      <c r="A64" s="8" t="s">
        <v>8224</v>
      </c>
      <c r="B64" s="171"/>
      <c r="C64" s="171"/>
      <c r="D64" s="78"/>
      <c r="E64" s="8"/>
      <c r="F64" s="8"/>
      <c r="G64" s="171"/>
      <c r="H64" s="9" t="str">
        <f>G53&amp;" + "&amp;G56&amp;" + "&amp;G59&amp;" + "&amp;G62</f>
        <v>c8.18 + c8.20 + c8.22 + c8.24</v>
      </c>
      <c r="I64" s="861"/>
      <c r="J64" s="8"/>
    </row>
    <row r="65" spans="1:15" x14ac:dyDescent="0.25">
      <c r="A65" s="8" t="s">
        <v>8225</v>
      </c>
      <c r="B65" s="171"/>
      <c r="C65" s="171"/>
      <c r="D65" s="78"/>
      <c r="E65" s="8"/>
      <c r="F65" s="8"/>
      <c r="G65" s="2160" t="str">
        <f>A33</f>
        <v>c8.24a</v>
      </c>
      <c r="H65" s="2182">
        <f>H53+H56+H59+H62</f>
        <v>0</v>
      </c>
      <c r="I65" s="861"/>
      <c r="J65" s="8"/>
      <c r="K65" s="8"/>
      <c r="L65" s="8"/>
      <c r="M65" s="8"/>
      <c r="N65" s="8"/>
      <c r="O65" s="8"/>
    </row>
    <row r="66" spans="1:15" x14ac:dyDescent="0.25">
      <c r="A66" s="8"/>
      <c r="B66" s="2151"/>
      <c r="C66" s="2151"/>
      <c r="D66" s="2151"/>
      <c r="E66" s="2151"/>
      <c r="F66" s="2151"/>
      <c r="G66" s="2151"/>
      <c r="H66" s="2151"/>
      <c r="I66" s="2151"/>
      <c r="J66" s="2151"/>
      <c r="K66" s="8"/>
      <c r="L66" s="8"/>
      <c r="M66" s="8"/>
      <c r="N66" s="8"/>
      <c r="O66" s="8"/>
    </row>
    <row r="67" spans="1:15" x14ac:dyDescent="0.25">
      <c r="A67" s="35"/>
      <c r="B67" s="8"/>
      <c r="C67" s="8"/>
      <c r="D67" s="8"/>
      <c r="E67" s="8"/>
      <c r="F67" s="8"/>
      <c r="G67" s="8"/>
      <c r="H67" s="8"/>
      <c r="I67" s="8"/>
      <c r="J67" s="8"/>
      <c r="K67" s="8"/>
      <c r="L67" s="8"/>
      <c r="M67" s="8"/>
      <c r="N67" s="8"/>
      <c r="O67" s="8"/>
    </row>
    <row r="68" spans="1:15" x14ac:dyDescent="0.25">
      <c r="A68" s="35"/>
      <c r="B68" s="856" t="s">
        <v>2455</v>
      </c>
      <c r="C68" s="8"/>
      <c r="D68" s="8"/>
      <c r="E68" s="8"/>
      <c r="F68" s="210"/>
      <c r="G68" s="210"/>
      <c r="H68" s="215"/>
      <c r="I68" s="8"/>
      <c r="J68" s="35"/>
      <c r="K68" s="35"/>
      <c r="L68" s="35"/>
      <c r="M68" s="35"/>
      <c r="N68" s="35"/>
      <c r="O68" s="35"/>
    </row>
    <row r="69" spans="1:15" x14ac:dyDescent="0.25">
      <c r="A69" s="35"/>
      <c r="B69" s="856"/>
      <c r="C69" s="8"/>
      <c r="D69" s="8"/>
      <c r="E69" s="8"/>
      <c r="F69" s="210"/>
      <c r="G69" s="210"/>
      <c r="H69" s="215"/>
      <c r="I69" s="8"/>
      <c r="J69" s="35"/>
      <c r="K69" s="35"/>
      <c r="L69" s="35"/>
      <c r="M69" s="35"/>
      <c r="N69" s="35"/>
      <c r="O69" s="35"/>
    </row>
    <row r="70" spans="1:15" x14ac:dyDescent="0.25">
      <c r="A70" s="35"/>
      <c r="B70" s="8"/>
      <c r="C70" s="8"/>
      <c r="D70" s="9" t="str">
        <f>"from "&amp;'tax it (c6)'!V17</f>
        <v>from c6.36</v>
      </c>
      <c r="E70" s="8"/>
      <c r="F70" s="210"/>
      <c r="G70" s="210"/>
      <c r="H70" s="9" t="str">
        <f>C71&amp;" × "&amp;'Status (c3a)'!H45</f>
        <v>c8.24b × c3a.3b</v>
      </c>
      <c r="I70" s="8"/>
      <c r="J70" s="8"/>
      <c r="K70" s="35"/>
      <c r="L70" s="35"/>
      <c r="M70" s="35"/>
      <c r="N70" s="35"/>
      <c r="O70" s="35"/>
    </row>
    <row r="71" spans="1:15" x14ac:dyDescent="0.25">
      <c r="A71" s="35"/>
      <c r="B71" s="171" t="s">
        <v>6645</v>
      </c>
      <c r="C71" s="2160" t="str">
        <f>A34</f>
        <v>c8.24b</v>
      </c>
      <c r="D71" s="2149">
        <f>'tax it (c6)'!W17</f>
        <v>0</v>
      </c>
      <c r="E71" s="8"/>
      <c r="F71" s="35"/>
      <c r="G71" s="2160" t="str">
        <f>A35</f>
        <v>c8.24c</v>
      </c>
      <c r="H71" s="2182">
        <f>TRUNC(D71*'Status (c3a)'!I45,2)</f>
        <v>0</v>
      </c>
      <c r="I71" s="861" t="s">
        <v>7647</v>
      </c>
      <c r="J71" s="8"/>
      <c r="K71" s="35"/>
      <c r="L71" s="8"/>
      <c r="M71" s="8"/>
      <c r="N71" s="8"/>
      <c r="O71" s="8"/>
    </row>
    <row r="72" spans="1:15" x14ac:dyDescent="0.25">
      <c r="A72" s="35"/>
      <c r="B72" s="8"/>
      <c r="C72" s="8"/>
      <c r="D72" s="8"/>
      <c r="E72" s="8"/>
      <c r="F72" s="8"/>
      <c r="G72" s="8"/>
      <c r="H72" s="8"/>
      <c r="I72" s="8"/>
      <c r="J72" s="8"/>
      <c r="K72" s="298"/>
      <c r="L72" s="8"/>
      <c r="M72" s="8"/>
      <c r="N72" s="8"/>
      <c r="O72" s="8"/>
    </row>
    <row r="73" spans="1:15" x14ac:dyDescent="0.25">
      <c r="A73" s="35"/>
      <c r="B73" s="8"/>
      <c r="C73" s="8"/>
      <c r="D73" s="36" t="str">
        <f>"from "&amp;'tax it (c6)'!V66</f>
        <v>from c6.40</v>
      </c>
      <c r="E73" s="8"/>
      <c r="F73" s="35"/>
      <c r="G73" s="8"/>
      <c r="H73" s="9" t="str">
        <f>C74&amp;" × "&amp;'Status (c3a)'!L45</f>
        <v>c8.24d × c3a.4</v>
      </c>
      <c r="I73" s="8"/>
      <c r="J73" s="8"/>
      <c r="K73" s="8"/>
      <c r="L73" s="8"/>
      <c r="M73" s="8"/>
      <c r="N73" s="8"/>
      <c r="O73" s="8"/>
    </row>
    <row r="74" spans="1:15" x14ac:dyDescent="0.25">
      <c r="A74" s="35"/>
      <c r="B74" s="171" t="s">
        <v>4616</v>
      </c>
      <c r="C74" s="2160" t="str">
        <f>A36</f>
        <v>c8.24d</v>
      </c>
      <c r="D74" s="2149">
        <f>'tax it (c6)'!W66</f>
        <v>0</v>
      </c>
      <c r="E74" s="8"/>
      <c r="F74" s="35"/>
      <c r="G74" s="2160" t="str">
        <f>A37</f>
        <v>c8.24e</v>
      </c>
      <c r="H74" s="2182">
        <f>TRUNC(D74*'Status (c3a)'!M45,2)</f>
        <v>0</v>
      </c>
      <c r="I74" s="861" t="s">
        <v>7647</v>
      </c>
      <c r="J74" s="8"/>
      <c r="K74" s="8"/>
      <c r="L74" s="8"/>
      <c r="M74" s="8"/>
      <c r="N74" s="8"/>
      <c r="O74" s="8"/>
    </row>
    <row r="75" spans="1:15" x14ac:dyDescent="0.25">
      <c r="A75" s="35"/>
      <c r="B75" s="8"/>
      <c r="C75" s="8"/>
      <c r="D75" s="8"/>
      <c r="E75" s="8"/>
      <c r="F75" s="8"/>
      <c r="G75" s="8"/>
      <c r="H75" s="8"/>
      <c r="I75" s="8"/>
      <c r="J75" s="907"/>
      <c r="K75" s="8"/>
      <c r="L75" s="8"/>
      <c r="M75" s="8"/>
      <c r="N75" s="8"/>
      <c r="O75" s="8"/>
    </row>
    <row r="76" spans="1:15" x14ac:dyDescent="0.25">
      <c r="A76" s="35"/>
      <c r="B76" s="8"/>
      <c r="C76" s="8"/>
      <c r="D76" s="9" t="str">
        <f>"from "&amp;'tax it (c6)'!V77</f>
        <v>from c6.41b</v>
      </c>
      <c r="E76" s="8"/>
      <c r="F76" s="210"/>
      <c r="G76" s="210"/>
      <c r="H76" s="9" t="str">
        <f>C77&amp;" × "&amp;'Status (c3a)'!P45</f>
        <v>c8.24f × c3a.4a</v>
      </c>
      <c r="I76" s="8"/>
      <c r="J76" s="35"/>
      <c r="K76" s="8"/>
      <c r="L76" s="8"/>
      <c r="M76" s="8"/>
      <c r="N76" s="8"/>
      <c r="O76" s="8"/>
    </row>
    <row r="77" spans="1:15" x14ac:dyDescent="0.25">
      <c r="A77" s="35"/>
      <c r="B77" s="171" t="s">
        <v>6646</v>
      </c>
      <c r="C77" s="2160" t="str">
        <f>A38</f>
        <v>c8.24f</v>
      </c>
      <c r="D77" s="2149">
        <f>'tax it (c6)'!W77</f>
        <v>0</v>
      </c>
      <c r="E77" s="8"/>
      <c r="F77" s="35"/>
      <c r="G77" s="2160" t="str">
        <f>A39</f>
        <v>c8.24g</v>
      </c>
      <c r="H77" s="2182">
        <f>TRUNC(D77*'Status (c3a)'!Q45,2)</f>
        <v>0</v>
      </c>
      <c r="I77" s="861" t="s">
        <v>7647</v>
      </c>
      <c r="J77" s="35"/>
      <c r="K77" s="8"/>
      <c r="L77" s="8"/>
      <c r="M77" s="8"/>
      <c r="N77" s="8"/>
      <c r="O77" s="8"/>
    </row>
    <row r="78" spans="1:15" x14ac:dyDescent="0.25">
      <c r="A78" s="35"/>
      <c r="B78" s="8"/>
      <c r="C78" s="8"/>
      <c r="D78" s="8"/>
      <c r="E78" s="8"/>
      <c r="F78" s="8"/>
      <c r="G78" s="8"/>
      <c r="H78" s="8"/>
      <c r="I78" s="8"/>
      <c r="J78" s="8"/>
      <c r="K78" s="8"/>
      <c r="L78" s="8"/>
      <c r="M78" s="8"/>
      <c r="N78" s="8"/>
      <c r="O78" s="8"/>
    </row>
    <row r="79" spans="1:15" x14ac:dyDescent="0.25">
      <c r="A79" s="35"/>
      <c r="B79" s="8"/>
      <c r="C79" s="8"/>
      <c r="D79" s="36" t="str">
        <f>"from "&amp;'tax it (c6)'!V95</f>
        <v>from c6.43</v>
      </c>
      <c r="E79" s="8"/>
      <c r="F79" s="35"/>
      <c r="G79" s="8"/>
      <c r="H79" s="9" t="str">
        <f>C80&amp;" × "&amp;'Status (c3a)'!X45</f>
        <v>c8.24h × c3a.5</v>
      </c>
      <c r="I79" s="8"/>
      <c r="J79" s="8"/>
      <c r="K79" s="8"/>
      <c r="L79" s="8"/>
      <c r="M79" s="8"/>
      <c r="N79" s="8"/>
      <c r="O79" s="8"/>
    </row>
    <row r="80" spans="1:15" x14ac:dyDescent="0.25">
      <c r="A80" s="35"/>
      <c r="B80" s="171" t="s">
        <v>6648</v>
      </c>
      <c r="C80" s="2160" t="str">
        <f>A40</f>
        <v>c8.24h</v>
      </c>
      <c r="D80" s="2149">
        <f>'tax it (c6)'!W95</f>
        <v>0</v>
      </c>
      <c r="E80" s="8"/>
      <c r="F80" s="35"/>
      <c r="G80" s="2160" t="str">
        <f>A41</f>
        <v>c8.24i</v>
      </c>
      <c r="H80" s="2182">
        <f>TRUNC(D80*'Status (c3a)'!Y45,2)</f>
        <v>0</v>
      </c>
      <c r="I80" s="861" t="s">
        <v>7647</v>
      </c>
      <c r="J80" s="8"/>
      <c r="K80" s="8"/>
      <c r="L80" s="8"/>
      <c r="M80" s="8"/>
      <c r="N80" s="8"/>
      <c r="O80" s="8"/>
    </row>
    <row r="81" spans="1:15" x14ac:dyDescent="0.25">
      <c r="A81" s="35"/>
      <c r="B81" s="171"/>
      <c r="C81" s="171"/>
      <c r="D81" s="26"/>
      <c r="E81" s="8"/>
      <c r="F81" s="35"/>
      <c r="G81" s="171"/>
      <c r="H81" s="167"/>
      <c r="I81" s="861"/>
      <c r="J81" s="8"/>
      <c r="K81" s="8"/>
      <c r="L81" s="8"/>
      <c r="M81" s="8"/>
      <c r="N81" s="8"/>
      <c r="O81" s="8"/>
    </row>
    <row r="82" spans="1:15" x14ac:dyDescent="0.25">
      <c r="A82" s="35"/>
      <c r="B82" s="8"/>
      <c r="C82" s="8"/>
      <c r="D82" s="36" t="str">
        <f>"from "&amp;'tax it (c6)'!V104</f>
        <v>from c6.43.2</v>
      </c>
      <c r="E82" s="8"/>
      <c r="F82" s="35"/>
      <c r="G82" s="8"/>
      <c r="H82" s="9" t="str">
        <f>C83&amp;" × "&amp;'Status (c3a)'!AA45</f>
        <v>c8.24ia × c3a.5a</v>
      </c>
      <c r="I82" s="8"/>
      <c r="J82" s="8"/>
      <c r="K82" s="8"/>
      <c r="L82" s="8"/>
      <c r="M82" s="8"/>
      <c r="N82" s="8"/>
      <c r="O82" s="8"/>
    </row>
    <row r="83" spans="1:15" x14ac:dyDescent="0.25">
      <c r="A83" s="35"/>
      <c r="B83" s="171" t="s">
        <v>6649</v>
      </c>
      <c r="C83" s="2160" t="str">
        <f>A42</f>
        <v>c8.24ia</v>
      </c>
      <c r="D83" s="2149">
        <f>'tax it (c6)'!W104</f>
        <v>0</v>
      </c>
      <c r="E83" s="8"/>
      <c r="F83" s="35"/>
      <c r="G83" s="2160" t="str">
        <f>A43</f>
        <v>c8.24ib</v>
      </c>
      <c r="H83" s="2182">
        <f>TRUNC(D83*'Status (c3a)'!AB45,2)</f>
        <v>0</v>
      </c>
      <c r="I83" s="861" t="s">
        <v>7647</v>
      </c>
      <c r="J83" s="8"/>
      <c r="K83" s="8"/>
      <c r="L83" s="8"/>
      <c r="M83" s="8"/>
      <c r="N83" s="8"/>
      <c r="O83" s="8"/>
    </row>
    <row r="84" spans="1:15" x14ac:dyDescent="0.25">
      <c r="A84" s="35"/>
      <c r="B84" s="8"/>
      <c r="C84" s="8"/>
      <c r="D84" s="8"/>
      <c r="E84" s="8"/>
      <c r="F84" s="210"/>
      <c r="G84" s="210"/>
      <c r="H84" s="908"/>
      <c r="I84" s="8"/>
      <c r="J84" s="8"/>
      <c r="K84" s="8"/>
      <c r="L84" s="8"/>
      <c r="M84" s="8"/>
      <c r="N84" s="8"/>
      <c r="O84" s="8"/>
    </row>
    <row r="85" spans="1:15" x14ac:dyDescent="0.25">
      <c r="A85" s="35"/>
      <c r="B85" s="8"/>
      <c r="C85" s="8"/>
      <c r="D85" s="36" t="str">
        <f>"from "&amp;'tax it (c6)'!V108</f>
        <v>from c6.44</v>
      </c>
      <c r="E85" s="8"/>
      <c r="F85" s="35"/>
      <c r="G85" s="8"/>
      <c r="H85" s="9" t="str">
        <f>C86&amp;" × "&amp;'Status (c3a)'!AD45</f>
        <v>c8.24j × c3a.6</v>
      </c>
      <c r="I85" s="8"/>
      <c r="J85" s="8"/>
      <c r="K85" s="8"/>
      <c r="L85" s="8"/>
      <c r="M85" s="8"/>
      <c r="N85" s="8"/>
      <c r="O85" s="8"/>
    </row>
    <row r="86" spans="1:15" x14ac:dyDescent="0.25">
      <c r="A86" s="35"/>
      <c r="B86" s="171" t="s">
        <v>8213</v>
      </c>
      <c r="C86" s="2160" t="str">
        <f>A44</f>
        <v>c8.24j</v>
      </c>
      <c r="D86" s="2149">
        <f>'tax it (c6)'!W108</f>
        <v>0</v>
      </c>
      <c r="E86" s="8"/>
      <c r="F86" s="35"/>
      <c r="G86" s="2160" t="str">
        <f>A45</f>
        <v>c8.24k</v>
      </c>
      <c r="H86" s="2182">
        <f>TRUNC(D86*'Status (c3a)'!AE45,2)</f>
        <v>0</v>
      </c>
      <c r="I86" s="861" t="s">
        <v>7647</v>
      </c>
      <c r="J86" s="35"/>
      <c r="K86" s="8"/>
      <c r="L86" s="8"/>
      <c r="M86" s="8"/>
      <c r="N86" s="8"/>
      <c r="O86" s="8"/>
    </row>
    <row r="87" spans="1:15" x14ac:dyDescent="0.25">
      <c r="A87" s="35"/>
      <c r="B87" s="8"/>
      <c r="C87" s="8"/>
      <c r="D87" s="8"/>
      <c r="E87" s="8"/>
      <c r="F87" s="8"/>
      <c r="G87" s="8"/>
      <c r="H87" s="8"/>
      <c r="I87" s="8"/>
      <c r="J87" s="35"/>
      <c r="K87" s="8"/>
      <c r="L87" s="8"/>
      <c r="M87" s="8"/>
      <c r="N87" s="8"/>
      <c r="O87" s="8"/>
    </row>
    <row r="88" spans="1:15" x14ac:dyDescent="0.25">
      <c r="A88" s="35"/>
      <c r="B88" s="8"/>
      <c r="C88" s="171"/>
      <c r="D88" s="78"/>
      <c r="E88" s="8"/>
      <c r="F88" s="280"/>
      <c r="G88" s="8"/>
      <c r="H88" s="9" t="str">
        <f>G71&amp;" + "&amp;G74&amp;" + "&amp;G77&amp;" + "&amp;G80&amp;" + "&amp;G83&amp;" + "&amp;G86</f>
        <v>c8.24c + c8.24e + c8.24g + c8.24i + c8.24ib + c8.24k</v>
      </c>
      <c r="I88" s="35"/>
      <c r="J88" s="35"/>
      <c r="K88" s="8"/>
      <c r="L88" s="8"/>
      <c r="M88" s="8"/>
      <c r="N88" s="8"/>
      <c r="O88" s="8"/>
    </row>
    <row r="89" spans="1:15" x14ac:dyDescent="0.25">
      <c r="A89" s="35"/>
      <c r="B89" s="8"/>
      <c r="C89" s="8"/>
      <c r="D89" s="8"/>
      <c r="E89" s="8"/>
      <c r="F89" s="8"/>
      <c r="G89" s="2160" t="str">
        <f>A46</f>
        <v>c8.24l</v>
      </c>
      <c r="H89" s="2182">
        <f>H71+H74+H77+H80+H83+H86</f>
        <v>0</v>
      </c>
      <c r="I89" s="8"/>
      <c r="J89" s="8"/>
      <c r="K89" s="8"/>
      <c r="L89" s="8"/>
      <c r="M89" s="8"/>
      <c r="N89" s="8"/>
      <c r="O89" s="8"/>
    </row>
    <row r="90" spans="1:15" x14ac:dyDescent="0.25">
      <c r="A90" s="35"/>
      <c r="B90" s="2151"/>
      <c r="C90" s="2151"/>
      <c r="D90" s="2151"/>
      <c r="E90" s="2151"/>
      <c r="F90" s="2151"/>
      <c r="G90" s="2151"/>
      <c r="H90" s="2151"/>
      <c r="I90" s="2151"/>
      <c r="J90" s="2151"/>
      <c r="K90" s="35"/>
      <c r="L90" s="8"/>
      <c r="M90" s="8"/>
      <c r="N90" s="8"/>
      <c r="O90" s="35"/>
    </row>
    <row r="91" spans="1:15" x14ac:dyDescent="0.25">
      <c r="A91" s="35"/>
      <c r="B91" s="8"/>
      <c r="C91" s="8"/>
      <c r="D91" s="8"/>
      <c r="E91" s="8"/>
      <c r="F91" s="8"/>
      <c r="G91" s="8"/>
      <c r="H91" s="8"/>
      <c r="I91" s="35"/>
      <c r="J91" s="35"/>
      <c r="K91" s="35"/>
      <c r="L91" s="35"/>
      <c r="M91" s="35"/>
      <c r="N91" s="35"/>
      <c r="O91" s="35"/>
    </row>
    <row r="92" spans="1:15" x14ac:dyDescent="0.25">
      <c r="A92" s="35"/>
      <c r="B92" s="856" t="s">
        <v>6618</v>
      </c>
      <c r="C92" s="35"/>
      <c r="D92" s="36"/>
      <c r="E92" s="35"/>
      <c r="F92" s="35"/>
      <c r="G92" s="35"/>
      <c r="H92" s="35"/>
      <c r="I92" s="35"/>
      <c r="J92" s="35"/>
      <c r="K92" s="35"/>
      <c r="L92" s="35"/>
      <c r="M92" s="35"/>
      <c r="N92" s="35"/>
      <c r="O92" s="856"/>
    </row>
    <row r="93" spans="1:15" x14ac:dyDescent="0.25">
      <c r="A93" s="35"/>
      <c r="B93" s="856"/>
      <c r="C93" s="35"/>
      <c r="D93" s="36"/>
      <c r="E93" s="35"/>
      <c r="F93" s="35"/>
      <c r="G93" s="35"/>
      <c r="H93" s="35"/>
      <c r="I93" s="35"/>
      <c r="J93" s="35"/>
      <c r="K93" s="8"/>
      <c r="L93" s="8"/>
      <c r="M93" s="8"/>
      <c r="N93" s="8"/>
      <c r="O93" s="8"/>
    </row>
    <row r="94" spans="1:15" x14ac:dyDescent="0.25">
      <c r="A94" s="35"/>
      <c r="B94" s="35"/>
      <c r="C94" s="35"/>
      <c r="D94" s="36" t="str">
        <f>"from "&amp;'tax it (c6)'!AA36</f>
        <v>from c6.48</v>
      </c>
      <c r="E94" s="35"/>
      <c r="F94" s="35"/>
      <c r="G94" s="35"/>
      <c r="H94" s="36" t="str">
        <f>C95&amp;" × SR_rate ("&amp;SR_rate*100&amp;"%)"</f>
        <v>c8.24m × SR_rate (0%)</v>
      </c>
      <c r="I94" s="35"/>
      <c r="J94" s="35"/>
      <c r="K94" s="8"/>
      <c r="L94" s="8"/>
      <c r="M94" s="8"/>
      <c r="N94" s="8"/>
      <c r="O94" s="8"/>
    </row>
    <row r="95" spans="1:15" x14ac:dyDescent="0.25">
      <c r="A95" s="35"/>
      <c r="B95" s="171" t="s">
        <v>4619</v>
      </c>
      <c r="C95" s="2160" t="str">
        <f>A47</f>
        <v>c8.24m</v>
      </c>
      <c r="D95" s="2129">
        <f>'tax it (c6)'!AB36</f>
        <v>0</v>
      </c>
      <c r="E95" s="8"/>
      <c r="F95" s="35"/>
      <c r="G95" s="2160" t="str">
        <f>A48</f>
        <v>c8.24n</v>
      </c>
      <c r="H95" s="2182">
        <f>TRUNC(D95*SR_rate,2)</f>
        <v>0</v>
      </c>
      <c r="I95" s="861" t="s">
        <v>7647</v>
      </c>
      <c r="J95" s="35"/>
      <c r="K95" s="8"/>
      <c r="L95" s="8"/>
      <c r="M95" s="8"/>
      <c r="N95" s="8"/>
      <c r="O95" s="8"/>
    </row>
    <row r="96" spans="1:15" x14ac:dyDescent="0.25">
      <c r="A96" s="8"/>
      <c r="B96" s="35"/>
      <c r="C96" s="35"/>
      <c r="D96" s="36"/>
      <c r="E96" s="35"/>
      <c r="F96" s="35"/>
      <c r="G96" s="8"/>
      <c r="H96" s="8"/>
      <c r="I96" s="35"/>
      <c r="J96" s="35"/>
      <c r="K96" s="8"/>
      <c r="L96" s="8"/>
      <c r="M96" s="8"/>
      <c r="N96" s="8"/>
      <c r="O96" s="8"/>
    </row>
    <row r="97" spans="1:16" x14ac:dyDescent="0.25">
      <c r="A97" s="8"/>
      <c r="B97" s="8"/>
      <c r="C97" s="8"/>
      <c r="D97" s="9" t="str">
        <f>"from "&amp;'tax it (c6)'!AA62</f>
        <v>from c6.51c</v>
      </c>
      <c r="E97" s="8"/>
      <c r="F97" s="8"/>
      <c r="G97" s="8"/>
      <c r="H97" s="9" t="str">
        <f>C98&amp;" × SNil_rate ("&amp;SNil_rate*100&amp;"%)"</f>
        <v>c8.24o × SNil_rate (0%)</v>
      </c>
      <c r="I97" s="8"/>
      <c r="J97" s="8"/>
      <c r="K97" s="8"/>
      <c r="L97" s="8"/>
      <c r="M97" s="8"/>
      <c r="N97" s="8"/>
      <c r="O97" s="8"/>
      <c r="P97" s="8"/>
    </row>
    <row r="98" spans="1:16" x14ac:dyDescent="0.25">
      <c r="A98" s="8"/>
      <c r="B98" s="171" t="s">
        <v>8226</v>
      </c>
      <c r="C98" s="2160" t="str">
        <f>A49</f>
        <v>c8.24o</v>
      </c>
      <c r="D98" s="2129">
        <f>'tax it (c6)'!AB62</f>
        <v>0</v>
      </c>
      <c r="E98" s="8"/>
      <c r="F98" s="8"/>
      <c r="G98" s="2160" t="str">
        <f>A50</f>
        <v>c8.24p</v>
      </c>
      <c r="H98" s="2182">
        <f>D98*SNil_rate</f>
        <v>0</v>
      </c>
      <c r="I98" s="861" t="s">
        <v>7647</v>
      </c>
      <c r="J98" s="8"/>
      <c r="K98" s="8"/>
      <c r="L98" s="8"/>
      <c r="M98" s="8"/>
      <c r="N98" s="8"/>
      <c r="O98" s="8"/>
      <c r="P98" s="8"/>
    </row>
    <row r="99" spans="1:16" x14ac:dyDescent="0.25">
      <c r="A99" s="8"/>
      <c r="B99" s="8"/>
      <c r="C99" s="8"/>
      <c r="D99" s="8"/>
      <c r="E99" s="8"/>
      <c r="F99" s="8"/>
      <c r="G99" s="8"/>
      <c r="H99" s="8"/>
      <c r="I99" s="8"/>
      <c r="J99" s="8"/>
      <c r="K99" s="8"/>
      <c r="L99" s="8"/>
      <c r="M99" s="8"/>
      <c r="N99" s="8"/>
      <c r="O99" s="8"/>
      <c r="P99" s="8"/>
    </row>
    <row r="100" spans="1:16" x14ac:dyDescent="0.25">
      <c r="A100" s="8"/>
      <c r="B100" s="35"/>
      <c r="C100" s="35"/>
      <c r="D100" s="36" t="str">
        <f>"from "&amp;'tax it (c6)'!AA66</f>
        <v>from c6.52</v>
      </c>
      <c r="E100" s="35"/>
      <c r="F100" s="35"/>
      <c r="G100" s="35"/>
      <c r="H100" s="36" t="str">
        <f>C101&amp;" × BR_rate ("&amp;BR_rate*100&amp;"%)"</f>
        <v>c8.24q × BR_rate (20%)</v>
      </c>
      <c r="I100" s="35"/>
      <c r="J100" s="35"/>
      <c r="K100" s="8"/>
      <c r="L100" s="8"/>
      <c r="M100" s="8"/>
      <c r="N100" s="8"/>
      <c r="O100" s="8"/>
      <c r="P100" s="8"/>
    </row>
    <row r="101" spans="1:16" x14ac:dyDescent="0.25">
      <c r="A101" s="8"/>
      <c r="B101" s="171" t="s">
        <v>4616</v>
      </c>
      <c r="C101" s="2160" t="str">
        <f>A51</f>
        <v>c8.24q</v>
      </c>
      <c r="D101" s="2129">
        <f>'tax it (c6)'!AB66</f>
        <v>0</v>
      </c>
      <c r="E101" s="8"/>
      <c r="F101" s="35"/>
      <c r="G101" s="2160" t="str">
        <f>A52</f>
        <v>c8.24r</v>
      </c>
      <c r="H101" s="2182">
        <f>TRUNC(D101*BR_rate,2)</f>
        <v>0</v>
      </c>
      <c r="I101" s="861" t="s">
        <v>7647</v>
      </c>
      <c r="J101" s="35"/>
      <c r="K101" s="8"/>
      <c r="L101" s="8"/>
      <c r="M101" s="8"/>
      <c r="N101" s="8"/>
      <c r="O101" s="8"/>
      <c r="P101" s="8"/>
    </row>
    <row r="102" spans="1:16" x14ac:dyDescent="0.25">
      <c r="A102" s="8"/>
      <c r="B102" s="35"/>
      <c r="C102" s="35"/>
      <c r="D102" s="36"/>
      <c r="E102" s="35"/>
      <c r="F102" s="35"/>
      <c r="G102" s="8"/>
      <c r="H102" s="8"/>
      <c r="I102" s="35"/>
      <c r="J102" s="35"/>
      <c r="K102" s="8"/>
      <c r="L102" s="8"/>
      <c r="M102" s="8"/>
      <c r="N102" s="8"/>
      <c r="O102" s="8"/>
      <c r="P102" s="8"/>
    </row>
    <row r="103" spans="1:16" x14ac:dyDescent="0.25">
      <c r="A103" s="8"/>
      <c r="B103" s="8"/>
      <c r="C103" s="8"/>
      <c r="D103" s="36" t="str">
        <f>"from "&amp;'tax it (c6)'!AA91</f>
        <v>from c6.54b</v>
      </c>
      <c r="E103" s="8"/>
      <c r="F103" s="8"/>
      <c r="G103" s="8"/>
      <c r="H103" s="9" t="str">
        <f>C104&amp;" × SNil_rate ("&amp;SNil_rate*100&amp;"%)"</f>
        <v>c8.24s × SNil_rate (0%)</v>
      </c>
      <c r="I103" s="8"/>
      <c r="J103" s="8"/>
      <c r="K103" s="8"/>
      <c r="L103" s="8"/>
      <c r="M103" s="8"/>
      <c r="N103" s="8"/>
      <c r="O103" s="8"/>
      <c r="P103" s="8"/>
    </row>
    <row r="104" spans="1:16" x14ac:dyDescent="0.25">
      <c r="A104" s="8"/>
      <c r="B104" s="171" t="s">
        <v>8227</v>
      </c>
      <c r="C104" s="2160" t="str">
        <f>A53</f>
        <v>c8.24s</v>
      </c>
      <c r="D104" s="2129">
        <f>'tax it (c6)'!AB91</f>
        <v>0</v>
      </c>
      <c r="E104" s="8"/>
      <c r="F104" s="8"/>
      <c r="G104" s="2160" t="str">
        <f>A54</f>
        <v>c8.24t</v>
      </c>
      <c r="H104" s="2182">
        <f>D104*SNil_rate</f>
        <v>0</v>
      </c>
      <c r="I104" s="861" t="s">
        <v>7647</v>
      </c>
      <c r="J104" s="8"/>
      <c r="K104" s="8"/>
      <c r="L104" s="8"/>
      <c r="M104" s="8"/>
      <c r="N104" s="8"/>
      <c r="O104" s="8"/>
      <c r="P104" s="8"/>
    </row>
    <row r="105" spans="1:16" x14ac:dyDescent="0.25">
      <c r="A105" s="8"/>
      <c r="B105" s="35"/>
      <c r="C105" s="8"/>
      <c r="D105" s="8"/>
      <c r="E105" s="8"/>
      <c r="F105" s="35"/>
      <c r="G105" s="8"/>
      <c r="H105" s="8"/>
      <c r="I105" s="35"/>
      <c r="J105" s="35"/>
      <c r="K105" s="8"/>
      <c r="L105" s="8"/>
      <c r="M105" s="8"/>
      <c r="N105" s="8"/>
      <c r="O105" s="8"/>
      <c r="P105" s="8"/>
    </row>
    <row r="106" spans="1:16" x14ac:dyDescent="0.25">
      <c r="A106" s="8"/>
      <c r="B106" s="856"/>
      <c r="C106" s="35"/>
      <c r="D106" s="36" t="str">
        <f>"from "&amp;'tax it (c6)'!AA95</f>
        <v>from c6.55</v>
      </c>
      <c r="E106" s="8"/>
      <c r="F106" s="35"/>
      <c r="G106" s="35"/>
      <c r="H106" s="36" t="str">
        <f>C107&amp;" × HR_rate ("&amp;HR_rate*100&amp;"%)"</f>
        <v>c8.24u × HR_rate (40%)</v>
      </c>
      <c r="I106" s="8"/>
      <c r="J106" s="35"/>
      <c r="K106" s="8"/>
      <c r="L106" s="8"/>
      <c r="M106" s="8"/>
      <c r="N106" s="8"/>
      <c r="O106" s="8"/>
      <c r="P106" s="8"/>
    </row>
    <row r="107" spans="1:16" x14ac:dyDescent="0.25">
      <c r="A107" s="8"/>
      <c r="B107" s="171" t="s">
        <v>6648</v>
      </c>
      <c r="C107" s="2160" t="str">
        <f>A55</f>
        <v>c8.24u</v>
      </c>
      <c r="D107" s="2149">
        <f>'tax it (c6)'!AB95</f>
        <v>0</v>
      </c>
      <c r="E107" s="8"/>
      <c r="F107" s="35"/>
      <c r="G107" s="2160" t="str">
        <f>A56</f>
        <v>c8.24v</v>
      </c>
      <c r="H107" s="2182">
        <f>TRUNC(D107*HR_rate,2)</f>
        <v>0</v>
      </c>
      <c r="I107" s="861" t="s">
        <v>7647</v>
      </c>
      <c r="J107" s="35"/>
      <c r="K107" s="8"/>
      <c r="L107" s="8"/>
      <c r="M107" s="8"/>
      <c r="N107" s="8"/>
      <c r="O107" s="8"/>
      <c r="P107" s="8"/>
    </row>
    <row r="108" spans="1:16" x14ac:dyDescent="0.25">
      <c r="A108" s="8"/>
      <c r="B108" s="35"/>
      <c r="C108" s="171"/>
      <c r="D108" s="78"/>
      <c r="E108" s="8"/>
      <c r="F108" s="35"/>
      <c r="G108" s="8"/>
      <c r="H108" s="35"/>
      <c r="I108" s="8"/>
      <c r="J108" s="35"/>
      <c r="K108" s="8"/>
      <c r="L108" s="8"/>
      <c r="M108" s="8"/>
      <c r="N108" s="8"/>
      <c r="O108" s="8"/>
      <c r="P108" s="8"/>
    </row>
    <row r="109" spans="1:16" x14ac:dyDescent="0.25">
      <c r="A109" s="8"/>
      <c r="B109" s="35"/>
      <c r="C109" s="8"/>
      <c r="D109" s="36" t="str">
        <f>"from "&amp;'tax it (c6)'!AA108</f>
        <v>from c6.56</v>
      </c>
      <c r="E109" s="8"/>
      <c r="F109" s="35"/>
      <c r="G109" s="171"/>
      <c r="H109" s="36" t="str">
        <f>C110&amp;" × AHR_rate ("&amp;AHR_rate*100&amp;"%)"</f>
        <v>c8.24w × AHR_rate (45%)</v>
      </c>
      <c r="I109" s="8"/>
      <c r="J109" s="35"/>
      <c r="K109" s="8"/>
      <c r="L109" s="8"/>
      <c r="M109" s="8"/>
      <c r="N109" s="8"/>
      <c r="O109" s="8"/>
      <c r="P109" s="8"/>
    </row>
    <row r="110" spans="1:16" x14ac:dyDescent="0.25">
      <c r="A110" s="8"/>
      <c r="B110" s="171" t="s">
        <v>6650</v>
      </c>
      <c r="C110" s="2160" t="str">
        <f>A57</f>
        <v>c8.24w</v>
      </c>
      <c r="D110" s="2149">
        <f>'tax it (c6)'!AB108</f>
        <v>0</v>
      </c>
      <c r="E110" s="8"/>
      <c r="F110" s="35"/>
      <c r="G110" s="2160" t="str">
        <f>A58</f>
        <v>c8.24x</v>
      </c>
      <c r="H110" s="2182">
        <f>TRUNC(D110*AHR_rate,2)</f>
        <v>0</v>
      </c>
      <c r="I110" s="861" t="s">
        <v>7647</v>
      </c>
      <c r="J110" s="35"/>
      <c r="K110" s="8"/>
      <c r="L110" s="8"/>
      <c r="M110" s="8"/>
      <c r="N110" s="8"/>
      <c r="O110" s="8"/>
      <c r="P110" s="8"/>
    </row>
    <row r="111" spans="1:16" x14ac:dyDescent="0.25">
      <c r="A111" s="8"/>
      <c r="B111" s="171"/>
      <c r="C111" s="171"/>
      <c r="D111" s="26"/>
      <c r="E111" s="8"/>
      <c r="F111" s="35"/>
      <c r="G111" s="171"/>
      <c r="H111" s="167"/>
      <c r="I111" s="861"/>
      <c r="J111" s="35"/>
      <c r="K111" s="8"/>
      <c r="L111" s="8"/>
      <c r="M111" s="8"/>
      <c r="N111" s="8"/>
      <c r="O111" s="8"/>
      <c r="P111" s="8"/>
    </row>
    <row r="112" spans="1:16" x14ac:dyDescent="0.25">
      <c r="A112" s="8"/>
      <c r="B112" s="8"/>
      <c r="C112" s="8"/>
      <c r="D112" s="8"/>
      <c r="E112" s="8"/>
      <c r="F112" s="8"/>
      <c r="G112" s="8"/>
      <c r="H112" s="9" t="str">
        <f>G95&amp;" + "&amp;G98&amp;" + "&amp;G101&amp;" + "&amp;G104&amp;" + "&amp;G107&amp;" + "&amp;G110</f>
        <v>c8.24n + c8.24p + c8.24r + c8.24t + c8.24v + c8.24x</v>
      </c>
      <c r="I112" s="8"/>
      <c r="J112" s="8"/>
      <c r="K112" s="8"/>
      <c r="L112" s="8"/>
      <c r="M112" s="8"/>
      <c r="N112" s="8"/>
      <c r="O112" s="8"/>
      <c r="P112" s="8"/>
    </row>
    <row r="113" spans="1:16" x14ac:dyDescent="0.25">
      <c r="A113" s="8"/>
      <c r="B113" s="8"/>
      <c r="C113" s="8"/>
      <c r="D113" s="8"/>
      <c r="E113" s="8"/>
      <c r="F113" s="8"/>
      <c r="G113" s="2160" t="str">
        <f>A59</f>
        <v>c8.25</v>
      </c>
      <c r="H113" s="2182">
        <f>H95+H98+H101+H104+H107+H110</f>
        <v>0</v>
      </c>
      <c r="I113" s="8"/>
      <c r="J113" s="8"/>
      <c r="K113" s="8"/>
      <c r="L113" s="8"/>
      <c r="M113" s="8"/>
      <c r="N113" s="8"/>
      <c r="O113" s="8"/>
      <c r="P113" s="8"/>
    </row>
    <row r="114" spans="1:16" x14ac:dyDescent="0.25">
      <c r="A114" s="8"/>
      <c r="B114" s="2151"/>
      <c r="C114" s="2151"/>
      <c r="D114" s="2151"/>
      <c r="E114" s="2151"/>
      <c r="F114" s="2151"/>
      <c r="G114" s="2151"/>
      <c r="H114" s="2151"/>
      <c r="I114" s="2151"/>
      <c r="J114" s="2151"/>
      <c r="K114" s="8"/>
      <c r="L114" s="8"/>
      <c r="M114" s="8"/>
      <c r="N114" s="8"/>
      <c r="O114" s="8"/>
      <c r="P114" s="8"/>
    </row>
    <row r="115" spans="1:16" x14ac:dyDescent="0.25">
      <c r="A115" s="8"/>
      <c r="B115" s="8"/>
      <c r="C115" s="8"/>
      <c r="D115" s="8"/>
      <c r="E115" s="8"/>
      <c r="F115" s="8"/>
      <c r="G115" s="8"/>
      <c r="H115" s="8"/>
      <c r="I115" s="8"/>
      <c r="J115" s="35"/>
      <c r="K115" s="8"/>
      <c r="L115" s="8"/>
      <c r="M115" s="8"/>
      <c r="N115" s="8"/>
      <c r="O115" s="8"/>
      <c r="P115" s="8"/>
    </row>
    <row r="116" spans="1:16" x14ac:dyDescent="0.25">
      <c r="A116" s="35"/>
      <c r="B116" s="8"/>
      <c r="C116" s="8"/>
      <c r="D116" s="8"/>
      <c r="E116" s="8"/>
      <c r="F116" s="35"/>
      <c r="G116" s="35"/>
      <c r="H116" s="36"/>
      <c r="I116" s="8"/>
      <c r="J116" s="8"/>
      <c r="K116" s="8"/>
      <c r="L116" s="8"/>
      <c r="M116" s="8"/>
      <c r="N116" s="8"/>
      <c r="O116" s="8"/>
      <c r="P116" s="8"/>
    </row>
    <row r="117" spans="1:16" x14ac:dyDescent="0.25">
      <c r="A117" s="8"/>
      <c r="B117" s="8"/>
      <c r="C117" s="8"/>
      <c r="D117" s="8"/>
      <c r="E117" s="8"/>
      <c r="F117" s="8"/>
      <c r="G117" s="8"/>
      <c r="H117" s="8"/>
      <c r="I117" s="8"/>
      <c r="J117" s="8"/>
      <c r="K117" s="8"/>
      <c r="L117" s="8"/>
      <c r="M117" s="8"/>
      <c r="N117" s="8"/>
      <c r="O117" s="8"/>
      <c r="P117" s="8"/>
    </row>
    <row r="119" spans="1:16" x14ac:dyDescent="0.25">
      <c r="A119" s="8"/>
      <c r="B119" s="8"/>
      <c r="C119" s="8"/>
      <c r="D119" s="8"/>
      <c r="E119" s="8"/>
      <c r="F119" s="8"/>
      <c r="G119" s="8" t="str">
        <f>"if "&amp;'Deductions (c4)'!H343&amp;" greater than 0 (zero)"</f>
        <v>if c4.54.1 greater than 0 (zero)</v>
      </c>
      <c r="H119" s="8"/>
      <c r="I119" s="8"/>
      <c r="J119" s="8"/>
      <c r="K119" s="8"/>
      <c r="L119" s="8"/>
      <c r="M119" s="8"/>
      <c r="N119" s="8"/>
      <c r="O119" s="8"/>
      <c r="P119" s="8"/>
    </row>
    <row r="120" spans="1:16" x14ac:dyDescent="0.25">
      <c r="A120" s="8"/>
      <c r="B120" s="8"/>
      <c r="C120" s="8"/>
      <c r="D120" s="8"/>
      <c r="E120" s="8"/>
      <c r="F120" s="8"/>
      <c r="G120" s="8" t="str">
        <f>"set "&amp;'Deductions (c4)'!H354&amp;" to "&amp;'Deductions (c4)'!H347</f>
        <v>set c4.55 to c4.54.2</v>
      </c>
      <c r="H120" s="8"/>
      <c r="I120" s="8"/>
      <c r="J120" s="8"/>
      <c r="K120" s="8"/>
      <c r="L120" s="8"/>
      <c r="M120" s="8"/>
      <c r="N120" s="8"/>
      <c r="O120" s="8"/>
      <c r="P120" s="8"/>
    </row>
    <row r="121" spans="1:16" x14ac:dyDescent="0.25">
      <c r="A121" s="8"/>
      <c r="B121" s="8"/>
      <c r="C121" s="8"/>
      <c r="D121" s="8"/>
      <c r="E121" s="8"/>
      <c r="F121" s="8"/>
      <c r="G121" s="8" t="str">
        <f>"set "&amp;'Deductions (c4)'!D408&amp;" to "&amp;'NS income (c1)'!I184&amp;" + "&amp;'Deductions (c4)'!H343</f>
        <v>set c4.63a to c1.57 + c4.54.1</v>
      </c>
      <c r="H121" s="8"/>
      <c r="I121" s="8"/>
      <c r="J121" s="8"/>
      <c r="K121" s="8"/>
      <c r="L121" s="8"/>
      <c r="M121" s="8"/>
      <c r="N121" s="8"/>
      <c r="O121" s="8"/>
      <c r="P121" s="8"/>
    </row>
    <row r="122" spans="1:16" x14ac:dyDescent="0.25">
      <c r="A122" s="8"/>
      <c r="B122" s="8"/>
      <c r="C122" s="8"/>
      <c r="D122" s="8"/>
      <c r="E122" s="8"/>
      <c r="F122" s="8"/>
      <c r="G122" s="8" t="str">
        <f>"set "&amp;'non-res (c91)'!C15&amp;" to "&amp;'NS income (c1)'!I184&amp;" + "&amp;'Deductions (c4)'!H343</f>
        <v>set c91.1 to c1.57 + c4.54.1</v>
      </c>
      <c r="H122" s="8"/>
      <c r="I122" s="8"/>
      <c r="J122" s="8"/>
      <c r="K122" s="8"/>
      <c r="L122" s="8"/>
      <c r="M122" s="8"/>
      <c r="N122" s="8"/>
      <c r="O122" s="8"/>
      <c r="P122" s="8"/>
    </row>
    <row r="123" spans="1:16" x14ac:dyDescent="0.25">
      <c r="A123" s="8"/>
      <c r="B123" s="8"/>
      <c r="C123" s="8"/>
      <c r="D123" s="8"/>
      <c r="E123" s="8"/>
      <c r="F123" s="8"/>
      <c r="G123" s="8" t="str">
        <f>"set "&amp;'Deductions (c4)'!D508&amp;" to If calculation type = non-resident"</f>
        <v>set c4.73 to If calculation type = non-resident</v>
      </c>
      <c r="H123" s="8"/>
      <c r="I123" s="8"/>
      <c r="J123" s="8"/>
      <c r="K123" s="8"/>
      <c r="L123" s="8"/>
      <c r="M123" s="8"/>
      <c r="N123" s="8"/>
      <c r="O123" s="8"/>
      <c r="P123" s="8"/>
    </row>
    <row r="124" spans="1:16" x14ac:dyDescent="0.25">
      <c r="A124" s="8"/>
      <c r="B124" s="8"/>
      <c r="C124" s="8"/>
      <c r="D124" s="8"/>
      <c r="E124" s="8"/>
      <c r="F124" s="8"/>
      <c r="G124" s="8" t="str">
        <f>'Deductions (c4)'!D508&amp;" = "&amp;'non-res (c91)'!M119</f>
        <v>c4.73 = c91.28</v>
      </c>
      <c r="H124" s="8"/>
      <c r="I124" s="8"/>
      <c r="J124" s="8"/>
      <c r="K124" s="8"/>
      <c r="L124" s="8"/>
      <c r="M124" s="8"/>
      <c r="N124" s="8"/>
      <c r="O124" s="8"/>
      <c r="P124" s="8"/>
    </row>
    <row r="125" spans="1:16" x14ac:dyDescent="0.25">
      <c r="A125" s="8"/>
      <c r="B125" s="8"/>
      <c r="C125" s="8"/>
      <c r="D125" s="8"/>
      <c r="E125" s="8"/>
      <c r="F125" s="8"/>
      <c r="G125" s="8" t="s">
        <v>7143</v>
      </c>
      <c r="H125" s="8"/>
      <c r="I125" s="8"/>
      <c r="J125" s="8"/>
      <c r="K125" s="8"/>
      <c r="L125" s="8"/>
      <c r="M125" s="8"/>
      <c r="N125" s="8"/>
      <c r="O125" s="8"/>
      <c r="P125" s="8"/>
    </row>
    <row r="126" spans="1:16" x14ac:dyDescent="0.25">
      <c r="A126" s="8"/>
      <c r="B126" s="8"/>
      <c r="C126" s="8"/>
      <c r="D126" s="8"/>
      <c r="E126" s="8"/>
      <c r="F126" s="8"/>
      <c r="G126" s="8" t="str">
        <f>'Deductions (c4)'!D508&amp;" = "&amp;'Divs (c3)'!G87&amp;" + "&amp;'Deductions (c4)'!H343</f>
        <v>c4.73 = c3.21 + c4.54.1</v>
      </c>
      <c r="H126" s="8"/>
      <c r="I126" s="8"/>
      <c r="J126" s="8"/>
      <c r="K126" s="8"/>
      <c r="L126" s="8"/>
      <c r="M126" s="8"/>
      <c r="N126" s="8"/>
      <c r="O126" s="8"/>
      <c r="P126" s="8"/>
    </row>
    <row r="127" spans="1:16" x14ac:dyDescent="0.25">
      <c r="A127" s="8"/>
      <c r="B127" s="8"/>
      <c r="C127" s="8"/>
      <c r="D127" s="8"/>
      <c r="E127" s="8"/>
      <c r="F127" s="8"/>
      <c r="G127" s="8" t="s">
        <v>75</v>
      </c>
      <c r="H127" s="8"/>
      <c r="I127" s="8"/>
      <c r="J127" s="8"/>
      <c r="K127" s="8"/>
      <c r="L127" s="8"/>
      <c r="M127" s="8"/>
      <c r="N127" s="8"/>
      <c r="O127" s="8"/>
      <c r="P127" s="8"/>
    </row>
    <row r="128" spans="1:16" x14ac:dyDescent="0.25">
      <c r="A128" s="8"/>
      <c r="B128" s="8"/>
      <c r="C128" s="8"/>
      <c r="D128" s="8"/>
      <c r="E128" s="8"/>
      <c r="F128" s="8"/>
      <c r="G128" s="8" t="str">
        <f>"calculate boxes "&amp;'allowances (c14c15)'!K5&amp;" to "&amp;'allowances (c14c15)'!K26</f>
        <v>calculate boxes c14.1 to c14.6</v>
      </c>
      <c r="H128" s="8"/>
      <c r="I128" s="8"/>
      <c r="J128" s="8"/>
      <c r="K128" s="8"/>
      <c r="L128" s="8"/>
      <c r="M128" s="8"/>
      <c r="N128" s="8"/>
      <c r="O128" s="8"/>
      <c r="P128" s="8"/>
    </row>
    <row r="129" spans="1:16" x14ac:dyDescent="0.25">
      <c r="A129" s="8"/>
      <c r="B129" s="8"/>
      <c r="C129" s="8"/>
      <c r="D129" s="8"/>
      <c r="E129" s="8"/>
      <c r="F129" s="8"/>
      <c r="G129" s="8" t="str">
        <f>"calculate boxes "&amp;'Deductions (c4)'!H354&amp;" to "&amp;'tax it (c8)'!G113&amp;", but ignore stage 7"</f>
        <v>calculate boxes c4.55 to c8.25, but ignore stage 7</v>
      </c>
      <c r="H129" s="8"/>
      <c r="I129" s="8"/>
      <c r="J129" s="8"/>
      <c r="K129" s="8"/>
      <c r="L129" s="8"/>
      <c r="M129" s="8"/>
      <c r="N129" s="8"/>
      <c r="O129" s="457" t="s">
        <v>8228</v>
      </c>
      <c r="P129" s="8"/>
    </row>
    <row r="130" spans="1:16" x14ac:dyDescent="0.25">
      <c r="A130" s="8"/>
      <c r="B130" s="8"/>
      <c r="C130" s="8"/>
      <c r="D130" s="8"/>
      <c r="E130" s="8"/>
      <c r="F130" s="8"/>
      <c r="G130" s="8" t="str">
        <f>G142&amp;" ="&amp;G26&amp;" + "&amp;G47&amp;" + "&amp;G65&amp;" + "&amp;G89&amp;" + "&amp;G113</f>
        <v>c8.25a =c8.6a + c8.16a + c8.24a + c8.24l + c8.25</v>
      </c>
      <c r="H130" s="8"/>
      <c r="I130" s="8"/>
      <c r="J130" s="8"/>
      <c r="K130" s="8"/>
      <c r="L130" s="8"/>
      <c r="M130" s="8"/>
      <c r="N130" s="457" t="s">
        <v>8229</v>
      </c>
      <c r="O130" s="2202" t="b">
        <f>'Deductions (c4)'!E195+'Deductions (c4)'!E198&gt;0</f>
        <v>0</v>
      </c>
      <c r="P130" s="8"/>
    </row>
    <row r="131" spans="1:16" x14ac:dyDescent="0.25">
      <c r="A131" s="8"/>
      <c r="B131" s="8"/>
      <c r="C131" s="8"/>
      <c r="D131" s="8"/>
      <c r="E131" s="8"/>
      <c r="F131" s="8"/>
      <c r="G131" s="8" t="str">
        <f>"set "&amp;'Deductions (c4)'!H354&amp;" to "&amp;'Deductions (c4)'!H347&amp;" minus "&amp;'Deductions (c4)'!H350</f>
        <v>set c4.55 to c4.54.2 minus c4.54.3</v>
      </c>
      <c r="H131" s="8"/>
      <c r="I131" s="8"/>
      <c r="J131" s="8"/>
      <c r="K131" s="8"/>
      <c r="L131" s="8"/>
      <c r="M131" s="8"/>
      <c r="N131" s="8"/>
      <c r="O131" s="8"/>
      <c r="P131" s="8"/>
    </row>
    <row r="132" spans="1:16" x14ac:dyDescent="0.25">
      <c r="A132" s="8"/>
      <c r="B132" s="8"/>
      <c r="C132" s="8"/>
      <c r="D132" s="8"/>
      <c r="E132" s="8"/>
      <c r="F132" s="8"/>
      <c r="G132" s="8" t="str">
        <f>"set "&amp;'Deductions (c4)'!D408&amp;" to from "&amp;'NS income (c1)'!I184</f>
        <v>set c4.63a to from c1.57</v>
      </c>
      <c r="H132" s="8"/>
      <c r="I132" s="8"/>
      <c r="J132" s="8"/>
      <c r="K132" s="8"/>
      <c r="L132" s="8"/>
      <c r="M132" s="8"/>
      <c r="N132" s="9"/>
      <c r="O132" s="8"/>
      <c r="P132" s="8"/>
    </row>
    <row r="133" spans="1:16" x14ac:dyDescent="0.25">
      <c r="A133" s="8"/>
      <c r="B133" s="8"/>
      <c r="C133" s="8"/>
      <c r="D133" s="8"/>
      <c r="E133" s="8"/>
      <c r="F133" s="8"/>
      <c r="G133" s="8" t="str">
        <f>"set "&amp;'non-res (c91)'!C15&amp;" to from "&amp;'NS income (c1)'!I184</f>
        <v>set c91.1 to from c1.57</v>
      </c>
      <c r="H133" s="8"/>
      <c r="I133" s="8"/>
      <c r="J133" s="8"/>
      <c r="K133" s="8"/>
      <c r="L133" s="8"/>
      <c r="M133" s="8"/>
      <c r="N133" s="9"/>
      <c r="O133" s="8"/>
      <c r="P133" s="8"/>
    </row>
    <row r="134" spans="1:16" x14ac:dyDescent="0.25">
      <c r="A134" s="8"/>
      <c r="B134" s="8"/>
      <c r="C134" s="8"/>
      <c r="D134" s="8"/>
      <c r="E134" s="8"/>
      <c r="F134" s="8"/>
      <c r="G134" s="8" t="str">
        <f>"set "&amp;'Deductions (c4)'!D508&amp;" to If calculation type = non-resident"</f>
        <v>set c4.73 to If calculation type = non-resident</v>
      </c>
      <c r="H134" s="8"/>
      <c r="I134" s="8"/>
      <c r="J134" s="8"/>
      <c r="K134" s="8"/>
      <c r="L134" s="8"/>
      <c r="M134" s="8"/>
      <c r="N134" s="9"/>
      <c r="O134" s="8"/>
      <c r="P134" s="8"/>
    </row>
    <row r="135" spans="1:16" x14ac:dyDescent="0.25">
      <c r="A135" s="8"/>
      <c r="B135" s="8"/>
      <c r="C135" s="8"/>
      <c r="D135" s="8"/>
      <c r="E135" s="8"/>
      <c r="F135" s="8"/>
      <c r="G135" s="8" t="str">
        <f>'Deductions (c4)'!D508&amp;" = "&amp;'non-res (c91)'!M119</f>
        <v>c4.73 = c91.28</v>
      </c>
      <c r="H135" s="8"/>
      <c r="I135" s="8"/>
      <c r="J135" s="8"/>
      <c r="K135" s="8"/>
      <c r="L135" s="8"/>
      <c r="M135" s="8"/>
      <c r="N135" s="9"/>
      <c r="O135" s="8"/>
      <c r="P135" s="8"/>
    </row>
    <row r="136" spans="1:16" x14ac:dyDescent="0.25">
      <c r="A136" s="8"/>
      <c r="B136" s="8"/>
      <c r="C136" s="8"/>
      <c r="D136" s="8"/>
      <c r="E136" s="8"/>
      <c r="F136" s="8"/>
      <c r="G136" s="8" t="s">
        <v>7143</v>
      </c>
      <c r="H136" s="8"/>
      <c r="I136" s="8"/>
      <c r="J136" s="8"/>
      <c r="K136" s="8"/>
      <c r="L136" s="8"/>
      <c r="M136" s="8"/>
      <c r="N136" s="9"/>
      <c r="O136" s="8"/>
      <c r="P136" s="8"/>
    </row>
    <row r="137" spans="1:16" x14ac:dyDescent="0.25">
      <c r="A137" s="8"/>
      <c r="B137" s="8"/>
      <c r="C137" s="8"/>
      <c r="D137" s="8"/>
      <c r="E137" s="8"/>
      <c r="F137" s="8"/>
      <c r="G137" s="8" t="str">
        <f>'Deductions (c4)'!D508&amp;" = "&amp;'Divs (c3)'!G87</f>
        <v>c4.73 = c3.21</v>
      </c>
      <c r="H137" s="8"/>
      <c r="I137" s="8"/>
      <c r="J137" s="8"/>
      <c r="K137" s="8"/>
      <c r="L137" s="8"/>
      <c r="M137" s="8"/>
      <c r="N137" s="9"/>
      <c r="O137" s="8"/>
      <c r="P137" s="8"/>
    </row>
    <row r="138" spans="1:16" x14ac:dyDescent="0.25">
      <c r="A138" s="8"/>
      <c r="B138" s="8"/>
      <c r="C138" s="8"/>
      <c r="D138" s="8"/>
      <c r="E138" s="8"/>
      <c r="F138" s="8"/>
      <c r="G138" s="8" t="s">
        <v>75</v>
      </c>
      <c r="H138" s="8"/>
      <c r="I138" s="8"/>
      <c r="J138" s="8"/>
      <c r="K138" s="8"/>
      <c r="L138" s="8"/>
      <c r="M138" s="8"/>
      <c r="N138" s="457" t="s">
        <v>8230</v>
      </c>
      <c r="O138" s="2202" t="b">
        <v>0</v>
      </c>
      <c r="P138" s="458" t="s">
        <v>8231</v>
      </c>
    </row>
    <row r="139" spans="1:16" ht="12.5" x14ac:dyDescent="0.25">
      <c r="A139" s="8"/>
      <c r="B139" s="8"/>
      <c r="C139" s="8"/>
      <c r="D139" s="8"/>
      <c r="E139" s="8"/>
      <c r="F139" s="8"/>
      <c r="G139" s="8" t="str">
        <f>"calculate boxes "&amp;'Deductions (c4)'!H354&amp;" to "&amp;'tax it (c8)'!G113</f>
        <v>calculate boxes c4.55 to c8.25</v>
      </c>
      <c r="H139" s="8"/>
      <c r="I139" s="8"/>
      <c r="J139" s="8"/>
      <c r="K139" s="8"/>
      <c r="L139" s="8"/>
      <c r="M139" s="8"/>
      <c r="N139" s="457" t="s">
        <v>8232</v>
      </c>
      <c r="O139" s="2203"/>
      <c r="P139" s="458" t="s">
        <v>5388</v>
      </c>
    </row>
    <row r="140" spans="1:16" x14ac:dyDescent="0.25">
      <c r="A140" s="8"/>
      <c r="B140" s="8"/>
      <c r="C140" s="8"/>
      <c r="D140" s="8"/>
      <c r="E140" s="8"/>
      <c r="F140" s="8"/>
      <c r="G140" s="8" t="str">
        <f>"else "&amp;G142&amp;" = 0 (zero)"</f>
        <v>else c8.25a = 0 (zero)</v>
      </c>
      <c r="H140" s="8"/>
      <c r="I140" s="8"/>
      <c r="J140" s="8"/>
      <c r="K140" s="8"/>
      <c r="L140" s="8"/>
      <c r="M140" s="8"/>
      <c r="N140" s="457" t="s">
        <v>8233</v>
      </c>
      <c r="O140" s="2202" t="b">
        <v>0</v>
      </c>
      <c r="P140" s="458" t="s">
        <v>8234</v>
      </c>
    </row>
    <row r="141" spans="1:16" x14ac:dyDescent="0.25">
      <c r="A141" s="8"/>
      <c r="B141" s="8"/>
      <c r="C141" s="8"/>
      <c r="D141" s="8"/>
      <c r="E141" s="8"/>
      <c r="F141" s="8"/>
      <c r="G141" s="8" t="s">
        <v>75</v>
      </c>
      <c r="H141" s="8"/>
      <c r="I141" s="8"/>
      <c r="J141" s="8"/>
      <c r="K141" s="8"/>
      <c r="L141" s="8"/>
      <c r="M141" s="8"/>
      <c r="N141" s="8"/>
      <c r="O141" s="8"/>
      <c r="P141" s="8"/>
    </row>
    <row r="142" spans="1:16" x14ac:dyDescent="0.25">
      <c r="A142" s="8"/>
      <c r="B142" s="171" t="s">
        <v>8235</v>
      </c>
      <c r="C142" s="8"/>
      <c r="D142" s="8"/>
      <c r="E142" s="8"/>
      <c r="F142" s="8"/>
      <c r="G142" s="2160" t="str">
        <f>A60</f>
        <v>c8.25a</v>
      </c>
      <c r="H142" s="2182">
        <f>IF(use_TP_alt_c8_26, TP_alt_c8_26,0)</f>
        <v>0</v>
      </c>
      <c r="I142" s="8"/>
      <c r="J142" s="8"/>
      <c r="K142" s="8"/>
      <c r="L142" s="8"/>
      <c r="M142" s="8"/>
      <c r="N142" s="8"/>
      <c r="O142" s="8"/>
      <c r="P142" s="8"/>
    </row>
    <row r="143" spans="1:16" x14ac:dyDescent="0.25">
      <c r="A143" s="8"/>
      <c r="B143" s="8"/>
      <c r="C143" s="8"/>
      <c r="D143" s="8"/>
      <c r="E143" s="8"/>
      <c r="F143" s="8"/>
      <c r="G143" s="8"/>
      <c r="H143" s="8"/>
      <c r="I143" s="8"/>
      <c r="J143" s="8"/>
      <c r="K143" s="8"/>
      <c r="L143" s="8"/>
      <c r="M143" s="8"/>
      <c r="N143" s="8"/>
      <c r="O143" s="8"/>
      <c r="P143" s="8"/>
    </row>
    <row r="144" spans="1:16" x14ac:dyDescent="0.25">
      <c r="A144" s="8"/>
      <c r="B144" s="8"/>
      <c r="C144" s="8"/>
      <c r="D144" s="8"/>
      <c r="E144" s="8"/>
      <c r="F144" s="8"/>
      <c r="G144" s="8"/>
      <c r="H144" s="8"/>
      <c r="I144" s="8"/>
      <c r="J144" s="8"/>
      <c r="K144" s="8"/>
      <c r="L144" s="8"/>
      <c r="M144" s="8"/>
      <c r="N144" s="8"/>
      <c r="O144" s="8"/>
      <c r="P144" s="8"/>
    </row>
    <row r="145" spans="1:22" x14ac:dyDescent="0.25">
      <c r="A145" s="8"/>
      <c r="B145" s="8"/>
      <c r="C145" s="8"/>
      <c r="D145" s="8"/>
      <c r="E145" s="8"/>
      <c r="F145" s="8"/>
      <c r="G145" s="35"/>
      <c r="H145" s="36" t="str">
        <f>G26&amp;" + "&amp;G47&amp;" + "&amp;G65&amp;" + "&amp;G89&amp;" + "&amp;G113</f>
        <v>c8.6a + c8.16a + c8.24a + c8.24l + c8.25</v>
      </c>
      <c r="I145" s="8"/>
      <c r="J145" s="8"/>
      <c r="K145" s="8"/>
      <c r="L145" s="8"/>
      <c r="M145" s="8"/>
      <c r="N145" s="8"/>
      <c r="O145" s="8"/>
      <c r="P145" s="8"/>
      <c r="Q145" s="8"/>
      <c r="R145" s="8"/>
      <c r="S145" s="8"/>
      <c r="T145" s="8"/>
      <c r="U145" s="8"/>
      <c r="V145" s="8"/>
    </row>
    <row r="146" spans="1:22" x14ac:dyDescent="0.25">
      <c r="A146" s="8"/>
      <c r="B146" s="171" t="s">
        <v>8236</v>
      </c>
      <c r="C146" s="8"/>
      <c r="D146" s="8"/>
      <c r="E146" s="8"/>
      <c r="F146" s="8"/>
      <c r="G146" s="2160" t="str">
        <f>A61</f>
        <v>c8.25b</v>
      </c>
      <c r="H146" s="2182">
        <f>H26+H47+H65+H89+H113</f>
        <v>0</v>
      </c>
      <c r="I146" s="8"/>
      <c r="J146" s="8"/>
      <c r="K146" s="8"/>
      <c r="L146" s="8"/>
      <c r="M146" s="457" t="s">
        <v>8237</v>
      </c>
      <c r="N146" s="2178" t="s">
        <v>5234</v>
      </c>
      <c r="O146" s="2204">
        <f>H26+H47+H65+H89+H113</f>
        <v>0</v>
      </c>
      <c r="P146" s="8"/>
      <c r="Q146" s="8"/>
      <c r="R146" s="8"/>
      <c r="S146" s="8"/>
      <c r="T146" s="8"/>
      <c r="U146" s="8"/>
      <c r="V146" s="8"/>
    </row>
    <row r="147" spans="1:22" x14ac:dyDescent="0.25">
      <c r="A147" s="8"/>
      <c r="B147" s="8"/>
      <c r="C147" s="8"/>
      <c r="D147" s="8"/>
      <c r="E147" s="8"/>
      <c r="F147" s="8"/>
      <c r="G147" s="8"/>
      <c r="H147" s="8"/>
      <c r="I147" s="8"/>
      <c r="J147" s="8"/>
      <c r="K147" s="8"/>
      <c r="L147" s="8"/>
      <c r="M147" s="8"/>
      <c r="N147" s="8"/>
      <c r="O147" s="8"/>
      <c r="P147" s="8"/>
      <c r="Q147" s="8"/>
      <c r="R147" s="8"/>
      <c r="S147" s="8"/>
      <c r="T147" s="8"/>
      <c r="U147" s="8"/>
      <c r="V147" s="8"/>
    </row>
    <row r="148" spans="1:22" x14ac:dyDescent="0.25">
      <c r="A148" s="8"/>
      <c r="B148" s="8"/>
      <c r="C148" s="8"/>
      <c r="D148" s="8"/>
      <c r="E148" s="8"/>
      <c r="F148" s="8"/>
      <c r="G148" s="8"/>
      <c r="H148" s="8"/>
      <c r="I148" s="8"/>
      <c r="J148" s="8"/>
      <c r="K148" s="8"/>
      <c r="L148" s="8"/>
      <c r="M148" s="8"/>
      <c r="N148" s="8"/>
      <c r="O148" s="8"/>
      <c r="P148" s="8"/>
      <c r="Q148" s="8"/>
      <c r="R148" s="8"/>
      <c r="S148" s="8"/>
      <c r="T148" s="8"/>
      <c r="U148" s="8"/>
      <c r="V148" s="8"/>
    </row>
    <row r="149" spans="1:22" x14ac:dyDescent="0.25">
      <c r="A149" s="8"/>
      <c r="B149" s="8"/>
      <c r="C149" s="8"/>
      <c r="D149" s="8"/>
      <c r="E149" s="8"/>
      <c r="F149" s="8"/>
      <c r="G149" s="35"/>
      <c r="H149" s="36" t="str">
        <f>G142&amp;" minus "&amp;G146</f>
        <v>c8.25a minus c8.25b</v>
      </c>
      <c r="I149" s="8"/>
      <c r="J149" s="8"/>
      <c r="K149" s="8"/>
      <c r="L149" s="8"/>
      <c r="M149" s="8"/>
      <c r="N149" s="8"/>
      <c r="O149" s="8"/>
      <c r="P149" s="8"/>
      <c r="Q149" s="8"/>
      <c r="R149" s="8"/>
      <c r="S149" s="8"/>
      <c r="T149" s="8"/>
      <c r="U149" s="8"/>
      <c r="V149" s="8"/>
    </row>
    <row r="150" spans="1:22" x14ac:dyDescent="0.25">
      <c r="A150" s="8"/>
      <c r="B150" s="171" t="s">
        <v>8238</v>
      </c>
      <c r="C150" s="8"/>
      <c r="D150" s="8"/>
      <c r="E150" s="8"/>
      <c r="F150" s="8"/>
      <c r="G150" s="2160" t="str">
        <f>A62</f>
        <v>c8.25c</v>
      </c>
      <c r="H150" s="2182">
        <f>MAX(H142-H146,0)</f>
        <v>0</v>
      </c>
      <c r="I150" s="8"/>
      <c r="J150" s="8"/>
      <c r="K150" s="8"/>
      <c r="L150" s="8"/>
      <c r="M150" s="8"/>
      <c r="N150" s="8"/>
      <c r="O150" s="8"/>
      <c r="P150" s="8"/>
      <c r="Q150" s="8"/>
      <c r="R150" s="8"/>
      <c r="S150" s="8"/>
      <c r="T150" s="8"/>
      <c r="U150" s="8"/>
      <c r="V150" s="8"/>
    </row>
    <row r="151" spans="1:22" x14ac:dyDescent="0.25">
      <c r="A151" s="8"/>
      <c r="B151" s="171"/>
      <c r="C151" s="8"/>
      <c r="D151" s="8"/>
      <c r="E151" s="8"/>
      <c r="F151" s="8"/>
      <c r="G151" s="171"/>
      <c r="H151" s="167"/>
      <c r="I151" s="8"/>
      <c r="J151" s="8"/>
      <c r="K151" s="8"/>
      <c r="L151" s="8"/>
      <c r="M151" s="8"/>
      <c r="N151" s="8"/>
      <c r="O151" s="8"/>
      <c r="P151" s="8"/>
      <c r="Q151" s="8"/>
      <c r="R151" s="8"/>
      <c r="S151" s="8"/>
      <c r="T151" s="8"/>
      <c r="U151" s="8"/>
      <c r="V151" s="8"/>
    </row>
    <row r="152" spans="1:22" x14ac:dyDescent="0.25">
      <c r="A152" s="8"/>
      <c r="B152" s="8"/>
      <c r="C152" s="8"/>
      <c r="D152" s="8"/>
      <c r="E152" s="8"/>
      <c r="F152" s="35"/>
      <c r="G152" s="35"/>
      <c r="H152" s="36" t="str">
        <f>G26&amp;" + "&amp;G47&amp;" + "&amp;G65&amp;" + "&amp;G89&amp;" + "&amp;G113&amp;" + "&amp;G150</f>
        <v>c8.6a + c8.16a + c8.24a + c8.24l + c8.25 + c8.25c</v>
      </c>
      <c r="I152" s="8"/>
      <c r="J152" s="8"/>
      <c r="K152" s="8"/>
      <c r="L152" s="8"/>
      <c r="M152" s="8"/>
      <c r="N152" s="8"/>
      <c r="O152" s="8"/>
      <c r="P152" s="8"/>
      <c r="Q152" s="8"/>
      <c r="R152" s="8"/>
      <c r="S152" s="8"/>
      <c r="T152" s="8"/>
      <c r="U152" s="8"/>
      <c r="V152" s="8"/>
    </row>
    <row r="153" spans="1:22" x14ac:dyDescent="0.25">
      <c r="A153" s="8"/>
      <c r="B153" s="890" t="s">
        <v>8239</v>
      </c>
      <c r="C153" s="8"/>
      <c r="D153" s="8"/>
      <c r="E153" s="8"/>
      <c r="F153" s="8"/>
      <c r="G153" s="2160" t="str">
        <f>A63</f>
        <v>c8.26</v>
      </c>
      <c r="H153" s="2182">
        <f>H26+H47+H65+H89+H113+H150</f>
        <v>0</v>
      </c>
      <c r="I153" s="8"/>
      <c r="J153" s="8"/>
      <c r="K153" s="8"/>
      <c r="L153" s="8"/>
      <c r="M153" s="8"/>
      <c r="N153" s="8"/>
      <c r="O153" s="8"/>
      <c r="P153" s="8"/>
      <c r="Q153" s="8"/>
      <c r="R153" s="8"/>
      <c r="S153" s="8"/>
      <c r="T153" s="8"/>
      <c r="U153" s="8"/>
      <c r="V153" s="8"/>
    </row>
    <row r="154" spans="1:22" x14ac:dyDescent="0.25">
      <c r="A154" s="8"/>
      <c r="B154" s="8"/>
      <c r="C154" s="8"/>
      <c r="D154" s="8"/>
      <c r="E154" s="8"/>
      <c r="F154" s="35"/>
      <c r="G154" s="8"/>
      <c r="H154" s="36" t="str">
        <f>"copy to "&amp;'Tax adj (c9)'!L5</f>
        <v>copy to c9.1</v>
      </c>
      <c r="I154" s="8"/>
      <c r="J154" s="8"/>
      <c r="K154" s="8"/>
      <c r="L154" s="8"/>
      <c r="M154" s="8"/>
      <c r="N154" s="8"/>
      <c r="O154" s="8"/>
      <c r="P154" s="8"/>
      <c r="Q154" s="8"/>
      <c r="R154" s="8"/>
      <c r="S154" s="8"/>
      <c r="T154" s="8"/>
      <c r="U154" s="8"/>
      <c r="V154" s="8"/>
    </row>
    <row r="155" spans="1:22" x14ac:dyDescent="0.25">
      <c r="A155" s="8"/>
      <c r="B155" s="8"/>
      <c r="C155" s="8"/>
      <c r="D155" s="8"/>
      <c r="E155" s="8"/>
      <c r="F155" s="8"/>
      <c r="G155" s="8"/>
      <c r="H155" s="8"/>
      <c r="I155" s="8"/>
      <c r="J155" s="8"/>
      <c r="K155" s="8"/>
      <c r="L155" s="8"/>
      <c r="M155" s="8"/>
      <c r="N155" s="8"/>
      <c r="O155" s="8"/>
      <c r="P155" s="8"/>
      <c r="Q155" s="8"/>
      <c r="R155" s="8"/>
      <c r="S155" s="8"/>
      <c r="T155" s="8"/>
      <c r="U155" s="8"/>
      <c r="V155" s="8"/>
    </row>
    <row r="156" spans="1:22" x14ac:dyDescent="0.25">
      <c r="A156" s="8"/>
      <c r="B156" s="8"/>
      <c r="C156" s="8"/>
      <c r="D156" s="8"/>
      <c r="E156" s="8"/>
      <c r="F156" s="8"/>
      <c r="G156" s="8"/>
      <c r="H156" s="9" t="str">
        <f>"If "&amp;'Status (c3a)'!L45&amp;" &lt;  BR_rate ("&amp;BR_rate * 100&amp;"%)"</f>
        <v>If c3a.4 &lt;  BR_rate (20%)</v>
      </c>
      <c r="I156" s="8"/>
      <c r="J156" s="8"/>
      <c r="K156" s="8"/>
      <c r="L156" s="8"/>
      <c r="M156" s="8"/>
      <c r="N156" s="8"/>
      <c r="O156" s="457"/>
      <c r="P156" s="8"/>
      <c r="Q156" s="8"/>
      <c r="R156" s="8"/>
      <c r="S156" s="8"/>
      <c r="T156" s="8"/>
      <c r="U156" s="8"/>
      <c r="V156" s="8"/>
    </row>
    <row r="157" spans="1:22" x14ac:dyDescent="0.25">
      <c r="A157" s="8"/>
      <c r="B157" s="8"/>
      <c r="C157" s="8"/>
      <c r="D157" s="8"/>
      <c r="E157" s="8"/>
      <c r="F157" s="8"/>
      <c r="G157" s="9"/>
      <c r="H157" s="9" t="str">
        <f>"set "&amp;'Deductions (c4)'!H383&amp;" to "&amp;'Deductions (c4)'!H379</f>
        <v>set c4.59 to c4.58</v>
      </c>
      <c r="I157" s="8"/>
      <c r="J157" s="8"/>
      <c r="K157" s="8"/>
      <c r="L157" s="8"/>
      <c r="M157" s="8"/>
      <c r="N157" s="457" t="s">
        <v>8240</v>
      </c>
      <c r="O157" s="8"/>
      <c r="P157" s="8"/>
      <c r="Q157" s="8"/>
      <c r="R157" s="8"/>
      <c r="S157" s="8"/>
      <c r="T157" s="8"/>
      <c r="U157" s="8"/>
      <c r="V157" s="8"/>
    </row>
    <row r="158" spans="1:22" x14ac:dyDescent="0.25">
      <c r="A158" s="8"/>
      <c r="B158" s="171"/>
      <c r="C158" s="8"/>
      <c r="D158" s="8"/>
      <c r="E158" s="8"/>
      <c r="F158" s="8"/>
      <c r="G158" s="9"/>
      <c r="H158" s="9" t="str">
        <f>"set "&amp;'Deductions (c4)'!H395&amp;" to "&amp;'Deductions (c4)'!H360&amp;" + "&amp;'Deductions (c4)'!H379&amp;" minus "&amp;'Deductions (c4)'!H392</f>
        <v>set c4.62 to c4.57 + c4.58 minus c4.61</v>
      </c>
      <c r="I158" s="8"/>
      <c r="J158" s="8"/>
      <c r="K158" s="8"/>
      <c r="L158" s="8"/>
      <c r="M158" s="457" t="s">
        <v>8241</v>
      </c>
      <c r="N158" s="2202" t="b">
        <f>'Status (c3a)'!M45&lt;BR_rate</f>
        <v>0</v>
      </c>
      <c r="O158" s="8"/>
      <c r="P158" s="8"/>
      <c r="Q158" s="8"/>
      <c r="R158" s="8"/>
      <c r="S158" s="8"/>
      <c r="T158" s="8"/>
      <c r="U158" s="8"/>
      <c r="V158" s="8"/>
    </row>
    <row r="159" spans="1:22" x14ac:dyDescent="0.25">
      <c r="A159" s="8"/>
      <c r="B159" s="171"/>
      <c r="C159" s="8"/>
      <c r="D159" s="8"/>
      <c r="E159" s="8"/>
      <c r="F159" s="8"/>
      <c r="G159" s="9"/>
      <c r="H159" s="9" t="str">
        <f>"calculate boxes "&amp;'Deductions (c4)'!H383&amp;" to "&amp;G150&amp;", but ignore stage 7"</f>
        <v>calculate boxes c4.59 to c8.25c, but ignore stage 7</v>
      </c>
      <c r="I159" s="8"/>
      <c r="J159" s="8"/>
      <c r="K159" s="8"/>
      <c r="L159" s="8"/>
      <c r="M159" s="8"/>
      <c r="N159" s="8"/>
      <c r="O159" s="8"/>
      <c r="P159" s="8"/>
      <c r="Q159" s="8"/>
      <c r="R159" s="8"/>
      <c r="S159" s="8"/>
      <c r="T159" s="8"/>
      <c r="U159" s="8"/>
      <c r="V159" s="8"/>
    </row>
    <row r="160" spans="1:22" x14ac:dyDescent="0.25">
      <c r="A160" s="8"/>
      <c r="B160" s="171"/>
      <c r="C160" s="8"/>
      <c r="D160" s="8"/>
      <c r="E160" s="8"/>
      <c r="F160" s="8"/>
      <c r="G160" s="9"/>
      <c r="H160" s="9" t="str">
        <f>G167&amp;" = "&amp;G26&amp;" + "&amp;G47&amp;" + "&amp;G65&amp;" + "&amp;G89&amp;" + "&amp;G113&amp;" + "&amp;G150</f>
        <v>c8.27 = c8.6a + c8.16a + c8.24a + c8.24l + c8.25 + c8.25c</v>
      </c>
      <c r="I160" s="8"/>
      <c r="J160" s="8"/>
      <c r="K160" s="8"/>
      <c r="L160" s="8"/>
      <c r="M160" s="9"/>
      <c r="N160" s="8"/>
      <c r="O160" s="8"/>
      <c r="P160" s="458"/>
      <c r="Q160" s="8"/>
      <c r="R160" s="8"/>
      <c r="S160" s="8"/>
      <c r="T160" s="8"/>
      <c r="U160" s="8"/>
      <c r="V160" s="8"/>
    </row>
    <row r="161" spans="1:22" x14ac:dyDescent="0.25">
      <c r="A161" s="8"/>
      <c r="B161" s="171"/>
      <c r="C161" s="8"/>
      <c r="D161" s="8"/>
      <c r="E161" s="8"/>
      <c r="F161" s="8"/>
      <c r="G161" s="9"/>
      <c r="H161" s="9" t="str">
        <f>"set "&amp;'Deductions (c4)'!H383&amp;" to "&amp;'Deductions (c4)'!H360&amp;" + "&amp;'Deductions (c4)'!H379</f>
        <v>set c4.59 to c4.57 + c4.58</v>
      </c>
      <c r="I161" s="8"/>
      <c r="J161" s="8"/>
      <c r="K161" s="8"/>
      <c r="L161" s="8"/>
      <c r="M161" s="457" t="s">
        <v>8242</v>
      </c>
      <c r="N161" s="2202" t="b">
        <v>0</v>
      </c>
      <c r="O161" s="458" t="s">
        <v>8231</v>
      </c>
      <c r="P161" s="458"/>
      <c r="Q161" s="8"/>
      <c r="R161" s="8"/>
      <c r="S161" s="8"/>
      <c r="T161" s="8"/>
      <c r="U161" s="8"/>
      <c r="V161" s="8"/>
    </row>
    <row r="162" spans="1:22" ht="12.5" x14ac:dyDescent="0.25">
      <c r="A162" s="8"/>
      <c r="B162" s="171"/>
      <c r="C162" s="8"/>
      <c r="D162" s="8"/>
      <c r="E162" s="8"/>
      <c r="F162" s="8"/>
      <c r="G162" s="8"/>
      <c r="H162" s="9" t="str">
        <f>"set "&amp;'Deductions (c4)'!H395&amp;" to "&amp;'Deductions (c4)'!H383&amp;" minus "&amp;'Deductions (c4)'!H392</f>
        <v>set c4.62 to c4.59 minus c4.61</v>
      </c>
      <c r="I162" s="8"/>
      <c r="J162" s="8"/>
      <c r="K162" s="8"/>
      <c r="L162" s="8"/>
      <c r="M162" s="457" t="s">
        <v>8243</v>
      </c>
      <c r="N162" s="2203"/>
      <c r="O162" s="458" t="s">
        <v>5388</v>
      </c>
      <c r="P162" s="458"/>
      <c r="Q162" s="8"/>
      <c r="R162" s="8"/>
      <c r="S162" s="8"/>
      <c r="T162" s="8"/>
      <c r="U162" s="8"/>
      <c r="V162" s="8"/>
    </row>
    <row r="163" spans="1:22" x14ac:dyDescent="0.25">
      <c r="A163" s="8"/>
      <c r="B163" s="171"/>
      <c r="C163" s="8"/>
      <c r="D163" s="8"/>
      <c r="E163" s="8"/>
      <c r="F163" s="8"/>
      <c r="G163" s="9"/>
      <c r="H163" s="9" t="str">
        <f>"calculate boxes "&amp;'Deductions (c4)'!H383&amp;" to "&amp;G150</f>
        <v>calculate boxes c4.59 to c8.25c</v>
      </c>
      <c r="I163" s="8"/>
      <c r="J163" s="8"/>
      <c r="K163" s="8"/>
      <c r="L163" s="8"/>
      <c r="M163" s="457" t="s">
        <v>8244</v>
      </c>
      <c r="N163" s="2202" t="b">
        <v>0</v>
      </c>
      <c r="O163" s="458" t="s">
        <v>8245</v>
      </c>
      <c r="P163" s="8"/>
      <c r="Q163" s="8"/>
      <c r="R163" s="8"/>
      <c r="S163" s="8"/>
      <c r="T163" s="8"/>
      <c r="U163" s="8"/>
      <c r="V163" s="8"/>
    </row>
    <row r="164" spans="1:22" x14ac:dyDescent="0.25">
      <c r="A164" s="8"/>
      <c r="B164" s="171"/>
      <c r="C164" s="8"/>
      <c r="D164" s="8"/>
      <c r="E164" s="8"/>
      <c r="F164" s="8"/>
      <c r="G164" s="9"/>
      <c r="H164" s="9" t="s">
        <v>7143</v>
      </c>
      <c r="I164" s="8"/>
      <c r="J164" s="8"/>
      <c r="K164" s="8"/>
      <c r="L164" s="8"/>
      <c r="M164" s="457"/>
      <c r="N164" s="909"/>
      <c r="O164" s="458"/>
      <c r="P164" s="8"/>
      <c r="Q164" s="8"/>
      <c r="R164" s="8"/>
      <c r="S164" s="8"/>
      <c r="T164" s="8"/>
      <c r="U164" s="8"/>
      <c r="V164" s="8"/>
    </row>
    <row r="165" spans="1:22" x14ac:dyDescent="0.25">
      <c r="A165" s="8"/>
      <c r="B165" s="171"/>
      <c r="C165" s="8"/>
      <c r="D165" s="8"/>
      <c r="E165" s="8"/>
      <c r="F165" s="8"/>
      <c r="G165" s="9"/>
      <c r="H165" s="9" t="str">
        <f>G167&amp;" = 0 (zero)"</f>
        <v>c8.27 = 0 (zero)</v>
      </c>
      <c r="I165" s="8"/>
      <c r="J165" s="8"/>
      <c r="K165" s="8"/>
      <c r="L165" s="8"/>
      <c r="M165" s="8"/>
      <c r="N165" s="8"/>
      <c r="O165" s="8"/>
      <c r="P165" s="8"/>
      <c r="Q165" s="8"/>
      <c r="R165" s="8"/>
      <c r="S165" s="8"/>
      <c r="T165" s="8"/>
      <c r="U165" s="8"/>
      <c r="V165" s="8"/>
    </row>
    <row r="166" spans="1:22" x14ac:dyDescent="0.25">
      <c r="A166" s="8"/>
      <c r="B166" s="171"/>
      <c r="C166" s="8"/>
      <c r="D166" s="8"/>
      <c r="E166" s="8"/>
      <c r="F166" s="8"/>
      <c r="G166" s="36"/>
      <c r="H166" s="9" t="s">
        <v>75</v>
      </c>
      <c r="I166" s="8"/>
      <c r="J166" s="8"/>
      <c r="K166" s="8"/>
      <c r="L166" s="8"/>
      <c r="M166" s="8"/>
      <c r="N166" s="8"/>
      <c r="O166" s="8"/>
      <c r="P166" s="8"/>
      <c r="Q166" s="8"/>
      <c r="R166" s="8"/>
      <c r="S166" s="8"/>
      <c r="T166" s="8"/>
      <c r="U166" s="8"/>
      <c r="V166" s="8"/>
    </row>
    <row r="167" spans="1:22" x14ac:dyDescent="0.25">
      <c r="A167" s="8"/>
      <c r="B167" s="171" t="s">
        <v>8246</v>
      </c>
      <c r="C167" s="8"/>
      <c r="D167" s="8"/>
      <c r="E167" s="8"/>
      <c r="F167" s="8"/>
      <c r="G167" s="2160" t="str">
        <f>A64</f>
        <v>c8.27</v>
      </c>
      <c r="H167" s="2182">
        <f>IF(use_GA_alt_c8_26, GA_alt_c8_26,0)</f>
        <v>0</v>
      </c>
      <c r="I167" s="8"/>
      <c r="J167" s="8"/>
      <c r="K167" s="8"/>
      <c r="L167" s="8"/>
      <c r="M167" s="8"/>
      <c r="N167" s="8"/>
      <c r="O167" s="8"/>
      <c r="P167" s="8"/>
      <c r="Q167" s="8"/>
      <c r="R167" s="8"/>
      <c r="S167" s="8"/>
      <c r="T167" s="8"/>
      <c r="U167" s="8"/>
      <c r="V167" s="8"/>
    </row>
    <row r="168" spans="1:22" x14ac:dyDescent="0.25">
      <c r="A168" s="8"/>
      <c r="B168" s="8"/>
      <c r="C168" s="8"/>
      <c r="D168" s="8"/>
      <c r="E168" s="8"/>
      <c r="F168" s="8"/>
      <c r="G168" s="8"/>
      <c r="H168" s="8"/>
      <c r="I168" s="8"/>
      <c r="J168" s="8"/>
      <c r="K168" s="8"/>
      <c r="L168" s="8"/>
      <c r="M168" s="8"/>
      <c r="N168" s="8"/>
      <c r="O168" s="8"/>
      <c r="P168" s="8"/>
      <c r="Q168" s="8"/>
      <c r="R168" s="8"/>
      <c r="S168" s="8"/>
      <c r="T168" s="8"/>
      <c r="U168" s="8"/>
      <c r="V168" s="8"/>
    </row>
    <row r="169" spans="1:22" x14ac:dyDescent="0.25">
      <c r="A169" s="8"/>
      <c r="B169" s="8"/>
      <c r="C169" s="8"/>
      <c r="D169" s="8"/>
      <c r="E169" s="8"/>
      <c r="F169" s="8"/>
      <c r="G169" s="8"/>
      <c r="H169" s="8"/>
      <c r="I169" s="8"/>
      <c r="J169" s="8"/>
      <c r="K169" s="8"/>
      <c r="L169" s="8"/>
      <c r="M169" s="457" t="s">
        <v>8247</v>
      </c>
      <c r="N169" s="2178" t="s">
        <v>5249</v>
      </c>
      <c r="O169" s="2204">
        <f>H26+H47+H65+H89+H113+H150</f>
        <v>0</v>
      </c>
      <c r="P169" s="8"/>
      <c r="Q169" s="8"/>
      <c r="R169" s="8"/>
      <c r="S169" s="8"/>
      <c r="T169" s="8"/>
      <c r="U169" s="8"/>
      <c r="V169" s="8"/>
    </row>
    <row r="171" spans="1:22" x14ac:dyDescent="0.25">
      <c r="A171" s="8"/>
      <c r="B171" s="8"/>
      <c r="C171" s="8"/>
      <c r="D171" s="8"/>
      <c r="E171" s="8"/>
      <c r="F171" s="8"/>
      <c r="G171" s="8"/>
      <c r="H171" s="8"/>
      <c r="I171" s="8"/>
      <c r="J171" s="8"/>
      <c r="K171" s="8"/>
      <c r="L171" s="8"/>
      <c r="M171" s="8"/>
      <c r="N171" s="8"/>
      <c r="O171" s="8"/>
      <c r="P171" s="8"/>
      <c r="Q171" s="8"/>
      <c r="R171" s="8"/>
      <c r="S171" s="8"/>
      <c r="T171" s="8"/>
      <c r="U171" s="8"/>
      <c r="V171" s="8"/>
    </row>
    <row r="172" spans="1:22" x14ac:dyDescent="0.25">
      <c r="A172" s="8"/>
      <c r="B172" s="8"/>
      <c r="C172" s="8"/>
      <c r="D172" s="8"/>
      <c r="E172" s="8"/>
      <c r="F172" s="8"/>
      <c r="G172" s="8"/>
      <c r="H172" s="8"/>
      <c r="I172" s="8"/>
      <c r="J172" s="8"/>
      <c r="K172" s="8"/>
      <c r="L172" s="8"/>
      <c r="M172" s="8"/>
      <c r="N172" s="8"/>
      <c r="O172" s="8"/>
      <c r="P172" s="8"/>
      <c r="Q172" s="8"/>
      <c r="R172" s="8"/>
      <c r="S172" s="8"/>
      <c r="T172" s="8"/>
      <c r="U172" s="8"/>
      <c r="V172" s="8"/>
    </row>
    <row r="173" spans="1:22" x14ac:dyDescent="0.25">
      <c r="A173" s="8"/>
      <c r="B173" s="8"/>
      <c r="C173" s="8"/>
      <c r="D173" s="8"/>
      <c r="E173" s="8"/>
      <c r="F173" s="8"/>
      <c r="G173" s="8"/>
      <c r="H173" s="8"/>
      <c r="I173" s="8"/>
      <c r="J173" s="8"/>
      <c r="K173" s="8"/>
      <c r="L173" s="8"/>
      <c r="M173" s="8"/>
      <c r="N173" s="8"/>
      <c r="O173" s="8"/>
      <c r="P173" s="8"/>
      <c r="Q173" s="8"/>
      <c r="R173" s="8"/>
      <c r="S173" s="8"/>
      <c r="T173" s="8"/>
      <c r="U173" s="8"/>
      <c r="V173" s="8"/>
    </row>
    <row r="175" spans="1:22" x14ac:dyDescent="0.25">
      <c r="A175" s="8"/>
      <c r="B175" s="171" t="s">
        <v>8248</v>
      </c>
      <c r="C175" s="8"/>
      <c r="D175" s="8"/>
      <c r="E175" s="8"/>
      <c r="F175" s="8"/>
      <c r="G175" s="36"/>
      <c r="H175" s="9" t="str">
        <f>G167&amp;" minus "&amp;G153</f>
        <v>c8.27 minus c8.26</v>
      </c>
      <c r="I175" s="8"/>
      <c r="J175" s="8"/>
      <c r="K175" s="8"/>
      <c r="L175" s="8"/>
      <c r="M175" s="8"/>
      <c r="N175" s="8"/>
      <c r="O175" s="8"/>
      <c r="P175" s="8"/>
      <c r="Q175" s="8"/>
      <c r="R175" s="8"/>
      <c r="S175" s="8"/>
      <c r="T175" s="8"/>
      <c r="U175" s="8"/>
      <c r="V175" s="8"/>
    </row>
    <row r="176" spans="1:22" x14ac:dyDescent="0.25">
      <c r="A176" s="8"/>
      <c r="B176" s="171" t="s">
        <v>8249</v>
      </c>
      <c r="C176" s="8"/>
      <c r="D176" s="8"/>
      <c r="E176" s="8"/>
      <c r="F176" s="8"/>
      <c r="G176" s="2160" t="str">
        <f>A65</f>
        <v>c8.28</v>
      </c>
      <c r="H176" s="2182">
        <f>MAX(0,H167-H153)</f>
        <v>0</v>
      </c>
      <c r="I176" s="8"/>
      <c r="J176" s="8"/>
      <c r="K176" s="8"/>
      <c r="L176" s="8"/>
      <c r="M176" s="8"/>
      <c r="N176" s="8"/>
      <c r="O176" s="8"/>
      <c r="P176" s="8"/>
      <c r="Q176" s="8"/>
      <c r="R176" s="8"/>
      <c r="S176" s="8"/>
      <c r="T176" s="8"/>
      <c r="U176" s="8"/>
      <c r="V176" s="8"/>
    </row>
    <row r="177" spans="1:22" x14ac:dyDescent="0.25">
      <c r="A177" s="8"/>
      <c r="B177" s="8"/>
      <c r="C177" s="8"/>
      <c r="D177" s="8"/>
      <c r="E177" s="8"/>
      <c r="F177" s="8"/>
      <c r="G177" s="8"/>
      <c r="H177" s="8"/>
      <c r="I177" s="8"/>
      <c r="J177" s="8"/>
      <c r="K177" s="8"/>
      <c r="L177" s="8"/>
      <c r="M177" s="8"/>
      <c r="N177" s="8"/>
      <c r="O177" s="8"/>
      <c r="P177" s="8"/>
      <c r="Q177" s="8"/>
      <c r="R177" s="8"/>
      <c r="S177" s="8"/>
      <c r="T177" s="8"/>
      <c r="U177" s="8"/>
      <c r="V177" s="8"/>
    </row>
    <row r="178" spans="1:22" x14ac:dyDescent="0.25">
      <c r="A178" s="8"/>
      <c r="B178" s="8"/>
      <c r="C178" s="8"/>
      <c r="D178" s="8"/>
      <c r="E178" s="8"/>
      <c r="F178" s="8"/>
      <c r="G178" s="8"/>
      <c r="H178" s="8"/>
      <c r="I178" s="8"/>
      <c r="J178" s="8"/>
      <c r="K178" s="8"/>
      <c r="L178" s="8"/>
      <c r="M178" s="8"/>
      <c r="N178" s="8"/>
      <c r="O178" s="8"/>
      <c r="P178" s="8"/>
      <c r="Q178" s="8"/>
      <c r="R178" s="8"/>
      <c r="S178" s="8"/>
      <c r="T178" s="8"/>
      <c r="U178" s="8"/>
      <c r="V178" s="8"/>
    </row>
    <row r="179" spans="1:22" x14ac:dyDescent="0.25">
      <c r="A179" s="8"/>
      <c r="B179" s="2151"/>
      <c r="C179" s="2151"/>
      <c r="D179" s="2151"/>
      <c r="E179" s="2151"/>
      <c r="F179" s="2151"/>
      <c r="G179" s="2151"/>
      <c r="H179" s="2151"/>
      <c r="I179" s="2151"/>
      <c r="J179" s="2151"/>
      <c r="K179" s="8"/>
      <c r="L179" s="8"/>
      <c r="M179" s="8"/>
      <c r="N179" s="8"/>
      <c r="O179" s="8"/>
      <c r="P179" s="8"/>
      <c r="Q179" s="8"/>
      <c r="R179" s="8"/>
      <c r="S179" s="8"/>
      <c r="T179" s="8"/>
      <c r="U179" s="8"/>
      <c r="V179" s="8"/>
    </row>
    <row r="180" spans="1:22" x14ac:dyDescent="0.25">
      <c r="A180" s="8"/>
      <c r="B180" s="8"/>
      <c r="C180" s="8"/>
      <c r="D180" s="8"/>
      <c r="E180" s="8"/>
      <c r="F180" s="8"/>
      <c r="G180" s="8"/>
      <c r="H180" s="8"/>
      <c r="I180" s="8"/>
      <c r="J180" s="8"/>
      <c r="K180" s="8"/>
      <c r="L180" s="8"/>
      <c r="M180" s="8"/>
      <c r="N180" s="8"/>
      <c r="O180" s="8"/>
      <c r="P180" s="8"/>
      <c r="Q180" s="8"/>
      <c r="R180" s="8"/>
      <c r="S180" s="8"/>
      <c r="T180" s="8"/>
      <c r="U180" s="8"/>
      <c r="V180" s="8"/>
    </row>
    <row r="181" spans="1:22" x14ac:dyDescent="0.25">
      <c r="A181" s="8"/>
      <c r="B181" s="458"/>
      <c r="C181" s="458"/>
      <c r="D181" s="457" t="str">
        <f>"If "&amp;C17&amp;" + "&amp;C41&amp;" + "&amp;C59&amp;" &gt; 0 (zero)"</f>
        <v>If c8.3 + c8.13 + c8.21 &gt; 0 (zero)</v>
      </c>
      <c r="E181" s="458"/>
      <c r="F181" s="8"/>
      <c r="G181" s="8"/>
      <c r="H181" s="8"/>
      <c r="I181" s="8"/>
      <c r="J181" s="8"/>
      <c r="K181" s="8"/>
      <c r="L181" s="8"/>
      <c r="M181" s="8"/>
      <c r="N181" s="8"/>
      <c r="O181" s="8"/>
      <c r="P181" s="8"/>
      <c r="Q181" s="8"/>
      <c r="R181" s="8"/>
      <c r="S181" s="8"/>
      <c r="T181" s="8"/>
      <c r="U181" s="8"/>
      <c r="V181" s="8"/>
    </row>
    <row r="182" spans="1:22" x14ac:dyDescent="0.25">
      <c r="A182" s="8"/>
      <c r="B182" s="458"/>
      <c r="C182" s="458"/>
      <c r="D182" s="458" t="str">
        <f>C186&amp;" = 'Y'"</f>
        <v xml:space="preserve"> = 'Y'</v>
      </c>
      <c r="E182" s="458"/>
      <c r="F182" s="8"/>
      <c r="G182" s="8"/>
      <c r="H182" s="8"/>
      <c r="I182" s="8"/>
      <c r="J182" s="8"/>
      <c r="K182" s="8"/>
      <c r="L182" s="8"/>
      <c r="M182" s="8"/>
      <c r="N182" s="8"/>
      <c r="O182" s="8"/>
      <c r="P182" s="8"/>
      <c r="Q182" s="8"/>
      <c r="R182" s="8"/>
      <c r="S182" s="8"/>
      <c r="T182" s="8"/>
      <c r="U182" s="8"/>
      <c r="V182" s="8"/>
    </row>
    <row r="183" spans="1:22" x14ac:dyDescent="0.25">
      <c r="A183" s="8"/>
      <c r="B183" s="458"/>
      <c r="C183" s="458"/>
      <c r="D183" s="458" t="s">
        <v>7143</v>
      </c>
      <c r="E183" s="458"/>
      <c r="F183" s="8"/>
      <c r="G183" s="8"/>
      <c r="H183" s="8"/>
      <c r="I183" s="8"/>
      <c r="J183" s="8"/>
      <c r="K183" s="8"/>
      <c r="L183" s="8"/>
      <c r="M183" s="8"/>
      <c r="N183" s="8"/>
      <c r="O183" s="8"/>
      <c r="P183" s="8"/>
      <c r="Q183" s="8"/>
      <c r="R183" s="8"/>
      <c r="S183" s="8"/>
      <c r="T183" s="8"/>
      <c r="U183" s="8"/>
      <c r="V183" s="8"/>
    </row>
    <row r="184" spans="1:22" x14ac:dyDescent="0.25">
      <c r="A184" s="8"/>
      <c r="B184" s="458"/>
      <c r="C184" s="458"/>
      <c r="D184" s="458" t="str">
        <f>C186&amp;" = 'N'"</f>
        <v xml:space="preserve"> = 'N'</v>
      </c>
      <c r="E184" s="458"/>
      <c r="F184" s="8"/>
      <c r="G184" s="8"/>
      <c r="H184" s="8"/>
      <c r="I184" s="8"/>
      <c r="J184" s="8"/>
      <c r="K184" s="8"/>
      <c r="L184" s="8"/>
      <c r="M184" s="8"/>
      <c r="N184" s="8"/>
      <c r="O184" s="8"/>
      <c r="P184" s="8"/>
      <c r="Q184" s="8"/>
      <c r="R184" s="8"/>
      <c r="S184" s="8"/>
      <c r="T184" s="8"/>
      <c r="U184" s="8"/>
      <c r="V184" s="8"/>
    </row>
    <row r="185" spans="1:22" x14ac:dyDescent="0.25">
      <c r="A185" s="8"/>
      <c r="B185" s="458"/>
      <c r="C185" s="458"/>
      <c r="D185" s="458" t="s">
        <v>75</v>
      </c>
      <c r="E185" s="458"/>
      <c r="F185" s="8"/>
      <c r="G185" s="8"/>
      <c r="H185" s="8"/>
      <c r="I185" s="8"/>
      <c r="J185" s="8"/>
      <c r="K185" s="8"/>
      <c r="L185" s="8"/>
      <c r="M185" s="8"/>
      <c r="N185" s="8"/>
      <c r="O185" s="8"/>
      <c r="P185" s="8"/>
      <c r="Q185" s="8"/>
      <c r="R185" s="8"/>
      <c r="S185" s="8"/>
      <c r="T185" s="8"/>
      <c r="U185" s="8"/>
      <c r="V185" s="8"/>
    </row>
    <row r="186" spans="1:22" x14ac:dyDescent="0.25">
      <c r="A186" s="8"/>
      <c r="B186" s="457" t="s">
        <v>8250</v>
      </c>
      <c r="C186" s="2197"/>
      <c r="D186" s="2178" t="str">
        <f>IF(D17+D41+D59&gt;0,"Y","N")</f>
        <v>N</v>
      </c>
      <c r="E186" s="458"/>
      <c r="F186" s="8"/>
      <c r="G186" s="8"/>
      <c r="H186" s="8"/>
      <c r="I186" s="8"/>
      <c r="J186" s="8"/>
      <c r="K186" s="8"/>
      <c r="L186" s="8"/>
      <c r="M186" s="8"/>
      <c r="N186" s="8"/>
      <c r="O186" s="8"/>
      <c r="P186" s="8"/>
      <c r="Q186" s="8"/>
      <c r="R186" s="8"/>
      <c r="S186" s="8"/>
      <c r="T186" s="8"/>
      <c r="U186" s="8"/>
      <c r="V186" s="8"/>
    </row>
    <row r="187" spans="1:22" x14ac:dyDescent="0.25">
      <c r="A187" s="8"/>
      <c r="B187" s="458"/>
      <c r="C187" s="458"/>
      <c r="D187" s="458"/>
      <c r="E187" s="458"/>
      <c r="F187" s="8"/>
      <c r="G187" s="8"/>
      <c r="H187" s="8"/>
      <c r="I187" s="8"/>
      <c r="J187" s="8"/>
      <c r="K187" s="8"/>
      <c r="L187" s="8"/>
      <c r="M187" s="8"/>
      <c r="N187" s="8"/>
      <c r="O187" s="8"/>
      <c r="P187" s="8"/>
      <c r="Q187" s="8"/>
      <c r="R187" s="8"/>
      <c r="S187" s="8"/>
      <c r="T187" s="8"/>
      <c r="U187" s="8"/>
      <c r="V187" s="8"/>
    </row>
    <row r="188" spans="1:22" x14ac:dyDescent="0.25">
      <c r="A188" s="8"/>
      <c r="B188" s="458"/>
      <c r="C188" s="458"/>
      <c r="D188" s="457" t="str">
        <f>"If "&amp;C23&amp;" + "&amp;C44&amp;" + "&amp;C62&amp;" &gt; 0 (zero)"</f>
        <v>If c8.5 + c8.15 + c8.23 &gt; 0 (zero)</v>
      </c>
      <c r="E188" s="458"/>
      <c r="F188" s="8"/>
      <c r="G188" s="8"/>
      <c r="H188" s="8"/>
      <c r="I188" s="8"/>
      <c r="J188" s="8"/>
      <c r="K188" s="8"/>
      <c r="L188" s="8"/>
      <c r="M188" s="8"/>
      <c r="N188" s="8"/>
      <c r="O188" s="8"/>
      <c r="P188" s="8"/>
      <c r="Q188" s="8"/>
      <c r="R188" s="8"/>
      <c r="S188" s="8"/>
      <c r="T188" s="8"/>
      <c r="U188" s="8"/>
      <c r="V188" s="8"/>
    </row>
    <row r="189" spans="1:22" x14ac:dyDescent="0.25">
      <c r="A189" s="8"/>
      <c r="B189" s="458"/>
      <c r="C189" s="458"/>
      <c r="D189" s="458" t="str">
        <f>C193&amp;" = 'Y'"</f>
        <v xml:space="preserve"> = 'Y'</v>
      </c>
      <c r="E189" s="458"/>
      <c r="F189" s="8"/>
      <c r="G189" s="8"/>
      <c r="H189" s="8"/>
      <c r="I189" s="8"/>
      <c r="J189" s="8"/>
      <c r="K189" s="8"/>
      <c r="L189" s="8"/>
      <c r="M189" s="8"/>
      <c r="N189" s="8"/>
      <c r="O189" s="8"/>
      <c r="P189" s="8"/>
      <c r="Q189" s="8"/>
      <c r="R189" s="8"/>
      <c r="S189" s="8"/>
      <c r="T189" s="8"/>
      <c r="U189" s="8"/>
      <c r="V189" s="8"/>
    </row>
    <row r="190" spans="1:22" x14ac:dyDescent="0.25">
      <c r="A190" s="8"/>
      <c r="B190" s="458"/>
      <c r="C190" s="458"/>
      <c r="D190" s="458" t="s">
        <v>7143</v>
      </c>
      <c r="E190" s="458"/>
      <c r="F190" s="8"/>
      <c r="G190" s="8"/>
      <c r="H190" s="8"/>
      <c r="I190" s="8"/>
      <c r="J190" s="8"/>
      <c r="K190" s="8"/>
      <c r="L190" s="8"/>
      <c r="M190" s="8"/>
      <c r="N190" s="8"/>
      <c r="O190" s="8"/>
      <c r="P190" s="8"/>
      <c r="Q190" s="8"/>
      <c r="R190" s="8"/>
      <c r="S190" s="8"/>
      <c r="T190" s="8"/>
      <c r="U190" s="8"/>
      <c r="V190" s="8"/>
    </row>
    <row r="191" spans="1:22" x14ac:dyDescent="0.25">
      <c r="A191" s="8"/>
      <c r="B191" s="458"/>
      <c r="C191" s="458"/>
      <c r="D191" s="458" t="str">
        <f>C193&amp;" = 'N'"</f>
        <v xml:space="preserve"> = 'N'</v>
      </c>
      <c r="E191" s="458"/>
      <c r="F191" s="8"/>
      <c r="G191" s="8"/>
      <c r="H191" s="8"/>
      <c r="I191" s="8"/>
      <c r="J191" s="8"/>
      <c r="K191" s="8"/>
      <c r="L191" s="8"/>
      <c r="M191" s="8"/>
      <c r="N191" s="8"/>
      <c r="O191" s="8"/>
      <c r="P191" s="8"/>
      <c r="Q191" s="8"/>
      <c r="R191" s="8"/>
      <c r="S191" s="8"/>
      <c r="T191" s="8"/>
      <c r="U191" s="8"/>
      <c r="V191" s="8"/>
    </row>
    <row r="192" spans="1:22" x14ac:dyDescent="0.25">
      <c r="A192" s="8"/>
      <c r="B192" s="458"/>
      <c r="C192" s="458"/>
      <c r="D192" s="458" t="s">
        <v>75</v>
      </c>
      <c r="E192" s="458"/>
      <c r="F192" s="8"/>
      <c r="G192" s="8"/>
      <c r="H192" s="8"/>
      <c r="I192" s="8"/>
      <c r="J192" s="8"/>
      <c r="K192" s="8"/>
      <c r="L192" s="8"/>
      <c r="M192" s="8"/>
      <c r="N192" s="8"/>
      <c r="O192" s="8"/>
      <c r="P192" s="8"/>
      <c r="Q192" s="8"/>
      <c r="R192" s="8"/>
      <c r="S192" s="8"/>
      <c r="T192" s="8"/>
      <c r="U192" s="8"/>
      <c r="V192" s="8"/>
    </row>
    <row r="193" spans="1:22" x14ac:dyDescent="0.25">
      <c r="A193" s="8"/>
      <c r="B193" s="457" t="s">
        <v>8251</v>
      </c>
      <c r="C193" s="2197"/>
      <c r="D193" s="2178" t="str">
        <f>IF(D23+D44+D62&gt;0,"Y","N")</f>
        <v>N</v>
      </c>
      <c r="E193" s="458"/>
      <c r="F193" s="8"/>
      <c r="G193" s="8"/>
      <c r="H193" s="8"/>
      <c r="I193" s="8"/>
      <c r="J193" s="8"/>
      <c r="K193" s="8"/>
      <c r="L193" s="8"/>
      <c r="M193" s="8"/>
      <c r="N193" s="8"/>
      <c r="O193" s="8"/>
      <c r="P193" s="8"/>
      <c r="Q193" s="8"/>
      <c r="R193" s="8"/>
      <c r="S193" s="8"/>
      <c r="T193" s="8"/>
      <c r="U193" s="8"/>
      <c r="V193" s="8"/>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
  <dimension ref="A1:Q215"/>
  <sheetViews>
    <sheetView showGridLines="0" topLeftCell="B1" zoomScaleNormal="100" workbookViewId="0">
      <selection activeCell="B1" sqref="B1"/>
    </sheetView>
  </sheetViews>
  <sheetFormatPr defaultColWidth="8.81640625" defaultRowHeight="11.5" x14ac:dyDescent="0.25"/>
  <cols>
    <col min="1" max="1" width="8.54296875" style="78" hidden="1" customWidth="1"/>
    <col min="2" max="2" width="12.54296875" style="78" customWidth="1"/>
    <col min="3" max="3" width="6" style="78" customWidth="1"/>
    <col min="4" max="4" width="13.1796875" style="78" customWidth="1"/>
    <col min="5" max="5" width="11.1796875" style="78" customWidth="1"/>
    <col min="6" max="6" width="6.7265625" style="78" customWidth="1"/>
    <col min="7" max="7" width="16" style="78" customWidth="1"/>
    <col min="8" max="8" width="5.81640625" style="78" customWidth="1"/>
    <col min="9" max="9" width="6" style="78" customWidth="1"/>
    <col min="10" max="10" width="16" style="78" customWidth="1"/>
    <col min="11" max="11" width="7.1796875" style="78" customWidth="1"/>
    <col min="12" max="12" width="6" style="78" customWidth="1"/>
    <col min="13" max="13" width="16" style="78" customWidth="1"/>
    <col min="14" max="14" width="6.1796875" style="78" bestFit="1" customWidth="1"/>
    <col min="15" max="15" width="6.1796875" style="78" customWidth="1"/>
    <col min="16" max="16" width="8.81640625" style="78" customWidth="1"/>
    <col min="17" max="17" width="4.54296875" style="78" customWidth="1"/>
    <col min="18" max="18" width="5.81640625" style="78" customWidth="1"/>
    <col min="19" max="19" width="8.81640625" style="78" customWidth="1"/>
    <col min="20" max="20" width="4.54296875" style="78" customWidth="1"/>
    <col min="21" max="21" width="5.81640625" style="78" customWidth="1"/>
    <col min="22" max="22" width="8.81640625" style="78" customWidth="1"/>
    <col min="23" max="24" width="4.54296875" style="78" customWidth="1"/>
    <col min="25" max="25" width="8.81640625" style="78" customWidth="1"/>
    <col min="26" max="27" width="4.54296875" style="78" customWidth="1"/>
    <col min="28" max="16384" width="8.81640625" style="78"/>
  </cols>
  <sheetData>
    <row r="1" spans="1:13" ht="18" x14ac:dyDescent="0.4">
      <c r="A1" s="78" t="s">
        <v>8252</v>
      </c>
      <c r="B1" s="910" t="s">
        <v>8253</v>
      </c>
    </row>
    <row r="2" spans="1:13" x14ac:dyDescent="0.25">
      <c r="A2" s="78" t="s">
        <v>5255</v>
      </c>
      <c r="G2" s="2144" t="s">
        <v>7019</v>
      </c>
      <c r="H2" s="2205"/>
      <c r="I2" s="2205"/>
      <c r="J2" s="2205"/>
      <c r="K2" s="2165"/>
    </row>
    <row r="3" spans="1:13" x14ac:dyDescent="0.25">
      <c r="A3" s="78" t="s">
        <v>5261</v>
      </c>
    </row>
    <row r="4" spans="1:13" x14ac:dyDescent="0.25">
      <c r="A4" s="78" t="s">
        <v>8254</v>
      </c>
      <c r="M4" s="38" t="str">
        <f>"from "&amp;'tax it (c8)'!G153</f>
        <v>from c8.26</v>
      </c>
    </row>
    <row r="5" spans="1:13" x14ac:dyDescent="0.25">
      <c r="A5" s="78" t="s">
        <v>5266</v>
      </c>
      <c r="B5" s="87" t="s">
        <v>6714</v>
      </c>
      <c r="L5" s="2206" t="str">
        <f>A1</f>
        <v>c9.1</v>
      </c>
      <c r="M5" s="2207">
        <f>'tax it (c8)'!H153</f>
        <v>0</v>
      </c>
    </row>
    <row r="6" spans="1:13" x14ac:dyDescent="0.25">
      <c r="A6" s="78" t="s">
        <v>8255</v>
      </c>
    </row>
    <row r="7" spans="1:13" x14ac:dyDescent="0.25">
      <c r="A7" s="78" t="s">
        <v>5272</v>
      </c>
      <c r="B7" s="148" t="s">
        <v>8256</v>
      </c>
      <c r="J7" s="38" t="str">
        <f>"from "&amp;'CDR (c7)'!J94</f>
        <v>from c7.16</v>
      </c>
    </row>
    <row r="8" spans="1:13" x14ac:dyDescent="0.25">
      <c r="A8" s="78" t="s">
        <v>8257</v>
      </c>
      <c r="B8" s="140" t="s">
        <v>6673</v>
      </c>
      <c r="I8" s="2206" t="str">
        <f>A2</f>
        <v>c9.2</v>
      </c>
      <c r="J8" s="2207">
        <f>'CDR (c7)'!K94</f>
        <v>0</v>
      </c>
    </row>
    <row r="9" spans="1:13" x14ac:dyDescent="0.25">
      <c r="A9" s="78" t="s">
        <v>5278</v>
      </c>
    </row>
    <row r="10" spans="1:13" x14ac:dyDescent="0.25">
      <c r="A10" s="78" t="s">
        <v>8258</v>
      </c>
      <c r="J10" s="38" t="str">
        <f>"from "&amp;'TSR (c17)'!L308</f>
        <v>from c17.48</v>
      </c>
    </row>
    <row r="11" spans="1:13" x14ac:dyDescent="0.25">
      <c r="A11" s="78" t="s">
        <v>5284</v>
      </c>
      <c r="B11" s="140" t="s">
        <v>6674</v>
      </c>
      <c r="I11" s="2206" t="str">
        <f>A3</f>
        <v>c9.3</v>
      </c>
      <c r="J11" s="2182">
        <f>'TSR (c17)'!M308</f>
        <v>0</v>
      </c>
    </row>
    <row r="12" spans="1:13" x14ac:dyDescent="0.25">
      <c r="A12" s="78" t="s">
        <v>8259</v>
      </c>
      <c r="B12" s="149"/>
    </row>
    <row r="13" spans="1:13" x14ac:dyDescent="0.25">
      <c r="A13" s="78" t="s">
        <v>8260</v>
      </c>
      <c r="B13" s="149"/>
      <c r="D13" s="38"/>
      <c r="G13" s="911" t="str">
        <f>"from "&amp;AOR&amp;AOR!C5</f>
        <v>from AOR1</v>
      </c>
      <c r="J13" s="38" t="str">
        <f>F14&amp;" × VCT_rate ("&amp;VCT_rate * 100&amp;"%)"</f>
        <v>c9.4 × VCT_rate (30%)</v>
      </c>
    </row>
    <row r="14" spans="1:13" x14ac:dyDescent="0.25">
      <c r="A14" s="78" t="s">
        <v>8261</v>
      </c>
      <c r="B14" s="140" t="s">
        <v>8262</v>
      </c>
      <c r="F14" s="2206" t="str">
        <f>A4</f>
        <v>c9.4</v>
      </c>
      <c r="G14" s="2129">
        <f>TRUNC(AOR!D6+0.99,0)</f>
        <v>0</v>
      </c>
      <c r="H14" s="281" t="s">
        <v>7035</v>
      </c>
      <c r="I14" s="2206" t="str">
        <f>A5</f>
        <v>c9.5</v>
      </c>
      <c r="J14" s="2207">
        <f>TRUNC((G14*VCT_rate)+0.0099,2)</f>
        <v>0</v>
      </c>
      <c r="K14" s="281" t="s">
        <v>8206</v>
      </c>
    </row>
    <row r="15" spans="1:13" x14ac:dyDescent="0.25">
      <c r="A15" s="78" t="s">
        <v>8263</v>
      </c>
      <c r="B15" s="140"/>
      <c r="F15" s="83"/>
      <c r="I15" s="83"/>
      <c r="J15" s="35"/>
    </row>
    <row r="16" spans="1:13" x14ac:dyDescent="0.25">
      <c r="A16" s="78" t="s">
        <v>8264</v>
      </c>
      <c r="B16" s="140"/>
      <c r="F16" s="83"/>
      <c r="G16" s="911" t="str">
        <f>"from "&amp;AOR&amp;AOR!C8</f>
        <v>from AOR2</v>
      </c>
      <c r="J16" s="38" t="str">
        <f>F17&amp;" × EIS_rate ("&amp;EIS_rate * 100&amp;"%)"</f>
        <v>c9.6 × EIS_rate (30%)</v>
      </c>
    </row>
    <row r="17" spans="1:13" x14ac:dyDescent="0.25">
      <c r="A17" s="78" t="s">
        <v>4749</v>
      </c>
      <c r="B17" s="140" t="s">
        <v>8265</v>
      </c>
      <c r="F17" s="2206" t="str">
        <f>A6</f>
        <v>c9.6</v>
      </c>
      <c r="G17" s="2129">
        <f>TRUNC(AOR!D9+0.99,0)</f>
        <v>0</v>
      </c>
      <c r="H17" s="281" t="s">
        <v>7035</v>
      </c>
      <c r="I17" s="2206" t="str">
        <f>A7</f>
        <v>c9.7</v>
      </c>
      <c r="J17" s="2207">
        <f>TRUNC((G17*EIS_rate)+0.0099,2)</f>
        <v>0</v>
      </c>
      <c r="K17" s="281" t="s">
        <v>8206</v>
      </c>
    </row>
    <row r="18" spans="1:13" x14ac:dyDescent="0.25">
      <c r="A18" s="78" t="s">
        <v>4759</v>
      </c>
      <c r="B18" s="140"/>
      <c r="E18" s="911"/>
      <c r="F18" s="150"/>
      <c r="J18" s="35"/>
    </row>
    <row r="19" spans="1:13" x14ac:dyDescent="0.25">
      <c r="A19" s="78" t="s">
        <v>8266</v>
      </c>
      <c r="B19" s="140"/>
      <c r="E19" s="911"/>
      <c r="F19" s="150"/>
      <c r="G19" s="911" t="str">
        <f>"from "&amp;AOR&amp;AOR!G14</f>
        <v>from AOR10</v>
      </c>
      <c r="J19" s="38" t="str">
        <f>F20&amp;" × SEIS_rate ("&amp;SEIS_rate * 100&amp;"%)"</f>
        <v>c9.8 × SEIS_rate (50%)</v>
      </c>
    </row>
    <row r="20" spans="1:13" x14ac:dyDescent="0.25">
      <c r="A20" s="78" t="s">
        <v>8267</v>
      </c>
      <c r="B20" s="140" t="s">
        <v>8268</v>
      </c>
      <c r="F20" s="2206" t="str">
        <f>A8</f>
        <v>c9.8</v>
      </c>
      <c r="G20" s="2129">
        <f>TRUNC(AOR!H15+0.99,0)</f>
        <v>0</v>
      </c>
      <c r="H20" s="281" t="s">
        <v>7035</v>
      </c>
      <c r="I20" s="2206" t="str">
        <f>A9</f>
        <v>c9.9</v>
      </c>
      <c r="J20" s="2207">
        <f>TRUNC((G20*SEIS_rate)+0.0099,2)</f>
        <v>0</v>
      </c>
      <c r="K20" s="281" t="s">
        <v>8206</v>
      </c>
    </row>
    <row r="21" spans="1:13" x14ac:dyDescent="0.25">
      <c r="A21" s="78" t="s">
        <v>4768</v>
      </c>
      <c r="B21" s="140"/>
      <c r="E21" s="149"/>
    </row>
    <row r="22" spans="1:13" x14ac:dyDescent="0.25">
      <c r="A22" s="78" t="s">
        <v>4772</v>
      </c>
      <c r="B22" s="140"/>
      <c r="E22" s="149"/>
      <c r="F22" s="83"/>
      <c r="G22" s="911" t="str">
        <f>"from "&amp;AOR&amp;AOR!C11</f>
        <v>from AOR3</v>
      </c>
      <c r="J22" s="38" t="str">
        <f>F23&amp;" × CITR_rate ("&amp;CITR_rate * 100&amp;"%)"</f>
        <v>c9.10 × CITR_rate (5%)</v>
      </c>
    </row>
    <row r="23" spans="1:13" x14ac:dyDescent="0.25">
      <c r="A23" s="78" t="s">
        <v>4783</v>
      </c>
      <c r="B23" s="140" t="str">
        <f>AOR!D11</f>
        <v>Community Investment Tax relief</v>
      </c>
      <c r="F23" s="2206" t="str">
        <f>A10</f>
        <v>c9.10</v>
      </c>
      <c r="G23" s="2129">
        <f>TRUNC(AOR!D12+0.99,0)</f>
        <v>0</v>
      </c>
      <c r="H23" s="281" t="s">
        <v>7035</v>
      </c>
      <c r="I23" s="2206" t="str">
        <f>A11</f>
        <v>c9.11</v>
      </c>
      <c r="J23" s="2207">
        <f>TRUNC((G23*CITR_rate)+0.0099,2)</f>
        <v>0</v>
      </c>
      <c r="K23" s="281" t="s">
        <v>8206</v>
      </c>
    </row>
    <row r="24" spans="1:13" x14ac:dyDescent="0.25">
      <c r="A24" s="78" t="s">
        <v>4788</v>
      </c>
      <c r="B24" s="140"/>
      <c r="E24" s="911"/>
      <c r="F24" s="150"/>
      <c r="H24" s="281"/>
      <c r="J24" s="35"/>
      <c r="K24" s="281"/>
    </row>
    <row r="25" spans="1:13" x14ac:dyDescent="0.25">
      <c r="A25" s="78" t="s">
        <v>4794</v>
      </c>
      <c r="B25" s="140"/>
      <c r="E25" s="911"/>
      <c r="F25" s="150"/>
      <c r="G25" s="911" t="s">
        <v>4816</v>
      </c>
      <c r="H25" s="281"/>
      <c r="I25" s="150"/>
      <c r="J25" s="38" t="s">
        <v>4816</v>
      </c>
    </row>
    <row r="26" spans="1:13" x14ac:dyDescent="0.25">
      <c r="A26" s="78" t="s">
        <v>4798</v>
      </c>
      <c r="B26" s="912"/>
      <c r="C26" s="216"/>
      <c r="D26" s="216"/>
      <c r="F26" s="2206" t="str">
        <f>A12</f>
        <v>c9.12</v>
      </c>
      <c r="G26" s="2129">
        <v>0</v>
      </c>
      <c r="H26" s="913"/>
      <c r="I26" s="2206" t="str">
        <f>A13</f>
        <v>c9.13</v>
      </c>
      <c r="J26" s="2207">
        <v>0</v>
      </c>
      <c r="K26" s="913"/>
    </row>
    <row r="27" spans="1:13" x14ac:dyDescent="0.25">
      <c r="A27" s="78" t="s">
        <v>8269</v>
      </c>
      <c r="B27" s="8"/>
      <c r="D27" s="8"/>
      <c r="E27" s="8"/>
      <c r="G27" s="83"/>
      <c r="J27" s="35"/>
    </row>
    <row r="28" spans="1:13" x14ac:dyDescent="0.25">
      <c r="A28" s="78" t="s">
        <v>8270</v>
      </c>
      <c r="B28" s="8"/>
      <c r="D28" s="8"/>
      <c r="E28" s="8"/>
      <c r="G28" s="83"/>
      <c r="I28" s="83"/>
    </row>
    <row r="29" spans="1:13" x14ac:dyDescent="0.25">
      <c r="A29" s="78" t="s">
        <v>8271</v>
      </c>
      <c r="B29" s="8"/>
      <c r="D29" s="8"/>
      <c r="E29" s="8"/>
      <c r="G29" s="83"/>
      <c r="I29" s="83"/>
      <c r="J29" s="35"/>
      <c r="M29" s="38" t="str">
        <f>I8&amp;" + "&amp;I11&amp;" + "&amp;I14&amp;" + "&amp;I17&amp;" + "&amp;I20&amp;" + "&amp;I23&amp;" + "&amp;I26</f>
        <v>c9.2 + c9.3 + c9.5 + c9.7 + c9.9 + c9.11 + c9.13</v>
      </c>
    </row>
    <row r="30" spans="1:13" x14ac:dyDescent="0.25">
      <c r="A30" s="78" t="s">
        <v>8272</v>
      </c>
      <c r="B30" s="8"/>
      <c r="D30" s="8"/>
      <c r="E30" s="8"/>
      <c r="G30" s="83"/>
      <c r="I30" s="83"/>
      <c r="J30" s="35"/>
      <c r="L30" s="2206" t="str">
        <f>A14</f>
        <v>c9.14</v>
      </c>
      <c r="M30" s="2207">
        <f>J8+J11+J14+J17+J20+J23+J26</f>
        <v>0</v>
      </c>
    </row>
    <row r="31" spans="1:13" x14ac:dyDescent="0.25">
      <c r="A31" s="78" t="s">
        <v>4804</v>
      </c>
    </row>
    <row r="32" spans="1:13" x14ac:dyDescent="0.25">
      <c r="A32" s="78" t="s">
        <v>4837</v>
      </c>
      <c r="B32" s="148" t="s">
        <v>329</v>
      </c>
      <c r="J32" s="142" t="str">
        <f>"lower of "&amp;AOR&amp;AOR!G5&amp;" and SMP ("&amp;DOLLAR(SMP,0)&amp;")"</f>
        <v>lower of AOR7 and SMP (£4,360)</v>
      </c>
      <c r="M32" s="38" t="str">
        <f>I33&amp;" × A_rate ("&amp;A_rate * 100&amp;"%)"</f>
        <v>c9.15 × A_rate (10%)</v>
      </c>
    </row>
    <row r="33" spans="1:14" x14ac:dyDescent="0.25">
      <c r="A33" s="78" t="s">
        <v>8273</v>
      </c>
      <c r="B33" s="146" t="s">
        <v>8274</v>
      </c>
      <c r="C33" s="8"/>
      <c r="I33" s="2206" t="str">
        <f>A15</f>
        <v>c9.15</v>
      </c>
      <c r="J33" s="2208">
        <f>IF(AOR!H6&gt;SMP,SMP,TRUNC(AOR!H6+0.99,0))</f>
        <v>0</v>
      </c>
      <c r="K33" s="281" t="s">
        <v>7035</v>
      </c>
      <c r="L33" s="2206" t="str">
        <f>A16</f>
        <v>c9.15a</v>
      </c>
      <c r="M33" s="2209">
        <f>TRUNC((J33*A_rate)+0.0099,2)</f>
        <v>0</v>
      </c>
      <c r="N33" s="281" t="s">
        <v>8206</v>
      </c>
    </row>
    <row r="34" spans="1:14" x14ac:dyDescent="0.25">
      <c r="A34" s="78" t="s">
        <v>8275</v>
      </c>
    </row>
    <row r="35" spans="1:14" x14ac:dyDescent="0.25">
      <c r="A35" s="78" t="s">
        <v>8276</v>
      </c>
      <c r="B35" s="148" t="s">
        <v>8277</v>
      </c>
    </row>
    <row r="36" spans="1:14" x14ac:dyDescent="0.25">
      <c r="A36" s="78" t="s">
        <v>4810</v>
      </c>
      <c r="B36" s="1092" t="str">
        <f>"If ("&amp;NRD!P10&amp;" = Y or "&amp;NRD!P11&amp;" = Y or "&amp;NRD!P18&amp;" = Y)"</f>
        <v>If (box_NRD28 = Y or box_NRD29 = Y or box_NRD40 = Y)</v>
      </c>
      <c r="C36" s="1092"/>
      <c r="D36" s="1092"/>
      <c r="E36" s="1092"/>
      <c r="F36" s="1092"/>
    </row>
    <row r="37" spans="1:14" x14ac:dyDescent="0.25">
      <c r="A37" s="78" t="s">
        <v>8278</v>
      </c>
      <c r="B37" s="78" t="str">
        <f>"or ("&amp;NRD!P4&amp;" = Y and "&amp;NRD!P8&amp;" and "&amp;NRD!P9&amp;" = N)"</f>
        <v>or (box_NRD1 = Y and box_NRD15 and box_NRD16 = N)</v>
      </c>
    </row>
    <row r="38" spans="1:14" x14ac:dyDescent="0.25">
      <c r="A38" s="78" t="s">
        <v>8279</v>
      </c>
      <c r="B38" s="78" t="s">
        <v>8280</v>
      </c>
    </row>
    <row r="39" spans="1:14" x14ac:dyDescent="0.25">
      <c r="A39" s="78" t="s">
        <v>8281</v>
      </c>
      <c r="B39" s="78" t="str">
        <f>"set boxes "&amp;I51&amp;" to "&amp;I54&amp;" to 0 (zero)"</f>
        <v>set boxes c9.16 to c9.17 to 0 (zero)</v>
      </c>
    </row>
    <row r="40" spans="1:14" x14ac:dyDescent="0.25">
      <c r="A40" s="78" t="s">
        <v>8282</v>
      </c>
      <c r="B40" s="78" t="s">
        <v>7143</v>
      </c>
    </row>
    <row r="41" spans="1:14" x14ac:dyDescent="0.25">
      <c r="A41" s="78" t="s">
        <v>4848</v>
      </c>
      <c r="B41" s="78" t="s">
        <v>8283</v>
      </c>
    </row>
    <row r="42" spans="1:14" x14ac:dyDescent="0.25">
      <c r="A42" s="78" t="s">
        <v>4852</v>
      </c>
      <c r="J42" s="38" t="s">
        <v>8284</v>
      </c>
    </row>
    <row r="43" spans="1:14" x14ac:dyDescent="0.25">
      <c r="A43" s="78" t="s">
        <v>4858</v>
      </c>
      <c r="J43" s="38" t="str">
        <f>I51&amp;" = "&amp;'allowances (c14c15)'!K164</f>
        <v>c9.16 = c15.21</v>
      </c>
    </row>
    <row r="44" spans="1:14" x14ac:dyDescent="0.25">
      <c r="A44" s="78" t="s">
        <v>8285</v>
      </c>
      <c r="I44" s="79"/>
      <c r="J44" s="78" t="s">
        <v>7143</v>
      </c>
    </row>
    <row r="45" spans="1:14" x14ac:dyDescent="0.25">
      <c r="A45" s="78" t="s">
        <v>8286</v>
      </c>
      <c r="J45" s="38" t="s">
        <v>8287</v>
      </c>
    </row>
    <row r="46" spans="1:14" x14ac:dyDescent="0.25">
      <c r="A46" s="78" t="s">
        <v>4872</v>
      </c>
      <c r="J46" s="38" t="str">
        <f>I51&amp;" = "&amp;'allowances (c14c15)'!K148</f>
        <v>c9.16 = c15.20</v>
      </c>
    </row>
    <row r="47" spans="1:14" x14ac:dyDescent="0.25">
      <c r="A47" s="78" t="s">
        <v>4877</v>
      </c>
      <c r="I47" s="38"/>
      <c r="J47" s="78" t="s">
        <v>7143</v>
      </c>
    </row>
    <row r="48" spans="1:14" x14ac:dyDescent="0.25">
      <c r="A48" s="78" t="s">
        <v>4897</v>
      </c>
      <c r="J48" s="38" t="str">
        <f>I51&amp;" = 0 (zero)"</f>
        <v>c9.16 = 0 (zero)</v>
      </c>
    </row>
    <row r="49" spans="1:14" x14ac:dyDescent="0.25">
      <c r="A49" s="78" t="s">
        <v>4910</v>
      </c>
      <c r="I49" s="38"/>
      <c r="J49" s="78" t="s">
        <v>75</v>
      </c>
    </row>
    <row r="50" spans="1:14" x14ac:dyDescent="0.25">
      <c r="A50" s="78" t="s">
        <v>4916</v>
      </c>
      <c r="I50" s="79"/>
      <c r="J50" s="78" t="s">
        <v>75</v>
      </c>
    </row>
    <row r="51" spans="1:14" x14ac:dyDescent="0.25">
      <c r="A51" s="78" t="s">
        <v>8288</v>
      </c>
      <c r="B51" s="146"/>
      <c r="I51" s="2210" t="str">
        <f>A17</f>
        <v>c9.16</v>
      </c>
      <c r="J51" s="2029">
        <f>IF(OR(non_resident,FIG_claim_election),0,IF(UK_allowance_claim,'allowances (c14c15)'!L164,0))</f>
        <v>0</v>
      </c>
    </row>
    <row r="52" spans="1:14" x14ac:dyDescent="0.25">
      <c r="A52" s="78" t="s">
        <v>8289</v>
      </c>
    </row>
    <row r="53" spans="1:14" x14ac:dyDescent="0.25">
      <c r="A53" s="78" t="s">
        <v>4882</v>
      </c>
      <c r="J53" s="142" t="str">
        <f>"from "&amp;CAL&amp;CAL!G19</f>
        <v>from CAL13</v>
      </c>
    </row>
    <row r="54" spans="1:14" x14ac:dyDescent="0.25">
      <c r="A54" s="78" t="s">
        <v>5067</v>
      </c>
      <c r="B54" s="79" t="s">
        <v>8290</v>
      </c>
      <c r="C54" s="458"/>
      <c r="D54" s="858"/>
      <c r="I54" s="2206" t="str">
        <f>A18</f>
        <v>c9.17</v>
      </c>
      <c r="J54" s="2208">
        <f>IF(OR(non_resident,FIG_claim_election),0,IF(UK_allowance_claim,TRUNC(CAL!H20+0.99,0),0))</f>
        <v>0</v>
      </c>
      <c r="K54" s="281" t="s">
        <v>7035</v>
      </c>
      <c r="L54" s="83"/>
    </row>
    <row r="55" spans="1:14" x14ac:dyDescent="0.25">
      <c r="A55" s="78" t="s">
        <v>8291</v>
      </c>
      <c r="B55" s="78" t="s">
        <v>75</v>
      </c>
      <c r="L55" s="83"/>
      <c r="M55" s="35"/>
    </row>
    <row r="56" spans="1:14" x14ac:dyDescent="0.25">
      <c r="A56" s="78" t="s">
        <v>8292</v>
      </c>
      <c r="J56" s="38" t="str">
        <f>I51&amp;" + "&amp;I54</f>
        <v>c9.16 + c9.17</v>
      </c>
      <c r="L56" s="83"/>
      <c r="M56" s="38" t="str">
        <f>I57&amp;" × A_rate ("&amp;A_rate * 100&amp;"%)"</f>
        <v>c9.18 × A_rate (10%)</v>
      </c>
    </row>
    <row r="57" spans="1:14" x14ac:dyDescent="0.25">
      <c r="A57" s="78" t="s">
        <v>4938</v>
      </c>
      <c r="B57" s="78" t="s">
        <v>7435</v>
      </c>
      <c r="I57" s="2206" t="str">
        <f>A19</f>
        <v>c9.18</v>
      </c>
      <c r="J57" s="2157">
        <f>J51+J54</f>
        <v>0</v>
      </c>
      <c r="L57" s="2206" t="str">
        <f>A20</f>
        <v>c9.19</v>
      </c>
      <c r="M57" s="2209">
        <f>TRUNC((J57*A_rate)+0.0099,2)</f>
        <v>0</v>
      </c>
      <c r="N57" s="281" t="s">
        <v>8206</v>
      </c>
    </row>
    <row r="58" spans="1:14" x14ac:dyDescent="0.25">
      <c r="A58" s="78" t="s">
        <v>8293</v>
      </c>
    </row>
    <row r="59" spans="1:14" x14ac:dyDescent="0.25">
      <c r="A59" s="78" t="s">
        <v>8294</v>
      </c>
      <c r="B59" s="12" t="s">
        <v>8295</v>
      </c>
    </row>
    <row r="60" spans="1:14" ht="12" x14ac:dyDescent="0.3">
      <c r="A60" s="78" t="s">
        <v>8296</v>
      </c>
      <c r="B60" s="144" t="s">
        <v>8297</v>
      </c>
    </row>
    <row r="61" spans="1:14" ht="12" x14ac:dyDescent="0.3">
      <c r="A61" s="78" t="s">
        <v>4820</v>
      </c>
      <c r="B61" s="144" t="s">
        <v>8298</v>
      </c>
    </row>
    <row r="62" spans="1:14" x14ac:dyDescent="0.25">
      <c r="A62" s="78" t="s">
        <v>8299</v>
      </c>
      <c r="B62" s="8"/>
    </row>
    <row r="63" spans="1:14" x14ac:dyDescent="0.25">
      <c r="A63" s="78" t="s">
        <v>8300</v>
      </c>
      <c r="B63" s="1065" t="str">
        <f>"If ("&amp;NRD!P10&amp;" = Y or "&amp;NRD!P11&amp;" = Y or "&amp;NRD!P18&amp;" = Y)"</f>
        <v>If (box_NRD28 = Y or box_NRD29 = Y or box_NRD40 = Y)</v>
      </c>
      <c r="C63" s="1092"/>
      <c r="D63" s="1092"/>
      <c r="E63" s="1092"/>
      <c r="F63" s="1092"/>
    </row>
    <row r="64" spans="1:14" x14ac:dyDescent="0.25">
      <c r="A64" s="78" t="s">
        <v>4825</v>
      </c>
      <c r="B64" s="8" t="str">
        <f>"OR ("&amp;NRD!P4&amp;" = Y and "&amp;NRD!P8&amp;" and "&amp;NRD!P9&amp;" = N)"</f>
        <v>OR (box_NRD1 = Y and box_NRD15 and box_NRD16 = N)</v>
      </c>
    </row>
    <row r="65" spans="1:15" x14ac:dyDescent="0.25">
      <c r="A65" s="78" t="s">
        <v>4842</v>
      </c>
      <c r="B65" s="8" t="s">
        <v>8301</v>
      </c>
    </row>
    <row r="66" spans="1:15" x14ac:dyDescent="0.25">
      <c r="A66" s="78" t="s">
        <v>8302</v>
      </c>
      <c r="B66" s="8" t="str">
        <f>"Set boxes "&amp;I75&amp;" to "&amp;L75&amp;" to 0 (zero)"</f>
        <v>Set boxes c9.20 to c9.21 to 0 (zero)</v>
      </c>
    </row>
    <row r="67" spans="1:15" x14ac:dyDescent="0.25">
      <c r="B67" s="8" t="s">
        <v>7143</v>
      </c>
    </row>
    <row r="68" spans="1:15" x14ac:dyDescent="0.25">
      <c r="I68" s="8"/>
      <c r="J68" s="22" t="s">
        <v>8303</v>
      </c>
    </row>
    <row r="69" spans="1:15" x14ac:dyDescent="0.25">
      <c r="I69" s="8"/>
      <c r="J69" s="9" t="str">
        <f>"AND "&amp;'Deductions (c4)'!Q590&amp;" = 0 (zero)"</f>
        <v>AND c4.76c = 0 (zero)</v>
      </c>
    </row>
    <row r="70" spans="1:15" x14ac:dyDescent="0.25">
      <c r="I70" s="8"/>
      <c r="J70" s="9" t="str">
        <f>"AND ("&amp;'Tax adj (c9)'!I51&amp;" + "&amp;'Tax adj (c9)'!I54&amp;") = 0 (zero)"</f>
        <v>AND (c9.16 + c9.17) = 0 (zero)</v>
      </c>
    </row>
    <row r="71" spans="1:15" x14ac:dyDescent="0.25">
      <c r="I71" s="8"/>
      <c r="J71" s="9" t="str">
        <f>I75&amp;" = T_P_A ("&amp;DOLLAR(T_P_A,0)&amp;")"</f>
        <v>c9.20 = T_P_A (£1,260)</v>
      </c>
    </row>
    <row r="72" spans="1:15" x14ac:dyDescent="0.25">
      <c r="I72" s="8"/>
      <c r="J72" s="8" t="s">
        <v>7143</v>
      </c>
    </row>
    <row r="73" spans="1:15" x14ac:dyDescent="0.25">
      <c r="I73" s="8"/>
      <c r="J73" s="8" t="str">
        <f>I75&amp;" = 0 (zero)"</f>
        <v>c9.20 = 0 (zero)</v>
      </c>
    </row>
    <row r="74" spans="1:15" x14ac:dyDescent="0.25">
      <c r="I74" s="8"/>
      <c r="J74" s="22" t="s">
        <v>75</v>
      </c>
      <c r="M74" s="9" t="str">
        <f>I75&amp;" × "&amp;'Status (c3a)'!L45</f>
        <v>c9.20 × c3a.4</v>
      </c>
    </row>
    <row r="75" spans="1:15" x14ac:dyDescent="0.25">
      <c r="I75" s="2206" t="str">
        <f>A21</f>
        <v>c9.20</v>
      </c>
      <c r="J75" s="2207">
        <f>IF(OR(non_resident,AND(box_NRD1=TRUE,box_NRD15=FALSE,box_NRD16=FALSE),FIG_claim_election),0,IF(AND(MAT_IN,HR_case_MAT=0,MCA_claim=1),T_P_A,0))</f>
        <v>0</v>
      </c>
      <c r="L75" s="2206" t="str">
        <f>A22</f>
        <v>c9.21</v>
      </c>
      <c r="M75" s="2207">
        <f>IF(OR(non_resident,AND(box_NRD1=TRUE,box_NRD15=FALSE,box_NRD16=FALSE)),0,J75*'Status (c3a)'!M45)</f>
        <v>0</v>
      </c>
      <c r="N75" s="913"/>
      <c r="O75" s="8"/>
    </row>
    <row r="76" spans="1:15" x14ac:dyDescent="0.25">
      <c r="B76" s="78" t="s">
        <v>75</v>
      </c>
      <c r="O76" s="8"/>
    </row>
    <row r="77" spans="1:15" x14ac:dyDescent="0.25">
      <c r="J77" s="38" t="str">
        <f>"from "&amp;'LLIR (c24)'!K84</f>
        <v>from c24.17</v>
      </c>
      <c r="M77" s="38" t="str">
        <f>I78&amp;" × BR_rate ("&amp;BR_rate*100&amp;"%)"</f>
        <v>c9.22 × BR_rate (20%)</v>
      </c>
      <c r="O77" s="8"/>
    </row>
    <row r="78" spans="1:15" x14ac:dyDescent="0.25">
      <c r="B78" s="140" t="s">
        <v>6682</v>
      </c>
      <c r="I78" s="2206" t="str">
        <f>A23</f>
        <v>c9.22</v>
      </c>
      <c r="J78" s="2207">
        <f>'LLIR (c24)'!L84</f>
        <v>0</v>
      </c>
      <c r="L78" s="2206" t="str">
        <f>A24</f>
        <v>c9.23</v>
      </c>
      <c r="M78" s="2207">
        <f>TRUNC((J78*BR_rate)+0.0099,2)</f>
        <v>0</v>
      </c>
      <c r="N78" s="281" t="s">
        <v>8206</v>
      </c>
      <c r="O78" s="8"/>
    </row>
    <row r="79" spans="1:15" x14ac:dyDescent="0.25">
      <c r="B79" s="140"/>
      <c r="I79" s="150"/>
      <c r="J79" s="35"/>
      <c r="L79" s="150"/>
      <c r="M79" s="35"/>
      <c r="N79" s="281"/>
      <c r="O79" s="8"/>
    </row>
    <row r="80" spans="1:15" x14ac:dyDescent="0.25">
      <c r="I80" s="83"/>
      <c r="J80" s="142" t="str">
        <f>"from "&amp;AOR&amp;AOR!G17</f>
        <v>from AOR12</v>
      </c>
      <c r="L80" s="83"/>
      <c r="M80" s="38" t="str">
        <f>I81&amp;" × BR_rate ("&amp;BR_rate*100&amp;"%)"</f>
        <v>c9.23a × BR_rate (20%)</v>
      </c>
    </row>
    <row r="81" spans="2:15" x14ac:dyDescent="0.25">
      <c r="B81" s="140"/>
      <c r="I81" s="2206" t="str">
        <f>A25</f>
        <v>c9.23a</v>
      </c>
      <c r="J81" s="2182">
        <f>TRUNC(AOR!H18+0.99,0)</f>
        <v>0</v>
      </c>
      <c r="K81" s="281" t="s">
        <v>7035</v>
      </c>
      <c r="L81" s="2206" t="str">
        <f>A26</f>
        <v>c9.23b</v>
      </c>
      <c r="M81" s="2182">
        <f>TRUNC((J81*BR_rate)+0.0099,2)</f>
        <v>0</v>
      </c>
      <c r="N81" s="281" t="s">
        <v>8206</v>
      </c>
    </row>
    <row r="82" spans="2:15" x14ac:dyDescent="0.25">
      <c r="B82" s="140"/>
      <c r="I82" s="150"/>
      <c r="J82" s="167"/>
      <c r="L82" s="150"/>
      <c r="M82" s="167"/>
      <c r="N82" s="281"/>
    </row>
    <row r="83" spans="2:15" x14ac:dyDescent="0.25">
      <c r="B83" s="140"/>
      <c r="I83" s="150"/>
      <c r="J83" s="167"/>
      <c r="L83" s="150"/>
      <c r="M83" s="167"/>
      <c r="N83" s="281"/>
    </row>
    <row r="84" spans="2:15" x14ac:dyDescent="0.25">
      <c r="B84" s="914"/>
      <c r="M84" s="38"/>
      <c r="O84" s="8"/>
    </row>
    <row r="85" spans="2:15" x14ac:dyDescent="0.25">
      <c r="B85" s="87"/>
      <c r="J85" s="38" t="s">
        <v>4816</v>
      </c>
      <c r="K85" s="86"/>
      <c r="L85" s="83"/>
      <c r="M85" s="38" t="s">
        <v>4816</v>
      </c>
      <c r="O85" s="8"/>
    </row>
    <row r="86" spans="2:15" x14ac:dyDescent="0.25">
      <c r="B86" s="915"/>
      <c r="D86" s="8"/>
      <c r="I86" s="2206" t="str">
        <f>A27</f>
        <v>c9.24</v>
      </c>
      <c r="J86" s="2149"/>
      <c r="L86" s="2206" t="str">
        <f>A28</f>
        <v>c9.25</v>
      </c>
      <c r="M86" s="2182"/>
      <c r="N86" s="913"/>
      <c r="O86" s="8"/>
    </row>
    <row r="87" spans="2:15" x14ac:dyDescent="0.25">
      <c r="O87" s="8"/>
    </row>
    <row r="88" spans="2:15" x14ac:dyDescent="0.25">
      <c r="B88" s="149"/>
      <c r="J88" s="38" t="s">
        <v>4816</v>
      </c>
      <c r="O88" s="8"/>
    </row>
    <row r="89" spans="2:15" x14ac:dyDescent="0.25">
      <c r="B89" s="915"/>
      <c r="C89" s="216"/>
      <c r="I89" s="2206" t="str">
        <f>A29</f>
        <v>c9.26</v>
      </c>
      <c r="J89" s="2182"/>
      <c r="O89" s="8"/>
    </row>
    <row r="90" spans="2:15" x14ac:dyDescent="0.25">
      <c r="B90" s="916"/>
      <c r="O90" s="8"/>
    </row>
    <row r="91" spans="2:15" x14ac:dyDescent="0.25">
      <c r="B91" s="916"/>
      <c r="J91" s="38" t="s">
        <v>4816</v>
      </c>
      <c r="O91" s="8"/>
    </row>
    <row r="92" spans="2:15" x14ac:dyDescent="0.25">
      <c r="B92" s="915"/>
      <c r="I92" s="2206" t="str">
        <f>A30</f>
        <v>c9.27</v>
      </c>
      <c r="J92" s="2182"/>
      <c r="O92" s="8"/>
    </row>
    <row r="94" spans="2:15" x14ac:dyDescent="0.25">
      <c r="C94" s="216"/>
      <c r="D94" s="216"/>
      <c r="E94" s="216"/>
      <c r="F94" s="216"/>
      <c r="G94" s="216"/>
      <c r="H94" s="216"/>
      <c r="K94" s="216"/>
      <c r="M94" s="142" t="str">
        <f>"from TRU"&amp;TRU!O24</f>
        <v>from TRU23</v>
      </c>
    </row>
    <row r="95" spans="2:15" x14ac:dyDescent="0.25">
      <c r="B95" s="140" t="s">
        <v>6684</v>
      </c>
      <c r="C95" s="216"/>
      <c r="D95" s="216"/>
      <c r="E95" s="216"/>
      <c r="F95" s="216"/>
      <c r="G95" s="216"/>
      <c r="H95" s="216"/>
      <c r="K95" s="216"/>
      <c r="L95" s="2206" t="str">
        <f>A31</f>
        <v>c9.28</v>
      </c>
      <c r="M95" s="2182">
        <f>TRU!P25</f>
        <v>0</v>
      </c>
    </row>
    <row r="96" spans="2:15" x14ac:dyDescent="0.25">
      <c r="B96" s="216"/>
      <c r="C96" s="216"/>
      <c r="D96" s="216"/>
      <c r="E96" s="216"/>
      <c r="F96" s="216"/>
      <c r="G96" s="216"/>
      <c r="H96" s="216"/>
      <c r="I96" s="216"/>
      <c r="J96" s="216"/>
      <c r="K96" s="216"/>
    </row>
    <row r="97" spans="2:14" x14ac:dyDescent="0.25">
      <c r="M97" s="38" t="str">
        <f>"from "&amp;'Notional (c21c23)'!J92</f>
        <v>from c23.11</v>
      </c>
    </row>
    <row r="98" spans="2:14" x14ac:dyDescent="0.25">
      <c r="B98" s="140" t="s">
        <v>6688</v>
      </c>
      <c r="L98" s="2206" t="str">
        <f>A32</f>
        <v>c9.29</v>
      </c>
      <c r="M98" s="2182">
        <f>'Notional (c21c23)'!K92</f>
        <v>0</v>
      </c>
    </row>
    <row r="99" spans="2:14" x14ac:dyDescent="0.25">
      <c r="J99" s="38"/>
    </row>
    <row r="100" spans="2:14" x14ac:dyDescent="0.25">
      <c r="K100" s="38"/>
      <c r="L100" s="38"/>
      <c r="M100" s="38" t="str">
        <f>"from "&amp;'Pensions (c25c26)'!J162</f>
        <v>from c25.57</v>
      </c>
    </row>
    <row r="101" spans="2:14" x14ac:dyDescent="0.25">
      <c r="B101" s="140" t="s">
        <v>8304</v>
      </c>
      <c r="L101" s="2154" t="str">
        <f>A33</f>
        <v>c9.30</v>
      </c>
      <c r="M101" s="2207">
        <f>'Pensions (c25c26)'!K162</f>
        <v>0</v>
      </c>
    </row>
    <row r="102" spans="2:14" x14ac:dyDescent="0.25">
      <c r="B102" s="140"/>
      <c r="L102" s="149"/>
      <c r="M102" s="35"/>
    </row>
    <row r="103" spans="2:14" x14ac:dyDescent="0.25">
      <c r="B103" s="140"/>
      <c r="L103" s="149"/>
      <c r="M103" s="36" t="str">
        <f>"Absolute value ("&amp;'Status (c3a)'!L45&amp;" minus BR_rate ("&amp;BR_rate * 100&amp;"%))"</f>
        <v>Absolute value (c3a.4 minus BR_rate (20%))</v>
      </c>
    </row>
    <row r="104" spans="2:14" x14ac:dyDescent="0.25">
      <c r="B104" s="140"/>
      <c r="L104" s="2154" t="str">
        <f>A34</f>
        <v>c9.30a</v>
      </c>
      <c r="M104" s="2207">
        <f>ABS('Status (c3a)'!M45-BR_rate)</f>
        <v>0</v>
      </c>
      <c r="N104" s="281"/>
    </row>
    <row r="105" spans="2:14" x14ac:dyDescent="0.25">
      <c r="B105" s="140"/>
      <c r="L105" s="149"/>
      <c r="M105" s="35"/>
    </row>
    <row r="106" spans="2:14" x14ac:dyDescent="0.25">
      <c r="B106" s="140"/>
      <c r="L106" s="149"/>
      <c r="M106" s="36" t="str">
        <f>"lower of "&amp;'Deductions (c4)'!H360&amp;" and ("&amp;'tax it (c6)'!G66&amp;" + "&amp;'tax it (c6)'!V66&amp;")"</f>
        <v>lower of c4.57 and (c6.6 + c6.40)</v>
      </c>
    </row>
    <row r="107" spans="2:14" x14ac:dyDescent="0.25">
      <c r="B107" s="140"/>
      <c r="L107" s="2154" t="str">
        <f>A35</f>
        <v>c9.30b</v>
      </c>
      <c r="M107" s="2207">
        <f>MIN('Deductions (c4)'!I360,('tax it (c6)'!H66+'tax it (c6)'!W66))</f>
        <v>0</v>
      </c>
    </row>
    <row r="108" spans="2:14" x14ac:dyDescent="0.25">
      <c r="B108" s="140"/>
      <c r="L108" s="149"/>
      <c r="M108" s="35"/>
    </row>
    <row r="109" spans="2:14" x14ac:dyDescent="0.25">
      <c r="B109" s="140"/>
      <c r="L109" s="149"/>
      <c r="M109" s="36" t="str">
        <f>"If "&amp;'Status (c3a)'!L45&amp;" &gt; BR_rate ("&amp;BR_rate * 100&amp;"%)"</f>
        <v>If c3a.4 &gt; BR_rate (20%)</v>
      </c>
    </row>
    <row r="110" spans="2:14" x14ac:dyDescent="0.25">
      <c r="B110" s="140"/>
      <c r="L110" s="149"/>
      <c r="M110" s="36" t="str">
        <f>L114&amp;" = "&amp;L107&amp;" × "&amp;L104</f>
        <v>c9.30c = c9.30b × c9.30a</v>
      </c>
    </row>
    <row r="111" spans="2:14" x14ac:dyDescent="0.25">
      <c r="B111" s="140"/>
      <c r="L111" s="149"/>
      <c r="M111" s="35" t="s">
        <v>7143</v>
      </c>
    </row>
    <row r="112" spans="2:14" x14ac:dyDescent="0.25">
      <c r="B112" s="140"/>
      <c r="L112" s="149"/>
      <c r="M112" s="36" t="str">
        <f>L114&amp;" = 0 (zero)"</f>
        <v>c9.30c = 0 (zero)</v>
      </c>
    </row>
    <row r="113" spans="2:13" x14ac:dyDescent="0.25">
      <c r="B113" s="140"/>
      <c r="L113" s="149"/>
      <c r="M113" s="78" t="s">
        <v>75</v>
      </c>
    </row>
    <row r="114" spans="2:13" x14ac:dyDescent="0.25">
      <c r="B114" s="140" t="s">
        <v>6685</v>
      </c>
      <c r="L114" s="2154" t="str">
        <f>A36</f>
        <v>c9.30c</v>
      </c>
      <c r="M114" s="2207">
        <f>IF('Status (c3a)'!M45&gt;BR_rate,'Tax adj (c9)'!M107*'Tax adj (c9)'!M104,0)</f>
        <v>0</v>
      </c>
    </row>
    <row r="115" spans="2:13" x14ac:dyDescent="0.25">
      <c r="B115" s="140"/>
      <c r="L115" s="149"/>
      <c r="M115" s="35"/>
    </row>
    <row r="116" spans="2:13" x14ac:dyDescent="0.25">
      <c r="J116" s="38"/>
    </row>
    <row r="117" spans="2:13" x14ac:dyDescent="0.25">
      <c r="M117" s="911" t="str">
        <f>L5&amp;" minus ("&amp;L30&amp;" + "&amp;L33&amp;" + "&amp;L57&amp;" + "&amp;L75&amp;" + "&amp;L78&amp;" + "&amp;L81&amp;" + "&amp;L95&amp;" + "&amp;L98&amp;" + "&amp;L101&amp;" + "&amp;L114&amp;")"</f>
        <v>c9.1 minus (c9.14 + c9.15a + c9.19 + c9.21 + c9.23 + c9.23b + c9.28 + c9.29 + c9.30 + c9.30c)</v>
      </c>
    </row>
    <row r="118" spans="2:13" x14ac:dyDescent="0.25">
      <c r="B118" s="140" t="s">
        <v>8305</v>
      </c>
      <c r="C118" s="216"/>
      <c r="J118" s="38"/>
      <c r="L118" s="2206" t="str">
        <f>A37</f>
        <v>c9.31</v>
      </c>
      <c r="M118" s="2207">
        <f>MAX(0,M5-(M30+M33+M57+M75+M78+M81+M95+M98+M101+M114))</f>
        <v>0</v>
      </c>
    </row>
    <row r="120" spans="2:13" x14ac:dyDescent="0.25">
      <c r="M120" s="38" t="s">
        <v>7252</v>
      </c>
    </row>
    <row r="121" spans="2:13" x14ac:dyDescent="0.25">
      <c r="M121" s="38" t="str">
        <f>L125&amp;" = "&amp;'non-res (c91)'!R119</f>
        <v>c9.31a = c91.35</v>
      </c>
    </row>
    <row r="122" spans="2:13" x14ac:dyDescent="0.25">
      <c r="M122" s="78" t="s">
        <v>7143</v>
      </c>
    </row>
    <row r="123" spans="2:13" x14ac:dyDescent="0.25">
      <c r="M123" s="38" t="str">
        <f>L125&amp;" = 0 (zero)"</f>
        <v>c9.31a = 0 (zero)</v>
      </c>
    </row>
    <row r="124" spans="2:13" x14ac:dyDescent="0.25">
      <c r="M124" s="78" t="s">
        <v>75</v>
      </c>
    </row>
    <row r="125" spans="2:13" x14ac:dyDescent="0.25">
      <c r="B125" s="78" t="s">
        <v>8306</v>
      </c>
      <c r="L125" s="2206" t="str">
        <f>A38</f>
        <v>c9.31a</v>
      </c>
      <c r="M125" s="2209">
        <f>IF(non_resident,'non-res (c91)'!S119,0)</f>
        <v>0</v>
      </c>
    </row>
    <row r="127" spans="2:13" x14ac:dyDescent="0.25">
      <c r="M127" s="38" t="str">
        <f>"from "&amp;'Div Cr (c10)'!I44</f>
        <v>from c10.5</v>
      </c>
    </row>
    <row r="128" spans="2:13" x14ac:dyDescent="0.25">
      <c r="B128" s="78" t="s">
        <v>8307</v>
      </c>
      <c r="L128" s="2206" t="str">
        <f>A39</f>
        <v>c9.31b</v>
      </c>
      <c r="M128" s="2209">
        <f>'Div Cr (c10)'!J44</f>
        <v>0</v>
      </c>
    </row>
    <row r="130" spans="2:17" x14ac:dyDescent="0.25">
      <c r="I130" s="917"/>
      <c r="J130" s="917"/>
      <c r="K130" s="917"/>
      <c r="L130" s="917"/>
      <c r="M130" s="38" t="str">
        <f>"from "&amp;'Div Cr (c10)'!I57&amp;" + "&amp;'Div Cr (c10)'!I69&amp;" + "&amp;'Div Cr (c10)'!I82</f>
        <v>from c10.9 + c10.13 + c10.17</v>
      </c>
    </row>
    <row r="131" spans="2:17" x14ac:dyDescent="0.25">
      <c r="B131" s="78" t="s">
        <v>4671</v>
      </c>
      <c r="I131" s="918"/>
      <c r="J131" s="918"/>
      <c r="K131" s="919"/>
      <c r="L131" s="2211" t="str">
        <f>A40</f>
        <v>c9.32</v>
      </c>
      <c r="M131" s="2209">
        <f>'Div Cr (c10)'!J57+'Div Cr (c10)'!J69+'Div Cr (c10)'!J82</f>
        <v>0</v>
      </c>
    </row>
    <row r="132" spans="2:17" x14ac:dyDescent="0.25">
      <c r="L132" s="150"/>
      <c r="M132" s="443"/>
    </row>
    <row r="133" spans="2:17" x14ac:dyDescent="0.25">
      <c r="B133" s="148" t="s">
        <v>8308</v>
      </c>
      <c r="P133" s="8"/>
      <c r="Q133" s="8"/>
    </row>
    <row r="134" spans="2:17" x14ac:dyDescent="0.25">
      <c r="B134" s="858" t="s">
        <v>8309</v>
      </c>
      <c r="P134" s="8"/>
      <c r="Q134" s="8"/>
    </row>
    <row r="135" spans="2:17" x14ac:dyDescent="0.25">
      <c r="B135" s="858" t="s">
        <v>8310</v>
      </c>
      <c r="K135" s="86"/>
      <c r="M135" s="35"/>
      <c r="P135" s="8"/>
      <c r="Q135" s="8"/>
    </row>
    <row r="136" spans="2:17" x14ac:dyDescent="0.25">
      <c r="B136" s="858" t="s">
        <v>8311</v>
      </c>
      <c r="P136" s="8"/>
      <c r="Q136" s="8"/>
    </row>
    <row r="137" spans="2:17" x14ac:dyDescent="0.25">
      <c r="B137" s="858" t="s">
        <v>8312</v>
      </c>
      <c r="P137" s="8"/>
      <c r="Q137" s="8"/>
    </row>
    <row r="138" spans="2:17" x14ac:dyDescent="0.25">
      <c r="D138" s="38" t="str">
        <f>"from "&amp;'Deductions (c4)'!H360</f>
        <v>from c4.57</v>
      </c>
      <c r="G138" s="38" t="str">
        <f>C139&amp;" × BR_rate ("&amp;BR_rate * 100&amp;"%)"</f>
        <v>c9.33 × BR_rate (20%)</v>
      </c>
      <c r="P138" s="8"/>
      <c r="Q138" s="8"/>
    </row>
    <row r="139" spans="2:17" x14ac:dyDescent="0.25">
      <c r="B139" s="139" t="s">
        <v>7422</v>
      </c>
      <c r="C139" s="2206" t="str">
        <f>A41</f>
        <v>c9.33</v>
      </c>
      <c r="D139" s="2129">
        <f>'Deductions (c4)'!I360</f>
        <v>0</v>
      </c>
      <c r="E139" s="281"/>
      <c r="F139" s="2206" t="str">
        <f>A42</f>
        <v>c9.34</v>
      </c>
      <c r="G139" s="2209">
        <f>TRUNC(D139*BR_rate,0)</f>
        <v>0</v>
      </c>
      <c r="H139" s="281" t="s">
        <v>7029</v>
      </c>
      <c r="P139" s="8"/>
      <c r="Q139" s="8"/>
    </row>
    <row r="140" spans="2:17" x14ac:dyDescent="0.25">
      <c r="P140" s="8"/>
      <c r="Q140" s="8"/>
    </row>
    <row r="141" spans="2:17" x14ac:dyDescent="0.25">
      <c r="G141" s="920" t="str">
        <f>"from "&amp;'CG (c18)'!AA155</f>
        <v>from c18.52</v>
      </c>
      <c r="O141" s="8"/>
      <c r="P141" s="8"/>
      <c r="Q141" s="8"/>
    </row>
    <row r="142" spans="2:17" x14ac:dyDescent="0.25">
      <c r="B142" s="140" t="s">
        <v>8313</v>
      </c>
      <c r="F142" s="2206" t="str">
        <f>A43</f>
        <v>c9.35</v>
      </c>
      <c r="G142" s="2207">
        <f>'CG (c18)'!AB155</f>
        <v>0</v>
      </c>
      <c r="O142" s="8"/>
      <c r="P142" s="8"/>
      <c r="Q142" s="8"/>
    </row>
    <row r="143" spans="2:17" x14ac:dyDescent="0.25">
      <c r="O143" s="8"/>
      <c r="P143" s="8"/>
      <c r="Q143" s="8"/>
    </row>
    <row r="144" spans="2:17" x14ac:dyDescent="0.25">
      <c r="B144" s="140"/>
      <c r="G144" s="2417" t="s">
        <v>7043</v>
      </c>
      <c r="O144" s="8"/>
      <c r="P144" s="8"/>
      <c r="Q144" s="8"/>
    </row>
    <row r="145" spans="2:16" x14ac:dyDescent="0.25">
      <c r="B145" s="140" t="s">
        <v>6691</v>
      </c>
      <c r="F145" s="2206" t="str">
        <f>A44</f>
        <v>c9.36</v>
      </c>
      <c r="G145" s="2182">
        <v>0</v>
      </c>
    </row>
    <row r="147" spans="2:16" x14ac:dyDescent="0.25">
      <c r="G147" s="920" t="str">
        <f>"("&amp;L5&amp;" + "&amp;L125&amp;") minus ("&amp;L30&amp;" + "&amp;L57&amp;" + "&amp;L75&amp;" + "&amp;L78&amp;" + "&amp;L81&amp;" + "&amp;L95&amp;" + "&amp;L98&amp;")"</f>
        <v>(c9.1 + c9.31a) minus (c9.14 + c9.19 + c9.21 + c9.23 + c9.23b + c9.28 + c9.29)</v>
      </c>
      <c r="N147" s="8"/>
    </row>
    <row r="148" spans="2:16" x14ac:dyDescent="0.25">
      <c r="B148" s="140" t="s">
        <v>6692</v>
      </c>
      <c r="F148" s="2206" t="str">
        <f>A45</f>
        <v>c9.37</v>
      </c>
      <c r="G148" s="2182">
        <f>MAX(0,(M5+M125)-(M30+M57+M75+M78+M81+M95+M98))</f>
        <v>0</v>
      </c>
    </row>
    <row r="149" spans="2:16" x14ac:dyDescent="0.25">
      <c r="B149" s="140"/>
    </row>
    <row r="150" spans="2:16" x14ac:dyDescent="0.25">
      <c r="G150" s="38" t="str">
        <f>F148&amp;" minus ("&amp;L128&amp;" + "&amp;L131&amp;")"</f>
        <v>c9.37 minus (c9.31b + c9.32)</v>
      </c>
    </row>
    <row r="151" spans="2:16" ht="12" x14ac:dyDescent="0.3">
      <c r="B151" s="140" t="s">
        <v>8314</v>
      </c>
      <c r="C151" s="22"/>
      <c r="D151" s="22"/>
      <c r="F151" s="2206" t="str">
        <f>A46</f>
        <v>c9.38</v>
      </c>
      <c r="G151" s="2182">
        <f>G148-(M128+M131)</f>
        <v>0</v>
      </c>
      <c r="H151" s="144" t="s">
        <v>7220</v>
      </c>
    </row>
    <row r="152" spans="2:16" x14ac:dyDescent="0.25">
      <c r="P152" s="921"/>
    </row>
    <row r="153" spans="2:16" x14ac:dyDescent="0.25">
      <c r="J153" s="38" t="str">
        <f>"if "&amp;F139&amp;" &gt; 0 (zero)"</f>
        <v>if c9.34 &gt; 0 (zero)</v>
      </c>
    </row>
    <row r="154" spans="2:16" x14ac:dyDescent="0.25">
      <c r="J154" s="1068" t="str">
        <f>I158&amp;" = "&amp;F139&amp;" minus ("&amp;F142&amp;" + "&amp;F151&amp;")"</f>
        <v>c9.39 = c9.34 minus (c9.35 + c9.38)</v>
      </c>
    </row>
    <row r="155" spans="2:16" x14ac:dyDescent="0.25">
      <c r="J155" s="78" t="s">
        <v>7143</v>
      </c>
    </row>
    <row r="156" spans="2:16" x14ac:dyDescent="0.25">
      <c r="J156" s="38" t="str">
        <f>I158&amp;" = 0 (zero)"</f>
        <v>c9.39 = 0 (zero)</v>
      </c>
    </row>
    <row r="157" spans="2:16" x14ac:dyDescent="0.25">
      <c r="J157" s="78" t="s">
        <v>75</v>
      </c>
    </row>
    <row r="158" spans="2:16" x14ac:dyDescent="0.25">
      <c r="B158" s="79" t="s">
        <v>6693</v>
      </c>
      <c r="I158" s="2206" t="str">
        <f>A47</f>
        <v>c9.39</v>
      </c>
      <c r="J158" s="2207">
        <f>IF(G139&gt;0,MAX(0,G139-(G142+G151)),0)</f>
        <v>0</v>
      </c>
      <c r="N158" s="8"/>
    </row>
    <row r="159" spans="2:16" x14ac:dyDescent="0.25">
      <c r="B159" s="79"/>
      <c r="F159" s="150"/>
      <c r="G159" s="35"/>
      <c r="K159" s="86"/>
      <c r="L159" s="150"/>
      <c r="M159" s="35"/>
      <c r="N159" s="8"/>
    </row>
    <row r="160" spans="2:16" x14ac:dyDescent="0.25">
      <c r="I160" s="149"/>
      <c r="J160" s="38" t="str">
        <f>"from "&amp;'Pensions (c25c26)'!J138</f>
        <v>from c25.50</v>
      </c>
      <c r="K160" s="86"/>
      <c r="L160" s="150"/>
      <c r="M160" s="35"/>
      <c r="N160" s="8"/>
    </row>
    <row r="161" spans="2:14" x14ac:dyDescent="0.25">
      <c r="B161" s="8" t="s">
        <v>8315</v>
      </c>
      <c r="E161" s="8"/>
      <c r="I161" s="2206" t="str">
        <f>A48</f>
        <v>c9.39a</v>
      </c>
      <c r="J161" s="2207">
        <f>'Pensions (c25c26)'!K138</f>
        <v>0</v>
      </c>
      <c r="K161" s="86"/>
      <c r="L161" s="150"/>
      <c r="M161" s="35"/>
      <c r="N161" s="8"/>
    </row>
    <row r="162" spans="2:14" x14ac:dyDescent="0.25">
      <c r="B162" s="8"/>
      <c r="C162" s="8"/>
      <c r="D162" s="8"/>
      <c r="E162" s="8"/>
      <c r="I162" s="139"/>
      <c r="J162" s="8"/>
      <c r="K162" s="86"/>
      <c r="L162" s="150"/>
      <c r="M162" s="35"/>
      <c r="N162" s="8"/>
    </row>
    <row r="163" spans="2:14" x14ac:dyDescent="0.25">
      <c r="I163" s="149"/>
      <c r="J163" s="38" t="str">
        <f>"from "&amp;'Pensions (c25c26)'!J198</f>
        <v>from c26.3</v>
      </c>
      <c r="K163" s="86"/>
      <c r="L163" s="150"/>
      <c r="M163" s="35"/>
      <c r="N163" s="8"/>
    </row>
    <row r="164" spans="2:14" x14ac:dyDescent="0.25">
      <c r="B164" s="78" t="s">
        <v>8316</v>
      </c>
      <c r="E164" s="8"/>
      <c r="I164" s="2206" t="str">
        <f>A49</f>
        <v>c9.39b</v>
      </c>
      <c r="J164" s="2207">
        <f>'Pensions (c25c26)'!K198</f>
        <v>0</v>
      </c>
      <c r="K164" s="86"/>
      <c r="L164" s="150"/>
      <c r="M164" s="35"/>
      <c r="N164" s="8"/>
    </row>
    <row r="165" spans="2:14" x14ac:dyDescent="0.25">
      <c r="B165" s="8"/>
      <c r="C165" s="8"/>
      <c r="D165" s="8"/>
      <c r="E165" s="8"/>
      <c r="I165" s="139"/>
      <c r="J165" s="8"/>
      <c r="K165" s="86"/>
      <c r="L165" s="150"/>
      <c r="M165" s="35"/>
      <c r="N165" s="8"/>
    </row>
    <row r="166" spans="2:14" x14ac:dyDescent="0.25">
      <c r="B166" s="8"/>
      <c r="C166" s="8"/>
      <c r="D166" s="8"/>
      <c r="E166" s="8"/>
      <c r="I166" s="8"/>
      <c r="J166" s="9" t="str">
        <f>"from "&amp;'CBC(c28)'!I41</f>
        <v>from c28.14</v>
      </c>
      <c r="K166" s="86"/>
      <c r="L166" s="150"/>
      <c r="M166" s="35"/>
      <c r="N166" s="8"/>
    </row>
    <row r="167" spans="2:14" x14ac:dyDescent="0.25">
      <c r="B167" s="78" t="s">
        <v>8317</v>
      </c>
      <c r="C167" s="8"/>
      <c r="D167" s="8"/>
      <c r="E167" s="8"/>
      <c r="I167" s="2206" t="str">
        <f>A50</f>
        <v>c9.39c</v>
      </c>
      <c r="J167" s="2207">
        <f>'CBC(c28)'!J41</f>
        <v>0</v>
      </c>
      <c r="K167" s="86"/>
      <c r="L167" s="150"/>
      <c r="M167" s="35"/>
      <c r="N167" s="8"/>
    </row>
    <row r="168" spans="2:14" x14ac:dyDescent="0.25">
      <c r="K168" s="86"/>
      <c r="L168" s="150"/>
      <c r="M168" s="35"/>
      <c r="N168" s="8"/>
    </row>
    <row r="169" spans="2:14" x14ac:dyDescent="0.25">
      <c r="I169" s="149"/>
      <c r="J169" s="38" t="str">
        <f>"from "&amp;'Pensions (c25c26)'!J158</f>
        <v>from c25.56</v>
      </c>
      <c r="K169" s="86"/>
      <c r="L169" s="150"/>
      <c r="M169" s="35"/>
      <c r="N169" s="8"/>
    </row>
    <row r="170" spans="2:14" x14ac:dyDescent="0.25">
      <c r="B170" s="78" t="s">
        <v>8318</v>
      </c>
      <c r="E170" s="8"/>
      <c r="I170" s="2206" t="str">
        <f>A51</f>
        <v>c9.39d</v>
      </c>
      <c r="J170" s="2207">
        <f>'Pensions (c25c26)'!K158</f>
        <v>0</v>
      </c>
      <c r="K170" s="86"/>
      <c r="L170" s="150"/>
      <c r="M170" s="35"/>
      <c r="N170" s="8"/>
    </row>
    <row r="171" spans="2:14" x14ac:dyDescent="0.25">
      <c r="E171" s="8"/>
      <c r="I171" s="150"/>
      <c r="J171" s="35"/>
      <c r="K171" s="86"/>
      <c r="L171" s="150"/>
      <c r="M171" s="35"/>
      <c r="N171" s="8"/>
    </row>
    <row r="172" spans="2:14" x14ac:dyDescent="0.25">
      <c r="E172" s="8"/>
      <c r="G172" s="38" t="str">
        <f>"If "&amp;'Status (c3a)'!L45&amp;" &lt;  BR_rate ("&amp;BR_rate * 100&amp;"%)"</f>
        <v>If c3a.4 &lt;  BR_rate (20%)</v>
      </c>
      <c r="I172" s="150"/>
      <c r="J172" s="35"/>
      <c r="K172" s="86"/>
      <c r="L172" s="150"/>
      <c r="M172" s="35"/>
      <c r="N172" s="8"/>
    </row>
    <row r="173" spans="2:14" x14ac:dyDescent="0.25">
      <c r="E173" s="8"/>
      <c r="F173" s="149"/>
      <c r="G173" s="38" t="str">
        <f>F177&amp;" = "&amp;L107&amp;" × "&amp;L104</f>
        <v>c9.39e = c9.30b × c9.30a</v>
      </c>
      <c r="I173" s="149"/>
      <c r="J173" s="38"/>
      <c r="K173" s="86"/>
      <c r="L173" s="150"/>
      <c r="M173" s="35"/>
      <c r="N173" s="8"/>
    </row>
    <row r="174" spans="2:14" x14ac:dyDescent="0.25">
      <c r="G174" s="78" t="s">
        <v>7143</v>
      </c>
    </row>
    <row r="175" spans="2:14" x14ac:dyDescent="0.25">
      <c r="G175" s="78" t="str">
        <f>F177&amp;" = 0 (zero)"</f>
        <v>c9.39e = 0 (zero)</v>
      </c>
    </row>
    <row r="176" spans="2:14" x14ac:dyDescent="0.25">
      <c r="G176" s="78" t="s">
        <v>75</v>
      </c>
      <c r="J176" s="38" t="str">
        <f>"lower of "&amp;'tax it (c8)'!G176&amp;" and "&amp;'Tax adj (c9)'!F177</f>
        <v>lower of c8.28 and c9.39e</v>
      </c>
    </row>
    <row r="177" spans="2:14" x14ac:dyDescent="0.25">
      <c r="B177" s="8" t="s">
        <v>6694</v>
      </c>
      <c r="E177" s="8"/>
      <c r="F177" s="2206" t="str">
        <f>A52</f>
        <v>c9.39e</v>
      </c>
      <c r="G177" s="2207">
        <f>IF('Status (c3a)'!M45&lt;BR_rate,'Tax adj (c9)'!M107*'Tax adj (c9)'!M104,0)</f>
        <v>0</v>
      </c>
      <c r="H177" s="35"/>
      <c r="I177" s="2206" t="str">
        <f>A53</f>
        <v>c9.39f</v>
      </c>
      <c r="J177" s="2207">
        <f>MIN('tax it (c8)'!H176,'Tax adj (c9)'!G177)</f>
        <v>0</v>
      </c>
      <c r="K177" s="913"/>
      <c r="L177" s="150"/>
      <c r="M177" s="35"/>
      <c r="N177" s="8"/>
    </row>
    <row r="178" spans="2:14" x14ac:dyDescent="0.25">
      <c r="E178" s="8"/>
      <c r="F178" s="8"/>
      <c r="G178" s="35"/>
      <c r="H178" s="35"/>
      <c r="I178" s="150"/>
      <c r="J178" s="35"/>
      <c r="K178" s="86"/>
      <c r="L178" s="150"/>
      <c r="M178" s="35"/>
      <c r="N178" s="8"/>
    </row>
    <row r="179" spans="2:14" x14ac:dyDescent="0.25">
      <c r="E179" s="8"/>
      <c r="F179" s="149"/>
      <c r="G179" s="1098" t="str">
        <f>"from "&amp;NRD&amp;NRD!H19</f>
        <v>from NRD51</v>
      </c>
      <c r="K179" s="86"/>
      <c r="L179" s="150"/>
      <c r="M179" s="35"/>
      <c r="N179" s="8"/>
    </row>
    <row r="180" spans="2:14" x14ac:dyDescent="0.25">
      <c r="B180" s="8" t="s">
        <v>6589</v>
      </c>
      <c r="E180" s="8"/>
      <c r="F180" s="2206" t="str">
        <f>A54</f>
        <v>c9.39g</v>
      </c>
      <c r="G180" s="2207">
        <f>TRUNC(NRD!I20,0)</f>
        <v>0</v>
      </c>
      <c r="H180" s="1093" t="s">
        <v>7029</v>
      </c>
      <c r="K180" s="913"/>
      <c r="L180" s="150"/>
      <c r="M180" s="35"/>
      <c r="N180" s="8"/>
    </row>
    <row r="181" spans="2:14" x14ac:dyDescent="0.25">
      <c r="J181" s="1068" t="str">
        <f>"("&amp;F180&amp;" + "&amp;F183&amp;")"</f>
        <v>(c9.39g + c9.39g1)</v>
      </c>
      <c r="K181" s="86"/>
      <c r="L181" s="150"/>
      <c r="N181" s="8"/>
    </row>
    <row r="182" spans="2:14" x14ac:dyDescent="0.25">
      <c r="F182" s="149"/>
      <c r="G182" s="1098" t="str">
        <f>"from "&amp;NRD&amp;NRD!K19</f>
        <v>from NRD52</v>
      </c>
      <c r="I182" s="1074"/>
      <c r="J182" s="1068" t="str">
        <f>" × TRF_rate ("&amp;TRF_rate * 100&amp;"%)"</f>
        <v xml:space="preserve"> × TRF_rate (12%)</v>
      </c>
      <c r="K182" s="86"/>
      <c r="L182" s="150"/>
      <c r="N182" s="8"/>
    </row>
    <row r="183" spans="2:14" x14ac:dyDescent="0.25">
      <c r="B183" s="78" t="s">
        <v>6590</v>
      </c>
      <c r="F183" s="2212" t="str">
        <f>A55</f>
        <v>c9.39g1</v>
      </c>
      <c r="G183" s="2207">
        <f>TRUNC(NRD!L20,0)</f>
        <v>0</v>
      </c>
      <c r="H183" s="1093" t="s">
        <v>7029</v>
      </c>
      <c r="I183" s="2206" t="str">
        <f>A56</f>
        <v>c9.39h</v>
      </c>
      <c r="J183" s="2207">
        <f>TRUNC((G180+G183)*TRF_rate,2)</f>
        <v>0</v>
      </c>
      <c r="K183" s="1093" t="s">
        <v>7647</v>
      </c>
      <c r="L183" s="150"/>
      <c r="N183" s="8"/>
    </row>
    <row r="184" spans="2:14" x14ac:dyDescent="0.25">
      <c r="F184" s="150"/>
      <c r="G184" s="35"/>
      <c r="H184" s="225"/>
      <c r="I184" s="150"/>
      <c r="J184" s="35"/>
      <c r="K184" s="86"/>
      <c r="L184" s="150"/>
      <c r="N184" s="8"/>
    </row>
    <row r="185" spans="2:14" x14ac:dyDescent="0.25">
      <c r="F185" s="150"/>
      <c r="G185" s="1135"/>
      <c r="H185" s="1128"/>
      <c r="I185" s="1134"/>
      <c r="J185" s="1126" t="str">
        <f>"if "&amp;'Divs (c3)'!G87&amp;" is greater than WFP_threshold ("&amp;DOLLAR(WFP_threshold,0)&amp;")"</f>
        <v>if c3.21 is greater than WFP_threshold (£35,000)</v>
      </c>
      <c r="K185" s="86"/>
      <c r="L185" s="150"/>
      <c r="N185" s="8"/>
    </row>
    <row r="186" spans="2:14" x14ac:dyDescent="0.25">
      <c r="F186" s="150"/>
      <c r="G186" s="35"/>
      <c r="H186" s="1128"/>
      <c r="I186" s="1134"/>
      <c r="J186" s="1126" t="str">
        <f>I190&amp;" = "&amp;F190&amp;" × WFP_rate ("&amp;WFP_rate * 100&amp;"%)"</f>
        <v>c9.39j = c9.39i × WFP_rate (100%)</v>
      </c>
      <c r="K186" s="86"/>
      <c r="L186" s="150"/>
      <c r="N186" s="8"/>
    </row>
    <row r="187" spans="2:14" x14ac:dyDescent="0.25">
      <c r="F187" s="150"/>
      <c r="G187" s="35"/>
      <c r="H187" s="225"/>
      <c r="I187" s="150"/>
      <c r="J187" s="1126" t="s">
        <v>7143</v>
      </c>
      <c r="K187" s="86"/>
      <c r="L187" s="150"/>
      <c r="N187" s="8"/>
    </row>
    <row r="188" spans="2:14" x14ac:dyDescent="0.25">
      <c r="J188" s="1126" t="str">
        <f>I190&amp;" = 0 (zero)"</f>
        <v>c9.39j = 0 (zero)</v>
      </c>
      <c r="K188" s="86"/>
      <c r="L188" s="150"/>
      <c r="N188" s="8"/>
    </row>
    <row r="189" spans="2:14" x14ac:dyDescent="0.25">
      <c r="G189" s="1127" t="str">
        <f>"from box "&amp;'REL(2)'!K30&amp;'REL(2)'!C32</f>
        <v>from box WFHP1</v>
      </c>
      <c r="H189" s="86"/>
      <c r="I189" s="1125"/>
      <c r="J189" s="1126" t="s">
        <v>75</v>
      </c>
      <c r="L189" s="150"/>
      <c r="N189" s="8"/>
    </row>
    <row r="190" spans="2:14" x14ac:dyDescent="0.25">
      <c r="F190" s="2206" t="str">
        <f>A57</f>
        <v>c9.39i</v>
      </c>
      <c r="G190" s="2207">
        <f>TRUNC('REL(2)'!D33,0)</f>
        <v>0</v>
      </c>
      <c r="H190" s="1128" t="s">
        <v>7029</v>
      </c>
      <c r="I190" s="2213" t="str">
        <f>A58</f>
        <v>c9.39j</v>
      </c>
      <c r="J190" s="2207">
        <f>IF('Divs (c3)'!H87&gt;WFP_threshold,TRUNC('Tax adj (c9)'!G190*WFP_rate,2),0)</f>
        <v>0</v>
      </c>
      <c r="K190" s="1128" t="s">
        <v>7647</v>
      </c>
      <c r="L190" s="150"/>
      <c r="N190" s="8"/>
    </row>
    <row r="191" spans="2:14" x14ac:dyDescent="0.25">
      <c r="K191" s="86"/>
      <c r="L191" s="150"/>
      <c r="N191" s="8"/>
    </row>
    <row r="192" spans="2:14" x14ac:dyDescent="0.25">
      <c r="E192" s="1125"/>
      <c r="F192" s="1125"/>
      <c r="G192" s="1125"/>
      <c r="H192" s="1125"/>
      <c r="I192" s="1125"/>
      <c r="J192" s="1126" t="str">
        <f>I158&amp;" + "&amp;I161&amp;" + "&amp;I164&amp;" + "&amp;I167&amp;" + "&amp;I170&amp;" + "&amp;I177&amp;" + "&amp;I183&amp;" + "&amp;I190</f>
        <v>c9.39 + c9.39a + c9.39b + c9.39c + c9.39d + c9.39f + c9.39h + c9.39j</v>
      </c>
      <c r="K192" s="86"/>
      <c r="L192" s="150"/>
      <c r="N192" s="8"/>
    </row>
    <row r="193" spans="2:14" x14ac:dyDescent="0.25">
      <c r="B193" s="139" t="s">
        <v>8319</v>
      </c>
      <c r="I193" s="2213" t="str">
        <f>A59</f>
        <v>c9.39k</v>
      </c>
      <c r="J193" s="2207">
        <f>J158+J161+J164+J167+J170+J177+J183+J190</f>
        <v>0</v>
      </c>
      <c r="K193" s="86"/>
      <c r="L193" s="150"/>
      <c r="M193" s="35"/>
      <c r="N193" s="8"/>
    </row>
    <row r="194" spans="2:14" x14ac:dyDescent="0.25">
      <c r="I194" s="150"/>
      <c r="J194" s="35"/>
      <c r="K194" s="86"/>
      <c r="L194" s="150"/>
      <c r="M194" s="35"/>
      <c r="N194" s="8"/>
    </row>
    <row r="195" spans="2:14" x14ac:dyDescent="0.25">
      <c r="F195" s="150"/>
      <c r="G195" s="35"/>
      <c r="J195" s="38" t="str">
        <f>L118&amp;" + "&amp;I193</f>
        <v>c9.31 + c9.39k</v>
      </c>
      <c r="L195" s="150"/>
      <c r="M195" s="35"/>
      <c r="N195" s="8"/>
    </row>
    <row r="196" spans="2:14" x14ac:dyDescent="0.25">
      <c r="B196" s="139" t="s">
        <v>8320</v>
      </c>
      <c r="F196" s="150"/>
      <c r="G196" s="35"/>
      <c r="H196" s="86" t="s">
        <v>8321</v>
      </c>
      <c r="I196" s="2206" t="str">
        <f>A60</f>
        <v>c9.40</v>
      </c>
      <c r="J196" s="2207">
        <f>M118+J193</f>
        <v>0</v>
      </c>
      <c r="L196" s="150"/>
      <c r="M196" s="35"/>
      <c r="N196" s="8"/>
    </row>
    <row r="198" spans="2:14" x14ac:dyDescent="0.25">
      <c r="G198" s="142" t="str">
        <f>"from "&amp;FOR&amp;FOR!C10</f>
        <v>from FOR2</v>
      </c>
    </row>
    <row r="199" spans="2:14" x14ac:dyDescent="0.25">
      <c r="B199" s="78" t="s">
        <v>5635</v>
      </c>
      <c r="F199" s="2206" t="str">
        <f>A61</f>
        <v>c9.41</v>
      </c>
      <c r="G199" s="2182">
        <f>FOR!D11</f>
        <v>0</v>
      </c>
    </row>
    <row r="200" spans="2:14" x14ac:dyDescent="0.25">
      <c r="B200" s="914"/>
      <c r="C200" s="210"/>
      <c r="D200" s="216"/>
      <c r="E200" s="216"/>
      <c r="H200" s="913"/>
    </row>
    <row r="201" spans="2:14" x14ac:dyDescent="0.25">
      <c r="H201" s="913"/>
      <c r="J201" s="38" t="str">
        <f>F199&amp;" + "&amp;'CG (c18)'!AA155</f>
        <v>c9.41 + c18.52</v>
      </c>
    </row>
    <row r="202" spans="2:14" x14ac:dyDescent="0.25">
      <c r="H202" s="913"/>
      <c r="I202" s="2206" t="str">
        <f>A62</f>
        <v>c9.41a</v>
      </c>
      <c r="J202" s="2182">
        <f>G199+'CG (c18)'!AB155</f>
        <v>0</v>
      </c>
    </row>
    <row r="204" spans="2:14" x14ac:dyDescent="0.25">
      <c r="J204" s="38" t="str">
        <f>"("&amp;I196&amp;" + "&amp;'CG (c18)'!AA155&amp;") minus "&amp;'Tax adj (c9)'!F139</f>
        <v>(c9.40 + c18.52) minus c9.34</v>
      </c>
    </row>
    <row r="205" spans="2:14" x14ac:dyDescent="0.25">
      <c r="I205" s="2206" t="str">
        <f>A63</f>
        <v>c9.41b</v>
      </c>
      <c r="J205" s="2182">
        <f>MAX(0,(UK_FTCR+'CG (c18)'!AB155)-('Tax adj (c9)'!G139))</f>
        <v>0</v>
      </c>
    </row>
    <row r="207" spans="2:14" x14ac:dyDescent="0.25">
      <c r="J207" s="38" t="str">
        <f>"lower of "&amp;F199&amp;" and "&amp;I205</f>
        <v>lower of c9.41 and c9.41b</v>
      </c>
      <c r="K207" s="913"/>
    </row>
    <row r="208" spans="2:14" x14ac:dyDescent="0.25">
      <c r="I208" s="2206" t="str">
        <f>A64</f>
        <v>c9.41c</v>
      </c>
      <c r="J208" s="2182">
        <f>MIN(G199,J205)</f>
        <v>0</v>
      </c>
    </row>
    <row r="210" spans="2:10" x14ac:dyDescent="0.25">
      <c r="J210" s="38" t="str">
        <f>L118&amp;" minus "&amp;I208</f>
        <v>c9.31 minus c9.41c</v>
      </c>
    </row>
    <row r="211" spans="2:10" x14ac:dyDescent="0.25">
      <c r="B211" s="922" t="s">
        <v>8322</v>
      </c>
      <c r="I211" s="2206" t="str">
        <f>A65</f>
        <v>c9.42</v>
      </c>
      <c r="J211" s="2207">
        <f>MAX(0,M118-J208)</f>
        <v>0</v>
      </c>
    </row>
    <row r="213" spans="2:10" x14ac:dyDescent="0.25">
      <c r="J213" s="38" t="str">
        <f>L125&amp;" + "&amp;I193&amp;" + "&amp;I211</f>
        <v>c9.31a + c9.39k + c9.42</v>
      </c>
    </row>
    <row r="214" spans="2:10" x14ac:dyDescent="0.25">
      <c r="B214" s="922" t="s">
        <v>8323</v>
      </c>
      <c r="I214" s="2206" t="str">
        <f>A66</f>
        <v>c9.43</v>
      </c>
      <c r="J214" s="2209">
        <f>M125+J193+J211</f>
        <v>0</v>
      </c>
    </row>
    <row r="215" spans="2:10" x14ac:dyDescent="0.25">
      <c r="J215" s="38" t="str">
        <f>"copy to "&amp;'Tax due (c12)'!A1</f>
        <v>copy to c12.1</v>
      </c>
    </row>
  </sheetData>
  <phoneticPr fontId="58" type="noConversion"/>
  <pageMargins left="0.196850393700787" right="0.196850393700787" top="0.196850393700787" bottom="0.196850393700787" header="0" footer="0"/>
  <pageSetup paperSize="9" scale="94" orientation="portrait" r:id="rId1"/>
  <headerFooter alignWithMargins="0">
    <oddFooter>&amp;C&amp;1#&amp;"Calibri"&amp;10&amp;K000000OFFICIAL-SENSITIVE</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4"/>
  <dimension ref="A1:G62"/>
  <sheetViews>
    <sheetView topLeftCell="A25" workbookViewId="0">
      <selection activeCell="D57" sqref="D57"/>
    </sheetView>
  </sheetViews>
  <sheetFormatPr defaultRowHeight="12.5" x14ac:dyDescent="0.25"/>
  <cols>
    <col min="2" max="2" width="37.54296875" customWidth="1"/>
    <col min="3" max="3" width="37.54296875" bestFit="1" customWidth="1"/>
    <col min="4" max="4" width="17.1796875" customWidth="1"/>
    <col min="5" max="5" width="6.1796875" customWidth="1"/>
    <col min="6" max="6" width="37.54296875" bestFit="1" customWidth="1"/>
    <col min="7" max="7" width="35.54296875" bestFit="1" customWidth="1"/>
  </cols>
  <sheetData>
    <row r="1" spans="1:5" x14ac:dyDescent="0.25">
      <c r="A1" s="327"/>
      <c r="B1" s="328"/>
      <c r="C1" s="328" t="s">
        <v>4637</v>
      </c>
      <c r="D1" s="329" t="str">
        <f>tax_year</f>
        <v>2025-26</v>
      </c>
    </row>
    <row r="2" spans="1:5" x14ac:dyDescent="0.25">
      <c r="A2" s="330"/>
      <c r="D2" s="331"/>
    </row>
    <row r="3" spans="1:5" x14ac:dyDescent="0.25">
      <c r="A3" s="330"/>
      <c r="D3" s="331"/>
    </row>
    <row r="4" spans="1:5" x14ac:dyDescent="0.25">
      <c r="A4" s="2214" t="s">
        <v>4639</v>
      </c>
      <c r="B4" s="2132" t="s">
        <v>4640</v>
      </c>
      <c r="C4" s="2373" t="str">
        <f>'Tax due (c12)'!L36&amp;" + "&amp;'Tax due (c12)'!I70&amp;" + "&amp;'Tax due (c12)'!I76</f>
        <v>c12.1f + c12.9 + c12.11</v>
      </c>
      <c r="D4" s="1807">
        <f>MAX(0,'Tax due (c12)'!M36+'Tax due (c12)'!J70+'Tax due (c12)'!J76)</f>
        <v>0</v>
      </c>
    </row>
    <row r="5" spans="1:5" x14ac:dyDescent="0.25">
      <c r="A5" s="2214" t="s">
        <v>4641</v>
      </c>
      <c r="B5" s="2216" t="s">
        <v>4642</v>
      </c>
      <c r="C5" s="2217" t="s">
        <v>4643</v>
      </c>
      <c r="D5" s="1810" t="s">
        <v>4643</v>
      </c>
      <c r="E5" s="321"/>
    </row>
    <row r="6" spans="1:5" x14ac:dyDescent="0.25">
      <c r="A6" s="2214" t="s">
        <v>4644</v>
      </c>
      <c r="B6" s="2132" t="s">
        <v>4645</v>
      </c>
      <c r="C6" s="2373" t="str">
        <f>'Tax due (c12)'!I95</f>
        <v>c12.17</v>
      </c>
      <c r="D6" s="1807">
        <f>'Tax due (c12)'!J95+NRD!L24</f>
        <v>0</v>
      </c>
    </row>
    <row r="7" spans="1:5" x14ac:dyDescent="0.25">
      <c r="A7" s="2214" t="s">
        <v>4646</v>
      </c>
      <c r="B7" s="2132" t="s">
        <v>4647</v>
      </c>
      <c r="C7" s="2215" t="str">
        <f>'Tax due (c12)'!I39</f>
        <v>c12.2</v>
      </c>
      <c r="D7" s="1807">
        <f>'Tax due (c12)'!J39</f>
        <v>0</v>
      </c>
    </row>
    <row r="8" spans="1:5" x14ac:dyDescent="0.25">
      <c r="A8" s="2214" t="s">
        <v>4649</v>
      </c>
      <c r="B8" s="2216" t="s">
        <v>4650</v>
      </c>
      <c r="C8" s="2215" t="str">
        <f>'Tax due (c12)'!I47</f>
        <v>c12.3</v>
      </c>
      <c r="D8" s="1807">
        <f>'Tax due (c12)'!J47</f>
        <v>0</v>
      </c>
    </row>
    <row r="9" spans="1:5" x14ac:dyDescent="0.25">
      <c r="A9" s="2214" t="s">
        <v>4652</v>
      </c>
      <c r="B9" s="2216" t="s">
        <v>4653</v>
      </c>
      <c r="C9" s="2215" t="str">
        <f>'Tax due (c12)'!I61</f>
        <v>c12.7</v>
      </c>
      <c r="D9" s="1807">
        <f>'Tax due (c12)'!J61</f>
        <v>0</v>
      </c>
    </row>
    <row r="10" spans="1:5" x14ac:dyDescent="0.25">
      <c r="A10" s="2214" t="s">
        <v>4655</v>
      </c>
      <c r="B10" s="2216" t="s">
        <v>4656</v>
      </c>
      <c r="C10" s="2215" t="str">
        <f>'Tax due (c12)'!I64</f>
        <v>c12.7b</v>
      </c>
      <c r="D10" s="1807">
        <f>'Tax due (c12)'!J64</f>
        <v>0</v>
      </c>
    </row>
    <row r="11" spans="1:5" x14ac:dyDescent="0.25">
      <c r="A11" s="2214" t="s">
        <v>4658</v>
      </c>
      <c r="B11" s="2132" t="s">
        <v>4659</v>
      </c>
      <c r="C11" s="2215" t="str">
        <f>"CAL"&amp;CAL!C6</f>
        <v>CAL7</v>
      </c>
      <c r="D11" s="1807">
        <f>CAL!D7</f>
        <v>0</v>
      </c>
    </row>
    <row r="12" spans="1:5" x14ac:dyDescent="0.25">
      <c r="A12" s="2214" t="s">
        <v>4660</v>
      </c>
      <c r="B12" s="2216" t="s">
        <v>4661</v>
      </c>
      <c r="C12" s="2215" t="str">
        <f>'Tax due (c12)'!I82</f>
        <v>c12.13</v>
      </c>
      <c r="D12" s="1807">
        <f>'Tax due (c12)'!J82</f>
        <v>0</v>
      </c>
    </row>
    <row r="13" spans="1:5" x14ac:dyDescent="0.25">
      <c r="A13" s="2214" t="s">
        <v>4663</v>
      </c>
      <c r="B13" s="2132" t="s">
        <v>4664</v>
      </c>
      <c r="C13" s="2215" t="str">
        <f>"CAL"&amp;CAL!C9</f>
        <v>CAL8</v>
      </c>
      <c r="D13" s="1807">
        <f>CAL!D10</f>
        <v>0</v>
      </c>
    </row>
    <row r="14" spans="1:5" x14ac:dyDescent="0.25">
      <c r="A14" s="2214" t="s">
        <v>4665</v>
      </c>
      <c r="B14" s="2132" t="s">
        <v>4666</v>
      </c>
      <c r="C14" s="2215" t="str">
        <f>'Tax due (c12)'!L101</f>
        <v>c12.17b</v>
      </c>
      <c r="D14" s="1807">
        <f>'Tax due (c12)'!M101</f>
        <v>0</v>
      </c>
    </row>
    <row r="15" spans="1:5" x14ac:dyDescent="0.25">
      <c r="A15" s="2214" t="s">
        <v>4668</v>
      </c>
      <c r="B15" s="2132" t="s">
        <v>4669</v>
      </c>
      <c r="C15" s="2215" t="str">
        <f>"CAL"&amp;CAL!C22</f>
        <v>CAL14</v>
      </c>
      <c r="D15" s="1807">
        <f>CAL!D23</f>
        <v>0</v>
      </c>
    </row>
    <row r="16" spans="1:5" x14ac:dyDescent="0.25">
      <c r="A16" s="2214" t="s">
        <v>4670</v>
      </c>
      <c r="B16" s="2216" t="s">
        <v>4671</v>
      </c>
      <c r="C16" s="2215" t="str">
        <f>'Div Cr (c10)'!I19&amp;" + "&amp;'Div Cr (c10)'!I54&amp;" + "&amp;'Div Cr (c10)'!I94</f>
        <v>c10.3.2 + c10.7 + c10.20</v>
      </c>
      <c r="D16" s="1807">
        <f>'Div Cr (c10)'!J19+'Div Cr (c10)'!J54+'Div Cr (c10)'!J94</f>
        <v>0</v>
      </c>
    </row>
    <row r="17" spans="1:6" x14ac:dyDescent="0.25">
      <c r="A17" s="2214" t="s">
        <v>4673</v>
      </c>
      <c r="B17" s="2132" t="s">
        <v>4674</v>
      </c>
      <c r="C17" s="2215" t="str">
        <f>"FIN"&amp;'REL(2)'!C52</f>
        <v>FIN1</v>
      </c>
      <c r="D17" s="1807">
        <f>'REL(2)'!D53</f>
        <v>0</v>
      </c>
    </row>
    <row r="18" spans="1:6" x14ac:dyDescent="0.25">
      <c r="A18" s="2214" t="s">
        <v>4675</v>
      </c>
      <c r="B18" s="2132" t="s">
        <v>4676</v>
      </c>
      <c r="C18" s="2218" t="s">
        <v>4677</v>
      </c>
      <c r="D18" s="1813" t="s">
        <v>4677</v>
      </c>
    </row>
    <row r="19" spans="1:6" x14ac:dyDescent="0.25">
      <c r="A19" s="2214" t="s">
        <v>4678</v>
      </c>
      <c r="B19" s="2132" t="s">
        <v>4679</v>
      </c>
      <c r="C19" s="2218" t="s">
        <v>4677</v>
      </c>
      <c r="D19" s="1813" t="s">
        <v>4677</v>
      </c>
    </row>
    <row r="20" spans="1:6" x14ac:dyDescent="0.25">
      <c r="A20" s="2214" t="s">
        <v>4680</v>
      </c>
      <c r="B20" s="2132" t="s">
        <v>4681</v>
      </c>
      <c r="C20" s="2218" t="s">
        <v>4677</v>
      </c>
      <c r="D20" s="1813" t="s">
        <v>4677</v>
      </c>
    </row>
    <row r="21" spans="1:6" x14ac:dyDescent="0.25">
      <c r="A21" s="2214" t="s">
        <v>4682</v>
      </c>
      <c r="B21" s="2216" t="s">
        <v>4683</v>
      </c>
      <c r="C21" s="2215" t="str">
        <f>'Tax paid (c11)'!I32</f>
        <v>c11.7</v>
      </c>
      <c r="D21" s="1807">
        <f>'Tax paid (c11)'!J32</f>
        <v>0</v>
      </c>
    </row>
    <row r="22" spans="1:6" x14ac:dyDescent="0.25">
      <c r="A22" s="2369" t="s">
        <v>9569</v>
      </c>
      <c r="B22" s="2370" t="s">
        <v>9570</v>
      </c>
      <c r="C22" s="2371" t="str">
        <f>'Tax adj (c9)'!I183</f>
        <v>c9.39h</v>
      </c>
      <c r="D22" s="2372">
        <f>'Tax adj (c9)'!J183</f>
        <v>0</v>
      </c>
    </row>
    <row r="23" spans="1:6" x14ac:dyDescent="0.25">
      <c r="A23" s="1814"/>
      <c r="B23" s="2216" t="s">
        <v>4685</v>
      </c>
      <c r="C23" s="2214"/>
      <c r="D23" s="1807" t="str">
        <f>IF(NIC2_v,"Y","N")</f>
        <v>N</v>
      </c>
    </row>
    <row r="24" spans="1:6" x14ac:dyDescent="0.25">
      <c r="A24" s="1814"/>
      <c r="B24" s="2216" t="s">
        <v>4686</v>
      </c>
      <c r="C24" s="2214"/>
      <c r="D24" s="1807" t="str">
        <f>IF(NIC2_amount&gt;0,"N","Y")</f>
        <v>Y</v>
      </c>
    </row>
    <row r="25" spans="1:6" x14ac:dyDescent="0.25">
      <c r="A25" s="1814"/>
      <c r="B25" s="2132" t="s">
        <v>4687</v>
      </c>
      <c r="C25" s="1986"/>
      <c r="D25" s="1813" t="str">
        <f>IF(NIC2_thrshld&gt;0,"Y","N")</f>
        <v>N</v>
      </c>
    </row>
    <row r="26" spans="1:6" x14ac:dyDescent="0.25">
      <c r="A26" s="1814"/>
      <c r="B26" s="2216" t="s">
        <v>4688</v>
      </c>
      <c r="C26" s="2214"/>
      <c r="D26" s="1807"/>
    </row>
    <row r="27" spans="1:6" x14ac:dyDescent="0.25">
      <c r="A27" s="330"/>
      <c r="D27" s="331"/>
    </row>
    <row r="28" spans="1:6" x14ac:dyDescent="0.25">
      <c r="A28" s="1814"/>
      <c r="B28" s="1986" t="s">
        <v>4689</v>
      </c>
      <c r="C28" s="1986"/>
      <c r="D28" s="1807">
        <f>'Tax due (c12)'!J70</f>
        <v>0</v>
      </c>
    </row>
    <row r="29" spans="1:6" x14ac:dyDescent="0.25">
      <c r="A29" s="330"/>
      <c r="D29" s="331"/>
    </row>
    <row r="30" spans="1:6" x14ac:dyDescent="0.25">
      <c r="A30" s="330"/>
      <c r="D30" s="331"/>
    </row>
    <row r="31" spans="1:6" ht="13" x14ac:dyDescent="0.3">
      <c r="A31" s="330"/>
      <c r="B31" s="2" t="s">
        <v>4690</v>
      </c>
      <c r="D31" s="331"/>
    </row>
    <row r="32" spans="1:6" x14ac:dyDescent="0.25">
      <c r="A32" s="1815" t="s">
        <v>4691</v>
      </c>
      <c r="B32" s="1986" t="s">
        <v>4692</v>
      </c>
      <c r="C32" s="2218" t="str">
        <f>'S loans(c27)'!F28&amp;" + "&amp;'S loans(c27)'!F90</f>
        <v>c27.5 + c27.9</v>
      </c>
      <c r="D32" s="1816">
        <f>'S loans(c27)'!G28+'S loans(c27)'!G90</f>
        <v>0</v>
      </c>
      <c r="F32" t="s">
        <v>8324</v>
      </c>
    </row>
    <row r="33" spans="1:7" x14ac:dyDescent="0.25">
      <c r="A33" s="1814"/>
      <c r="B33" s="1986"/>
      <c r="C33" s="2218"/>
      <c r="D33" s="1813"/>
    </row>
    <row r="34" spans="1:7" x14ac:dyDescent="0.25">
      <c r="A34" s="1815" t="s">
        <v>4694</v>
      </c>
      <c r="B34" s="1986" t="s">
        <v>4695</v>
      </c>
      <c r="C34" s="2218" t="str">
        <f>'S loans(c27)'!J204</f>
        <v>c27.40</v>
      </c>
      <c r="D34" s="1816">
        <f>IF(SL_type,'S loans(c27)'!K204,0)</f>
        <v>0</v>
      </c>
      <c r="F34" t="s">
        <v>8325</v>
      </c>
    </row>
    <row r="35" spans="1:7" x14ac:dyDescent="0.25">
      <c r="A35" s="1814"/>
      <c r="B35" s="1986"/>
      <c r="C35" s="2218"/>
      <c r="D35" s="1813"/>
    </row>
    <row r="36" spans="1:7" x14ac:dyDescent="0.25">
      <c r="A36" s="1815" t="s">
        <v>4697</v>
      </c>
      <c r="B36" s="1986" t="s">
        <v>4698</v>
      </c>
      <c r="C36" s="2218" t="str">
        <f>'S loans(c27)'!J226</f>
        <v>c27.42</v>
      </c>
      <c r="D36" s="1816">
        <f>IF(SL_type,'S loans(c27)'!K226,0)</f>
        <v>0</v>
      </c>
      <c r="F36" t="s">
        <v>8326</v>
      </c>
    </row>
    <row r="37" spans="1:7" x14ac:dyDescent="0.25">
      <c r="A37" s="1814"/>
      <c r="B37" s="1986"/>
      <c r="C37" s="2218"/>
      <c r="D37" s="1813"/>
    </row>
    <row r="38" spans="1:7" x14ac:dyDescent="0.25">
      <c r="A38" s="1815" t="s">
        <v>4700</v>
      </c>
      <c r="B38" s="1986" t="s">
        <v>4701</v>
      </c>
      <c r="C38" s="2218" t="str">
        <f>'S loans(c27)'!J229</f>
        <v>c27.43</v>
      </c>
      <c r="D38" s="1816">
        <f>'S loans(c27)'!K229</f>
        <v>0</v>
      </c>
      <c r="F38" t="s">
        <v>8327</v>
      </c>
    </row>
    <row r="39" spans="1:7" x14ac:dyDescent="0.25">
      <c r="A39" s="1814"/>
      <c r="B39" s="1986"/>
      <c r="C39" s="2218"/>
      <c r="D39" s="1813"/>
      <c r="G39" s="2219" t="s">
        <v>4703</v>
      </c>
    </row>
    <row r="40" spans="1:7" x14ac:dyDescent="0.25">
      <c r="A40" s="1815" t="s">
        <v>4703</v>
      </c>
      <c r="B40" s="1986" t="s">
        <v>4704</v>
      </c>
      <c r="C40" s="2218" t="str">
        <f>'S loans(c27)'!J164&amp;" minus ("&amp;C32&amp;")"</f>
        <v>c27.29 minus (c27.5 + c27.9)</v>
      </c>
      <c r="D40" s="1816">
        <f>IF(SL_type,MAX('S loans(c27)'!K164-D32,0),0)</f>
        <v>0</v>
      </c>
      <c r="F40" t="s">
        <v>8328</v>
      </c>
      <c r="G40" s="526" t="str">
        <f>"If "&amp;'S loans(c27)'!J164&amp;" minus ("&amp;C32&amp;") &gt; 0"</f>
        <v>If c27.29 minus (c27.5 + c27.9) &gt; 0</v>
      </c>
    </row>
    <row r="41" spans="1:7" x14ac:dyDescent="0.25">
      <c r="A41" s="1814"/>
      <c r="B41" s="1986"/>
      <c r="C41" s="2218"/>
      <c r="D41" s="1813"/>
      <c r="G41" s="526" t="str">
        <f>A40&amp;" ="&amp;'S loans(c27)'!J164&amp;" minus ("&amp;C32&amp;")"</f>
        <v>c97.5 =c27.29 minus (c27.5 + c27.9)</v>
      </c>
    </row>
    <row r="42" spans="1:7" ht="13" thickBot="1" x14ac:dyDescent="0.3">
      <c r="A42" s="751" t="s">
        <v>4706</v>
      </c>
      <c r="B42" s="752" t="s">
        <v>4707</v>
      </c>
      <c r="C42" s="753" t="str">
        <f>'S loans(c27)'!J258</f>
        <v>c27.44</v>
      </c>
      <c r="D42" s="754">
        <f>IF(SL_type,'S loans(c27)'!K258,0)</f>
        <v>0</v>
      </c>
      <c r="F42" t="s">
        <v>8329</v>
      </c>
      <c r="G42" s="526" t="s">
        <v>7143</v>
      </c>
    </row>
    <row r="43" spans="1:7" x14ac:dyDescent="0.25">
      <c r="A43" s="1815"/>
      <c r="B43" s="1986"/>
      <c r="C43" s="2218"/>
      <c r="D43" s="1816"/>
      <c r="G43" s="526" t="str">
        <f>A40&amp;" = 0"</f>
        <v>c97.5 = 0</v>
      </c>
    </row>
    <row r="44" spans="1:7" x14ac:dyDescent="0.25">
      <c r="A44" s="1815" t="s">
        <v>4709</v>
      </c>
      <c r="B44" s="2083" t="s">
        <v>4710</v>
      </c>
      <c r="C44" s="2218" t="s">
        <v>4711</v>
      </c>
      <c r="D44" s="1816"/>
      <c r="F44" s="211"/>
      <c r="G44" s="2220" t="s">
        <v>75</v>
      </c>
    </row>
    <row r="45" spans="1:7" x14ac:dyDescent="0.25">
      <c r="A45" s="1815"/>
      <c r="B45" s="1986"/>
      <c r="C45" s="2218"/>
      <c r="D45" s="1816"/>
      <c r="G45" s="535"/>
    </row>
    <row r="46" spans="1:7" x14ac:dyDescent="0.25">
      <c r="A46" s="1815" t="s">
        <v>4712</v>
      </c>
      <c r="B46" s="2083" t="s">
        <v>4713</v>
      </c>
      <c r="C46" s="2218" t="s">
        <v>4711</v>
      </c>
      <c r="D46" s="1813"/>
      <c r="F46" s="211"/>
      <c r="G46" s="535"/>
    </row>
    <row r="47" spans="1:7" x14ac:dyDescent="0.25">
      <c r="A47" s="1815"/>
      <c r="B47" s="1986"/>
      <c r="C47" s="2218"/>
      <c r="D47" s="1816"/>
      <c r="G47" s="535"/>
    </row>
    <row r="48" spans="1:7" x14ac:dyDescent="0.25">
      <c r="A48" s="1815" t="s">
        <v>4714</v>
      </c>
      <c r="B48" s="2083" t="s">
        <v>4715</v>
      </c>
      <c r="C48" s="2218" t="str">
        <f>'S loans(c27)'!J239</f>
        <v>c27.43b</v>
      </c>
      <c r="D48" s="1816">
        <f>'S loans(c27)'!K242</f>
        <v>0</v>
      </c>
      <c r="F48" t="s">
        <v>8330</v>
      </c>
      <c r="G48" s="2221"/>
    </row>
    <row r="49" spans="1:7" x14ac:dyDescent="0.25">
      <c r="A49" s="1815"/>
      <c r="B49" s="1986"/>
      <c r="C49" s="2218"/>
      <c r="D49" s="1816"/>
      <c r="G49" s="536"/>
    </row>
    <row r="50" spans="1:7" x14ac:dyDescent="0.25">
      <c r="A50" s="1815" t="s">
        <v>4717</v>
      </c>
      <c r="B50" s="2083" t="s">
        <v>4718</v>
      </c>
      <c r="C50" s="2218" t="str">
        <f>'S loans(c27)'!J242</f>
        <v>c27.43c</v>
      </c>
      <c r="D50" s="1816">
        <f>'S loans(c27)'!K242</f>
        <v>0</v>
      </c>
      <c r="F50" t="s">
        <v>8331</v>
      </c>
      <c r="G50" s="536"/>
    </row>
    <row r="51" spans="1:7" x14ac:dyDescent="0.25">
      <c r="A51" s="1815"/>
      <c r="B51" s="1986"/>
      <c r="C51" s="2218"/>
      <c r="D51" s="1816"/>
      <c r="G51" s="536"/>
    </row>
    <row r="52" spans="1:7" x14ac:dyDescent="0.25">
      <c r="A52" s="1815" t="s">
        <v>4720</v>
      </c>
      <c r="B52" s="2083" t="s">
        <v>4721</v>
      </c>
      <c r="C52" s="2218" t="s">
        <v>4711</v>
      </c>
      <c r="D52" s="1813"/>
      <c r="F52" s="211"/>
      <c r="G52" s="536"/>
    </row>
    <row r="53" spans="1:7" x14ac:dyDescent="0.25">
      <c r="A53" s="1814"/>
      <c r="B53" s="1986"/>
      <c r="C53" s="2218"/>
      <c r="D53" s="1813"/>
      <c r="G53" s="2222"/>
    </row>
    <row r="54" spans="1:7" ht="13" thickBot="1" x14ac:dyDescent="0.3">
      <c r="A54" s="751" t="s">
        <v>4722</v>
      </c>
      <c r="B54" s="756" t="s">
        <v>4723</v>
      </c>
      <c r="C54" s="753" t="str">
        <f>'S loans(c27)'!J277</f>
        <v>c27.45</v>
      </c>
      <c r="D54" s="754">
        <f>IF(SL_type,'S loans(c27)'!K277,0)</f>
        <v>0</v>
      </c>
      <c r="F54" t="s">
        <v>8332</v>
      </c>
    </row>
    <row r="55" spans="1:7" x14ac:dyDescent="0.25">
      <c r="A55" s="178"/>
      <c r="C55" s="7"/>
      <c r="D55" s="510"/>
    </row>
    <row r="56" spans="1:7" x14ac:dyDescent="0.25">
      <c r="A56" s="178"/>
      <c r="C56" s="7"/>
      <c r="D56" s="510"/>
    </row>
    <row r="57" spans="1:7" x14ac:dyDescent="0.25">
      <c r="A57" s="178"/>
      <c r="C57" s="7"/>
      <c r="D57" s="510"/>
    </row>
    <row r="58" spans="1:7" x14ac:dyDescent="0.25">
      <c r="A58" s="178"/>
      <c r="C58" s="7"/>
      <c r="D58" s="510"/>
    </row>
    <row r="60" spans="1:7" x14ac:dyDescent="0.25">
      <c r="B60" s="537" t="s">
        <v>8333</v>
      </c>
    </row>
    <row r="61" spans="1:7" x14ac:dyDescent="0.25">
      <c r="B61" s="274" t="s">
        <v>8334</v>
      </c>
    </row>
    <row r="62" spans="1:7" x14ac:dyDescent="0.25">
      <c r="A62" s="2083" t="s">
        <v>8335</v>
      </c>
      <c r="B62" s="2083" t="s">
        <v>8336</v>
      </c>
      <c r="C62" s="2083" t="s">
        <v>8337</v>
      </c>
      <c r="D62" s="1986"/>
    </row>
  </sheetData>
  <phoneticPr fontId="58" type="noConversion"/>
  <pageMargins left="0.19685039370078741" right="0.19685039370078741" top="0.39370078740157483" bottom="0.39370078740157483" header="0" footer="0"/>
  <pageSetup paperSize="9" orientation="portrait" r:id="rId1"/>
  <headerFooter alignWithMargins="0">
    <oddFooter>&amp;C&amp;1#&amp;"Calibri"&amp;10&amp;K000000OFFICIAL-SENSITIVE</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dimension ref="A1:N94"/>
  <sheetViews>
    <sheetView showGridLines="0" topLeftCell="B1" zoomScaleNormal="100" workbookViewId="0">
      <selection activeCell="B1" sqref="B1"/>
    </sheetView>
  </sheetViews>
  <sheetFormatPr defaultColWidth="9.1796875" defaultRowHeight="11.5" x14ac:dyDescent="0.25"/>
  <cols>
    <col min="1" max="1" width="9.1796875" style="8" hidden="1" customWidth="1"/>
    <col min="2" max="2" width="38" style="8" customWidth="1"/>
    <col min="3" max="3" width="7.453125" style="8" customWidth="1"/>
    <col min="4" max="4" width="11.1796875" style="8" customWidth="1"/>
    <col min="5" max="5" width="12" style="8" customWidth="1"/>
    <col min="6" max="6" width="7.54296875" style="8" customWidth="1"/>
    <col min="7" max="7" width="15.453125" style="8" customWidth="1"/>
    <col min="8" max="8" width="6.453125" style="8" customWidth="1"/>
    <col min="9" max="9" width="7.1796875" style="8" customWidth="1"/>
    <col min="10" max="10" width="15.453125" style="8" customWidth="1"/>
    <col min="11" max="11" width="7.81640625" style="8" customWidth="1"/>
    <col min="12" max="12" width="6.1796875" style="8" customWidth="1"/>
    <col min="13" max="13" width="7.1796875" style="8" customWidth="1"/>
    <col min="14" max="14" width="3.81640625" style="8" customWidth="1"/>
    <col min="15" max="15" width="7" style="8" customWidth="1"/>
    <col min="16" max="16" width="11.54296875" style="8" customWidth="1"/>
    <col min="17" max="16384" width="9.1796875" style="8"/>
  </cols>
  <sheetData>
    <row r="1" spans="1:14" ht="18" x14ac:dyDescent="0.4">
      <c r="A1" s="78" t="s">
        <v>8338</v>
      </c>
      <c r="B1" s="486" t="s">
        <v>8339</v>
      </c>
      <c r="C1" s="210"/>
      <c r="D1" s="210"/>
      <c r="E1" s="210"/>
      <c r="F1" s="210"/>
      <c r="G1" s="210"/>
      <c r="H1" s="210"/>
      <c r="I1" s="210"/>
      <c r="J1" s="210"/>
      <c r="K1" s="210"/>
      <c r="L1" s="210"/>
      <c r="M1" s="210"/>
      <c r="N1" s="210"/>
    </row>
    <row r="2" spans="1:14" x14ac:dyDescent="0.25">
      <c r="A2" s="78" t="s">
        <v>8340</v>
      </c>
      <c r="B2" s="210"/>
      <c r="C2" s="210"/>
      <c r="D2" s="210"/>
      <c r="E2" s="210"/>
      <c r="F2" s="210"/>
      <c r="G2" s="2144" t="s">
        <v>7019</v>
      </c>
      <c r="H2" s="2223"/>
      <c r="I2" s="2223"/>
      <c r="J2" s="2224"/>
      <c r="K2" s="210"/>
      <c r="L2" s="210"/>
      <c r="M2" s="210"/>
      <c r="N2" s="210"/>
    </row>
    <row r="3" spans="1:14" x14ac:dyDescent="0.25">
      <c r="A3" s="78" t="s">
        <v>8341</v>
      </c>
      <c r="B3" s="210"/>
      <c r="C3" s="210"/>
      <c r="D3" s="210"/>
      <c r="E3" s="210"/>
      <c r="F3" s="210"/>
      <c r="G3" s="210"/>
      <c r="H3" s="210"/>
      <c r="I3" s="216"/>
      <c r="J3" s="216"/>
      <c r="K3" s="210"/>
      <c r="L3" s="210"/>
      <c r="M3" s="210"/>
      <c r="N3" s="210"/>
    </row>
    <row r="4" spans="1:14" x14ac:dyDescent="0.25">
      <c r="A4" s="78" t="s">
        <v>8342</v>
      </c>
      <c r="B4" s="139" t="s">
        <v>8343</v>
      </c>
      <c r="C4" s="78"/>
      <c r="E4" s="78"/>
      <c r="F4" s="78"/>
      <c r="H4" s="78"/>
      <c r="I4" s="78"/>
      <c r="J4" s="78"/>
      <c r="L4" s="210"/>
      <c r="M4" s="210"/>
      <c r="N4" s="210"/>
    </row>
    <row r="5" spans="1:14" x14ac:dyDescent="0.25">
      <c r="A5" s="8" t="s">
        <v>8344</v>
      </c>
      <c r="G5" s="142" t="str">
        <f>"from "&amp;LUN&amp;LUN!C16</f>
        <v>from LUN9</v>
      </c>
    </row>
    <row r="6" spans="1:14" x14ac:dyDescent="0.25">
      <c r="A6" s="8" t="s">
        <v>8345</v>
      </c>
      <c r="B6" s="139" t="s">
        <v>8346</v>
      </c>
      <c r="C6" s="78"/>
      <c r="F6" s="2206" t="str">
        <f>A1</f>
        <v>c10.1</v>
      </c>
      <c r="G6" s="2157">
        <f>TRUNC(LUN!D17,0)</f>
        <v>0</v>
      </c>
      <c r="H6" s="197" t="s">
        <v>7029</v>
      </c>
      <c r="I6" s="78"/>
      <c r="J6" s="78"/>
      <c r="K6" s="78"/>
      <c r="L6" s="210"/>
      <c r="M6" s="210"/>
      <c r="N6" s="210"/>
    </row>
    <row r="7" spans="1:14" x14ac:dyDescent="0.25">
      <c r="A7" s="78" t="s">
        <v>4970</v>
      </c>
      <c r="B7" s="78"/>
      <c r="C7" s="78"/>
      <c r="L7" s="210"/>
      <c r="M7" s="210"/>
      <c r="N7" s="210"/>
    </row>
    <row r="8" spans="1:14" x14ac:dyDescent="0.25">
      <c r="A8" s="78" t="s">
        <v>4975</v>
      </c>
      <c r="G8" s="38" t="str">
        <f>"from "&amp;'Notional (c21c23)'!G26</f>
        <v>from c21.12</v>
      </c>
      <c r="L8" s="210"/>
      <c r="M8" s="210"/>
      <c r="N8" s="210"/>
    </row>
    <row r="9" spans="1:14" x14ac:dyDescent="0.25">
      <c r="A9" s="78" t="s">
        <v>8347</v>
      </c>
      <c r="B9" s="139" t="s">
        <v>8348</v>
      </c>
      <c r="F9" s="2206" t="str">
        <f>A2</f>
        <v>c10.2</v>
      </c>
      <c r="G9" s="2157">
        <f>'Notional (c21c23)'!H26</f>
        <v>0</v>
      </c>
      <c r="H9" s="78"/>
      <c r="I9" s="78"/>
      <c r="J9" s="78"/>
      <c r="L9" s="210"/>
      <c r="M9" s="210"/>
      <c r="N9" s="210"/>
    </row>
    <row r="10" spans="1:14" x14ac:dyDescent="0.25">
      <c r="A10" s="78" t="s">
        <v>8349</v>
      </c>
      <c r="B10" s="78"/>
      <c r="C10" s="78"/>
      <c r="L10" s="210"/>
      <c r="M10" s="210"/>
      <c r="N10" s="210"/>
    </row>
    <row r="11" spans="1:14" x14ac:dyDescent="0.25">
      <c r="A11" s="78" t="s">
        <v>8350</v>
      </c>
      <c r="F11" s="78"/>
      <c r="G11" s="38" t="str">
        <f>"lower of "&amp;F6&amp;" and "&amp;F9</f>
        <v>lower of c10.1 and c10.2</v>
      </c>
    </row>
    <row r="12" spans="1:14" x14ac:dyDescent="0.25">
      <c r="A12" s="78" t="s">
        <v>4980</v>
      </c>
      <c r="F12" s="2206" t="str">
        <f>A3</f>
        <v>c10.3</v>
      </c>
      <c r="G12" s="2129">
        <f>MIN(G6,G9)</f>
        <v>0</v>
      </c>
    </row>
    <row r="13" spans="1:14" x14ac:dyDescent="0.25">
      <c r="A13" s="78" t="s">
        <v>8351</v>
      </c>
    </row>
    <row r="14" spans="1:14" x14ac:dyDescent="0.25">
      <c r="A14" s="78" t="s">
        <v>8352</v>
      </c>
      <c r="F14" s="78"/>
      <c r="G14" s="38" t="str">
        <f>FOR&amp;FOR!G37&amp;" × old_gross ("&amp;old_gross_F&amp;")"</f>
        <v>FOR7.5 × old_gross (100/90)</v>
      </c>
    </row>
    <row r="15" spans="1:14" x14ac:dyDescent="0.25">
      <c r="A15" s="78" t="s">
        <v>8353</v>
      </c>
      <c r="B15" s="8" t="s">
        <v>8354</v>
      </c>
      <c r="F15" s="2206" t="str">
        <f>A4</f>
        <v>c10.3.1</v>
      </c>
      <c r="G15" s="2129">
        <f>TRUNC(FOR!H38*old_gross,0)</f>
        <v>0</v>
      </c>
      <c r="H15" s="197" t="s">
        <v>7029</v>
      </c>
    </row>
    <row r="16" spans="1:14" x14ac:dyDescent="0.25">
      <c r="A16" s="78" t="s">
        <v>8355</v>
      </c>
      <c r="F16" s="150"/>
      <c r="G16" s="78"/>
      <c r="H16" s="197"/>
    </row>
    <row r="17" spans="1:11" x14ac:dyDescent="0.25">
      <c r="A17" s="78" t="s">
        <v>8356</v>
      </c>
      <c r="F17" s="150"/>
      <c r="G17" s="78"/>
      <c r="H17" s="197"/>
    </row>
    <row r="18" spans="1:11" x14ac:dyDescent="0.25">
      <c r="A18" s="78" t="s">
        <v>8357</v>
      </c>
      <c r="B18" s="78"/>
      <c r="C18" s="78"/>
      <c r="E18" s="78"/>
      <c r="H18" s="78"/>
      <c r="I18" s="78"/>
      <c r="J18" s="38" t="str">
        <f>F15&amp;" × Ldiv_rate "&amp;Ldiv_rate * 100&amp;"%"</f>
        <v>c10.3.1 × Ldiv_rate 10%</v>
      </c>
    </row>
    <row r="19" spans="1:11" x14ac:dyDescent="0.25">
      <c r="A19" s="78" t="s">
        <v>8358</v>
      </c>
      <c r="C19" s="78"/>
      <c r="H19" s="78"/>
      <c r="I19" s="2206" t="str">
        <f>A5</f>
        <v>c10.3.2</v>
      </c>
      <c r="J19" s="2209">
        <f>TRUNC((G15*Ldiv_rate)+0.0099,2)</f>
        <v>0</v>
      </c>
      <c r="K19" s="197" t="s">
        <v>8206</v>
      </c>
    </row>
    <row r="20" spans="1:11" x14ac:dyDescent="0.25">
      <c r="A20" s="78" t="s">
        <v>8359</v>
      </c>
      <c r="F20" s="150"/>
      <c r="G20" s="78"/>
      <c r="H20" s="197"/>
    </row>
    <row r="21" spans="1:11" x14ac:dyDescent="0.25">
      <c r="A21" s="78" t="s">
        <v>8360</v>
      </c>
      <c r="F21" s="150"/>
      <c r="G21" s="78"/>
      <c r="H21" s="197"/>
    </row>
    <row r="22" spans="1:11" x14ac:dyDescent="0.25">
      <c r="A22" s="78" t="s">
        <v>8361</v>
      </c>
      <c r="F22" s="150"/>
      <c r="G22" s="78"/>
      <c r="H22" s="197"/>
      <c r="I22" s="78"/>
      <c r="J22" s="38" t="str">
        <f>'Taxable (c5)'!BA149&amp;" × Ldiv_rate "&amp;Ldiv_rate * 100&amp;"%"</f>
        <v>c5.76 × Ldiv_rate 10%</v>
      </c>
    </row>
    <row r="23" spans="1:11" x14ac:dyDescent="0.25">
      <c r="A23" s="78" t="s">
        <v>8362</v>
      </c>
      <c r="F23" s="150"/>
      <c r="G23" s="78"/>
      <c r="H23" s="197"/>
      <c r="I23" s="2206" t="str">
        <f>A6</f>
        <v>c10.3.3</v>
      </c>
      <c r="J23" s="2209">
        <f>TRUNC(('Taxable (c5)'!BB149*Ldiv_rate)+0.0099,2)</f>
        <v>0</v>
      </c>
      <c r="K23" s="197" t="s">
        <v>8206</v>
      </c>
    </row>
    <row r="24" spans="1:11" x14ac:dyDescent="0.25">
      <c r="A24" s="78"/>
      <c r="F24" s="150"/>
      <c r="G24" s="78"/>
      <c r="H24" s="197"/>
    </row>
    <row r="25" spans="1:11" x14ac:dyDescent="0.25">
      <c r="A25" s="78"/>
      <c r="F25" s="150"/>
      <c r="G25" s="78"/>
      <c r="H25" s="197"/>
    </row>
    <row r="26" spans="1:11" x14ac:dyDescent="0.25">
      <c r="A26" s="78"/>
      <c r="F26" s="150"/>
      <c r="G26" s="78"/>
      <c r="H26" s="197"/>
      <c r="I26" s="78"/>
      <c r="J26" s="38" t="str">
        <f>"lower of "&amp;I19&amp;" and "&amp;I23</f>
        <v>lower of c10.3.2 and c10.3.3</v>
      </c>
    </row>
    <row r="27" spans="1:11" x14ac:dyDescent="0.25">
      <c r="A27" s="78"/>
      <c r="B27" s="87" t="s">
        <v>8363</v>
      </c>
      <c r="F27" s="150"/>
      <c r="G27" s="78"/>
      <c r="H27" s="197"/>
      <c r="I27" s="2206" t="str">
        <f>A7</f>
        <v>c10.4</v>
      </c>
      <c r="J27" s="2209">
        <f>MIN(J19,J23)</f>
        <v>0</v>
      </c>
      <c r="K27" s="197"/>
    </row>
    <row r="28" spans="1:11" x14ac:dyDescent="0.25">
      <c r="A28" s="78"/>
      <c r="F28" s="150"/>
      <c r="G28" s="78"/>
      <c r="H28" s="197"/>
    </row>
    <row r="29" spans="1:11" x14ac:dyDescent="0.25">
      <c r="F29" s="150"/>
      <c r="G29" s="78"/>
      <c r="H29" s="197"/>
    </row>
    <row r="30" spans="1:11" x14ac:dyDescent="0.25">
      <c r="F30" s="150"/>
      <c r="G30" s="78"/>
      <c r="H30" s="197"/>
    </row>
    <row r="31" spans="1:11" x14ac:dyDescent="0.25">
      <c r="F31" s="150"/>
      <c r="G31" s="78"/>
      <c r="H31" s="197"/>
    </row>
    <row r="33" spans="2:14" x14ac:dyDescent="0.25">
      <c r="L33" s="210"/>
      <c r="M33" s="210"/>
      <c r="N33" s="210"/>
    </row>
    <row r="34" spans="2:14" x14ac:dyDescent="0.25">
      <c r="L34" s="210"/>
      <c r="M34" s="210"/>
      <c r="N34" s="210"/>
    </row>
    <row r="35" spans="2:14" x14ac:dyDescent="0.25">
      <c r="B35" s="87"/>
      <c r="C35" s="78"/>
      <c r="F35" s="150"/>
      <c r="G35" s="78"/>
      <c r="H35" s="78"/>
      <c r="I35" s="150"/>
      <c r="J35" s="443"/>
      <c r="K35" s="444"/>
      <c r="L35" s="210"/>
      <c r="M35" s="210"/>
      <c r="N35" s="210"/>
    </row>
    <row r="36" spans="2:14" x14ac:dyDescent="0.25">
      <c r="B36" s="458" t="s">
        <v>8307</v>
      </c>
    </row>
    <row r="37" spans="2:14" x14ac:dyDescent="0.25">
      <c r="B37" s="458" t="str">
        <f>"if non-UK resident ("&amp;INC&amp;'INC(1)'!I15&amp;" + "&amp;INC&amp;'INC(1)'!I18&amp;" + "&amp;FPS&amp;PS!G42&amp;" + "&amp;TRU&amp;TRU!G11&amp;" + "&amp;TRU&amp;TRU!C28&amp;" + "&amp;TRU&amp;TRU!G24&amp;" + "&amp;AOI&amp;AOI!G28&amp;") x DivBR_rate ("&amp;DivBR_rate*100&amp;"%)"</f>
        <v>if non-UK resident (INC4 + INC5 + FPS70 + TRU5 + TRU9 + TRU12 + AOI13) x DivBR_rate (8.75%)</v>
      </c>
    </row>
    <row r="38" spans="2:14" x14ac:dyDescent="0.25">
      <c r="B38" s="458"/>
    </row>
    <row r="39" spans="2:14" x14ac:dyDescent="0.25">
      <c r="J39" s="9" t="str">
        <f>"If "&amp;NRD&amp;NRD!C5&amp;" = N"</f>
        <v>If NRD1 = N</v>
      </c>
    </row>
    <row r="40" spans="2:14" x14ac:dyDescent="0.25">
      <c r="J40" s="9" t="str">
        <f>I44&amp;" = 0 (zero)"</f>
        <v>c10.5 = 0 (zero)</v>
      </c>
    </row>
    <row r="41" spans="2:14" x14ac:dyDescent="0.25">
      <c r="J41" s="9" t="s">
        <v>7143</v>
      </c>
    </row>
    <row r="42" spans="2:14" x14ac:dyDescent="0.25">
      <c r="J42" s="9" t="str">
        <f>I44&amp;" = "&amp;"("&amp;'Divs (c3)'!G5&amp;" + "&amp;'Divs (c3)'!D28&amp;" + "&amp;'Divs (c3)'!D40&amp;" + "&amp;'Divs (c3)'!D48&amp;" + "&amp;'Divs (c3)'!D49&amp;" + "&amp;'Divs (c3)'!D51&amp;") × DivBR_rate ("&amp;DivBR_rate*100&amp;"%)"</f>
        <v>c10.5 = (c3.1 + c3.6 + c3.8 + c3.10 + c3.11 + c3.13) × DivBR_rate (8.75%)</v>
      </c>
    </row>
    <row r="43" spans="2:14" x14ac:dyDescent="0.25">
      <c r="J43" s="9" t="s">
        <v>75</v>
      </c>
      <c r="K43" s="9"/>
    </row>
    <row r="44" spans="2:14" x14ac:dyDescent="0.25">
      <c r="I44" s="2206" t="str">
        <f>A8</f>
        <v>c10.5</v>
      </c>
      <c r="J44" s="2209">
        <f>IF(Resident,0,TRUNC((('Divs (c3)'!H5+'Divs (c3)'!E28+'Divs (c3)'!E40+'Divs (c3)'!E48+'Divs (c3)'!E49+'Divs (c3)'!E51)*DivBR_rate),2))</f>
        <v>0</v>
      </c>
      <c r="K44" s="197" t="s">
        <v>7647</v>
      </c>
    </row>
    <row r="45" spans="2:14" x14ac:dyDescent="0.25">
      <c r="I45" s="150"/>
      <c r="J45" s="564" t="str">
        <f>"copy to "&amp;'Tax adj (c9)'!A39</f>
        <v>copy to c9.31b</v>
      </c>
      <c r="K45" s="197"/>
    </row>
    <row r="47" spans="2:14" x14ac:dyDescent="0.25">
      <c r="J47" s="9" t="s">
        <v>4816</v>
      </c>
    </row>
    <row r="48" spans="2:14" x14ac:dyDescent="0.25">
      <c r="I48" s="2129" t="str">
        <f>A9</f>
        <v>c10.6</v>
      </c>
      <c r="J48" s="2209">
        <v>0</v>
      </c>
      <c r="K48" s="444"/>
    </row>
    <row r="49" spans="2:11" x14ac:dyDescent="0.25">
      <c r="J49" s="9"/>
    </row>
    <row r="50" spans="2:11" x14ac:dyDescent="0.25">
      <c r="J50" s="9"/>
    </row>
    <row r="51" spans="2:11" x14ac:dyDescent="0.25">
      <c r="J51" s="22"/>
    </row>
    <row r="52" spans="2:11" x14ac:dyDescent="0.25">
      <c r="J52" s="38"/>
    </row>
    <row r="53" spans="2:11" x14ac:dyDescent="0.25">
      <c r="J53" s="9" t="s">
        <v>4816</v>
      </c>
    </row>
    <row r="54" spans="2:11" x14ac:dyDescent="0.25">
      <c r="H54" s="35"/>
      <c r="I54" s="2129" t="str">
        <f>A10</f>
        <v>c10.7</v>
      </c>
      <c r="J54" s="2207">
        <v>0</v>
      </c>
    </row>
    <row r="56" spans="2:11" x14ac:dyDescent="0.25">
      <c r="G56" s="9" t="str">
        <f>"from "&amp;'Taxable (c5)'!BA302</f>
        <v>from c5.82</v>
      </c>
      <c r="J56" s="38" t="str">
        <f>F57&amp;" × BR_rate ("&amp;BR_rate * 100&amp;"%)"</f>
        <v>c10.8 × BR_rate (20%)</v>
      </c>
    </row>
    <row r="57" spans="2:11" x14ac:dyDescent="0.25">
      <c r="B57" s="916" t="s">
        <v>8364</v>
      </c>
      <c r="F57" s="2129" t="str">
        <f>A11</f>
        <v>c10.8</v>
      </c>
      <c r="G57" s="2209">
        <f>'Taxable (c5)'!BB302</f>
        <v>0</v>
      </c>
      <c r="I57" s="2129" t="str">
        <f>A12</f>
        <v>c10.9</v>
      </c>
      <c r="J57" s="2209">
        <f>TRUNC((G57*BR_rate)+0.0099,2)</f>
        <v>0</v>
      </c>
      <c r="K57" s="281" t="s">
        <v>8206</v>
      </c>
    </row>
    <row r="59" spans="2:11" x14ac:dyDescent="0.25">
      <c r="J59" s="9" t="s">
        <v>4816</v>
      </c>
    </row>
    <row r="60" spans="2:11" x14ac:dyDescent="0.25">
      <c r="I60" s="2129" t="str">
        <f>A13</f>
        <v>c10.10</v>
      </c>
      <c r="J60" s="2209">
        <v>0</v>
      </c>
      <c r="K60" s="444"/>
    </row>
    <row r="61" spans="2:11" x14ac:dyDescent="0.25">
      <c r="J61" s="9"/>
    </row>
    <row r="62" spans="2:11" x14ac:dyDescent="0.25">
      <c r="J62" s="9"/>
    </row>
    <row r="63" spans="2:11" x14ac:dyDescent="0.25">
      <c r="J63" s="22"/>
    </row>
    <row r="64" spans="2:11" x14ac:dyDescent="0.25">
      <c r="J64" s="9"/>
    </row>
    <row r="65" spans="2:11" x14ac:dyDescent="0.25">
      <c r="J65" s="9" t="s">
        <v>4816</v>
      </c>
    </row>
    <row r="66" spans="2:11" x14ac:dyDescent="0.25">
      <c r="I66" s="2129" t="str">
        <f>A14</f>
        <v>c10.11</v>
      </c>
      <c r="J66" s="2209">
        <v>0</v>
      </c>
    </row>
    <row r="68" spans="2:11" x14ac:dyDescent="0.25">
      <c r="F68" s="11"/>
      <c r="G68" s="9" t="s">
        <v>4816</v>
      </c>
      <c r="J68" s="38" t="str">
        <f>'Notional (c21c23)'!J55&amp;" + "&amp;'Notional (c21c23)'!J59</f>
        <v>c22.18 + c22.21</v>
      </c>
    </row>
    <row r="69" spans="2:11" x14ac:dyDescent="0.25">
      <c r="B69" s="916" t="s">
        <v>8365</v>
      </c>
      <c r="F69" s="2129" t="str">
        <f>A15</f>
        <v>c10.12</v>
      </c>
      <c r="G69" s="2129">
        <v>0</v>
      </c>
      <c r="I69" s="2129" t="str">
        <f>A16</f>
        <v>c10.13</v>
      </c>
      <c r="J69" s="2209">
        <f>'Notional (c21c23)'!K55+'Notional (c21c23)'!K59</f>
        <v>0</v>
      </c>
      <c r="K69" s="913"/>
    </row>
    <row r="71" spans="2:11" x14ac:dyDescent="0.25">
      <c r="J71" s="9" t="s">
        <v>4816</v>
      </c>
    </row>
    <row r="72" spans="2:11" x14ac:dyDescent="0.25">
      <c r="I72" s="2129" t="str">
        <f>A17</f>
        <v>c10.14</v>
      </c>
      <c r="J72" s="2209">
        <v>0</v>
      </c>
      <c r="K72" s="197"/>
    </row>
    <row r="73" spans="2:11" x14ac:dyDescent="0.25">
      <c r="I73" s="78"/>
      <c r="J73" s="9"/>
      <c r="K73" s="197"/>
    </row>
    <row r="74" spans="2:11" x14ac:dyDescent="0.25">
      <c r="J74" s="9"/>
    </row>
    <row r="75" spans="2:11" x14ac:dyDescent="0.25">
      <c r="J75" s="22"/>
    </row>
    <row r="76" spans="2:11" x14ac:dyDescent="0.25">
      <c r="J76" s="9"/>
    </row>
    <row r="77" spans="2:11" x14ac:dyDescent="0.25">
      <c r="J77" s="9" t="s">
        <v>4816</v>
      </c>
    </row>
    <row r="78" spans="2:11" x14ac:dyDescent="0.25">
      <c r="I78" s="2129" t="str">
        <f>A18</f>
        <v>c10.15</v>
      </c>
      <c r="J78" s="2209">
        <v>0</v>
      </c>
    </row>
    <row r="80" spans="2:11" x14ac:dyDescent="0.25">
      <c r="J80" s="9" t="str">
        <f>'Notional (c21c23)'!J35&amp;" + "&amp;'Notional (c21c23)'!J38&amp;" + "&amp;'Notional (c21c23)'!J41&amp;" + "&amp;'Notional (c21c23)'!J44&amp;" +"</f>
        <v>c22.3 + c22.3c + c22.6 + c22.9 +</v>
      </c>
    </row>
    <row r="81" spans="2:11" x14ac:dyDescent="0.25">
      <c r="F81" s="11"/>
      <c r="G81" s="9" t="s">
        <v>4816</v>
      </c>
      <c r="J81" s="38" t="str">
        <f>'Notional (c21c23)'!J47&amp;" + "&amp;'Notional (c21c23)'!J51</f>
        <v>c22.12 + c22.15</v>
      </c>
    </row>
    <row r="82" spans="2:11" x14ac:dyDescent="0.25">
      <c r="B82" s="916" t="s">
        <v>8366</v>
      </c>
      <c r="F82" s="2129" t="str">
        <f>A19</f>
        <v>c10.16</v>
      </c>
      <c r="G82" s="2129">
        <v>0</v>
      </c>
      <c r="I82" s="2129" t="str">
        <f>A20</f>
        <v>c10.17</v>
      </c>
      <c r="J82" s="2209">
        <f>'Notional (c21c23)'!K35+'Notional (c21c23)'!K38+'Notional (c21c23)'!K41+'Notional (c21c23)'!K44+'Notional (c21c23)'!K47+'Notional (c21c23)'!K51</f>
        <v>0</v>
      </c>
      <c r="K82" s="913"/>
    </row>
    <row r="83" spans="2:11" x14ac:dyDescent="0.25">
      <c r="B83" s="916"/>
      <c r="F83" s="78"/>
      <c r="G83" s="78"/>
      <c r="I83" s="78"/>
      <c r="K83" s="281"/>
    </row>
    <row r="84" spans="2:11" x14ac:dyDescent="0.25">
      <c r="J84" s="9" t="s">
        <v>4816</v>
      </c>
    </row>
    <row r="85" spans="2:11" x14ac:dyDescent="0.25">
      <c r="I85" s="2129" t="str">
        <f>A21</f>
        <v>c10.18</v>
      </c>
      <c r="J85" s="2209">
        <v>0</v>
      </c>
    </row>
    <row r="86" spans="2:11" x14ac:dyDescent="0.25">
      <c r="J86" s="564"/>
    </row>
    <row r="87" spans="2:11" x14ac:dyDescent="0.25">
      <c r="J87" s="9"/>
    </row>
    <row r="88" spans="2:11" x14ac:dyDescent="0.25">
      <c r="J88" s="9"/>
    </row>
    <row r="89" spans="2:11" x14ac:dyDescent="0.25">
      <c r="J89" s="9"/>
    </row>
    <row r="90" spans="2:11" x14ac:dyDescent="0.25">
      <c r="J90" s="9" t="s">
        <v>4816</v>
      </c>
    </row>
    <row r="91" spans="2:11" x14ac:dyDescent="0.25">
      <c r="I91" s="2129" t="str">
        <f>A22</f>
        <v>c10.19</v>
      </c>
      <c r="J91" s="2209">
        <v>0</v>
      </c>
    </row>
    <row r="93" spans="2:11" x14ac:dyDescent="0.25">
      <c r="J93" s="38" t="str">
        <f>I57&amp;" + "&amp;I69&amp;" + "&amp;I82</f>
        <v>c10.9 + c10.13 + c10.17</v>
      </c>
    </row>
    <row r="94" spans="2:11" x14ac:dyDescent="0.25">
      <c r="I94" s="2129" t="str">
        <f>A23</f>
        <v>c10.20</v>
      </c>
      <c r="J94" s="2207">
        <f>J57+J69+J82</f>
        <v>0</v>
      </c>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
  <dimension ref="A1:L91"/>
  <sheetViews>
    <sheetView showGridLines="0" topLeftCell="B1" workbookViewId="0">
      <selection activeCell="B1" sqref="B1"/>
    </sheetView>
  </sheetViews>
  <sheetFormatPr defaultColWidth="9.1796875" defaultRowHeight="11.5" x14ac:dyDescent="0.25"/>
  <cols>
    <col min="1" max="1" width="5.1796875" style="8" hidden="1" customWidth="1"/>
    <col min="2" max="2" width="3" style="8" customWidth="1"/>
    <col min="3" max="3" width="16" style="8" customWidth="1"/>
    <col min="4" max="4" width="26.1796875" style="8" customWidth="1"/>
    <col min="5" max="5" width="12.54296875" style="8" customWidth="1"/>
    <col min="6" max="6" width="6.1796875" style="8" customWidth="1"/>
    <col min="7" max="7" width="13.1796875" style="8" customWidth="1"/>
    <col min="8" max="8" width="5.1796875" style="8" customWidth="1"/>
    <col min="9" max="9" width="7.54296875" style="8" customWidth="1"/>
    <col min="10" max="10" width="14" style="8" customWidth="1"/>
    <col min="11" max="11" width="12.1796875" style="8" bestFit="1" customWidth="1"/>
    <col min="12" max="12" width="9.1796875" style="8"/>
    <col min="13" max="14" width="4.54296875" style="8" customWidth="1"/>
    <col min="15" max="15" width="9.1796875" style="8"/>
    <col min="16" max="17" width="4.54296875" style="8" customWidth="1"/>
    <col min="18" max="18" width="9.1796875" style="8"/>
    <col min="19" max="20" width="4.54296875" style="8" customWidth="1"/>
    <col min="21" max="21" width="9.1796875" style="8"/>
    <col min="22" max="23" width="4.54296875" style="8" customWidth="1"/>
    <col min="24" max="16384" width="9.1796875" style="8"/>
  </cols>
  <sheetData>
    <row r="1" spans="1:11" ht="18" x14ac:dyDescent="0.4">
      <c r="A1" s="2029" t="s">
        <v>8367</v>
      </c>
      <c r="B1" s="483" t="s">
        <v>8368</v>
      </c>
    </row>
    <row r="2" spans="1:11" x14ac:dyDescent="0.25">
      <c r="A2" s="2029" t="s">
        <v>8369</v>
      </c>
      <c r="D2" s="2164" t="s">
        <v>7225</v>
      </c>
      <c r="E2" s="2205"/>
      <c r="F2" s="2205"/>
      <c r="G2" s="2205"/>
      <c r="H2" s="2205"/>
      <c r="I2" s="2165"/>
    </row>
    <row r="3" spans="1:11" x14ac:dyDescent="0.25">
      <c r="A3" s="2029" t="s">
        <v>8370</v>
      </c>
      <c r="C3" s="24" t="s">
        <v>8371</v>
      </c>
    </row>
    <row r="4" spans="1:11" x14ac:dyDescent="0.25">
      <c r="A4" s="2029" t="s">
        <v>8372</v>
      </c>
      <c r="B4" s="9"/>
      <c r="C4" s="24"/>
      <c r="D4" s="24"/>
      <c r="E4" s="24"/>
      <c r="J4" s="138" t="str">
        <f>"Total all instances ("&amp;EMP&amp;EMP!C7&amp;")"</f>
        <v>Total all instances (EMP2)</v>
      </c>
    </row>
    <row r="5" spans="1:11" x14ac:dyDescent="0.25">
      <c r="A5" s="2029" t="s">
        <v>5082</v>
      </c>
      <c r="C5" s="139" t="s">
        <v>8373</v>
      </c>
      <c r="D5" s="139"/>
      <c r="E5" s="139"/>
      <c r="F5" s="139"/>
      <c r="G5" s="139"/>
      <c r="I5" s="2210" t="str">
        <f>A1</f>
        <v>c11.1</v>
      </c>
      <c r="J5" s="2207">
        <f>EMP!D8+EMP!L8</f>
        <v>0</v>
      </c>
      <c r="K5" s="225" t="s">
        <v>7220</v>
      </c>
    </row>
    <row r="6" spans="1:11" x14ac:dyDescent="0.25">
      <c r="A6" s="2029" t="s">
        <v>5087</v>
      </c>
    </row>
    <row r="7" spans="1:11" x14ac:dyDescent="0.25">
      <c r="A7" s="2029" t="s">
        <v>4684</v>
      </c>
      <c r="J7" s="143" t="str">
        <f>"from "&amp;ASE&amp;ASE!C17</f>
        <v>from ASE6</v>
      </c>
    </row>
    <row r="8" spans="1:11" x14ac:dyDescent="0.25">
      <c r="A8" s="2029" t="s">
        <v>5097</v>
      </c>
      <c r="C8" s="139" t="s">
        <v>2449</v>
      </c>
      <c r="D8" s="139"/>
      <c r="E8" s="139"/>
      <c r="F8" s="139"/>
      <c r="G8" s="139"/>
      <c r="I8" s="2210" t="str">
        <f>A2</f>
        <v>c11.2</v>
      </c>
      <c r="J8" s="2182">
        <f>MAX(0,ASE!D18)</f>
        <v>0</v>
      </c>
    </row>
    <row r="9" spans="1:11" x14ac:dyDescent="0.25">
      <c r="A9" s="2029" t="s">
        <v>8374</v>
      </c>
    </row>
    <row r="10" spans="1:11" x14ac:dyDescent="0.25">
      <c r="A10" s="2029" t="s">
        <v>8375</v>
      </c>
      <c r="J10" s="138" t="str">
        <f>"Total all instances ("&amp;MOR&amp;MOR!G19&amp;")"</f>
        <v>Total all instances (MOR39)</v>
      </c>
    </row>
    <row r="11" spans="1:11" x14ac:dyDescent="0.25">
      <c r="A11" s="2029" t="s">
        <v>8376</v>
      </c>
      <c r="C11" s="139" t="s">
        <v>8377</v>
      </c>
      <c r="D11" s="139"/>
      <c r="E11" s="139"/>
      <c r="F11" s="139"/>
      <c r="G11" s="138"/>
      <c r="I11" s="2210" t="str">
        <f>A3</f>
        <v>c11.3</v>
      </c>
      <c r="J11" s="2225">
        <f>MOR!H20</f>
        <v>0</v>
      </c>
      <c r="K11" s="225" t="s">
        <v>7220</v>
      </c>
    </row>
    <row r="12" spans="1:11" x14ac:dyDescent="0.25">
      <c r="A12" s="2029" t="s">
        <v>8378</v>
      </c>
      <c r="C12" s="139"/>
      <c r="D12" s="139"/>
      <c r="E12" s="139"/>
      <c r="F12" s="139"/>
      <c r="G12" s="138"/>
      <c r="H12" s="138"/>
      <c r="I12" s="138"/>
      <c r="J12" s="138"/>
    </row>
    <row r="13" spans="1:11" x14ac:dyDescent="0.25">
      <c r="A13" s="2029" t="s">
        <v>8379</v>
      </c>
      <c r="H13" s="139"/>
      <c r="I13" s="139"/>
      <c r="J13" s="138" t="str">
        <f>INC&amp;'INC(2)'!C10&amp;" + "&amp;INC&amp;'INC(2)'!G4&amp;" + "&amp;INC&amp;'INC(2)'!G10</f>
        <v>INC10 + INC12 + INC14</v>
      </c>
    </row>
    <row r="14" spans="1:11" ht="12" x14ac:dyDescent="0.3">
      <c r="A14" s="2029" t="s">
        <v>5114</v>
      </c>
      <c r="C14" s="139" t="s">
        <v>8380</v>
      </c>
      <c r="D14" s="139"/>
      <c r="E14" s="139"/>
      <c r="I14" s="2210" t="str">
        <f>A4</f>
        <v>c11.4</v>
      </c>
      <c r="J14" s="2207">
        <f>'INC(2)'!D11+'INC(2)'!H5+'INC(2)'!H11</f>
        <v>0</v>
      </c>
      <c r="K14" s="218" t="s">
        <v>7220</v>
      </c>
    </row>
    <row r="15" spans="1:11" x14ac:dyDescent="0.25">
      <c r="A15" s="2029" t="s">
        <v>5119</v>
      </c>
      <c r="C15" s="139"/>
      <c r="D15" s="139"/>
      <c r="E15" s="139"/>
      <c r="F15" s="139"/>
      <c r="G15" s="139"/>
      <c r="H15" s="138"/>
      <c r="I15" s="138"/>
    </row>
    <row r="16" spans="1:11" x14ac:dyDescent="0.25">
      <c r="A16" s="2029" t="s">
        <v>8381</v>
      </c>
    </row>
    <row r="17" spans="1:10" x14ac:dyDescent="0.25">
      <c r="A17" s="2029" t="s">
        <v>8382</v>
      </c>
      <c r="C17" s="139"/>
      <c r="D17" s="139"/>
      <c r="E17" s="139"/>
      <c r="F17" s="139"/>
      <c r="G17" s="139"/>
      <c r="H17" s="138"/>
      <c r="I17" s="138"/>
      <c r="J17" s="9" t="str">
        <f>I5&amp;" + "&amp;I8&amp;" + "&amp;I11&amp;" + "&amp;I14</f>
        <v>c11.1 + c11.2 + c11.3 + c11.4</v>
      </c>
    </row>
    <row r="18" spans="1:10" x14ac:dyDescent="0.25">
      <c r="A18" s="2029" t="s">
        <v>8383</v>
      </c>
      <c r="C18" s="139" t="s">
        <v>8384</v>
      </c>
      <c r="D18" s="139"/>
      <c r="E18" s="139"/>
      <c r="F18" s="139"/>
      <c r="G18" s="139"/>
      <c r="H18" s="138"/>
      <c r="I18" s="2210" t="str">
        <f>A5</f>
        <v>c11.5</v>
      </c>
      <c r="J18" s="2207">
        <f>MAX(0,J5+J8+J11+J14)</f>
        <v>0</v>
      </c>
    </row>
    <row r="19" spans="1:10" x14ac:dyDescent="0.25">
      <c r="A19" s="2029" t="s">
        <v>8385</v>
      </c>
      <c r="C19" s="139"/>
      <c r="D19" s="139"/>
      <c r="E19" s="139"/>
      <c r="F19" s="139"/>
      <c r="G19" s="139"/>
      <c r="H19" s="138"/>
      <c r="I19" s="138"/>
      <c r="J19" s="35"/>
    </row>
    <row r="20" spans="1:10" x14ac:dyDescent="0.25">
      <c r="A20" s="2029" t="s">
        <v>8386</v>
      </c>
      <c r="J20" s="138" t="str">
        <f>"from CAL"&amp;CAL!G9</f>
        <v>from CAL9</v>
      </c>
    </row>
    <row r="21" spans="1:10" x14ac:dyDescent="0.25">
      <c r="A21" s="2029" t="s">
        <v>8387</v>
      </c>
      <c r="C21" s="139" t="s">
        <v>8388</v>
      </c>
      <c r="D21" s="139"/>
      <c r="E21" s="139"/>
      <c r="F21" s="139"/>
      <c r="G21" s="139"/>
      <c r="I21" s="2210" t="str">
        <f>A6</f>
        <v>c11.6</v>
      </c>
      <c r="J21" s="2207">
        <f>CAL!H10</f>
        <v>0</v>
      </c>
    </row>
    <row r="22" spans="1:10" x14ac:dyDescent="0.25">
      <c r="A22" s="2029" t="s">
        <v>8389</v>
      </c>
      <c r="C22" s="22"/>
      <c r="D22" s="139"/>
      <c r="E22" s="139"/>
      <c r="F22" s="139"/>
      <c r="G22" s="139"/>
      <c r="H22" s="138"/>
      <c r="I22" s="187"/>
      <c r="J22" s="35"/>
    </row>
    <row r="23" spans="1:10" x14ac:dyDescent="0.25">
      <c r="A23" s="2029" t="s">
        <v>8390</v>
      </c>
      <c r="B23" s="2226"/>
      <c r="C23" s="2227"/>
      <c r="D23" s="2228"/>
      <c r="E23" s="2228"/>
      <c r="F23" s="2228"/>
      <c r="G23" s="2228"/>
      <c r="H23" s="2229"/>
      <c r="I23" s="2230"/>
      <c r="J23" s="2231"/>
    </row>
    <row r="24" spans="1:10" x14ac:dyDescent="0.25">
      <c r="A24" s="2029" t="s">
        <v>8391</v>
      </c>
      <c r="B24" s="525"/>
      <c r="C24" s="442"/>
      <c r="D24" s="221"/>
      <c r="E24" s="221"/>
      <c r="F24" s="221"/>
      <c r="G24" s="221"/>
      <c r="H24" s="291"/>
      <c r="I24" s="480"/>
      <c r="J24" s="481"/>
    </row>
    <row r="25" spans="1:10" x14ac:dyDescent="0.25">
      <c r="A25" s="2029" t="s">
        <v>5125</v>
      </c>
      <c r="B25" s="527"/>
      <c r="C25" s="442"/>
      <c r="D25" s="221"/>
      <c r="E25" s="221"/>
      <c r="F25" s="221"/>
      <c r="G25" s="221"/>
      <c r="H25" s="291"/>
      <c r="I25" s="480"/>
      <c r="J25" s="481"/>
    </row>
    <row r="26" spans="1:10" x14ac:dyDescent="0.25">
      <c r="A26" s="2029" t="s">
        <v>5130</v>
      </c>
      <c r="B26" s="528"/>
      <c r="C26" s="442"/>
      <c r="D26" s="221"/>
      <c r="E26" s="221"/>
      <c r="F26" s="221"/>
      <c r="G26" s="221"/>
      <c r="H26" s="291"/>
      <c r="I26" s="480"/>
      <c r="J26" s="481"/>
    </row>
    <row r="27" spans="1:10" x14ac:dyDescent="0.25">
      <c r="A27" s="2029" t="s">
        <v>8392</v>
      </c>
      <c r="B27" s="527"/>
      <c r="C27" s="442"/>
      <c r="D27" s="221"/>
      <c r="E27" s="221"/>
      <c r="F27" s="221"/>
      <c r="G27" s="221"/>
      <c r="H27" s="291"/>
      <c r="I27" s="291"/>
      <c r="J27" s="481"/>
    </row>
    <row r="28" spans="1:10" x14ac:dyDescent="0.25">
      <c r="A28" s="2029" t="s">
        <v>8393</v>
      </c>
      <c r="B28" s="2232"/>
      <c r="C28" s="2233"/>
      <c r="D28" s="2233"/>
      <c r="E28" s="2233"/>
      <c r="F28" s="2233"/>
      <c r="G28" s="2233"/>
      <c r="H28" s="2234"/>
      <c r="I28" s="2235"/>
      <c r="J28" s="2236"/>
    </row>
    <row r="29" spans="1:10" x14ac:dyDescent="0.25">
      <c r="A29" s="2029" t="s">
        <v>5141</v>
      </c>
      <c r="B29" s="225"/>
      <c r="C29" s="139"/>
      <c r="D29" s="139"/>
      <c r="E29" s="139"/>
      <c r="F29" s="139"/>
      <c r="G29" s="139"/>
      <c r="H29" s="138"/>
      <c r="I29" s="187"/>
      <c r="J29" s="446"/>
    </row>
    <row r="30" spans="1:10" x14ac:dyDescent="0.25">
      <c r="A30" s="2029" t="s">
        <v>5147</v>
      </c>
      <c r="B30" s="225"/>
      <c r="C30" s="139"/>
      <c r="D30" s="139"/>
      <c r="E30" s="139"/>
      <c r="F30" s="139"/>
      <c r="G30" s="139"/>
      <c r="H30" s="138"/>
      <c r="I30" s="187"/>
      <c r="J30" s="446"/>
    </row>
    <row r="31" spans="1:10" x14ac:dyDescent="0.25">
      <c r="A31" s="2029" t="s">
        <v>8394</v>
      </c>
      <c r="J31" s="38" t="str">
        <f>"lower of "&amp;I18&amp;" and "&amp;I21</f>
        <v>lower of c11.5 and c11.6</v>
      </c>
    </row>
    <row r="32" spans="1:10" x14ac:dyDescent="0.25">
      <c r="C32" s="139" t="s">
        <v>8395</v>
      </c>
      <c r="D32" s="139"/>
      <c r="E32" s="139"/>
      <c r="F32" s="139"/>
      <c r="G32" s="139"/>
      <c r="H32" s="138"/>
      <c r="I32" s="2210" t="str">
        <f>A7</f>
        <v>c11.7</v>
      </c>
      <c r="J32" s="2207">
        <f>MIN(J18,J21)</f>
        <v>0</v>
      </c>
    </row>
    <row r="33" spans="3:11" x14ac:dyDescent="0.25">
      <c r="C33" s="139"/>
      <c r="D33" s="139"/>
      <c r="E33" s="139"/>
      <c r="F33" s="139"/>
      <c r="G33" s="139"/>
      <c r="H33" s="138"/>
      <c r="I33" s="138"/>
      <c r="J33" s="35"/>
    </row>
    <row r="34" spans="3:11" x14ac:dyDescent="0.25">
      <c r="C34" s="139"/>
      <c r="D34" s="139"/>
      <c r="E34" s="139"/>
      <c r="F34" s="139"/>
      <c r="G34" s="139"/>
      <c r="H34" s="138"/>
      <c r="I34" s="187"/>
      <c r="J34" s="36" t="str">
        <f>I18&amp;" minus "&amp;I32</f>
        <v>c11.5 minus c11.7</v>
      </c>
    </row>
    <row r="35" spans="3:11" x14ac:dyDescent="0.25">
      <c r="C35" s="139" t="s">
        <v>8396</v>
      </c>
      <c r="D35" s="139"/>
      <c r="E35" s="139"/>
      <c r="F35" s="139"/>
      <c r="G35" s="139"/>
      <c r="H35" s="138"/>
      <c r="I35" s="2210" t="str">
        <f>A8</f>
        <v>c11.8</v>
      </c>
      <c r="J35" s="2207">
        <f>MAX(0,J18-J32)</f>
        <v>0</v>
      </c>
    </row>
    <row r="36" spans="3:11" x14ac:dyDescent="0.25">
      <c r="C36" s="139"/>
      <c r="D36" s="139"/>
      <c r="E36" s="139"/>
      <c r="F36" s="139"/>
      <c r="G36" s="139"/>
      <c r="H36" s="139"/>
      <c r="I36" s="139"/>
    </row>
    <row r="37" spans="3:11" x14ac:dyDescent="0.25">
      <c r="J37" s="138" t="str">
        <f>"total all instances ("&amp;SSE&amp;SE!C20&amp;")"</f>
        <v>total all instances (SSE38)</v>
      </c>
    </row>
    <row r="38" spans="3:11" x14ac:dyDescent="0.25">
      <c r="C38" s="139" t="s">
        <v>1495</v>
      </c>
      <c r="D38" s="139"/>
      <c r="E38" s="139"/>
      <c r="F38" s="139"/>
      <c r="G38" s="139"/>
      <c r="I38" s="2210" t="str">
        <f>A9</f>
        <v>c11.9</v>
      </c>
      <c r="J38" s="2225">
        <f>MAX(0,SE!D21)</f>
        <v>0</v>
      </c>
      <c r="K38" s="225"/>
    </row>
    <row r="40" spans="3:11" x14ac:dyDescent="0.25">
      <c r="J40" s="138" t="str">
        <f>"total all instances ("&amp;FSE&amp;SE!G23&amp;" + "&amp;FSE&amp;SE!G26&amp;")"</f>
        <v>total all instances (FSE81 + FSE82)</v>
      </c>
    </row>
    <row r="41" spans="3:11" x14ac:dyDescent="0.25">
      <c r="C41" s="139"/>
      <c r="D41" s="139"/>
      <c r="E41" s="139"/>
      <c r="F41" s="139"/>
      <c r="G41" s="139"/>
      <c r="I41" s="2210" t="str">
        <f>A10</f>
        <v>c11.10</v>
      </c>
      <c r="J41" s="2225">
        <f>SE!H24+SE!H27</f>
        <v>0</v>
      </c>
      <c r="K41" s="225"/>
    </row>
    <row r="42" spans="3:11" x14ac:dyDescent="0.25">
      <c r="C42" s="139"/>
      <c r="D42" s="139"/>
      <c r="E42" s="139"/>
      <c r="F42" s="139"/>
      <c r="G42" s="139"/>
      <c r="H42" s="139"/>
      <c r="I42" s="139"/>
    </row>
    <row r="43" spans="3:11" x14ac:dyDescent="0.25">
      <c r="J43" s="138" t="str">
        <f>LUN&amp;LUN!C4&amp;" + "&amp;LUN&amp;LUN!G4&amp;" + "&amp;LUN&amp;LUN!G13</f>
        <v>LUN4 + LUN14 + LUN17</v>
      </c>
    </row>
    <row r="44" spans="3:11" x14ac:dyDescent="0.25">
      <c r="C44" s="139" t="s">
        <v>8397</v>
      </c>
      <c r="D44" s="139"/>
      <c r="E44" s="139"/>
      <c r="F44" s="139"/>
      <c r="G44" s="139"/>
      <c r="I44" s="2210" t="str">
        <f>A11</f>
        <v>c11.11</v>
      </c>
      <c r="J44" s="2207">
        <f>MAX(0,LUN!D5+LUN!H5+LUN!H14)</f>
        <v>0</v>
      </c>
    </row>
    <row r="45" spans="3:11" x14ac:dyDescent="0.25">
      <c r="C45" s="139"/>
      <c r="D45" s="139"/>
      <c r="E45" s="139"/>
      <c r="F45" s="139"/>
      <c r="G45" s="139"/>
      <c r="H45" s="139"/>
      <c r="I45" s="139"/>
    </row>
    <row r="46" spans="3:11" x14ac:dyDescent="0.25">
      <c r="J46" s="138" t="str">
        <f>"Total all instances ("&amp;SPS&amp;PS!C25&amp;" + "&amp;SPS&amp;PS!C28&amp;")"</f>
        <v>Total all instances (SPS30 + SPS31)</v>
      </c>
    </row>
    <row r="47" spans="3:11" x14ac:dyDescent="0.25">
      <c r="C47" s="139" t="s">
        <v>8398</v>
      </c>
      <c r="D47" s="139"/>
      <c r="E47" s="139"/>
      <c r="F47" s="139"/>
      <c r="G47" s="139"/>
      <c r="I47" s="2210" t="str">
        <f>A12</f>
        <v>c11.12</v>
      </c>
      <c r="J47" s="2207">
        <f>MAX(0,PS!D26+PS!D29)</f>
        <v>0</v>
      </c>
      <c r="K47" s="225"/>
    </row>
    <row r="49" spans="3:12" x14ac:dyDescent="0.25">
      <c r="J49" s="138" t="str">
        <f>"Total all instances ("&amp;FPS&amp;PS!G52&amp;" + "&amp;FPS&amp;PS!G55&amp;" + "&amp;FPS&amp;PS!J55&amp;")"</f>
        <v>Total all instances (FPS77 + FPS78 + FPS79)</v>
      </c>
    </row>
    <row r="50" spans="3:12" x14ac:dyDescent="0.25">
      <c r="C50" s="139"/>
      <c r="D50" s="139"/>
      <c r="E50" s="139"/>
      <c r="F50" s="139"/>
      <c r="G50" s="139"/>
      <c r="I50" s="2210" t="str">
        <f>A13</f>
        <v>c11.13</v>
      </c>
      <c r="J50" s="2207">
        <f>PS!H53+PS!H56+PS!K56</f>
        <v>0</v>
      </c>
      <c r="K50" s="225"/>
    </row>
    <row r="51" spans="3:12" x14ac:dyDescent="0.25">
      <c r="C51" s="139"/>
      <c r="D51" s="139"/>
      <c r="E51" s="139"/>
      <c r="F51" s="139"/>
      <c r="G51" s="139"/>
      <c r="H51" s="139"/>
      <c r="I51" s="139"/>
    </row>
    <row r="52" spans="3:12" x14ac:dyDescent="0.25">
      <c r="J52" s="138" t="str">
        <f>"from "&amp;PRO&amp;PRO!C7</f>
        <v>from PRO21</v>
      </c>
    </row>
    <row r="53" spans="3:12" x14ac:dyDescent="0.25">
      <c r="C53" s="139" t="s">
        <v>8399</v>
      </c>
      <c r="D53" s="139"/>
      <c r="E53" s="139"/>
      <c r="F53" s="139"/>
      <c r="G53" s="139"/>
      <c r="I53" s="2210" t="str">
        <f>A14</f>
        <v>c11.14</v>
      </c>
      <c r="J53" s="2225">
        <f>MAX(0,PRO!D8)</f>
        <v>0</v>
      </c>
    </row>
    <row r="54" spans="3:12" x14ac:dyDescent="0.25">
      <c r="C54" s="139"/>
      <c r="D54" s="139"/>
      <c r="E54" s="139"/>
      <c r="F54" s="139"/>
      <c r="G54" s="139"/>
      <c r="H54" s="139"/>
      <c r="I54" s="139"/>
    </row>
    <row r="55" spans="3:12" x14ac:dyDescent="0.25">
      <c r="G55" s="1065"/>
      <c r="H55" s="1065"/>
      <c r="I55" s="1065"/>
      <c r="J55" s="1095" t="str">
        <f>FOR&amp;FOR!C18&amp;" + "&amp;FOR&amp;FOR!C24&amp;" + "&amp;FOR&amp;FOR!C30&amp;" + "&amp;FOR&amp;FOR!C33&amp;" + "&amp;FOR&amp;FOR!C40&amp;" + "&amp;FOR&amp;FOR!C46&amp;" + "&amp;FOR&amp;FOR!C52&amp;" + "&amp;FOR&amp;FOR!K15&amp;" + "&amp;FOR&amp;FOR!O27&amp;" + "&amp;FOR&amp;FOR!K47&amp;" + "&amp;FOR&amp;FOR!K58&amp;" + "&amp;FOR&amp;FOR!R7</f>
        <v>FOR3 + FOR5 + FOR7.1 + FOR7.3 + FOR8 + FOR10 + FOR12 + FOR29 + FOR40 + FOR47 + FOR50 + FOR52</v>
      </c>
    </row>
    <row r="56" spans="3:12" x14ac:dyDescent="0.25">
      <c r="C56" s="139" t="s">
        <v>1502</v>
      </c>
      <c r="D56" s="139"/>
      <c r="E56" s="139"/>
      <c r="F56" s="139"/>
      <c r="G56" s="139"/>
      <c r="I56" s="2210" t="str">
        <f>A15</f>
        <v>c11.15</v>
      </c>
      <c r="J56" s="2207">
        <f>FOR!D19+FOR!D25+FOR!D31+FOR!D34+FOR!D41+FOR!D47+FOR!D53+FOR!L16+FOR!P28+FOR!L48+FOR!L59+FOR!S8</f>
        <v>0</v>
      </c>
    </row>
    <row r="57" spans="3:12" x14ac:dyDescent="0.25">
      <c r="H57" s="9"/>
    </row>
    <row r="58" spans="3:12" x14ac:dyDescent="0.25">
      <c r="C58" s="139" t="s">
        <v>8400</v>
      </c>
      <c r="D58" s="139"/>
      <c r="E58" s="139"/>
      <c r="F58" s="139"/>
      <c r="L58" s="9"/>
    </row>
    <row r="59" spans="3:12" x14ac:dyDescent="0.25">
      <c r="C59" s="139"/>
      <c r="D59" s="139"/>
      <c r="E59" s="138" t="str">
        <f>'NS income (c1)'!D159&amp;" × BR_rate ("&amp;BR_rate*100&amp;"%)"</f>
        <v>(TRU3 + TRU7 + TRU16) × NS_gross (100/80) × BR_rate (20%)</v>
      </c>
      <c r="F59" s="2210" t="str">
        <f t="shared" ref="F59:F65" si="0">A16</f>
        <v>c11.16</v>
      </c>
      <c r="G59" s="2237">
        <f>TRUNC(((TRU!D12+TRU!D21+TRU!L7)*NS_gross*BR_rate)+0.0099,2)</f>
        <v>0</v>
      </c>
      <c r="H59" s="197" t="s">
        <v>8206</v>
      </c>
    </row>
    <row r="60" spans="3:12" x14ac:dyDescent="0.25">
      <c r="C60" s="139"/>
      <c r="D60" s="139"/>
      <c r="E60" s="138" t="str">
        <f>TRU&amp;TRU!C6&amp;" × trust_gross ("&amp;trust_gross_F&amp;")"&amp;" × AHR_rate ("&amp;AHR_rate*100&amp;"%)"</f>
        <v>TRU1 × trust_gross (100/55) × AHR_rate (45%)</v>
      </c>
      <c r="F60" s="2210" t="str">
        <f t="shared" si="0"/>
        <v>c11.17</v>
      </c>
      <c r="G60" s="2237">
        <f>TRUNC((TRU!D7*trust_gross*AHR_rate)+0.0099,2)</f>
        <v>0</v>
      </c>
      <c r="H60" s="197" t="s">
        <v>8206</v>
      </c>
    </row>
    <row r="61" spans="3:12" x14ac:dyDescent="0.25">
      <c r="E61" s="138" t="str">
        <f>TRU&amp;TRU!C32&amp;" × trust_gross ("&amp;trust_gross_F&amp;") × AHR_rate ("&amp;AHR_rate*100&amp;"%)"</f>
        <v>TRU10 × trust_gross (100/55) × AHR_rate (45%)</v>
      </c>
      <c r="F61" s="2210" t="str">
        <f t="shared" si="0"/>
        <v>c11.18</v>
      </c>
      <c r="G61" s="2237">
        <f>TRUNC((TRU!D33*trust_gross*AHR_rate)+0.0099,2)</f>
        <v>0</v>
      </c>
      <c r="H61" s="197" t="s">
        <v>8206</v>
      </c>
    </row>
    <row r="62" spans="3:12" x14ac:dyDescent="0.25">
      <c r="C62" s="139"/>
      <c r="D62" s="139"/>
      <c r="E62" s="138" t="str">
        <f>TRU&amp;TRU!K20&amp;" × divs_gross_old ("&amp;divs_gross_old_F&amp;") × Old_DIV_rate ("&amp;Old_DIV_rate*100&amp;"%)"</f>
        <v>TRU18.1 × divs_gross_old (100/92.5) × Old_DIV_rate (7.5%)</v>
      </c>
      <c r="F62" s="2210" t="str">
        <f>A19</f>
        <v>c11.19</v>
      </c>
      <c r="G62" s="2237">
        <f>TRUNC((TRU!L21*divs_gross_old*Old_DIV_rate)+0.0099,2)</f>
        <v>0</v>
      </c>
      <c r="H62" s="197" t="s">
        <v>8206</v>
      </c>
    </row>
    <row r="63" spans="3:12" x14ac:dyDescent="0.25">
      <c r="C63" s="139"/>
      <c r="D63" s="139"/>
      <c r="E63" s="138" t="str">
        <f>'Savings (c2)'!F45&amp;" "&amp;'Savings (c2)'!F46&amp;" × BR_rate ("&amp;BR_rate*100&amp;"%)"</f>
        <v>(TRU4 + TRU8 + TRU17) × savings_gross (100/80) × BR_rate (20%)</v>
      </c>
      <c r="F63" s="2210" t="str">
        <f t="shared" si="0"/>
        <v>c11.20</v>
      </c>
      <c r="G63" s="2237">
        <f>TRUNC(((TRU!D16+TRU!D25+TRU!L12)*savings_gross*BR_rate)+0.0099,2)</f>
        <v>0</v>
      </c>
      <c r="H63" s="197" t="s">
        <v>8206</v>
      </c>
    </row>
    <row r="64" spans="3:12" x14ac:dyDescent="0.25">
      <c r="C64" s="139"/>
      <c r="D64" s="139"/>
      <c r="E64" s="138" t="str">
        <f>'Savings (c2)'!F50&amp;" × AHR_rate ("&amp;AHR_rate*100&amp;"%)"</f>
        <v>TRU11 × trust_gross (100/55) × AHR_rate (45%)</v>
      </c>
      <c r="F64" s="2210" t="str">
        <f t="shared" si="0"/>
        <v>c11.21</v>
      </c>
      <c r="G64" s="2237">
        <f>TRUNC(((TRU!H21)*trust_gross*AHR_rate)+0.0099,2)</f>
        <v>0</v>
      </c>
      <c r="H64" s="197" t="s">
        <v>8206</v>
      </c>
    </row>
    <row r="65" spans="3:11" x14ac:dyDescent="0.25">
      <c r="C65" s="139"/>
      <c r="D65" s="381"/>
      <c r="E65" s="138" t="str">
        <f>'Divs (c3)'!E39&amp;" × DivAR_rate ("&amp;(trust_div_gross_P*100)&amp;"%)"</f>
        <v>TRU12 × trust_div_gross (100/60.65) × DivAR_rate (39.35%)</v>
      </c>
      <c r="F65" s="2210" t="str">
        <f t="shared" si="0"/>
        <v>c11.22</v>
      </c>
      <c r="G65" s="2237">
        <f>TRUNC(((TRU!H25)*trust_div_gross*DivAR_rate)+0.0099,2)</f>
        <v>0</v>
      </c>
      <c r="H65" s="197" t="s">
        <v>8206</v>
      </c>
      <c r="J65" s="363"/>
    </row>
    <row r="66" spans="3:11" x14ac:dyDescent="0.25">
      <c r="C66" s="139"/>
      <c r="D66" s="381"/>
      <c r="E66" s="138" t="str">
        <f>"(TRU"&amp;TRU!G11&amp;" + TRU"&amp;TRU!C28&amp;" + TRU"&amp;TRU!K15&amp;") × divs_gross ("&amp;divs_gross_F&amp;") × DivBR_rate ("&amp;divs_gross_P*100&amp;"%)"</f>
        <v>(TRU5 + TRU9 + TRU18) × divs_gross (100/91.25) × DivBR_rate (8.75%)</v>
      </c>
      <c r="F66" s="2210" t="s">
        <v>8390</v>
      </c>
      <c r="G66" s="2237">
        <f>TRUNC(((TRU!H12+TRU!D29+TRU!L16)*divs_gross*DivBR_rate)+0.0099,2)</f>
        <v>0</v>
      </c>
      <c r="H66" s="197" t="s">
        <v>8206</v>
      </c>
    </row>
    <row r="67" spans="3:11" x14ac:dyDescent="0.25">
      <c r="C67" s="139"/>
      <c r="D67" s="138"/>
      <c r="E67" s="138" t="str">
        <f>"from "&amp;TRU&amp;TRU!G36</f>
        <v>from TRU15</v>
      </c>
      <c r="F67" s="2210" t="str">
        <f>A24</f>
        <v>c11.24</v>
      </c>
      <c r="G67" s="2237">
        <f>TRU!H37</f>
        <v>0</v>
      </c>
    </row>
    <row r="69" spans="3:11" x14ac:dyDescent="0.25">
      <c r="J69" s="9" t="str">
        <f>F59&amp;" + "&amp;F60&amp;" + "&amp;F61&amp;" + "&amp;F62&amp;" + "&amp;F63&amp;" + "&amp;F64&amp;" + "&amp;F65&amp;" + "&amp;F66&amp;" + "&amp;F67</f>
        <v>c11.16 + c11.17 + c11.18 + c11.19 + c11.20 + c11.21 + c11.22 + c11.23 + c11.24</v>
      </c>
    </row>
    <row r="70" spans="3:11" x14ac:dyDescent="0.25">
      <c r="C70" s="146" t="s">
        <v>8401</v>
      </c>
      <c r="I70" s="2210" t="str">
        <f>A25</f>
        <v>c11.25</v>
      </c>
      <c r="J70" s="2207">
        <f>G59+G60+G61+G62+G63+G64+G65+G66+G67</f>
        <v>0</v>
      </c>
    </row>
    <row r="72" spans="3:11" x14ac:dyDescent="0.25">
      <c r="J72" s="138" t="str">
        <f>NRD&amp;NRD!D19&amp;" + "&amp;NRD&amp;NRD!D22</f>
        <v>NRD21 + NRD22</v>
      </c>
    </row>
    <row r="73" spans="3:11" x14ac:dyDescent="0.25">
      <c r="C73" s="146" t="s">
        <v>8402</v>
      </c>
      <c r="D73" s="146"/>
      <c r="E73" s="146"/>
      <c r="F73" s="138"/>
      <c r="G73" s="139"/>
      <c r="I73" s="2210" t="str">
        <f>A26</f>
        <v>c11.26</v>
      </c>
      <c r="J73" s="2225">
        <f>MAX(0,NRD!E20+NRD!E23)</f>
        <v>0</v>
      </c>
    </row>
    <row r="74" spans="3:11" x14ac:dyDescent="0.25">
      <c r="C74" s="139"/>
      <c r="D74" s="139"/>
      <c r="E74" s="139"/>
      <c r="F74" s="139"/>
      <c r="G74" s="139"/>
      <c r="H74" s="138"/>
      <c r="I74" s="139"/>
    </row>
    <row r="75" spans="3:11" x14ac:dyDescent="0.25">
      <c r="J75" s="138" t="str">
        <f>INC&amp;'INC(1)'!C15&amp;" × savings_gross ("&amp;savings_gross_F&amp;") × BR_rate ("&amp;BR_rate*100&amp;"%)"</f>
        <v>INC1 × savings_gross (100/80) × BR_rate (20%)</v>
      </c>
    </row>
    <row r="76" spans="3:11" x14ac:dyDescent="0.25">
      <c r="C76" s="139" t="s">
        <v>8403</v>
      </c>
      <c r="D76" s="139"/>
      <c r="E76" s="139"/>
      <c r="F76" s="139"/>
      <c r="G76" s="139"/>
      <c r="I76" s="2210" t="str">
        <f>A27</f>
        <v>c11.27</v>
      </c>
      <c r="J76" s="2207">
        <f>TRUNC(('INC(1)'!D16*savings_gross*BR_rate)+0.0099,2)</f>
        <v>0</v>
      </c>
      <c r="K76" s="197" t="s">
        <v>8206</v>
      </c>
    </row>
    <row r="77" spans="3:11" x14ac:dyDescent="0.25">
      <c r="C77" s="139"/>
      <c r="D77" s="139"/>
      <c r="E77" s="139"/>
      <c r="F77" s="139"/>
      <c r="G77" s="139"/>
      <c r="I77" s="187"/>
      <c r="J77" s="36" t="str">
        <f>"copy to "&amp;'non-res (c91)'!A37</f>
        <v>copy to c91.32</v>
      </c>
      <c r="K77" s="197"/>
    </row>
    <row r="79" spans="3:11" x14ac:dyDescent="0.25">
      <c r="J79" s="138" t="str">
        <f>"from "&amp;AOI&amp;AOI!C5</f>
        <v>from AOI2</v>
      </c>
    </row>
    <row r="80" spans="3:11" x14ac:dyDescent="0.25">
      <c r="C80" s="139" t="s">
        <v>8404</v>
      </c>
      <c r="D80" s="139"/>
      <c r="E80" s="139"/>
      <c r="F80" s="139"/>
      <c r="G80" s="139"/>
      <c r="I80" s="2210" t="str">
        <f>A28</f>
        <v>c11.28</v>
      </c>
      <c r="J80" s="2207">
        <f>MAX(0,AOI!D6)</f>
        <v>0</v>
      </c>
    </row>
    <row r="81" spans="3:10" x14ac:dyDescent="0.25">
      <c r="C81" s="139"/>
      <c r="D81" s="139"/>
      <c r="E81" s="139"/>
      <c r="F81" s="139"/>
      <c r="G81" s="139"/>
      <c r="H81" s="139"/>
      <c r="I81" s="139"/>
    </row>
    <row r="82" spans="3:10" x14ac:dyDescent="0.25">
      <c r="J82" s="138" t="str">
        <f>"from "&amp;AOI&amp;AOI!G19</f>
        <v>from AOI10</v>
      </c>
    </row>
    <row r="83" spans="3:10" x14ac:dyDescent="0.25">
      <c r="C83" s="139" t="s">
        <v>8405</v>
      </c>
      <c r="D83" s="139"/>
      <c r="E83" s="139"/>
      <c r="F83" s="139"/>
      <c r="G83" s="139"/>
      <c r="I83" s="2238" t="str">
        <f>A29</f>
        <v>c11.29</v>
      </c>
      <c r="J83" s="2225">
        <f>MAX(0,AOI!H20)</f>
        <v>0</v>
      </c>
    </row>
    <row r="84" spans="3:10" x14ac:dyDescent="0.25">
      <c r="C84" s="139"/>
      <c r="D84" s="139"/>
      <c r="E84" s="139"/>
      <c r="F84" s="139"/>
      <c r="G84" s="139"/>
      <c r="H84" s="139"/>
      <c r="I84" s="139"/>
    </row>
    <row r="85" spans="3:10" x14ac:dyDescent="0.25">
      <c r="J85" s="138" t="str">
        <f>"from "&amp;INC&amp;'INC(2)'!C28</f>
        <v>from INC19</v>
      </c>
    </row>
    <row r="86" spans="3:10" x14ac:dyDescent="0.25">
      <c r="C86" s="139" t="s">
        <v>8406</v>
      </c>
      <c r="D86" s="139"/>
      <c r="E86" s="139"/>
      <c r="F86" s="139"/>
      <c r="G86" s="138"/>
      <c r="I86" s="2210" t="str">
        <f>A30</f>
        <v>c11.30</v>
      </c>
      <c r="J86" s="2225">
        <f>MAX(0,'INC(2)'!D29)</f>
        <v>0</v>
      </c>
    </row>
    <row r="88" spans="3:10" x14ac:dyDescent="0.25">
      <c r="J88" s="9" t="str">
        <f>I35&amp;" + "&amp;I38&amp;" + "&amp;I41&amp;" + "&amp;I44&amp;" + "&amp;I47&amp;" + "&amp;I50&amp;" + "&amp;I53&amp;" + "&amp;I56</f>
        <v>c11.8 + c11.9 + c11.10 + c11.11 + c11.12 + c11.13 + c11.14 + c11.15</v>
      </c>
    </row>
    <row r="89" spans="3:10" x14ac:dyDescent="0.25">
      <c r="J89" s="9" t="str">
        <f>" + "&amp;I70&amp;" + "&amp;I73&amp;" + "&amp;I76&amp;" + "&amp;I80&amp;" + "&amp;I83&amp;" + "&amp;I86</f>
        <v xml:space="preserve"> + c11.25 + c11.26 + c11.27 + c11.28 + c11.29 + c11.30</v>
      </c>
    </row>
    <row r="90" spans="3:10" x14ac:dyDescent="0.25">
      <c r="C90" s="24" t="s">
        <v>8407</v>
      </c>
      <c r="I90" s="2210" t="str">
        <f>A31</f>
        <v>c11.31</v>
      </c>
      <c r="J90" s="2207">
        <f>J35+J38+J41+J44+J47+J50+J53+J56+J70+J73+J76+J80+J83+J86</f>
        <v>0</v>
      </c>
    </row>
    <row r="91" spans="3:10" x14ac:dyDescent="0.25">
      <c r="J91" s="9" t="str">
        <f>"copy to box "&amp;'Tax due (c12)'!I82</f>
        <v>copy to box c12.13</v>
      </c>
    </row>
  </sheetData>
  <phoneticPr fontId="58" type="noConversion"/>
  <pageMargins left="0.196850393700787" right="0.196850393700787" top="0.196850393700787" bottom="0.196850393700787" header="0" footer="0"/>
  <pageSetup paperSize="9" fitToHeight="2" orientation="portrait" r:id="rId1"/>
  <headerFooter alignWithMargins="0">
    <oddFooter>&amp;C&amp;1#&amp;"Calibri"&amp;10&amp;K000000OFFICIAL-SENSITIVE</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dimension ref="A1:N134"/>
  <sheetViews>
    <sheetView showGridLines="0" topLeftCell="B1" workbookViewId="0">
      <selection activeCell="B1" sqref="B1"/>
    </sheetView>
  </sheetViews>
  <sheetFormatPr defaultColWidth="9.1796875" defaultRowHeight="11.5" x14ac:dyDescent="0.25"/>
  <cols>
    <col min="1" max="1" width="4.54296875" style="8" hidden="1" customWidth="1"/>
    <col min="2" max="2" width="12.1796875" style="8" customWidth="1"/>
    <col min="3" max="4" width="9.1796875" style="8"/>
    <col min="5" max="5" width="19.81640625" style="8" customWidth="1"/>
    <col min="6" max="6" width="6.54296875" style="8" customWidth="1"/>
    <col min="7" max="7" width="18.1796875" style="8" customWidth="1"/>
    <col min="8" max="8" width="8.54296875" style="8" customWidth="1"/>
    <col min="9" max="9" width="7" style="8" customWidth="1"/>
    <col min="10" max="10" width="18.1796875" style="8" customWidth="1"/>
    <col min="11" max="11" width="11" style="8" bestFit="1" customWidth="1"/>
    <col min="12" max="12" width="7.54296875" style="8" customWidth="1"/>
    <col min="13" max="13" width="18.1796875" style="8" customWidth="1"/>
    <col min="14" max="14" width="9.453125" style="8" bestFit="1" customWidth="1"/>
    <col min="15" max="16384" width="9.1796875" style="8"/>
  </cols>
  <sheetData>
    <row r="1" spans="1:11" ht="18" x14ac:dyDescent="0.4">
      <c r="A1" s="78" t="s">
        <v>8408</v>
      </c>
      <c r="B1" s="484" t="s">
        <v>8409</v>
      </c>
    </row>
    <row r="2" spans="1:11" x14ac:dyDescent="0.25">
      <c r="A2" s="78" t="s">
        <v>4943</v>
      </c>
      <c r="D2" s="2164" t="s">
        <v>7225</v>
      </c>
      <c r="E2" s="2205"/>
      <c r="F2" s="2205"/>
      <c r="G2" s="2205"/>
      <c r="H2" s="2205"/>
      <c r="I2" s="2165"/>
    </row>
    <row r="3" spans="1:11" x14ac:dyDescent="0.25">
      <c r="A3" s="78" t="s">
        <v>4959</v>
      </c>
    </row>
    <row r="4" spans="1:11" x14ac:dyDescent="0.25">
      <c r="A4" s="78" t="s">
        <v>4951</v>
      </c>
      <c r="B4" s="78"/>
      <c r="C4" s="78"/>
      <c r="D4" s="78"/>
      <c r="E4" s="78"/>
      <c r="F4" s="78"/>
      <c r="G4" s="78"/>
      <c r="H4" s="78"/>
      <c r="I4" s="78"/>
      <c r="J4" s="38" t="str">
        <f>"from "&amp;'Tax adj (c9)'!I214</f>
        <v>from c9.43</v>
      </c>
    </row>
    <row r="5" spans="1:11" x14ac:dyDescent="0.25">
      <c r="A5" s="78" t="s">
        <v>4955</v>
      </c>
      <c r="E5" s="78"/>
      <c r="F5" s="78"/>
      <c r="H5" s="9" t="s">
        <v>8410</v>
      </c>
      <c r="I5" s="2206" t="str">
        <f>A1</f>
        <v>c12.1</v>
      </c>
      <c r="J5" s="2182">
        <f>'Tax adj (c9)'!J214</f>
        <v>0</v>
      </c>
    </row>
    <row r="6" spans="1:11" x14ac:dyDescent="0.25">
      <c r="A6" s="78" t="s">
        <v>4965</v>
      </c>
      <c r="E6" s="78"/>
      <c r="F6" s="78"/>
      <c r="H6" s="9"/>
      <c r="I6" s="150"/>
      <c r="J6" s="167"/>
    </row>
    <row r="7" spans="1:11" ht="12.5" x14ac:dyDescent="0.25">
      <c r="A7" s="78" t="s">
        <v>4991</v>
      </c>
      <c r="E7" s="274" t="s">
        <v>8411</v>
      </c>
    </row>
    <row r="8" spans="1:11" x14ac:dyDescent="0.25">
      <c r="A8" s="78" t="s">
        <v>4648</v>
      </c>
      <c r="E8" s="8" t="s">
        <v>8412</v>
      </c>
    </row>
    <row r="9" spans="1:11" x14ac:dyDescent="0.25">
      <c r="A9" s="78" t="s">
        <v>4651</v>
      </c>
      <c r="E9" s="129" t="s">
        <v>8413</v>
      </c>
    </row>
    <row r="10" spans="1:11" x14ac:dyDescent="0.25">
      <c r="A10" s="78" t="s">
        <v>5031</v>
      </c>
      <c r="E10" s="8" t="s">
        <v>7143</v>
      </c>
    </row>
    <row r="11" spans="1:11" ht="12.5" x14ac:dyDescent="0.25">
      <c r="A11" s="78" t="s">
        <v>8414</v>
      </c>
      <c r="E11" s="274" t="s">
        <v>8415</v>
      </c>
      <c r="I11" s="458"/>
      <c r="J11" s="38"/>
    </row>
    <row r="12" spans="1:11" ht="12.5" x14ac:dyDescent="0.25">
      <c r="A12" s="78" t="s">
        <v>5040</v>
      </c>
      <c r="E12" s="274" t="s">
        <v>8416</v>
      </c>
      <c r="I12" s="458"/>
      <c r="J12" s="38"/>
    </row>
    <row r="13" spans="1:11" ht="12.5" x14ac:dyDescent="0.25">
      <c r="A13" s="78" t="s">
        <v>4654</v>
      </c>
      <c r="E13" s="274"/>
      <c r="I13" s="458"/>
      <c r="J13" s="38" t="str">
        <f>I5&amp;" from resident calculation"</f>
        <v>c12.1 from resident calculation</v>
      </c>
    </row>
    <row r="14" spans="1:11" ht="12" x14ac:dyDescent="0.3">
      <c r="A14" s="78" t="s">
        <v>4657</v>
      </c>
      <c r="E14" s="210"/>
      <c r="H14" s="9" t="s">
        <v>8417</v>
      </c>
      <c r="I14" s="2206" t="str">
        <f>A2</f>
        <v>c12.1a</v>
      </c>
      <c r="J14" s="2207"/>
      <c r="K14" s="144" t="s">
        <v>7220</v>
      </c>
    </row>
    <row r="15" spans="1:11" x14ac:dyDescent="0.25">
      <c r="A15" s="78" t="s">
        <v>5055</v>
      </c>
      <c r="E15" s="210"/>
      <c r="H15" s="9"/>
      <c r="J15" s="78"/>
    </row>
    <row r="16" spans="1:11" x14ac:dyDescent="0.25">
      <c r="A16" s="78" t="s">
        <v>5059</v>
      </c>
      <c r="E16" s="210"/>
      <c r="H16" s="9"/>
      <c r="J16" s="35"/>
    </row>
    <row r="17" spans="1:14" x14ac:dyDescent="0.25">
      <c r="A17" s="78" t="s">
        <v>8418</v>
      </c>
      <c r="E17" s="210"/>
      <c r="H17" s="9"/>
      <c r="I17" s="458"/>
      <c r="J17" s="38" t="str">
        <f>I5&amp;" from non-resident calculation"</f>
        <v>c12.1 from non-resident calculation</v>
      </c>
    </row>
    <row r="18" spans="1:14" ht="12" x14ac:dyDescent="0.3">
      <c r="A18" s="78" t="s">
        <v>8419</v>
      </c>
      <c r="E18" s="210"/>
      <c r="H18" s="9" t="s">
        <v>8420</v>
      </c>
      <c r="I18" s="2206" t="str">
        <f>A3</f>
        <v>c12.1b</v>
      </c>
      <c r="J18" s="2207"/>
      <c r="K18" s="144" t="s">
        <v>7220</v>
      </c>
    </row>
    <row r="19" spans="1:14" x14ac:dyDescent="0.25">
      <c r="A19" s="78" t="s">
        <v>5076</v>
      </c>
      <c r="E19" s="210"/>
      <c r="J19" s="78"/>
    </row>
    <row r="20" spans="1:14" x14ac:dyDescent="0.25">
      <c r="A20" s="78" t="s">
        <v>4662</v>
      </c>
    </row>
    <row r="21" spans="1:14" x14ac:dyDescent="0.25">
      <c r="A21" s="78" t="s">
        <v>5152</v>
      </c>
      <c r="I21" s="78"/>
      <c r="J21" s="9" t="str">
        <f>"from "&amp;'non-res (c91)'!R119</f>
        <v>from c91.35</v>
      </c>
    </row>
    <row r="22" spans="1:14" x14ac:dyDescent="0.25">
      <c r="A22" s="78" t="s">
        <v>5158</v>
      </c>
      <c r="H22" s="9" t="s">
        <v>8421</v>
      </c>
      <c r="I22" s="2206" t="str">
        <f>A4</f>
        <v>c12.1c</v>
      </c>
      <c r="J22" s="2207">
        <f>'non-res (c91)'!S119</f>
        <v>0</v>
      </c>
    </row>
    <row r="23" spans="1:14" x14ac:dyDescent="0.25">
      <c r="A23" s="78" t="s">
        <v>8422</v>
      </c>
    </row>
    <row r="24" spans="1:14" x14ac:dyDescent="0.25">
      <c r="A24" s="78" t="s">
        <v>5299</v>
      </c>
      <c r="J24" s="38" t="str">
        <f>I18&amp;" minus "&amp;I22</f>
        <v>c12.1b minus c12.1c</v>
      </c>
    </row>
    <row r="25" spans="1:14" ht="12" x14ac:dyDescent="0.3">
      <c r="A25" s="78" t="s">
        <v>8423</v>
      </c>
      <c r="H25" s="9" t="s">
        <v>8424</v>
      </c>
      <c r="I25" s="2206" t="str">
        <f>A5</f>
        <v>c12.1d</v>
      </c>
      <c r="J25" s="2207">
        <f>box_c12_1_s811-J22</f>
        <v>0</v>
      </c>
      <c r="K25" s="144" t="s">
        <v>7220</v>
      </c>
    </row>
    <row r="26" spans="1:14" x14ac:dyDescent="0.25">
      <c r="A26" s="78" t="s">
        <v>4667</v>
      </c>
      <c r="J26" s="2239"/>
    </row>
    <row r="27" spans="1:14" x14ac:dyDescent="0.25">
      <c r="A27" s="78" t="s">
        <v>8425</v>
      </c>
    </row>
    <row r="28" spans="1:14" x14ac:dyDescent="0.25">
      <c r="A28" s="78" t="s">
        <v>8426</v>
      </c>
    </row>
    <row r="29" spans="1:14" x14ac:dyDescent="0.25">
      <c r="A29" s="78" t="s">
        <v>5317</v>
      </c>
    </row>
    <row r="30" spans="1:14" x14ac:dyDescent="0.25">
      <c r="A30" s="78" t="s">
        <v>5320</v>
      </c>
    </row>
    <row r="31" spans="1:14" x14ac:dyDescent="0.25">
      <c r="A31" s="78" t="s">
        <v>8427</v>
      </c>
      <c r="M31" s="38" t="str">
        <f>"from "&amp;I5</f>
        <v>from c12.1</v>
      </c>
    </row>
    <row r="32" spans="1:14" ht="12" x14ac:dyDescent="0.3">
      <c r="K32" s="9" t="s">
        <v>8428</v>
      </c>
      <c r="L32" s="2206" t="str">
        <f>A6</f>
        <v>c12.1e</v>
      </c>
      <c r="M32" s="2207">
        <f>IF(box_NRD1,MIN(box_c12_1_s23,box_c12_1_s811),box_c12_1_tax)</f>
        <v>0</v>
      </c>
      <c r="N32" s="144" t="s">
        <v>7220</v>
      </c>
    </row>
    <row r="33" spans="2:13" x14ac:dyDescent="0.25">
      <c r="E33" s="8" t="s">
        <v>75</v>
      </c>
    </row>
    <row r="35" spans="2:13" x14ac:dyDescent="0.25">
      <c r="M35" s="38" t="str">
        <f>L32&amp;" minus ("&amp;'Div Cr (c10)'!I27&amp;" + "&amp;'Div Cr (c10)'!I44&amp;" + "&amp;'Div Cr (c10)'!I94&amp;")"</f>
        <v>c12.1e minus (c10.4 + c10.5 + c10.20)</v>
      </c>
    </row>
    <row r="36" spans="2:13" x14ac:dyDescent="0.25">
      <c r="L36" s="2206" t="str">
        <f>A7</f>
        <v>c12.1f</v>
      </c>
      <c r="M36" s="2207">
        <f>MAX(0,M32-('Div Cr (c10)'!J27+'Div Cr (c10)'!J44+'Div Cr (c10)'!J94))</f>
        <v>0</v>
      </c>
    </row>
    <row r="37" spans="2:13" x14ac:dyDescent="0.25">
      <c r="B37" s="78"/>
      <c r="C37" s="78"/>
      <c r="D37" s="78"/>
      <c r="M37" s="78"/>
    </row>
    <row r="38" spans="2:13" x14ac:dyDescent="0.25">
      <c r="H38" s="78"/>
      <c r="J38" s="38" t="str">
        <f>"from "&amp;'Class 4 NIC (c16)'!J166</f>
        <v>from c16.31</v>
      </c>
      <c r="K38" s="78"/>
      <c r="L38" s="78"/>
    </row>
    <row r="39" spans="2:13" x14ac:dyDescent="0.25">
      <c r="B39" s="79" t="s">
        <v>6720</v>
      </c>
      <c r="C39" s="78"/>
      <c r="D39" s="78"/>
      <c r="I39" s="2206" t="str">
        <f>A8</f>
        <v>c12.2</v>
      </c>
      <c r="J39" s="2207">
        <f>'Class 4 NIC (c16)'!K166</f>
        <v>0</v>
      </c>
    </row>
    <row r="41" spans="2:13" x14ac:dyDescent="0.25">
      <c r="B41" s="523"/>
    </row>
    <row r="42" spans="2:13" ht="12" x14ac:dyDescent="0.3">
      <c r="B42" s="2173"/>
      <c r="C42" s="2228"/>
      <c r="D42" s="2174"/>
      <c r="E42" s="460"/>
      <c r="J42" s="530"/>
      <c r="M42" s="78"/>
    </row>
    <row r="43" spans="2:13" ht="12" x14ac:dyDescent="0.3">
      <c r="B43" s="525"/>
      <c r="C43" s="221"/>
      <c r="D43" s="241"/>
      <c r="E43" s="461"/>
      <c r="J43" s="530"/>
    </row>
    <row r="44" spans="2:13" ht="12" x14ac:dyDescent="0.3">
      <c r="B44" s="2176"/>
      <c r="C44" s="2233"/>
      <c r="D44" s="2177"/>
      <c r="E44" s="461"/>
      <c r="J44" s="524"/>
    </row>
    <row r="45" spans="2:13" x14ac:dyDescent="0.25">
      <c r="J45" s="524"/>
    </row>
    <row r="46" spans="2:13" x14ac:dyDescent="0.25">
      <c r="J46" s="9" t="str">
        <f>"from "&amp;'Class 4 NIC (c16)'!J192</f>
        <v>from c16.32</v>
      </c>
    </row>
    <row r="47" spans="2:13" x14ac:dyDescent="0.25">
      <c r="B47" s="79" t="s">
        <v>6721</v>
      </c>
      <c r="I47" s="2206" t="str">
        <f>A9</f>
        <v>c12.3</v>
      </c>
      <c r="J47" s="2207">
        <f>'Class 4 NIC (c16)'!K192</f>
        <v>0</v>
      </c>
    </row>
    <row r="48" spans="2:13" x14ac:dyDescent="0.25">
      <c r="J48" s="524"/>
    </row>
    <row r="49" spans="2:14" x14ac:dyDescent="0.25">
      <c r="B49" s="2240"/>
      <c r="C49" s="2205"/>
      <c r="D49" s="2147"/>
    </row>
    <row r="51" spans="2:14" x14ac:dyDescent="0.25">
      <c r="M51" s="9" t="str">
        <f>I39&amp;" + "&amp;I47</f>
        <v>c12.2 + c12.3</v>
      </c>
    </row>
    <row r="52" spans="2:14" x14ac:dyDescent="0.25">
      <c r="B52" s="79" t="s">
        <v>8430</v>
      </c>
      <c r="L52" s="2206" t="str">
        <f>A10</f>
        <v>c12.4</v>
      </c>
      <c r="M52" s="2207">
        <f>J39+J47</f>
        <v>0</v>
      </c>
    </row>
    <row r="54" spans="2:14" x14ac:dyDescent="0.25">
      <c r="B54" s="78"/>
      <c r="C54" s="78"/>
      <c r="D54" s="78"/>
      <c r="E54" s="78"/>
      <c r="F54" s="78"/>
      <c r="G54" s="78"/>
      <c r="H54" s="78"/>
      <c r="L54" s="78"/>
      <c r="M54" s="38" t="str">
        <f>L36&amp;" + "&amp;L52</f>
        <v>c12.1f + c12.4</v>
      </c>
    </row>
    <row r="55" spans="2:14" x14ac:dyDescent="0.25">
      <c r="B55" s="87" t="s">
        <v>8431</v>
      </c>
      <c r="E55" s="78"/>
      <c r="F55" s="78"/>
      <c r="H55" s="86"/>
      <c r="L55" s="2206" t="str">
        <f>A11</f>
        <v>c12.5</v>
      </c>
      <c r="M55" s="2182">
        <f>M36+M52</f>
        <v>0</v>
      </c>
    </row>
    <row r="57" spans="2:14" x14ac:dyDescent="0.25">
      <c r="H57" s="35"/>
      <c r="J57" s="142" t="str">
        <f>"from "&amp;CAL&amp;CAL!C6</f>
        <v>from CAL7</v>
      </c>
    </row>
    <row r="58" spans="2:14" x14ac:dyDescent="0.25">
      <c r="B58" s="140" t="str">
        <f>CAL!D6</f>
        <v>Underpaid tax for earlier years included in 2025-26 tax code</v>
      </c>
      <c r="H58" s="38"/>
      <c r="I58" s="2206" t="str">
        <f>A12</f>
        <v>c12.6</v>
      </c>
      <c r="J58" s="2207">
        <f>CAL!D7</f>
        <v>0</v>
      </c>
    </row>
    <row r="59" spans="2:14" x14ac:dyDescent="0.25">
      <c r="B59" s="149"/>
      <c r="C59" s="78"/>
      <c r="D59" s="78"/>
      <c r="E59" s="78"/>
      <c r="H59" s="78"/>
      <c r="I59" s="150"/>
      <c r="J59" s="78"/>
    </row>
    <row r="60" spans="2:14" x14ac:dyDescent="0.25">
      <c r="I60" s="139"/>
      <c r="J60" s="38" t="str">
        <f>"from "&amp;'S loans(c27)'!J258</f>
        <v>from c27.44</v>
      </c>
    </row>
    <row r="61" spans="2:14" x14ac:dyDescent="0.25">
      <c r="B61" s="140" t="s">
        <v>8432</v>
      </c>
      <c r="D61" s="78"/>
      <c r="I61" s="2206" t="str">
        <f>A13</f>
        <v>c12.7</v>
      </c>
      <c r="J61" s="2207">
        <f>'S loans(c27)'!K258</f>
        <v>0</v>
      </c>
      <c r="N61" s="169"/>
    </row>
    <row r="63" spans="2:14" x14ac:dyDescent="0.25">
      <c r="I63" s="139"/>
      <c r="J63" s="38" t="str">
        <f>"from "&amp;'S loans(c27)'!J277</f>
        <v>from c27.45</v>
      </c>
    </row>
    <row r="64" spans="2:14" x14ac:dyDescent="0.25">
      <c r="B64" s="140" t="s">
        <v>8433</v>
      </c>
      <c r="I64" s="2206" t="str">
        <f>A14</f>
        <v>c12.7b</v>
      </c>
      <c r="J64" s="2207">
        <f>'S loans(c27)'!K277</f>
        <v>0</v>
      </c>
    </row>
    <row r="66" spans="2:14" x14ac:dyDescent="0.25">
      <c r="G66" s="9" t="str">
        <f>"("&amp;AOR&amp;AOR!C14&amp;" + "&amp;ASE&amp;ASE!G20&amp;") × NS_gross ("&amp;NS_gross_F&amp;")"</f>
        <v>(AOR4 + ASE15) × NS_gross (100/80)</v>
      </c>
    </row>
    <row r="67" spans="2:14" x14ac:dyDescent="0.25">
      <c r="B67" s="149" t="s">
        <v>8434</v>
      </c>
      <c r="F67" s="2206" t="str">
        <f>A15</f>
        <v>c12.8</v>
      </c>
      <c r="G67" s="2207">
        <f>TRUNC((AOR!D15+ASE!H21)*NS_gross,0)</f>
        <v>0</v>
      </c>
      <c r="H67" s="221" t="s">
        <v>7029</v>
      </c>
    </row>
    <row r="68" spans="2:14" x14ac:dyDescent="0.25">
      <c r="F68" s="139"/>
      <c r="H68" s="35"/>
      <c r="I68" s="78"/>
      <c r="J68" s="78"/>
    </row>
    <row r="69" spans="2:14" x14ac:dyDescent="0.25">
      <c r="B69" s="149"/>
      <c r="C69" s="78"/>
      <c r="D69" s="78"/>
      <c r="E69" s="78"/>
      <c r="H69" s="35"/>
      <c r="I69" s="149"/>
      <c r="J69" s="38" t="str">
        <f>F67&amp;" × BR_rate ("&amp;BR_rate*100&amp;"%)"</f>
        <v>c12.8 × BR_rate (20%)</v>
      </c>
    </row>
    <row r="70" spans="2:14" x14ac:dyDescent="0.25">
      <c r="B70" s="381"/>
      <c r="C70" s="216"/>
      <c r="D70" s="78"/>
      <c r="H70" s="35"/>
      <c r="I70" s="2206" t="str">
        <f>A16</f>
        <v>c12.9</v>
      </c>
      <c r="J70" s="2207">
        <f>TRUNC(G67*BR_rate,2)</f>
        <v>0</v>
      </c>
      <c r="K70" s="221" t="s">
        <v>7647</v>
      </c>
    </row>
    <row r="71" spans="2:14" x14ac:dyDescent="0.25">
      <c r="F71" s="139"/>
      <c r="H71" s="35"/>
      <c r="I71" s="78"/>
      <c r="J71" s="78"/>
    </row>
    <row r="72" spans="2:14" x14ac:dyDescent="0.25">
      <c r="B72" s="149"/>
      <c r="C72" s="78"/>
      <c r="D72" s="78"/>
      <c r="E72" s="78"/>
      <c r="H72" s="78"/>
      <c r="I72" s="149"/>
      <c r="J72" s="38" t="s">
        <v>7043</v>
      </c>
    </row>
    <row r="73" spans="2:14" x14ac:dyDescent="0.25">
      <c r="B73" s="381"/>
      <c r="C73" s="216"/>
      <c r="D73" s="78"/>
      <c r="H73" s="35"/>
      <c r="I73" s="2206" t="str">
        <f>A17</f>
        <v>c12.10</v>
      </c>
      <c r="J73" s="2207">
        <v>0</v>
      </c>
    </row>
    <row r="74" spans="2:14" x14ac:dyDescent="0.25">
      <c r="F74" s="139"/>
      <c r="H74" s="78"/>
      <c r="I74" s="78"/>
      <c r="J74" s="78"/>
    </row>
    <row r="75" spans="2:14" x14ac:dyDescent="0.25">
      <c r="B75" s="149"/>
      <c r="H75" s="78"/>
      <c r="I75" s="139"/>
      <c r="J75" s="1068" t="s">
        <v>7043</v>
      </c>
    </row>
    <row r="76" spans="2:14" x14ac:dyDescent="0.25">
      <c r="B76" s="1075" t="s">
        <v>6691</v>
      </c>
      <c r="C76" s="1076"/>
      <c r="D76" s="1076"/>
      <c r="E76" s="1077"/>
      <c r="H76" s="35"/>
      <c r="I76" s="2206" t="str">
        <f>A18</f>
        <v>c12.11</v>
      </c>
      <c r="J76" s="2207">
        <v>0</v>
      </c>
    </row>
    <row r="77" spans="2:14" x14ac:dyDescent="0.25">
      <c r="H77" s="78"/>
      <c r="I77" s="78"/>
      <c r="J77" s="78"/>
    </row>
    <row r="78" spans="2:14" x14ac:dyDescent="0.25">
      <c r="F78" s="78"/>
      <c r="G78" s="78"/>
      <c r="H78" s="78"/>
      <c r="L78" s="78"/>
      <c r="M78" s="38" t="str">
        <f>L55&amp;" + "&amp;I58&amp;" + "&amp;I61&amp;" + "&amp;I64&amp;" + "&amp;I70&amp;" + "&amp;I76</f>
        <v>c12.5 + c12.6 + c12.7 + c12.7b + c12.9 + c12.11</v>
      </c>
    </row>
    <row r="79" spans="2:14" ht="12" x14ac:dyDescent="0.3">
      <c r="B79" s="78"/>
      <c r="C79" s="78"/>
      <c r="D79" s="78"/>
      <c r="E79" s="78"/>
      <c r="F79" s="78"/>
      <c r="G79" s="78"/>
      <c r="H79" s="78"/>
      <c r="L79" s="2206" t="str">
        <f>A19</f>
        <v>c12.12</v>
      </c>
      <c r="M79" s="2182">
        <f>M55+J58+J61+J64+J70+J76</f>
        <v>0</v>
      </c>
      <c r="N79" s="144" t="s">
        <v>7220</v>
      </c>
    </row>
    <row r="80" spans="2:14" x14ac:dyDescent="0.25">
      <c r="B80" s="78"/>
      <c r="C80" s="78"/>
      <c r="D80" s="78"/>
      <c r="E80" s="78"/>
      <c r="J80" s="78"/>
    </row>
    <row r="81" spans="2:14" x14ac:dyDescent="0.25">
      <c r="J81" s="38" t="str">
        <f>"from "&amp;'Tax paid (c11)'!I90</f>
        <v>from c11.31</v>
      </c>
    </row>
    <row r="82" spans="2:14" x14ac:dyDescent="0.25">
      <c r="B82" s="87" t="s">
        <v>8435</v>
      </c>
      <c r="D82" s="78"/>
      <c r="I82" s="2206" t="str">
        <f>A20</f>
        <v>c12.13</v>
      </c>
      <c r="J82" s="2207">
        <f>'Tax paid (c11)'!J90</f>
        <v>0</v>
      </c>
    </row>
    <row r="84" spans="2:14" x14ac:dyDescent="0.25">
      <c r="J84" s="142" t="str">
        <f>"from "&amp;CAL&amp;CAL!C9</f>
        <v>from CAL8</v>
      </c>
    </row>
    <row r="85" spans="2:14" x14ac:dyDescent="0.25">
      <c r="B85" s="140" t="str">
        <f>CAL!D9</f>
        <v>2025-26 underpaid tax included in 2026-27 tax code</v>
      </c>
      <c r="H85" s="78"/>
      <c r="I85" s="2206" t="str">
        <f>A21</f>
        <v>c12.14</v>
      </c>
      <c r="J85" s="2207">
        <f>CAL!D10</f>
        <v>0</v>
      </c>
    </row>
    <row r="86" spans="2:14" x14ac:dyDescent="0.25">
      <c r="H86" s="35"/>
      <c r="I86" s="78"/>
      <c r="J86" s="78"/>
    </row>
    <row r="87" spans="2:14" x14ac:dyDescent="0.25">
      <c r="C87" s="78"/>
      <c r="D87" s="78"/>
      <c r="E87" s="78"/>
      <c r="F87" s="78"/>
      <c r="G87" s="38"/>
      <c r="H87" s="78"/>
      <c r="L87" s="78"/>
      <c r="M87" s="38" t="str">
        <f>I82&amp;" + "&amp;I85</f>
        <v>c12.13 + c12.14</v>
      </c>
    </row>
    <row r="88" spans="2:14" x14ac:dyDescent="0.25">
      <c r="B88" s="78"/>
      <c r="H88" s="78"/>
      <c r="L88" s="2206" t="str">
        <f>A22</f>
        <v>c12.15</v>
      </c>
      <c r="M88" s="2182">
        <f>J82+J85</f>
        <v>0</v>
      </c>
    </row>
    <row r="89" spans="2:14" x14ac:dyDescent="0.25">
      <c r="B89" s="78"/>
      <c r="H89" s="38"/>
      <c r="L89" s="78"/>
      <c r="M89" s="78"/>
    </row>
    <row r="90" spans="2:14" x14ac:dyDescent="0.25">
      <c r="B90" s="78"/>
      <c r="C90" s="78"/>
      <c r="D90" s="78"/>
      <c r="E90" s="78"/>
      <c r="F90" s="78"/>
      <c r="H90" s="86"/>
      <c r="L90" s="78"/>
      <c r="M90" s="38" t="str">
        <f>L79&amp;" minus "&amp;L88</f>
        <v>c12.12 minus c12.15</v>
      </c>
    </row>
    <row r="91" spans="2:14" ht="12" x14ac:dyDescent="0.3">
      <c r="B91" s="87" t="s">
        <v>8436</v>
      </c>
      <c r="C91" s="78"/>
      <c r="D91" s="78"/>
      <c r="E91" s="78"/>
      <c r="F91" s="78"/>
      <c r="G91" s="78"/>
      <c r="L91" s="2206" t="str">
        <f>A23</f>
        <v>c12.16</v>
      </c>
      <c r="M91" s="2182">
        <f>M79-M88</f>
        <v>0</v>
      </c>
      <c r="N91" s="144" t="s">
        <v>7220</v>
      </c>
    </row>
    <row r="92" spans="2:14" x14ac:dyDescent="0.25">
      <c r="B92" s="78"/>
      <c r="C92" s="78"/>
      <c r="D92" s="78"/>
      <c r="E92" s="78"/>
      <c r="F92" s="78"/>
      <c r="G92" s="78"/>
      <c r="J92" s="78"/>
    </row>
    <row r="94" spans="2:14" x14ac:dyDescent="0.25">
      <c r="J94" s="38" t="str">
        <f>"from "&amp;'CG (c18)'!AA177</f>
        <v>from c18.58</v>
      </c>
    </row>
    <row r="95" spans="2:14" x14ac:dyDescent="0.25">
      <c r="B95" s="87" t="s">
        <v>8313</v>
      </c>
      <c r="C95" s="78"/>
      <c r="D95" s="78"/>
      <c r="H95" s="35"/>
      <c r="I95" s="2206" t="str">
        <f>A24</f>
        <v>c12.17</v>
      </c>
      <c r="J95" s="2182">
        <f>'CG (c18)'!AB177</f>
        <v>0</v>
      </c>
    </row>
    <row r="96" spans="2:14" x14ac:dyDescent="0.25">
      <c r="B96" s="78"/>
      <c r="C96" s="78"/>
      <c r="D96" s="78"/>
      <c r="E96" s="78"/>
      <c r="H96" s="78"/>
    </row>
    <row r="97" spans="2:14" x14ac:dyDescent="0.25">
      <c r="B97" s="78"/>
      <c r="C97" s="78"/>
      <c r="D97" s="78"/>
      <c r="E97" s="78"/>
      <c r="H97" s="78"/>
      <c r="J97" s="9" t="str">
        <f>L91&amp;" + "&amp;I95</f>
        <v>c12.16 + c12.17</v>
      </c>
    </row>
    <row r="98" spans="2:14" ht="12" x14ac:dyDescent="0.3">
      <c r="B98" s="87" t="s">
        <v>8437</v>
      </c>
      <c r="C98" s="78"/>
      <c r="D98" s="78"/>
      <c r="E98" s="78"/>
      <c r="H98" s="78"/>
      <c r="I98" s="2206" t="str">
        <f>A25</f>
        <v>c12.17a</v>
      </c>
      <c r="J98" s="2182">
        <f>M91+J95</f>
        <v>0</v>
      </c>
      <c r="K98" s="144" t="s">
        <v>7220</v>
      </c>
    </row>
    <row r="99" spans="2:14" x14ac:dyDescent="0.25">
      <c r="B99" s="78"/>
      <c r="C99" s="78"/>
      <c r="D99" s="78"/>
      <c r="E99" s="78"/>
      <c r="H99" s="78"/>
    </row>
    <row r="100" spans="2:14" x14ac:dyDescent="0.25">
      <c r="B100" s="78"/>
      <c r="C100" s="78"/>
      <c r="D100" s="78"/>
      <c r="E100" s="78"/>
      <c r="H100" s="78"/>
      <c r="I100" s="78"/>
      <c r="J100" s="78"/>
      <c r="M100" s="9" t="str">
        <f>"from "&amp;'CG (c18)'!AA187</f>
        <v>from c18.61</v>
      </c>
    </row>
    <row r="101" spans="2:14" x14ac:dyDescent="0.25">
      <c r="B101" s="22" t="s">
        <v>8438</v>
      </c>
      <c r="D101" s="78"/>
      <c r="E101" s="78"/>
      <c r="H101" s="78"/>
      <c r="I101" s="78"/>
      <c r="J101" s="78"/>
      <c r="L101" s="2206" t="str">
        <f>A26</f>
        <v>c12.17b</v>
      </c>
      <c r="M101" s="2182">
        <f>'CG (c18)'!AB187</f>
        <v>0</v>
      </c>
    </row>
    <row r="102" spans="2:14" ht="10.5" customHeight="1" x14ac:dyDescent="0.25">
      <c r="B102" s="78"/>
      <c r="C102" s="78"/>
      <c r="D102" s="78"/>
      <c r="E102" s="78"/>
      <c r="H102" s="78"/>
      <c r="I102" s="78"/>
      <c r="J102" s="78"/>
    </row>
    <row r="103" spans="2:14" ht="10.5" customHeight="1" x14ac:dyDescent="0.25">
      <c r="B103" s="78"/>
      <c r="C103" s="78"/>
      <c r="D103" s="78"/>
      <c r="E103" s="78"/>
      <c r="H103" s="78"/>
      <c r="I103" s="78"/>
      <c r="J103" s="78"/>
      <c r="M103" s="9" t="str">
        <f>L91&amp;" minus "&amp;L101</f>
        <v>c12.16 minus c12.17b</v>
      </c>
    </row>
    <row r="104" spans="2:14" ht="10.5" customHeight="1" x14ac:dyDescent="0.3">
      <c r="B104" s="87" t="s">
        <v>8439</v>
      </c>
      <c r="C104" s="78"/>
      <c r="D104" s="78"/>
      <c r="E104" s="78"/>
      <c r="H104" s="78"/>
      <c r="I104" s="78"/>
      <c r="J104" s="78"/>
      <c r="L104" s="2206" t="str">
        <f>A27</f>
        <v>c12.17c</v>
      </c>
      <c r="M104" s="2241">
        <f>M91-M101</f>
        <v>0</v>
      </c>
      <c r="N104" s="144" t="s">
        <v>7220</v>
      </c>
    </row>
    <row r="105" spans="2:14" ht="10.5" customHeight="1" x14ac:dyDescent="0.25">
      <c r="B105" s="78"/>
      <c r="C105" s="78"/>
      <c r="D105" s="78"/>
      <c r="E105" s="78"/>
      <c r="H105" s="78"/>
      <c r="I105" s="78"/>
      <c r="J105" s="78"/>
    </row>
    <row r="106" spans="2:14" x14ac:dyDescent="0.25">
      <c r="B106" s="78"/>
      <c r="C106" s="78"/>
      <c r="D106" s="78"/>
      <c r="E106" s="78"/>
      <c r="F106" s="78"/>
      <c r="K106" s="86"/>
      <c r="L106" s="78"/>
      <c r="M106" s="38" t="str">
        <f>I95&amp;" + "&amp;L104</f>
        <v>c12.17 + c12.17c</v>
      </c>
    </row>
    <row r="107" spans="2:14" ht="12" x14ac:dyDescent="0.3">
      <c r="B107" s="87" t="s">
        <v>8440</v>
      </c>
      <c r="C107" s="78"/>
      <c r="D107" s="78"/>
      <c r="E107" s="78"/>
      <c r="G107" s="78"/>
      <c r="K107" s="9" t="s">
        <v>8428</v>
      </c>
      <c r="L107" s="2206" t="str">
        <f>A28</f>
        <v>c12.18</v>
      </c>
      <c r="M107" s="2182">
        <f>J95+M104</f>
        <v>0</v>
      </c>
      <c r="N107" s="144" t="s">
        <v>7220</v>
      </c>
    </row>
    <row r="108" spans="2:14" x14ac:dyDescent="0.25">
      <c r="J108" s="78"/>
    </row>
    <row r="111" spans="2:14" x14ac:dyDescent="0.25">
      <c r="B111" s="561" t="str">
        <f>"The following 3 boxes are only used on the SA302 ("&amp;I119&amp;" is used in the calculation at Payments on Account "&amp;'POAs (c13)'!H39&amp;")"</f>
        <v>The following 3 boxes are only used on the SA302 (c12.21 is used in the calculation at Payments on Account c13.10)</v>
      </c>
      <c r="C111" s="237"/>
      <c r="D111" s="237"/>
      <c r="E111" s="237"/>
      <c r="F111" s="237"/>
      <c r="G111" s="237"/>
      <c r="K111" s="78"/>
    </row>
    <row r="112" spans="2:14" x14ac:dyDescent="0.25">
      <c r="B112" s="237"/>
      <c r="C112" s="237"/>
      <c r="D112" s="237"/>
      <c r="E112" s="237"/>
      <c r="I112" s="237"/>
      <c r="J112" s="38" t="str">
        <f>"from "&amp;FIN&amp;'REL(2)'!C52</f>
        <v>from FIN1</v>
      </c>
    </row>
    <row r="113" spans="2:13" x14ac:dyDescent="0.25">
      <c r="B113" s="79" t="s">
        <v>6799</v>
      </c>
      <c r="C113" s="237"/>
      <c r="D113" s="237"/>
      <c r="E113" s="237"/>
      <c r="I113" s="2242" t="str">
        <f>A29</f>
        <v>c12.19</v>
      </c>
      <c r="J113" s="2207">
        <f>'REL(2)'!D53</f>
        <v>0</v>
      </c>
      <c r="K113" s="79" t="s">
        <v>8441</v>
      </c>
    </row>
    <row r="114" spans="2:13" x14ac:dyDescent="0.25">
      <c r="B114" s="239"/>
      <c r="C114" s="237"/>
      <c r="D114" s="237"/>
      <c r="E114" s="237"/>
      <c r="I114" s="237"/>
      <c r="J114" s="237"/>
      <c r="K114" s="236"/>
    </row>
    <row r="115" spans="2:13" ht="12.75" customHeight="1" x14ac:dyDescent="0.25">
      <c r="B115" s="239"/>
      <c r="C115" s="237"/>
      <c r="D115" s="238"/>
      <c r="E115" s="237"/>
      <c r="I115" s="237"/>
      <c r="J115" s="38" t="str">
        <f>"from "&amp;CAL&amp;CAL!C22</f>
        <v>from CAL14</v>
      </c>
    </row>
    <row r="116" spans="2:13" x14ac:dyDescent="0.25">
      <c r="B116" s="79" t="s">
        <v>8442</v>
      </c>
      <c r="C116" s="237"/>
      <c r="D116" s="238"/>
      <c r="E116" s="237"/>
      <c r="I116" s="2242" t="str">
        <f>A30</f>
        <v>c12.20</v>
      </c>
      <c r="J116" s="2207">
        <f>CAL!D23</f>
        <v>0</v>
      </c>
      <c r="K116" s="79" t="s">
        <v>8441</v>
      </c>
    </row>
    <row r="118" spans="2:13" x14ac:dyDescent="0.25">
      <c r="J118" s="38" t="str">
        <f>L107&amp;" + "&amp;I113&amp;" + "&amp;I116</f>
        <v>c12.18 + c12.19 + c12.20</v>
      </c>
    </row>
    <row r="119" spans="2:13" ht="12" x14ac:dyDescent="0.3">
      <c r="H119" s="86" t="s">
        <v>8443</v>
      </c>
      <c r="I119" s="2206" t="str">
        <f>A31</f>
        <v>c12.21</v>
      </c>
      <c r="J119" s="2182">
        <f>box_18_3+J113+J116</f>
        <v>0</v>
      </c>
      <c r="K119" s="144" t="s">
        <v>7220</v>
      </c>
      <c r="M119" s="79" t="s">
        <v>8441</v>
      </c>
    </row>
    <row r="121" spans="2:13" x14ac:dyDescent="0.25">
      <c r="B121" s="210"/>
      <c r="C121" s="210"/>
      <c r="D121" s="210"/>
      <c r="E121" s="210"/>
      <c r="F121" s="210"/>
      <c r="G121" s="210"/>
      <c r="H121" s="210"/>
      <c r="I121" s="210"/>
      <c r="J121" s="210"/>
      <c r="K121" s="210"/>
      <c r="L121" s="210"/>
      <c r="M121" s="210"/>
    </row>
    <row r="122" spans="2:13" x14ac:dyDescent="0.25">
      <c r="B122" s="210"/>
      <c r="C122" s="210"/>
      <c r="D122" s="210"/>
      <c r="E122" s="553"/>
      <c r="F122" s="210"/>
      <c r="G122" s="210"/>
      <c r="H122" s="210"/>
      <c r="I122" s="210"/>
      <c r="J122" s="210"/>
      <c r="K122" s="210"/>
      <c r="L122" s="210"/>
      <c r="M122" s="210"/>
    </row>
    <row r="123" spans="2:13" x14ac:dyDescent="0.25">
      <c r="B123" s="210"/>
      <c r="C123" s="210"/>
      <c r="D123" s="210"/>
      <c r="E123" s="553"/>
      <c r="F123" s="210"/>
      <c r="G123" s="210"/>
      <c r="H123" s="210"/>
      <c r="I123" s="210"/>
      <c r="J123" s="210"/>
      <c r="K123" s="210"/>
      <c r="L123" s="210"/>
      <c r="M123" s="210"/>
    </row>
    <row r="124" spans="2:13" x14ac:dyDescent="0.25">
      <c r="B124" s="210"/>
      <c r="C124" s="210"/>
      <c r="D124" s="210"/>
      <c r="E124" s="553"/>
      <c r="F124" s="210"/>
      <c r="G124" s="210"/>
      <c r="H124" s="210"/>
      <c r="I124" s="210"/>
      <c r="J124" s="210"/>
      <c r="K124" s="210"/>
      <c r="L124" s="210"/>
      <c r="M124" s="210"/>
    </row>
    <row r="125" spans="2:13" ht="12.5" x14ac:dyDescent="0.25">
      <c r="B125" s="210"/>
      <c r="C125" s="210"/>
      <c r="D125" s="210"/>
      <c r="E125" s="554"/>
      <c r="F125" s="210"/>
      <c r="G125" s="210"/>
      <c r="H125" s="210"/>
      <c r="I125" s="210"/>
      <c r="J125" s="210"/>
      <c r="K125" s="210"/>
      <c r="L125" s="210"/>
      <c r="M125" s="210"/>
    </row>
    <row r="126" spans="2:13" ht="12.75" customHeight="1" x14ac:dyDescent="0.25">
      <c r="B126" s="210"/>
      <c r="C126" s="210"/>
      <c r="D126" s="210"/>
      <c r="E126" s="554"/>
      <c r="F126" s="210"/>
      <c r="G126" s="210"/>
      <c r="H126" s="210"/>
      <c r="I126" s="210"/>
      <c r="J126" s="210"/>
      <c r="K126" s="210"/>
      <c r="L126" s="210"/>
      <c r="M126" s="210"/>
    </row>
    <row r="127" spans="2:13" ht="12.75" customHeight="1" x14ac:dyDescent="0.25">
      <c r="B127" s="210"/>
      <c r="C127" s="210"/>
      <c r="D127" s="210"/>
      <c r="E127" s="210"/>
      <c r="F127" s="210"/>
      <c r="G127" s="210"/>
      <c r="H127" s="210"/>
      <c r="I127" s="555"/>
      <c r="J127" s="38"/>
      <c r="K127" s="210"/>
      <c r="L127" s="210"/>
      <c r="M127" s="210"/>
    </row>
    <row r="128" spans="2:13" ht="12" x14ac:dyDescent="0.3">
      <c r="B128" s="556"/>
      <c r="C128" s="210"/>
      <c r="D128" s="210"/>
      <c r="E128" s="210"/>
      <c r="F128" s="210"/>
      <c r="G128" s="210"/>
      <c r="H128" s="215"/>
      <c r="I128" s="557"/>
      <c r="J128" s="280"/>
      <c r="K128" s="551"/>
      <c r="L128" s="210"/>
      <c r="M128" s="552"/>
    </row>
    <row r="129" spans="2:13" x14ac:dyDescent="0.25">
      <c r="B129" s="556"/>
      <c r="C129" s="210"/>
      <c r="D129" s="210"/>
      <c r="E129" s="210"/>
      <c r="F129" s="210"/>
      <c r="G129" s="210"/>
      <c r="H129" s="215"/>
      <c r="I129" s="210"/>
      <c r="J129" s="216"/>
      <c r="K129" s="210"/>
      <c r="L129" s="210"/>
      <c r="M129" s="210"/>
    </row>
    <row r="130" spans="2:13" x14ac:dyDescent="0.25">
      <c r="B130" s="556"/>
      <c r="C130" s="210"/>
      <c r="D130" s="210"/>
      <c r="E130" s="210"/>
      <c r="F130" s="210"/>
      <c r="G130" s="210"/>
      <c r="H130" s="215"/>
      <c r="I130" s="210"/>
      <c r="J130" s="280"/>
      <c r="K130" s="210"/>
      <c r="L130" s="210"/>
      <c r="M130" s="210"/>
    </row>
    <row r="131" spans="2:13" x14ac:dyDescent="0.25">
      <c r="B131" s="210"/>
      <c r="C131" s="210"/>
      <c r="D131" s="210"/>
      <c r="E131" s="210"/>
      <c r="F131" s="210"/>
      <c r="G131" s="210"/>
      <c r="H131" s="215"/>
      <c r="I131" s="555"/>
      <c r="J131" s="38"/>
      <c r="K131" s="210"/>
      <c r="L131" s="210"/>
      <c r="M131" s="210"/>
    </row>
    <row r="132" spans="2:13" ht="12" x14ac:dyDescent="0.3">
      <c r="B132" s="556"/>
      <c r="C132" s="210"/>
      <c r="D132" s="210"/>
      <c r="E132" s="210"/>
      <c r="F132" s="210"/>
      <c r="G132" s="210"/>
      <c r="H132" s="215"/>
      <c r="I132" s="557"/>
      <c r="J132" s="280"/>
      <c r="K132" s="551"/>
      <c r="L132" s="210"/>
      <c r="M132" s="552"/>
    </row>
    <row r="133" spans="2:13" x14ac:dyDescent="0.25">
      <c r="B133" s="210"/>
      <c r="C133" s="210"/>
      <c r="D133" s="210"/>
      <c r="E133" s="210"/>
      <c r="F133" s="210"/>
      <c r="G133" s="210"/>
      <c r="H133" s="210"/>
      <c r="I133" s="210"/>
      <c r="J133" s="216"/>
      <c r="K133" s="210"/>
      <c r="L133" s="210"/>
      <c r="M133" s="210"/>
    </row>
    <row r="134" spans="2:13" x14ac:dyDescent="0.25">
      <c r="B134" s="210"/>
      <c r="C134" s="210"/>
      <c r="D134" s="210"/>
      <c r="E134" s="210"/>
      <c r="F134" s="210"/>
      <c r="G134" s="210"/>
      <c r="H134" s="210"/>
      <c r="I134" s="210"/>
      <c r="J134" s="210"/>
      <c r="K134" s="210"/>
      <c r="L134" s="210"/>
      <c r="M134" s="210"/>
    </row>
  </sheetData>
  <phoneticPr fontId="58" type="noConversion"/>
  <pageMargins left="0.19685039370078741" right="0.19685039370078741" top="0.19685039370078741" bottom="0.19685039370078741" header="0" footer="0"/>
  <pageSetup paperSize="9" orientation="portrait" horizontalDpi="4294967293" verticalDpi="1200" r:id="rId1"/>
  <headerFooter alignWithMargins="0">
    <oddFooter>&amp;C&amp;1#&amp;"Calibri"&amp;10&amp;K000000OFFICIAL-SENSITIVE</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
  <dimension ref="A1:O75"/>
  <sheetViews>
    <sheetView showGridLines="0" topLeftCell="B1" workbookViewId="0">
      <selection activeCell="B1" sqref="B1"/>
    </sheetView>
  </sheetViews>
  <sheetFormatPr defaultColWidth="8.81640625" defaultRowHeight="11.5" x14ac:dyDescent="0.25"/>
  <cols>
    <col min="1" max="1" width="11.54296875" style="8" hidden="1" customWidth="1"/>
    <col min="2" max="2" width="3.54296875" style="8" customWidth="1"/>
    <col min="3" max="3" width="8.54296875" style="8" customWidth="1"/>
    <col min="4" max="4" width="7" style="8" customWidth="1"/>
    <col min="5" max="5" width="10.453125" style="8" customWidth="1"/>
    <col min="6" max="6" width="27.1796875" style="8" customWidth="1"/>
    <col min="7" max="7" width="44.1796875" style="8" customWidth="1"/>
    <col min="8" max="8" width="6.54296875" style="8" customWidth="1"/>
    <col min="9" max="9" width="14.54296875" style="8" customWidth="1"/>
    <col min="10" max="10" width="6.54296875" style="8" customWidth="1"/>
    <col min="11" max="11" width="16.81640625" style="8" customWidth="1"/>
    <col min="12" max="12" width="8.54296875" style="8" customWidth="1"/>
    <col min="13" max="13" width="11.54296875" style="8" customWidth="1"/>
    <col min="14" max="14" width="3" style="8" customWidth="1"/>
    <col min="15" max="16384" width="8.81640625" style="8"/>
  </cols>
  <sheetData>
    <row r="1" spans="1:15" ht="18" x14ac:dyDescent="0.4">
      <c r="A1" s="8" t="s">
        <v>8444</v>
      </c>
      <c r="B1" s="486"/>
      <c r="C1" s="78"/>
      <c r="O1" s="78"/>
    </row>
    <row r="2" spans="1:15" x14ac:dyDescent="0.25">
      <c r="A2" s="8" t="s">
        <v>8445</v>
      </c>
      <c r="I2" s="138" t="str">
        <f>"from "&amp;CAL&amp;CAL!G22</f>
        <v>from CAL15</v>
      </c>
    </row>
    <row r="3" spans="1:15" x14ac:dyDescent="0.25">
      <c r="A3" s="8" t="s">
        <v>8446</v>
      </c>
      <c r="B3" s="8" t="s">
        <v>8447</v>
      </c>
      <c r="F3" s="139"/>
      <c r="H3" s="2206" t="str">
        <f>A1</f>
        <v>c13.1</v>
      </c>
      <c r="I3" s="2182">
        <f>CAL!H23</f>
        <v>0</v>
      </c>
    </row>
    <row r="4" spans="1:15" x14ac:dyDescent="0.25">
      <c r="A4" s="8" t="s">
        <v>8448</v>
      </c>
      <c r="B4" s="8" t="s">
        <v>8449</v>
      </c>
      <c r="F4" s="139"/>
      <c r="G4" s="139"/>
      <c r="H4" s="139"/>
    </row>
    <row r="5" spans="1:15" x14ac:dyDescent="0.25">
      <c r="A5" s="8" t="s">
        <v>8450</v>
      </c>
      <c r="I5" s="138" t="str">
        <f>"from "&amp;CAL&amp;CAL!G25</f>
        <v>from CAL16</v>
      </c>
    </row>
    <row r="6" spans="1:15" x14ac:dyDescent="0.25">
      <c r="A6" s="8" t="s">
        <v>8451</v>
      </c>
      <c r="B6" s="8" t="str">
        <f>"Any "&amp;next_year&amp;" repayment you are"</f>
        <v>Any 2026-27 repayment you are</v>
      </c>
      <c r="F6" s="139"/>
      <c r="H6" s="2206" t="str">
        <f>A2</f>
        <v>c13.2</v>
      </c>
      <c r="I6" s="2182">
        <f>CAL!H26</f>
        <v>0</v>
      </c>
    </row>
    <row r="7" spans="1:15" x14ac:dyDescent="0.25">
      <c r="A7" s="8" t="s">
        <v>8452</v>
      </c>
      <c r="B7" s="8" t="s">
        <v>8453</v>
      </c>
      <c r="J7" s="78"/>
    </row>
    <row r="8" spans="1:15" x14ac:dyDescent="0.25">
      <c r="A8" s="8" t="s">
        <v>8454</v>
      </c>
    </row>
    <row r="9" spans="1:15" x14ac:dyDescent="0.25">
      <c r="A9" s="8" t="s">
        <v>8455</v>
      </c>
      <c r="G9" s="9" t="s">
        <v>8456</v>
      </c>
      <c r="H9" s="2206" t="str">
        <f>A3</f>
        <v>c13.3</v>
      </c>
      <c r="I9" s="2182"/>
    </row>
    <row r="10" spans="1:15" x14ac:dyDescent="0.25">
      <c r="A10" s="8" t="s">
        <v>8457</v>
      </c>
      <c r="G10" s="9" t="s">
        <v>8458</v>
      </c>
    </row>
    <row r="11" spans="1:15" x14ac:dyDescent="0.25">
      <c r="A11" s="8" t="s">
        <v>8459</v>
      </c>
    </row>
    <row r="12" spans="1:15" x14ac:dyDescent="0.25">
      <c r="A12" s="8" t="s">
        <v>8460</v>
      </c>
      <c r="G12" s="9" t="s">
        <v>8456</v>
      </c>
      <c r="H12" s="2206" t="str">
        <f>A4</f>
        <v>c13.4</v>
      </c>
      <c r="I12" s="2182"/>
    </row>
    <row r="13" spans="1:15" x14ac:dyDescent="0.25">
      <c r="A13" s="8" t="s">
        <v>8461</v>
      </c>
      <c r="G13" s="9" t="s">
        <v>8462</v>
      </c>
    </row>
    <row r="14" spans="1:15" x14ac:dyDescent="0.25">
      <c r="A14" s="8" t="s">
        <v>8463</v>
      </c>
      <c r="B14" s="8" t="s">
        <v>8464</v>
      </c>
    </row>
    <row r="15" spans="1:15" x14ac:dyDescent="0.25">
      <c r="A15" s="8" t="s">
        <v>8465</v>
      </c>
      <c r="B15" s="87" t="s">
        <v>8466</v>
      </c>
    </row>
    <row r="16" spans="1:15" x14ac:dyDescent="0.25">
      <c r="A16" s="8" t="s">
        <v>8467</v>
      </c>
      <c r="C16" s="8" t="str">
        <f>"If (Today’s date equal to or before 30 December "&amp;Tax_year_end&amp;") and (Employment = ‘Y’ or box "&amp;INC&amp;'INC(2)'!C13&amp;" &gt; 0) and (box FIN2 not ticked)"</f>
        <v>If (Today’s date equal to or before 30 December 2026) and (Employment = ‘Y’ or box INC11 &gt; 0) and (box FIN2 not ticked)</v>
      </c>
    </row>
    <row r="17" spans="1:10" x14ac:dyDescent="0.25">
      <c r="A17" s="8" t="s">
        <v>8468</v>
      </c>
    </row>
    <row r="18" spans="1:10" x14ac:dyDescent="0.25">
      <c r="I18" s="9" t="str">
        <f>'Tax due (c12)'!I119&amp;" minus "&amp;H9</f>
        <v>c12.21 minus c13.3</v>
      </c>
    </row>
    <row r="19" spans="1:10" ht="12" x14ac:dyDescent="0.3">
      <c r="A19" s="458" t="s">
        <v>8469</v>
      </c>
      <c r="B19" s="8" t="s">
        <v>8470</v>
      </c>
      <c r="H19" s="2206" t="str">
        <f>A5</f>
        <v>c13.5</v>
      </c>
      <c r="I19" s="2207">
        <f>'Tax due (c12)'!J119-I9</f>
        <v>0</v>
      </c>
      <c r="J19" s="23" t="s">
        <v>7220</v>
      </c>
    </row>
    <row r="20" spans="1:10" x14ac:dyDescent="0.25">
      <c r="A20" s="2178" t="b">
        <f>('INC(2)'!D14+EMP!D5+EMP!L5+EMP!D8+EMP!L8+MOR!D20)&gt;0</f>
        <v>0</v>
      </c>
      <c r="C20" s="8" t="str">
        <f>"else "&amp;H19&amp;" = 0 (zero)"</f>
        <v>else c13.5 = 0 (zero)</v>
      </c>
    </row>
    <row r="21" spans="1:10" x14ac:dyDescent="0.25">
      <c r="A21" s="458" t="s">
        <v>8471</v>
      </c>
      <c r="C21" s="8" t="s">
        <v>75</v>
      </c>
    </row>
    <row r="22" spans="1:10" x14ac:dyDescent="0.25">
      <c r="A22" s="2178" t="b">
        <v>0</v>
      </c>
    </row>
    <row r="23" spans="1:10" x14ac:dyDescent="0.25">
      <c r="B23" s="8" t="s">
        <v>8472</v>
      </c>
      <c r="I23" s="9" t="str">
        <f>"from "&amp;'Tax due (c12)'!I47</f>
        <v>from c12.3</v>
      </c>
    </row>
    <row r="24" spans="1:10" x14ac:dyDescent="0.25">
      <c r="B24" s="8" t="s">
        <v>444</v>
      </c>
      <c r="H24" s="2206" t="str">
        <f>A6</f>
        <v>c13.6</v>
      </c>
      <c r="I24" s="2207">
        <f>'Tax due (c12)'!J47</f>
        <v>0</v>
      </c>
    </row>
    <row r="26" spans="1:10" x14ac:dyDescent="0.25">
      <c r="I26" s="8" t="str">
        <f>H19&amp;" minus "&amp;H24</f>
        <v>c13.5 minus c13.6</v>
      </c>
    </row>
    <row r="27" spans="1:10" ht="12" x14ac:dyDescent="0.3">
      <c r="B27" s="8" t="s">
        <v>8473</v>
      </c>
      <c r="H27" s="2206" t="str">
        <f>A7</f>
        <v>c13.7</v>
      </c>
      <c r="I27" s="2207">
        <f>I19-I24</f>
        <v>0</v>
      </c>
      <c r="J27" s="23" t="s">
        <v>7220</v>
      </c>
    </row>
    <row r="29" spans="1:10" x14ac:dyDescent="0.25">
      <c r="B29" s="12" t="s">
        <v>8474</v>
      </c>
    </row>
    <row r="30" spans="1:10" x14ac:dyDescent="0.25">
      <c r="B30" s="12" t="s">
        <v>8475</v>
      </c>
      <c r="D30" s="8" t="str">
        <f>"If box "&amp;H27&amp;" is positive and is less than "&amp;DOLLAR(coded_out_limit,0)&amp;" and you want this included in your "&amp;next_year&amp;" tax code, copy the"</f>
        <v>If box c13.7 is positive and is less than £3,000 and you want this included in your 2026-27 tax code, copy the</v>
      </c>
    </row>
    <row r="31" spans="1:10" x14ac:dyDescent="0.25">
      <c r="D31" s="8" t="str">
        <f>"figure in box "&amp;H27&amp;" to box "&amp;H32</f>
        <v>figure in box c13.7 to box c13.8</v>
      </c>
      <c r="I31" s="9"/>
    </row>
    <row r="32" spans="1:10" ht="12" customHeight="1" x14ac:dyDescent="0.25">
      <c r="D32" s="8" t="s">
        <v>7143</v>
      </c>
      <c r="H32" s="2206" t="str">
        <f>A8</f>
        <v>c13.8</v>
      </c>
      <c r="I32" s="2182">
        <f>IF(AND(PAYE_case,to_be_coded,before_30_sep,'POAs (c13)'!I19&lt;coded_out_limit),'POAs (c13)'!I27,0)</f>
        <v>0</v>
      </c>
    </row>
    <row r="33" spans="2:13" ht="12" customHeight="1" x14ac:dyDescent="0.25">
      <c r="D33" s="8" t="str">
        <f>" leave box "&amp;H32&amp;" blank"</f>
        <v xml:space="preserve"> leave box c13.8 blank</v>
      </c>
    </row>
    <row r="34" spans="2:13" ht="12" customHeight="1" x14ac:dyDescent="0.25">
      <c r="D34" s="8" t="s">
        <v>75</v>
      </c>
    </row>
    <row r="35" spans="2:13" ht="12" customHeight="1" x14ac:dyDescent="0.25">
      <c r="I35" s="83" t="str">
        <f>H3&amp;" + "&amp;H6&amp;" + "&amp;H9&amp;" + "&amp;H12&amp;" + "&amp;H32</f>
        <v>c13.1 + c13.2 + c13.3 + c13.4 + c13.8</v>
      </c>
    </row>
    <row r="36" spans="2:13" ht="12" customHeight="1" x14ac:dyDescent="0.25">
      <c r="B36" s="8" t="s">
        <v>8476</v>
      </c>
      <c r="H36" s="2206" t="str">
        <f>A9</f>
        <v>c13.9</v>
      </c>
      <c r="I36" s="2182">
        <f>I3+I6+I9+I12+I32</f>
        <v>0</v>
      </c>
    </row>
    <row r="38" spans="2:13" x14ac:dyDescent="0.25">
      <c r="B38" s="8" t="s">
        <v>8464</v>
      </c>
      <c r="I38" s="9" t="str">
        <f>'Tax due (c12)'!I119&amp;" minus "&amp;H36</f>
        <v>c12.21 minus c13.9</v>
      </c>
    </row>
    <row r="39" spans="2:13" ht="12" x14ac:dyDescent="0.3">
      <c r="B39" s="8" t="s">
        <v>8477</v>
      </c>
      <c r="H39" s="2206" t="str">
        <f>A10</f>
        <v>c13.10</v>
      </c>
      <c r="I39" s="2207">
        <f>'Tax due (c12)'!J119-I36</f>
        <v>0</v>
      </c>
      <c r="J39" s="23" t="s">
        <v>7220</v>
      </c>
    </row>
    <row r="41" spans="2:13" ht="12" x14ac:dyDescent="0.3">
      <c r="B41" s="8" t="s">
        <v>8478</v>
      </c>
      <c r="I41" s="1082" t="str">
        <f>'Tax due (c12)'!L91&amp;" minus ("&amp;'Tax due (c12)'!I47&amp;" + "&amp;'Tax due (c12)'!I61&amp;" + "&amp;'Tax due (c12)'!I64&amp;" + "&amp;'POAs (c13)'!H32&amp;" + "&amp;'Tax adj (c9)'!I183&amp;")"</f>
        <v>c12.16 minus (c12.3 + c12.7 + c12.7b + c13.8 + c9.39h)</v>
      </c>
      <c r="J41" s="1065"/>
      <c r="K41" s="1065"/>
    </row>
    <row r="42" spans="2:13" ht="12" x14ac:dyDescent="0.3">
      <c r="B42" s="8" t="s">
        <v>8479</v>
      </c>
      <c r="H42" s="2206" t="str">
        <f>A11</f>
        <v>c13.11</v>
      </c>
      <c r="I42" s="2207">
        <f>'Tax due (c12)'!M91-('Tax due (c12)'!J47+'Tax due (c12)'!J61+'Tax due (c12)'!J64+I32+'Tax adj (c9)'!J183)</f>
        <v>0</v>
      </c>
      <c r="J42" s="23" t="s">
        <v>7220</v>
      </c>
      <c r="L42" s="35"/>
      <c r="M42" s="35"/>
    </row>
    <row r="43" spans="2:13" x14ac:dyDescent="0.25">
      <c r="I43" s="167"/>
    </row>
    <row r="44" spans="2:13" x14ac:dyDescent="0.25">
      <c r="E44" s="22" t="str">
        <f>"if box "&amp;H42&amp;" is &lt; POA_limit ("&amp;DOLLAR(POA_limit,0)&amp;")"</f>
        <v>if box c13.11 is &lt; POA_limit (£1,000)</v>
      </c>
    </row>
    <row r="45" spans="2:13" x14ac:dyDescent="0.25">
      <c r="E45" s="22" t="str">
        <f>"set boxes "&amp;H48&amp;" to "&amp;H71&amp;" to 0 (zero)"</f>
        <v>set boxes c13.12 to c13.16 to 0 (zero)</v>
      </c>
    </row>
    <row r="46" spans="2:13" x14ac:dyDescent="0.25">
      <c r="E46" s="8" t="s">
        <v>7143</v>
      </c>
    </row>
    <row r="47" spans="2:13" x14ac:dyDescent="0.25">
      <c r="B47" s="8" t="s">
        <v>8480</v>
      </c>
      <c r="G47" s="1065"/>
      <c r="H47" s="1065"/>
      <c r="I47" s="1067" t="str">
        <f>"("&amp;'Tax due (c12)'!L32&amp;" + "&amp;'Tax due (c12)'!I39&amp;" + "&amp;'Tax due (c12)'!I70&amp;") minus "&amp;'Tax adj (c9)'!I183</f>
        <v>(c12.1e + c12.2 + c12.9) minus c9.39h</v>
      </c>
    </row>
    <row r="48" spans="2:13" ht="15.5" x14ac:dyDescent="0.35">
      <c r="B48" s="8" t="s">
        <v>8481</v>
      </c>
      <c r="H48" s="2206" t="str">
        <f>A12</f>
        <v>c13.12</v>
      </c>
      <c r="I48" s="2182">
        <f>IF(I42&lt;POA_limit,0,('Tax due (c12)'!M32+'Tax due (c12)'!J39+'Tax due (c12)'!J70)-'Tax adj (c9)'!J183)</f>
        <v>0</v>
      </c>
      <c r="K48" s="188"/>
    </row>
    <row r="49" spans="2:11" x14ac:dyDescent="0.25">
      <c r="K49" s="156"/>
    </row>
    <row r="50" spans="2:11" x14ac:dyDescent="0.25">
      <c r="I50" s="9" t="str">
        <f>H48&amp;" × 20%"</f>
        <v>c13.12 × 20%</v>
      </c>
    </row>
    <row r="51" spans="2:11" x14ac:dyDescent="0.25">
      <c r="H51" s="2206" t="str">
        <f>A13</f>
        <v>c13.13</v>
      </c>
      <c r="I51" s="2182">
        <f>IF(I42&lt;POA_limit,0,I48*20%)</f>
        <v>0</v>
      </c>
    </row>
    <row r="53" spans="2:11" x14ac:dyDescent="0.25">
      <c r="I53" s="138" t="str">
        <f>"if box "&amp;CAL&amp;CAL!C14&amp;" ticked "</f>
        <v xml:space="preserve">if box CAL10 ticked </v>
      </c>
    </row>
    <row r="54" spans="2:11" x14ac:dyDescent="0.25">
      <c r="B54" s="22" t="s">
        <v>6596</v>
      </c>
      <c r="I54" s="138" t="str">
        <f>H58&amp;" = box "&amp;CAL&amp;CAL!G14</f>
        <v>c13.14 = box CAL11</v>
      </c>
    </row>
    <row r="55" spans="2:11" x14ac:dyDescent="0.25">
      <c r="I55" s="138" t="s">
        <v>7143</v>
      </c>
    </row>
    <row r="56" spans="2:11" x14ac:dyDescent="0.25">
      <c r="I56" s="138" t="str">
        <f>H58&amp;" = 0 (zero)"</f>
        <v>c13.14 = 0 (zero)</v>
      </c>
    </row>
    <row r="57" spans="2:11" x14ac:dyDescent="0.25">
      <c r="I57" s="138" t="s">
        <v>75</v>
      </c>
    </row>
    <row r="58" spans="2:11" x14ac:dyDescent="0.25">
      <c r="G58" s="138"/>
      <c r="H58" s="2206" t="str">
        <f>A14</f>
        <v>c13.14</v>
      </c>
      <c r="I58" s="2182">
        <f>IF(I42&lt;POA_limit,0,IF(claim_to_reduce,CAL!H15,0))</f>
        <v>0</v>
      </c>
    </row>
    <row r="60" spans="2:11" x14ac:dyDescent="0.25">
      <c r="I60" s="9" t="str">
        <f>H42&amp;" x 50%"</f>
        <v>c13.11 x 50%</v>
      </c>
    </row>
    <row r="61" spans="2:11" x14ac:dyDescent="0.25">
      <c r="H61" s="2206" t="str">
        <f>A15</f>
        <v>c13.15</v>
      </c>
      <c r="I61" s="2182">
        <f>IF(I42&lt;POA_limit,0,TRUNC(I42*50%,2))</f>
        <v>0</v>
      </c>
    </row>
    <row r="63" spans="2:11" x14ac:dyDescent="0.25">
      <c r="E63" s="9" t="str">
        <f>"if box "&amp;H51&amp;" minus "&amp;H42&amp;" = 0"</f>
        <v>if box c13.13 minus c13.11 = 0</v>
      </c>
    </row>
    <row r="64" spans="2:11" x14ac:dyDescent="0.25">
      <c r="E64" s="9" t="str">
        <f>H71&amp;" = 0"</f>
        <v>c13.16 = 0</v>
      </c>
    </row>
    <row r="65" spans="2:10" x14ac:dyDescent="0.25">
      <c r="E65" s="8" t="s">
        <v>7143</v>
      </c>
    </row>
    <row r="66" spans="2:10" x14ac:dyDescent="0.25">
      <c r="I66" s="9" t="str">
        <f>"if box "&amp;CAL&amp;CAL!C14&amp;" ticked "</f>
        <v xml:space="preserve">if box CAL10 ticked </v>
      </c>
    </row>
    <row r="67" spans="2:10" x14ac:dyDescent="0.25">
      <c r="I67" s="433" t="str">
        <f>H71&amp;" = lower of "&amp;H58&amp;" and "&amp;H61</f>
        <v>c13.16 = lower of c13.14 and c13.15</v>
      </c>
    </row>
    <row r="68" spans="2:10" x14ac:dyDescent="0.25">
      <c r="I68" s="8" t="s">
        <v>7143</v>
      </c>
    </row>
    <row r="69" spans="2:10" x14ac:dyDescent="0.25">
      <c r="I69" s="9" t="str">
        <f>H71&amp;" = "&amp;H61</f>
        <v>c13.16 = c13.15</v>
      </c>
    </row>
    <row r="70" spans="2:10" x14ac:dyDescent="0.25">
      <c r="I70" s="8" t="s">
        <v>75</v>
      </c>
    </row>
    <row r="71" spans="2:10" ht="12.5" x14ac:dyDescent="0.25">
      <c r="B71" s="178" t="str">
        <f>"Each POA for "&amp;next_year</f>
        <v>Each POA for 2026-27</v>
      </c>
      <c r="H71" s="2206" t="str">
        <f>A16</f>
        <v>c13.16</v>
      </c>
      <c r="I71" s="2182">
        <f>IF(I42&lt;POA_limit,0,IF(I51&gt;I42,0,IF(claim_to_reduce,MIN(I58,I61),I61)))</f>
        <v>0</v>
      </c>
    </row>
    <row r="72" spans="2:10" x14ac:dyDescent="0.25">
      <c r="E72" s="127" t="s">
        <v>75</v>
      </c>
    </row>
    <row r="73" spans="2:10" x14ac:dyDescent="0.25">
      <c r="E73" s="8" t="s">
        <v>75</v>
      </c>
    </row>
    <row r="74" spans="2:10" x14ac:dyDescent="0.25">
      <c r="B74" s="12" t="str">
        <f>"Total Amount Payable on 31 January "&amp;BCD_year</f>
        <v>Total Amount Payable on 31 January 2027</v>
      </c>
      <c r="I74" s="9" t="str">
        <f>H39&amp;" + "&amp;H71</f>
        <v>c13.10 + c13.16</v>
      </c>
    </row>
    <row r="75" spans="2:10" x14ac:dyDescent="0.25">
      <c r="H75" s="2206" t="str">
        <f>A17</f>
        <v>c13.17</v>
      </c>
      <c r="I75" s="2207">
        <f>I39+I71</f>
        <v>0</v>
      </c>
      <c r="J75" s="8" t="s">
        <v>7220</v>
      </c>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
  <dimension ref="A1:Z165"/>
  <sheetViews>
    <sheetView showGridLines="0" topLeftCell="B1" workbookViewId="0">
      <selection activeCell="B1" sqref="B1"/>
    </sheetView>
  </sheetViews>
  <sheetFormatPr defaultColWidth="9.1796875" defaultRowHeight="11.5" x14ac:dyDescent="0.25"/>
  <cols>
    <col min="1" max="1" width="9.54296875" style="8" hidden="1" customWidth="1"/>
    <col min="2" max="2" width="2.54296875" style="8" customWidth="1"/>
    <col min="3" max="3" width="34.453125" style="8" customWidth="1"/>
    <col min="4" max="4" width="9" style="8" customWidth="1"/>
    <col min="5" max="5" width="5.81640625" style="8" customWidth="1"/>
    <col min="6" max="6" width="12.453125" style="8" customWidth="1"/>
    <col min="7" max="8" width="5.81640625" style="8" customWidth="1"/>
    <col min="9" max="9" width="12.453125" style="8" customWidth="1"/>
    <col min="10" max="10" width="3.1796875" style="8" customWidth="1"/>
    <col min="11" max="11" width="6.54296875" style="8" customWidth="1"/>
    <col min="12" max="12" width="13.1796875" style="8" customWidth="1"/>
    <col min="13" max="13" width="6.1796875" style="8" customWidth="1"/>
    <col min="14" max="14" width="32.453125" style="8" customWidth="1"/>
    <col min="15" max="15" width="10.81640625" style="8" customWidth="1"/>
    <col min="16" max="16" width="1.81640625" style="8" customWidth="1"/>
    <col min="17" max="17" width="4.54296875" style="8" customWidth="1"/>
    <col min="18" max="18" width="11" style="8" customWidth="1"/>
    <col min="19" max="19" width="2.81640625" style="8" customWidth="1"/>
    <col min="20" max="20" width="9" style="8" customWidth="1"/>
    <col min="21" max="21" width="9.1796875" style="8"/>
    <col min="22" max="23" width="4.54296875" style="8" customWidth="1"/>
    <col min="24" max="24" width="9.1796875" style="8"/>
    <col min="25" max="26" width="4.54296875" style="8" customWidth="1"/>
    <col min="27" max="16384" width="9.1796875" style="8"/>
  </cols>
  <sheetData>
    <row r="1" spans="1:12" ht="18" x14ac:dyDescent="0.4">
      <c r="A1" s="2029" t="s">
        <v>8482</v>
      </c>
      <c r="B1" s="484" t="str">
        <f>"Calculate personal allowance due if your income is "&amp;DOLLAR(PA_taper_limit,0)&amp;" or more"</f>
        <v>Calculate personal allowance due if your income is £100,000 or more</v>
      </c>
    </row>
    <row r="2" spans="1:12" x14ac:dyDescent="0.25">
      <c r="A2" s="2029" t="s">
        <v>8483</v>
      </c>
      <c r="G2" s="2144" t="s">
        <v>7019</v>
      </c>
      <c r="H2" s="2205"/>
      <c r="I2" s="2205"/>
      <c r="J2" s="2205"/>
      <c r="K2" s="2147"/>
    </row>
    <row r="3" spans="1:12" x14ac:dyDescent="0.25">
      <c r="A3" s="2029" t="s">
        <v>8484</v>
      </c>
    </row>
    <row r="4" spans="1:12" x14ac:dyDescent="0.25">
      <c r="A4" s="2029" t="s">
        <v>8485</v>
      </c>
      <c r="L4" s="9" t="str">
        <f>"from "&amp;'Deductions (c4)'!H401</f>
        <v>from c4.63</v>
      </c>
    </row>
    <row r="5" spans="1:12" x14ac:dyDescent="0.25">
      <c r="A5" s="2029" t="s">
        <v>8486</v>
      </c>
      <c r="C5" s="22" t="s">
        <v>8487</v>
      </c>
      <c r="K5" s="2210" t="str">
        <f>A1</f>
        <v>c14.1</v>
      </c>
      <c r="L5" s="2149">
        <f>TRUNC(MAX(0,'Deductions (c4)'!I401),0)</f>
        <v>0</v>
      </c>
    </row>
    <row r="6" spans="1:12" x14ac:dyDescent="0.25">
      <c r="A6" s="2029" t="s">
        <v>8488</v>
      </c>
    </row>
    <row r="7" spans="1:12" x14ac:dyDescent="0.25">
      <c r="L7" s="9" t="str">
        <f>"PA_taper_limit ("&amp;DOLLAR(PA_taper_limit,0)&amp;")"</f>
        <v>PA_taper_limit (£100,000)</v>
      </c>
    </row>
    <row r="8" spans="1:12" x14ac:dyDescent="0.25">
      <c r="C8" s="22" t="s">
        <v>8489</v>
      </c>
      <c r="K8" s="2210" t="str">
        <f>A2</f>
        <v>c14.2</v>
      </c>
      <c r="L8" s="2149">
        <f>PA_taper_limit</f>
        <v>100000</v>
      </c>
    </row>
    <row r="9" spans="1:12" x14ac:dyDescent="0.25">
      <c r="C9" s="22"/>
    </row>
    <row r="10" spans="1:12" x14ac:dyDescent="0.25">
      <c r="L10" s="9" t="str">
        <f>K5&amp;" minus "&amp;K8</f>
        <v>c14.1 minus c14.2</v>
      </c>
    </row>
    <row r="11" spans="1:12" x14ac:dyDescent="0.25">
      <c r="K11" s="2210" t="str">
        <f>A3</f>
        <v>c14.3</v>
      </c>
      <c r="L11" s="2149">
        <f>MAX(0,L5-L8)</f>
        <v>0</v>
      </c>
    </row>
    <row r="13" spans="1:12" x14ac:dyDescent="0.25">
      <c r="C13" s="12" t="s">
        <v>330</v>
      </c>
      <c r="D13" s="210"/>
      <c r="E13" s="210"/>
      <c r="F13" s="210"/>
      <c r="G13" s="210"/>
      <c r="H13" s="210"/>
      <c r="I13" s="210"/>
      <c r="J13" s="210"/>
      <c r="K13" s="215"/>
      <c r="L13" s="9" t="str">
        <f>"P_A ("&amp;DOLLAR(P_A,0)&amp;")"</f>
        <v>P_A (£12,570)</v>
      </c>
    </row>
    <row r="14" spans="1:12" x14ac:dyDescent="0.25">
      <c r="C14" s="382"/>
      <c r="D14" s="210"/>
      <c r="E14" s="210"/>
      <c r="F14" s="210"/>
      <c r="G14" s="210"/>
      <c r="H14" s="210"/>
      <c r="I14" s="210"/>
      <c r="J14" s="215"/>
      <c r="K14" s="2210" t="str">
        <f>A4</f>
        <v>c14.4</v>
      </c>
      <c r="L14" s="2149">
        <f>P_A</f>
        <v>12570</v>
      </c>
    </row>
    <row r="15" spans="1:12" x14ac:dyDescent="0.25">
      <c r="C15" s="382"/>
      <c r="D15" s="210"/>
      <c r="E15" s="210"/>
      <c r="F15" s="210"/>
      <c r="G15" s="210"/>
      <c r="H15" s="210"/>
      <c r="I15" s="210"/>
      <c r="J15" s="215"/>
      <c r="K15" s="187"/>
      <c r="L15" s="9" t="str">
        <f>"copy to "&amp;E58</f>
        <v>copy to c15.6</v>
      </c>
    </row>
    <row r="16" spans="1:12" x14ac:dyDescent="0.25">
      <c r="C16" s="210"/>
      <c r="D16" s="210"/>
      <c r="E16" s="210"/>
      <c r="F16" s="210"/>
      <c r="G16" s="210"/>
      <c r="H16" s="210"/>
      <c r="I16" s="210"/>
      <c r="J16" s="210"/>
    </row>
    <row r="17" spans="1:26" x14ac:dyDescent="0.25">
      <c r="L17" s="9" t="str">
        <f>K11&amp;" × AA_excess ("&amp;AA_excess * 100&amp;"%)"</f>
        <v>c14.3 × AA_excess (50%)</v>
      </c>
    </row>
    <row r="18" spans="1:26" x14ac:dyDescent="0.25">
      <c r="K18" s="2210" t="str">
        <f>A5</f>
        <v>c14.5</v>
      </c>
      <c r="L18" s="2149">
        <f>TRUNC(L11*AA_excess,0)</f>
        <v>0</v>
      </c>
      <c r="M18" s="197" t="s">
        <v>7029</v>
      </c>
    </row>
    <row r="20" spans="1:26" x14ac:dyDescent="0.25">
      <c r="C20" s="2243" t="s">
        <v>8490</v>
      </c>
      <c r="D20" s="2228"/>
      <c r="E20" s="2228"/>
      <c r="F20" s="2228"/>
      <c r="G20" s="2228"/>
      <c r="H20" s="2228"/>
      <c r="I20" s="2228"/>
      <c r="J20" s="2228"/>
      <c r="K20" s="2228"/>
      <c r="L20" s="2228"/>
      <c r="M20" s="2174"/>
    </row>
    <row r="21" spans="1:26" x14ac:dyDescent="0.25">
      <c r="C21" s="240"/>
      <c r="D21" s="221"/>
      <c r="E21" s="221"/>
      <c r="F21" s="221"/>
      <c r="G21" s="221"/>
      <c r="H21" s="221"/>
      <c r="I21" s="221"/>
      <c r="J21" s="221"/>
      <c r="K21" s="221"/>
      <c r="L21" s="457" t="s">
        <v>8491</v>
      </c>
      <c r="M21" s="241"/>
    </row>
    <row r="22" spans="1:26" x14ac:dyDescent="0.25">
      <c r="C22" s="240"/>
      <c r="D22" s="221"/>
      <c r="E22" s="221"/>
      <c r="F22" s="221"/>
      <c r="G22" s="221"/>
      <c r="H22" s="221"/>
      <c r="I22" s="221"/>
      <c r="J22" s="221"/>
      <c r="K22" s="2244"/>
      <c r="L22" s="2179">
        <f>IF(in_year_rept,'Add pages'!I36,0)</f>
        <v>0</v>
      </c>
      <c r="M22" s="241"/>
    </row>
    <row r="23" spans="1:26" x14ac:dyDescent="0.25">
      <c r="C23" s="2245"/>
      <c r="D23" s="2233"/>
      <c r="E23" s="2233"/>
      <c r="F23" s="2233"/>
      <c r="G23" s="2233"/>
      <c r="H23" s="2233"/>
      <c r="I23" s="2233"/>
      <c r="J23" s="2233"/>
      <c r="K23" s="2233"/>
      <c r="L23" s="2233"/>
      <c r="M23" s="2177"/>
    </row>
    <row r="25" spans="1:26" x14ac:dyDescent="0.25">
      <c r="L25" s="9" t="str">
        <f>K14&amp;" minus "&amp;K18</f>
        <v>c14.4 minus c14.5</v>
      </c>
    </row>
    <row r="26" spans="1:26" x14ac:dyDescent="0.25">
      <c r="C26" s="8" t="s">
        <v>8492</v>
      </c>
      <c r="K26" s="2210" t="str">
        <f>A6</f>
        <v>c14.6</v>
      </c>
      <c r="L26" s="2149">
        <f>IF(in_year_rept,MIN(L22,MAX(0,L14-L18)),MAX(0,L14-L18))</f>
        <v>12570</v>
      </c>
    </row>
    <row r="27" spans="1:26" x14ac:dyDescent="0.25">
      <c r="L27" s="9" t="str">
        <f>"copy to box "&amp;'Deductions (c4)'!H435&amp;" and "&amp;E61</f>
        <v>copy to box c4.64 and c15.7</v>
      </c>
    </row>
    <row r="28" spans="1:26" x14ac:dyDescent="0.25">
      <c r="C28" s="2151"/>
      <c r="D28" s="2151"/>
      <c r="E28" s="2151"/>
      <c r="F28" s="2151"/>
      <c r="G28" s="2151"/>
      <c r="H28" s="2151"/>
      <c r="I28" s="2151"/>
      <c r="J28" s="2151"/>
      <c r="K28" s="2151"/>
      <c r="L28" s="2151"/>
      <c r="M28" s="2151"/>
      <c r="N28" s="2151"/>
      <c r="O28" s="2151"/>
      <c r="P28" s="2151"/>
      <c r="Q28" s="2151"/>
      <c r="R28" s="2151"/>
      <c r="S28" s="2151"/>
      <c r="T28" s="2151"/>
      <c r="U28" s="2151"/>
      <c r="V28" s="2151"/>
      <c r="W28" s="2151"/>
      <c r="X28" s="2151"/>
      <c r="Y28" s="2151"/>
      <c r="Z28" s="2151"/>
    </row>
    <row r="30" spans="1:26" x14ac:dyDescent="0.25">
      <c r="H30" s="2144" t="s">
        <v>7019</v>
      </c>
      <c r="I30" s="2205"/>
      <c r="J30" s="2205"/>
      <c r="K30" s="2205"/>
      <c r="L30" s="2147"/>
    </row>
    <row r="32" spans="1:26" x14ac:dyDescent="0.25">
      <c r="A32" s="2029" t="s">
        <v>8493</v>
      </c>
      <c r="C32" s="12"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N32" s="2246" t="str">
        <f>"Only complete these boxes if either you or your wife (or a former wife you were married to in "&amp;tax_year&amp;" were born before 6 April "&amp;MCA_year</f>
        <v>Only complete these boxes if either you or your wife (or a former wife you were married to in 2025-26 were born before 6 April 1935</v>
      </c>
      <c r="O32" s="2247"/>
      <c r="P32" s="2247"/>
      <c r="Q32" s="2185"/>
      <c r="R32" s="2185"/>
      <c r="S32" s="2185"/>
      <c r="T32" s="2185"/>
      <c r="U32" s="2185"/>
      <c r="V32" s="2185"/>
      <c r="W32" s="2185"/>
      <c r="X32" s="2185"/>
      <c r="Y32" s="2185"/>
      <c r="Z32" s="2248"/>
    </row>
    <row r="33" spans="1:26" x14ac:dyDescent="0.25">
      <c r="A33" s="2029" t="s">
        <v>8494</v>
      </c>
      <c r="C33" s="12"/>
      <c r="N33" s="462" t="s">
        <v>8495</v>
      </c>
      <c r="O33" s="458"/>
      <c r="P33" s="458"/>
      <c r="R33" s="26"/>
      <c r="Z33" s="249"/>
    </row>
    <row r="34" spans="1:26" x14ac:dyDescent="0.25">
      <c r="A34" s="2029" t="s">
        <v>8496</v>
      </c>
      <c r="C34" s="8" t="str">
        <f>"If MCA"&amp;MCA!C4&amp;" present then"</f>
        <v>If MCA1 present then</v>
      </c>
      <c r="N34" s="462" t="s">
        <v>8497</v>
      </c>
      <c r="O34" s="458"/>
      <c r="P34" s="458"/>
      <c r="Z34" s="249"/>
    </row>
    <row r="35" spans="1:26" ht="11.25" customHeight="1" x14ac:dyDescent="0.25">
      <c r="A35" s="2029" t="s">
        <v>8498</v>
      </c>
      <c r="C35" s="8" t="str">
        <f>"DOB for Married Couple’s Allowance = earliest date from box "&amp;YPD&amp;'INC(1)'!C4&amp;" or box MCA"&amp;MCA!C8&amp;" or box MCA"&amp;MCA!C9</f>
        <v>DOB for Married Couple’s Allowance = earliest date from box YPD1 or box MCA2 or box MCA5</v>
      </c>
      <c r="N35" s="463"/>
      <c r="O35" s="458"/>
      <c r="P35" s="458"/>
      <c r="R35" s="26"/>
      <c r="Z35" s="249"/>
    </row>
    <row r="36" spans="1:26" ht="11.25" customHeight="1" x14ac:dyDescent="0.25">
      <c r="A36" s="2029" t="s">
        <v>8499</v>
      </c>
      <c r="N36" s="464" t="str">
        <f>"Enter the maximum Married Couples Allowance from "&amp;N37</f>
        <v>Enter the maximum Married Couples Allowance from Table 1</v>
      </c>
      <c r="O36" s="458"/>
      <c r="P36" s="458"/>
      <c r="Z36" s="249"/>
    </row>
    <row r="37" spans="1:26" ht="11.25" customHeight="1" x14ac:dyDescent="0.25">
      <c r="A37" s="2029" t="s">
        <v>8500</v>
      </c>
      <c r="L37" s="9" t="str">
        <f>"If DOB for Married Couple's Allowance is Null or after 5 April "&amp;MCA_year</f>
        <v>If DOB for Married Couple's Allowance is Null or after 5 April 1935</v>
      </c>
      <c r="N37" s="465" t="s">
        <v>8501</v>
      </c>
      <c r="O37" s="458"/>
      <c r="P37" s="458"/>
      <c r="Z37" s="249"/>
    </row>
    <row r="38" spans="1:26" ht="11.25" customHeight="1" x14ac:dyDescent="0.25">
      <c r="A38" s="2029" t="s">
        <v>8502</v>
      </c>
      <c r="L38" s="9" t="str">
        <f>K43&amp;" = 0 (zero)"</f>
        <v>c15.1 = 0 (zero)</v>
      </c>
      <c r="N38" s="2246" t="s">
        <v>8503</v>
      </c>
      <c r="O38" s="2249" t="s">
        <v>8504</v>
      </c>
      <c r="P38" s="458"/>
      <c r="Z38" s="249"/>
    </row>
    <row r="39" spans="1:26" ht="11.25" customHeight="1" x14ac:dyDescent="0.25">
      <c r="A39" s="2029" t="s">
        <v>8505</v>
      </c>
      <c r="L39" s="8" t="s">
        <v>7143</v>
      </c>
      <c r="N39" s="464" t="s">
        <v>8506</v>
      </c>
      <c r="O39" s="466" t="s">
        <v>8507</v>
      </c>
      <c r="P39" s="458"/>
      <c r="Z39" s="249"/>
    </row>
    <row r="40" spans="1:26" ht="11.25" customHeight="1" x14ac:dyDescent="0.25">
      <c r="A40" s="2029" t="s">
        <v>8508</v>
      </c>
      <c r="L40" s="9" t="str">
        <f>"(DOB for Married Couple's Allowance is before 6 April "&amp;MCA_year&amp;")"</f>
        <v>(DOB for Married Couple's Allowance is before 6 April 1935)</v>
      </c>
      <c r="N40" s="464" t="s">
        <v>8509</v>
      </c>
      <c r="O40" s="466" t="s">
        <v>8510</v>
      </c>
      <c r="P40" s="458"/>
      <c r="Z40" s="249"/>
    </row>
    <row r="41" spans="1:26" ht="11.25" customHeight="1" x14ac:dyDescent="0.25">
      <c r="A41" s="2029" t="s">
        <v>8511</v>
      </c>
      <c r="L41" s="563" t="str">
        <f>K43&amp;" = H_MCA ("&amp;DOLLAR(H_MCA,0)&amp;")"</f>
        <v>c15.1 = H_MCA (£11,270)</v>
      </c>
      <c r="N41" s="464" t="s">
        <v>8512</v>
      </c>
      <c r="O41" s="466" t="s">
        <v>8513</v>
      </c>
      <c r="P41" s="458"/>
      <c r="Z41" s="249"/>
    </row>
    <row r="42" spans="1:26" x14ac:dyDescent="0.25">
      <c r="A42" s="2029" t="s">
        <v>8514</v>
      </c>
      <c r="I42" s="9"/>
      <c r="L42" s="8" t="s">
        <v>75</v>
      </c>
      <c r="N42" s="464"/>
      <c r="O42" s="467"/>
      <c r="P42" s="458"/>
      <c r="Z42" s="249"/>
    </row>
    <row r="43" spans="1:26" x14ac:dyDescent="0.25">
      <c r="A43" s="2029" t="s">
        <v>8515</v>
      </c>
      <c r="C43" s="8" t="s">
        <v>6679</v>
      </c>
      <c r="K43" s="2210" t="str">
        <f>A32</f>
        <v>c15.1</v>
      </c>
      <c r="L43" s="2029">
        <f>IF(Older_spouse=1,H_MCA,0)</f>
        <v>0</v>
      </c>
      <c r="N43" s="464" t="str">
        <f>"After 5 April "&amp;MCA_year</f>
        <v>After 5 April 1935</v>
      </c>
      <c r="O43" s="468">
        <v>0</v>
      </c>
      <c r="P43" s="458"/>
      <c r="Z43" s="249"/>
    </row>
    <row r="44" spans="1:26" x14ac:dyDescent="0.25">
      <c r="A44" s="2029" t="s">
        <v>8516</v>
      </c>
      <c r="N44" s="464"/>
      <c r="O44" s="467"/>
      <c r="P44" s="458"/>
      <c r="Z44" s="249"/>
    </row>
    <row r="45" spans="1:26" x14ac:dyDescent="0.25">
      <c r="A45" s="2029" t="s">
        <v>8517</v>
      </c>
      <c r="I45" s="9" t="str">
        <f>"from "&amp;'Deductions (c4)'!H401</f>
        <v>from c4.63</v>
      </c>
      <c r="N45" s="2250" t="str">
        <f>"Before 6 April "&amp;MCA_year</f>
        <v>Before 6 April 1935</v>
      </c>
      <c r="O45" s="2251">
        <f>H_MCA</f>
        <v>11270</v>
      </c>
      <c r="P45" s="458"/>
      <c r="Z45" s="249"/>
    </row>
    <row r="46" spans="1:26" ht="12" x14ac:dyDescent="0.3">
      <c r="A46" s="2029" t="s">
        <v>8518</v>
      </c>
      <c r="C46" s="22" t="s">
        <v>7429</v>
      </c>
      <c r="H46" s="2210" t="str">
        <f>A33</f>
        <v>c15.2</v>
      </c>
      <c r="I46" s="2149">
        <f>'Deductions (c4)'!I401</f>
        <v>0</v>
      </c>
      <c r="N46" s="2252"/>
      <c r="O46" s="2253"/>
      <c r="P46" s="2254" t="s">
        <v>8519</v>
      </c>
      <c r="Q46" s="1222"/>
      <c r="R46" s="1222"/>
      <c r="S46" s="1222"/>
      <c r="T46" s="1222"/>
      <c r="U46" s="1222"/>
      <c r="V46" s="1222"/>
      <c r="W46" s="1222"/>
      <c r="X46" s="1222"/>
      <c r="Y46" s="1222"/>
      <c r="Z46" s="2255"/>
    </row>
    <row r="47" spans="1:26" x14ac:dyDescent="0.25">
      <c r="A47" s="2029" t="s">
        <v>8520</v>
      </c>
    </row>
    <row r="48" spans="1:26" x14ac:dyDescent="0.25">
      <c r="A48" s="2029" t="s">
        <v>8521</v>
      </c>
      <c r="I48" s="9" t="str">
        <f>"AA_limit ("&amp;DOLLAR(AA_limit,0)&amp;")"</f>
        <v>AA_limit (£37,700)</v>
      </c>
    </row>
    <row r="49" spans="1:12" x14ac:dyDescent="0.25">
      <c r="A49" s="2029" t="s">
        <v>8522</v>
      </c>
      <c r="C49" s="8" t="s">
        <v>8523</v>
      </c>
      <c r="H49" s="2210" t="str">
        <f>A34</f>
        <v>c15.3</v>
      </c>
      <c r="I49" s="2169">
        <f>AA_limit</f>
        <v>37700</v>
      </c>
    </row>
    <row r="50" spans="1:12" x14ac:dyDescent="0.25">
      <c r="A50" s="2029" t="s">
        <v>8524</v>
      </c>
    </row>
    <row r="51" spans="1:12" x14ac:dyDescent="0.25">
      <c r="A51" s="2029" t="s">
        <v>8525</v>
      </c>
      <c r="I51" s="9" t="str">
        <f>H46&amp;" minus "&amp;H49</f>
        <v>c15.2 minus c15.3</v>
      </c>
    </row>
    <row r="52" spans="1:12" x14ac:dyDescent="0.25">
      <c r="A52" s="2029" t="s">
        <v>8526</v>
      </c>
      <c r="H52" s="2210" t="str">
        <f>A35</f>
        <v>c15.4</v>
      </c>
      <c r="I52" s="2149">
        <f>MAX(0,I46-I49)</f>
        <v>0</v>
      </c>
    </row>
    <row r="54" spans="1:12" x14ac:dyDescent="0.25">
      <c r="I54" s="9" t="str">
        <f>H52&amp;" × AA_excess ("&amp;AA_excess * 100&amp;"%)"</f>
        <v>c15.4 × AA_excess (50%)</v>
      </c>
    </row>
    <row r="55" spans="1:12" x14ac:dyDescent="0.25">
      <c r="H55" s="2210" t="str">
        <f>A36</f>
        <v>c15.5</v>
      </c>
      <c r="I55" s="2149">
        <f>TRUNC(I52*AA_excess,0)</f>
        <v>0</v>
      </c>
      <c r="J55" s="197" t="s">
        <v>7029</v>
      </c>
    </row>
    <row r="57" spans="1:12" x14ac:dyDescent="0.25">
      <c r="F57" s="9" t="str">
        <f>"from "&amp;K14</f>
        <v>from c14.4</v>
      </c>
    </row>
    <row r="58" spans="1:12" x14ac:dyDescent="0.25">
      <c r="E58" s="2210" t="str">
        <f>A37</f>
        <v>c15.6</v>
      </c>
      <c r="F58" s="2029">
        <f>L14</f>
        <v>12570</v>
      </c>
    </row>
    <row r="60" spans="1:12" x14ac:dyDescent="0.25">
      <c r="F60" s="9" t="str">
        <f>"from "&amp;K26</f>
        <v>from c14.6</v>
      </c>
      <c r="I60" s="9" t="str">
        <f>E58&amp;" minus "&amp;E61</f>
        <v>c15.6 minus c15.7</v>
      </c>
    </row>
    <row r="61" spans="1:12" x14ac:dyDescent="0.25">
      <c r="E61" s="2210" t="str">
        <f>A38</f>
        <v>c15.7</v>
      </c>
      <c r="F61" s="2149">
        <f>L26</f>
        <v>12570</v>
      </c>
      <c r="H61" s="2210" t="str">
        <f>A39</f>
        <v>c15.8</v>
      </c>
      <c r="I61" s="2149">
        <f>MAX(0,F58-F61)</f>
        <v>0</v>
      </c>
    </row>
    <row r="63" spans="1:12" x14ac:dyDescent="0.25">
      <c r="L63" s="9" t="str">
        <f>H55&amp;" minus "&amp;H61</f>
        <v>c15.5 minus c15.8</v>
      </c>
    </row>
    <row r="64" spans="1:12" x14ac:dyDescent="0.25">
      <c r="K64" s="2210" t="str">
        <f>A40</f>
        <v>c15.9</v>
      </c>
      <c r="L64" s="2149">
        <f>MAX(0,I55-I61)</f>
        <v>0</v>
      </c>
    </row>
    <row r="66" spans="3:26" x14ac:dyDescent="0.25">
      <c r="L66" s="9" t="str">
        <f>K43&amp;" minus "&amp;K64</f>
        <v>c15.1 minus c15.9</v>
      </c>
    </row>
    <row r="67" spans="3:26" x14ac:dyDescent="0.25">
      <c r="K67" s="2210" t="str">
        <f>A41</f>
        <v>c15.10</v>
      </c>
      <c r="L67" s="2029">
        <f>MAX(0,L43-L64)</f>
        <v>0</v>
      </c>
    </row>
    <row r="69" spans="3:26" x14ac:dyDescent="0.25">
      <c r="L69" s="9" t="str">
        <f>"If "&amp;K43&amp;" is greater than 0 (zero)"</f>
        <v>If c15.1 is greater than 0 (zero)</v>
      </c>
    </row>
    <row r="70" spans="3:26" x14ac:dyDescent="0.25">
      <c r="L70" s="563" t="str">
        <f>K74&amp;" = Higher of "&amp;K67&amp;" and MCA ("&amp;DOLLAR(MCA,0)&amp;")"</f>
        <v>c15.11 = Higher of c15.10 and MCA (£4,360)</v>
      </c>
    </row>
    <row r="71" spans="3:26" x14ac:dyDescent="0.25">
      <c r="L71" s="9" t="s">
        <v>7143</v>
      </c>
    </row>
    <row r="72" spans="3:26" x14ac:dyDescent="0.25">
      <c r="L72" s="9" t="str">
        <f>K74&amp;" = 0 (zero)"</f>
        <v>c15.11 = 0 (zero)</v>
      </c>
    </row>
    <row r="73" spans="3:26" x14ac:dyDescent="0.25">
      <c r="L73" s="8" t="s">
        <v>75</v>
      </c>
    </row>
    <row r="74" spans="3:26" x14ac:dyDescent="0.25">
      <c r="K74" s="2210" t="str">
        <f>A42</f>
        <v>c15.11</v>
      </c>
      <c r="L74" s="2029">
        <f>IF(L43&gt;0,MAX(MCA,L67),0)</f>
        <v>0</v>
      </c>
      <c r="N74" s="2256" t="str">
        <f>"copy to box "&amp;'Tax adj (c9)'!I51&amp;" unless you were married this year (see note)"</f>
        <v>copy to box c9.16 unless you were married this year (see note)</v>
      </c>
      <c r="O74" s="2228"/>
      <c r="P74" s="2228"/>
      <c r="Q74" s="2228"/>
      <c r="R74" s="2174"/>
    </row>
    <row r="75" spans="3:26" x14ac:dyDescent="0.25">
      <c r="N75" s="462" t="s">
        <v>8527</v>
      </c>
      <c r="O75" s="221"/>
      <c r="P75" s="221"/>
      <c r="Q75" s="221"/>
      <c r="R75" s="241"/>
    </row>
    <row r="76" spans="3:26" ht="12" x14ac:dyDescent="0.3">
      <c r="N76" s="2252"/>
      <c r="O76" s="1222"/>
      <c r="P76" s="2254" t="s">
        <v>8519</v>
      </c>
      <c r="Q76" s="1222"/>
      <c r="R76" s="2257"/>
    </row>
    <row r="77" spans="3:26" x14ac:dyDescent="0.25">
      <c r="C77" s="2151"/>
      <c r="D77" s="2151"/>
      <c r="E77" s="2151"/>
      <c r="F77" s="2151"/>
      <c r="G77" s="2151"/>
      <c r="H77" s="2151"/>
      <c r="I77" s="2151"/>
      <c r="J77" s="2151"/>
      <c r="K77" s="2151"/>
      <c r="L77" s="2151"/>
      <c r="M77" s="2151"/>
      <c r="N77" s="2151"/>
      <c r="O77" s="2151"/>
      <c r="P77" s="2151"/>
      <c r="Q77" s="2151"/>
      <c r="R77" s="2151"/>
      <c r="S77" s="2151"/>
      <c r="T77" s="2151"/>
      <c r="U77" s="2151"/>
      <c r="V77" s="2151"/>
      <c r="W77" s="2151"/>
      <c r="X77" s="2151"/>
      <c r="Y77" s="2151"/>
      <c r="Z77" s="2151"/>
    </row>
    <row r="79" spans="3:26" x14ac:dyDescent="0.25">
      <c r="C79" s="12" t="s">
        <v>8528</v>
      </c>
    </row>
    <row r="80" spans="3:26" x14ac:dyDescent="0.25">
      <c r="C80" s="12" t="s">
        <v>8529</v>
      </c>
    </row>
    <row r="82" spans="3:18" ht="12.5" x14ac:dyDescent="0.25">
      <c r="C82" s="274" t="s">
        <v>8530</v>
      </c>
      <c r="I82" s="9" t="str">
        <f>"If MCA"&amp;MCA!C16&amp;" present"</f>
        <v>If MCA9 present</v>
      </c>
    </row>
    <row r="83" spans="3:18" x14ac:dyDescent="0.25">
      <c r="I83" s="9" t="str">
        <f>H87&amp;" = Select month from "&amp;C103</f>
        <v>c15.12 = Select month from Table A</v>
      </c>
    </row>
    <row r="84" spans="3:18" x14ac:dyDescent="0.25">
      <c r="I84" s="9" t="s">
        <v>7143</v>
      </c>
    </row>
    <row r="85" spans="3:18" x14ac:dyDescent="0.25">
      <c r="I85" s="9" t="str">
        <f>H87&amp;" = 0 (zero)"</f>
        <v>c15.12 = 0 (zero)</v>
      </c>
    </row>
    <row r="86" spans="3:18" x14ac:dyDescent="0.25">
      <c r="I86" s="9" t="s">
        <v>75</v>
      </c>
    </row>
    <row r="87" spans="3:18" x14ac:dyDescent="0.25">
      <c r="G87" s="457" t="str">
        <f>"Select month from "&amp;C103</f>
        <v>Select month from Table A</v>
      </c>
      <c r="H87" s="2210" t="str">
        <f>A43</f>
        <v>c15.12</v>
      </c>
      <c r="I87" s="2029">
        <f>months_not_married</f>
        <v>0</v>
      </c>
    </row>
    <row r="89" spans="3:18" x14ac:dyDescent="0.25">
      <c r="I89" s="9" t="str">
        <f>K74&amp;" × "&amp;H87</f>
        <v>c15.11 × c15.12</v>
      </c>
    </row>
    <row r="90" spans="3:18" x14ac:dyDescent="0.25">
      <c r="H90" s="2210" t="str">
        <f>A44</f>
        <v>c15.13</v>
      </c>
      <c r="I90" s="2029">
        <f>L74*I87</f>
        <v>0</v>
      </c>
    </row>
    <row r="92" spans="3:18" x14ac:dyDescent="0.25">
      <c r="L92" s="9" t="str">
        <f>H90&amp;" divided by 12"</f>
        <v>c15.13 divided by 12</v>
      </c>
    </row>
    <row r="93" spans="3:18" x14ac:dyDescent="0.25">
      <c r="K93" s="2210" t="str">
        <f>A45</f>
        <v>c15.14</v>
      </c>
      <c r="L93" s="2029">
        <f>TRUNC(I90/12,0)</f>
        <v>0</v>
      </c>
      <c r="M93" s="197" t="s">
        <v>7029</v>
      </c>
    </row>
    <row r="95" spans="3:18" x14ac:dyDescent="0.25">
      <c r="L95" s="9" t="str">
        <f>K74&amp;" minus "&amp;K93</f>
        <v>c15.11 minus c15.14</v>
      </c>
    </row>
    <row r="96" spans="3:18" x14ac:dyDescent="0.25">
      <c r="K96" s="2210" t="str">
        <f>A46</f>
        <v>c15.15</v>
      </c>
      <c r="L96" s="2029">
        <f>MAX(0,L74-L93)</f>
        <v>0</v>
      </c>
      <c r="N96" s="2256" t="str">
        <f>"copy to box "&amp;'Tax adj (c9)'!I51&amp;" unless your spouse is getting half or all of the allowance"</f>
        <v>copy to box c9.16 unless your spouse is getting half or all of the allowance</v>
      </c>
      <c r="O96" s="2228"/>
      <c r="P96" s="2228"/>
      <c r="Q96" s="2228"/>
      <c r="R96" s="2174"/>
    </row>
    <row r="97" spans="3:18" x14ac:dyDescent="0.25">
      <c r="L97" s="9"/>
      <c r="N97" s="462"/>
      <c r="O97" s="221"/>
      <c r="P97" s="221"/>
      <c r="Q97" s="221"/>
      <c r="R97" s="241"/>
    </row>
    <row r="98" spans="3:18" ht="12" x14ac:dyDescent="0.3">
      <c r="N98" s="2252"/>
      <c r="O98" s="1222"/>
      <c r="P98" s="2254" t="s">
        <v>8519</v>
      </c>
      <c r="Q98" s="1222"/>
      <c r="R98" s="2257"/>
    </row>
    <row r="99" spans="3:18" x14ac:dyDescent="0.25">
      <c r="C99" s="8" t="s">
        <v>7143</v>
      </c>
    </row>
    <row r="100" spans="3:18" x14ac:dyDescent="0.25">
      <c r="C100" s="8" t="str">
        <f>K43&amp;" to "&amp;K96&amp;" = 0 (zero)"</f>
        <v>c15.1 to c15.15 = 0 (zero)</v>
      </c>
    </row>
    <row r="101" spans="3:18" x14ac:dyDescent="0.25">
      <c r="C101" s="8" t="s">
        <v>75</v>
      </c>
    </row>
    <row r="103" spans="3:18" x14ac:dyDescent="0.25">
      <c r="C103" s="12" t="s">
        <v>8531</v>
      </c>
    </row>
    <row r="104" spans="3:18" x14ac:dyDescent="0.25">
      <c r="C104" s="2258" t="s">
        <v>8532</v>
      </c>
      <c r="D104" s="2259" t="s">
        <v>8533</v>
      </c>
    </row>
    <row r="105" spans="3:18" x14ac:dyDescent="0.25">
      <c r="C105" s="339" t="str">
        <f>"Before 6 May "&amp;Tax_year_start&amp;" (or no date entered)"</f>
        <v>Before 6 May 2025 (or no date entered)</v>
      </c>
      <c r="D105" s="249">
        <v>0</v>
      </c>
    </row>
    <row r="106" spans="3:18" x14ac:dyDescent="0.25">
      <c r="C106" s="339" t="str">
        <f>"6 May "&amp;Tax_year_start&amp;" to 5 June "&amp;Tax_year_start</f>
        <v>6 May 2025 to 5 June 2025</v>
      </c>
      <c r="D106" s="634">
        <v>1</v>
      </c>
    </row>
    <row r="107" spans="3:18" x14ac:dyDescent="0.25">
      <c r="C107" s="339" t="str">
        <f>"6 June "&amp;Tax_year_start&amp;" to 5 July "&amp;Tax_year_start</f>
        <v>6 June 2025 to 5 July 2025</v>
      </c>
      <c r="D107" s="634">
        <v>2</v>
      </c>
    </row>
    <row r="108" spans="3:18" x14ac:dyDescent="0.25">
      <c r="C108" s="339" t="str">
        <f>"6 July "&amp;Tax_year_start&amp;" to 5 August "&amp;Tax_year_start</f>
        <v>6 July 2025 to 5 August 2025</v>
      </c>
      <c r="D108" s="634">
        <v>3</v>
      </c>
    </row>
    <row r="109" spans="3:18" x14ac:dyDescent="0.25">
      <c r="C109" s="339" t="str">
        <f>"6 August "&amp;Tax_year_start&amp;" to 5 September "&amp;Tax_year_start</f>
        <v>6 August 2025 to 5 September 2025</v>
      </c>
      <c r="D109" s="634">
        <v>4</v>
      </c>
    </row>
    <row r="110" spans="3:18" x14ac:dyDescent="0.25">
      <c r="C110" s="339" t="str">
        <f>"6 September "&amp;Tax_year_start&amp;" to 5 October "&amp;Tax_year_start</f>
        <v>6 September 2025 to 5 October 2025</v>
      </c>
      <c r="D110" s="634">
        <v>5</v>
      </c>
    </row>
    <row r="111" spans="3:18" x14ac:dyDescent="0.25">
      <c r="C111" s="339" t="str">
        <f>"6 October "&amp;Tax_year_start&amp;" to 5 November "&amp;Tax_year_start</f>
        <v>6 October 2025 to 5 November 2025</v>
      </c>
      <c r="D111" s="634">
        <v>6</v>
      </c>
    </row>
    <row r="112" spans="3:18" x14ac:dyDescent="0.25">
      <c r="C112" s="339" t="str">
        <f>"6 November "&amp;Tax_year_start&amp;" to 5 December "&amp;Tax_year_start</f>
        <v>6 November 2025 to 5 December 2025</v>
      </c>
      <c r="D112" s="634">
        <v>7</v>
      </c>
    </row>
    <row r="113" spans="3:26" x14ac:dyDescent="0.25">
      <c r="C113" s="339" t="str">
        <f>"6 December "&amp;Tax_year_start&amp;" to 5 January "&amp;Tax_year_end</f>
        <v>6 December 2025 to 5 January 2026</v>
      </c>
      <c r="D113" s="634">
        <v>8</v>
      </c>
    </row>
    <row r="114" spans="3:26" x14ac:dyDescent="0.25">
      <c r="C114" s="339" t="str">
        <f>"6 January "&amp;Tax_year_end&amp;" to 5 February "&amp;Tax_year_end</f>
        <v>6 January 2026 to 5 February 2026</v>
      </c>
      <c r="D114" s="634">
        <v>9</v>
      </c>
    </row>
    <row r="115" spans="3:26" x14ac:dyDescent="0.25">
      <c r="C115" s="339" t="str">
        <f>"6 February "&amp;Tax_year_end&amp;" to 5 March "&amp;Tax_year_end</f>
        <v>6 February 2026 to 5 March 2026</v>
      </c>
      <c r="D115" s="634">
        <v>10</v>
      </c>
    </row>
    <row r="116" spans="3:26" x14ac:dyDescent="0.25">
      <c r="C116" s="339" t="str">
        <f>"6 March "&amp;Tax_year_end&amp;" to 5 April "&amp;Tax_year_end</f>
        <v>6 March 2026 to 5 April 2026</v>
      </c>
      <c r="D116" s="634">
        <v>11</v>
      </c>
    </row>
    <row r="117" spans="3:26" x14ac:dyDescent="0.25">
      <c r="C117" s="2260" t="str">
        <f>"6 April "&amp;Tax_year_end&amp;" and later"</f>
        <v>6 April 2026 and later</v>
      </c>
      <c r="D117" s="2255">
        <v>12</v>
      </c>
    </row>
    <row r="118" spans="3:26" x14ac:dyDescent="0.25">
      <c r="C118" s="2151"/>
      <c r="D118" s="2151"/>
      <c r="E118" s="2151"/>
      <c r="F118" s="2151"/>
      <c r="G118" s="2151"/>
      <c r="H118" s="2151"/>
      <c r="I118" s="2151"/>
      <c r="J118" s="2151"/>
      <c r="K118" s="2151"/>
      <c r="L118" s="2151"/>
      <c r="M118" s="2151"/>
      <c r="N118" s="2151"/>
      <c r="O118" s="2151"/>
      <c r="P118" s="2151"/>
      <c r="Q118" s="2151"/>
      <c r="R118" s="2151"/>
      <c r="S118" s="2151"/>
      <c r="T118" s="2151"/>
      <c r="U118" s="2151"/>
      <c r="V118" s="2151"/>
      <c r="W118" s="2151"/>
      <c r="X118" s="2151"/>
      <c r="Y118" s="2151"/>
      <c r="Z118" s="2151"/>
    </row>
    <row r="120" spans="3:26" x14ac:dyDescent="0.25">
      <c r="C120" s="12" t="s">
        <v>8534</v>
      </c>
    </row>
    <row r="121" spans="3:26" x14ac:dyDescent="0.25">
      <c r="C121" s="8" t="str">
        <f>"This can be either claimed by wife or lower income spouse / civil partner (boxes "&amp;N128&amp;", or "&amp;N130&amp;")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2" spans="3:26" x14ac:dyDescent="0.25">
      <c r="C122" s="8" t="str">
        <f>"(box "&amp;N127&amp;", or box "&amp;N129&amp;")."</f>
        <v>(box box MCA3 = Y, or box box MCA4 = Y).</v>
      </c>
    </row>
    <row r="124" spans="3:26" x14ac:dyDescent="0.25">
      <c r="C124" s="8" t="s">
        <v>8535</v>
      </c>
    </row>
    <row r="126" spans="3:26" x14ac:dyDescent="0.25">
      <c r="I126" s="9" t="str">
        <f>"if "&amp;N127&amp;" or "&amp;N128</f>
        <v>if box MCA3 = Y or box MCA6 = Y</v>
      </c>
      <c r="N126" s="459" t="s">
        <v>8536</v>
      </c>
    </row>
    <row r="127" spans="3:26" x14ac:dyDescent="0.25">
      <c r="I127" s="563" t="str">
        <f>H131&amp;" = MCA_2 ("&amp;DOLLAR(MCA_2,0)&amp;")"</f>
        <v>c15.16 = MCA_2 (£2,180)</v>
      </c>
      <c r="N127" s="2243" t="s">
        <v>8537</v>
      </c>
      <c r="O127" s="2261">
        <f>MCA_2</f>
        <v>2180</v>
      </c>
    </row>
    <row r="128" spans="3:26" x14ac:dyDescent="0.25">
      <c r="I128" s="8" t="s">
        <v>7143</v>
      </c>
      <c r="N128" s="463" t="s">
        <v>8538</v>
      </c>
      <c r="O128" s="635">
        <f>MCA_2</f>
        <v>2180</v>
      </c>
    </row>
    <row r="129" spans="3:15" x14ac:dyDescent="0.25">
      <c r="I129" s="563" t="str">
        <f>H131&amp;" = MCA ("&amp;DOLLAR(MCA,0)&amp;")"</f>
        <v>c15.16 = MCA (£4,360)</v>
      </c>
      <c r="N129" s="463" t="s">
        <v>8539</v>
      </c>
      <c r="O129" s="635">
        <f>MCA</f>
        <v>4360</v>
      </c>
    </row>
    <row r="130" spans="3:15" x14ac:dyDescent="0.25">
      <c r="I130" s="8" t="s">
        <v>75</v>
      </c>
      <c r="N130" s="463" t="s">
        <v>8540</v>
      </c>
      <c r="O130" s="635">
        <f>MCA</f>
        <v>4360</v>
      </c>
    </row>
    <row r="131" spans="3:15" x14ac:dyDescent="0.25">
      <c r="G131" s="457" t="str">
        <f>"Select amount from "&amp;N126</f>
        <v>Select amount from Table B</v>
      </c>
      <c r="H131" s="2210" t="str">
        <f>A47</f>
        <v>c15.16</v>
      </c>
      <c r="I131" s="2029">
        <f>IF(MCA_to_wife,MCA,IF(MCA_split,MCA_2,0))</f>
        <v>0</v>
      </c>
      <c r="N131" s="2252" t="s">
        <v>8541</v>
      </c>
      <c r="O131" s="2262" t="s">
        <v>8542</v>
      </c>
    </row>
    <row r="133" spans="3:15" x14ac:dyDescent="0.25">
      <c r="C133" s="146" t="s">
        <v>8530</v>
      </c>
    </row>
    <row r="134" spans="3:15" x14ac:dyDescent="0.25">
      <c r="I134" s="9" t="str">
        <f>"if MCA"&amp;MCA!C16&amp;" present"</f>
        <v>if MCA9 present</v>
      </c>
    </row>
    <row r="135" spans="3:15" x14ac:dyDescent="0.25">
      <c r="I135" s="9" t="str">
        <f>H139&amp;" = Select month from table A"</f>
        <v>c15.17 = Select month from table A</v>
      </c>
    </row>
    <row r="136" spans="3:15" x14ac:dyDescent="0.25">
      <c r="I136" s="8" t="s">
        <v>7143</v>
      </c>
    </row>
    <row r="137" spans="3:15" x14ac:dyDescent="0.25">
      <c r="I137" s="9" t="str">
        <f>H139&amp;" = 0 (zero)"</f>
        <v>c15.17 = 0 (zero)</v>
      </c>
    </row>
    <row r="138" spans="3:15" x14ac:dyDescent="0.25">
      <c r="I138" s="8" t="s">
        <v>75</v>
      </c>
    </row>
    <row r="139" spans="3:15" x14ac:dyDescent="0.25">
      <c r="G139" s="457" t="str">
        <f>"Select month from "&amp;C103</f>
        <v>Select month from Table A</v>
      </c>
      <c r="H139" s="2210" t="str">
        <f>A48</f>
        <v>c15.17</v>
      </c>
      <c r="I139" s="2029">
        <f>months_not_married</f>
        <v>0</v>
      </c>
    </row>
    <row r="141" spans="3:15" x14ac:dyDescent="0.25">
      <c r="I141" s="9" t="str">
        <f>H131&amp;" × "&amp;H139</f>
        <v>c15.16 × c15.17</v>
      </c>
    </row>
    <row r="142" spans="3:15" x14ac:dyDescent="0.25">
      <c r="H142" s="2210" t="str">
        <f>A49</f>
        <v>c15.18</v>
      </c>
      <c r="I142" s="2029">
        <f>I131*I139</f>
        <v>0</v>
      </c>
    </row>
    <row r="144" spans="3:15" x14ac:dyDescent="0.25">
      <c r="L144" s="9" t="str">
        <f>H142&amp;" divided by 12"</f>
        <v>c15.18 divided by 12</v>
      </c>
    </row>
    <row r="145" spans="3:26" x14ac:dyDescent="0.25">
      <c r="K145" s="2210" t="str">
        <f>A50</f>
        <v>c15.19</v>
      </c>
      <c r="L145" s="2029">
        <f>TRUNC((I142/12)+0.99,0)</f>
        <v>0</v>
      </c>
      <c r="M145" s="197" t="s">
        <v>7035</v>
      </c>
    </row>
    <row r="147" spans="3:26" x14ac:dyDescent="0.25">
      <c r="L147" s="9" t="str">
        <f>H131&amp;" minus "&amp;K145</f>
        <v>c15.16 minus c15.19</v>
      </c>
    </row>
    <row r="148" spans="3:26" x14ac:dyDescent="0.25">
      <c r="K148" s="2210" t="str">
        <f>A51</f>
        <v>c15.20</v>
      </c>
      <c r="L148" s="2029">
        <f>MAX(0,I131-L145)</f>
        <v>0</v>
      </c>
    </row>
    <row r="149" spans="3:26" x14ac:dyDescent="0.25">
      <c r="J149" s="173"/>
      <c r="L149" s="9" t="str">
        <f>"If MCA"&amp;MCA!C5&amp;" is present then copy "&amp;K148&amp;" to box "&amp;'Tax adj (c9)'!I51</f>
        <v>If MCA8 is present then copy c15.20 to box c9.16</v>
      </c>
    </row>
    <row r="150" spans="3:26" x14ac:dyDescent="0.25">
      <c r="C150" s="8" t="s">
        <v>7143</v>
      </c>
    </row>
    <row r="151" spans="3:26" x14ac:dyDescent="0.25">
      <c r="C151" s="8" t="str">
        <f>H131&amp;" to "&amp;K148&amp;" = 0 (zero)"</f>
        <v>c15.16 to c15.20 = 0 (zero)</v>
      </c>
    </row>
    <row r="152" spans="3:26" x14ac:dyDescent="0.25">
      <c r="C152" s="8" t="s">
        <v>75</v>
      </c>
    </row>
    <row r="153" spans="3:26" x14ac:dyDescent="0.25">
      <c r="C153" s="2151"/>
      <c r="D153" s="2151"/>
      <c r="E153" s="2151"/>
      <c r="F153" s="2151"/>
      <c r="G153" s="2151"/>
      <c r="H153" s="2151"/>
      <c r="I153" s="2151"/>
      <c r="J153" s="2151"/>
      <c r="K153" s="2151"/>
      <c r="L153" s="2151"/>
      <c r="M153" s="2151"/>
      <c r="N153" s="2151"/>
      <c r="O153" s="2151"/>
      <c r="P153" s="2151"/>
      <c r="Q153" s="2151"/>
      <c r="R153" s="2151"/>
      <c r="S153" s="2151"/>
      <c r="T153" s="2151"/>
      <c r="U153" s="2151"/>
      <c r="V153" s="2151"/>
      <c r="W153" s="2151"/>
      <c r="X153" s="2151"/>
      <c r="Y153" s="2151"/>
      <c r="Z153" s="2151"/>
    </row>
    <row r="155" spans="3:26" x14ac:dyDescent="0.25">
      <c r="L155" s="9" t="str">
        <f>"If box MCA"&amp;MCA!C4&amp;" is present"</f>
        <v>If box MCA1 is present</v>
      </c>
    </row>
    <row r="156" spans="3:26" x14ac:dyDescent="0.25">
      <c r="L156" s="9" t="str">
        <f>K164&amp;" = "&amp;K96&amp;" minus "&amp;K148</f>
        <v>c15.21 = c15.15 minus c15.20</v>
      </c>
    </row>
    <row r="157" spans="3:26" x14ac:dyDescent="0.25">
      <c r="L157" s="22" t="s">
        <v>7143</v>
      </c>
    </row>
    <row r="158" spans="3:26" x14ac:dyDescent="0.25">
      <c r="L158" s="9" t="str">
        <f>"If box MCA"&amp;MCA!C5&amp;" is present"</f>
        <v>If box MCA8 is present</v>
      </c>
    </row>
    <row r="159" spans="3:26" x14ac:dyDescent="0.25">
      <c r="L159" s="9" t="str">
        <f>K164&amp;" = "&amp;K148</f>
        <v>c15.21 = c15.20</v>
      </c>
    </row>
    <row r="160" spans="3:26" x14ac:dyDescent="0.25">
      <c r="L160" s="8" t="s">
        <v>7143</v>
      </c>
    </row>
    <row r="161" spans="3:12" x14ac:dyDescent="0.25">
      <c r="L161" s="8" t="str">
        <f>K164&amp;" = 0 (zero)"</f>
        <v>c15.21 = 0 (zero)</v>
      </c>
    </row>
    <row r="162" spans="3:12" x14ac:dyDescent="0.25">
      <c r="L162" s="8" t="s">
        <v>75</v>
      </c>
    </row>
    <row r="163" spans="3:12" x14ac:dyDescent="0.25">
      <c r="L163" s="8" t="s">
        <v>75</v>
      </c>
    </row>
    <row r="164" spans="3:12" x14ac:dyDescent="0.25">
      <c r="C164" s="146" t="s">
        <v>8283</v>
      </c>
      <c r="K164" s="2210" t="str">
        <f>A52</f>
        <v>c15.21</v>
      </c>
      <c r="L164" s="2029">
        <f>IF(man_mca_claim,MAX(0,L96-L148),IF(wife_mca_claim,L148,0))</f>
        <v>0</v>
      </c>
    </row>
    <row r="165" spans="3:12" x14ac:dyDescent="0.25">
      <c r="J165" s="173"/>
      <c r="L165" s="9" t="str">
        <f>"If MCA"&amp;MCA!C4&amp;" is present then copy "&amp;K164&amp;" to box "&amp;'Tax adj (c9)'!I51</f>
        <v>If MCA1 is present then copy c15.21 to box c9.16</v>
      </c>
    </row>
  </sheetData>
  <phoneticPr fontId="58" type="noConversion"/>
  <pageMargins left="0.15748031496062992" right="0.15748031496062992" top="0.19685039370078741" bottom="0.19685039370078741" header="0.19685039370078741" footer="0.19685039370078741"/>
  <pageSetup paperSize="9" scale="84" orientation="landscape" r:id="rId1"/>
  <headerFooter alignWithMargins="0">
    <oddFooter>&amp;C&amp;1#&amp;"Calibri"&amp;10&amp;K000000OFFICIAL-SENSITIVE</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8"/>
  <dimension ref="A1:T202"/>
  <sheetViews>
    <sheetView showGridLines="0" topLeftCell="B1" zoomScaleNormal="100" workbookViewId="0">
      <selection activeCell="B1" sqref="B1"/>
    </sheetView>
  </sheetViews>
  <sheetFormatPr defaultColWidth="9.1796875" defaultRowHeight="11.5" x14ac:dyDescent="0.25"/>
  <cols>
    <col min="1" max="1" width="5.1796875" style="8" hidden="1" customWidth="1"/>
    <col min="2" max="2" width="6.81640625" style="8" customWidth="1"/>
    <col min="3" max="3" width="17.54296875" style="8" customWidth="1"/>
    <col min="4" max="4" width="6" style="8" customWidth="1"/>
    <col min="5" max="5" width="13.81640625" style="8" customWidth="1"/>
    <col min="6" max="6" width="9.54296875" style="8" customWidth="1"/>
    <col min="7" max="7" width="6.453125" style="8" customWidth="1"/>
    <col min="8" max="8" width="12.81640625" style="8" customWidth="1"/>
    <col min="9" max="9" width="12" style="8" customWidth="1"/>
    <col min="10" max="10" width="6.81640625" style="8" customWidth="1"/>
    <col min="11" max="11" width="13" style="8" customWidth="1"/>
    <col min="12" max="12" width="3.453125" style="8" customWidth="1"/>
    <col min="13" max="13" width="11.1796875" style="8" customWidth="1"/>
    <col min="14" max="14" width="16.54296875" style="8" customWidth="1"/>
    <col min="15" max="15" width="21.1796875" style="8" customWidth="1"/>
    <col min="16" max="16384" width="9.1796875" style="8"/>
  </cols>
  <sheetData>
    <row r="1" spans="1:10" ht="18" x14ac:dyDescent="0.4">
      <c r="A1" s="8" t="s">
        <v>8543</v>
      </c>
      <c r="B1" s="484" t="s">
        <v>8544</v>
      </c>
    </row>
    <row r="2" spans="1:10" x14ac:dyDescent="0.25">
      <c r="A2" s="8" t="s">
        <v>8545</v>
      </c>
    </row>
    <row r="3" spans="1:10" x14ac:dyDescent="0.25">
      <c r="A3" s="8" t="s">
        <v>8546</v>
      </c>
      <c r="C3" s="2164" t="s">
        <v>7225</v>
      </c>
      <c r="D3" s="2263"/>
      <c r="E3" s="2263"/>
      <c r="F3" s="2205"/>
      <c r="G3" s="2147"/>
      <c r="H3" s="2147"/>
    </row>
    <row r="4" spans="1:10" x14ac:dyDescent="0.25">
      <c r="A4" s="8" t="s">
        <v>8547</v>
      </c>
      <c r="C4" s="24"/>
      <c r="D4" s="24"/>
      <c r="E4" s="24"/>
    </row>
    <row r="5" spans="1:10" ht="12.5" x14ac:dyDescent="0.25">
      <c r="A5" s="8" t="s">
        <v>8548</v>
      </c>
      <c r="C5" s="2264" t="s">
        <v>8549</v>
      </c>
      <c r="D5" s="2265"/>
      <c r="E5" s="2265"/>
      <c r="F5" s="2185"/>
      <c r="G5" s="2185"/>
      <c r="H5" s="2185"/>
      <c r="I5" s="2185"/>
      <c r="J5" s="2248"/>
    </row>
    <row r="6" spans="1:10" ht="12.5" x14ac:dyDescent="0.25">
      <c r="A6" s="8" t="s">
        <v>8550</v>
      </c>
      <c r="C6" s="580" t="s">
        <v>8551</v>
      </c>
      <c r="D6" s="24"/>
      <c r="E6" s="24"/>
      <c r="J6" s="249"/>
    </row>
    <row r="7" spans="1:10" ht="12.5" x14ac:dyDescent="0.25">
      <c r="A7" s="8" t="s">
        <v>8552</v>
      </c>
      <c r="C7" s="580" t="s">
        <v>8553</v>
      </c>
      <c r="D7" s="24"/>
      <c r="E7" s="24"/>
      <c r="J7" s="249"/>
    </row>
    <row r="8" spans="1:10" x14ac:dyDescent="0.25">
      <c r="A8" s="8" t="s">
        <v>8554</v>
      </c>
      <c r="C8" s="445"/>
      <c r="D8" s="24"/>
      <c r="E8" s="24"/>
      <c r="J8" s="249"/>
    </row>
    <row r="9" spans="1:10" ht="12.5" x14ac:dyDescent="0.25">
      <c r="A9" s="8" t="s">
        <v>8555</v>
      </c>
      <c r="C9" s="580" t="s">
        <v>8556</v>
      </c>
      <c r="D9" s="24"/>
      <c r="E9" s="24"/>
      <c r="J9" s="249"/>
    </row>
    <row r="10" spans="1:10" ht="12.5" x14ac:dyDescent="0.25">
      <c r="A10" s="8" t="s">
        <v>8557</v>
      </c>
      <c r="C10" s="581" t="s">
        <v>8558</v>
      </c>
      <c r="D10" s="24"/>
      <c r="E10" s="24"/>
      <c r="J10" s="249"/>
    </row>
    <row r="11" spans="1:10" ht="12.5" x14ac:dyDescent="0.25">
      <c r="A11" s="8" t="s">
        <v>8559</v>
      </c>
      <c r="C11" s="581"/>
      <c r="D11" s="24"/>
      <c r="E11" s="24"/>
      <c r="J11" s="249"/>
    </row>
    <row r="12" spans="1:10" ht="12.5" x14ac:dyDescent="0.25">
      <c r="A12" s="8" t="s">
        <v>8560</v>
      </c>
      <c r="C12" s="580" t="s">
        <v>8561</v>
      </c>
      <c r="D12" s="24"/>
      <c r="E12" s="24"/>
      <c r="J12" s="249"/>
    </row>
    <row r="13" spans="1:10" ht="12.5" x14ac:dyDescent="0.25">
      <c r="A13" s="8" t="s">
        <v>8562</v>
      </c>
      <c r="C13" s="580" t="s">
        <v>8563</v>
      </c>
      <c r="D13" s="24"/>
      <c r="E13" s="24"/>
      <c r="J13" s="249"/>
    </row>
    <row r="14" spans="1:10" ht="12.5" x14ac:dyDescent="0.25">
      <c r="A14" s="8" t="s">
        <v>8564</v>
      </c>
      <c r="C14" s="2266" t="s">
        <v>8565</v>
      </c>
      <c r="D14" s="2267"/>
      <c r="E14" s="2267"/>
      <c r="F14" s="1222"/>
      <c r="G14" s="1222"/>
      <c r="H14" s="1222"/>
      <c r="I14" s="1222"/>
      <c r="J14" s="2255"/>
    </row>
    <row r="15" spans="1:10" ht="12.5" x14ac:dyDescent="0.25">
      <c r="A15" s="8" t="s">
        <v>8566</v>
      </c>
      <c r="C15" s="178"/>
      <c r="D15" s="24"/>
      <c r="E15" s="24"/>
    </row>
    <row r="16" spans="1:10" x14ac:dyDescent="0.25">
      <c r="A16" s="8" t="s">
        <v>4997</v>
      </c>
    </row>
    <row r="17" spans="1:20" x14ac:dyDescent="0.25">
      <c r="A17" s="8" t="s">
        <v>5001</v>
      </c>
      <c r="C17" s="2173"/>
      <c r="D17" s="2268"/>
      <c r="E17" s="2228"/>
      <c r="F17" s="2185"/>
      <c r="G17" s="2185"/>
      <c r="H17" s="2248"/>
    </row>
    <row r="18" spans="1:20" x14ac:dyDescent="0.25">
      <c r="A18" s="8" t="s">
        <v>5007</v>
      </c>
      <c r="C18" s="525"/>
      <c r="D18" s="524"/>
      <c r="E18" s="221"/>
      <c r="H18" s="249"/>
    </row>
    <row r="19" spans="1:20" x14ac:dyDescent="0.25">
      <c r="A19" s="8" t="s">
        <v>5011</v>
      </c>
      <c r="C19" s="525"/>
      <c r="D19" s="524"/>
      <c r="E19" s="221"/>
      <c r="H19" s="249"/>
    </row>
    <row r="20" spans="1:20" x14ac:dyDescent="0.25">
      <c r="A20" s="8" t="s">
        <v>8567</v>
      </c>
      <c r="C20" s="2176"/>
      <c r="D20" s="2269"/>
      <c r="E20" s="2233"/>
      <c r="F20" s="1222"/>
      <c r="G20" s="1222"/>
      <c r="H20" s="2255"/>
    </row>
    <row r="21" spans="1:20" x14ac:dyDescent="0.25">
      <c r="A21" s="8" t="s">
        <v>8568</v>
      </c>
      <c r="T21" s="13"/>
    </row>
    <row r="22" spans="1:20" ht="13" x14ac:dyDescent="0.3">
      <c r="A22" s="8" t="s">
        <v>5021</v>
      </c>
      <c r="C22" s="275" t="s">
        <v>5577</v>
      </c>
      <c r="E22" s="383" t="s">
        <v>8569</v>
      </c>
      <c r="G22" s="23" t="str">
        <f>"[Class 4 NIC exempt] ("&amp;LUN&amp;LUN!K16&amp;" = Y) or any instances of boxes ("&amp;SSE&amp;SE!C17&amp;" = Y) or ("&amp;FSE&amp;SE!G32&amp;" = Y) or ("&amp;SPS&amp;PS!C16&amp;" = Y) or ("&amp;FPS&amp;PS!J14&amp;" = Y)"</f>
        <v>[Class 4 NIC exempt] (LUN64 = Y) or any instances of boxes (SSE37 = Y) or (FSE101 = Y) or (SPS26 = Y) or (FPS26 = Y)</v>
      </c>
      <c r="I22"/>
      <c r="J22"/>
      <c r="K22"/>
      <c r="L22"/>
      <c r="M22"/>
      <c r="T22" s="13"/>
    </row>
    <row r="23" spans="1:20" ht="12.5" x14ac:dyDescent="0.3">
      <c r="A23" s="8" t="s">
        <v>8570</v>
      </c>
      <c r="E23" s="424"/>
      <c r="F23" s="210"/>
      <c r="G23" s="425"/>
      <c r="H23" s="210"/>
      <c r="I23" s="210"/>
      <c r="T23" s="13"/>
    </row>
    <row r="24" spans="1:20" x14ac:dyDescent="0.25">
      <c r="A24" s="8" t="s">
        <v>8571</v>
      </c>
      <c r="F24" s="8" t="str">
        <f>"Calculate "&amp;J50&amp;" to "&amp;G88</f>
        <v>Calculate c16.1 to c16.12</v>
      </c>
      <c r="T24" s="13"/>
    </row>
    <row r="25" spans="1:20" ht="12.5" x14ac:dyDescent="0.25">
      <c r="A25" s="8" t="s">
        <v>8572</v>
      </c>
      <c r="F25" s="8" t="str">
        <f>"Set "&amp;G91&amp;" to "&amp;J166&amp;" to 0 (zero)"</f>
        <v>Set c16.13 to c16.31 to 0 (zero)</v>
      </c>
      <c r="H25"/>
      <c r="I25" s="384"/>
      <c r="J25"/>
      <c r="K25"/>
      <c r="L25"/>
      <c r="M25"/>
      <c r="T25" s="13"/>
    </row>
    <row r="26" spans="1:20" ht="12.5" x14ac:dyDescent="0.25">
      <c r="A26" s="8" t="s">
        <v>8573</v>
      </c>
      <c r="E26" s="127" t="s">
        <v>8574</v>
      </c>
      <c r="H26" s="384"/>
      <c r="I26"/>
      <c r="J26"/>
      <c r="K26"/>
      <c r="L26"/>
      <c r="M26"/>
      <c r="S26" s="13"/>
      <c r="T26" s="13"/>
    </row>
    <row r="27" spans="1:20" ht="12.5" x14ac:dyDescent="0.25">
      <c r="A27" s="8" t="s">
        <v>8575</v>
      </c>
      <c r="F27" s="8" t="str">
        <f>"Calculate "&amp;J50&amp;" to "&amp;A20</f>
        <v>Calculate c16.1 to c16.19</v>
      </c>
      <c r="H27"/>
      <c r="I27" s="384"/>
      <c r="J27"/>
      <c r="K27"/>
      <c r="L27"/>
      <c r="M27"/>
      <c r="S27" s="13"/>
      <c r="T27" s="13"/>
    </row>
    <row r="28" spans="1:20" ht="12.5" x14ac:dyDescent="0.25">
      <c r="A28" s="8" t="s">
        <v>8576</v>
      </c>
      <c r="E28" s="2270"/>
      <c r="F28" s="2268"/>
      <c r="G28" s="2228"/>
      <c r="H28" s="2271"/>
      <c r="I28" s="2272"/>
      <c r="J28" s="2273"/>
      <c r="L28"/>
      <c r="M28"/>
      <c r="T28" s="13"/>
    </row>
    <row r="29" spans="1:20" ht="12.5" x14ac:dyDescent="0.25">
      <c r="A29" s="8" t="s">
        <v>8577</v>
      </c>
      <c r="E29" s="529"/>
      <c r="F29" s="524"/>
      <c r="G29" s="221"/>
      <c r="H29" s="321"/>
      <c r="I29" s="385"/>
      <c r="J29" s="427"/>
      <c r="K29" s="426"/>
      <c r="L29"/>
      <c r="M29"/>
      <c r="T29" s="13"/>
    </row>
    <row r="30" spans="1:20" ht="12.5" x14ac:dyDescent="0.25">
      <c r="A30" s="8" t="s">
        <v>8578</v>
      </c>
      <c r="E30" s="529"/>
      <c r="F30" s="524"/>
      <c r="G30" s="221"/>
      <c r="H30" s="321"/>
      <c r="I30" s="321"/>
      <c r="J30" s="582"/>
      <c r="K30" s="321"/>
      <c r="L30"/>
      <c r="M30"/>
      <c r="S30" s="13"/>
      <c r="T30" s="13"/>
    </row>
    <row r="31" spans="1:20" ht="12.5" x14ac:dyDescent="0.25">
      <c r="A31" s="8" t="s">
        <v>8579</v>
      </c>
      <c r="E31" s="529"/>
      <c r="F31" s="524"/>
      <c r="G31" s="221"/>
      <c r="H31" s="321"/>
      <c r="I31" s="321"/>
      <c r="J31" s="241"/>
      <c r="K31" s="385"/>
      <c r="L31"/>
      <c r="M31"/>
      <c r="S31" s="13"/>
      <c r="T31" s="13"/>
    </row>
    <row r="32" spans="1:20" ht="12.5" x14ac:dyDescent="0.25">
      <c r="A32" s="8" t="s">
        <v>8580</v>
      </c>
      <c r="E32" s="529"/>
      <c r="F32" s="524"/>
      <c r="G32" s="221"/>
      <c r="H32" s="321"/>
      <c r="I32" s="221"/>
      <c r="J32" s="427"/>
      <c r="K32" s="321"/>
      <c r="L32"/>
      <c r="M32"/>
      <c r="S32" s="13"/>
      <c r="T32" s="13"/>
    </row>
    <row r="33" spans="1:20" ht="12.5" x14ac:dyDescent="0.25">
      <c r="A33" s="8" t="s">
        <v>8581</v>
      </c>
      <c r="E33" s="529"/>
      <c r="F33" s="524"/>
      <c r="G33" s="221"/>
      <c r="H33" s="321"/>
      <c r="I33" s="321"/>
      <c r="J33" s="241"/>
      <c r="K33" s="321"/>
      <c r="L33"/>
      <c r="M33"/>
      <c r="S33" s="13"/>
      <c r="T33" s="13"/>
    </row>
    <row r="34" spans="1:20" ht="12.5" x14ac:dyDescent="0.25">
      <c r="A34" s="8" t="s">
        <v>5035</v>
      </c>
      <c r="E34" s="529"/>
      <c r="F34" s="524"/>
      <c r="H34" s="321"/>
      <c r="I34" s="321"/>
      <c r="J34" s="427"/>
      <c r="K34" s="385"/>
      <c r="L34"/>
      <c r="M34"/>
      <c r="S34" s="13"/>
      <c r="T34" s="13"/>
    </row>
    <row r="35" spans="1:20" ht="12.5" x14ac:dyDescent="0.25">
      <c r="E35" s="529"/>
      <c r="F35" s="524"/>
      <c r="H35" s="321"/>
      <c r="I35" s="321"/>
      <c r="J35" s="427"/>
      <c r="K35" s="385"/>
      <c r="L35"/>
      <c r="M35"/>
      <c r="S35" s="13"/>
      <c r="T35" s="13"/>
    </row>
    <row r="36" spans="1:20" ht="12.5" x14ac:dyDescent="0.25">
      <c r="E36" s="2274"/>
      <c r="F36" s="2269"/>
      <c r="G36" s="2233"/>
      <c r="H36" s="2275"/>
      <c r="I36" s="2275"/>
      <c r="J36" s="2177"/>
      <c r="K36" s="321"/>
      <c r="L36"/>
      <c r="M36"/>
      <c r="S36" s="13"/>
      <c r="T36" s="13"/>
    </row>
    <row r="37" spans="1:20" ht="12.5" x14ac:dyDescent="0.25">
      <c r="F37" s="8" t="str">
        <f>"If "&amp;G91&amp;" = 0 (zero)"</f>
        <v>If c16.13 = 0 (zero)</v>
      </c>
      <c r="H37"/>
      <c r="I37"/>
      <c r="J37"/>
      <c r="K37" s="384"/>
      <c r="L37"/>
      <c r="M37"/>
      <c r="S37" s="13"/>
      <c r="T37" s="13"/>
    </row>
    <row r="38" spans="1:20" ht="12.5" x14ac:dyDescent="0.25">
      <c r="F38" s="278" t="str">
        <f>"Set "&amp;J110&amp;" to "&amp;J158&amp;" to 0 (zero)"</f>
        <v>Set c16.20 to c16.30 to 0 (zero)</v>
      </c>
      <c r="I38"/>
      <c r="J38"/>
      <c r="K38"/>
      <c r="L38" s="384"/>
      <c r="M38"/>
      <c r="S38" s="13"/>
    </row>
    <row r="39" spans="1:20" ht="12.5" x14ac:dyDescent="0.25">
      <c r="F39" s="278" t="str">
        <f>"Set "&amp;J166&amp;" = "&amp;J103</f>
        <v>Set c16.31 = c16.19</v>
      </c>
      <c r="I39"/>
      <c r="J39"/>
      <c r="K39"/>
      <c r="L39" s="384"/>
      <c r="M39"/>
      <c r="S39" s="13"/>
    </row>
    <row r="40" spans="1:20" ht="12.5" x14ac:dyDescent="0.25">
      <c r="F40" s="383" t="s">
        <v>8574</v>
      </c>
      <c r="H40"/>
      <c r="I40"/>
      <c r="J40"/>
      <c r="L40"/>
      <c r="M40"/>
      <c r="S40" s="13"/>
    </row>
    <row r="41" spans="1:20" ht="12.5" x14ac:dyDescent="0.25">
      <c r="F41" s="127" t="str">
        <f>"Calculate "&amp;J110</f>
        <v>Calculate c16.20</v>
      </c>
      <c r="H41"/>
      <c r="I41"/>
      <c r="J41"/>
      <c r="K41"/>
      <c r="L41" s="384"/>
      <c r="M41"/>
      <c r="S41" s="13"/>
    </row>
    <row r="42" spans="1:20" ht="12.5" x14ac:dyDescent="0.25">
      <c r="E42" s="127"/>
      <c r="F42" s="127" t="str">
        <f>"If "&amp;J110&amp;" = 0 (zero)"</f>
        <v>If c16.20 = 0 (zero)</v>
      </c>
      <c r="H42"/>
      <c r="I42"/>
      <c r="J42"/>
      <c r="K42"/>
      <c r="L42" s="384"/>
      <c r="M42"/>
      <c r="S42" s="13"/>
    </row>
    <row r="43" spans="1:20" ht="12.5" x14ac:dyDescent="0.25">
      <c r="F43" s="25" t="str">
        <f>"Set "&amp;J113&amp;" to "&amp;J158&amp;" to 0 (zero)"</f>
        <v>Set c16.21 to c16.30 to 0 (zero)</v>
      </c>
      <c r="H43"/>
      <c r="I43"/>
      <c r="J43"/>
      <c r="K43"/>
      <c r="L43"/>
      <c r="M43" s="384"/>
    </row>
    <row r="44" spans="1:20" ht="12.5" x14ac:dyDescent="0.25">
      <c r="F44" s="25" t="str">
        <f>"Set "&amp;J166&amp;" = "&amp;J103</f>
        <v>Set c16.31 = c16.19</v>
      </c>
      <c r="H44"/>
      <c r="I44"/>
      <c r="J44"/>
      <c r="K44"/>
      <c r="L44"/>
      <c r="M44" s="384"/>
    </row>
    <row r="45" spans="1:20" ht="12.5" x14ac:dyDescent="0.25">
      <c r="F45" s="383" t="s">
        <v>8574</v>
      </c>
      <c r="H45"/>
      <c r="I45"/>
      <c r="J45"/>
      <c r="K45"/>
      <c r="M45"/>
    </row>
    <row r="46" spans="1:20" ht="12.5" x14ac:dyDescent="0.25">
      <c r="F46" s="25" t="str">
        <f>"Calculate "&amp;J113&amp;" to "&amp;J158</f>
        <v>Calculate c16.21 to c16.30</v>
      </c>
      <c r="H46"/>
      <c r="I46"/>
      <c r="J46"/>
      <c r="K46"/>
      <c r="L46"/>
      <c r="M46" s="384"/>
    </row>
    <row r="47" spans="1:20" ht="12.5" x14ac:dyDescent="0.25">
      <c r="F47" s="25" t="str">
        <f>"Set "&amp;J166&amp;" to lower of "&amp;J103&amp;" and "&amp;J158</f>
        <v>Set c16.31 to lower of c16.19 and c16.30</v>
      </c>
      <c r="H47"/>
      <c r="I47"/>
      <c r="J47"/>
      <c r="K47"/>
      <c r="L47"/>
      <c r="M47" s="384"/>
    </row>
    <row r="48" spans="1:20" x14ac:dyDescent="0.25">
      <c r="M48" s="13"/>
    </row>
    <row r="49" spans="8:12" x14ac:dyDescent="0.25">
      <c r="I49" s="139"/>
      <c r="J49" s="139"/>
      <c r="K49" s="138" t="str">
        <f>"Total all instances ("&amp;SSE&amp;SE!C8&amp;")"</f>
        <v>Total all instances (SSE31)</v>
      </c>
    </row>
    <row r="50" spans="8:12" x14ac:dyDescent="0.25">
      <c r="H50" s="139" t="s">
        <v>8582</v>
      </c>
      <c r="J50" s="2162" t="str">
        <f>A1</f>
        <v>c16.1</v>
      </c>
      <c r="K50" s="2149">
        <f>TRUNC(SE!D9,0)</f>
        <v>0</v>
      </c>
      <c r="L50" s="225" t="s">
        <v>7061</v>
      </c>
    </row>
    <row r="52" spans="8:12" x14ac:dyDescent="0.25">
      <c r="I52" s="139"/>
      <c r="J52" s="139"/>
      <c r="K52" s="151" t="str">
        <f>"Total all instances ("&amp;FSE&amp;SE!G14&amp;")"</f>
        <v>Total all instances (FSE76)</v>
      </c>
    </row>
    <row r="53" spans="8:12" x14ac:dyDescent="0.25">
      <c r="J53" s="2162" t="str">
        <f>A2</f>
        <v>c16.2</v>
      </c>
      <c r="K53" s="2149">
        <f>TRUNC(SE!H15,0)</f>
        <v>0</v>
      </c>
      <c r="L53" s="225" t="s">
        <v>7070</v>
      </c>
    </row>
    <row r="54" spans="8:12" x14ac:dyDescent="0.25">
      <c r="I54" s="139"/>
      <c r="J54" s="139"/>
    </row>
    <row r="55" spans="8:12" x14ac:dyDescent="0.25">
      <c r="I55" s="139"/>
      <c r="J55" s="139"/>
      <c r="K55" s="151" t="str">
        <f>"from "&amp;LUN&amp;LUN!K7</f>
        <v>from LUN52</v>
      </c>
    </row>
    <row r="56" spans="8:12" x14ac:dyDescent="0.25">
      <c r="H56" s="139" t="s">
        <v>8583</v>
      </c>
      <c r="J56" s="2162" t="str">
        <f>A3</f>
        <v>c16.3</v>
      </c>
      <c r="K56" s="2149">
        <f>TRUNC(LUN!L8,0)</f>
        <v>0</v>
      </c>
      <c r="L56" s="197" t="s">
        <v>7029</v>
      </c>
    </row>
    <row r="58" spans="8:12" x14ac:dyDescent="0.25">
      <c r="I58" s="139"/>
      <c r="J58" s="139"/>
      <c r="K58" s="151" t="str">
        <f>"Total all instances ("&amp;SPS&amp;PS!C7&amp;")"</f>
        <v>Total all instances (SPS20)</v>
      </c>
    </row>
    <row r="59" spans="8:12" x14ac:dyDescent="0.25">
      <c r="H59" s="139" t="s">
        <v>8584</v>
      </c>
      <c r="J59" s="2162" t="str">
        <f>A4</f>
        <v>c16.4</v>
      </c>
      <c r="K59" s="2149">
        <f>TRUNC(PS!D8,0)</f>
        <v>0</v>
      </c>
      <c r="L59" s="225" t="s">
        <v>7089</v>
      </c>
    </row>
    <row r="60" spans="8:12" x14ac:dyDescent="0.25">
      <c r="I60" s="139"/>
      <c r="J60" s="139"/>
      <c r="K60" s="26"/>
    </row>
    <row r="61" spans="8:12" x14ac:dyDescent="0.25">
      <c r="J61" s="139"/>
      <c r="K61" s="151" t="str">
        <f>"Total all instances ("&amp;FPS&amp;PS!J7&amp;")"</f>
        <v>Total all instances (FPS20)</v>
      </c>
    </row>
    <row r="62" spans="8:12" x14ac:dyDescent="0.25">
      <c r="I62" s="139"/>
      <c r="J62" s="2162" t="str">
        <f>A5</f>
        <v>c16.5</v>
      </c>
      <c r="K62" s="2149">
        <f>TRUNC(PS!K8,0)</f>
        <v>0</v>
      </c>
      <c r="L62" s="225" t="s">
        <v>7091</v>
      </c>
    </row>
    <row r="63" spans="8:12" x14ac:dyDescent="0.25">
      <c r="I63" s="139"/>
      <c r="J63" s="139"/>
      <c r="K63" s="26"/>
      <c r="L63" s="225"/>
    </row>
    <row r="64" spans="8:12" x14ac:dyDescent="0.25">
      <c r="J64" s="139"/>
      <c r="K64" s="151" t="str">
        <f>'Deductions (c4)'!H343</f>
        <v>c4.54.1</v>
      </c>
    </row>
    <row r="65" spans="8:14" x14ac:dyDescent="0.25">
      <c r="H65" s="139" t="s">
        <v>8585</v>
      </c>
      <c r="J65" s="2162" t="str">
        <f>A6</f>
        <v>c16.5.1</v>
      </c>
      <c r="K65" s="2149">
        <f>'Deductions (c4)'!I343</f>
        <v>0</v>
      </c>
      <c r="L65" s="225"/>
    </row>
    <row r="66" spans="8:14" x14ac:dyDescent="0.25">
      <c r="I66" s="139"/>
    </row>
    <row r="67" spans="8:14" x14ac:dyDescent="0.25">
      <c r="N67" s="9" t="str">
        <f>J50&amp;" + "&amp;J53&amp;" + "&amp;J56&amp;" + "&amp;J59&amp;" + "&amp;J62&amp;" + "&amp;J65</f>
        <v>c16.1 + c16.2 + c16.3 + c16.4 + c16.5 + c16.5.1</v>
      </c>
    </row>
    <row r="68" spans="8:14" x14ac:dyDescent="0.25">
      <c r="H68" s="12" t="s">
        <v>8586</v>
      </c>
      <c r="M68" s="2162" t="str">
        <f>A7</f>
        <v>c16.6</v>
      </c>
      <c r="N68" s="2149">
        <f>K50+K53+K56+K59+K62+K65</f>
        <v>0</v>
      </c>
    </row>
    <row r="70" spans="8:14" ht="12.5" x14ac:dyDescent="0.25">
      <c r="H70" s="274" t="str">
        <f>"NIC Adjustments (use absolute value of Return boxes in boxes "&amp;J73&amp;" to "&amp;J82&amp;")"</f>
        <v>NIC Adjustments (use absolute value of Return boxes in boxes c16.7 to c16.10)</v>
      </c>
    </row>
    <row r="72" spans="8:14" x14ac:dyDescent="0.25">
      <c r="K72" s="138" t="str">
        <f>"Total all instances absolute value ("&amp;FSE&amp;SE!G35&amp;")"</f>
        <v>Total all instances absolute value (FSE102)</v>
      </c>
    </row>
    <row r="73" spans="8:14" x14ac:dyDescent="0.25">
      <c r="J73" s="2162" t="str">
        <f>A8</f>
        <v>c16.7</v>
      </c>
      <c r="K73" s="2149">
        <f>TRUNC(ABS(SE!H36)+0.99,0)</f>
        <v>0</v>
      </c>
      <c r="L73" s="225" t="s">
        <v>7065</v>
      </c>
    </row>
    <row r="75" spans="8:14" x14ac:dyDescent="0.25">
      <c r="K75" s="138" t="str">
        <f>" absolute value from "&amp;LUN&amp;LUN!K19</f>
        <v xml:space="preserve"> absolute value from LUN65</v>
      </c>
    </row>
    <row r="76" spans="8:14" x14ac:dyDescent="0.25">
      <c r="J76" s="2162" t="str">
        <f>A9</f>
        <v>c16.8</v>
      </c>
      <c r="K76" s="2149">
        <f>TRUNC(ABS(LUN!L20)+0.99,0)</f>
        <v>0</v>
      </c>
      <c r="L76" s="225" t="s">
        <v>7035</v>
      </c>
    </row>
    <row r="78" spans="8:14" x14ac:dyDescent="0.25">
      <c r="I78" s="139"/>
      <c r="J78" s="139"/>
      <c r="K78" s="138" t="str">
        <f>"Total all instances absolute value  ("&amp;SPS&amp;PS!C19&amp;")"</f>
        <v>Total all instances absolute value  (SPS27)</v>
      </c>
    </row>
    <row r="79" spans="8:14" x14ac:dyDescent="0.25">
      <c r="J79" s="2162" t="str">
        <f>A10</f>
        <v>c16.9</v>
      </c>
      <c r="K79" s="2149">
        <f>TRUNC(ABS(PS!D20)+0.99,0)</f>
        <v>0</v>
      </c>
      <c r="L79" s="225" t="s">
        <v>7087</v>
      </c>
    </row>
    <row r="80" spans="8:14" x14ac:dyDescent="0.25">
      <c r="I80" s="139"/>
      <c r="J80" s="139"/>
    </row>
    <row r="81" spans="2:12" x14ac:dyDescent="0.25">
      <c r="K81" s="138" t="str">
        <f>"Total all instances absolute value ("&amp;FPS&amp;PS!M14&amp;")"</f>
        <v>Total all instances absolute value (FPS27)</v>
      </c>
    </row>
    <row r="82" spans="2:12" x14ac:dyDescent="0.25">
      <c r="J82" s="2162" t="str">
        <f>A11</f>
        <v>c16.10</v>
      </c>
      <c r="K82" s="2149">
        <f>TRUNC(ABS(PS!N15)+0.99,0)</f>
        <v>0</v>
      </c>
      <c r="L82" s="225" t="s">
        <v>7090</v>
      </c>
    </row>
    <row r="83" spans="2:12" x14ac:dyDescent="0.25">
      <c r="J83" s="13"/>
      <c r="K83" s="13"/>
    </row>
    <row r="84" spans="2:12" x14ac:dyDescent="0.25">
      <c r="H84" s="9" t="str">
        <f>J73&amp;" + "&amp;J76&amp;" + "&amp;J79&amp;" + "&amp;J82</f>
        <v>c16.7 + c16.8 + c16.9 + c16.10</v>
      </c>
      <c r="J84" s="13"/>
      <c r="K84" s="13"/>
      <c r="L84" s="13"/>
    </row>
    <row r="85" spans="2:12" x14ac:dyDescent="0.25">
      <c r="B85" s="8" t="s">
        <v>8587</v>
      </c>
      <c r="G85" s="2162" t="str">
        <f>A12</f>
        <v>c16.11</v>
      </c>
      <c r="H85" s="2149">
        <f>K73+K76+K79+K82</f>
        <v>0</v>
      </c>
      <c r="J85" s="13"/>
      <c r="K85" s="13"/>
      <c r="L85" s="13"/>
    </row>
    <row r="86" spans="2:12" x14ac:dyDescent="0.25">
      <c r="H86" s="9"/>
      <c r="J86" s="13"/>
      <c r="K86" s="13"/>
      <c r="L86" s="13"/>
    </row>
    <row r="87" spans="2:12" x14ac:dyDescent="0.25">
      <c r="B87" s="8" t="s">
        <v>8588</v>
      </c>
      <c r="H87" s="9" t="str">
        <f>M68&amp;" minus "&amp;G85</f>
        <v>c16.6 minus c16.11</v>
      </c>
      <c r="J87" s="13"/>
      <c r="K87" s="13"/>
      <c r="L87" s="13"/>
    </row>
    <row r="88" spans="2:12" x14ac:dyDescent="0.25">
      <c r="B88" s="8" t="s">
        <v>8589</v>
      </c>
      <c r="G88" s="2162" t="str">
        <f>A13</f>
        <v>c16.12</v>
      </c>
      <c r="H88" s="2149">
        <f>MAX(N68-H85,0)</f>
        <v>0</v>
      </c>
      <c r="J88" s="13"/>
      <c r="K88" s="13"/>
      <c r="L88" s="13"/>
    </row>
    <row r="89" spans="2:12" x14ac:dyDescent="0.25">
      <c r="L89" s="13"/>
    </row>
    <row r="90" spans="2:12" x14ac:dyDescent="0.25">
      <c r="H90" s="9" t="str">
        <f>G88&amp;" minus NIC_LEL ("&amp;DOLLAR(NIC_LEL,0)&amp;")"</f>
        <v>c16.12 minus NIC_LEL (£12,570)</v>
      </c>
      <c r="J90" s="13"/>
      <c r="K90" s="13"/>
      <c r="L90" s="13"/>
    </row>
    <row r="91" spans="2:12" x14ac:dyDescent="0.25">
      <c r="B91" s="22" t="s">
        <v>8590</v>
      </c>
      <c r="C91" s="22"/>
      <c r="D91" s="22"/>
      <c r="F91" s="22"/>
      <c r="G91" s="2162" t="str">
        <f>A14</f>
        <v>c16.13</v>
      </c>
      <c r="H91" s="2149">
        <f>IF(NIC_exempt,0,MAX(H88-NIC_LEL,0))</f>
        <v>0</v>
      </c>
      <c r="J91" s="13"/>
      <c r="K91" s="13"/>
      <c r="L91" s="13"/>
    </row>
    <row r="92" spans="2:12" x14ac:dyDescent="0.25">
      <c r="K92" s="9" t="str">
        <f>"max_NIC ("&amp;DOLLAR(max_NIC,2)&amp;")"</f>
        <v>max_NIC (£2,262.00)</v>
      </c>
      <c r="L92" s="13"/>
    </row>
    <row r="93" spans="2:12" x14ac:dyDescent="0.25">
      <c r="B93" s="8" t="str">
        <f>"Maximum Class 4 NIC chargeable × NIC_rate ("&amp;(NIC_rate*100)&amp;"%)"</f>
        <v>Maximum Class 4 NIC chargeable × NIC_rate (6%)</v>
      </c>
      <c r="J93" s="2162" t="str">
        <f>A15</f>
        <v>c16.14</v>
      </c>
      <c r="K93" s="2186">
        <f>IF(NIC_exempt,0,max_NIC)</f>
        <v>2262</v>
      </c>
    </row>
    <row r="95" spans="2:12" x14ac:dyDescent="0.25">
      <c r="K95" s="9" t="str">
        <f>"lower of ("&amp;G97&amp;" × NIC_rate ("&amp;(NIC_rate*100)&amp;"%))"</f>
        <v>lower of (c16.15 × NIC_rate (6%))</v>
      </c>
    </row>
    <row r="96" spans="2:12" x14ac:dyDescent="0.25">
      <c r="H96" s="9" t="str">
        <f>"lower of "&amp;G91&amp;" and NIC_Band ("&amp;DOLLAR(NIC_Band,0)&amp;")"</f>
        <v>lower of c16.13 and NIC_Band (£37,700)</v>
      </c>
      <c r="J96" s="11"/>
      <c r="K96" s="9" t="str">
        <f>"and max_NIC ("&amp;DOLLAR(max_NIC,2)&amp;")"</f>
        <v>and max_NIC (£2,262.00)</v>
      </c>
      <c r="L96" s="11"/>
    </row>
    <row r="97" spans="2:12" x14ac:dyDescent="0.25">
      <c r="D97" s="9"/>
      <c r="E97" s="9"/>
      <c r="G97" s="2162" t="str">
        <f>A16</f>
        <v>c16.15</v>
      </c>
      <c r="H97" s="2149">
        <f>IF(NIC_exempt,0,MIN(H91,NIC_Band))</f>
        <v>0</v>
      </c>
      <c r="I97" s="11"/>
      <c r="J97" s="2162" t="str">
        <f>A17</f>
        <v>c16.16</v>
      </c>
      <c r="K97" s="2207">
        <f>IF(NIC_exempt,0,MIN(TRUNC(H97*NIC_rate,2),max_NIC))</f>
        <v>0</v>
      </c>
      <c r="L97" s="197" t="s">
        <v>7647</v>
      </c>
    </row>
    <row r="98" spans="2:12" x14ac:dyDescent="0.25">
      <c r="I98" s="11"/>
      <c r="J98" s="11"/>
      <c r="K98" s="11"/>
      <c r="L98" s="11"/>
    </row>
    <row r="99" spans="2:12" x14ac:dyDescent="0.25">
      <c r="H99" s="9" t="str">
        <f>G91&amp;" minus "&amp;G97</f>
        <v>c16.13 minus c16.15</v>
      </c>
      <c r="K99" s="9" t="str">
        <f>G100&amp;" × NIC_supp_rate ("&amp;(NIC_supp_rate*100)&amp;"%)"</f>
        <v>c16.17 × NIC_supp_rate (2%)</v>
      </c>
      <c r="L99" s="11"/>
    </row>
    <row r="100" spans="2:12" x14ac:dyDescent="0.25">
      <c r="G100" s="2162" t="str">
        <f>A18</f>
        <v>c16.17</v>
      </c>
      <c r="H100" s="2149">
        <f>IF(NIC_exempt,0,MAX(0,H91-H97))</f>
        <v>0</v>
      </c>
      <c r="I100" s="11"/>
      <c r="J100" s="2162" t="str">
        <f>A19</f>
        <v>c16.18</v>
      </c>
      <c r="K100" s="2207">
        <f>IF(NIC_exempt,0,TRUNC(H100*NIC_supp_rate,2))</f>
        <v>0</v>
      </c>
      <c r="L100" s="197" t="s">
        <v>7647</v>
      </c>
    </row>
    <row r="102" spans="2:12" ht="12.75" customHeight="1" x14ac:dyDescent="0.25">
      <c r="K102" s="8" t="str">
        <f>J97&amp;" + "&amp;J100</f>
        <v>c16.16 + c16.18</v>
      </c>
    </row>
    <row r="103" spans="2:12" ht="12.75" customHeight="1" x14ac:dyDescent="0.25">
      <c r="B103" s="8" t="s">
        <v>8591</v>
      </c>
      <c r="I103" s="9" t="s">
        <v>8592</v>
      </c>
      <c r="J103" s="2162" t="str">
        <f>A20</f>
        <v>c16.19</v>
      </c>
      <c r="K103" s="2182">
        <f>IF(NIC_exempt,0,K97+K100)</f>
        <v>0</v>
      </c>
    </row>
    <row r="105" spans="2:12" ht="12.75" customHeight="1" x14ac:dyDescent="0.25">
      <c r="B105" s="12" t="s">
        <v>8593</v>
      </c>
    </row>
    <row r="107" spans="2:12" x14ac:dyDescent="0.25">
      <c r="B107" s="2226"/>
      <c r="C107" s="2228"/>
    </row>
    <row r="108" spans="2:12" x14ac:dyDescent="0.25">
      <c r="B108" s="524"/>
      <c r="C108" s="221"/>
      <c r="L108" s="225"/>
    </row>
    <row r="109" spans="2:12" x14ac:dyDescent="0.25">
      <c r="B109" s="221"/>
      <c r="D109" s="221"/>
      <c r="E109" s="221"/>
      <c r="F109" s="221"/>
      <c r="G109" s="221"/>
      <c r="K109" s="911" t="str">
        <f>"Total all instances ("&amp;NI!C19&amp;") + ("&amp;NI!C26&amp;")"</f>
        <v>Total all instances (EMPCL1) + (MORCL1)</v>
      </c>
    </row>
    <row r="110" spans="2:12" x14ac:dyDescent="0.25">
      <c r="B110" s="8" t="s">
        <v>8594</v>
      </c>
      <c r="I110" s="9"/>
      <c r="J110" s="2162" t="str">
        <f>A21</f>
        <v>c16.20</v>
      </c>
      <c r="K110" s="2182">
        <f>IF(OR(H91=0,NIC_exempt),0,TRUNC(NI!D20+0.99,0)+TRUNC(NI!D27+0.99,0))</f>
        <v>0</v>
      </c>
      <c r="L110" s="225" t="s">
        <v>8595</v>
      </c>
    </row>
    <row r="112" spans="2:12" x14ac:dyDescent="0.25">
      <c r="K112" s="9" t="str">
        <f>J110&amp;" × NIC1_rate ("&amp;NIC1_rate*100&amp;"%)"</f>
        <v>c16.20 × NIC1_rate (8%)</v>
      </c>
    </row>
    <row r="113" spans="2:12" x14ac:dyDescent="0.25">
      <c r="I113" s="9" t="s">
        <v>8596</v>
      </c>
      <c r="J113" s="2162" t="str">
        <f>A22</f>
        <v>c16.21</v>
      </c>
      <c r="K113" s="2182">
        <f>IF(OR(H91=0,K110=0,NIC_exempt),0,TRUNC((K110*NIC1_rate)+0.0099,2))</f>
        <v>0</v>
      </c>
      <c r="L113" s="221" t="s">
        <v>8206</v>
      </c>
    </row>
    <row r="115" spans="2:12" x14ac:dyDescent="0.25">
      <c r="K115" s="9" t="s">
        <v>7043</v>
      </c>
    </row>
    <row r="116" spans="2:12" x14ac:dyDescent="0.25">
      <c r="J116" s="2162" t="str">
        <f>A23</f>
        <v>c16.22</v>
      </c>
      <c r="K116" s="2182">
        <v>0</v>
      </c>
      <c r="L116" s="221"/>
    </row>
    <row r="118" spans="2:12" x14ac:dyDescent="0.25">
      <c r="K118" s="9" t="str">
        <f>J93</f>
        <v>c16.14</v>
      </c>
    </row>
    <row r="119" spans="2:12" x14ac:dyDescent="0.25">
      <c r="B119" s="8" t="str">
        <f>"Total Max Class 4 NIC Charge x UPL rate "</f>
        <v xml:space="preserve">Total Max Class 4 NIC Charge x UPL rate </v>
      </c>
      <c r="J119" s="2162" t="str">
        <f>A24</f>
        <v>c16.23</v>
      </c>
      <c r="K119" s="2182">
        <f>IF(OR(H91=0,K110=0,NIC_exempt),0,IF(K113=0,0,K93))</f>
        <v>0</v>
      </c>
    </row>
    <row r="121" spans="2:12" ht="12" x14ac:dyDescent="0.3">
      <c r="C121" s="2276"/>
      <c r="D121" s="2228"/>
      <c r="E121" s="2228"/>
      <c r="F121" s="2174"/>
      <c r="G121" s="276"/>
    </row>
    <row r="122" spans="2:12" x14ac:dyDescent="0.25">
      <c r="C122" s="923"/>
      <c r="D122" s="221"/>
      <c r="E122" s="221"/>
      <c r="F122" s="241"/>
    </row>
    <row r="123" spans="2:12" x14ac:dyDescent="0.25">
      <c r="C123" s="923"/>
      <c r="D123" s="221"/>
      <c r="E123" s="221"/>
      <c r="F123" s="241"/>
    </row>
    <row r="124" spans="2:12" x14ac:dyDescent="0.25">
      <c r="C124" s="923"/>
      <c r="D124" s="221"/>
      <c r="E124" s="221"/>
      <c r="F124" s="241"/>
    </row>
    <row r="125" spans="2:12" x14ac:dyDescent="0.25">
      <c r="C125" s="923"/>
      <c r="D125" s="221"/>
      <c r="E125" s="221"/>
      <c r="F125" s="241"/>
    </row>
    <row r="126" spans="2:12" x14ac:dyDescent="0.25">
      <c r="C126" s="2277"/>
      <c r="D126" s="2233"/>
      <c r="E126" s="2233"/>
      <c r="F126" s="2177"/>
    </row>
    <row r="127" spans="2:12" ht="12" x14ac:dyDescent="0.3">
      <c r="K127" s="9" t="str">
        <f>J119&amp;" minus "&amp;J113</f>
        <v>c16.23 minus c16.21</v>
      </c>
      <c r="L127" s="276"/>
    </row>
    <row r="128" spans="2:12" x14ac:dyDescent="0.25">
      <c r="B128" s="8" t="s">
        <v>8597</v>
      </c>
      <c r="J128" s="2162" t="str">
        <f>A25</f>
        <v>c16.24</v>
      </c>
      <c r="K128" s="2182">
        <f>IF(OR(H91=0,K110=0,NIC_exempt),0,IF(K113=0,0,MAX(0,K119-K113)))</f>
        <v>0</v>
      </c>
    </row>
    <row r="130" spans="2:12" x14ac:dyDescent="0.25">
      <c r="K130" s="9" t="str">
        <f>J128&amp;" divided by NIC_rate ("&amp;NIC_rate*100&amp;"%)"</f>
        <v>c16.24 divided by NIC_rate (6%)</v>
      </c>
    </row>
    <row r="131" spans="2:12" x14ac:dyDescent="0.25">
      <c r="B131" s="8" t="str">
        <f>"Divide the result of "&amp;J128&amp;" by UPL rate"</f>
        <v>Divide the result of c16.24 by UPL rate</v>
      </c>
      <c r="J131" s="2162" t="str">
        <f>A26</f>
        <v>c16.25</v>
      </c>
      <c r="K131" s="2182">
        <f>IF(OR(H91=0,K110=0,NIC_exempt),0,TRUNC(K128/NIC_rate,2))</f>
        <v>0</v>
      </c>
      <c r="L131" s="197" t="s">
        <v>7647</v>
      </c>
    </row>
    <row r="133" spans="2:12" x14ac:dyDescent="0.25">
      <c r="K133" s="9" t="str">
        <f>"lower of ("&amp;G88&amp;" and NIC_UEL ("&amp;DOLLAR(NIC_UEL,0)&amp;")) minus NIC_LEL ("&amp;DOLLAR(NIC_LEL,0)&amp;")"</f>
        <v>lower of (c16.12 and NIC_UEL (£50,270)) minus NIC_LEL (£12,570)</v>
      </c>
    </row>
    <row r="134" spans="2:12" ht="12" x14ac:dyDescent="0.3">
      <c r="B134" s="8" t="s">
        <v>8598</v>
      </c>
      <c r="J134" s="2162" t="str">
        <f>A27</f>
        <v>c16.26</v>
      </c>
      <c r="K134" s="2182">
        <f>IF(OR(H91=0,K110=0,NIC_exempt),0,IF(K113=0,0,MIN(H88,NIC_UEL)-NIC_LEL))</f>
        <v>0</v>
      </c>
      <c r="L134" s="144" t="s">
        <v>7220</v>
      </c>
    </row>
    <row r="136" spans="2:12" x14ac:dyDescent="0.25">
      <c r="K136" s="9" t="str">
        <f>J134&amp;" minus "&amp;J131</f>
        <v>c16.26 minus c16.25</v>
      </c>
    </row>
    <row r="137" spans="2:12" x14ac:dyDescent="0.25">
      <c r="B137" s="8" t="str">
        <f>"Subtract the result of "&amp;J131&amp;" from the result of "&amp;J134</f>
        <v>Subtract the result of c16.25 from the result of c16.26</v>
      </c>
      <c r="J137" s="2162" t="str">
        <f>A28</f>
        <v>c16.27</v>
      </c>
      <c r="K137" s="2182">
        <f>IF(OR(H91=0,K110=0,NIC_exempt),0,MAX(0,K134-K131))</f>
        <v>0</v>
      </c>
    </row>
    <row r="139" spans="2:12" x14ac:dyDescent="0.25">
      <c r="K139" s="9" t="str">
        <f>J137&amp;" × NIC_supp_rate ("&amp;NIC_supp_rate*100&amp;"%)"</f>
        <v>c16.27 × NIC_supp_rate (2%)</v>
      </c>
    </row>
    <row r="140" spans="2:12" x14ac:dyDescent="0.25">
      <c r="B140" s="8" t="str">
        <f>"Multiply the result of "&amp;J137&amp;" by LPL rate"</f>
        <v>Multiply the result of c16.27 by LPL rate</v>
      </c>
      <c r="J140" s="2162" t="str">
        <f>A29</f>
        <v>c16.28</v>
      </c>
      <c r="K140" s="2182">
        <f>IF(OR(H91=0,K110=0,NIC_exempt),0,TRUNC(K137*NIC_supp_rate,2))</f>
        <v>0</v>
      </c>
      <c r="L140" s="197" t="s">
        <v>7647</v>
      </c>
    </row>
    <row r="142" spans="2:12" x14ac:dyDescent="0.25">
      <c r="K142" s="9" t="str">
        <f>"("&amp;G88&amp;" minus NIC_UEL ("&amp;DOLLAR(NIC_UEL,0)&amp;")) × NIC_supp_rate ("&amp;NIC_supp_rate*100&amp;"%)"</f>
        <v>(c16.12 minus NIC_UEL (£50,270)) × NIC_supp_rate (2%)</v>
      </c>
    </row>
    <row r="143" spans="2:12" x14ac:dyDescent="0.25">
      <c r="B143" s="8" t="s">
        <v>8599</v>
      </c>
      <c r="J143" s="2162" t="str">
        <f>A30</f>
        <v>c16.29</v>
      </c>
      <c r="K143" s="2182">
        <f>MAX(0,IF(OR(H91=0,K110=0,NIC_exempt),0,IF(H88-NIC_UEL&lt;0,0,TRUNC((H88-NIC_UEL)*NIC_supp_rate,2))))</f>
        <v>0</v>
      </c>
      <c r="L143" s="197" t="s">
        <v>7647</v>
      </c>
    </row>
    <row r="149" spans="9:11" x14ac:dyDescent="0.25">
      <c r="J149" s="8" t="str">
        <f>"If "&amp;J119&amp;" minus "&amp;J113&amp;" &gt;= 0 and "&amp;J128&amp;" &gt; ("&amp;J113&amp;" + ("&amp;G91&amp;" × NIC_rate ("&amp;NIC_rate*100&amp;"%)))"</f>
        <v>If c16.23 minus c16.21 &gt;= 0 and c16.24 &gt; (c16.21 + (c16.13 × NIC_rate (6%)))</v>
      </c>
    </row>
    <row r="150" spans="9:11" x14ac:dyDescent="0.25">
      <c r="J150" s="8" t="str">
        <f>J158&amp;" = "&amp;J128</f>
        <v>c16.30 = c16.24</v>
      </c>
    </row>
    <row r="151" spans="9:11" x14ac:dyDescent="0.25">
      <c r="J151" s="8" t="s">
        <v>7143</v>
      </c>
    </row>
    <row r="152" spans="9:11" x14ac:dyDescent="0.25">
      <c r="J152" s="8" t="str">
        <f>"If "&amp;J119&amp;" minus "&amp;J113&amp;" &gt;= 0 and "&amp;J128&amp;" &lt;= ("&amp;J113&amp;" + ("&amp;G91&amp;" × NIC_rate ("&amp;NIC_rate*100&amp;"%)))"</f>
        <v>If c16.23 minus c16.21 &gt;= 0 and c16.24 &lt;= (c16.21 + (c16.13 × NIC_rate (6%)))</v>
      </c>
    </row>
    <row r="153" spans="9:11" x14ac:dyDescent="0.25">
      <c r="J153" s="8" t="str">
        <f>J158&amp;" = "&amp;J128&amp;" + "&amp;J140&amp;" + "&amp;J143</f>
        <v>c16.30 = c16.24 + c16.28 + c16.29</v>
      </c>
    </row>
    <row r="154" spans="9:11" x14ac:dyDescent="0.25">
      <c r="J154" s="8" t="s">
        <v>7143</v>
      </c>
    </row>
    <row r="155" spans="9:11" x14ac:dyDescent="0.25">
      <c r="J155" s="8" t="str">
        <f>J158&amp;" = "&amp;J140&amp;" + "&amp;J143</f>
        <v>c16.30 = c16.28 + c16.29</v>
      </c>
    </row>
    <row r="156" spans="9:11" x14ac:dyDescent="0.25">
      <c r="J156" s="127" t="s">
        <v>75</v>
      </c>
    </row>
    <row r="157" spans="9:11" x14ac:dyDescent="0.25">
      <c r="J157" s="8" t="s">
        <v>75</v>
      </c>
    </row>
    <row r="158" spans="9:11" x14ac:dyDescent="0.25">
      <c r="I158" s="9" t="s">
        <v>8600</v>
      </c>
      <c r="J158" s="2162" t="str">
        <f>A31</f>
        <v>c16.30</v>
      </c>
      <c r="K158" s="2182">
        <f>IF(OR(H91=0,K110=0,NIC_exempt),0,IF(AND(K119-K113&gt;=0,K128&gt;(K113+(H91*NIC_rate))),K128,IF(AND(K119-K113&gt;=0,K128&lt;=(K113+(H91*NIC_rate))),(K128+K140+K143),K140+K143)))</f>
        <v>0</v>
      </c>
    </row>
    <row r="161" spans="2:12" x14ac:dyDescent="0.25">
      <c r="J161" s="8" t="str">
        <f>"If "&amp;J110&amp;" &gt; 0 (zero)"</f>
        <v>If c16.20 &gt; 0 (zero)</v>
      </c>
    </row>
    <row r="162" spans="2:12" x14ac:dyDescent="0.25">
      <c r="J162" s="22" t="str">
        <f>J166&amp;" = Lower of "&amp;J103&amp;" and "&amp;J158</f>
        <v>c16.31 = Lower of c16.19 and c16.30</v>
      </c>
    </row>
    <row r="163" spans="2:12" x14ac:dyDescent="0.25">
      <c r="J163" s="8" t="s">
        <v>7143</v>
      </c>
    </row>
    <row r="164" spans="2:12" x14ac:dyDescent="0.25">
      <c r="J164" s="8" t="str">
        <f>J166&amp;" = "&amp;J103</f>
        <v>c16.31 = c16.19</v>
      </c>
    </row>
    <row r="165" spans="2:12" x14ac:dyDescent="0.25">
      <c r="J165" s="8" t="s">
        <v>75</v>
      </c>
    </row>
    <row r="166" spans="2:12" x14ac:dyDescent="0.25">
      <c r="I166" s="9" t="s">
        <v>8601</v>
      </c>
      <c r="J166" s="2162" t="str">
        <f>A32</f>
        <v>c16.31</v>
      </c>
      <c r="K166" s="2182">
        <f>IF(NIC_exempt,0,IF(K110&gt;0,MIN(K103,K158),K103))</f>
        <v>0</v>
      </c>
    </row>
    <row r="167" spans="2:12" x14ac:dyDescent="0.25">
      <c r="K167" s="9" t="str">
        <f>"copy to box "&amp;'Tax due (c12)'!I39</f>
        <v>copy to box c12.2</v>
      </c>
    </row>
    <row r="169" spans="2:12" ht="12.5" x14ac:dyDescent="0.25">
      <c r="C169"/>
      <c r="D169"/>
      <c r="E169"/>
      <c r="F169"/>
      <c r="G169" s="274" t="s">
        <v>8602</v>
      </c>
    </row>
    <row r="170" spans="2:12" ht="12.5" x14ac:dyDescent="0.25">
      <c r="C170"/>
      <c r="D170"/>
      <c r="E170"/>
      <c r="F170" s="274" t="s">
        <v>8602</v>
      </c>
      <c r="G170"/>
    </row>
    <row r="171" spans="2:12" ht="13" x14ac:dyDescent="0.3">
      <c r="C171"/>
      <c r="D171"/>
      <c r="E171" s="2278"/>
      <c r="F171" s="276"/>
      <c r="G171"/>
    </row>
    <row r="172" spans="2:12" ht="13" x14ac:dyDescent="0.3">
      <c r="C172"/>
      <c r="D172" s="2278"/>
      <c r="E172"/>
      <c r="F172" s="276"/>
      <c r="G172"/>
    </row>
    <row r="173" spans="2:12" ht="12.5" x14ac:dyDescent="0.25">
      <c r="C173" s="274" t="s">
        <v>8602</v>
      </c>
      <c r="D173"/>
      <c r="E173"/>
      <c r="F173"/>
      <c r="G173"/>
    </row>
    <row r="174" spans="2:12" ht="12.5" x14ac:dyDescent="0.25">
      <c r="C174"/>
    </row>
    <row r="175" spans="2:12" x14ac:dyDescent="0.25">
      <c r="B175" s="2151"/>
      <c r="C175" s="2151"/>
      <c r="D175" s="2151"/>
      <c r="E175" s="2151"/>
      <c r="F175" s="2151"/>
      <c r="G175" s="2151"/>
      <c r="H175" s="2151"/>
      <c r="I175" s="2151"/>
      <c r="J175" s="2151"/>
      <c r="K175" s="2151"/>
      <c r="L175" s="2151"/>
    </row>
    <row r="177" spans="2:19" x14ac:dyDescent="0.25">
      <c r="B177" s="12" t="s">
        <v>444</v>
      </c>
    </row>
    <row r="178" spans="2:19" ht="12" x14ac:dyDescent="0.3">
      <c r="B178" s="23" t="s">
        <v>8603</v>
      </c>
      <c r="M178" s="210"/>
      <c r="N178" s="210"/>
    </row>
    <row r="179" spans="2:19" ht="12.5" x14ac:dyDescent="0.25">
      <c r="B179" s="178" t="s">
        <v>8604</v>
      </c>
      <c r="M179" s="210"/>
      <c r="N179" s="210"/>
    </row>
    <row r="180" spans="2:19" ht="12.5" x14ac:dyDescent="0.25">
      <c r="B180" s="178" t="s">
        <v>8605</v>
      </c>
    </row>
    <row r="181" spans="2:19" ht="12.5" x14ac:dyDescent="0.25">
      <c r="B181" s="178" t="s">
        <v>8606</v>
      </c>
      <c r="M181" s="210"/>
      <c r="N181" s="210"/>
    </row>
    <row r="182" spans="2:19" ht="12.5" x14ac:dyDescent="0.25">
      <c r="B182" s="178" t="s">
        <v>8607</v>
      </c>
    </row>
    <row r="183" spans="2:19" ht="12.5" x14ac:dyDescent="0.25">
      <c r="B183" s="178" t="s">
        <v>8608</v>
      </c>
    </row>
    <row r="186" spans="2:19" x14ac:dyDescent="0.25">
      <c r="P186" s="210"/>
      <c r="Q186" s="210"/>
      <c r="R186" s="210"/>
      <c r="S186" s="210"/>
    </row>
    <row r="187" spans="2:19" x14ac:dyDescent="0.25">
      <c r="K187" s="9" t="str">
        <f>"if "&amp;G88&amp;" &lt; NIC2_SPT ("&amp;DOLLAR(NIC2_SPT,0)&amp;") and if ("&amp;SSE&amp;SE!C14&amp;" = Y or "&amp;FSE&amp;SE!G29&amp;" = Y or "&amp;LUN&amp;LUN!K13&amp;" = Y or "&amp;SPS&amp;PS!C13&amp;" = Y or "&amp;FPS&amp;PS!G14&amp;" = Y)"</f>
        <v>if c16.12 &lt; NIC2_SPT (£6,845) and if (SSE36 = Y or FSE100 = Y or LUN63 = Y or SPS25 = Y or FPS25 = Y)</v>
      </c>
      <c r="P187" s="210"/>
      <c r="Q187" s="210"/>
      <c r="R187" s="210"/>
      <c r="S187" s="210"/>
    </row>
    <row r="188" spans="2:19" x14ac:dyDescent="0.25">
      <c r="K188" s="9" t="str">
        <f>J192&amp;" = box NI"&amp;NI!C11</f>
        <v>c16.32 = box NICL2</v>
      </c>
    </row>
    <row r="189" spans="2:19" x14ac:dyDescent="0.25">
      <c r="K189" s="9" t="s">
        <v>7143</v>
      </c>
      <c r="O189" s="210"/>
      <c r="P189" s="210"/>
    </row>
    <row r="190" spans="2:19" x14ac:dyDescent="0.25">
      <c r="K190" s="9" t="str">
        <f>J192&amp;" = 0 (zero)"</f>
        <v>c16.32 = 0 (zero)</v>
      </c>
      <c r="O190" s="210"/>
    </row>
    <row r="191" spans="2:19" x14ac:dyDescent="0.25">
      <c r="K191" s="9" t="s">
        <v>75</v>
      </c>
    </row>
    <row r="192" spans="2:19" x14ac:dyDescent="0.25">
      <c r="B192" s="233" t="s">
        <v>8609</v>
      </c>
      <c r="J192" s="2162" t="str">
        <f>A33</f>
        <v>c16.32</v>
      </c>
      <c r="K192" s="2182">
        <f>IF(NI!D12="",0,IF(AND(H88&lt;NIC2_SPT,NIC2_voluntary="TRUE"),MIN(NIC2SF_annual_limit,NI!D12),0))</f>
        <v>0</v>
      </c>
    </row>
    <row r="193" spans="10:11" x14ac:dyDescent="0.25">
      <c r="K193" s="9" t="str">
        <f>"copy to box "&amp;'Tax due (c12)'!I47</f>
        <v>copy to box c12.3</v>
      </c>
    </row>
    <row r="196" spans="10:11" x14ac:dyDescent="0.25">
      <c r="K196" s="9" t="str">
        <f>"if "&amp;G88&amp;" &gt;= NIC2_SPT ("&amp;DOLLAR(NIC2_SPT,0)&amp;")"</f>
        <v>if c16.12 &gt;= NIC2_SPT (£6,845)</v>
      </c>
    </row>
    <row r="197" spans="10:11" x14ac:dyDescent="0.25">
      <c r="K197" s="9" t="s">
        <v>8610</v>
      </c>
    </row>
    <row r="198" spans="10:11" x14ac:dyDescent="0.25">
      <c r="K198" s="9" t="str">
        <f>J202&amp;" = 1 "</f>
        <v xml:space="preserve">c16.33 = 1 </v>
      </c>
    </row>
    <row r="199" spans="10:11" x14ac:dyDescent="0.25">
      <c r="K199" s="9" t="s">
        <v>7143</v>
      </c>
    </row>
    <row r="200" spans="10:11" x14ac:dyDescent="0.25">
      <c r="K200" s="9" t="str">
        <f>J202&amp;" = 0 (zero)"</f>
        <v>c16.33 = 0 (zero)</v>
      </c>
    </row>
    <row r="201" spans="10:11" x14ac:dyDescent="0.25">
      <c r="K201" s="9" t="s">
        <v>75</v>
      </c>
    </row>
    <row r="202" spans="10:11" x14ac:dyDescent="0.25">
      <c r="J202" s="2029" t="str">
        <f>A34</f>
        <v>c16.33</v>
      </c>
      <c r="K202" s="2029">
        <f>IF(AND(H88&gt;=NIC2_SPT,NI!D12&gt;0),1,0)</f>
        <v>0</v>
      </c>
    </row>
  </sheetData>
  <phoneticPr fontId="58" type="noConversion"/>
  <pageMargins left="0.19685039370078741" right="0.19685039370078741" top="0.19685039370078741" bottom="0.19685039370078741" header="0" footer="0"/>
  <pageSetup paperSize="9" orientation="portrait" r:id="rId1"/>
  <headerFooter alignWithMargins="0">
    <oddFooter>&amp;C&amp;1#&amp;"Calibri"&amp;10&amp;K000000OFFICIAL-SENSITIVE</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
  <dimension ref="A1:U315"/>
  <sheetViews>
    <sheetView showGridLines="0" topLeftCell="B1" zoomScaleNormal="100" workbookViewId="0">
      <selection activeCell="B1" sqref="B1"/>
    </sheetView>
  </sheetViews>
  <sheetFormatPr defaultColWidth="8.81640625" defaultRowHeight="11.5" x14ac:dyDescent="0.25"/>
  <cols>
    <col min="1" max="1" width="12.7265625" style="8" hidden="1" customWidth="1"/>
    <col min="2" max="2" width="2.81640625" style="8" customWidth="1"/>
    <col min="3" max="3" width="17" style="8" customWidth="1"/>
    <col min="4" max="4" width="6.54296875" style="8" customWidth="1"/>
    <col min="5" max="5" width="7.1796875" style="8" customWidth="1"/>
    <col min="6" max="6" width="13.54296875" style="8" customWidth="1"/>
    <col min="7" max="7" width="2.54296875" style="8" customWidth="1"/>
    <col min="8" max="8" width="5.54296875" style="8" customWidth="1"/>
    <col min="9" max="9" width="2.54296875" style="8" customWidth="1"/>
    <col min="10" max="11" width="6.453125" style="8" customWidth="1"/>
    <col min="12" max="12" width="7.54296875" style="8" customWidth="1"/>
    <col min="13" max="13" width="13.54296875" style="8" customWidth="1"/>
    <col min="14" max="14" width="6.1796875" style="8" customWidth="1"/>
    <col min="15" max="15" width="6.1796875" style="8" bestFit="1" customWidth="1"/>
    <col min="16" max="16" width="8.81640625" style="8" customWidth="1"/>
    <col min="17" max="17" width="13.54296875" style="8" customWidth="1"/>
    <col min="18" max="18" width="4.81640625" style="8" customWidth="1"/>
    <col min="19" max="19" width="8.81640625" style="8"/>
    <col min="20" max="20" width="8.453125" style="8" customWidth="1"/>
    <col min="21" max="21" width="12.81640625" style="8" customWidth="1"/>
    <col min="22" max="22" width="1.453125" style="8" customWidth="1"/>
    <col min="23" max="23" width="2.54296875" style="8" customWidth="1"/>
    <col min="24" max="24" width="8.81640625" style="8"/>
    <col min="25" max="26" width="4.54296875" style="8" customWidth="1"/>
    <col min="27" max="27" width="8.81640625" style="8"/>
    <col min="28" max="29" width="4.54296875" style="8" customWidth="1"/>
    <col min="30" max="30" width="3.54296875" style="8" customWidth="1"/>
    <col min="31" max="31" width="5.54296875" style="8" customWidth="1"/>
    <col min="32" max="16384" width="8.81640625" style="8"/>
  </cols>
  <sheetData>
    <row r="1" spans="1:19" ht="18" x14ac:dyDescent="0.4">
      <c r="A1" s="8" t="s">
        <v>8611</v>
      </c>
      <c r="B1" s="484" t="s">
        <v>8612</v>
      </c>
      <c r="Q1" s="9"/>
    </row>
    <row r="2" spans="1:19" x14ac:dyDescent="0.25">
      <c r="A2" s="8" t="s">
        <v>8613</v>
      </c>
      <c r="H2" s="2144" t="s">
        <v>7019</v>
      </c>
      <c r="I2" s="2205"/>
      <c r="J2" s="2205"/>
      <c r="K2" s="2205"/>
      <c r="L2" s="2205"/>
      <c r="M2" s="2205"/>
      <c r="N2" s="2147"/>
    </row>
    <row r="3" spans="1:19" x14ac:dyDescent="0.25">
      <c r="A3" s="8" t="s">
        <v>8614</v>
      </c>
    </row>
    <row r="4" spans="1:19" x14ac:dyDescent="0.25">
      <c r="A4" s="8" t="s">
        <v>8615</v>
      </c>
      <c r="B4" s="429"/>
    </row>
    <row r="5" spans="1:19" x14ac:dyDescent="0.25">
      <c r="A5" s="8" t="s">
        <v>8616</v>
      </c>
      <c r="B5" s="428" t="s">
        <v>8617</v>
      </c>
    </row>
    <row r="6" spans="1:19" x14ac:dyDescent="0.25">
      <c r="A6" s="8" t="s">
        <v>8618</v>
      </c>
      <c r="B6" s="428" t="s">
        <v>8619</v>
      </c>
    </row>
    <row r="7" spans="1:19" x14ac:dyDescent="0.25">
      <c r="A7" s="8" t="s">
        <v>8620</v>
      </c>
      <c r="B7" s="924" t="s">
        <v>8621</v>
      </c>
    </row>
    <row r="8" spans="1:19" x14ac:dyDescent="0.25">
      <c r="A8" s="8" t="s">
        <v>8622</v>
      </c>
      <c r="B8" s="429"/>
    </row>
    <row r="9" spans="1:19" x14ac:dyDescent="0.25">
      <c r="A9" s="8" t="s">
        <v>8623</v>
      </c>
      <c r="B9" s="458" t="s">
        <v>8624</v>
      </c>
    </row>
    <row r="10" spans="1:19" x14ac:dyDescent="0.25">
      <c r="A10" s="8" t="s">
        <v>8625</v>
      </c>
      <c r="B10" s="458" t="s">
        <v>8626</v>
      </c>
    </row>
    <row r="11" spans="1:19" x14ac:dyDescent="0.25">
      <c r="A11" s="8" t="s">
        <v>8627</v>
      </c>
      <c r="B11" s="925" t="s">
        <v>8628</v>
      </c>
    </row>
    <row r="12" spans="1:19" x14ac:dyDescent="0.25">
      <c r="A12" s="8" t="s">
        <v>8629</v>
      </c>
    </row>
    <row r="13" spans="1:19" x14ac:dyDescent="0.25">
      <c r="A13" s="8" t="s">
        <v>8630</v>
      </c>
    </row>
    <row r="14" spans="1:19" x14ac:dyDescent="0.25">
      <c r="A14" s="8" t="s">
        <v>8631</v>
      </c>
    </row>
    <row r="15" spans="1:19" ht="33.75" customHeight="1" x14ac:dyDescent="0.25">
      <c r="A15" s="8" t="s">
        <v>8632</v>
      </c>
      <c r="B15" s="2659" t="s">
        <v>8633</v>
      </c>
      <c r="C15" s="2659"/>
      <c r="D15" s="2659"/>
      <c r="E15" s="2659"/>
      <c r="F15" s="2659"/>
      <c r="G15" s="2659"/>
      <c r="H15" s="2659"/>
      <c r="I15" s="2659"/>
      <c r="J15" s="2659"/>
      <c r="K15" s="2659"/>
      <c r="L15" s="2659"/>
      <c r="M15" s="2659"/>
      <c r="N15" s="2659"/>
      <c r="O15" s="2659"/>
      <c r="P15" s="2659"/>
      <c r="Q15" s="2659"/>
      <c r="R15" s="2659"/>
      <c r="S15" s="2659"/>
    </row>
    <row r="16" spans="1:19" x14ac:dyDescent="0.25">
      <c r="A16" s="8" t="s">
        <v>8634</v>
      </c>
    </row>
    <row r="17" spans="1:19" ht="36" customHeight="1" x14ac:dyDescent="0.25">
      <c r="A17" s="8" t="s">
        <v>8635</v>
      </c>
      <c r="B17" s="2659" t="s">
        <v>8636</v>
      </c>
      <c r="C17" s="2659"/>
      <c r="D17" s="2659"/>
      <c r="E17" s="2659"/>
      <c r="F17" s="2659"/>
      <c r="G17" s="2659"/>
      <c r="H17" s="2659"/>
      <c r="I17" s="2659"/>
      <c r="J17" s="2659"/>
      <c r="K17" s="2659"/>
      <c r="L17" s="2659"/>
      <c r="M17" s="2659"/>
      <c r="N17" s="2659"/>
      <c r="O17" s="2659"/>
      <c r="P17" s="2659"/>
      <c r="Q17" s="2659"/>
      <c r="R17" s="2659"/>
      <c r="S17" s="2659"/>
    </row>
    <row r="18" spans="1:19" x14ac:dyDescent="0.25">
      <c r="A18" s="8" t="s">
        <v>8637</v>
      </c>
    </row>
    <row r="19" spans="1:19" ht="12.5" x14ac:dyDescent="0.25">
      <c r="A19" s="8" t="s">
        <v>8638</v>
      </c>
      <c r="B19" s="178" t="s">
        <v>8639</v>
      </c>
    </row>
    <row r="20" spans="1:19" ht="12.5" x14ac:dyDescent="0.25">
      <c r="A20" s="8" t="s">
        <v>8640</v>
      </c>
      <c r="B20" s="926" t="str">
        <f>P77&amp;" &gt; 0 or"</f>
        <v>c17.20 &gt; 0 or</v>
      </c>
    </row>
    <row r="21" spans="1:19" ht="12.5" x14ac:dyDescent="0.25">
      <c r="A21" s="8" t="s">
        <v>8641</v>
      </c>
      <c r="B21" s="926" t="str">
        <f>"If boxes (("&amp;CGT&amp;CGT!C4&amp;" + "&amp;CGT&amp;CGT!C13&amp;" + "&amp;CGT&amp;CGT!C18&amp;" + "&amp;CGT&amp;CGT!C26&amp;" + "&amp;CGT&amp;CGT!C36&amp;" + "&amp;CGT&amp;CGT!C43&amp;") minus (("&amp;CGT&amp;CGT!C10&amp;" + "&amp;CGT&amp;CGT!C21&amp;" + "&amp;CGT&amp;CGT!G26&amp;" + "&amp;CGT&amp;CGT!G36&amp;" + "&amp;CGT&amp;CGT!C46&amp;") minus ("&amp;CGT&amp;CGT!C49&amp;" + "&amp;CGT&amp;CGT!G52&amp;"))"&amp;" + "&amp;CGT&amp;CGT!P18&amp;" + (("&amp;CGT&amp;CGT!L26&amp;" + "&amp;CGT&amp;CGT!L34&amp;") minus "&amp;CGT&amp;CGT!P34&amp;") is greater than zero) or"</f>
        <v>If boxes ((CGT6 + CGT13B + CGT13.4 + CGT17 + CGT26 + CGT34) minus ((CGT7 + CGT13.5 + CGT19 + CGT27 + CGT35) minus (CGT41 + CGT43)) + CGT52 + ((CGT52.1 + CGT52.2) minus CGT52.5) is greater than zero) or</v>
      </c>
      <c r="C21" s="221"/>
    </row>
    <row r="22" spans="1:19" ht="12.5" x14ac:dyDescent="0.25">
      <c r="A22" s="8" t="s">
        <v>8642</v>
      </c>
      <c r="B22" s="926" t="str">
        <f>CGT&amp;CGT!L18&amp;" is not zero or Null "</f>
        <v xml:space="preserve">CGT51 is not zero or Null </v>
      </c>
      <c r="C22" s="1065"/>
      <c r="D22" s="1065"/>
      <c r="E22" s="1065"/>
    </row>
    <row r="23" spans="1:19" ht="13" x14ac:dyDescent="0.3">
      <c r="A23" s="8" t="s">
        <v>8643</v>
      </c>
      <c r="B23" s="2" t="s">
        <v>8644</v>
      </c>
    </row>
    <row r="24" spans="1:19" ht="12.5" x14ac:dyDescent="0.25">
      <c r="A24" s="8" t="s">
        <v>8645</v>
      </c>
      <c r="B24" s="926" t="str">
        <f>"("&amp;FOR&amp;FOR!K42&amp;" &gt; 0 with "&amp;FOR&amp;FOR!O35&amp;" absent, or"</f>
        <v>(FOR43 &gt; 0 with FOR44 absent, or</v>
      </c>
    </row>
    <row r="25" spans="1:19" ht="12.5" x14ac:dyDescent="0.25">
      <c r="A25" s="8" t="s">
        <v>8646</v>
      </c>
      <c r="B25" s="926" t="str">
        <f>AOI&amp;AOI!C13&amp;" &gt; 0 with "&amp;AOI&amp;AOI!C16&amp;" absent, or"</f>
        <v>AOI4 &gt; 0 with AOI5 absent, or</v>
      </c>
    </row>
    <row r="26" spans="1:19" ht="12.5" x14ac:dyDescent="0.25">
      <c r="A26" s="8" t="s">
        <v>8647</v>
      </c>
      <c r="B26" s="926" t="str">
        <f>AOI&amp;AOI!C19&amp;" &gt; 0 with "&amp;AOI&amp;AOI!C22&amp;" absent, or"</f>
        <v>AOI6 &gt; 0 with AOI7 absent, or</v>
      </c>
    </row>
    <row r="27" spans="1:19" ht="12.5" x14ac:dyDescent="0.25">
      <c r="A27" s="8" t="s">
        <v>8648</v>
      </c>
      <c r="B27" s="926" t="str">
        <f>AOI&amp;AOI!G13&amp;" &gt; 0 with "&amp;AOI&amp;AOI!G16&amp;" absent)"</f>
        <v>AOI8 &gt; 0 with AOI9 absent)</v>
      </c>
    </row>
    <row r="28" spans="1:19" x14ac:dyDescent="0.25">
      <c r="A28" s="8" t="s">
        <v>8649</v>
      </c>
    </row>
    <row r="29" spans="1:19" x14ac:dyDescent="0.25">
      <c r="A29" s="8" t="s">
        <v>8650</v>
      </c>
      <c r="B29" s="8" t="str">
        <f>"If ("&amp;FOR&amp;FOR!K42&amp;" + "&amp;AOI&amp;AOI!C13&amp;" + "&amp;AOI&amp;AOI!C19&amp;" + "&amp;AOI&amp;AOI!G13&amp;") is greater than 0 (zero)"</f>
        <v>If (FOR43 + AOI4 + AOI6 + AOI8) is greater than 0 (zero)</v>
      </c>
    </row>
    <row r="30" spans="1:19" x14ac:dyDescent="0.25">
      <c r="A30" s="8" t="s">
        <v>8651</v>
      </c>
      <c r="B30" s="8" t="s">
        <v>8652</v>
      </c>
    </row>
    <row r="31" spans="1:19" x14ac:dyDescent="0.25">
      <c r="A31" s="8" t="s">
        <v>8653</v>
      </c>
      <c r="B31" s="927" t="s">
        <v>8654</v>
      </c>
      <c r="C31" s="12"/>
    </row>
    <row r="32" spans="1:19" x14ac:dyDescent="0.25">
      <c r="A32" s="8" t="s">
        <v>8655</v>
      </c>
      <c r="B32" s="231"/>
      <c r="M32" s="9"/>
    </row>
    <row r="33" spans="1:13" x14ac:dyDescent="0.25">
      <c r="A33" s="8" t="s">
        <v>8656</v>
      </c>
      <c r="M33" s="9"/>
    </row>
    <row r="34" spans="1:13" x14ac:dyDescent="0.25">
      <c r="A34" s="8" t="s">
        <v>8657</v>
      </c>
    </row>
    <row r="35" spans="1:13" x14ac:dyDescent="0.25">
      <c r="A35" s="8" t="s">
        <v>8658</v>
      </c>
      <c r="M35" s="9"/>
    </row>
    <row r="36" spans="1:13" x14ac:dyDescent="0.25">
      <c r="A36" s="8" t="s">
        <v>8659</v>
      </c>
      <c r="M36" s="9" t="str">
        <f>"from "&amp;'Taxable (c5)'!E338</f>
        <v>from c5.85</v>
      </c>
    </row>
    <row r="37" spans="1:13" x14ac:dyDescent="0.25">
      <c r="A37" s="8" t="s">
        <v>8660</v>
      </c>
      <c r="K37" s="9" t="s">
        <v>6635</v>
      </c>
      <c r="L37" s="2162" t="str">
        <f>A1</f>
        <v>c17.1</v>
      </c>
      <c r="M37" s="2149">
        <f>'Taxable (c5)'!F338</f>
        <v>0</v>
      </c>
    </row>
    <row r="38" spans="1:13" x14ac:dyDescent="0.25">
      <c r="A38" s="8" t="s">
        <v>8661</v>
      </c>
    </row>
    <row r="39" spans="1:13" x14ac:dyDescent="0.25">
      <c r="A39" s="8" t="s">
        <v>8662</v>
      </c>
      <c r="B39" s="927" t="s">
        <v>8663</v>
      </c>
      <c r="L39" s="139"/>
    </row>
    <row r="40" spans="1:13" x14ac:dyDescent="0.25">
      <c r="A40" s="8" t="s">
        <v>8664</v>
      </c>
      <c r="F40" s="9" t="str">
        <f>"from "&amp;'NS income (c1)'!I188</f>
        <v>from c1.58</v>
      </c>
      <c r="L40" s="139"/>
      <c r="M40" s="26"/>
    </row>
    <row r="41" spans="1:13" x14ac:dyDescent="0.25">
      <c r="A41" s="8" t="s">
        <v>8665</v>
      </c>
      <c r="C41" s="22" t="s">
        <v>7119</v>
      </c>
      <c r="E41" s="2162" t="str">
        <f>A2</f>
        <v>c17.2</v>
      </c>
      <c r="F41" s="2149">
        <f>'NS income (c1)'!J188</f>
        <v>0</v>
      </c>
      <c r="L41" s="139"/>
    </row>
    <row r="42" spans="1:13" x14ac:dyDescent="0.25">
      <c r="A42" s="8" t="s">
        <v>8666</v>
      </c>
    </row>
    <row r="43" spans="1:13" x14ac:dyDescent="0.25">
      <c r="A43" s="8" t="s">
        <v>8667</v>
      </c>
      <c r="C43" s="22" t="s">
        <v>8668</v>
      </c>
      <c r="D43" s="9"/>
      <c r="E43" s="138"/>
      <c r="F43" s="152" t="str">
        <f>"from "&amp;PRO&amp;PRO!G7</f>
        <v>from PRO22</v>
      </c>
      <c r="G43" s="9"/>
      <c r="L43" s="141"/>
      <c r="M43" s="9" t="str">
        <f>E41&amp;" + "&amp;E44</f>
        <v>c17.2 + c17.3</v>
      </c>
    </row>
    <row r="44" spans="1:13" x14ac:dyDescent="0.25">
      <c r="A44" s="8" t="s">
        <v>8669</v>
      </c>
      <c r="C44" s="8" t="s">
        <v>8670</v>
      </c>
      <c r="E44" s="2279" t="str">
        <f>A3</f>
        <v>c17.3</v>
      </c>
      <c r="F44" s="2129">
        <f>TRUNC(PRO!H8,0)</f>
        <v>0</v>
      </c>
      <c r="G44" s="197" t="s">
        <v>7029</v>
      </c>
      <c r="L44" s="2162" t="str">
        <f>A4</f>
        <v>c17.4</v>
      </c>
      <c r="M44" s="2157">
        <f>F41+F44</f>
        <v>0</v>
      </c>
    </row>
    <row r="45" spans="1:13" x14ac:dyDescent="0.25">
      <c r="A45" s="8" t="s">
        <v>8671</v>
      </c>
      <c r="D45" s="80"/>
      <c r="E45" s="141"/>
      <c r="F45" s="80"/>
      <c r="G45" s="80"/>
      <c r="L45" s="139"/>
      <c r="M45" s="32"/>
    </row>
    <row r="46" spans="1:13" x14ac:dyDescent="0.25">
      <c r="A46" s="8" t="s">
        <v>8672</v>
      </c>
      <c r="D46" s="80"/>
      <c r="E46" s="139"/>
      <c r="G46" s="80"/>
      <c r="L46" s="139"/>
      <c r="M46" s="32" t="str">
        <f>L37&amp;" minus "&amp;L44</f>
        <v>c17.1 minus c17.4</v>
      </c>
    </row>
    <row r="47" spans="1:13" x14ac:dyDescent="0.25">
      <c r="A47" s="8" t="s">
        <v>8673</v>
      </c>
      <c r="D47" s="1065"/>
      <c r="E47" s="1107"/>
      <c r="F47" s="1067" t="str">
        <f>'Deductions (c4)'!L484&amp;" minus ("&amp;'Deductions (c4)'!H281&amp;" + "&amp;'Deductions (c4)'!H294</f>
        <v>c4.70 minus (c4.47.19 + c4.47.23</v>
      </c>
      <c r="L47" s="2162" t="str">
        <f>A5</f>
        <v>c17.5</v>
      </c>
      <c r="M47" s="2149">
        <f>MAX(0,M37-M44)</f>
        <v>0</v>
      </c>
    </row>
    <row r="48" spans="1:13" x14ac:dyDescent="0.25">
      <c r="A48" s="8" t="s">
        <v>8674</v>
      </c>
      <c r="C48" s="22" t="s">
        <v>8675</v>
      </c>
      <c r="D48" s="1065"/>
      <c r="E48" s="1107"/>
      <c r="F48" s="1067" t="str">
        <f>" + "&amp;'Deductions (c4)'!H310&amp;" + "&amp;'Deductions (c4)'!H321&amp;" + "&amp;'Deductions (c4)'!H413&amp;")"</f>
        <v xml:space="preserve"> + c4.47.27 + c4.47.30 + c4.63b)</v>
      </c>
      <c r="L48" s="139"/>
    </row>
    <row r="49" spans="1:13" x14ac:dyDescent="0.25">
      <c r="A49" s="8" t="s">
        <v>8676</v>
      </c>
      <c r="C49" s="8" t="s">
        <v>8677</v>
      </c>
      <c r="E49" s="2162" t="str">
        <f>A6</f>
        <v>c17.6</v>
      </c>
      <c r="F49" s="2149">
        <f>MAX(0,'Deductions (c4)'!M484-('Deductions (c4)'!I281+'Deductions (c4)'!I294+'Deductions (c4)'!I310+'Deductions (c4)'!I321+'Deductions (c4)'!I413))</f>
        <v>12570</v>
      </c>
      <c r="L49" s="139"/>
    </row>
    <row r="50" spans="1:13" x14ac:dyDescent="0.25">
      <c r="A50" s="8" t="s">
        <v>8678</v>
      </c>
      <c r="E50" s="139"/>
      <c r="L50" s="139"/>
    </row>
    <row r="51" spans="1:13" x14ac:dyDescent="0.25">
      <c r="A51" s="8" t="s">
        <v>8679</v>
      </c>
      <c r="E51" s="139"/>
      <c r="F51" s="9" t="str">
        <f>"from "&amp;'Deductions (c4)'!H329</f>
        <v>from c4.49</v>
      </c>
      <c r="L51" s="138"/>
      <c r="M51" s="32" t="str">
        <f>E49&amp;" minus "&amp;E52</f>
        <v>c17.6 minus c17.7</v>
      </c>
    </row>
    <row r="52" spans="1:13" x14ac:dyDescent="0.25">
      <c r="A52" s="8" t="s">
        <v>8680</v>
      </c>
      <c r="C52" s="8" t="s">
        <v>8681</v>
      </c>
      <c r="E52" s="2162" t="str">
        <f>A7</f>
        <v>c17.7</v>
      </c>
      <c r="F52" s="2149">
        <f>'Deductions (c4)'!I329</f>
        <v>0</v>
      </c>
      <c r="L52" s="2162" t="str">
        <f>A8</f>
        <v>c17.8</v>
      </c>
      <c r="M52" s="2149">
        <f>MAX(0,F49-F52)</f>
        <v>12570</v>
      </c>
    </row>
    <row r="53" spans="1:13" x14ac:dyDescent="0.25">
      <c r="A53" s="8" t="s">
        <v>8682</v>
      </c>
    </row>
    <row r="54" spans="1:13" x14ac:dyDescent="0.25">
      <c r="A54" s="8" t="s">
        <v>8683</v>
      </c>
      <c r="L54" s="139"/>
      <c r="M54" s="32" t="str">
        <f>L47&amp;" minus "&amp;L52</f>
        <v>c17.5 minus c17.8</v>
      </c>
    </row>
    <row r="55" spans="1:13" x14ac:dyDescent="0.25">
      <c r="A55" s="8" t="s">
        <v>8684</v>
      </c>
      <c r="K55" s="9" t="s">
        <v>8685</v>
      </c>
      <c r="L55" s="2162" t="str">
        <f>A9</f>
        <v>c17.9</v>
      </c>
      <c r="M55" s="2149">
        <f>MAX(0,M47-M52)</f>
        <v>0</v>
      </c>
    </row>
    <row r="56" spans="1:13" x14ac:dyDescent="0.25">
      <c r="A56" s="8" t="s">
        <v>8686</v>
      </c>
    </row>
    <row r="57" spans="1:13" x14ac:dyDescent="0.25">
      <c r="A57" s="8" t="s">
        <v>8687</v>
      </c>
      <c r="C57" s="231" t="s">
        <v>8688</v>
      </c>
      <c r="D57" s="9"/>
      <c r="E57" s="139"/>
    </row>
    <row r="58" spans="1:13" x14ac:dyDescent="0.25">
      <c r="A58" s="8" t="s">
        <v>8689</v>
      </c>
      <c r="C58" s="8" t="s">
        <v>8690</v>
      </c>
    </row>
    <row r="59" spans="1:13" x14ac:dyDescent="0.25">
      <c r="A59" s="8" t="s">
        <v>8691</v>
      </c>
      <c r="E59" s="139"/>
      <c r="F59" s="9" t="str">
        <f>"BR_band ("&amp;DOLLAR(BR_band,0)&amp;")"</f>
        <v>BR_band (£37,700)</v>
      </c>
    </row>
    <row r="60" spans="1:13" x14ac:dyDescent="0.25">
      <c r="A60" s="8" t="s">
        <v>8692</v>
      </c>
      <c r="C60" s="9" t="s">
        <v>8693</v>
      </c>
      <c r="E60" s="2162" t="str">
        <f>A10</f>
        <v>c17.10</v>
      </c>
      <c r="F60" s="2149">
        <f>BR_band</f>
        <v>37700</v>
      </c>
      <c r="L60" s="139"/>
    </row>
    <row r="61" spans="1:13" x14ac:dyDescent="0.25">
      <c r="A61" s="8" t="s">
        <v>8694</v>
      </c>
      <c r="E61" s="139"/>
      <c r="L61" s="139"/>
    </row>
    <row r="62" spans="1:13" x14ac:dyDescent="0.25">
      <c r="A62" s="758" t="s">
        <v>8695</v>
      </c>
      <c r="E62" s="139"/>
      <c r="F62" s="31" t="str">
        <f>"from "&amp;'Deductions (c4)'!H379</f>
        <v>from c4.58</v>
      </c>
      <c r="L62" s="139"/>
      <c r="M62" s="9" t="str">
        <f>E60&amp;" + "&amp;E63</f>
        <v>c17.10 + c17.11</v>
      </c>
    </row>
    <row r="63" spans="1:13" x14ac:dyDescent="0.25">
      <c r="A63" s="8" t="s">
        <v>8696</v>
      </c>
      <c r="C63" s="9" t="s">
        <v>8697</v>
      </c>
      <c r="E63" s="2279" t="str">
        <f>A11</f>
        <v>c17.11</v>
      </c>
      <c r="F63" s="2129">
        <f>'Deductions (c4)'!I379</f>
        <v>0</v>
      </c>
      <c r="K63" s="9" t="s">
        <v>8698</v>
      </c>
      <c r="L63" s="2279" t="str">
        <f>A12</f>
        <v>c17.12</v>
      </c>
      <c r="M63" s="2280">
        <f>F60+F63</f>
        <v>37700</v>
      </c>
    </row>
    <row r="64" spans="1:13" x14ac:dyDescent="0.25">
      <c r="A64" s="8" t="s">
        <v>8699</v>
      </c>
      <c r="D64" s="9"/>
      <c r="E64" s="139"/>
      <c r="L64" s="139"/>
    </row>
    <row r="65" spans="1:18" x14ac:dyDescent="0.25">
      <c r="A65" s="8" t="s">
        <v>8700</v>
      </c>
      <c r="C65" s="8" t="s">
        <v>8701</v>
      </c>
      <c r="D65" s="9"/>
      <c r="E65" s="139"/>
      <c r="L65" s="139"/>
      <c r="M65" s="32" t="str">
        <f>L55&amp;" minus "&amp;L63</f>
        <v>c17.9 minus c17.12</v>
      </c>
    </row>
    <row r="66" spans="1:18" x14ac:dyDescent="0.25">
      <c r="A66" s="8" t="s">
        <v>8702</v>
      </c>
      <c r="D66" s="9"/>
      <c r="E66" s="139"/>
      <c r="L66" s="2162" t="str">
        <f>A13</f>
        <v>c17.13</v>
      </c>
      <c r="M66" s="2149">
        <f>MAX(0,M55-M63)</f>
        <v>0</v>
      </c>
    </row>
    <row r="67" spans="1:18" x14ac:dyDescent="0.25">
      <c r="A67" s="8" t="s">
        <v>8703</v>
      </c>
      <c r="C67" s="231" t="s">
        <v>8704</v>
      </c>
    </row>
    <row r="68" spans="1:18" x14ac:dyDescent="0.25">
      <c r="A68" s="8" t="s">
        <v>8705</v>
      </c>
      <c r="B68" s="35"/>
      <c r="C68" s="35"/>
      <c r="D68" s="36" t="s">
        <v>8706</v>
      </c>
      <c r="E68" s="139"/>
      <c r="F68" s="9" t="str">
        <f>"HR_band ("&amp;DOLLAR(HR_band,0)&amp;")"</f>
        <v>HR_band (£87,440)</v>
      </c>
      <c r="L68" s="139"/>
      <c r="M68" s="26"/>
    </row>
    <row r="69" spans="1:18" x14ac:dyDescent="0.25">
      <c r="A69" s="8" t="s">
        <v>8707</v>
      </c>
      <c r="B69" s="35"/>
      <c r="C69" s="35"/>
      <c r="D69" s="36" t="s">
        <v>8708</v>
      </c>
      <c r="E69" s="2162" t="str">
        <f>A14</f>
        <v>c17.14</v>
      </c>
      <c r="F69" s="2149">
        <f>HR_band</f>
        <v>87440</v>
      </c>
      <c r="L69" s="139"/>
      <c r="M69" s="26"/>
    </row>
    <row r="70" spans="1:18" x14ac:dyDescent="0.25">
      <c r="A70" s="8" t="s">
        <v>8709</v>
      </c>
      <c r="D70" s="9"/>
      <c r="E70" s="139"/>
      <c r="F70" s="174" t="s">
        <v>7043</v>
      </c>
      <c r="L70" s="139"/>
      <c r="M70" s="174" t="str">
        <f>"lower of "&amp;L66&amp;" and "&amp;E69</f>
        <v>lower of c17.13 and c17.14</v>
      </c>
      <c r="Q70" s="32" t="str">
        <f>L71&amp;" × HR_rate ("&amp;HR_rate*100&amp;"%)"</f>
        <v>c17.16 × HR_rate (40%)</v>
      </c>
    </row>
    <row r="71" spans="1:18" x14ac:dyDescent="0.25">
      <c r="A71" s="8" t="s">
        <v>8710</v>
      </c>
      <c r="D71" s="9"/>
      <c r="E71" s="2162" t="str">
        <f>A15</f>
        <v>c17.15</v>
      </c>
      <c r="F71" s="2149"/>
      <c r="K71" s="9" t="s">
        <v>8711</v>
      </c>
      <c r="L71" s="2162" t="str">
        <f>A16</f>
        <v>c17.16</v>
      </c>
      <c r="M71" s="2149">
        <f>MIN(M66,F69)</f>
        <v>0</v>
      </c>
      <c r="P71" s="2162" t="str">
        <f>A17</f>
        <v>c17.17</v>
      </c>
      <c r="Q71" s="2281">
        <f>TRUNC((M71*HR_rate)+0.0099,2)</f>
        <v>0</v>
      </c>
      <c r="R71" s="197" t="s">
        <v>8206</v>
      </c>
    </row>
    <row r="72" spans="1:18" x14ac:dyDescent="0.25">
      <c r="A72" s="8" t="s">
        <v>8712</v>
      </c>
      <c r="D72" s="9"/>
      <c r="L72" s="139"/>
      <c r="M72" s="78"/>
      <c r="N72" s="78"/>
      <c r="P72" s="149"/>
      <c r="Q72" s="167"/>
    </row>
    <row r="73" spans="1:18" x14ac:dyDescent="0.25">
      <c r="A73" s="8" t="s">
        <v>8713</v>
      </c>
      <c r="D73" s="9"/>
      <c r="L73" s="139"/>
      <c r="M73" s="32" t="str">
        <f>L66&amp;" minus "&amp;L71</f>
        <v>c17.13 minus c17.16</v>
      </c>
      <c r="P73" s="139"/>
      <c r="Q73" s="198" t="str">
        <f>L74&amp;" × AHR_rate ("&amp;AHR_rate*100&amp;"%)"</f>
        <v>c17.18 × AHR_rate (45%)</v>
      </c>
    </row>
    <row r="74" spans="1:18" x14ac:dyDescent="0.25">
      <c r="A74" s="8" t="s">
        <v>8714</v>
      </c>
      <c r="D74" s="9"/>
      <c r="K74" s="9" t="s">
        <v>8715</v>
      </c>
      <c r="L74" s="2162" t="str">
        <f>A18</f>
        <v>c17.18</v>
      </c>
      <c r="M74" s="2149">
        <f>MAX(0,M66-M71)</f>
        <v>0</v>
      </c>
      <c r="P74" s="2162" t="str">
        <f>A19</f>
        <v>c17.19</v>
      </c>
      <c r="Q74" s="2281">
        <f>TRUNC((M74*AHR_rate)+0.0099,2)</f>
        <v>0</v>
      </c>
      <c r="R74" s="197" t="s">
        <v>8206</v>
      </c>
    </row>
    <row r="75" spans="1:18" x14ac:dyDescent="0.25">
      <c r="A75" s="8" t="s">
        <v>8716</v>
      </c>
      <c r="D75" s="9"/>
      <c r="P75" s="139"/>
    </row>
    <row r="76" spans="1:18" x14ac:dyDescent="0.25">
      <c r="A76" s="8" t="s">
        <v>8717</v>
      </c>
      <c r="D76" s="9"/>
      <c r="P76" s="139"/>
      <c r="Q76" s="9" t="str">
        <f>P71&amp;" + "&amp;P74</f>
        <v>c17.17 + c17.19</v>
      </c>
    </row>
    <row r="77" spans="1:18" x14ac:dyDescent="0.25">
      <c r="A77" s="8" t="s">
        <v>8718</v>
      </c>
      <c r="D77" s="9"/>
      <c r="F77" s="30"/>
      <c r="P77" s="2162" t="str">
        <f>A20</f>
        <v>c17.20</v>
      </c>
      <c r="Q77" s="2281">
        <f>Q71+Q74</f>
        <v>0</v>
      </c>
    </row>
    <row r="78" spans="1:18" x14ac:dyDescent="0.25">
      <c r="A78" s="8" t="s">
        <v>8719</v>
      </c>
      <c r="B78" s="22" t="str">
        <f>"If box "&amp;P77&amp;" = 0 (zero) and"</f>
        <v>If box c17.20 = 0 (zero) and</v>
      </c>
    </row>
    <row r="79" spans="1:18" x14ac:dyDescent="0.25">
      <c r="A79" s="8" t="s">
        <v>8720</v>
      </c>
      <c r="B79" s="8" t="str">
        <f>"boxes (("&amp;CGT&amp;CGT!C4&amp;" + "&amp;CGT&amp;CGT!C13&amp;" + "&amp;CGT&amp;CGT!C18&amp;" + "&amp;CGT&amp;CGT!C26&amp;" + "&amp;CGT&amp;CGT!C36&amp;" + "&amp;CGT&amp;CGT!C43&amp;") minus (("&amp;CGT&amp;CGT!C10&amp;" + "&amp;CGT&amp;CGT!C21&amp;" + "&amp;CGT&amp;CGT!G26&amp;" + "&amp;CGT&amp;CGT!G36&amp;" + "&amp;CGT&amp;CGT!C46&amp;") minus ("&amp;CGT&amp;CGT!C49&amp;" + "&amp;CGT&amp;CGT!G52&amp;"))"&amp;" + "&amp;CGT&amp;CGT!P18&amp;" + (("&amp;CGT!L26&amp;" + "&amp;CGT!L34&amp;") minus "&amp;CGT!P34&amp;") &lt;= 0 (zero)) and"</f>
        <v>boxes ((CGT6 + CGT13B + CGT13.4 + CGT17 + CGT26 + CGT34) minus ((CGT7 + CGT13.5 + CGT19 + CGT27 + CGT35) minus (CGT41 + CGT43)) + CGT52 + ((52.1 + 52.2) minus 52.5) &lt;= 0 (zero)) and</v>
      </c>
    </row>
    <row r="80" spans="1:18" x14ac:dyDescent="0.25">
      <c r="A80" s="8" t="s">
        <v>8721</v>
      </c>
      <c r="B80" s="1065" t="str">
        <f>"("&amp;CGT&amp;CGT!L18&amp;" = 0 (zero) or null)) no Top Slicing relief is due"</f>
        <v>(CGT51 = 0 (zero) or null)) no Top Slicing relief is due</v>
      </c>
      <c r="C80" s="1065"/>
      <c r="D80" s="1065"/>
    </row>
    <row r="81" spans="1:21" x14ac:dyDescent="0.25">
      <c r="A81" s="8" t="s">
        <v>8722</v>
      </c>
      <c r="B81" s="22" t="str">
        <f>"set "&amp;E101&amp;" to "&amp;L101&amp;" to 1"</f>
        <v>set c17.21 to c17.22 to 1</v>
      </c>
    </row>
    <row r="82" spans="1:21" x14ac:dyDescent="0.25">
      <c r="A82" s="8" t="s">
        <v>8723</v>
      </c>
      <c r="B82" s="22" t="s">
        <v>7143</v>
      </c>
    </row>
    <row r="83" spans="1:21" x14ac:dyDescent="0.25">
      <c r="A83" s="8" t="s">
        <v>8724</v>
      </c>
      <c r="B83" s="22"/>
    </row>
    <row r="84" spans="1:21" x14ac:dyDescent="0.25">
      <c r="A84" s="8" t="s">
        <v>8725</v>
      </c>
      <c r="B84" s="22"/>
    </row>
    <row r="85" spans="1:21" ht="11.25" customHeight="1" x14ac:dyDescent="0.25">
      <c r="A85" s="8" t="s">
        <v>8726</v>
      </c>
      <c r="B85" s="22"/>
    </row>
    <row r="86" spans="1:21" x14ac:dyDescent="0.25">
      <c r="A86" s="8" t="s">
        <v>8727</v>
      </c>
      <c r="B86" s="22"/>
      <c r="E86" s="458"/>
      <c r="F86" s="471" t="s">
        <v>8728</v>
      </c>
      <c r="G86" s="458"/>
      <c r="H86" s="458"/>
      <c r="I86" s="472" t="s">
        <v>8729</v>
      </c>
      <c r="J86" s="458"/>
      <c r="K86" s="458"/>
      <c r="L86" s="458"/>
      <c r="M86" s="458"/>
    </row>
    <row r="87" spans="1:21" ht="12.5" x14ac:dyDescent="0.25">
      <c r="A87" s="8" t="s">
        <v>8730</v>
      </c>
      <c r="E87" s="458"/>
      <c r="F87" s="457" t="s">
        <v>8731</v>
      </c>
      <c r="G87" s="458"/>
      <c r="H87" s="458"/>
      <c r="I87" s="458"/>
      <c r="J87" s="473" t="s">
        <v>8732</v>
      </c>
      <c r="K87" s="458"/>
      <c r="L87" s="458"/>
      <c r="M87" s="458"/>
      <c r="P87" s="383" t="s">
        <v>8733</v>
      </c>
    </row>
    <row r="88" spans="1:21" x14ac:dyDescent="0.25">
      <c r="A88" s="8" t="s">
        <v>8734</v>
      </c>
      <c r="E88" s="458"/>
      <c r="F88" s="757" t="str">
        <f>AOI&amp;AOI!C13&amp;", "&amp;AOI&amp;AOI!C19&amp;",  "&amp;AOI&amp;AOI!G13&amp;" and "&amp;FOR&amp;FOR!K42</f>
        <v>AOI4, AOI6,  AOI8 and FOR43</v>
      </c>
      <c r="G88" s="458"/>
      <c r="H88" s="458"/>
      <c r="I88" s="458"/>
      <c r="J88" s="473" t="str">
        <f>AOI&amp;AOI!C16&amp;", "&amp;AOI&amp;AOI!C22&amp;",  "&amp;AOI&amp;AOI!G16&amp;" and "&amp;FOR&amp;FOR!O35</f>
        <v>AOI5, AOI7,  AOI9 and FOR44</v>
      </c>
      <c r="K88" s="458"/>
      <c r="L88" s="458"/>
      <c r="M88" s="458"/>
    </row>
    <row r="89" spans="1:21" x14ac:dyDescent="0.25">
      <c r="A89" s="8" t="s">
        <v>8735</v>
      </c>
      <c r="E89" s="458"/>
      <c r="F89" s="457" t="s">
        <v>8736</v>
      </c>
      <c r="G89" s="458"/>
      <c r="H89" s="458"/>
      <c r="I89" s="458"/>
      <c r="J89" s="473" t="s">
        <v>8736</v>
      </c>
      <c r="K89" s="458"/>
      <c r="L89" s="458"/>
      <c r="M89" s="458"/>
      <c r="Q89" s="127" t="str">
        <f>"If "&amp;AOI&amp;AOI!C13&amp;" is present AND "&amp;AOI&amp;AOI!C16&amp;" not present, or"</f>
        <v>If AOI4 is present AND AOI5 not present, or</v>
      </c>
    </row>
    <row r="90" spans="1:21" x14ac:dyDescent="0.25">
      <c r="A90" s="8" t="s">
        <v>8737</v>
      </c>
      <c r="E90" s="458"/>
      <c r="F90" s="474" t="s">
        <v>8738</v>
      </c>
      <c r="G90" s="458"/>
      <c r="H90" s="458"/>
      <c r="I90" s="458"/>
      <c r="J90" s="474" t="s">
        <v>8739</v>
      </c>
      <c r="K90" s="458"/>
      <c r="L90" s="458"/>
      <c r="M90" s="474" t="s">
        <v>8740</v>
      </c>
      <c r="Q90" s="25" t="str">
        <f>AOI&amp;AOI!C19&amp;" is present AND "&amp;AOI&amp;AOI!C22&amp;" not present, or"</f>
        <v>AOI6 is present AND AOI7 not present, or</v>
      </c>
    </row>
    <row r="91" spans="1:21" x14ac:dyDescent="0.25">
      <c r="A91" s="8" t="s">
        <v>8741</v>
      </c>
      <c r="E91" s="457" t="s">
        <v>8742</v>
      </c>
      <c r="F91" s="2282">
        <f>TRUNC(MAX(FOR!L43,'Multi-foreign-gains'!D16),0)</f>
        <v>0</v>
      </c>
      <c r="G91" s="458"/>
      <c r="H91" s="458"/>
      <c r="I91" s="458"/>
      <c r="J91" s="2282" t="str">
        <f>IF(OR(FOR!P36="multiple",FOR!P36=""),"M",MAX(FOR!P36,'Multi-foreign-gains'!P16,1))</f>
        <v>M</v>
      </c>
      <c r="K91" s="458"/>
      <c r="L91" s="458"/>
      <c r="M91" s="2283">
        <f>IF(J91="M",0,IF(F91&gt;0,MAX(1,F91/J91),0))</f>
        <v>0</v>
      </c>
      <c r="Q91" s="25" t="str">
        <f>AOI&amp;AOI!G13&amp;" is present AND "&amp;AOI&amp;AOI!G16&amp;" is not present, or"</f>
        <v>AOI8 is present AND AOI9 is not present, or</v>
      </c>
    </row>
    <row r="92" spans="1:21" x14ac:dyDescent="0.25">
      <c r="A92" s="8" t="s">
        <v>8743</v>
      </c>
      <c r="E92" s="457" t="s">
        <v>8744</v>
      </c>
      <c r="F92" s="2282">
        <f>TRUNC(MAX(AOI!D20,'Multi-UK-gains'!F16),0)</f>
        <v>0</v>
      </c>
      <c r="G92" s="458"/>
      <c r="H92" s="458"/>
      <c r="I92" s="458"/>
      <c r="J92" s="2282" t="str">
        <f>IF(OR(AOI!D23="multiple",AOI!D23=""),"M",MAX(AOI!D23,'Multi-UK-gains'!R17,1))</f>
        <v>M</v>
      </c>
      <c r="K92" s="458"/>
      <c r="L92" s="458"/>
      <c r="M92" s="2283">
        <f>IF(J92="M",0,IF(F92&gt;0,MAX(1,F92/J92),0))</f>
        <v>0</v>
      </c>
      <c r="Q92" s="25" t="str">
        <f>FOR&amp;FOR!K42&amp;" is present AND "&amp;FOR&amp;FOR!O35&amp;" not present"</f>
        <v>FOR43 is present AND FOR44 not present</v>
      </c>
    </row>
    <row r="93" spans="1:21" x14ac:dyDescent="0.25">
      <c r="A93" s="8" t="s">
        <v>8745</v>
      </c>
      <c r="D93" s="9"/>
      <c r="E93" s="457" t="s">
        <v>8746</v>
      </c>
      <c r="F93" s="2282">
        <f>TRUNC(MAX(AOI!D14,'Multi-UK-gains'!M21),0)</f>
        <v>0</v>
      </c>
      <c r="G93" s="458"/>
      <c r="H93" s="457"/>
      <c r="I93" s="458"/>
      <c r="J93" s="2282" t="str">
        <f>IF(OR(AOI!D17="multiple",AOI!D17=""),"M",MAX(AOI!D17,'Multi-UK-gains'!V22,1))</f>
        <v>M</v>
      </c>
      <c r="K93" s="458"/>
      <c r="L93" s="458"/>
      <c r="M93" s="2283">
        <f>IF(J93="M",0,IF(F93&gt;0,MAX(1,F93/J93),0))</f>
        <v>0</v>
      </c>
      <c r="Q93" s="127" t="str">
        <f>L101&amp;" = ITF CEG INPUT AMOUNT"</f>
        <v>c17.22 = ITF CEG INPUT AMOUNT</v>
      </c>
      <c r="U93" s="12"/>
    </row>
    <row r="94" spans="1:21" x14ac:dyDescent="0.25">
      <c r="A94" s="8" t="s">
        <v>8747</v>
      </c>
      <c r="D94" s="9"/>
      <c r="E94" s="457" t="s">
        <v>8748</v>
      </c>
      <c r="F94" s="2282">
        <f>TRUNC(AOI!H14,0)</f>
        <v>0</v>
      </c>
      <c r="G94" s="458"/>
      <c r="H94" s="457"/>
      <c r="I94" s="458"/>
      <c r="J94" s="2282">
        <f>MAX(AOI!H17,1)</f>
        <v>1</v>
      </c>
      <c r="K94" s="458"/>
      <c r="L94" s="458"/>
      <c r="M94" s="2283">
        <f>IF(J94="M",0,IF(F94&gt;0,MAX(1,F94/J94),0))</f>
        <v>0</v>
      </c>
      <c r="Q94" s="500" t="s">
        <v>7143</v>
      </c>
    </row>
    <row r="95" spans="1:21" x14ac:dyDescent="0.25">
      <c r="A95" s="8" t="s">
        <v>8749</v>
      </c>
      <c r="D95" s="9"/>
      <c r="E95" s="457" t="s">
        <v>8750</v>
      </c>
      <c r="F95" s="2282"/>
      <c r="G95" s="458"/>
      <c r="H95" s="457"/>
      <c r="I95" s="458"/>
      <c r="J95" s="2282"/>
      <c r="K95" s="458"/>
      <c r="L95" s="458"/>
      <c r="M95" s="2283">
        <f>IF(No_of_for_gains&gt;1,'Multi-foreign-gains'!Q16,0)</f>
        <v>0</v>
      </c>
      <c r="Q95" s="25" t="str">
        <f>"a) If "&amp;AOI&amp;AOI!C13&amp;" is present, a = the higher of 1 or ("&amp;AOI&amp;AOI!C13&amp;"/"&amp;AOI&amp;AOI!C16&amp;"), else a = zero"</f>
        <v>a) If AOI4 is present, a = the higher of 1 or (AOI4/AOI5), else a = zero</v>
      </c>
    </row>
    <row r="96" spans="1:21" x14ac:dyDescent="0.25">
      <c r="A96" s="8" t="s">
        <v>8751</v>
      </c>
      <c r="D96" s="9"/>
      <c r="E96" s="457" t="s">
        <v>8752</v>
      </c>
      <c r="F96" s="2282"/>
      <c r="G96" s="458"/>
      <c r="H96" s="457"/>
      <c r="I96" s="458"/>
      <c r="J96" s="2282"/>
      <c r="K96" s="458"/>
      <c r="L96" s="458"/>
      <c r="M96" s="2283">
        <f>IF('Multi-UK-gains'!Q17&gt;1,'Multi-UK-gains'!S17,0)</f>
        <v>0</v>
      </c>
      <c r="Q96" s="25" t="str">
        <f>"b) If "&amp;AOI&amp;AOI!C19&amp;" is present, b = the higher of 1 or ("&amp;AOI&amp;AOI!C19&amp;"/"&amp;AOI&amp;AOI!C22&amp;"), else b = zero"</f>
        <v>b) If AOI6 is present, b = the higher of 1 or (AOI6/AOI7), else b = zero</v>
      </c>
      <c r="U96" s="9"/>
    </row>
    <row r="97" spans="1:21" x14ac:dyDescent="0.25">
      <c r="A97" s="8" t="s">
        <v>8753</v>
      </c>
      <c r="D97" s="9"/>
      <c r="E97" s="457" t="s">
        <v>8754</v>
      </c>
      <c r="F97" s="2282"/>
      <c r="G97" s="458"/>
      <c r="H97" s="457"/>
      <c r="I97" s="458"/>
      <c r="J97" s="2282"/>
      <c r="K97" s="458"/>
      <c r="L97" s="458"/>
      <c r="M97" s="2283">
        <f>IF('Multi-UK-gains'!U22&gt;1,'Multi-UK-gains'!W22,0)</f>
        <v>0</v>
      </c>
      <c r="Q97" s="25" t="str">
        <f>"c) If "&amp;AOI&amp;AOI!G13&amp;" is present, c = the higher of 1 or ("&amp;AOI&amp;AOI!G13&amp;"/"&amp;AOI&amp;AOI!G16&amp;"), else c = zero"</f>
        <v>c) If AOI8 is present, c = the higher of 1 or (AOI8/AOI9), else c = zero</v>
      </c>
      <c r="U97" s="9"/>
    </row>
    <row r="98" spans="1:21" x14ac:dyDescent="0.25">
      <c r="A98" s="8" t="s">
        <v>8755</v>
      </c>
      <c r="F98" s="78"/>
      <c r="M98" s="78"/>
      <c r="Q98" s="25" t="str">
        <f>"d) If "&amp;FOR&amp;FOR!K42&amp;" is present, d = the higher of 1 or ("&amp;FOR&amp;FOR!K42&amp;"/"&amp;FOR&amp;FOR!O35&amp;"), else d = zero"</f>
        <v>d) If FOR43 is present, d = the higher of 1 or (FOR43/FOR44), else d = zero</v>
      </c>
      <c r="U98" s="9"/>
    </row>
    <row r="99" spans="1:21" x14ac:dyDescent="0.25">
      <c r="A99" s="8" t="s">
        <v>8756</v>
      </c>
      <c r="E99" s="458"/>
      <c r="F99" s="457" t="s">
        <v>3887</v>
      </c>
      <c r="L99" s="458"/>
      <c r="M99" s="457" t="s">
        <v>3887</v>
      </c>
      <c r="Q99" s="127" t="str">
        <f>L101&amp;" = higher of 1 or (a + b + c + d)"</f>
        <v>c17.22 = higher of 1 or (a + b + c + d)</v>
      </c>
      <c r="U99" s="9"/>
    </row>
    <row r="100" spans="1:21" x14ac:dyDescent="0.25">
      <c r="A100" s="8" t="s">
        <v>8757</v>
      </c>
      <c r="F100" s="9" t="str">
        <f>AOI&amp;AOI!C13&amp;" + "&amp;AOI&amp;AOI!C19&amp;" + "&amp;AOI&amp;AOI!G13&amp;" + "&amp;FOR&amp;FOR!K42</f>
        <v>AOI4 + AOI6 + AOI8 + FOR43</v>
      </c>
      <c r="K100" s="458"/>
      <c r="L100" s="458"/>
      <c r="M100" s="457" t="str">
        <f>AOI&amp;AOI!C16&amp;" + "&amp;AOI&amp;AOI!C22&amp;" +  "&amp;AOI&amp;AOI!G16&amp;" + "&amp;FOR&amp;FOR!O35</f>
        <v>AOI5 + AOI7 +  AOI9 + FOR44</v>
      </c>
      <c r="N100" s="458"/>
      <c r="Q100" s="127" t="s">
        <v>75</v>
      </c>
      <c r="U100" s="9"/>
    </row>
    <row r="101" spans="1:21" x14ac:dyDescent="0.25">
      <c r="D101" s="9" t="s">
        <v>8758</v>
      </c>
      <c r="E101" s="2162" t="str">
        <f>A21</f>
        <v>c17.21</v>
      </c>
      <c r="F101" s="2161">
        <f>IF(box_NRD1,0,SUM(F91:F97))</f>
        <v>0</v>
      </c>
      <c r="G101" s="197" t="s">
        <v>7029</v>
      </c>
      <c r="K101" s="457" t="s">
        <v>8759</v>
      </c>
      <c r="L101" s="2178" t="str">
        <f>A22</f>
        <v>c17.22</v>
      </c>
      <c r="M101" s="2283">
        <f>TRUNC(SUM(M91:M97),0)</f>
        <v>0</v>
      </c>
      <c r="N101" s="458" t="s">
        <v>7029</v>
      </c>
      <c r="P101" s="2162" t="str">
        <f>A22</f>
        <v>c17.22</v>
      </c>
      <c r="Q101" s="2157"/>
      <c r="R101" s="197" t="s">
        <v>7029</v>
      </c>
      <c r="U101" s="9"/>
    </row>
    <row r="102" spans="1:21" x14ac:dyDescent="0.25">
      <c r="D102" s="9"/>
      <c r="E102" s="139"/>
      <c r="F102" s="550" t="str">
        <f>"copy to "&amp;'CG (c18)'!A62</f>
        <v>copy to c18.34</v>
      </c>
      <c r="G102" s="197"/>
      <c r="K102" s="457"/>
      <c r="L102" s="458"/>
      <c r="M102" s="482"/>
      <c r="N102" s="458"/>
      <c r="P102" s="139"/>
      <c r="Q102" s="30"/>
      <c r="R102" s="197"/>
      <c r="U102" s="9"/>
    </row>
    <row r="104" spans="1:21" x14ac:dyDescent="0.25">
      <c r="B104" s="25" t="s">
        <v>75</v>
      </c>
      <c r="E104" s="139"/>
      <c r="L104" s="139"/>
    </row>
    <row r="106" spans="1:21" x14ac:dyDescent="0.25">
      <c r="B106" s="8" t="str">
        <f>"If box "&amp;P77&amp;" = 0 (zero)"</f>
        <v>If box c17.20 = 0 (zero)</v>
      </c>
    </row>
    <row r="107" spans="1:21" x14ac:dyDescent="0.25">
      <c r="B107" s="8" t="str">
        <f>"set "&amp;E114&amp;" to "&amp;L308&amp;" to 0 (zero)"</f>
        <v>set c17.22a to c17.48 to 0 (zero)</v>
      </c>
    </row>
    <row r="108" spans="1:21" x14ac:dyDescent="0.25">
      <c r="B108" s="8" t="s">
        <v>7143</v>
      </c>
    </row>
    <row r="109" spans="1:21" x14ac:dyDescent="0.25">
      <c r="B109" s="8" t="str">
        <f>"calculate "&amp;E114&amp;" to "&amp;L308</f>
        <v>calculate c17.22a to c17.48</v>
      </c>
    </row>
    <row r="111" spans="1:21" x14ac:dyDescent="0.25">
      <c r="C111" s="231" t="s">
        <v>8760</v>
      </c>
      <c r="E111" s="139"/>
      <c r="L111" s="139"/>
    </row>
    <row r="112" spans="1:21" x14ac:dyDescent="0.25">
      <c r="C112" s="231"/>
      <c r="E112" s="139"/>
      <c r="L112" s="139"/>
    </row>
    <row r="113" spans="3:17" x14ac:dyDescent="0.25">
      <c r="F113" s="9" t="str">
        <f>"("&amp;'Divs (c3)'!G75&amp;" + "&amp;'Divs (c3)'!G80&amp;" + "&amp;'Deductions (c4)'!L418&amp;") minus "&amp;E44</f>
        <v>(c3.19 + c3.20 + c4.63c) minus c17.3</v>
      </c>
      <c r="Q113" s="9" t="str">
        <f>E114&amp;" minus "&amp;L52</f>
        <v>c17.22a minus c17.8</v>
      </c>
    </row>
    <row r="114" spans="3:17" x14ac:dyDescent="0.25">
      <c r="C114" s="8" t="s">
        <v>5681</v>
      </c>
      <c r="E114" s="2162" t="str">
        <f>A23</f>
        <v>c17.22a</v>
      </c>
      <c r="F114" s="2149">
        <f>MAX(0,(('Divs (c3)'!H75+'Divs (c3)'!H80+'Deductions (c4)'!M418)-F44))</f>
        <v>0</v>
      </c>
      <c r="G114" s="78"/>
      <c r="P114" s="2162" t="str">
        <f>A24</f>
        <v>c17.22b</v>
      </c>
      <c r="Q114" s="2149">
        <f>MAX(0,F114-M52)</f>
        <v>0</v>
      </c>
    </row>
    <row r="115" spans="3:17" x14ac:dyDescent="0.25">
      <c r="F115" s="1067" t="str">
        <f>'Savings (c2)'!H79&amp;" minus"</f>
        <v>c2.19 minus</v>
      </c>
    </row>
    <row r="116" spans="3:17" x14ac:dyDescent="0.25">
      <c r="C116" s="8" t="s">
        <v>8761</v>
      </c>
      <c r="E116" s="1065"/>
      <c r="F116" s="1067" t="str">
        <f>"("&amp;'Savings (c2)'!E28&amp;" + "&amp;'Savings (c2)'!H75&amp;" + "&amp;'Deductions (c4)'!H294&amp;")"</f>
        <v>(c2.6 + c2.18 + c4.47.23)</v>
      </c>
      <c r="M116" s="9" t="str">
        <f>L52&amp;" minus "&amp;E114</f>
        <v>c17.8 minus c17.22a</v>
      </c>
      <c r="Q116" s="9" t="str">
        <f>E117&amp;" minus "&amp;L117</f>
        <v>c17.22c minus c17.22d</v>
      </c>
    </row>
    <row r="117" spans="3:17" x14ac:dyDescent="0.25">
      <c r="C117" s="127" t="s">
        <v>8762</v>
      </c>
      <c r="E117" s="2162" t="str">
        <f>A25</f>
        <v>c17.22c</v>
      </c>
      <c r="F117" s="2149">
        <f>MAX(0,'Savings (c2)'!I79-('Savings (c2)'!F28+'Savings (c2)'!I75+'Deductions (c4)'!I294))</f>
        <v>0</v>
      </c>
      <c r="L117" s="2162" t="str">
        <f>A26</f>
        <v>c17.22d</v>
      </c>
      <c r="M117" s="2149">
        <f>MAX(0,M52-F114)</f>
        <v>12570</v>
      </c>
      <c r="P117" s="2162" t="str">
        <f>A27</f>
        <v>c17.22e</v>
      </c>
      <c r="Q117" s="2149">
        <f>MAX(0,F117-M117)</f>
        <v>0</v>
      </c>
    </row>
    <row r="118" spans="3:17" x14ac:dyDescent="0.25">
      <c r="Q118" s="9"/>
    </row>
    <row r="119" spans="3:17" x14ac:dyDescent="0.25">
      <c r="F119" s="9" t="str">
        <f>"lower of "&amp;P117&amp;" and SR_band ("&amp;DOLLAR(SR_band,0)&amp;")"</f>
        <v>lower of c17.22e and SR_band (£5,000)</v>
      </c>
      <c r="Q119" s="9" t="str">
        <f>"lower of "&amp;E120&amp;" and (SR_band ("&amp;DOLLAR(SR_band,0)&amp;") minus "&amp;P114&amp;")"</f>
        <v>lower of c17.22e1 and (SR_band (£5,000) minus c17.22b)</v>
      </c>
    </row>
    <row r="120" spans="3:17" x14ac:dyDescent="0.25">
      <c r="C120" s="8" t="s">
        <v>8763</v>
      </c>
      <c r="E120" s="2162" t="str">
        <f>A28</f>
        <v>c17.22e1</v>
      </c>
      <c r="F120" s="2149">
        <f>MIN(Q117,SR_band)</f>
        <v>0</v>
      </c>
      <c r="O120" s="9" t="s">
        <v>8764</v>
      </c>
      <c r="P120" s="2162" t="str">
        <f>A29</f>
        <v>c17.22e2</v>
      </c>
      <c r="Q120" s="2149">
        <f>MAX(0,MIN(F120,(SR_band)-Q114))</f>
        <v>0</v>
      </c>
    </row>
    <row r="122" spans="3:17" x14ac:dyDescent="0.25">
      <c r="Q122" s="9" t="str">
        <f>"lower of ("&amp;P117&amp;" minus "&amp;P120&amp;") and "&amp;'Deductions (c4)'!L639</f>
        <v>lower of (c17.22e minus c17.22e2) and c4.79</v>
      </c>
    </row>
    <row r="123" spans="3:17" x14ac:dyDescent="0.25">
      <c r="O123" s="9" t="s">
        <v>8765</v>
      </c>
      <c r="P123" s="2162" t="str">
        <f>A30</f>
        <v>c17.22e3</v>
      </c>
      <c r="Q123" s="2149">
        <f>MAX(0,MIN(Q117-Q120,'Deductions (c4)'!M639))</f>
        <v>0</v>
      </c>
    </row>
    <row r="125" spans="3:17" x14ac:dyDescent="0.25">
      <c r="E125" s="1065"/>
      <c r="F125" s="1067" t="str">
        <f>'Divs (c3)'!G58&amp;" minus "&amp;'Deductions (c4)'!H310</f>
        <v>c3.15 minus c4.47.27</v>
      </c>
      <c r="M125" s="9" t="str">
        <f>L117&amp;" minus "&amp;E117</f>
        <v>c17.22d minus c17.22c</v>
      </c>
      <c r="Q125" s="9" t="str">
        <f>E126&amp;" minus "&amp;L126</f>
        <v>c17.22f minus c17.22g</v>
      </c>
    </row>
    <row r="126" spans="3:17" x14ac:dyDescent="0.25">
      <c r="C126" s="8" t="s">
        <v>861</v>
      </c>
      <c r="E126" s="2162" t="str">
        <f>A31</f>
        <v>c17.22f</v>
      </c>
      <c r="F126" s="2149">
        <f>MAX(0,'Divs (c3)'!H58-'Deductions (c4)'!I310)</f>
        <v>0</v>
      </c>
      <c r="L126" s="2162" t="str">
        <f>A32</f>
        <v>c17.22g</v>
      </c>
      <c r="M126" s="2149">
        <f>MAX(0,M117-F117)</f>
        <v>12570</v>
      </c>
      <c r="P126" s="2162" t="str">
        <f>A33</f>
        <v>c17.22h</v>
      </c>
      <c r="Q126" s="2149">
        <f>MAX(0,F126-M126)</f>
        <v>0</v>
      </c>
    </row>
    <row r="128" spans="3:17" x14ac:dyDescent="0.25">
      <c r="Q128" s="9" t="str">
        <f>P114&amp;" + "&amp;P117&amp;" + "&amp;P126</f>
        <v>c17.22b + c17.22e + c17.22h</v>
      </c>
    </row>
    <row r="129" spans="3:21" x14ac:dyDescent="0.25">
      <c r="C129" s="8" t="s">
        <v>8766</v>
      </c>
      <c r="P129" s="2162" t="str">
        <f>A34</f>
        <v>c17.22i</v>
      </c>
      <c r="Q129" s="2149">
        <f>Q114+Q117+Q126</f>
        <v>0</v>
      </c>
    </row>
    <row r="131" spans="3:21" x14ac:dyDescent="0.25">
      <c r="M131" s="9" t="str">
        <f>L126&amp;" minus "&amp;E126</f>
        <v>c17.22g minus c17.22f</v>
      </c>
      <c r="Q131" s="9" t="str">
        <f>E101&amp;" minus "&amp;L132</f>
        <v>c17.21 minus c17.22j</v>
      </c>
    </row>
    <row r="132" spans="3:21" x14ac:dyDescent="0.25">
      <c r="C132" s="8" t="s">
        <v>8767</v>
      </c>
      <c r="L132" s="2162" t="str">
        <f>A35</f>
        <v>c17.22j</v>
      </c>
      <c r="M132" s="2149">
        <f>MAX(0,M126-F126)</f>
        <v>12570</v>
      </c>
      <c r="P132" s="2162" t="str">
        <f>A36</f>
        <v>c17.22k</v>
      </c>
      <c r="Q132" s="2149">
        <f>MAX(0,F101-M132)</f>
        <v>0</v>
      </c>
    </row>
    <row r="134" spans="3:21" x14ac:dyDescent="0.25">
      <c r="F134" s="9" t="str">
        <f>"lower of "&amp;P132&amp;" and SR_band ("&amp;DOLLAR(SR_band,0)&amp;")"</f>
        <v>lower of c17.22k and SR_band (£5,000)</v>
      </c>
    </row>
    <row r="135" spans="3:21" x14ac:dyDescent="0.25">
      <c r="C135" s="8" t="s">
        <v>227</v>
      </c>
      <c r="E135" s="2162" t="str">
        <f>A37</f>
        <v>c17.23</v>
      </c>
      <c r="F135" s="2166">
        <f>MIN(Q132,SR_band)</f>
        <v>0</v>
      </c>
      <c r="N135" s="197"/>
    </row>
    <row r="136" spans="3:21" x14ac:dyDescent="0.25">
      <c r="F136" s="9" t="str">
        <f>"lower of "&amp;E135&amp;" and"</f>
        <v>lower of c17.23 and</v>
      </c>
    </row>
    <row r="137" spans="3:21" x14ac:dyDescent="0.25">
      <c r="F137" s="9" t="str">
        <f>"(SR_band ("&amp;DOLLAR(SR_band,0)&amp;") minus ("&amp;P129&amp;"))"</f>
        <v>(SR_band (£5,000) minus (c17.22i))</v>
      </c>
      <c r="Q137" s="9" t="str">
        <f>E138&amp;" × SR_rate ("&amp;SR_rate*100&amp;"%)"</f>
        <v>c17.23a × SR_rate (0%)</v>
      </c>
      <c r="U137" s="9"/>
    </row>
    <row r="138" spans="3:21" x14ac:dyDescent="0.25">
      <c r="C138" s="22" t="s">
        <v>8768</v>
      </c>
      <c r="E138" s="2162" t="str">
        <f>A38</f>
        <v>c17.23a</v>
      </c>
      <c r="F138" s="2166">
        <f>MIN(F135,MAX(0,SR_band-Q129))</f>
        <v>0</v>
      </c>
      <c r="P138" s="2162" t="str">
        <f>A39</f>
        <v>c17.23b</v>
      </c>
      <c r="Q138" s="2281">
        <f>TRUNC(F138*SR_rate,2)</f>
        <v>0</v>
      </c>
      <c r="R138" s="197" t="s">
        <v>7647</v>
      </c>
      <c r="U138" s="9"/>
    </row>
    <row r="139" spans="3:21" x14ac:dyDescent="0.25">
      <c r="C139" s="22"/>
      <c r="U139" s="9"/>
    </row>
    <row r="140" spans="3:21" x14ac:dyDescent="0.25">
      <c r="C140" s="22"/>
      <c r="F140" s="174" t="str">
        <f>"SR_band ("&amp;DOLLAR(SR_band,0)&amp;") minus "&amp;P114</f>
        <v>SR_band (£5,000) minus c17.22b</v>
      </c>
      <c r="U140" s="9"/>
    </row>
    <row r="141" spans="3:21" x14ac:dyDescent="0.25">
      <c r="C141" s="22"/>
      <c r="E141" s="2162" t="str">
        <f>A40</f>
        <v>c17.23c</v>
      </c>
      <c r="F141" s="2161">
        <f>MAX(0,SR_band-Q114)</f>
        <v>5000</v>
      </c>
      <c r="Q141" s="9"/>
      <c r="U141" s="9"/>
    </row>
    <row r="142" spans="3:21" x14ac:dyDescent="0.25">
      <c r="C142" s="22"/>
      <c r="Q142" s="9"/>
      <c r="U142" s="9"/>
    </row>
    <row r="143" spans="3:21" x14ac:dyDescent="0.25">
      <c r="C143" s="22"/>
      <c r="F143" s="9" t="str">
        <f>P117&amp;" minus "&amp;E141</f>
        <v>c17.22e minus c17.23c</v>
      </c>
      <c r="Q143" s="9"/>
      <c r="U143" s="9"/>
    </row>
    <row r="144" spans="3:21" x14ac:dyDescent="0.25">
      <c r="C144" s="22"/>
      <c r="E144" s="2162" t="str">
        <f>A41</f>
        <v>c17.23d</v>
      </c>
      <c r="F144" s="2161">
        <f>MAX(0,Q117-F141)</f>
        <v>0</v>
      </c>
      <c r="Q144" s="9"/>
      <c r="U144" s="9"/>
    </row>
    <row r="145" spans="3:21" x14ac:dyDescent="0.25">
      <c r="C145" s="22"/>
      <c r="F145" s="9" t="str">
        <f>"lower of ("&amp;P132&amp;" minus "&amp;E138&amp;") and"</f>
        <v>lower of (c17.22k minus c17.23a) and</v>
      </c>
      <c r="Q145" s="9"/>
      <c r="U145" s="9"/>
    </row>
    <row r="146" spans="3:21" x14ac:dyDescent="0.25">
      <c r="C146" s="22"/>
      <c r="F146" s="9" t="str">
        <f>"("&amp;'Deductions (c4)'!L639&amp;" minus "&amp;E144&amp;")"</f>
        <v>(c4.79 minus c17.23d)</v>
      </c>
      <c r="Q146" s="9" t="str">
        <f>E147&amp;" × SNil_rate ("&amp;SNil_rate*100&amp;"%)"</f>
        <v>c17.24 × SNil_rate (0%)</v>
      </c>
      <c r="U146" s="9"/>
    </row>
    <row r="147" spans="3:21" x14ac:dyDescent="0.25">
      <c r="C147" s="22" t="s">
        <v>8769</v>
      </c>
      <c r="E147" s="2162" t="str">
        <f>A42</f>
        <v>c17.24</v>
      </c>
      <c r="F147" s="2166">
        <f>MIN(MAX(0,Q132-F138),MAX(0,PSA-F144))</f>
        <v>0</v>
      </c>
      <c r="P147" s="2162" t="str">
        <f>A43</f>
        <v>c17.24a</v>
      </c>
      <c r="Q147" s="2281">
        <f>TRUNC(F147*SNil_rate,2)</f>
        <v>0</v>
      </c>
      <c r="R147" s="197" t="s">
        <v>7647</v>
      </c>
      <c r="U147" s="9"/>
    </row>
    <row r="148" spans="3:21" x14ac:dyDescent="0.25">
      <c r="C148" s="22"/>
      <c r="E148" s="139"/>
      <c r="F148" s="26"/>
      <c r="U148" s="9"/>
    </row>
    <row r="149" spans="3:21" x14ac:dyDescent="0.25">
      <c r="F149" s="9" t="str">
        <f>"lower of "&amp;P129&amp;" and "&amp;L63</f>
        <v>lower of c17.22i and c17.12</v>
      </c>
      <c r="U149" s="33"/>
    </row>
    <row r="150" spans="3:21" x14ac:dyDescent="0.25">
      <c r="C150" s="22" t="s">
        <v>8770</v>
      </c>
      <c r="E150" s="2162" t="str">
        <f>A44</f>
        <v>c17.25</v>
      </c>
      <c r="F150" s="2166">
        <f>MIN(Q129,M63)</f>
        <v>0</v>
      </c>
    </row>
    <row r="151" spans="3:21" x14ac:dyDescent="0.25">
      <c r="F151" s="9" t="str">
        <f>"lower of ("&amp;P132&amp;" minus ("&amp;E138&amp;" + "&amp;E147&amp;")) and"</f>
        <v>lower of (c17.22k minus (c17.23a + c17.24)) and</v>
      </c>
    </row>
    <row r="152" spans="3:21" x14ac:dyDescent="0.25">
      <c r="F152" s="9" t="str">
        <f>"("&amp;L63&amp;" minus ("&amp;E138&amp;" + "&amp;E147&amp;" + "&amp;E150&amp;"))"</f>
        <v>(c17.12 minus (c17.23a + c17.24 + c17.25))</v>
      </c>
      <c r="Q152" s="9" t="str">
        <f>E153&amp;" × BR_rate ("&amp;BR_rate*100&amp;"%)"</f>
        <v>c17.25a × BR_rate (20%)</v>
      </c>
    </row>
    <row r="153" spans="3:21" x14ac:dyDescent="0.25">
      <c r="C153" s="22" t="s">
        <v>8771</v>
      </c>
      <c r="E153" s="2162" t="str">
        <f>A45</f>
        <v>c17.25a</v>
      </c>
      <c r="F153" s="2166">
        <f>MAX(0,MIN(Q132-(F138+F147),M63-(F138+F147+F150)))</f>
        <v>0</v>
      </c>
      <c r="P153" s="2162" t="str">
        <f>A46</f>
        <v>c17.25b</v>
      </c>
      <c r="Q153" s="2281">
        <f>TRUNC(F153*BR_rate,2)</f>
        <v>0</v>
      </c>
      <c r="R153" s="197" t="s">
        <v>7647</v>
      </c>
    </row>
    <row r="155" spans="3:21" x14ac:dyDescent="0.25">
      <c r="F155" s="9" t="str">
        <f>P129&amp;" minus "&amp;E150</f>
        <v>c17.22i minus c17.25</v>
      </c>
    </row>
    <row r="156" spans="3:21" x14ac:dyDescent="0.25">
      <c r="C156" s="22" t="s">
        <v>8772</v>
      </c>
      <c r="E156" s="2162" t="str">
        <f>A47</f>
        <v>c17.26</v>
      </c>
      <c r="F156" s="2166">
        <f>MAX(0,(Q129-F150))</f>
        <v>0</v>
      </c>
      <c r="R156" s="197"/>
    </row>
    <row r="157" spans="3:21" x14ac:dyDescent="0.25">
      <c r="F157" s="9" t="str">
        <f>"lower of "&amp;P132&amp;" minus ("&amp;E138&amp;" + "&amp;E147&amp;" + "&amp;E153&amp;") and"</f>
        <v>lower of c17.22k minus (c17.23a + c17.24 + c17.25a) and</v>
      </c>
      <c r="P157" s="139"/>
    </row>
    <row r="158" spans="3:21" x14ac:dyDescent="0.25">
      <c r="F158" s="9" t="str">
        <f>"(HR_band ("&amp;DOLLAR(HR_band,0)&amp;") minus "&amp;E156&amp;")"</f>
        <v>(HR_band (£87,440) minus c17.26)</v>
      </c>
      <c r="Q158" s="9" t="str">
        <f>E159&amp;" × HR_rate ("&amp;HR_rate*100&amp;"%)"</f>
        <v>c17.27 × HR_rate (40%)</v>
      </c>
    </row>
    <row r="159" spans="3:21" x14ac:dyDescent="0.25">
      <c r="C159" s="22" t="s">
        <v>8773</v>
      </c>
      <c r="E159" s="2162" t="str">
        <f>A48</f>
        <v>c17.27</v>
      </c>
      <c r="F159" s="2166">
        <f>MAX(0,MIN((Q132-(F138+F147+F153)),HR_band-F156))</f>
        <v>0</v>
      </c>
      <c r="P159" s="2162" t="str">
        <f>A49</f>
        <v>c17.27a</v>
      </c>
      <c r="Q159" s="2281">
        <f>TRUNC(F159*HR_rate,2)</f>
        <v>0</v>
      </c>
      <c r="R159" s="197" t="s">
        <v>7647</v>
      </c>
    </row>
    <row r="160" spans="3:21" x14ac:dyDescent="0.25">
      <c r="F160" s="9" t="str">
        <f>P132&amp;" minus"</f>
        <v>c17.22k minus</v>
      </c>
      <c r="P160" s="139"/>
    </row>
    <row r="161" spans="3:18" x14ac:dyDescent="0.25">
      <c r="F161" s="9" t="str">
        <f>"("&amp;E138&amp;" + "&amp;E147&amp;" + "&amp;E153&amp;" + "&amp;E159&amp;")"</f>
        <v>(c17.23a + c17.24 + c17.25a + c17.27)</v>
      </c>
      <c r="Q161" s="9" t="str">
        <f>E162&amp;" × AHR_rate ("&amp;AHR_rate*100&amp;"%)"</f>
        <v>c17.28 × AHR_rate (45%)</v>
      </c>
    </row>
    <row r="162" spans="3:18" x14ac:dyDescent="0.25">
      <c r="C162" s="8" t="s">
        <v>8774</v>
      </c>
      <c r="E162" s="2162" t="str">
        <f>A50</f>
        <v>c17.28</v>
      </c>
      <c r="F162" s="2166">
        <f>MAX(0,Q132-(F138+F147+F153+F159))</f>
        <v>0</v>
      </c>
      <c r="P162" s="2162" t="str">
        <f>A51</f>
        <v>c17.28a</v>
      </c>
      <c r="Q162" s="2281">
        <f>TRUNC(F162*AHR_rate,2)</f>
        <v>0</v>
      </c>
      <c r="R162" s="197" t="s">
        <v>7647</v>
      </c>
    </row>
    <row r="163" spans="3:18" x14ac:dyDescent="0.25">
      <c r="E163" s="139"/>
      <c r="P163" s="139"/>
    </row>
    <row r="164" spans="3:18" x14ac:dyDescent="0.25">
      <c r="P164" s="139"/>
      <c r="Q164" s="9" t="str">
        <f>P138&amp;" + "&amp;P147&amp;" + "&amp;P153&amp;" + "&amp;P159&amp;" + "&amp;P162</f>
        <v>c17.23b + c17.24a + c17.25b + c17.27a + c17.28a</v>
      </c>
    </row>
    <row r="165" spans="3:18" x14ac:dyDescent="0.25">
      <c r="P165" s="2162" t="str">
        <f>A52</f>
        <v>c17.29</v>
      </c>
      <c r="Q165" s="2281">
        <f>Q138+Q147+Q153+Q159+Q162</f>
        <v>0</v>
      </c>
    </row>
    <row r="166" spans="3:18" x14ac:dyDescent="0.25">
      <c r="P166" s="139"/>
    </row>
    <row r="167" spans="3:18" x14ac:dyDescent="0.25">
      <c r="C167" s="8" t="s">
        <v>4607</v>
      </c>
      <c r="P167" s="139"/>
      <c r="Q167" s="9" t="str">
        <f>P132&amp;" × BR_rate ("&amp;BR_rate*100&amp;"%)"</f>
        <v>c17.22k × BR_rate (20%)</v>
      </c>
    </row>
    <row r="168" spans="3:18" x14ac:dyDescent="0.25">
      <c r="C168" s="22" t="s">
        <v>8775</v>
      </c>
      <c r="P168" s="2162" t="str">
        <f>A53</f>
        <v>c17.30</v>
      </c>
      <c r="Q168" s="2281">
        <f>TRUNC(Q132*BR_rate,2)</f>
        <v>0</v>
      </c>
      <c r="R168" s="197" t="s">
        <v>7647</v>
      </c>
    </row>
    <row r="169" spans="3:18" x14ac:dyDescent="0.25">
      <c r="P169" s="139"/>
    </row>
    <row r="170" spans="3:18" x14ac:dyDescent="0.25">
      <c r="Q170" s="9" t="str">
        <f>P165&amp;" minus "&amp;P168</f>
        <v>c17.29 minus c17.30</v>
      </c>
    </row>
    <row r="171" spans="3:18" x14ac:dyDescent="0.25">
      <c r="P171" s="2162" t="str">
        <f>A54</f>
        <v>c17.31</v>
      </c>
      <c r="Q171" s="2281">
        <f>MAX(0,Q165-Q168)</f>
        <v>0</v>
      </c>
    </row>
    <row r="172" spans="3:18" x14ac:dyDescent="0.25">
      <c r="C172" s="232" t="s">
        <v>8776</v>
      </c>
    </row>
    <row r="173" spans="3:18" x14ac:dyDescent="0.25">
      <c r="F173" s="9" t="str">
        <f>L47&amp;" + "&amp;L101</f>
        <v>c17.5 + c17.22</v>
      </c>
      <c r="K173" s="9"/>
      <c r="L173" s="9"/>
      <c r="M173" s="9"/>
      <c r="N173" s="9"/>
    </row>
    <row r="174" spans="3:18" x14ac:dyDescent="0.25">
      <c r="E174" s="2162" t="str">
        <f>A55</f>
        <v>c17.32</v>
      </c>
      <c r="F174" s="2161">
        <f>M47+M101</f>
        <v>0</v>
      </c>
      <c r="I174" s="9"/>
      <c r="J174" s="9"/>
    </row>
    <row r="175" spans="3:18" x14ac:dyDescent="0.25">
      <c r="D175" s="9"/>
      <c r="E175" s="138"/>
      <c r="F175" s="9"/>
      <c r="I175" s="9"/>
      <c r="J175" s="9"/>
    </row>
    <row r="176" spans="3:18" x14ac:dyDescent="0.25">
      <c r="D176" s="9"/>
      <c r="E176" s="138"/>
      <c r="F176" s="9" t="str">
        <f>E174&amp;" minus "&amp;E101</f>
        <v>c17.32 minus c17.21</v>
      </c>
      <c r="I176" s="9"/>
      <c r="J176" s="9"/>
    </row>
    <row r="177" spans="3:9" x14ac:dyDescent="0.25">
      <c r="E177" s="2162" t="str">
        <f>A56</f>
        <v>c17.33</v>
      </c>
      <c r="F177" s="2284">
        <f>MAX(0,F174-F101)</f>
        <v>0</v>
      </c>
      <c r="I177" s="9"/>
    </row>
    <row r="178" spans="3:9" x14ac:dyDescent="0.25">
      <c r="E178" s="139"/>
      <c r="I178" s="9"/>
    </row>
    <row r="179" spans="3:9" x14ac:dyDescent="0.25">
      <c r="E179" s="139"/>
      <c r="F179" s="32" t="str">
        <f>E177&amp;" minus "&amp;L52</f>
        <v>c17.33 minus c17.8</v>
      </c>
      <c r="I179" s="9"/>
    </row>
    <row r="180" spans="3:9" x14ac:dyDescent="0.25">
      <c r="E180" s="2162" t="str">
        <f>A57</f>
        <v>c17.34</v>
      </c>
      <c r="F180" s="2149">
        <f>MAX(0,F177-M52)</f>
        <v>0</v>
      </c>
      <c r="I180" s="9"/>
    </row>
    <row r="181" spans="3:9" x14ac:dyDescent="0.25">
      <c r="E181" s="139"/>
      <c r="F181" s="26"/>
      <c r="I181" s="9"/>
    </row>
    <row r="182" spans="3:9" x14ac:dyDescent="0.25">
      <c r="E182" s="139"/>
      <c r="F182" s="32" t="str">
        <f>E180&amp;" minus "&amp;L63</f>
        <v>c17.34 minus c17.12</v>
      </c>
    </row>
    <row r="183" spans="3:9" x14ac:dyDescent="0.25">
      <c r="C183" s="8" t="s">
        <v>8777</v>
      </c>
      <c r="E183" s="2162" t="str">
        <f>A58</f>
        <v>c17.35</v>
      </c>
      <c r="F183" s="2149">
        <f>MAX(0,F180-M63)</f>
        <v>0</v>
      </c>
      <c r="I183" s="9"/>
    </row>
    <row r="184" spans="3:9" x14ac:dyDescent="0.25">
      <c r="E184" s="139"/>
      <c r="F184" s="26"/>
      <c r="I184" s="9"/>
    </row>
    <row r="185" spans="3:9" x14ac:dyDescent="0.25">
      <c r="E185" s="139"/>
      <c r="F185" s="174" t="str">
        <f>"lower of "&amp;L101&amp;" and "&amp;E183</f>
        <v>lower of c17.22 and c17.35</v>
      </c>
      <c r="I185" s="9"/>
    </row>
    <row r="186" spans="3:9" x14ac:dyDescent="0.25">
      <c r="C186" s="9" t="s">
        <v>8778</v>
      </c>
      <c r="E186" s="2162" t="str">
        <f>A59</f>
        <v>c17.36</v>
      </c>
      <c r="F186" s="2149">
        <f>MIN(M101,F183)</f>
        <v>0</v>
      </c>
      <c r="I186" s="9"/>
    </row>
    <row r="187" spans="3:9" x14ac:dyDescent="0.25">
      <c r="D187" s="9"/>
      <c r="E187" s="138"/>
      <c r="F187" s="26"/>
      <c r="I187" s="9"/>
    </row>
    <row r="188" spans="3:9" x14ac:dyDescent="0.25">
      <c r="D188" s="9"/>
      <c r="E188" s="139"/>
      <c r="F188" s="32" t="str">
        <f>E183&amp;" minus "&amp;E186</f>
        <v>c17.35 minus c17.36</v>
      </c>
      <c r="I188" s="9"/>
    </row>
    <row r="189" spans="3:9" x14ac:dyDescent="0.25">
      <c r="C189" s="8" t="s">
        <v>8779</v>
      </c>
      <c r="D189" s="9"/>
      <c r="E189" s="2162" t="str">
        <f>A60</f>
        <v>c17.37</v>
      </c>
      <c r="F189" s="2149">
        <f>MAX(0,F183-F186)</f>
        <v>0</v>
      </c>
      <c r="I189" s="9"/>
    </row>
    <row r="190" spans="3:9" x14ac:dyDescent="0.25">
      <c r="C190" s="8" t="s">
        <v>8780</v>
      </c>
      <c r="D190" s="9"/>
      <c r="E190" s="139"/>
      <c r="I190" s="9"/>
    </row>
    <row r="191" spans="3:9" x14ac:dyDescent="0.25">
      <c r="D191" s="9"/>
      <c r="E191" s="139"/>
      <c r="F191" s="32" t="str">
        <f>L71&amp;" minus "&amp;E189</f>
        <v>c17.16 minus c17.37</v>
      </c>
      <c r="I191" s="9"/>
    </row>
    <row r="192" spans="3:9" x14ac:dyDescent="0.25">
      <c r="C192" s="8" t="s">
        <v>8781</v>
      </c>
      <c r="D192" s="9"/>
      <c r="E192" s="2162" t="str">
        <f>A61</f>
        <v>c17.38</v>
      </c>
      <c r="F192" s="2149">
        <f>MAX(0,M71-F189)</f>
        <v>0</v>
      </c>
      <c r="I192" s="9"/>
    </row>
    <row r="193" spans="2:9" x14ac:dyDescent="0.25">
      <c r="D193" s="9"/>
      <c r="E193" s="139"/>
      <c r="F193" s="26"/>
      <c r="I193" s="9"/>
    </row>
    <row r="194" spans="2:9" x14ac:dyDescent="0.25">
      <c r="D194" s="9"/>
      <c r="E194" s="139"/>
      <c r="F194" s="518" t="str">
        <f>'Deductions (c4)'!H435&amp;" &lt;  P_A ("&amp;DOLLAR(P_A,0)&amp;") 0r "&amp;'Deductions (c4)'!D216&amp;" &gt; 0"</f>
        <v>c4.64 &lt;  P_A (£12,570) 0r c4.47 &gt; 0</v>
      </c>
      <c r="I194" s="9"/>
    </row>
    <row r="195" spans="2:9" x14ac:dyDescent="0.25">
      <c r="C195" s="458" t="s">
        <v>8782</v>
      </c>
      <c r="D195" s="9"/>
      <c r="E195" s="2178" t="str">
        <f>A62</f>
        <v>c17.38.0</v>
      </c>
      <c r="F195" s="2178" t="b">
        <f>OR(P_A_in_Calc &lt; P_A, 'Deductions (c4)'!E216 &gt; 0)</f>
        <v>0</v>
      </c>
      <c r="I195" s="9"/>
    </row>
    <row r="196" spans="2:9" x14ac:dyDescent="0.25">
      <c r="D196" s="9"/>
      <c r="E196" s="139"/>
      <c r="F196" s="26"/>
      <c r="I196" s="9"/>
    </row>
    <row r="197" spans="2:9" x14ac:dyDescent="0.25">
      <c r="B197" s="139" t="str">
        <f>"If "&amp;E192&amp;" is zero no Top Slicing Relief is due set "&amp;E214&amp;" to "&amp;L308&amp;" to 0 (zero)"</f>
        <v>If c17.38 is zero no Top Slicing Relief is due set c17.38.1 to c17.48 to 0 (zero)</v>
      </c>
      <c r="D197" s="9"/>
      <c r="F197" s="26"/>
      <c r="I197" s="9"/>
    </row>
    <row r="198" spans="2:9" x14ac:dyDescent="0.25">
      <c r="B198" s="139" t="s">
        <v>7143</v>
      </c>
    </row>
    <row r="199" spans="2:9" x14ac:dyDescent="0.25">
      <c r="B199" s="139" t="str">
        <f>"calculate TSR (boxes "&amp;E214&amp;" to "&amp;L308&amp;")"</f>
        <v>calculate TSR (boxes c17.38.1 to c17.48)</v>
      </c>
    </row>
    <row r="200" spans="2:9" x14ac:dyDescent="0.25">
      <c r="B200" s="139"/>
    </row>
    <row r="201" spans="2:9" x14ac:dyDescent="0.25">
      <c r="B201" s="8" t="str">
        <f>"if "&amp;'Deductions (c4)'!H435&amp;" &lt; P_A ("&amp;DOLLAR(P_A,0)&amp;")"</f>
        <v>if c4.64 &lt; P_A (£12,570)</v>
      </c>
      <c r="F201" s="458"/>
    </row>
    <row r="202" spans="2:9" x14ac:dyDescent="0.25">
      <c r="B202" s="8" t="str">
        <f>"set "&amp;'Deductions (c4)'!D201&amp;" to ("&amp;'Divs (c3)'!G111&amp;" + "&amp;'Deductions (c4)'!D195&amp;" + "&amp;'Deductions (c4)'!D198&amp;" + "&amp;'TSR (c17)'!L101&amp;") - "&amp;'TSR (c17)'!E101</f>
        <v>set c4.41 to (c3.26 + c4.40.1 + c4.40.2 + c17.22) - c17.21</v>
      </c>
    </row>
    <row r="203" spans="2:9" x14ac:dyDescent="0.25">
      <c r="B203" s="8" t="str">
        <f>"set "&amp;'Deductions (c4)'!H354&amp;" to (("&amp;'Deductions (c4)'!H347&amp;" minus "&amp;'Deductions (c4)'!H350&amp;") + ("&amp;'TSR (c17)'!L101&amp;" minus "&amp;'TSR (c17)'!E101&amp;"))"</f>
        <v>set c4.55 to ((c4.54.2 minus c4.54.3) + (c17.22 minus c17.21))</v>
      </c>
    </row>
    <row r="204" spans="2:9" x14ac:dyDescent="0.25">
      <c r="B204" s="8" t="str">
        <f>"Calculate boxes "&amp;'Deductions (c4)'!D201&amp;" to "&amp;'Deductions (c4)'!L418</f>
        <v>Calculate boxes c4.41 to c4.63c</v>
      </c>
    </row>
    <row r="205" spans="2:9" x14ac:dyDescent="0.25">
      <c r="B205" s="8" t="str">
        <f>"Calculate boxes "&amp;'allowances (c14c15)'!K5&amp;" to "&amp;'allowances (c14c15)'!K26</f>
        <v>Calculate boxes c14.1 to c14.6</v>
      </c>
    </row>
    <row r="206" spans="2:9" x14ac:dyDescent="0.25">
      <c r="B206" s="8" t="str">
        <f>"Calculate boxes "&amp;'Deductions (c4)'!H435&amp;" to "&amp;'Deductions (c4)'!L484</f>
        <v>Calculate boxes c4.64 to c4.70</v>
      </c>
    </row>
    <row r="207" spans="2:9" x14ac:dyDescent="0.25">
      <c r="B207" s="1065" t="str">
        <f>E214&amp;" = "&amp;'Deductions (c4)'!L484&amp;" minus ("&amp;'Deductions (c4)'!H281&amp;" + "&amp;'Deductions (c4)'!H294&amp;" + "&amp;'Deductions (c4)'!H310&amp;" + "&amp;'Deductions (c4)'!H321&amp;" + "&amp;'Deductions (c4)'!H413&amp;")"</f>
        <v>c17.38.1 = c4.70 minus (c4.47.19 + c4.47.23 + c4.47.27 + c4.47.30 + c4.63b)</v>
      </c>
      <c r="C207" s="1065"/>
      <c r="D207" s="1065"/>
      <c r="E207" s="1065"/>
      <c r="F207" s="1065"/>
      <c r="G207" s="1065"/>
      <c r="H207" s="1065"/>
      <c r="I207" s="1065"/>
    </row>
    <row r="208" spans="2:9" x14ac:dyDescent="0.25">
      <c r="B208" s="8" t="str">
        <f>"set "&amp;'Deductions (c4)'!D201&amp;" to "&amp;'Deductions (c4)'!E200</f>
        <v>set c4.41 to c3.26 + c4.40.1 + c4.40.2</v>
      </c>
    </row>
    <row r="209" spans="2:18" x14ac:dyDescent="0.25">
      <c r="B209" s="8" t="str">
        <f>"set "&amp;'Deductions (c4)'!H354&amp;" to "&amp;'Deductions (c4)'!I353</f>
        <v>set c4.55 to c4.54.2 minus c4.54.3</v>
      </c>
    </row>
    <row r="210" spans="2:18" x14ac:dyDescent="0.25">
      <c r="B210" s="8" t="s">
        <v>7143</v>
      </c>
    </row>
    <row r="211" spans="2:18" x14ac:dyDescent="0.25">
      <c r="B211" s="8" t="str">
        <f>"Calculate "&amp;E214</f>
        <v>Calculate c17.38.1</v>
      </c>
    </row>
    <row r="212" spans="2:18" x14ac:dyDescent="0.25">
      <c r="B212" s="139"/>
    </row>
    <row r="213" spans="2:18" x14ac:dyDescent="0.25">
      <c r="B213" s="139"/>
      <c r="F213" s="9" t="str">
        <f>"from "&amp;E49</f>
        <v>from c17.6</v>
      </c>
    </row>
    <row r="214" spans="2:18" x14ac:dyDescent="0.25">
      <c r="B214" s="139"/>
      <c r="E214" s="2162" t="str">
        <f>A63</f>
        <v>c17.38.1</v>
      </c>
      <c r="F214" s="2149">
        <f>IF(use_TSR_alt_c17_6, TSR_alt_c17_6, 'TSR (c17)'!F49)</f>
        <v>61337</v>
      </c>
    </row>
    <row r="215" spans="2:18" x14ac:dyDescent="0.25">
      <c r="B215" s="8" t="s">
        <v>75</v>
      </c>
      <c r="E215" s="139"/>
      <c r="F215" s="26"/>
    </row>
    <row r="216" spans="2:18" x14ac:dyDescent="0.25">
      <c r="B216" s="139"/>
    </row>
    <row r="217" spans="2:18" x14ac:dyDescent="0.25">
      <c r="B217" s="139"/>
      <c r="C217" s="22" t="s">
        <v>8783</v>
      </c>
      <c r="F217" s="32" t="str">
        <f>E214&amp;" minus "&amp;E52</f>
        <v>c17.38.1 minus c17.7</v>
      </c>
      <c r="P217" s="9"/>
      <c r="Q217" s="9" t="str">
        <f>E218&amp;" minus "&amp;L52</f>
        <v>c17.38.2 minus c17.8</v>
      </c>
    </row>
    <row r="218" spans="2:18" x14ac:dyDescent="0.25">
      <c r="B218" s="139"/>
      <c r="C218" s="8" t="s">
        <v>8784</v>
      </c>
      <c r="E218" s="2162" t="str">
        <f>A64</f>
        <v>c17.38.2</v>
      </c>
      <c r="F218" s="2149">
        <f>MAX(0,F214-F52)</f>
        <v>61337</v>
      </c>
      <c r="O218" s="9" t="s">
        <v>8785</v>
      </c>
      <c r="P218" s="2162" t="str">
        <f>A65</f>
        <v>c17.38.2a</v>
      </c>
      <c r="Q218" s="2149">
        <f>MAX(0,F218-M52)</f>
        <v>48767</v>
      </c>
    </row>
    <row r="219" spans="2:18" x14ac:dyDescent="0.25">
      <c r="B219" s="139"/>
      <c r="E219" s="139"/>
      <c r="F219" s="26"/>
    </row>
    <row r="220" spans="2:18" x14ac:dyDescent="0.25">
      <c r="B220" s="139"/>
      <c r="E220" s="139"/>
      <c r="F220" s="26"/>
      <c r="Q220" s="9" t="str">
        <f>P114&amp;" minus "&amp;P218</f>
        <v>c17.22b minus c17.38.2a</v>
      </c>
    </row>
    <row r="221" spans="2:18" x14ac:dyDescent="0.25">
      <c r="B221" s="139"/>
      <c r="C221" s="8" t="s">
        <v>5681</v>
      </c>
      <c r="E221" s="139"/>
      <c r="F221" s="26"/>
      <c r="P221" s="2162" t="str">
        <f>A66</f>
        <v>c17.38.2b</v>
      </c>
      <c r="Q221" s="2149">
        <f>MAX(0,Q114-Q218)</f>
        <v>0</v>
      </c>
      <c r="R221" s="26"/>
    </row>
    <row r="222" spans="2:18" x14ac:dyDescent="0.25">
      <c r="B222" s="139"/>
      <c r="E222" s="139"/>
      <c r="F222" s="26"/>
    </row>
    <row r="223" spans="2:18" x14ac:dyDescent="0.25">
      <c r="B223" s="139"/>
      <c r="C223" s="8" t="s">
        <v>8761</v>
      </c>
      <c r="E223" s="139"/>
      <c r="F223" s="26"/>
      <c r="M223" s="9" t="str">
        <f>P218&amp;" minus "&amp;P114</f>
        <v>c17.38.2a minus c17.22b</v>
      </c>
      <c r="Q223" s="9" t="str">
        <f>P117&amp;" minus "&amp;L224</f>
        <v>c17.22e minus c17.38.2c</v>
      </c>
    </row>
    <row r="224" spans="2:18" x14ac:dyDescent="0.25">
      <c r="B224" s="139"/>
      <c r="C224" s="127" t="s">
        <v>8786</v>
      </c>
      <c r="E224" s="139"/>
      <c r="F224" s="26"/>
      <c r="L224" s="2162" t="str">
        <f>A67</f>
        <v>c17.38.2c</v>
      </c>
      <c r="M224" s="2149">
        <f>MAX(0,Q218-Q114)</f>
        <v>48767</v>
      </c>
      <c r="P224" s="2162" t="str">
        <f>A68</f>
        <v>c17.38.2d</v>
      </c>
      <c r="Q224" s="2149">
        <f>MAX(0,Q117-M224)</f>
        <v>0</v>
      </c>
    </row>
    <row r="225" spans="2:17" x14ac:dyDescent="0.25">
      <c r="B225" s="139"/>
      <c r="C225" s="127"/>
      <c r="E225" s="139"/>
      <c r="F225" s="26"/>
      <c r="L225" s="139"/>
      <c r="M225" s="26"/>
    </row>
    <row r="226" spans="2:17" x14ac:dyDescent="0.25">
      <c r="B226" s="139"/>
      <c r="F226" s="9" t="str">
        <f>"lower of "&amp;P224&amp;" and SR_band ("&amp;DOLLAR(SR_band,0)&amp;")"</f>
        <v>lower of c17.38.2d and SR_band (£5,000)</v>
      </c>
      <c r="L226" s="139"/>
      <c r="M226" s="26"/>
      <c r="O226" s="9"/>
      <c r="Q226" s="9" t="str">
        <f>"lower of "&amp;E227&amp;" and (SR_band ("&amp;DOLLAR(SR_band,0)&amp;") minus "&amp;P221&amp;")"</f>
        <v>lower of c17.38.2e and (SR_band (£5,000) minus c17.38.2b)</v>
      </c>
    </row>
    <row r="227" spans="2:17" x14ac:dyDescent="0.25">
      <c r="B227" s="139"/>
      <c r="C227" s="8" t="s">
        <v>8763</v>
      </c>
      <c r="E227" s="2162" t="str">
        <f>A69</f>
        <v>c17.38.2e</v>
      </c>
      <c r="F227" s="2149">
        <f>MIN(Q224,SR_band)</f>
        <v>0</v>
      </c>
      <c r="G227" s="26"/>
      <c r="L227" s="139"/>
      <c r="M227" s="26"/>
      <c r="P227" s="2162" t="str">
        <f>A70</f>
        <v>c17.38.2f</v>
      </c>
      <c r="Q227" s="2149">
        <f>MAX(0,MIN(F227,(SR_band)-Q221))</f>
        <v>0</v>
      </c>
    </row>
    <row r="228" spans="2:17" x14ac:dyDescent="0.25">
      <c r="B228" s="139"/>
      <c r="Q228" s="9"/>
    </row>
    <row r="229" spans="2:17" x14ac:dyDescent="0.25">
      <c r="B229" s="139"/>
      <c r="Q229" s="9" t="str">
        <f>"lower of "&amp;P120&amp;" and "&amp;P227</f>
        <v>lower of c17.22e2 and c17.38.2f</v>
      </c>
    </row>
    <row r="230" spans="2:17" x14ac:dyDescent="0.25">
      <c r="B230" s="139"/>
      <c r="O230" s="9" t="s">
        <v>8764</v>
      </c>
      <c r="P230" s="2162" t="str">
        <f>A71</f>
        <v>c17.38.2g</v>
      </c>
      <c r="Q230" s="2149">
        <f>MIN(Q120,Q227)</f>
        <v>0</v>
      </c>
    </row>
    <row r="231" spans="2:17" x14ac:dyDescent="0.25">
      <c r="B231" s="139"/>
    </row>
    <row r="232" spans="2:17" x14ac:dyDescent="0.25">
      <c r="B232" s="139"/>
      <c r="O232" s="9"/>
      <c r="P232" s="139"/>
      <c r="Q232" s="9" t="str">
        <f>"("&amp;'Divs (c3)'!G87&amp;" + "&amp;L101&amp;") minus "&amp;E101</f>
        <v>(c3.21 + c17.22) minus c17.21</v>
      </c>
    </row>
    <row r="233" spans="2:17" x14ac:dyDescent="0.25">
      <c r="B233" s="139"/>
      <c r="O233" s="9"/>
      <c r="P233" s="2162" t="str">
        <f>A72</f>
        <v>c17.38.2ga</v>
      </c>
      <c r="Q233" s="2149">
        <f>MAX(0,(('Divs (c3)'!H87+'TSR (c17)'!M101)-'TSR (c17)'!F101))</f>
        <v>0</v>
      </c>
    </row>
    <row r="234" spans="2:17" x14ac:dyDescent="0.25">
      <c r="B234" s="139"/>
      <c r="O234" s="9"/>
      <c r="P234" s="139"/>
    </row>
    <row r="235" spans="2:17" x14ac:dyDescent="0.25">
      <c r="B235" s="139"/>
      <c r="O235" s="9"/>
      <c r="P235" s="139"/>
      <c r="Q235" s="9" t="str">
        <f>"if "&amp;P233&amp;" minus "&amp;E214&amp;" &gt; AHR_band ("&amp;DOLLAR(AHR_band,0)&amp;") + "&amp;E63</f>
        <v>if c17.38.2ga minus c17.38.1 &gt; AHR_band (£125,140) + c17.11</v>
      </c>
    </row>
    <row r="236" spans="2:17" x14ac:dyDescent="0.25">
      <c r="B236" s="139"/>
      <c r="O236" s="9"/>
      <c r="P236" s="139"/>
      <c r="Q236" s="9" t="str">
        <f>P244&amp;" = PSA_AHR ("&amp;DOLLAR(PSA_AHR,0)&amp;")"</f>
        <v>c17.38.2gb = PSA_AHR (£0)</v>
      </c>
    </row>
    <row r="237" spans="2:17" x14ac:dyDescent="0.25">
      <c r="B237" s="139"/>
      <c r="O237" s="9"/>
      <c r="P237" s="139"/>
      <c r="Q237" s="8" t="s">
        <v>7143</v>
      </c>
    </row>
    <row r="238" spans="2:17" x14ac:dyDescent="0.25">
      <c r="B238" s="139"/>
      <c r="O238" s="9"/>
      <c r="P238" s="139"/>
      <c r="Q238" s="9" t="str">
        <f>"if "&amp;P233&amp;" minus "&amp;E214&amp;" &gt; BR_band ("&amp;DOLLAR(BR_band,0)&amp;") + "&amp;E63</f>
        <v>if c17.38.2ga minus c17.38.1 &gt; BR_band (£37,700) + c17.11</v>
      </c>
    </row>
    <row r="239" spans="2:17" x14ac:dyDescent="0.25">
      <c r="B239" s="139"/>
      <c r="O239" s="9"/>
      <c r="P239" s="139"/>
      <c r="Q239" s="9" t="str">
        <f>P244&amp;" = PSA_HR ("&amp;DOLLAR(PSA_HR,0)&amp;")"</f>
        <v>c17.38.2gb = PSA_HR (£500)</v>
      </c>
    </row>
    <row r="240" spans="2:17" x14ac:dyDescent="0.25">
      <c r="B240" s="139"/>
      <c r="O240" s="9"/>
      <c r="P240" s="139"/>
      <c r="Q240" s="8" t="s">
        <v>7143</v>
      </c>
    </row>
    <row r="241" spans="2:17" x14ac:dyDescent="0.25">
      <c r="B241" s="139"/>
      <c r="O241" s="9"/>
      <c r="P241" s="139"/>
      <c r="Q241" s="9" t="str">
        <f>P244&amp;" = PSA_BR ("&amp;DOLLAR(PSA_BR,0)&amp;")"</f>
        <v>c17.38.2gb = PSA_BR (£1,000)</v>
      </c>
    </row>
    <row r="242" spans="2:17" x14ac:dyDescent="0.25">
      <c r="B242" s="139"/>
      <c r="O242" s="9"/>
      <c r="P242" s="139"/>
      <c r="Q242" s="8" t="s">
        <v>75</v>
      </c>
    </row>
    <row r="243" spans="2:17" x14ac:dyDescent="0.25">
      <c r="B243" s="139"/>
      <c r="O243" s="9"/>
      <c r="P243" s="139"/>
      <c r="Q243" s="8" t="s">
        <v>75</v>
      </c>
    </row>
    <row r="244" spans="2:17" x14ac:dyDescent="0.25">
      <c r="B244" s="139"/>
      <c r="O244" s="9"/>
      <c r="P244" s="2162" t="str">
        <f>A73</f>
        <v>c17.38.2gb</v>
      </c>
      <c r="Q244" s="2149">
        <f>IF(Q233-F214&gt;AHR_band+F63,PSA_AHR,IF(Q233-F214&gt;BR_band+F63,PSA_HR,PSA_BR))</f>
        <v>1000</v>
      </c>
    </row>
    <row r="245" spans="2:17" x14ac:dyDescent="0.25">
      <c r="B245" s="139"/>
    </row>
    <row r="246" spans="2:17" x14ac:dyDescent="0.25">
      <c r="B246" s="139"/>
      <c r="Q246" s="9" t="str">
        <f>"lower of ("&amp;P224&amp;" minus "&amp;P227&amp;") and "&amp;P244</f>
        <v>lower of (c17.38.2d minus c17.38.2f) and c17.38.2gb</v>
      </c>
    </row>
    <row r="247" spans="2:17" x14ac:dyDescent="0.25">
      <c r="B247" s="139"/>
      <c r="O247" s="9" t="s">
        <v>8765</v>
      </c>
      <c r="P247" s="2162" t="str">
        <f>A74</f>
        <v>c17.38.2h</v>
      </c>
      <c r="Q247" s="2149">
        <f>MAX(0,MIN(Q224-Q227,Q244))</f>
        <v>0</v>
      </c>
    </row>
    <row r="248" spans="2:17" x14ac:dyDescent="0.25">
      <c r="B248" s="139"/>
    </row>
    <row r="249" spans="2:17" x14ac:dyDescent="0.25">
      <c r="B249" s="139"/>
      <c r="M249" s="9" t="str">
        <f>L224&amp;" minus "&amp;P117</f>
        <v>c17.38.2c minus c17.22e</v>
      </c>
      <c r="Q249" s="9" t="str">
        <f>P126&amp;" minus "&amp;L250</f>
        <v>c17.22h minus c17.38.2i</v>
      </c>
    </row>
    <row r="250" spans="2:17" x14ac:dyDescent="0.25">
      <c r="B250" s="139"/>
      <c r="C250" s="22" t="s">
        <v>861</v>
      </c>
      <c r="E250" s="26"/>
      <c r="L250" s="2162" t="str">
        <f>A75</f>
        <v>c17.38.2i</v>
      </c>
      <c r="M250" s="2149">
        <f>MAX(0,M224-Q117)</f>
        <v>48767</v>
      </c>
      <c r="P250" s="2162" t="str">
        <f>A76</f>
        <v>c17.38.2j</v>
      </c>
      <c r="Q250" s="2149">
        <f>MAX(0,Q126-M250)</f>
        <v>0</v>
      </c>
    </row>
    <row r="251" spans="2:17" x14ac:dyDescent="0.25">
      <c r="B251" s="139"/>
      <c r="E251" s="26"/>
    </row>
    <row r="252" spans="2:17" x14ac:dyDescent="0.25">
      <c r="B252" s="139"/>
      <c r="E252" s="26"/>
      <c r="Q252" s="32" t="str">
        <f>P221&amp;" + "&amp;P224&amp;" + "&amp;P250</f>
        <v>c17.38.2b + c17.38.2d + c17.38.2j</v>
      </c>
    </row>
    <row r="253" spans="2:17" x14ac:dyDescent="0.25">
      <c r="B253" s="139"/>
      <c r="C253" s="22" t="s">
        <v>8766</v>
      </c>
      <c r="P253" s="2162" t="str">
        <f>A77</f>
        <v>c17.38.3</v>
      </c>
      <c r="Q253" s="2149">
        <f>Q221+Q224+Q250</f>
        <v>0</v>
      </c>
    </row>
    <row r="254" spans="2:17" x14ac:dyDescent="0.25">
      <c r="B254" s="139"/>
    </row>
    <row r="255" spans="2:17" x14ac:dyDescent="0.25">
      <c r="B255" s="139"/>
      <c r="F255" s="26"/>
      <c r="M255" s="32" t="str">
        <f>E218&amp;" minus ("&amp;E114&amp;" + "&amp;E117&amp;" + "&amp;E126&amp;")"</f>
        <v>c17.38.2 minus (c17.22a + c17.22c + c17.22f)</v>
      </c>
    </row>
    <row r="256" spans="2:17" x14ac:dyDescent="0.25">
      <c r="B256" s="139"/>
      <c r="C256" s="22" t="s">
        <v>8787</v>
      </c>
      <c r="F256" s="26"/>
      <c r="L256" s="2162" t="str">
        <f>A78</f>
        <v>c17.38.4</v>
      </c>
      <c r="M256" s="2149">
        <f>MAX(0,F218-(F114+F117+F126))</f>
        <v>61337</v>
      </c>
    </row>
    <row r="257" spans="2:21" x14ac:dyDescent="0.25">
      <c r="B257" s="139"/>
    </row>
    <row r="258" spans="2:21" x14ac:dyDescent="0.25">
      <c r="B258" s="139"/>
      <c r="Q258" s="9" t="str">
        <f>L101&amp;" minus "&amp;L256</f>
        <v>c17.22 minus c17.38.4</v>
      </c>
    </row>
    <row r="259" spans="2:21" x14ac:dyDescent="0.25">
      <c r="B259" s="139"/>
      <c r="C259" s="8" t="s">
        <v>8767</v>
      </c>
      <c r="P259" s="2162" t="str">
        <f>A79</f>
        <v>c17.38a</v>
      </c>
      <c r="Q259" s="2149">
        <f>MAX(0,M101-M256)</f>
        <v>0</v>
      </c>
    </row>
    <row r="260" spans="2:21" x14ac:dyDescent="0.25">
      <c r="B260" s="139"/>
    </row>
    <row r="261" spans="2:21" x14ac:dyDescent="0.25">
      <c r="B261" s="139"/>
      <c r="F261" s="32" t="str">
        <f>"lower of "&amp;P259&amp;" and SR_band ("&amp;DOLLAR(SR_band,0)&amp;")"</f>
        <v>lower of c17.38a and SR_band (£5,000)</v>
      </c>
      <c r="M261" s="26"/>
    </row>
    <row r="262" spans="2:21" x14ac:dyDescent="0.25">
      <c r="B262" s="139"/>
      <c r="E262" s="2162" t="str">
        <f>A80</f>
        <v>c17.38a1</v>
      </c>
      <c r="F262" s="2149">
        <f>MIN(Q259,SR_band)</f>
        <v>0</v>
      </c>
      <c r="G262" s="26"/>
      <c r="M262" s="26"/>
    </row>
    <row r="263" spans="2:21" x14ac:dyDescent="0.25">
      <c r="M263" s="26"/>
    </row>
    <row r="264" spans="2:21" x14ac:dyDescent="0.25">
      <c r="E264" s="9"/>
      <c r="F264" s="9" t="s">
        <v>7043</v>
      </c>
    </row>
    <row r="265" spans="2:21" x14ac:dyDescent="0.25">
      <c r="C265" s="8" t="s">
        <v>227</v>
      </c>
      <c r="E265" s="2162" t="str">
        <f>A81</f>
        <v>c17.38b</v>
      </c>
      <c r="F265" s="2166">
        <v>0</v>
      </c>
      <c r="G265" s="26"/>
      <c r="H265" s="26"/>
    </row>
    <row r="266" spans="2:21" x14ac:dyDescent="0.25">
      <c r="F266" s="9"/>
      <c r="U266" s="26"/>
    </row>
    <row r="267" spans="2:21" x14ac:dyDescent="0.25">
      <c r="F267" s="9" t="str">
        <f>"lower of "&amp;E262&amp;" and (SR_band ("&amp;DOLLAR(SR_band,0)&amp;") minus "&amp;P253&amp;")"</f>
        <v>lower of c17.38a1 and (SR_band (£5,000) minus c17.38.3)</v>
      </c>
      <c r="M267" s="9" t="str">
        <f>E268&amp;" × SR_rate ("&amp;SR_rate*100&amp;"%)"</f>
        <v>c17.38c × SR_rate (0%)</v>
      </c>
    </row>
    <row r="268" spans="2:21" x14ac:dyDescent="0.25">
      <c r="C268" s="22" t="s">
        <v>8768</v>
      </c>
      <c r="E268" s="2162" t="str">
        <f>A82</f>
        <v>c17.38c</v>
      </c>
      <c r="F268" s="2166">
        <f>MAX(0,MIN(F262,(SR_band-Q253)))</f>
        <v>0</v>
      </c>
      <c r="G268" s="26"/>
      <c r="L268" s="2162" t="str">
        <f>A83</f>
        <v>c17.38d</v>
      </c>
      <c r="M268" s="2281">
        <f>TRUNC(F268*SR_rate,2)</f>
        <v>0</v>
      </c>
      <c r="N268" s="197" t="s">
        <v>7647</v>
      </c>
      <c r="U268" s="26"/>
    </row>
    <row r="269" spans="2:21" x14ac:dyDescent="0.25">
      <c r="C269" s="22"/>
      <c r="E269" s="139"/>
      <c r="L269" s="139"/>
      <c r="M269" s="167"/>
      <c r="N269" s="197"/>
    </row>
    <row r="270" spans="2:21" x14ac:dyDescent="0.25">
      <c r="F270" s="9" t="s">
        <v>7043</v>
      </c>
    </row>
    <row r="271" spans="2:21" x14ac:dyDescent="0.25">
      <c r="C271" s="22"/>
      <c r="E271" s="2162" t="str">
        <f>A84</f>
        <v>c17.38d1</v>
      </c>
      <c r="F271" s="2149">
        <v>0</v>
      </c>
      <c r="L271" s="139"/>
      <c r="M271" s="167"/>
      <c r="N271" s="197"/>
    </row>
    <row r="272" spans="2:21" x14ac:dyDescent="0.25">
      <c r="C272" s="22"/>
      <c r="F272" s="9" t="str">
        <f>"lower of ("&amp;P259&amp;" minus "&amp;E268&amp;") and"</f>
        <v>lower of (c17.38a minus c17.38c) and</v>
      </c>
      <c r="I272" s="9"/>
    </row>
    <row r="273" spans="2:14" x14ac:dyDescent="0.25">
      <c r="C273" s="22"/>
      <c r="F273" s="9" t="str">
        <f>"("&amp;P244&amp;" minus "&amp;P247&amp;")"</f>
        <v>(c17.38.2gb minus c17.38.2h)</v>
      </c>
      <c r="I273" s="9"/>
      <c r="M273" s="9" t="str">
        <f>E274&amp;" × SNil_rate ("&amp;SNil_rate*100&amp;"%)"</f>
        <v>c17.38e × SNil_rate (0%)</v>
      </c>
    </row>
    <row r="274" spans="2:14" x14ac:dyDescent="0.25">
      <c r="C274" s="22" t="s">
        <v>8769</v>
      </c>
      <c r="E274" s="2162" t="str">
        <f>A85</f>
        <v>c17.38e</v>
      </c>
      <c r="F274" s="2166">
        <f>MIN(MAX(0,Q259-F268),MAX(0,Q244-Q247))</f>
        <v>0</v>
      </c>
      <c r="I274" s="9"/>
      <c r="L274" s="2162" t="str">
        <f>A86</f>
        <v>c17.38f</v>
      </c>
      <c r="M274" s="2281">
        <f>TRUNC(F274*SNil_rate,2)</f>
        <v>0</v>
      </c>
      <c r="N274" s="197" t="s">
        <v>7647</v>
      </c>
    </row>
    <row r="275" spans="2:14" x14ac:dyDescent="0.25">
      <c r="C275" s="22"/>
      <c r="I275" s="9"/>
    </row>
    <row r="276" spans="2:14" x14ac:dyDescent="0.25">
      <c r="F276" s="9" t="str">
        <f>"lower of "&amp;P253&amp;" and "&amp;L63</f>
        <v>lower of c17.38.3 and c17.12</v>
      </c>
      <c r="I276" s="9"/>
    </row>
    <row r="277" spans="2:14" x14ac:dyDescent="0.25">
      <c r="B277" s="782"/>
      <c r="C277" s="22" t="s">
        <v>8770</v>
      </c>
      <c r="E277" s="2162" t="str">
        <f>A87</f>
        <v>c17.38g</v>
      </c>
      <c r="F277" s="2166">
        <f>MIN(Q253,M63)</f>
        <v>0</v>
      </c>
      <c r="I277" s="9"/>
    </row>
    <row r="278" spans="2:14" x14ac:dyDescent="0.25">
      <c r="D278" s="9"/>
      <c r="F278" s="9" t="str">
        <f>"lower of ("&amp;P259&amp;" minus ("&amp;E268&amp;" + "&amp;E274&amp;")) and"</f>
        <v>lower of (c17.38a minus (c17.38c + c17.38e)) and</v>
      </c>
      <c r="I278" s="9"/>
    </row>
    <row r="279" spans="2:14" x14ac:dyDescent="0.25">
      <c r="D279" s="9"/>
      <c r="F279" s="9" t="str">
        <f>"("&amp;L63&amp;" minus ("&amp;E268&amp;" + "&amp;E274&amp;" + "&amp;E277&amp;"))"</f>
        <v>(c17.12 minus (c17.38c + c17.38e + c17.38g))</v>
      </c>
      <c r="I279" s="9"/>
      <c r="M279" s="9" t="str">
        <f>E280&amp;" × BR_rate ("&amp;BR_rate*100&amp;"%)"</f>
        <v>c17.38h × BR_rate (20%)</v>
      </c>
    </row>
    <row r="280" spans="2:14" x14ac:dyDescent="0.25">
      <c r="C280" s="22" t="s">
        <v>8771</v>
      </c>
      <c r="D280" s="9"/>
      <c r="E280" s="2162" t="str">
        <f>A88</f>
        <v>c17.38h</v>
      </c>
      <c r="F280" s="2166">
        <f>MIN(MAX(0,Q259-(F268+F274)),MAX(0,M63-(F268+F274+F277)))</f>
        <v>0</v>
      </c>
      <c r="I280" s="9"/>
      <c r="L280" s="2162" t="str">
        <f>A89</f>
        <v>c17.38i</v>
      </c>
      <c r="M280" s="2281">
        <f>TRUNC(F280*BR_rate,2)</f>
        <v>0</v>
      </c>
      <c r="N280" s="197" t="s">
        <v>7647</v>
      </c>
    </row>
    <row r="281" spans="2:14" x14ac:dyDescent="0.25">
      <c r="D281" s="9"/>
      <c r="F281" s="26"/>
      <c r="I281" s="9"/>
    </row>
    <row r="282" spans="2:14" x14ac:dyDescent="0.25">
      <c r="F282" s="9" t="str">
        <f>P253&amp;" minus "&amp;E277</f>
        <v>c17.38.3 minus c17.38g</v>
      </c>
    </row>
    <row r="283" spans="2:14" x14ac:dyDescent="0.25">
      <c r="C283" s="22" t="s">
        <v>8772</v>
      </c>
      <c r="E283" s="2162" t="str">
        <f>A90</f>
        <v>c17.38j</v>
      </c>
      <c r="F283" s="2166">
        <f>MAX(0,Q253-F277)</f>
        <v>0</v>
      </c>
    </row>
    <row r="284" spans="2:14" x14ac:dyDescent="0.25">
      <c r="F284" s="9" t="str">
        <f>"lower of ("&amp;P259&amp;" minus ("&amp;E268&amp;" + "&amp;E274&amp;" + "&amp;E280&amp;")) and"</f>
        <v>lower of (c17.38a minus (c17.38c + c17.38e + c17.38h)) and</v>
      </c>
    </row>
    <row r="285" spans="2:14" x14ac:dyDescent="0.25">
      <c r="F285" s="9" t="str">
        <f>"(HR_band ("&amp;DOLLAR(HR_band,0)&amp;") minus "&amp;E283&amp;")"</f>
        <v>(HR_band (£87,440) minus c17.38j)</v>
      </c>
      <c r="M285" s="9" t="str">
        <f>E286&amp;" × HR_rate ("&amp;HR_rate*100&amp;"%)"</f>
        <v>c17.39 × HR_rate (40%)</v>
      </c>
    </row>
    <row r="286" spans="2:14" x14ac:dyDescent="0.25">
      <c r="C286" s="22" t="s">
        <v>8773</v>
      </c>
      <c r="E286" s="2162" t="str">
        <f>A91</f>
        <v>c17.39</v>
      </c>
      <c r="F286" s="2166">
        <f>MAX(0,MIN(Q259-(F268+F274+F280),HR_band-F283))</f>
        <v>0</v>
      </c>
      <c r="L286" s="2162" t="str">
        <f>A92</f>
        <v>c17.40</v>
      </c>
      <c r="M286" s="2281">
        <f>TRUNC(F286*HR_rate,2)</f>
        <v>0</v>
      </c>
      <c r="N286" s="197" t="s">
        <v>7647</v>
      </c>
    </row>
    <row r="287" spans="2:14" x14ac:dyDescent="0.25">
      <c r="E287" s="139"/>
      <c r="F287" s="9" t="str">
        <f>P259&amp;" minus"</f>
        <v>c17.38a minus</v>
      </c>
      <c r="L287" s="139"/>
    </row>
    <row r="288" spans="2:14" x14ac:dyDescent="0.25">
      <c r="F288" s="9" t="str">
        <f>"("&amp;E268&amp;" + "&amp;E274&amp;" + "&amp;E280&amp;" + "&amp;E286&amp;")"</f>
        <v>(c17.38c + c17.38e + c17.38h + c17.39)</v>
      </c>
      <c r="M288" s="9" t="str">
        <f>E289&amp;" × AHR_rate ("&amp;AHR_rate*100&amp;"%)"</f>
        <v>c17.41 × AHR_rate (45%)</v>
      </c>
    </row>
    <row r="289" spans="2:14" x14ac:dyDescent="0.25">
      <c r="C289" s="8" t="s">
        <v>8774</v>
      </c>
      <c r="E289" s="2162" t="str">
        <f>A93</f>
        <v>c17.41</v>
      </c>
      <c r="F289" s="2166">
        <f>MAX(0,Q259-(F268+F274+F280+F286))</f>
        <v>0</v>
      </c>
      <c r="L289" s="2162" t="str">
        <f>A94</f>
        <v>c17.42</v>
      </c>
      <c r="M289" s="2281">
        <f>TRUNC(F289*AHR_rate,2)</f>
        <v>0</v>
      </c>
      <c r="N289" s="197" t="s">
        <v>7647</v>
      </c>
    </row>
    <row r="290" spans="2:14" x14ac:dyDescent="0.25">
      <c r="L290" s="139"/>
    </row>
    <row r="291" spans="2:14" x14ac:dyDescent="0.25">
      <c r="B291" s="139" t="str">
        <f>"If "&amp;E289&amp;" is equal to "&amp;L101&amp;" no Top Slicing Relief is due"</f>
        <v>If c17.41 is equal to c17.22 no Top Slicing Relief is due</v>
      </c>
      <c r="L291" s="139"/>
    </row>
    <row r="292" spans="2:14" x14ac:dyDescent="0.25">
      <c r="B292" s="139" t="str">
        <f>"set "&amp;L296&amp;" to "&amp;L308&amp;" to 0 (zero)"</f>
        <v>set c17.43 to c17.48 to 0 (zero)</v>
      </c>
      <c r="L292" s="139"/>
    </row>
    <row r="293" spans="2:14" x14ac:dyDescent="0.25">
      <c r="B293" s="139" t="s">
        <v>7143</v>
      </c>
      <c r="L293" s="139"/>
    </row>
    <row r="294" spans="2:14" x14ac:dyDescent="0.25">
      <c r="B294" s="139" t="str">
        <f>"calculate "&amp;L296&amp;" to "&amp;L308</f>
        <v>calculate c17.43 to c17.48</v>
      </c>
      <c r="L294" s="139"/>
    </row>
    <row r="295" spans="2:14" x14ac:dyDescent="0.25">
      <c r="L295" s="139"/>
      <c r="M295" s="9" t="str">
        <f>L268&amp;" + "&amp;L274&amp;" + "&amp;L280&amp;" + "&amp;L286&amp;" + "&amp;L289</f>
        <v>c17.38d + c17.38f + c17.38i + c17.40 + c17.42</v>
      </c>
    </row>
    <row r="296" spans="2:14" x14ac:dyDescent="0.25">
      <c r="L296" s="2162" t="str">
        <f>A95</f>
        <v>c17.43</v>
      </c>
      <c r="M296" s="2281">
        <f>IF(F289=M101,0,IF(F192=0,0,M268+M274+M280+M286+M289))</f>
        <v>0</v>
      </c>
    </row>
    <row r="298" spans="2:14" x14ac:dyDescent="0.25">
      <c r="C298" s="8" t="s">
        <v>4607</v>
      </c>
      <c r="L298" s="139"/>
      <c r="M298" s="9" t="str">
        <f>P259&amp;" × BR_rate ("&amp;BR_rate*100&amp;"%)"</f>
        <v>c17.38a × BR_rate (20%)</v>
      </c>
    </row>
    <row r="299" spans="2:14" x14ac:dyDescent="0.25">
      <c r="C299" s="22" t="s">
        <v>8775</v>
      </c>
      <c r="L299" s="2162" t="str">
        <f>A96</f>
        <v>c17.44</v>
      </c>
      <c r="M299" s="2281">
        <f>IF(F289=M101,0,IF(F192=0,0,TRUNC(Q259*BR_rate,2)))</f>
        <v>0</v>
      </c>
      <c r="N299" s="197" t="s">
        <v>7647</v>
      </c>
    </row>
    <row r="300" spans="2:14" x14ac:dyDescent="0.25">
      <c r="E300" s="22" t="str">
        <f>"If "&amp;E101&amp;" divided by "&amp;L101&amp;" &gt;1"</f>
        <v>If c17.21 divided by c17.22 &gt;1</v>
      </c>
      <c r="L300" s="139"/>
    </row>
    <row r="301" spans="2:14" x14ac:dyDescent="0.25">
      <c r="E301" s="22" t="str">
        <f>E305&amp;" = "&amp;E101&amp;" divided by "&amp;L101</f>
        <v>c17.46 = c17.21 divided by c17.22</v>
      </c>
      <c r="M301" s="9" t="str">
        <f>L296&amp;" minus "&amp;L299</f>
        <v>c17.43 minus c17.44</v>
      </c>
    </row>
    <row r="302" spans="2:14" ht="12" x14ac:dyDescent="0.3">
      <c r="E302" s="8" t="s">
        <v>7143</v>
      </c>
      <c r="G302" s="22"/>
      <c r="K302" s="783" t="s">
        <v>8788</v>
      </c>
      <c r="L302" s="2162" t="str">
        <f>A97</f>
        <v>c17.45</v>
      </c>
      <c r="M302" s="2281">
        <f>IF(F289=M101,0,IF(F192=0,0,MAX(0,M296-M299)))</f>
        <v>0</v>
      </c>
    </row>
    <row r="303" spans="2:14" x14ac:dyDescent="0.25">
      <c r="E303" s="22" t="str">
        <f>E305&amp;" = 1"</f>
        <v>c17.46 = 1</v>
      </c>
    </row>
    <row r="304" spans="2:14" x14ac:dyDescent="0.25">
      <c r="E304" s="8" t="s">
        <v>8789</v>
      </c>
      <c r="M304" s="31" t="str">
        <f>L302&amp;" × "&amp;E305</f>
        <v>c17.45 × c17.46</v>
      </c>
    </row>
    <row r="305" spans="2:14" ht="12" x14ac:dyDescent="0.3">
      <c r="E305" s="2285" t="str">
        <f>A98</f>
        <v>c17.46</v>
      </c>
      <c r="F305" s="2286">
        <f>IF(F289=M101,0,IF(F192=0,0,IF(M101&gt;0,TRUNC(F101/M101,4),1)))</f>
        <v>0</v>
      </c>
      <c r="G305" s="197" t="s">
        <v>8790</v>
      </c>
      <c r="K305" s="783" t="s">
        <v>8791</v>
      </c>
      <c r="L305" s="2285" t="str">
        <f>A99</f>
        <v>c17.47</v>
      </c>
      <c r="M305" s="2287">
        <f>IF(F289=M101,0,IF(F192=0,0,TRUNC(M302*F305,2)))</f>
        <v>0</v>
      </c>
      <c r="N305" s="197" t="s">
        <v>7647</v>
      </c>
    </row>
    <row r="307" spans="2:14" x14ac:dyDescent="0.25">
      <c r="M307" s="9" t="str">
        <f>P171&amp;" minus "&amp;L305</f>
        <v>c17.31 minus c17.47</v>
      </c>
      <c r="N307" s="9"/>
    </row>
    <row r="308" spans="2:14" x14ac:dyDescent="0.25">
      <c r="D308" s="9" t="s">
        <v>8792</v>
      </c>
      <c r="L308" s="2029" t="str">
        <f>A100</f>
        <v>c17.48</v>
      </c>
      <c r="M308" s="2287">
        <f>IF(OR(F289=M101,F192=0,box_NRD1),0,MAX(0,Q171-M305))</f>
        <v>0</v>
      </c>
      <c r="N308" s="167"/>
    </row>
    <row r="309" spans="2:14" x14ac:dyDescent="0.25">
      <c r="M309" s="9" t="str">
        <f>"copy to box "&amp;'Tax adj (c9)'!I11</f>
        <v>copy to box c9.3</v>
      </c>
      <c r="N309" s="9"/>
    </row>
    <row r="310" spans="2:14" x14ac:dyDescent="0.25">
      <c r="B310" s="784" t="s">
        <v>75</v>
      </c>
    </row>
    <row r="311" spans="2:14" x14ac:dyDescent="0.25">
      <c r="B311" s="782" t="s">
        <v>75</v>
      </c>
    </row>
    <row r="312" spans="2:14" x14ac:dyDescent="0.25">
      <c r="B312" s="785" t="s">
        <v>75</v>
      </c>
    </row>
    <row r="313" spans="2:14" x14ac:dyDescent="0.25">
      <c r="B313" s="139" t="s">
        <v>7143</v>
      </c>
    </row>
    <row r="314" spans="2:14" x14ac:dyDescent="0.25">
      <c r="B314" s="166" t="str">
        <f>L37&amp;" to "&amp;L308&amp;" = 0 (zero)"</f>
        <v>c17.1 to c17.48 = 0 (zero)</v>
      </c>
      <c r="C314" s="22"/>
    </row>
    <row r="315" spans="2:14" x14ac:dyDescent="0.25">
      <c r="B315" s="782" t="s">
        <v>75</v>
      </c>
    </row>
  </sheetData>
  <mergeCells count="2">
    <mergeCell ref="B15:S15"/>
    <mergeCell ref="B17:S17"/>
  </mergeCells>
  <phoneticPr fontId="58" type="noConversion"/>
  <pageMargins left="0.19685039370078741" right="0.19685039370078741" top="0.19685039370078741" bottom="0.19685039370078741" header="0" footer="0"/>
  <pageSetup paperSize="9" orientation="portrait" r:id="rId1"/>
  <headerFooter alignWithMargins="0">
    <oddFooter>&amp;C&amp;1#&amp;"Calibri"&amp;10&amp;K000000OFFICIAL-SENSITIVE</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
  <dimension ref="A1:AD203"/>
  <sheetViews>
    <sheetView showGridLines="0" topLeftCell="B1" zoomScale="104" zoomScaleNormal="104" workbookViewId="0">
      <selection activeCell="B1" sqref="B1"/>
    </sheetView>
  </sheetViews>
  <sheetFormatPr defaultColWidth="9.1796875" defaultRowHeight="11.5" x14ac:dyDescent="0.25"/>
  <cols>
    <col min="1" max="1" width="12.453125" style="8" hidden="1" customWidth="1"/>
    <col min="2" max="2" width="38.1796875" style="8" customWidth="1"/>
    <col min="3" max="3" width="6.453125" style="8" customWidth="1"/>
    <col min="4" max="4" width="18" style="8" customWidth="1"/>
    <col min="5" max="6" width="5.453125" style="8" customWidth="1"/>
    <col min="7" max="7" width="7.54296875" style="8" customWidth="1"/>
    <col min="8" max="8" width="18" style="8" customWidth="1"/>
    <col min="9" max="9" width="5.453125" style="8" customWidth="1"/>
    <col min="10" max="10" width="21.7265625" style="8" customWidth="1"/>
    <col min="11" max="11" width="7" style="8" customWidth="1"/>
    <col min="12" max="12" width="18" style="8" customWidth="1"/>
    <col min="13" max="13" width="5.453125" style="8" customWidth="1"/>
    <col min="14" max="14" width="22.81640625" style="8" customWidth="1"/>
    <col min="15" max="15" width="7.1796875" style="8" customWidth="1"/>
    <col min="16" max="16" width="18" style="8" customWidth="1"/>
    <col min="17" max="17" width="5.54296875" style="8" customWidth="1"/>
    <col min="18" max="18" width="29.54296875" style="8" customWidth="1"/>
    <col min="19" max="19" width="7.7265625" style="8" customWidth="1"/>
    <col min="20" max="20" width="18" style="8" customWidth="1"/>
    <col min="21" max="21" width="6" style="8" customWidth="1"/>
    <col min="22" max="22" width="29.54296875" style="8" customWidth="1"/>
    <col min="23" max="23" width="7.26953125" style="8" customWidth="1"/>
    <col min="24" max="24" width="18" style="8" customWidth="1"/>
    <col min="25" max="26" width="5.453125" style="8" customWidth="1"/>
    <col min="27" max="27" width="7.7265625" style="8" customWidth="1"/>
    <col min="28" max="28" width="18" style="8" customWidth="1"/>
    <col min="29" max="29" width="6.1796875" style="8" bestFit="1" customWidth="1"/>
    <col min="30" max="16384" width="9.1796875" style="8"/>
  </cols>
  <sheetData>
    <row r="1" spans="1:30" ht="18" x14ac:dyDescent="0.4">
      <c r="A1" s="8" t="s">
        <v>8793</v>
      </c>
      <c r="B1" s="483" t="s">
        <v>8794</v>
      </c>
      <c r="AD1" s="9"/>
    </row>
    <row r="2" spans="1:30" x14ac:dyDescent="0.25">
      <c r="A2" s="8" t="s">
        <v>8795</v>
      </c>
      <c r="B2" s="12"/>
      <c r="D2" s="2164" t="s">
        <v>7225</v>
      </c>
      <c r="E2" s="2205"/>
      <c r="F2" s="2205"/>
      <c r="G2" s="2205"/>
      <c r="H2" s="2205"/>
      <c r="I2" s="2205"/>
      <c r="J2" s="2205"/>
      <c r="K2" s="2205"/>
      <c r="L2" s="2205"/>
      <c r="M2" s="2205"/>
      <c r="N2" s="2205"/>
      <c r="O2" s="2205"/>
      <c r="P2" s="2205"/>
      <c r="Q2" s="2205"/>
      <c r="R2" s="2205"/>
      <c r="S2" s="2205"/>
      <c r="T2" s="2147"/>
    </row>
    <row r="3" spans="1:30" x14ac:dyDescent="0.25">
      <c r="A3" s="8" t="s">
        <v>8796</v>
      </c>
      <c r="B3" s="2288"/>
      <c r="C3" s="2248"/>
    </row>
    <row r="4" spans="1:30" x14ac:dyDescent="0.25">
      <c r="A4" s="8" t="s">
        <v>8797</v>
      </c>
      <c r="B4" s="928"/>
      <c r="C4" s="249"/>
    </row>
    <row r="5" spans="1:30" ht="12" customHeight="1" x14ac:dyDescent="0.25">
      <c r="A5" s="8" t="s">
        <v>8798</v>
      </c>
      <c r="B5" s="929"/>
      <c r="C5" s="249"/>
    </row>
    <row r="6" spans="1:30" ht="12" customHeight="1" x14ac:dyDescent="0.25">
      <c r="A6" s="8" t="s">
        <v>8799</v>
      </c>
      <c r="B6" s="525"/>
      <c r="C6" s="249"/>
    </row>
    <row r="7" spans="1:30" x14ac:dyDescent="0.25">
      <c r="A7" s="8" t="s">
        <v>8800</v>
      </c>
      <c r="B7" s="2176"/>
      <c r="C7" s="2255"/>
    </row>
    <row r="8" spans="1:30" ht="12" customHeight="1" x14ac:dyDescent="0.25">
      <c r="A8" s="8" t="s">
        <v>8801</v>
      </c>
    </row>
    <row r="9" spans="1:30" x14ac:dyDescent="0.25">
      <c r="A9" s="8" t="s">
        <v>8802</v>
      </c>
      <c r="B9" s="8" t="str">
        <f>"If boxes (("&amp;CGT&amp;CGT!C4&amp;" + "&amp;CGT&amp;CGT!C13&amp;" + "&amp;CGT&amp;CGT!C18&amp;" + "&amp;CGT&amp;CGT!C26&amp;" + "&amp;CGT&amp;CGT!C36&amp;" + "&amp;CGT&amp;CGT!C43&amp;") minus (("&amp;CGT&amp;CGT!C10&amp;" + "&amp;CGT&amp;CGT!C21&amp;" + "&amp;CGT&amp;CGT!G26&amp;" + "&amp;CGT&amp;CGT!G36&amp;" + "&amp;CGT&amp;CGT!C46&amp;") minus ("&amp;CGT&amp;CGT!C49&amp;" + "&amp;CGT&amp;CGT!G52&amp;"))"&amp;" + "&amp;CGT&amp;CGT!P18&amp;" + (("&amp;CGT&amp;CGT!L26&amp;" + "&amp;CGT&amp;CGT!L34&amp;") minus "&amp;CGT&amp;CGT!P34&amp;") is greater than zero) or (box "&amp;CGT&amp;CGT!L18&amp;" is not zero or null) or boxes "&amp;CGT&amp;CGT!G4&amp;" + "&amp;CGT&amp;CGT!G10&amp;" + "&amp;CGT&amp;CGT!G18&amp;" + "&amp;CGT&amp;CGT!G32&amp;" + "&amp;CGT&amp;CGT!G39&amp;" + "&amp;CGT&amp;CGT!G46&amp;" + "&amp;CGT&amp;CGT!P30&amp;" is greater than zero"</f>
        <v>If boxes ((CGT6 + CGT13B + CGT13.4 + CGT17 + CGT26 + CGT34) minus ((CGT7 + CGT13.5 + CGT19 + CGT27 + CGT35) minus (CGT41 + CGT43)) + CGT52 + ((CGT52.1 + CGT52.2) minus CGT52.5) is greater than zero) or (box CGT51 is not zero or null) or boxes CGT10 + CGT12 + CGT13.8 + CGT22 + CGT30 + CGT38 + CGT52.4 is greater than zero</v>
      </c>
      <c r="N9" s="1065"/>
    </row>
    <row r="10" spans="1:30" x14ac:dyDescent="0.25">
      <c r="A10" s="8" t="s">
        <v>8803</v>
      </c>
      <c r="B10" s="8" t="str">
        <f>"Calculate "&amp;C17&amp;" to "&amp;AA191</f>
        <v>Calculate c18.1 to c18.62</v>
      </c>
    </row>
    <row r="11" spans="1:30" x14ac:dyDescent="0.25">
      <c r="A11" s="8" t="s">
        <v>8804</v>
      </c>
      <c r="D11" s="930"/>
      <c r="L11" s="930"/>
      <c r="S11" s="147"/>
      <c r="T11" s="930"/>
      <c r="U11" s="147"/>
      <c r="V11" s="147"/>
      <c r="X11" s="147"/>
      <c r="Y11" s="147"/>
      <c r="Z11" s="147"/>
    </row>
    <row r="12" spans="1:30" x14ac:dyDescent="0.25">
      <c r="A12" s="8" t="s">
        <v>8805</v>
      </c>
      <c r="L12" s="138" t="s">
        <v>8806</v>
      </c>
      <c r="P12" s="138" t="s">
        <v>8806</v>
      </c>
      <c r="Z12" s="147"/>
    </row>
    <row r="13" spans="1:30" x14ac:dyDescent="0.25">
      <c r="A13" s="8" t="s">
        <v>8807</v>
      </c>
      <c r="D13" s="138" t="s">
        <v>217</v>
      </c>
      <c r="H13" s="138" t="s">
        <v>8810</v>
      </c>
      <c r="L13" s="138" t="s">
        <v>5614</v>
      </c>
      <c r="P13" s="138" t="s">
        <v>8811</v>
      </c>
      <c r="T13" s="138" t="s">
        <v>8808</v>
      </c>
      <c r="X13" s="138" t="s">
        <v>8812</v>
      </c>
    </row>
    <row r="14" spans="1:30" x14ac:dyDescent="0.25">
      <c r="A14" s="8" t="s">
        <v>8809</v>
      </c>
    </row>
    <row r="15" spans="1:30" x14ac:dyDescent="0.25">
      <c r="A15" s="8" t="s">
        <v>8813</v>
      </c>
      <c r="L15" s="9"/>
      <c r="T15" s="138" t="str">
        <f>CGT&amp;CGT!C18&amp;" + ("&amp;CGT&amp;CGT!C26&amp;" minus "&amp;CGT&amp;CGT!P15&amp;") +"</f>
        <v>CGT13.4 + (CGT17 minus CGT50) +</v>
      </c>
    </row>
    <row r="16" spans="1:30" x14ac:dyDescent="0.25">
      <c r="A16" s="8" t="s">
        <v>8814</v>
      </c>
      <c r="D16" s="931" t="str">
        <f>"From "&amp;CGT&amp;CGT!C13</f>
        <v>From CGT13B</v>
      </c>
      <c r="H16" s="931" t="str">
        <f>"from "&amp;CGT&amp;CGT!C4</f>
        <v>from CGT6</v>
      </c>
      <c r="L16" s="931" t="str">
        <f>"From "&amp;CGT&amp;CGT!L26</f>
        <v>From CGT52.1</v>
      </c>
      <c r="P16" s="931" t="str">
        <f>"From "&amp;CGT&amp;CGT!L34</f>
        <v>From CGT52.2</v>
      </c>
      <c r="T16" s="138" t="str">
        <f>CGT&amp;CGT!C36&amp;" + ("&amp;CGT&amp;CGT!C43&amp;" minus "&amp;CGT&amp;CGT!P11&amp;")"</f>
        <v>CGT26 + (CGT34 minus CGT49)</v>
      </c>
      <c r="X16" s="138" t="str">
        <f>CGT&amp;CGT!P11&amp;" + "&amp;CGT&amp;CGT!P15</f>
        <v>CGT49 + CGT50</v>
      </c>
    </row>
    <row r="17" spans="1:26" x14ac:dyDescent="0.25">
      <c r="B17" s="8" t="s">
        <v>8815</v>
      </c>
      <c r="C17" s="2162" t="str">
        <f>A1</f>
        <v>c18.1</v>
      </c>
      <c r="D17" s="2149">
        <f>TRUNC(CGT!D14,0)</f>
        <v>0</v>
      </c>
      <c r="E17" s="197" t="s">
        <v>7029</v>
      </c>
      <c r="F17" s="197"/>
      <c r="G17" s="2162" t="str">
        <f>A2</f>
        <v>c18.1a</v>
      </c>
      <c r="H17" s="2149">
        <f>TRUNC(CGT!D5,0)</f>
        <v>0</v>
      </c>
      <c r="I17" s="197" t="s">
        <v>7029</v>
      </c>
      <c r="J17" s="9" t="s">
        <v>8815</v>
      </c>
      <c r="K17" s="2162" t="str">
        <f>A3</f>
        <v>c18.2</v>
      </c>
      <c r="L17" s="2149">
        <f>TRUNC(CGT!M27,0)</f>
        <v>0</v>
      </c>
      <c r="M17" s="197" t="s">
        <v>7029</v>
      </c>
      <c r="N17" s="197"/>
      <c r="O17" s="2162" t="str">
        <f>A4</f>
        <v>c18.2a</v>
      </c>
      <c r="P17" s="2149">
        <f>TRUNC(CGT!M35,0)</f>
        <v>0</v>
      </c>
      <c r="Q17" s="197" t="s">
        <v>7029</v>
      </c>
      <c r="R17" s="9" t="s">
        <v>8815</v>
      </c>
      <c r="S17" s="2162" t="str">
        <f>A5</f>
        <v>c18.3</v>
      </c>
      <c r="T17" s="2149">
        <f>MAX(0,(TRUNC(CGT!D19,0)+(TRUNC(CGT!D27,0)-TRUNC(CGT!Q16,0))+TRUNC(CGT!D37,0)+(TRUNC(CGT!D44,0)-TRUNC(CGT!Q12,0))))</f>
        <v>0</v>
      </c>
      <c r="U17" s="197" t="s">
        <v>7029</v>
      </c>
      <c r="V17" s="9" t="s">
        <v>8815</v>
      </c>
      <c r="W17" s="2162" t="str">
        <f>A6</f>
        <v>c18.4</v>
      </c>
      <c r="X17" s="2149">
        <f>TRUNC(CGT!Q12+CGT!Q16,0)</f>
        <v>0</v>
      </c>
      <c r="Y17" s="197" t="s">
        <v>7029</v>
      </c>
    </row>
    <row r="18" spans="1:26" x14ac:dyDescent="0.25">
      <c r="C18" s="139"/>
      <c r="D18" s="26"/>
      <c r="E18" s="197"/>
      <c r="F18" s="197"/>
      <c r="G18" s="139"/>
      <c r="H18" s="26"/>
      <c r="I18" s="197"/>
      <c r="J18" s="9"/>
      <c r="K18" s="139"/>
      <c r="L18" s="26"/>
      <c r="M18" s="197"/>
      <c r="N18" s="197"/>
      <c r="O18" s="139"/>
      <c r="P18" s="26"/>
      <c r="Q18" s="197"/>
      <c r="R18" s="9"/>
      <c r="S18" s="139"/>
      <c r="T18" s="26"/>
      <c r="U18" s="197"/>
      <c r="V18" s="9"/>
      <c r="W18" s="139"/>
      <c r="X18" s="26"/>
      <c r="Y18" s="197"/>
    </row>
    <row r="19" spans="1:26" x14ac:dyDescent="0.25">
      <c r="C19" s="139"/>
      <c r="D19" s="26"/>
      <c r="E19" s="197"/>
      <c r="F19" s="197"/>
      <c r="J19" s="9"/>
      <c r="K19" s="139"/>
      <c r="L19" s="26"/>
      <c r="M19" s="197"/>
      <c r="N19" s="197"/>
      <c r="O19" s="139"/>
      <c r="P19" s="26"/>
      <c r="Q19" s="197"/>
      <c r="R19" s="9"/>
      <c r="T19" s="2289" t="str">
        <f>"from "&amp;CGT&amp;CGT!C29&amp;".0"</f>
        <v>from CGT17.0</v>
      </c>
      <c r="V19" s="9"/>
      <c r="W19" s="139"/>
      <c r="X19" s="26"/>
      <c r="Y19" s="197"/>
    </row>
    <row r="20" spans="1:26" x14ac:dyDescent="0.25">
      <c r="D20" s="2289" t="str">
        <f>"from "&amp;CGT&amp;CGT!G13</f>
        <v>from CGT13C</v>
      </c>
      <c r="F20" s="197"/>
      <c r="H20" s="2289" t="str">
        <f>"from "&amp;CGT&amp;CGT!C7</f>
        <v>from CGT6.1</v>
      </c>
      <c r="J20" s="9"/>
      <c r="K20" s="139"/>
      <c r="L20" s="26"/>
      <c r="M20" s="197"/>
      <c r="N20" s="197"/>
      <c r="O20" s="139"/>
      <c r="P20" s="26"/>
      <c r="Q20" s="197"/>
      <c r="R20" s="9"/>
      <c r="S20" s="2170" t="str">
        <f>A9</f>
        <v>c18.4.3</v>
      </c>
      <c r="T20" s="2149">
        <f>TRUNC(CGT!D30+0.99,0)</f>
        <v>0</v>
      </c>
      <c r="U20" s="1108" t="s">
        <v>7035</v>
      </c>
      <c r="V20" s="9"/>
      <c r="W20" s="139"/>
      <c r="X20" s="26"/>
      <c r="Y20" s="197"/>
    </row>
    <row r="21" spans="1:26" x14ac:dyDescent="0.25">
      <c r="B21" s="1065" t="s">
        <v>8816</v>
      </c>
      <c r="C21" s="2170" t="str">
        <f>A7</f>
        <v>c18.4.1</v>
      </c>
      <c r="D21" s="2149">
        <f>TRUNC(CGT!H14+0.99,0)</f>
        <v>0</v>
      </c>
      <c r="E21" s="1108" t="s">
        <v>7035</v>
      </c>
      <c r="F21" s="197"/>
      <c r="G21" s="2170" t="str">
        <f>A8</f>
        <v>c18.4.2</v>
      </c>
      <c r="H21" s="2149">
        <f>TRUNC(CGT!D8+0.99,0)</f>
        <v>0</v>
      </c>
      <c r="I21" s="1108" t="s">
        <v>7035</v>
      </c>
      <c r="J21" s="9"/>
      <c r="K21" s="139"/>
      <c r="L21" s="26"/>
      <c r="M21" s="197"/>
      <c r="N21" s="197"/>
      <c r="O21" s="139"/>
      <c r="P21" s="26"/>
      <c r="Q21" s="197"/>
      <c r="R21" s="9"/>
      <c r="S21" s="139"/>
      <c r="T21" s="26"/>
      <c r="U21" s="197"/>
      <c r="V21" s="9"/>
      <c r="W21" s="139"/>
      <c r="X21" s="26"/>
      <c r="Y21" s="197"/>
    </row>
    <row r="22" spans="1:26" x14ac:dyDescent="0.25">
      <c r="C22" s="139"/>
      <c r="D22" s="26"/>
      <c r="E22" s="197"/>
      <c r="F22" s="197"/>
      <c r="G22" s="139"/>
      <c r="H22" s="26"/>
      <c r="I22" s="197"/>
      <c r="J22" s="9"/>
      <c r="K22" s="139"/>
      <c r="L22" s="26"/>
      <c r="M22" s="197"/>
      <c r="N22" s="197"/>
      <c r="O22" s="139"/>
      <c r="P22" s="26"/>
      <c r="Q22" s="197"/>
      <c r="R22" s="9"/>
      <c r="T22" s="2289" t="str">
        <f>"from "&amp;CGT&amp;CGT!C39</f>
        <v>from CGT26.1</v>
      </c>
      <c r="V22" s="9"/>
      <c r="W22" s="139"/>
      <c r="X22" s="26"/>
      <c r="Y22" s="197"/>
    </row>
    <row r="23" spans="1:26" x14ac:dyDescent="0.25">
      <c r="A23" s="8" t="s">
        <v>8817</v>
      </c>
      <c r="C23" s="139"/>
      <c r="D23" s="26"/>
      <c r="E23" s="197"/>
      <c r="F23" s="197"/>
      <c r="G23" s="139"/>
      <c r="H23" s="26"/>
      <c r="I23" s="197"/>
      <c r="J23" s="9"/>
      <c r="K23" s="139"/>
      <c r="L23" s="26"/>
      <c r="M23" s="197"/>
      <c r="N23" s="197"/>
      <c r="O23" s="139"/>
      <c r="P23" s="26"/>
      <c r="Q23" s="197"/>
      <c r="R23" s="9"/>
      <c r="S23" s="2170" t="str">
        <f>A10</f>
        <v>c18.4.4</v>
      </c>
      <c r="T23" s="2149">
        <f>TRUNC(CGT!D40+0.99,0)</f>
        <v>0</v>
      </c>
      <c r="U23" s="1108" t="s">
        <v>7035</v>
      </c>
      <c r="V23" s="9"/>
      <c r="W23" s="139"/>
      <c r="X23" s="26"/>
      <c r="Y23" s="197"/>
    </row>
    <row r="24" spans="1:26" x14ac:dyDescent="0.25">
      <c r="A24" s="8" t="s">
        <v>8818</v>
      </c>
      <c r="C24" s="139"/>
      <c r="D24" s="26"/>
      <c r="E24" s="197"/>
      <c r="F24" s="197"/>
      <c r="G24" s="139"/>
      <c r="H24" s="26"/>
      <c r="I24" s="197"/>
      <c r="J24" s="9"/>
      <c r="K24" s="139"/>
      <c r="L24" s="26"/>
      <c r="M24" s="197"/>
      <c r="N24" s="197"/>
      <c r="O24" s="139"/>
      <c r="P24" s="26"/>
      <c r="Q24" s="197"/>
      <c r="R24" s="9"/>
      <c r="S24" s="139"/>
      <c r="T24" s="26"/>
      <c r="U24" s="197"/>
      <c r="V24" s="9"/>
      <c r="X24" s="26"/>
      <c r="Y24" s="197"/>
    </row>
    <row r="25" spans="1:26" x14ac:dyDescent="0.25">
      <c r="A25" s="8" t="s">
        <v>8819</v>
      </c>
      <c r="C25" s="139"/>
      <c r="D25" s="26"/>
      <c r="E25" s="197"/>
      <c r="F25" s="197"/>
      <c r="G25" s="139"/>
      <c r="H25" s="26"/>
      <c r="I25" s="197"/>
      <c r="J25" s="9"/>
      <c r="K25" s="139"/>
      <c r="L25" s="26"/>
      <c r="M25" s="197"/>
      <c r="N25" s="197"/>
      <c r="O25" s="139"/>
      <c r="P25" s="26"/>
      <c r="Q25" s="197"/>
      <c r="R25" s="9"/>
      <c r="T25" s="2289" t="str">
        <f>"from "&amp;CGT&amp;CGT!G43</f>
        <v>from CGT34.1</v>
      </c>
      <c r="V25" s="9"/>
      <c r="Y25" s="197"/>
    </row>
    <row r="26" spans="1:26" x14ac:dyDescent="0.25">
      <c r="A26" s="8" t="s">
        <v>8820</v>
      </c>
      <c r="C26" s="139"/>
      <c r="D26" s="26"/>
      <c r="E26" s="197"/>
      <c r="F26" s="197"/>
      <c r="G26" s="197"/>
      <c r="H26" s="197"/>
      <c r="I26" s="197"/>
      <c r="J26" s="197"/>
      <c r="K26" s="139"/>
      <c r="L26" s="26"/>
      <c r="M26" s="197"/>
      <c r="N26" s="197"/>
      <c r="O26" s="197"/>
      <c r="P26" s="197"/>
      <c r="Q26" s="197"/>
      <c r="R26" s="197"/>
      <c r="S26" s="2170" t="str">
        <f>A11</f>
        <v>c18.4.5</v>
      </c>
      <c r="T26" s="2149">
        <f>TRUNC(CGT!H44+0.99,0)</f>
        <v>0</v>
      </c>
      <c r="U26" s="1108" t="s">
        <v>7035</v>
      </c>
      <c r="V26" s="197"/>
      <c r="Y26" s="197"/>
      <c r="Z26" s="197"/>
    </row>
    <row r="27" spans="1:26" x14ac:dyDescent="0.25">
      <c r="A27" s="8" t="s">
        <v>8821</v>
      </c>
      <c r="C27" s="139"/>
      <c r="D27" s="26"/>
      <c r="E27" s="197"/>
      <c r="F27" s="197"/>
      <c r="G27" s="197"/>
      <c r="H27" s="197"/>
      <c r="I27" s="197"/>
      <c r="J27" s="197"/>
      <c r="K27" s="139"/>
      <c r="L27" s="26"/>
      <c r="M27" s="197"/>
      <c r="N27" s="197"/>
      <c r="O27" s="197"/>
      <c r="P27" s="197"/>
      <c r="Q27" s="197"/>
      <c r="R27" s="197"/>
      <c r="S27" s="139"/>
      <c r="T27" s="26"/>
      <c r="U27" s="197"/>
      <c r="V27" s="197"/>
      <c r="Y27" s="197"/>
      <c r="Z27" s="197"/>
    </row>
    <row r="28" spans="1:26" x14ac:dyDescent="0.25">
      <c r="A28" s="8" t="s">
        <v>8822</v>
      </c>
      <c r="C28" s="139"/>
      <c r="D28" s="26"/>
      <c r="E28" s="197"/>
      <c r="F28" s="197"/>
      <c r="G28" s="197"/>
      <c r="H28" s="197"/>
      <c r="I28" s="197"/>
      <c r="J28" s="197"/>
      <c r="K28" s="139"/>
      <c r="L28" s="26"/>
      <c r="M28" s="197"/>
      <c r="N28" s="197"/>
      <c r="O28" s="197"/>
      <c r="P28" s="197"/>
      <c r="Q28" s="197"/>
      <c r="U28" s="197"/>
      <c r="V28" s="197"/>
      <c r="Y28" s="197"/>
      <c r="Z28" s="197"/>
    </row>
    <row r="29" spans="1:26" x14ac:dyDescent="0.25">
      <c r="A29" s="8" t="s">
        <v>8823</v>
      </c>
      <c r="C29" s="139"/>
      <c r="D29" s="26"/>
      <c r="E29" s="197"/>
      <c r="F29" s="197"/>
      <c r="G29" s="197"/>
      <c r="H29" s="197"/>
      <c r="I29" s="197"/>
      <c r="J29" s="197"/>
      <c r="K29" s="139"/>
      <c r="L29" s="26"/>
      <c r="M29" s="197"/>
      <c r="N29" s="197"/>
      <c r="O29" s="197"/>
      <c r="P29" s="197"/>
      <c r="Q29" s="197"/>
      <c r="U29" s="197"/>
      <c r="V29" s="1108"/>
      <c r="W29" s="1107"/>
      <c r="X29" s="2289" t="str">
        <f>"("&amp;S20&amp;" + "&amp;S23&amp;" + "&amp;S26&amp;") minus "&amp;S17</f>
        <v>(c18.4.3 + c18.4.4 + c18.4.5) minus c18.3</v>
      </c>
      <c r="Y29" s="197"/>
      <c r="Z29" s="197"/>
    </row>
    <row r="30" spans="1:26" x14ac:dyDescent="0.25">
      <c r="A30" s="8" t="s">
        <v>8824</v>
      </c>
      <c r="I30" s="197"/>
      <c r="J30" s="197"/>
      <c r="K30" s="139"/>
      <c r="L30" s="26"/>
      <c r="M30" s="197"/>
      <c r="N30" s="197"/>
      <c r="O30" s="197"/>
      <c r="P30" s="197"/>
      <c r="Q30" s="197"/>
      <c r="R30" s="197"/>
      <c r="S30" s="139"/>
      <c r="T30" s="26"/>
      <c r="U30" s="197"/>
      <c r="V30" s="197"/>
      <c r="W30" s="2170" t="str">
        <f>A15</f>
        <v>c18.4.9</v>
      </c>
      <c r="X30" s="2149">
        <f>MAX(0,(T20+T23+T26)-T17)</f>
        <v>0</v>
      </c>
      <c r="Y30" s="197"/>
      <c r="Z30" s="197"/>
    </row>
    <row r="31" spans="1:26" x14ac:dyDescent="0.25">
      <c r="A31" s="8" t="s">
        <v>8825</v>
      </c>
      <c r="I31" s="197"/>
      <c r="J31" s="197"/>
      <c r="K31" s="139"/>
      <c r="L31" s="26"/>
      <c r="M31" s="197"/>
      <c r="N31" s="197"/>
      <c r="O31" s="197"/>
      <c r="P31" s="197"/>
      <c r="Q31" s="197"/>
      <c r="R31" s="197"/>
      <c r="S31" s="139"/>
      <c r="T31" s="26"/>
      <c r="U31" s="197"/>
      <c r="V31" s="197"/>
      <c r="W31" s="139"/>
      <c r="X31" s="26"/>
      <c r="Y31" s="197"/>
      <c r="Z31" s="197"/>
    </row>
    <row r="32" spans="1:26" x14ac:dyDescent="0.25">
      <c r="A32" s="8" t="s">
        <v>8826</v>
      </c>
      <c r="D32" s="2289" t="str">
        <f>C17&amp;" minus "&amp;C21</f>
        <v>c18.1 minus c18.4.1</v>
      </c>
      <c r="F32" s="197"/>
      <c r="H32" s="2289" t="str">
        <f>G17&amp;" minus "&amp;G21</f>
        <v>c18.1a minus c18.4.2</v>
      </c>
      <c r="I32" s="197"/>
      <c r="J32" s="197"/>
      <c r="K32" s="139"/>
      <c r="L32" s="26"/>
      <c r="M32" s="197"/>
      <c r="N32" s="197"/>
      <c r="O32" s="197"/>
      <c r="P32" s="197"/>
      <c r="Q32" s="197"/>
      <c r="R32" s="1108"/>
      <c r="S32" s="1065"/>
      <c r="T32" s="1109" t="str">
        <f>S17&amp;" minus ("&amp;S20&amp;" + "&amp;S23&amp;" + "&amp;S26&amp;")"</f>
        <v>c18.3 minus (c18.4.3 + c18.4.4 + c18.4.5)</v>
      </c>
      <c r="U32" s="197"/>
      <c r="V32" s="197"/>
      <c r="W32" s="1065"/>
      <c r="X32" s="1109" t="str">
        <f>W17&amp;" minus "&amp;W30</f>
        <v>c18.4 minus c18.4.9</v>
      </c>
      <c r="Y32" s="197"/>
      <c r="Z32" s="197"/>
    </row>
    <row r="33" spans="1:26" x14ac:dyDescent="0.25">
      <c r="A33" s="8" t="s">
        <v>8827</v>
      </c>
      <c r="B33" s="1065" t="s">
        <v>8828</v>
      </c>
      <c r="C33" s="2170" t="str">
        <f>A12</f>
        <v>c18.4.6</v>
      </c>
      <c r="D33" s="2149">
        <f>MAX(0,D17-D21)</f>
        <v>0</v>
      </c>
      <c r="E33" s="197"/>
      <c r="F33" s="197"/>
      <c r="G33" s="2170" t="str">
        <f>A13</f>
        <v>c18.4.7</v>
      </c>
      <c r="H33" s="2149">
        <f>MAX(0,H17-H21)</f>
        <v>0</v>
      </c>
      <c r="I33" s="197"/>
      <c r="J33" s="197"/>
      <c r="K33" s="139"/>
      <c r="L33" s="26"/>
      <c r="M33" s="197"/>
      <c r="N33" s="197"/>
      <c r="O33" s="197"/>
      <c r="P33" s="197"/>
      <c r="Q33" s="197"/>
      <c r="R33" s="197"/>
      <c r="S33" s="2170" t="str">
        <f>A14</f>
        <v>c18.4.8</v>
      </c>
      <c r="T33" s="2149">
        <f>MAX(0,T17-(T20+T23+T26))</f>
        <v>0</v>
      </c>
      <c r="U33" s="197"/>
      <c r="V33" s="197"/>
      <c r="W33" s="2170" t="str">
        <f>A16</f>
        <v>c18.4.10</v>
      </c>
      <c r="X33" s="2149">
        <f>MAX(0,X17-X30)</f>
        <v>0</v>
      </c>
      <c r="Y33" s="197"/>
      <c r="Z33" s="197"/>
    </row>
    <row r="34" spans="1:26" x14ac:dyDescent="0.25">
      <c r="A34" s="8" t="s">
        <v>8829</v>
      </c>
      <c r="C34" s="139"/>
      <c r="D34" s="26"/>
      <c r="E34" s="197"/>
      <c r="F34" s="197"/>
      <c r="G34" s="197"/>
      <c r="H34" s="197"/>
      <c r="I34" s="197"/>
      <c r="J34" s="197"/>
      <c r="K34" s="139"/>
      <c r="L34" s="26"/>
      <c r="M34" s="197"/>
      <c r="N34" s="197"/>
      <c r="O34" s="197"/>
      <c r="P34" s="197"/>
      <c r="Q34" s="197"/>
      <c r="R34" s="197"/>
      <c r="S34" s="139"/>
      <c r="T34" s="26"/>
      <c r="U34" s="197"/>
      <c r="V34" s="197"/>
      <c r="W34" s="139"/>
      <c r="X34" s="26"/>
      <c r="Y34" s="197"/>
      <c r="Z34" s="197"/>
    </row>
    <row r="35" spans="1:26" x14ac:dyDescent="0.25">
      <c r="A35" s="8" t="s">
        <v>8830</v>
      </c>
      <c r="C35" s="139"/>
      <c r="D35" s="138" t="s">
        <v>217</v>
      </c>
      <c r="E35" s="197"/>
      <c r="F35" s="197"/>
      <c r="G35" s="197"/>
      <c r="H35" s="138" t="s">
        <v>8831</v>
      </c>
      <c r="I35" s="197"/>
      <c r="J35" s="197"/>
      <c r="K35" s="139"/>
      <c r="M35" s="197"/>
      <c r="N35" s="197"/>
      <c r="O35" s="197"/>
      <c r="Q35" s="197"/>
      <c r="R35" s="197"/>
      <c r="S35" s="139"/>
      <c r="T35" s="138" t="s">
        <v>6763</v>
      </c>
      <c r="U35" s="197"/>
      <c r="V35" s="197"/>
      <c r="W35" s="139"/>
      <c r="X35" s="138" t="s">
        <v>8812</v>
      </c>
      <c r="Y35" s="197"/>
      <c r="Z35" s="197"/>
    </row>
    <row r="36" spans="1:26" ht="12" x14ac:dyDescent="0.3">
      <c r="A36" s="8" t="s">
        <v>8832</v>
      </c>
      <c r="L36" s="324"/>
      <c r="Z36" s="197"/>
    </row>
    <row r="37" spans="1:26" x14ac:dyDescent="0.25">
      <c r="A37" s="8" t="s">
        <v>8833</v>
      </c>
      <c r="D37" s="931" t="str">
        <f>"from "&amp;CGT&amp;CGT!L4</f>
        <v>from CGT45</v>
      </c>
      <c r="H37" s="1109" t="str">
        <f>C38&amp;" minus "&amp;C33</f>
        <v>c18.5 minus c18.4.6</v>
      </c>
      <c r="L37" s="36" t="s">
        <v>4816</v>
      </c>
      <c r="O37" s="197"/>
      <c r="P37" s="197"/>
      <c r="T37" s="1103" t="str">
        <f>C38&amp;" minus ("&amp;C33&amp;" + "&amp;G33&amp;")"</f>
        <v>c18.5 minus (c18.4.6 + c18.4.7)</v>
      </c>
      <c r="W37" s="1065"/>
      <c r="X37" s="1067" t="str">
        <f>C38&amp;" minus ("&amp;C33&amp;" + "&amp;G33&amp;" + "&amp;S33&amp;")"</f>
        <v>c18.5 minus (c18.4.6 + c18.4.7 + c18.4.8)</v>
      </c>
    </row>
    <row r="38" spans="1:26" x14ac:dyDescent="0.25">
      <c r="A38" s="8" t="s">
        <v>8834</v>
      </c>
      <c r="B38" s="8" t="s">
        <v>5595</v>
      </c>
      <c r="C38" s="2162" t="str">
        <f>A23</f>
        <v>c18.5</v>
      </c>
      <c r="D38" s="2149">
        <f>MAX(0,TRUNC(CGT!M5+0.99,0))</f>
        <v>0</v>
      </c>
      <c r="E38" s="197" t="s">
        <v>7035</v>
      </c>
      <c r="F38" s="197"/>
      <c r="G38" s="2162" t="str">
        <f>A24</f>
        <v>c18.5a</v>
      </c>
      <c r="H38" s="2149">
        <f>MAX(0,D38-D33)</f>
        <v>0</v>
      </c>
      <c r="I38" s="197"/>
      <c r="J38" s="215"/>
      <c r="K38" s="2162" t="str">
        <f>A25</f>
        <v>c18.6</v>
      </c>
      <c r="L38" s="2149">
        <v>0</v>
      </c>
      <c r="O38" s="197"/>
      <c r="P38" s="197"/>
      <c r="R38" s="9" t="s">
        <v>5595</v>
      </c>
      <c r="S38" s="2162" t="str">
        <f>A26</f>
        <v>c18.7</v>
      </c>
      <c r="T38" s="2149">
        <f>MAX(0,D38-(D33+H33))</f>
        <v>0</v>
      </c>
      <c r="V38" s="9" t="s">
        <v>5595</v>
      </c>
      <c r="W38" s="2162" t="str">
        <f>A27</f>
        <v>c18.8</v>
      </c>
      <c r="X38" s="2149">
        <f>MAX(0,D38-(D33+H33+T33))</f>
        <v>0</v>
      </c>
    </row>
    <row r="39" spans="1:26" x14ac:dyDescent="0.25">
      <c r="A39" s="8" t="s">
        <v>8835</v>
      </c>
      <c r="C39" s="139"/>
      <c r="D39" s="26"/>
      <c r="E39" s="197"/>
      <c r="F39" s="197"/>
      <c r="G39" s="197"/>
      <c r="H39" s="933"/>
      <c r="I39" s="197"/>
      <c r="J39" s="197"/>
      <c r="K39" s="139"/>
      <c r="L39" s="26"/>
      <c r="S39" s="139"/>
      <c r="T39" s="26"/>
      <c r="W39" s="139"/>
      <c r="X39" s="26"/>
    </row>
    <row r="40" spans="1:26" x14ac:dyDescent="0.25">
      <c r="A40" s="8" t="s">
        <v>8836</v>
      </c>
      <c r="C40" s="139"/>
      <c r="D40" s="138" t="s">
        <v>217</v>
      </c>
      <c r="E40" s="197"/>
      <c r="F40" s="197"/>
      <c r="G40" s="197"/>
      <c r="H40" s="138" t="s">
        <v>8831</v>
      </c>
      <c r="I40" s="197"/>
      <c r="J40" s="197"/>
      <c r="K40" s="139"/>
      <c r="L40" s="138"/>
      <c r="M40" s="197"/>
      <c r="N40" s="197"/>
      <c r="O40" s="197"/>
      <c r="Q40" s="197"/>
      <c r="R40" s="197"/>
      <c r="S40" s="139"/>
      <c r="T40" s="138" t="s">
        <v>6763</v>
      </c>
      <c r="U40" s="197"/>
      <c r="V40" s="197"/>
      <c r="W40" s="139"/>
      <c r="X40" s="138" t="s">
        <v>8812</v>
      </c>
    </row>
    <row r="41" spans="1:26" x14ac:dyDescent="0.25">
      <c r="A41" s="8" t="s">
        <v>8837</v>
      </c>
    </row>
    <row r="42" spans="1:26" x14ac:dyDescent="0.25">
      <c r="A42" s="8" t="s">
        <v>8838</v>
      </c>
    </row>
    <row r="43" spans="1:26" x14ac:dyDescent="0.25">
      <c r="A43" s="8" t="s">
        <v>8839</v>
      </c>
    </row>
    <row r="44" spans="1:26" x14ac:dyDescent="0.25">
      <c r="A44" s="8" t="s">
        <v>8840</v>
      </c>
      <c r="C44" s="139"/>
      <c r="D44" s="26"/>
      <c r="J44" s="9"/>
      <c r="K44" s="139"/>
      <c r="L44" s="26"/>
      <c r="O44" s="26"/>
      <c r="P44" s="26"/>
      <c r="R44" s="9"/>
      <c r="S44" s="139"/>
      <c r="T44" s="26"/>
      <c r="V44" s="9"/>
      <c r="W44" s="139"/>
      <c r="X44" s="26"/>
    </row>
    <row r="45" spans="1:26" x14ac:dyDescent="0.25">
      <c r="A45" s="8" t="s">
        <v>8841</v>
      </c>
      <c r="C45" s="139"/>
      <c r="D45" s="26"/>
      <c r="J45" s="9"/>
      <c r="K45" s="139"/>
      <c r="L45" s="26"/>
      <c r="O45" s="26"/>
      <c r="P45" s="26"/>
      <c r="R45" s="9"/>
      <c r="S45" s="139"/>
      <c r="T45" s="26"/>
      <c r="V45" s="9"/>
      <c r="W45" s="139"/>
      <c r="X45" s="26"/>
    </row>
    <row r="46" spans="1:26" x14ac:dyDescent="0.25">
      <c r="A46" s="8" t="s">
        <v>8842</v>
      </c>
      <c r="D46" s="1103" t="str">
        <f>C33&amp;" minus "&amp;C38</f>
        <v>c18.4.6 minus c18.5</v>
      </c>
      <c r="H46" s="1109" t="str">
        <f>G33&amp;" minus "&amp;G38</f>
        <v>c18.4.7 minus c18.5a</v>
      </c>
      <c r="L46" s="36" t="s">
        <v>4816</v>
      </c>
      <c r="T46" s="1103" t="str">
        <f>S33&amp;" minus "&amp;S38</f>
        <v>c18.4.8 minus c18.7</v>
      </c>
      <c r="X46" s="1103" t="str">
        <f>W33&amp;" minus "&amp;W38</f>
        <v>c18.4.10 minus c18.8</v>
      </c>
    </row>
    <row r="47" spans="1:26" x14ac:dyDescent="0.25">
      <c r="A47" s="8" t="s">
        <v>8843</v>
      </c>
      <c r="B47" s="8" t="s">
        <v>8844</v>
      </c>
      <c r="C47" s="2162" t="str">
        <f>A28</f>
        <v>c18.9</v>
      </c>
      <c r="D47" s="2149">
        <f>MAX(0,D33-D38)</f>
        <v>0</v>
      </c>
      <c r="G47" s="2162" t="str">
        <f>A29</f>
        <v>c18.9a</v>
      </c>
      <c r="H47" s="2149">
        <f>MAX(0,H33-H38)</f>
        <v>0</v>
      </c>
      <c r="J47" s="215"/>
      <c r="K47" s="2162" t="str">
        <f>A30</f>
        <v>c18.10</v>
      </c>
      <c r="L47" s="2149">
        <v>0</v>
      </c>
      <c r="R47" s="9" t="s">
        <v>8844</v>
      </c>
      <c r="S47" s="2162" t="str">
        <f>A31</f>
        <v>c18.11</v>
      </c>
      <c r="T47" s="2149">
        <f>MAX(0,T33-T38)</f>
        <v>0</v>
      </c>
      <c r="V47" s="9" t="s">
        <v>8844</v>
      </c>
      <c r="W47" s="2162" t="str">
        <f>A32</f>
        <v>c18.12</v>
      </c>
      <c r="X47" s="2149">
        <f>MAX(0,X33-X38)</f>
        <v>0</v>
      </c>
    </row>
    <row r="48" spans="1:26" x14ac:dyDescent="0.25">
      <c r="A48" s="8" t="s">
        <v>8845</v>
      </c>
      <c r="C48" s="139"/>
      <c r="D48" s="26"/>
      <c r="J48" s="215"/>
      <c r="K48" s="139"/>
      <c r="L48" s="26"/>
      <c r="R48" s="9"/>
      <c r="S48" s="139"/>
      <c r="T48" s="26"/>
      <c r="V48" s="9"/>
      <c r="W48" s="139"/>
      <c r="X48" s="26"/>
    </row>
    <row r="49" spans="1:24" x14ac:dyDescent="0.25">
      <c r="A49" s="8" t="s">
        <v>8846</v>
      </c>
      <c r="C49" s="139"/>
      <c r="D49" s="26"/>
      <c r="J49" s="9"/>
      <c r="K49" s="9"/>
      <c r="L49" s="9"/>
      <c r="M49" s="9"/>
      <c r="N49" s="9"/>
      <c r="O49" s="9"/>
      <c r="P49" s="26"/>
      <c r="R49" s="9"/>
      <c r="S49" s="139"/>
      <c r="T49" s="26"/>
      <c r="V49" s="9"/>
      <c r="W49" s="139"/>
      <c r="X49" s="26"/>
    </row>
    <row r="50" spans="1:24" x14ac:dyDescent="0.25">
      <c r="A50" s="8" t="s">
        <v>8847</v>
      </c>
      <c r="C50" s="139"/>
      <c r="D50" s="26"/>
      <c r="J50" s="9"/>
      <c r="M50" s="9"/>
      <c r="N50" s="9"/>
      <c r="R50" s="9"/>
      <c r="S50" s="139"/>
      <c r="T50" s="26"/>
      <c r="V50" s="9"/>
      <c r="W50" s="139"/>
      <c r="X50" s="26"/>
    </row>
    <row r="51" spans="1:24" x14ac:dyDescent="0.25">
      <c r="A51" s="8" t="s">
        <v>8848</v>
      </c>
      <c r="C51" s="139"/>
      <c r="D51" s="26"/>
      <c r="M51" s="9"/>
      <c r="R51" s="9"/>
      <c r="S51" s="139"/>
      <c r="T51" s="26"/>
      <c r="V51" s="9"/>
      <c r="W51" s="139"/>
      <c r="X51" s="26"/>
    </row>
    <row r="52" spans="1:24" x14ac:dyDescent="0.25">
      <c r="A52" s="8" t="s">
        <v>8849</v>
      </c>
      <c r="D52" s="9"/>
      <c r="N52" s="8" t="s">
        <v>2927</v>
      </c>
    </row>
    <row r="53" spans="1:24" x14ac:dyDescent="0.25">
      <c r="A53" s="8" t="s">
        <v>8850</v>
      </c>
      <c r="D53" s="9" t="str">
        <f>"CGT"&amp;CGT!C10&amp;" + "&amp;CGT&amp;CGT!C21</f>
        <v>CGT7 + CGT13.5</v>
      </c>
    </row>
    <row r="54" spans="1:24" x14ac:dyDescent="0.25">
      <c r="A54" s="8" t="s">
        <v>8851</v>
      </c>
      <c r="B54" s="8" t="s">
        <v>4294</v>
      </c>
      <c r="C54" s="2162" t="str">
        <f>A33</f>
        <v>c18.13</v>
      </c>
      <c r="D54" s="2149">
        <f>TRUNC(CGT!D11+CGT!D22+0.99,0)</f>
        <v>0</v>
      </c>
      <c r="E54" s="197" t="s">
        <v>7035</v>
      </c>
      <c r="F54" s="197"/>
      <c r="G54" s="197"/>
      <c r="I54" s="197"/>
    </row>
    <row r="55" spans="1:24" x14ac:dyDescent="0.25">
      <c r="A55" s="8" t="s">
        <v>8852</v>
      </c>
    </row>
    <row r="56" spans="1:24" x14ac:dyDescent="0.25">
      <c r="A56" s="8" t="s">
        <v>8853</v>
      </c>
      <c r="D56" s="138" t="str">
        <f>CGT&amp;CGT!G26&amp;" + "&amp;CGT&amp;CGT!G36&amp;" + "</f>
        <v xml:space="preserve">CGT19 + CGT27 + </v>
      </c>
    </row>
    <row r="57" spans="1:24" x14ac:dyDescent="0.25">
      <c r="A57" s="8" t="s">
        <v>5169</v>
      </c>
      <c r="D57" s="931" t="str">
        <f>"("&amp;CGT&amp;CGT!C46&amp;" minus ("&amp;CGT&amp;CGT!C49&amp;" + "&amp;CGT&amp;CGT!G52&amp;"))"</f>
        <v>(CGT35 minus (CGT41 + CGT43))</v>
      </c>
    </row>
    <row r="58" spans="1:24" x14ac:dyDescent="0.25">
      <c r="A58" s="8" t="s">
        <v>5173</v>
      </c>
      <c r="B58" s="8" t="s">
        <v>4294</v>
      </c>
      <c r="C58" s="2162" t="str">
        <f>A34</f>
        <v>c18.14</v>
      </c>
      <c r="D58" s="2149">
        <f>MAX(0,TRUNC(CGT!H27+0.99,0)+TRUNC(CGT!H37+0.99,0)+TRUNC(CGT!D47-(CGT!D50+CGT!H53)+0.99,0))</f>
        <v>0</v>
      </c>
      <c r="E58" s="197" t="s">
        <v>7035</v>
      </c>
      <c r="F58" s="197"/>
      <c r="G58" s="197"/>
      <c r="H58" s="197"/>
      <c r="I58" s="197"/>
      <c r="J58" s="197"/>
    </row>
    <row r="59" spans="1:24" x14ac:dyDescent="0.25">
      <c r="A59" s="8" t="s">
        <v>8854</v>
      </c>
    </row>
    <row r="60" spans="1:24" x14ac:dyDescent="0.25">
      <c r="A60" s="8" t="s">
        <v>8855</v>
      </c>
      <c r="D60" s="931" t="str">
        <f>"from "&amp;CGT&amp;CGT!P4</f>
        <v>from CGT46</v>
      </c>
    </row>
    <row r="61" spans="1:24" x14ac:dyDescent="0.25">
      <c r="A61" s="8" t="s">
        <v>8856</v>
      </c>
      <c r="B61" s="8" t="str">
        <f>"Income losses of "&amp;tax_year&amp;" set against gains"</f>
        <v>Income losses of 2025-26 set against gains</v>
      </c>
      <c r="C61" s="2162" t="str">
        <f>A35</f>
        <v>c18.15</v>
      </c>
      <c r="D61" s="2149">
        <f>MAX(0,TRUNC(CGT!Q5+0.99,0))</f>
        <v>0</v>
      </c>
      <c r="E61" s="197" t="s">
        <v>7035</v>
      </c>
      <c r="F61" s="197"/>
      <c r="G61" s="197"/>
      <c r="H61" s="197"/>
      <c r="I61" s="197"/>
      <c r="J61" s="197"/>
    </row>
    <row r="62" spans="1:24" x14ac:dyDescent="0.25">
      <c r="A62" s="8" t="s">
        <v>8857</v>
      </c>
    </row>
    <row r="63" spans="1:24" x14ac:dyDescent="0.25">
      <c r="A63" s="8" t="s">
        <v>8858</v>
      </c>
      <c r="D63" s="9" t="str">
        <f>C54&amp;" + "&amp;C58&amp;" + "&amp;C61</f>
        <v>c18.13 + c18.14 + c18.15</v>
      </c>
      <c r="H63" s="932" t="str">
        <f>C64&amp;" minus "&amp;C47</f>
        <v>c18.16 minus c18.9</v>
      </c>
      <c r="L63" s="931" t="str">
        <f>"From "&amp;CGT&amp;CGT!P34</f>
        <v>From CGT52.5</v>
      </c>
      <c r="O63" s="26"/>
      <c r="P63" s="174" t="str">
        <f>K64&amp;" minus "&amp;K17</f>
        <v>c18.16a minus c18.2</v>
      </c>
      <c r="T63" s="36" t="str">
        <f>C64&amp;" minus ("&amp;C47&amp;" + "&amp;G47&amp;")"</f>
        <v>c18.16 minus (c18.9 + c18.9a)</v>
      </c>
      <c r="X63" s="36" t="str">
        <f>C64&amp;" minus ("&amp;C47&amp;" + "&amp;G47&amp;" + "&amp;S47&amp;")"</f>
        <v>c18.16 minus (c18.9 + c18.9a + c18.11)</v>
      </c>
    </row>
    <row r="64" spans="1:24" x14ac:dyDescent="0.25">
      <c r="A64" s="8" t="s">
        <v>8859</v>
      </c>
      <c r="B64" s="8" t="s">
        <v>8860</v>
      </c>
      <c r="C64" s="2162" t="str">
        <f>A36</f>
        <v>c18.16</v>
      </c>
      <c r="D64" s="2149">
        <f>MAX(0,D54+D58+D61)</f>
        <v>0</v>
      </c>
      <c r="G64" s="2162" t="str">
        <f>A37</f>
        <v>c18.16.1</v>
      </c>
      <c r="H64" s="2149">
        <f>MAX(0,D64-D47)</f>
        <v>0</v>
      </c>
      <c r="J64" s="9" t="s">
        <v>4294</v>
      </c>
      <c r="K64" s="2162" t="str">
        <f>A38</f>
        <v>c18.16a</v>
      </c>
      <c r="L64" s="2149">
        <f>MAX(0,TRUNC(CGT!Q35+0.99,0))</f>
        <v>0</v>
      </c>
      <c r="M64" s="197" t="s">
        <v>7035</v>
      </c>
      <c r="N64" s="9" t="s">
        <v>4294</v>
      </c>
      <c r="O64" s="2162" t="str">
        <f>A39</f>
        <v>c18.16b</v>
      </c>
      <c r="P64" s="2149">
        <f>MAX(0,L64-L17)</f>
        <v>0</v>
      </c>
      <c r="R64" s="9" t="s">
        <v>8860</v>
      </c>
      <c r="S64" s="2162" t="str">
        <f>A40</f>
        <v>c18.17</v>
      </c>
      <c r="T64" s="2149">
        <f>MAX(0,D64-(D47+H47))</f>
        <v>0</v>
      </c>
      <c r="V64" s="9" t="s">
        <v>8860</v>
      </c>
      <c r="W64" s="2162" t="str">
        <f>A41</f>
        <v>c18.18</v>
      </c>
      <c r="X64" s="2149">
        <f>MAX(0,D64-(D47+H47+T47))</f>
        <v>0</v>
      </c>
    </row>
    <row r="65" spans="1:24" x14ac:dyDescent="0.25">
      <c r="A65" s="8" t="s">
        <v>8861</v>
      </c>
    </row>
    <row r="66" spans="1:24" x14ac:dyDescent="0.25">
      <c r="A66" s="8" t="s">
        <v>8862</v>
      </c>
      <c r="D66" s="36" t="str">
        <f>C47&amp;" minus "&amp;C64</f>
        <v>c18.9 minus c18.16</v>
      </c>
      <c r="H66" s="932" t="str">
        <f>G47&amp;" minus "&amp;G64</f>
        <v>c18.9a minus c18.16.1</v>
      </c>
      <c r="K66" s="9"/>
      <c r="L66" s="9" t="str">
        <f>K17&amp;" minus "&amp;K64</f>
        <v>c18.2 minus c18.16a</v>
      </c>
      <c r="O66" s="9"/>
      <c r="P66" s="174" t="str">
        <f>O17&amp;" minus "&amp;O64</f>
        <v>c18.2a minus c18.16b</v>
      </c>
      <c r="S66" s="139"/>
      <c r="T66" s="36" t="str">
        <f>S47&amp;" minus "&amp;S64</f>
        <v>c18.11 minus c18.17</v>
      </c>
      <c r="W66" s="139"/>
      <c r="X66" s="36" t="str">
        <f>W47&amp;" minus "&amp;W64</f>
        <v>c18.12 minus c18.18</v>
      </c>
    </row>
    <row r="67" spans="1:24" x14ac:dyDescent="0.25">
      <c r="A67" s="8" t="s">
        <v>8863</v>
      </c>
      <c r="B67" s="8" t="s">
        <v>8864</v>
      </c>
      <c r="C67" s="2162" t="str">
        <f>A42</f>
        <v>c18.19</v>
      </c>
      <c r="D67" s="2149">
        <f>MAX(0,D47-D64)</f>
        <v>0</v>
      </c>
      <c r="G67" s="2162" t="str">
        <f>A43</f>
        <v>c18.19.1</v>
      </c>
      <c r="H67" s="2149">
        <f>MAX(0,H47-H64)</f>
        <v>0</v>
      </c>
      <c r="J67" s="9" t="s">
        <v>8864</v>
      </c>
      <c r="K67" s="2162" t="str">
        <f>A44</f>
        <v>c18.19a</v>
      </c>
      <c r="L67" s="2149">
        <f>MAX(0,L17-L64)</f>
        <v>0</v>
      </c>
      <c r="N67" s="9" t="s">
        <v>8864</v>
      </c>
      <c r="O67" s="2162" t="str">
        <f>A45</f>
        <v>c18.19b</v>
      </c>
      <c r="P67" s="2149">
        <f>MAX(0,P17-P64)</f>
        <v>0</v>
      </c>
      <c r="R67" s="9" t="s">
        <v>8864</v>
      </c>
      <c r="S67" s="2162" t="str">
        <f>A46</f>
        <v>c18.20</v>
      </c>
      <c r="T67" s="2149">
        <f>MAX(0,T47-T64)</f>
        <v>0</v>
      </c>
      <c r="V67" s="9" t="s">
        <v>8864</v>
      </c>
      <c r="W67" s="2162" t="str">
        <f>A47</f>
        <v>c18.21</v>
      </c>
      <c r="X67" s="2149">
        <f>MAX(0,X47-X64)</f>
        <v>0</v>
      </c>
    </row>
    <row r="68" spans="1:24" x14ac:dyDescent="0.25">
      <c r="A68" s="8" t="s">
        <v>8865</v>
      </c>
    </row>
    <row r="69" spans="1:24" x14ac:dyDescent="0.25">
      <c r="A69" s="8" t="s">
        <v>5194</v>
      </c>
      <c r="S69" s="139"/>
      <c r="T69" s="1103" t="s">
        <v>4816</v>
      </c>
      <c r="U69" s="139"/>
      <c r="V69" s="139"/>
      <c r="W69" s="139"/>
    </row>
    <row r="70" spans="1:24" x14ac:dyDescent="0.25">
      <c r="A70" s="8" t="s">
        <v>5199</v>
      </c>
      <c r="B70" s="8" t="s">
        <v>8866</v>
      </c>
      <c r="S70" s="2162" t="str">
        <f>A48</f>
        <v>c18.22</v>
      </c>
      <c r="T70" s="2149">
        <v>0</v>
      </c>
      <c r="U70" s="1112" t="s">
        <v>7029</v>
      </c>
      <c r="V70" s="197"/>
      <c r="W70" s="139"/>
    </row>
    <row r="71" spans="1:24" x14ac:dyDescent="0.25">
      <c r="A71" s="8" t="s">
        <v>5203</v>
      </c>
      <c r="S71" s="139"/>
      <c r="T71" s="26"/>
      <c r="W71" s="139"/>
    </row>
    <row r="72" spans="1:24" x14ac:dyDescent="0.25">
      <c r="A72" s="8" t="s">
        <v>5208</v>
      </c>
      <c r="S72" s="139"/>
      <c r="T72" s="1103" t="str">
        <f>O67&amp;" + "&amp;S67</f>
        <v>c18.19b + c18.20</v>
      </c>
    </row>
    <row r="73" spans="1:24" x14ac:dyDescent="0.25">
      <c r="A73" s="8" t="s">
        <v>8867</v>
      </c>
      <c r="B73" s="8" t="s">
        <v>8868</v>
      </c>
      <c r="S73" s="2162" t="str">
        <f>A49</f>
        <v>c18.23</v>
      </c>
      <c r="T73" s="2149">
        <f>P67+T67</f>
        <v>0</v>
      </c>
    </row>
    <row r="74" spans="1:24" x14ac:dyDescent="0.25">
      <c r="A74" s="8" t="s">
        <v>5214</v>
      </c>
    </row>
    <row r="75" spans="1:24" x14ac:dyDescent="0.25">
      <c r="A75" s="8" t="s">
        <v>5218</v>
      </c>
      <c r="C75" s="1107" t="str">
        <f>"If ("&amp;NRD!P10&amp;" = Y or "&amp;NRD!P11&amp;" = Y or "&amp;NRD!P18&amp;" = Y)"</f>
        <v>If (box_NRD28 = Y or box_NRD29 = Y or box_NRD40 = Y)</v>
      </c>
      <c r="D75" s="1065"/>
      <c r="E75" s="1065"/>
      <c r="F75" s="1065"/>
      <c r="G75" s="1065"/>
      <c r="H75" s="1065"/>
    </row>
    <row r="76" spans="1:24" x14ac:dyDescent="0.25">
      <c r="A76" s="8" t="s">
        <v>5224</v>
      </c>
      <c r="C76" s="146" t="str">
        <f>C80&amp;" = 0 (zero)"</f>
        <v>c18.24 = 0 (zero)</v>
      </c>
    </row>
    <row r="77" spans="1:24" x14ac:dyDescent="0.25">
      <c r="A77" s="8" t="s">
        <v>5228</v>
      </c>
      <c r="C77" s="146" t="s">
        <v>8574</v>
      </c>
    </row>
    <row r="78" spans="1:24" x14ac:dyDescent="0.25">
      <c r="A78" s="8" t="s">
        <v>8869</v>
      </c>
      <c r="C78" s="146" t="str">
        <f>C80&amp;" = CG_exempt ("&amp;DOLLAR(CG_exempt,0)&amp;")"</f>
        <v>c18.24 = CG_exempt (£3,000)</v>
      </c>
    </row>
    <row r="79" spans="1:24" x14ac:dyDescent="0.25">
      <c r="A79" s="8" t="s">
        <v>5231</v>
      </c>
      <c r="C79" s="146" t="s">
        <v>75</v>
      </c>
      <c r="H79" s="932" t="str">
        <f>C80&amp;" minus "&amp;C67</f>
        <v>c18.24 minus c18.19</v>
      </c>
      <c r="S79" s="139"/>
      <c r="T79" s="36" t="str">
        <f>C80&amp;" minus ("&amp;C67&amp;" + "&amp;G67&amp;" + "&amp;K67&amp;")"</f>
        <v>c18.24 minus (c18.19 + c18.19.1 + c18.19a)</v>
      </c>
      <c r="W79" s="139"/>
      <c r="X79" s="36" t="str">
        <f>S80&amp;" minus "&amp;S73</f>
        <v>c18.25 minus c18.23</v>
      </c>
    </row>
    <row r="80" spans="1:24" x14ac:dyDescent="0.25">
      <c r="A80" s="8" t="s">
        <v>5236</v>
      </c>
      <c r="B80" s="166" t="s">
        <v>8870</v>
      </c>
      <c r="C80" s="2162" t="str">
        <f>A50</f>
        <v>c18.24</v>
      </c>
      <c r="D80" s="2149">
        <f>IF(FIG_claim_election,0,CG_exempt)</f>
        <v>3000</v>
      </c>
      <c r="G80" s="2162" t="str">
        <f>A51</f>
        <v>c18.24.1</v>
      </c>
      <c r="H80" s="2149">
        <f>MAX(0,D80-D67)</f>
        <v>3000</v>
      </c>
      <c r="S80" s="2162" t="str">
        <f>A52</f>
        <v>c18.25</v>
      </c>
      <c r="T80" s="2149">
        <f>MAX(0,D80-(D67+H67+L67))</f>
        <v>3000</v>
      </c>
      <c r="W80" s="2162" t="str">
        <f>A53</f>
        <v>c18.26</v>
      </c>
      <c r="X80" s="2149">
        <f>MAX(0,T80-T73)</f>
        <v>3000</v>
      </c>
    </row>
    <row r="81" spans="1:29" x14ac:dyDescent="0.25">
      <c r="A81" s="8" t="s">
        <v>5242</v>
      </c>
    </row>
    <row r="82" spans="1:29" x14ac:dyDescent="0.25">
      <c r="A82" s="8" t="s">
        <v>5246</v>
      </c>
      <c r="C82" s="139"/>
      <c r="D82" s="932" t="str">
        <f>C67&amp;" minus "&amp;C80</f>
        <v>c18.19 minus c18.24</v>
      </c>
      <c r="H82" s="932" t="str">
        <f>"("&amp;G67&amp;" + "&amp;K67&amp;") minus "&amp;G80</f>
        <v>(c18.19.1 + c18.19a) minus c18.24.1</v>
      </c>
      <c r="S82" s="139"/>
      <c r="T82" s="36" t="str">
        <f>S73&amp;" minus "&amp;S80</f>
        <v>c18.23 minus c18.25</v>
      </c>
      <c r="W82" s="139"/>
      <c r="X82" s="36" t="str">
        <f>W67&amp;" minus "&amp;W80</f>
        <v>c18.21 minus c18.26</v>
      </c>
    </row>
    <row r="83" spans="1:29" x14ac:dyDescent="0.25">
      <c r="A83" s="8" t="s">
        <v>5258</v>
      </c>
      <c r="B83" s="8" t="s">
        <v>8871</v>
      </c>
      <c r="C83" s="2162" t="str">
        <f>A54</f>
        <v>c18.27</v>
      </c>
      <c r="D83" s="2149">
        <f>MAX(0,D67-D80)</f>
        <v>0</v>
      </c>
      <c r="G83" s="2162" t="str">
        <f>A55</f>
        <v>c18.27.1</v>
      </c>
      <c r="H83" s="2149">
        <f>MAX(0,(H67+L67)-H80)</f>
        <v>0</v>
      </c>
      <c r="S83" s="2162" t="str">
        <f>A56</f>
        <v>c18.28</v>
      </c>
      <c r="T83" s="2149">
        <f>MAX(0,T73-T80)</f>
        <v>0</v>
      </c>
      <c r="W83" s="2162" t="str">
        <f>A57</f>
        <v>c18.29</v>
      </c>
      <c r="X83" s="2149">
        <f>MAX(0,X67-X80)</f>
        <v>0</v>
      </c>
    </row>
    <row r="84" spans="1:29" x14ac:dyDescent="0.25">
      <c r="A84" s="8" t="s">
        <v>5264</v>
      </c>
      <c r="S84" s="139"/>
      <c r="W84" s="139"/>
    </row>
    <row r="85" spans="1:29" x14ac:dyDescent="0.25">
      <c r="A85" s="8" t="s">
        <v>5269</v>
      </c>
      <c r="S85" s="139"/>
    </row>
    <row r="86" spans="1:29" x14ac:dyDescent="0.25">
      <c r="A86" s="8" t="s">
        <v>5275</v>
      </c>
      <c r="B86" s="8" t="str">
        <f>"Gains chargeable at "&amp;ER_CGT_rate*100&amp;"%"</f>
        <v>Gains chargeable at 14%</v>
      </c>
    </row>
    <row r="87" spans="1:29" x14ac:dyDescent="0.25">
      <c r="A87" s="8" t="s">
        <v>5281</v>
      </c>
      <c r="AA87" s="139"/>
      <c r="AB87" s="36" t="str">
        <f>W83&amp;" × ER_CGT_rate ("&amp;(ER_CGT_rate)*100&amp;"%)"</f>
        <v>c18.29 × ER_CGT_rate (14%)</v>
      </c>
    </row>
    <row r="88" spans="1:29" x14ac:dyDescent="0.25">
      <c r="A88" s="8" t="s">
        <v>8872</v>
      </c>
      <c r="C88" s="146"/>
      <c r="AA88" s="2162" t="str">
        <f>A58</f>
        <v>c18.30</v>
      </c>
      <c r="AB88" s="2182">
        <f>TRUNC(X83*ER_CGT_rate,2)</f>
        <v>0</v>
      </c>
      <c r="AC88" s="197" t="s">
        <v>7647</v>
      </c>
    </row>
    <row r="89" spans="1:29" x14ac:dyDescent="0.25">
      <c r="A89" s="8" t="s">
        <v>5286</v>
      </c>
      <c r="C89" s="146"/>
    </row>
    <row r="90" spans="1:29" x14ac:dyDescent="0.25">
      <c r="A90" s="8" t="s">
        <v>8873</v>
      </c>
      <c r="C90" s="146"/>
      <c r="D90" s="146"/>
    </row>
    <row r="91" spans="1:29" x14ac:dyDescent="0.25">
      <c r="A91" s="8" t="s">
        <v>8874</v>
      </c>
      <c r="C91" s="146"/>
    </row>
    <row r="92" spans="1:29" x14ac:dyDescent="0.25">
      <c r="A92" s="8" t="s">
        <v>8875</v>
      </c>
      <c r="C92" s="146"/>
      <c r="D92" s="138" t="str">
        <f>"from "&amp;'Taxable (c5)'!BA338</f>
        <v>from c5.86</v>
      </c>
    </row>
    <row r="93" spans="1:29" x14ac:dyDescent="0.25">
      <c r="A93" s="8" t="s">
        <v>8876</v>
      </c>
      <c r="B93" s="8" t="s">
        <v>7561</v>
      </c>
      <c r="C93" s="2162" t="str">
        <f>A59</f>
        <v>c18.31</v>
      </c>
      <c r="D93" s="2149">
        <f>'Taxable (c5)'!BB338</f>
        <v>0</v>
      </c>
    </row>
    <row r="94" spans="1:29" x14ac:dyDescent="0.25">
      <c r="A94" s="8" t="s">
        <v>5302</v>
      </c>
      <c r="C94" s="139"/>
    </row>
    <row r="95" spans="1:29" x14ac:dyDescent="0.25">
      <c r="A95" s="8" t="s">
        <v>8877</v>
      </c>
      <c r="C95" s="139" t="str">
        <f>"If ("&amp;FOR&amp;FOR!K42&amp;" + "&amp;AOI&amp;AOI!C13&amp;" + "&amp;AOI&amp;AOI!C19&amp;" + "&amp;AOI&amp;AOI!G13&amp;") &gt; 0"</f>
        <v>If (FOR43 + AOI4 + AOI6 + AOI8) &gt; 0</v>
      </c>
    </row>
    <row r="96" spans="1:29" x14ac:dyDescent="0.25">
      <c r="A96" s="8" t="s">
        <v>5308</v>
      </c>
      <c r="C96" s="146" t="str">
        <f>C100&amp;" = "&amp;'TSR (c17)'!L101</f>
        <v>c18.32 = c17.22</v>
      </c>
    </row>
    <row r="97" spans="1:20" x14ac:dyDescent="0.25">
      <c r="A97" s="8" t="s">
        <v>5314</v>
      </c>
      <c r="C97" s="146" t="s">
        <v>8574</v>
      </c>
    </row>
    <row r="98" spans="1:20" x14ac:dyDescent="0.25">
      <c r="C98" s="146" t="str">
        <f>C100&amp;" = 0 (zero)"</f>
        <v>c18.32 = 0 (zero)</v>
      </c>
    </row>
    <row r="99" spans="1:20" x14ac:dyDescent="0.25">
      <c r="C99" s="146" t="s">
        <v>75</v>
      </c>
      <c r="S99" s="139"/>
      <c r="T99" s="36" t="str">
        <f>C93&amp;" + "&amp;C100</f>
        <v>c18.31 + c18.32</v>
      </c>
    </row>
    <row r="100" spans="1:20" x14ac:dyDescent="0.25">
      <c r="B100" s="8" t="s">
        <v>8878</v>
      </c>
      <c r="C100" s="2162" t="str">
        <f>A60</f>
        <v>c18.32</v>
      </c>
      <c r="D100" s="2290">
        <f>'TSR (c17)'!M101</f>
        <v>0</v>
      </c>
      <c r="S100" s="2162" t="str">
        <f>A61</f>
        <v>c18.33</v>
      </c>
      <c r="T100" s="2149">
        <f>D93+D100</f>
        <v>0</v>
      </c>
    </row>
    <row r="101" spans="1:20" x14ac:dyDescent="0.25">
      <c r="C101" s="139"/>
      <c r="S101" s="139"/>
    </row>
    <row r="102" spans="1:20" x14ac:dyDescent="0.25">
      <c r="C102" s="139" t="str">
        <f>"If ("&amp;FOR&amp;FOR!K42&amp;" + "&amp;AOI&amp;AOI!C13&amp;" + "&amp;AOI&amp;AOI!C19&amp;" + "&amp;AOI&amp;AOI!G13&amp;") &gt; 0"</f>
        <v>If (FOR43 + AOI4 + AOI6 + AOI8) &gt; 0</v>
      </c>
      <c r="S102" s="139"/>
    </row>
    <row r="103" spans="1:20" x14ac:dyDescent="0.25">
      <c r="C103" s="146" t="str">
        <f>C107&amp;" = "&amp;'TSR (c17)'!E101</f>
        <v>c18.34 = c17.21</v>
      </c>
    </row>
    <row r="104" spans="1:20" x14ac:dyDescent="0.25">
      <c r="C104" s="146" t="s">
        <v>8574</v>
      </c>
    </row>
    <row r="105" spans="1:20" x14ac:dyDescent="0.25">
      <c r="C105" s="146" t="str">
        <f>C107&amp;" = 0 (zero)"</f>
        <v>c18.34 = 0 (zero)</v>
      </c>
    </row>
    <row r="106" spans="1:20" x14ac:dyDescent="0.25">
      <c r="C106" s="146" t="s">
        <v>75</v>
      </c>
      <c r="S106" s="139"/>
      <c r="T106" s="36" t="str">
        <f>S100&amp;" minus "&amp;C107</f>
        <v>c18.33 minus c18.34</v>
      </c>
    </row>
    <row r="107" spans="1:20" x14ac:dyDescent="0.25">
      <c r="B107" s="8" t="s">
        <v>8728</v>
      </c>
      <c r="C107" s="2162" t="str">
        <f>A62</f>
        <v>c18.34</v>
      </c>
      <c r="D107" s="2290">
        <f>'TSR (c17)'!F101</f>
        <v>0</v>
      </c>
      <c r="S107" s="2162" t="str">
        <f>A63</f>
        <v>c18.35</v>
      </c>
      <c r="T107" s="2149">
        <f>MAX(0,T100-D107)</f>
        <v>0</v>
      </c>
    </row>
    <row r="108" spans="1:20" x14ac:dyDescent="0.25">
      <c r="C108" s="139"/>
      <c r="S108" s="139"/>
    </row>
    <row r="109" spans="1:20" x14ac:dyDescent="0.25">
      <c r="C109" s="139"/>
      <c r="D109" s="9" t="str">
        <f>"From "&amp;'CDR (c7)'!E5</f>
        <v>From c7.1</v>
      </c>
      <c r="S109" s="139"/>
      <c r="T109" s="36" t="str">
        <f>S107&amp;" minus "&amp;C110</f>
        <v>c18.35 minus c18.36</v>
      </c>
    </row>
    <row r="110" spans="1:20" x14ac:dyDescent="0.25">
      <c r="B110" s="8" t="s">
        <v>6673</v>
      </c>
      <c r="C110" s="2162" t="str">
        <f>A64</f>
        <v>c18.36</v>
      </c>
      <c r="D110" s="2149">
        <f>'CDR (c7)'!F5</f>
        <v>0</v>
      </c>
      <c r="E110" s="26"/>
      <c r="F110" s="26"/>
      <c r="G110" s="26"/>
      <c r="H110" s="26"/>
      <c r="I110" s="26"/>
      <c r="R110" s="8" t="s">
        <v>8878</v>
      </c>
      <c r="S110" s="2162" t="str">
        <f>A65</f>
        <v>c18.37</v>
      </c>
      <c r="T110" s="2149">
        <f>MAX(0,T107-D110)</f>
        <v>0</v>
      </c>
    </row>
    <row r="112" spans="1:20" x14ac:dyDescent="0.25">
      <c r="S112" s="139"/>
      <c r="T112" s="9" t="str">
        <f>"BR_band ("&amp;DOLLAR(BR_band,0)&amp;") + "&amp;'Deductions (c4)'!H383</f>
        <v>BR_band (£37,700) + c4.59</v>
      </c>
    </row>
    <row r="113" spans="2:29" x14ac:dyDescent="0.25">
      <c r="B113" s="8" t="s">
        <v>8879</v>
      </c>
      <c r="S113" s="2162" t="str">
        <f>A66</f>
        <v>c18.38</v>
      </c>
      <c r="T113" s="2291">
        <f>BR_band+'Deductions (c4)'!I383</f>
        <v>37700</v>
      </c>
    </row>
    <row r="115" spans="2:29" x14ac:dyDescent="0.25">
      <c r="S115" s="139"/>
      <c r="T115" s="9" t="str">
        <f>S113&amp;" minus "&amp;S110</f>
        <v>c18.38 minus c18.37</v>
      </c>
    </row>
    <row r="116" spans="2:29" x14ac:dyDescent="0.25">
      <c r="B116" s="8" t="s">
        <v>8880</v>
      </c>
      <c r="S116" s="2162" t="str">
        <f>A67</f>
        <v>c18.39</v>
      </c>
      <c r="T116" s="2291">
        <f>MAX(0,T113-T110)</f>
        <v>37700</v>
      </c>
    </row>
    <row r="118" spans="2:29" x14ac:dyDescent="0.25">
      <c r="S118" s="139"/>
      <c r="T118" s="36" t="str">
        <f>S116&amp;" minus "&amp;W83</f>
        <v>c18.39 minus c18.29</v>
      </c>
    </row>
    <row r="119" spans="2:29" x14ac:dyDescent="0.25">
      <c r="B119" s="8" t="s">
        <v>8881</v>
      </c>
      <c r="S119" s="2162" t="str">
        <f>A68</f>
        <v>c18.40</v>
      </c>
      <c r="T119" s="2149">
        <f>MAX(0,T116-X83)</f>
        <v>37700</v>
      </c>
    </row>
    <row r="121" spans="2:29" x14ac:dyDescent="0.25">
      <c r="T121" s="1117" t="s">
        <v>7043</v>
      </c>
      <c r="AB121" s="1115" t="s">
        <v>7043</v>
      </c>
    </row>
    <row r="122" spans="2:29" x14ac:dyDescent="0.25">
      <c r="B122" s="2397" t="str">
        <f>"Carried interest chargeable at "&amp;Lower_CGT_rate_CI*100&amp;"%"</f>
        <v>Carried interest chargeable at 18%</v>
      </c>
      <c r="S122" s="2162" t="str">
        <f>A69</f>
        <v>c18.41</v>
      </c>
      <c r="T122" s="2291">
        <v>0</v>
      </c>
      <c r="X122" s="26"/>
      <c r="AA122" s="2162" t="str">
        <f>A70</f>
        <v>c18.42</v>
      </c>
      <c r="AB122" s="2182">
        <v>0</v>
      </c>
      <c r="AC122" s="2351" t="s">
        <v>7647</v>
      </c>
    </row>
    <row r="123" spans="2:29" x14ac:dyDescent="0.25">
      <c r="S123" s="139"/>
      <c r="W123" s="139"/>
      <c r="AA123" s="139"/>
    </row>
    <row r="124" spans="2:29" x14ac:dyDescent="0.25">
      <c r="S124" s="139"/>
      <c r="T124" s="1115" t="str">
        <f>C83</f>
        <v>c18.27</v>
      </c>
      <c r="W124" s="139"/>
      <c r="AB124" s="1115" t="str">
        <f>S125&amp;" × CI_CGT_rate ("&amp;(CI_CGT_rate)*100&amp;"%)"</f>
        <v>c18.43 × CI_CGT_rate (32%)</v>
      </c>
    </row>
    <row r="125" spans="2:29" x14ac:dyDescent="0.25">
      <c r="B125" s="2396" t="str">
        <f>"Carried interest chargeable at "&amp;CI_CGT_rate*100&amp;"%"</f>
        <v>Carried interest chargeable at 32%</v>
      </c>
      <c r="S125" s="2162" t="str">
        <f>A71</f>
        <v>c18.43</v>
      </c>
      <c r="T125" s="2149">
        <f>D83</f>
        <v>0</v>
      </c>
      <c r="AA125" s="2162" t="str">
        <f>A72</f>
        <v>c18.44</v>
      </c>
      <c r="AB125" s="2182">
        <f>TRUNC(T125*CI_CGT_rate,2)</f>
        <v>0</v>
      </c>
      <c r="AC125" s="197" t="s">
        <v>7647</v>
      </c>
    </row>
    <row r="127" spans="2:29" x14ac:dyDescent="0.25">
      <c r="S127" s="139"/>
      <c r="T127" s="1117" t="s">
        <v>7043</v>
      </c>
    </row>
    <row r="128" spans="2:29" x14ac:dyDescent="0.25">
      <c r="B128" s="8" t="s">
        <v>8882</v>
      </c>
      <c r="S128" s="2162" t="str">
        <f>A73</f>
        <v>c18.45</v>
      </c>
      <c r="T128" s="2291">
        <v>0</v>
      </c>
    </row>
    <row r="130" spans="2:29" x14ac:dyDescent="0.25">
      <c r="T130" s="1117" t="str">
        <f>"Lower of "&amp;G83&amp;" and "&amp;S119</f>
        <v>Lower of c18.27.1 and c18.40</v>
      </c>
      <c r="AB130" s="36" t="str">
        <f>S131&amp;" × Lower_CGT_rate_RP ("&amp;(Lower_CGT_rate_RP)*100&amp;"%)"</f>
        <v>c18.45.1 × Lower_CGT_rate_RP (18%)</v>
      </c>
    </row>
    <row r="131" spans="2:29" x14ac:dyDescent="0.25">
      <c r="B131" s="8" t="str">
        <f>"Residential property gains chargeable at "&amp;Lower_CGT_rate_RP*100&amp;"%"</f>
        <v>Residential property gains chargeable at 18%</v>
      </c>
      <c r="S131" s="2162" t="str">
        <f>A74</f>
        <v>c18.45.1</v>
      </c>
      <c r="T131" s="2291">
        <f>MIN(H83,T119)</f>
        <v>0</v>
      </c>
      <c r="U131" s="458"/>
      <c r="X131" s="26"/>
      <c r="AA131" s="2162" t="str">
        <f>A75</f>
        <v>c18.45.2</v>
      </c>
      <c r="AB131" s="2182">
        <f>TRUNC(T131*Lower_CGT_rate_RP,2)</f>
        <v>0</v>
      </c>
      <c r="AC131" s="197" t="s">
        <v>7647</v>
      </c>
    </row>
    <row r="132" spans="2:29" x14ac:dyDescent="0.25">
      <c r="S132" s="139"/>
      <c r="U132" s="458"/>
      <c r="W132" s="139"/>
      <c r="AA132" s="139"/>
    </row>
    <row r="133" spans="2:29" x14ac:dyDescent="0.25">
      <c r="S133" s="139"/>
      <c r="T133" s="36" t="str">
        <f>G83&amp;" minus "&amp;S131</f>
        <v>c18.27.1 minus c18.45.1</v>
      </c>
      <c r="U133" s="458"/>
      <c r="W133" s="139"/>
      <c r="AB133" s="36" t="str">
        <f>S134&amp;" × Upper_CGT_rate_RP ("&amp;(Upper_CGT_rate_RP)*100&amp;"%)"</f>
        <v>c18.45.3 × Upper_CGT_rate_RP (24%)</v>
      </c>
    </row>
    <row r="134" spans="2:29" x14ac:dyDescent="0.25">
      <c r="B134" s="8" t="str">
        <f>"Residential property gains chargeable at "&amp;Upper_CGT_rate_RP*100&amp;"%"</f>
        <v>Residential property gains chargeable at 24%</v>
      </c>
      <c r="S134" s="2162" t="str">
        <f>A76</f>
        <v>c18.45.3</v>
      </c>
      <c r="T134" s="2149">
        <f>MAX(0,H83-T131)</f>
        <v>0</v>
      </c>
      <c r="U134" s="458"/>
      <c r="AA134" s="2162" t="str">
        <f>A77</f>
        <v>c18.45.4</v>
      </c>
      <c r="AB134" s="2182">
        <f>TRUNC(T134*Upper_CGT_rate_RP,2)</f>
        <v>0</v>
      </c>
      <c r="AC134" s="197" t="s">
        <v>7647</v>
      </c>
    </row>
    <row r="135" spans="2:29" x14ac:dyDescent="0.25">
      <c r="S135" s="139"/>
      <c r="T135" s="26"/>
      <c r="AA135" s="139"/>
      <c r="AB135" s="167"/>
    </row>
    <row r="136" spans="2:29" x14ac:dyDescent="0.25">
      <c r="S136" s="139"/>
      <c r="T136" s="1115" t="str">
        <f>S119&amp;" minus "&amp;G83</f>
        <v>c18.40 minus c18.27.1</v>
      </c>
      <c r="U136" s="458"/>
      <c r="AA136" s="139"/>
      <c r="AB136" s="167"/>
    </row>
    <row r="137" spans="2:29" x14ac:dyDescent="0.25">
      <c r="B137" s="8" t="s">
        <v>8883</v>
      </c>
      <c r="S137" s="2162" t="str">
        <f>A78</f>
        <v>c18.45.5</v>
      </c>
      <c r="T137" s="2149">
        <f>MAX(0,T119-H83)</f>
        <v>37700</v>
      </c>
      <c r="U137" s="458"/>
      <c r="AA137" s="139"/>
      <c r="AB137" s="167"/>
    </row>
    <row r="139" spans="2:29" x14ac:dyDescent="0.25">
      <c r="S139" s="139"/>
      <c r="T139" s="9" t="str">
        <f>"Lower of "&amp;S83&amp;" and "&amp;S137</f>
        <v>Lower of c18.28 and c18.45.5</v>
      </c>
      <c r="AB139" s="36" t="str">
        <f>S140&amp;" × Lower_CGT_rate ("&amp;(Lower_CGT_rate)*100&amp;"%)"</f>
        <v>c18.46 × Lower_CGT_rate (18%)</v>
      </c>
    </row>
    <row r="140" spans="2:29" x14ac:dyDescent="0.25">
      <c r="B140" s="8" t="str">
        <f>"Gains chargeable at "&amp;Lower_CGT_rate*100&amp;"%"</f>
        <v>Gains chargeable at 18%</v>
      </c>
      <c r="S140" s="2162" t="str">
        <f>A79</f>
        <v>c18.46</v>
      </c>
      <c r="T140" s="2291">
        <f>MIN(T83,T137)</f>
        <v>0</v>
      </c>
      <c r="AA140" s="2162" t="str">
        <f>A80</f>
        <v>c18.47</v>
      </c>
      <c r="AB140" s="2182">
        <f>TRUNC(T140*Lower_CGT_rate,2)</f>
        <v>0</v>
      </c>
      <c r="AC140" s="197" t="s">
        <v>7647</v>
      </c>
    </row>
    <row r="141" spans="2:29" x14ac:dyDescent="0.25">
      <c r="S141" s="139"/>
      <c r="AA141" s="139"/>
    </row>
    <row r="142" spans="2:29" x14ac:dyDescent="0.25">
      <c r="S142" s="139"/>
      <c r="T142" s="36" t="str">
        <f>S83&amp;" minus "&amp;S140</f>
        <v>c18.28 minus c18.46</v>
      </c>
      <c r="AA142" s="139"/>
      <c r="AB142" s="36" t="str">
        <f>S143&amp;" × Upper_CGT_rate ("&amp;(Upper_CGT_rate)*100&amp;"%)"</f>
        <v>c18.48 × Upper_CGT_rate (24%)</v>
      </c>
    </row>
    <row r="143" spans="2:29" x14ac:dyDescent="0.25">
      <c r="B143" s="8" t="str">
        <f>"Gains chargeable at "&amp;Upper_CGT_rate*100&amp;"%"</f>
        <v>Gains chargeable at 24%</v>
      </c>
      <c r="S143" s="2162" t="str">
        <f>A81</f>
        <v>c18.48</v>
      </c>
      <c r="T143" s="2149">
        <f>MAX(0,T83-T140)</f>
        <v>0</v>
      </c>
      <c r="AA143" s="2162" t="str">
        <f>A82</f>
        <v>c18.49</v>
      </c>
      <c r="AB143" s="2182">
        <f>TRUNC(T143*Upper_CGT_rate,2)</f>
        <v>0</v>
      </c>
      <c r="AC143" s="197" t="s">
        <v>7647</v>
      </c>
    </row>
    <row r="144" spans="2:29" x14ac:dyDescent="0.25">
      <c r="W144" s="139"/>
    </row>
    <row r="145" spans="2:29" x14ac:dyDescent="0.25">
      <c r="X145" s="2396"/>
      <c r="Y145" s="2396"/>
      <c r="Z145" s="2396"/>
      <c r="AA145" s="2416"/>
      <c r="AB145" s="1115" t="str">
        <f>AA88&amp;" + "&amp;AA125&amp;" + "&amp;AA131&amp;" + "&amp;AA134&amp;" + "&amp;AA140&amp;" + "&amp;AA143</f>
        <v>c18.30 + c18.44 + c18.45.2 + c18.45.4 + c18.47 + c18.49</v>
      </c>
    </row>
    <row r="146" spans="2:29" x14ac:dyDescent="0.25">
      <c r="B146" s="8" t="s">
        <v>8884</v>
      </c>
      <c r="AA146" s="2162" t="str">
        <f>A83</f>
        <v>c18.50</v>
      </c>
      <c r="AB146" s="2182">
        <f>AB88+AB125+AB131+AB134+AB140+AB143</f>
        <v>0</v>
      </c>
    </row>
    <row r="147" spans="2:29" x14ac:dyDescent="0.25">
      <c r="AA147" s="139"/>
    </row>
    <row r="148" spans="2:29" x14ac:dyDescent="0.25">
      <c r="AA148" s="139"/>
      <c r="AB148" s="152" t="str">
        <f>"from "&amp;CGT&amp;CGT!L18</f>
        <v>from CGT51</v>
      </c>
    </row>
    <row r="149" spans="2:29" ht="12" x14ac:dyDescent="0.3">
      <c r="B149" s="8" t="s">
        <v>8885</v>
      </c>
      <c r="AA149" s="2162" t="str">
        <f>A84</f>
        <v>c18.51</v>
      </c>
      <c r="AB149" s="2182">
        <f>CGT!M19</f>
        <v>0</v>
      </c>
      <c r="AC149" s="218" t="s">
        <v>7220</v>
      </c>
    </row>
    <row r="151" spans="2:29" x14ac:dyDescent="0.25">
      <c r="AB151" s="152" t="str">
        <f>"from "&amp;CGT&amp;CGT!P18</f>
        <v>from CGT52</v>
      </c>
    </row>
    <row r="152" spans="2:29" x14ac:dyDescent="0.25">
      <c r="B152" s="8" t="s">
        <v>8886</v>
      </c>
      <c r="AA152" s="2162" t="str">
        <f>A85</f>
        <v>c18.51a</v>
      </c>
      <c r="AB152" s="2182">
        <f>TRUNC(CGT!Q19,0)</f>
        <v>0</v>
      </c>
      <c r="AC152" s="197" t="s">
        <v>7029</v>
      </c>
    </row>
    <row r="154" spans="2:29" x14ac:dyDescent="0.25">
      <c r="AA154" s="139"/>
      <c r="AB154" s="36" t="str">
        <f>AA146&amp;" + "&amp;AA149&amp;" + "&amp;AA152</f>
        <v>c18.50 + c18.51 + c18.51a</v>
      </c>
    </row>
    <row r="155" spans="2:29" x14ac:dyDescent="0.25">
      <c r="B155" s="8" t="s">
        <v>8887</v>
      </c>
      <c r="AA155" s="2162" t="str">
        <f>A86</f>
        <v>c18.52</v>
      </c>
      <c r="AB155" s="2182">
        <f>MAX(0,AB146+AB149+AB152)</f>
        <v>0</v>
      </c>
    </row>
    <row r="156" spans="2:29" x14ac:dyDescent="0.25">
      <c r="AA156" s="139"/>
      <c r="AB156" s="36" t="str">
        <f>"copy to "&amp;'Tax adj (c9)'!A43</f>
        <v>copy to c9.35</v>
      </c>
    </row>
    <row r="158" spans="2:29" x14ac:dyDescent="0.25">
      <c r="AA158" s="139"/>
      <c r="AB158" s="152" t="str">
        <f>"from "&amp;FOR&amp;FOR!K27</f>
        <v>from FOR39</v>
      </c>
    </row>
    <row r="159" spans="2:29" x14ac:dyDescent="0.25">
      <c r="B159" s="8" t="s">
        <v>6686</v>
      </c>
      <c r="AA159" s="2292" t="str">
        <f>A87</f>
        <v>c18.53</v>
      </c>
      <c r="AB159" s="2287">
        <f>TRUNC(FOR!L28+0.99,0)</f>
        <v>0</v>
      </c>
      <c r="AC159" s="197" t="s">
        <v>7035</v>
      </c>
    </row>
    <row r="160" spans="2:29" x14ac:dyDescent="0.25">
      <c r="AA160" s="139"/>
    </row>
    <row r="161" spans="2:29" x14ac:dyDescent="0.25">
      <c r="AB161" s="36" t="str">
        <f>'Tax adj (c9)'!I205&amp;" minus "&amp;'Tax adj (c9)'!I208</f>
        <v>c9.41b minus c9.41c</v>
      </c>
    </row>
    <row r="162" spans="2:29" x14ac:dyDescent="0.25">
      <c r="B162" s="139" t="s">
        <v>8888</v>
      </c>
      <c r="AA162" s="2162" t="str">
        <f>A88</f>
        <v>c18.53a</v>
      </c>
      <c r="AB162" s="2182">
        <f>MAX(0,'Tax adj (c9)'!J205-'Tax adj (c9)'!J208)</f>
        <v>0</v>
      </c>
    </row>
    <row r="163" spans="2:29" x14ac:dyDescent="0.25">
      <c r="B163" s="458" t="s">
        <v>8889</v>
      </c>
    </row>
    <row r="164" spans="2:29" x14ac:dyDescent="0.25">
      <c r="AB164" s="36" t="str">
        <f>"lower of "&amp;AA159&amp;" and "&amp;AA162</f>
        <v>lower of c18.53 and c18.53a</v>
      </c>
    </row>
    <row r="165" spans="2:29" x14ac:dyDescent="0.25">
      <c r="B165" s="8" t="s">
        <v>8890</v>
      </c>
      <c r="AA165" s="2292" t="str">
        <f>A89</f>
        <v>c18.54</v>
      </c>
      <c r="AB165" s="2182">
        <f>MIN(AB159,AB162)</f>
        <v>0</v>
      </c>
    </row>
    <row r="167" spans="2:29" x14ac:dyDescent="0.25">
      <c r="V167" s="562"/>
      <c r="AA167" s="139"/>
      <c r="AB167" s="36" t="str">
        <f>AA155&amp;" minus "&amp;AA165</f>
        <v>c18.52 minus c18.54</v>
      </c>
    </row>
    <row r="168" spans="2:29" x14ac:dyDescent="0.25">
      <c r="B168" s="8" t="s">
        <v>8891</v>
      </c>
      <c r="U168" s="458"/>
      <c r="V168" s="934"/>
      <c r="AA168" s="2292" t="str">
        <f>A90</f>
        <v>c18.55</v>
      </c>
      <c r="AB168" s="2182">
        <f>MAX(0,AB155-AB165)</f>
        <v>0</v>
      </c>
    </row>
    <row r="170" spans="2:29" x14ac:dyDescent="0.25">
      <c r="V170" s="457"/>
      <c r="AB170" s="152" t="str">
        <f>"From "&amp;CGT&amp;CGT!P30</f>
        <v>From CGT52.4</v>
      </c>
    </row>
    <row r="171" spans="2:29" x14ac:dyDescent="0.25">
      <c r="B171" s="8" t="s">
        <v>8892</v>
      </c>
      <c r="U171" s="458"/>
      <c r="V171" s="496"/>
      <c r="AA171" s="2162" t="str">
        <f>A91</f>
        <v>c18.56</v>
      </c>
      <c r="AB171" s="2182">
        <f>TRUNC(CGT!Q31+0.99,0)</f>
        <v>0</v>
      </c>
      <c r="AC171" s="197" t="s">
        <v>7035</v>
      </c>
    </row>
    <row r="173" spans="2:29" x14ac:dyDescent="0.25">
      <c r="U173" s="458"/>
      <c r="V173" s="457"/>
      <c r="AB173" s="152" t="str">
        <f>CGT&amp;CGT!G4&amp;" + "&amp;CGT&amp;CGT!G10&amp;" + "&amp;CGT&amp;CGT!G18&amp;" + "&amp;CGT&amp;CGT!G32&amp;" + "&amp;CGT&amp;CGT!G39&amp;" + "&amp;CGT&amp;CGT!G46</f>
        <v>CGT10 + CGT12 + CGT13.8 + CGT22 + CGT30 + CGT38</v>
      </c>
    </row>
    <row r="174" spans="2:29" ht="12" x14ac:dyDescent="0.3">
      <c r="B174" s="8" t="s">
        <v>8893</v>
      </c>
      <c r="U174" s="458"/>
      <c r="V174" s="934"/>
      <c r="W174" s="218"/>
      <c r="AA174" s="2162" t="str">
        <f>A92</f>
        <v>c18.57</v>
      </c>
      <c r="AB174" s="2182">
        <f>TRUNC(CGT!H5+0.99,0)+TRUNC(CGT!H11+0.99,0)+TRUNC(CGT!H19+0.99,0)+TRUNC(CGT!H33+0.99,0)+TRUNC(CGT!H40+0.99,0)+TRUNC(CGT!H47+0.99,0)</f>
        <v>0</v>
      </c>
      <c r="AC174" s="197" t="s">
        <v>7035</v>
      </c>
    </row>
    <row r="175" spans="2:29" x14ac:dyDescent="0.25">
      <c r="U175" s="458"/>
      <c r="V175" s="458"/>
    </row>
    <row r="176" spans="2:29" x14ac:dyDescent="0.25">
      <c r="U176" s="458"/>
      <c r="V176" s="457"/>
      <c r="AA176" s="139"/>
      <c r="AB176" s="9" t="str">
        <f>AA168&amp;" minus ("&amp;AA171&amp;" + "&amp;AA174&amp;")"</f>
        <v>c18.55 minus (c18.56 + c18.57)</v>
      </c>
    </row>
    <row r="177" spans="2:28" x14ac:dyDescent="0.25">
      <c r="B177" s="22" t="s">
        <v>8894</v>
      </c>
      <c r="U177" s="458"/>
      <c r="V177" s="457"/>
      <c r="AA177" s="2292" t="str">
        <f>A93</f>
        <v>c18.58</v>
      </c>
      <c r="AB177" s="2287">
        <f>MAX(0,AB168-(AB171+AB174))</f>
        <v>0</v>
      </c>
    </row>
    <row r="178" spans="2:28" ht="12" x14ac:dyDescent="0.3">
      <c r="U178" s="458"/>
      <c r="V178" s="458"/>
      <c r="W178" s="218"/>
      <c r="X178" s="210"/>
      <c r="Y178" s="210"/>
      <c r="Z178" s="210"/>
      <c r="AA178" s="215"/>
      <c r="AB178" s="9" t="str">
        <f>"copy to "&amp;'Tax due (c12)'!A24</f>
        <v>copy to c12.17</v>
      </c>
    </row>
    <row r="179" spans="2:28" x14ac:dyDescent="0.25">
      <c r="U179" s="458"/>
      <c r="V179" s="457"/>
      <c r="AB179" s="9"/>
    </row>
    <row r="180" spans="2:28" x14ac:dyDescent="0.25">
      <c r="U180" s="458"/>
      <c r="V180" s="458"/>
      <c r="AB180" s="9" t="str">
        <f>"("&amp;AA171&amp;" + "&amp;AA174&amp;") minus "&amp;AA168</f>
        <v>(c18.56 + c18.57) minus c18.55</v>
      </c>
    </row>
    <row r="181" spans="2:28" x14ac:dyDescent="0.25">
      <c r="B181" s="22" t="s">
        <v>8895</v>
      </c>
      <c r="U181" s="458"/>
      <c r="V181" s="458"/>
      <c r="AA181" s="2292" t="str">
        <f>A94</f>
        <v>c18.59</v>
      </c>
      <c r="AB181" s="2182">
        <f>MAX(0,(AB171+AB174)-AB168)</f>
        <v>0</v>
      </c>
    </row>
    <row r="182" spans="2:28" x14ac:dyDescent="0.25">
      <c r="U182" s="458"/>
      <c r="V182" s="458"/>
    </row>
    <row r="183" spans="2:28" x14ac:dyDescent="0.25">
      <c r="U183" s="458"/>
      <c r="V183" s="457"/>
      <c r="AB183" s="9" t="str">
        <f>'Tax due (c12)'!L79&amp;" minus "&amp;'Tax due (c12)'!L88</f>
        <v>c12.12 minus c12.15</v>
      </c>
    </row>
    <row r="184" spans="2:28" x14ac:dyDescent="0.25">
      <c r="B184" s="79" t="s">
        <v>8436</v>
      </c>
      <c r="U184" s="458"/>
      <c r="V184" s="457"/>
      <c r="AA184" s="2292" t="str">
        <f>A95</f>
        <v>c18.60</v>
      </c>
      <c r="AB184" s="2182">
        <f>MAX(0,'Tax due (c12)'!M79-'Tax due (c12)'!M88)</f>
        <v>0</v>
      </c>
    </row>
    <row r="185" spans="2:28" x14ac:dyDescent="0.25">
      <c r="U185" s="458"/>
      <c r="V185" s="458"/>
    </row>
    <row r="186" spans="2:28" x14ac:dyDescent="0.25">
      <c r="U186" s="458"/>
      <c r="V186" s="457"/>
      <c r="AB186" s="9" t="str">
        <f>"lower of "&amp;AA181&amp;" and "&amp;AA184</f>
        <v>lower of c18.59 and c18.60</v>
      </c>
    </row>
    <row r="187" spans="2:28" x14ac:dyDescent="0.25">
      <c r="B187" s="22" t="s">
        <v>8896</v>
      </c>
      <c r="U187" s="458"/>
      <c r="V187" s="458"/>
      <c r="AA187" s="2292" t="str">
        <f>A96</f>
        <v>c18.61</v>
      </c>
      <c r="AB187" s="2182">
        <f>MIN(AB181,AB184)</f>
        <v>0</v>
      </c>
    </row>
    <row r="188" spans="2:28" x14ac:dyDescent="0.25">
      <c r="B188" s="22"/>
      <c r="U188" s="458"/>
      <c r="V188" s="458"/>
      <c r="AA188" s="146"/>
      <c r="AB188" s="9" t="str">
        <f>"copy to "&amp;'Tax due (c12)'!A26</f>
        <v>copy to c12.17b</v>
      </c>
    </row>
    <row r="189" spans="2:28" x14ac:dyDescent="0.25">
      <c r="U189" s="458"/>
      <c r="V189" s="458"/>
    </row>
    <row r="190" spans="2:28" x14ac:dyDescent="0.25">
      <c r="AB190" s="9" t="str">
        <f>AA181&amp;" minus "&amp;AA184</f>
        <v>c18.59 minus c18.60</v>
      </c>
    </row>
    <row r="191" spans="2:28" x14ac:dyDescent="0.25">
      <c r="B191" s="22" t="s">
        <v>8897</v>
      </c>
      <c r="AA191" s="2292" t="str">
        <f>A97</f>
        <v>c18.62</v>
      </c>
      <c r="AB191" s="2182">
        <f>MAX(0,AB181-AB184)</f>
        <v>0</v>
      </c>
    </row>
    <row r="193" spans="2:22" x14ac:dyDescent="0.25">
      <c r="B193" s="8" t="s">
        <v>75</v>
      </c>
    </row>
    <row r="194" spans="2:22" ht="12.5" x14ac:dyDescent="0.25">
      <c r="B194" s="274" t="s">
        <v>8898</v>
      </c>
      <c r="U194" s="458"/>
      <c r="V194" s="458"/>
    </row>
    <row r="195" spans="2:22" ht="12.5" x14ac:dyDescent="0.25">
      <c r="B195" s="274" t="str">
        <f>C17&amp;" to "&amp;AA191&amp;" = 0 (zero)"</f>
        <v>c18.1 to c18.62 = 0 (zero)</v>
      </c>
      <c r="U195" s="458"/>
      <c r="V195" s="458"/>
    </row>
    <row r="196" spans="2:22" ht="12.5" x14ac:dyDescent="0.25">
      <c r="B196" s="935"/>
      <c r="U196" s="458"/>
      <c r="V196" s="458"/>
    </row>
    <row r="197" spans="2:22" x14ac:dyDescent="0.25">
      <c r="U197" s="458"/>
      <c r="V197" s="458"/>
    </row>
    <row r="198" spans="2:22" x14ac:dyDescent="0.25">
      <c r="U198" s="458"/>
      <c r="V198" s="458"/>
    </row>
    <row r="199" spans="2:22" x14ac:dyDescent="0.25">
      <c r="U199" s="458"/>
      <c r="V199" s="458"/>
    </row>
    <row r="200" spans="2:22" x14ac:dyDescent="0.25">
      <c r="U200" s="458"/>
      <c r="V200" s="458"/>
    </row>
    <row r="201" spans="2:22" x14ac:dyDescent="0.25">
      <c r="U201" s="458"/>
      <c r="V201" s="458"/>
    </row>
    <row r="202" spans="2:22" x14ac:dyDescent="0.25">
      <c r="U202" s="458"/>
      <c r="V202" s="458"/>
    </row>
    <row r="203" spans="2:22" x14ac:dyDescent="0.25">
      <c r="U203" s="458"/>
      <c r="V203" s="458"/>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1"/>
  <dimension ref="A1:T113"/>
  <sheetViews>
    <sheetView showGridLines="0" topLeftCell="B1" workbookViewId="0">
      <selection activeCell="B1" sqref="B1"/>
    </sheetView>
  </sheetViews>
  <sheetFormatPr defaultColWidth="9.1796875" defaultRowHeight="12.5" x14ac:dyDescent="0.25"/>
  <cols>
    <col min="1" max="1" width="7.81640625" style="39" hidden="1" customWidth="1"/>
    <col min="2" max="2" width="31" style="39" customWidth="1"/>
    <col min="3" max="3" width="6.1796875" style="39" customWidth="1"/>
    <col min="4" max="4" width="11.1796875" style="39" customWidth="1"/>
    <col min="5" max="5" width="9.54296875" customWidth="1"/>
    <col min="6" max="6" width="6.1796875" customWidth="1"/>
    <col min="7" max="7" width="11.1796875" style="39" customWidth="1"/>
    <col min="8" max="8" width="9.54296875" customWidth="1"/>
    <col min="9" max="9" width="6.1796875" customWidth="1"/>
    <col min="10" max="10" width="11.1796875" style="39" customWidth="1"/>
    <col min="11" max="11" width="8.81640625" style="39" customWidth="1"/>
    <col min="12" max="12" width="31" style="39" customWidth="1"/>
    <col min="13" max="14" width="6.1796875" style="39" customWidth="1"/>
    <col min="15" max="15" width="11.1796875" style="39" customWidth="1"/>
    <col min="16" max="16" width="8.81640625" style="39" customWidth="1"/>
    <col min="17" max="17" width="6.1796875" style="39" customWidth="1"/>
    <col min="18" max="18" width="11.1796875" style="39" customWidth="1"/>
    <col min="19" max="16384" width="9.1796875" style="39"/>
  </cols>
  <sheetData>
    <row r="1" spans="1:20" ht="18" x14ac:dyDescent="0.4">
      <c r="A1" s="8" t="s">
        <v>8899</v>
      </c>
      <c r="B1" s="484" t="s">
        <v>8900</v>
      </c>
      <c r="C1" s="8"/>
      <c r="D1" s="8"/>
      <c r="G1" s="8"/>
      <c r="J1" s="8"/>
      <c r="K1" s="8"/>
      <c r="L1" s="8"/>
      <c r="M1" s="8"/>
      <c r="N1" s="8"/>
      <c r="O1" s="8"/>
      <c r="P1" s="8"/>
      <c r="Q1" s="8"/>
      <c r="R1" s="8"/>
      <c r="S1" s="8"/>
      <c r="T1" s="8"/>
    </row>
    <row r="2" spans="1:20" x14ac:dyDescent="0.25">
      <c r="A2" s="8"/>
      <c r="B2" s="12"/>
      <c r="C2" s="8"/>
      <c r="D2" s="8"/>
      <c r="G2" s="8"/>
      <c r="J2" s="8"/>
      <c r="K2" s="8"/>
      <c r="L2" s="8"/>
      <c r="M2" s="8"/>
      <c r="N2" s="8"/>
      <c r="O2" s="8"/>
      <c r="P2" s="8"/>
      <c r="Q2" s="8"/>
      <c r="R2" s="8"/>
      <c r="S2" s="8"/>
      <c r="T2" s="8"/>
    </row>
    <row r="3" spans="1:20" ht="11.5" x14ac:dyDescent="0.25">
      <c r="A3" s="8"/>
      <c r="B3" s="8"/>
      <c r="C3" s="2164" t="s">
        <v>7225</v>
      </c>
      <c r="D3" s="2205"/>
      <c r="E3" s="2205"/>
      <c r="F3" s="2205"/>
      <c r="G3" s="2205"/>
      <c r="H3" s="2205"/>
      <c r="I3" s="2147"/>
      <c r="J3" s="8"/>
      <c r="K3" s="8"/>
      <c r="L3" s="8"/>
      <c r="M3" s="8"/>
      <c r="N3" s="8"/>
      <c r="O3" s="8"/>
      <c r="P3" s="8"/>
      <c r="Q3" s="8"/>
      <c r="R3" s="8"/>
      <c r="S3" s="8"/>
      <c r="T3" s="8"/>
    </row>
    <row r="5" spans="1:20" x14ac:dyDescent="0.25">
      <c r="A5" s="8"/>
      <c r="B5" s="148" t="s">
        <v>6691</v>
      </c>
      <c r="C5" s="8"/>
      <c r="D5" s="8"/>
      <c r="E5" s="8"/>
      <c r="F5" s="8"/>
      <c r="G5" s="8"/>
      <c r="J5" s="8"/>
      <c r="K5" s="8"/>
      <c r="L5" s="8"/>
      <c r="M5" s="8"/>
      <c r="N5" s="8"/>
      <c r="O5" s="8"/>
      <c r="P5" s="8"/>
      <c r="Q5" s="8"/>
      <c r="R5" s="8"/>
      <c r="S5" s="8"/>
      <c r="T5" s="8"/>
    </row>
    <row r="6" spans="1:20" x14ac:dyDescent="0.25">
      <c r="A6" s="8"/>
      <c r="B6" s="148"/>
      <c r="C6" s="8"/>
      <c r="D6" s="8"/>
      <c r="E6" s="8"/>
      <c r="F6" s="8"/>
      <c r="G6" s="8"/>
      <c r="H6" s="8"/>
      <c r="J6" s="8"/>
      <c r="K6" s="8"/>
      <c r="L6" s="8"/>
      <c r="M6" s="8"/>
      <c r="N6" s="8"/>
      <c r="O6" s="8"/>
      <c r="P6" s="8"/>
      <c r="Q6" s="8"/>
      <c r="R6" s="8"/>
      <c r="S6" s="8"/>
      <c r="T6" s="8"/>
    </row>
    <row r="7" spans="1:20" x14ac:dyDescent="0.25">
      <c r="A7" s="8"/>
      <c r="B7" s="148"/>
      <c r="C7" s="8"/>
      <c r="D7" s="8"/>
      <c r="E7" s="8"/>
      <c r="F7" s="8"/>
      <c r="G7" s="8"/>
      <c r="H7" s="8"/>
      <c r="J7" s="8"/>
      <c r="K7" s="8"/>
      <c r="L7" s="8"/>
      <c r="M7" s="8"/>
      <c r="N7" s="8"/>
      <c r="O7" s="8"/>
      <c r="P7" s="8"/>
      <c r="Q7" s="8"/>
      <c r="R7" s="8"/>
      <c r="S7" s="8"/>
      <c r="T7" s="8"/>
    </row>
    <row r="8" spans="1:20" x14ac:dyDescent="0.25">
      <c r="A8" s="8"/>
      <c r="B8" s="148"/>
      <c r="C8" s="127"/>
      <c r="D8" s="8"/>
      <c r="E8" s="8"/>
      <c r="F8" s="8"/>
      <c r="G8" s="8"/>
      <c r="H8" s="8"/>
      <c r="J8" s="8"/>
      <c r="K8" s="8"/>
      <c r="L8" s="8"/>
      <c r="M8" s="8"/>
      <c r="N8" s="8"/>
      <c r="O8" s="8"/>
      <c r="P8" s="8"/>
      <c r="Q8" s="8"/>
      <c r="R8" s="8"/>
      <c r="S8" s="8"/>
      <c r="T8" s="8"/>
    </row>
    <row r="9" spans="1:20" x14ac:dyDescent="0.25">
      <c r="A9" s="8"/>
      <c r="B9" s="8"/>
      <c r="C9" s="8"/>
      <c r="D9" s="127"/>
      <c r="E9" s="8"/>
      <c r="F9" s="8"/>
      <c r="G9" s="8"/>
      <c r="H9" s="8"/>
      <c r="J9" s="8"/>
      <c r="K9" s="8"/>
      <c r="L9" s="8"/>
      <c r="M9" s="8"/>
      <c r="N9" s="8"/>
      <c r="O9" s="8"/>
      <c r="P9" s="8"/>
      <c r="Q9" s="8"/>
      <c r="R9" s="8"/>
      <c r="S9" s="8"/>
      <c r="T9" s="8"/>
    </row>
    <row r="10" spans="1:20" x14ac:dyDescent="0.25">
      <c r="A10" s="8"/>
      <c r="B10" s="8"/>
      <c r="C10" s="8"/>
      <c r="D10" s="8"/>
      <c r="E10" s="8"/>
      <c r="F10" s="8"/>
      <c r="G10" s="8"/>
      <c r="H10" s="8"/>
      <c r="J10" s="8"/>
      <c r="K10" s="8"/>
      <c r="L10" s="8"/>
      <c r="M10" s="8"/>
      <c r="N10" s="8"/>
      <c r="O10" s="8"/>
      <c r="P10" s="8"/>
      <c r="Q10" s="8"/>
      <c r="R10" s="8"/>
      <c r="S10" s="8"/>
      <c r="T10" s="8"/>
    </row>
    <row r="11" spans="1:20" x14ac:dyDescent="0.25">
      <c r="A11" s="8"/>
      <c r="B11" s="148"/>
      <c r="C11" s="22"/>
      <c r="D11" s="127"/>
      <c r="E11" s="8"/>
      <c r="F11" s="8"/>
      <c r="G11" s="8"/>
      <c r="H11" s="8"/>
      <c r="J11" s="8"/>
      <c r="K11" s="8"/>
      <c r="L11" s="8"/>
      <c r="M11" s="8"/>
      <c r="N11" s="8"/>
      <c r="O11" s="8"/>
      <c r="P11" s="8"/>
      <c r="Q11" s="8"/>
      <c r="R11" s="8"/>
      <c r="S11" s="8"/>
      <c r="T11" s="8"/>
    </row>
    <row r="12" spans="1:20" x14ac:dyDescent="0.25">
      <c r="A12" s="8"/>
      <c r="B12" s="148"/>
      <c r="C12" s="22"/>
      <c r="D12" s="8"/>
      <c r="E12" s="8"/>
      <c r="F12" s="8"/>
      <c r="G12" s="8"/>
      <c r="H12" s="8"/>
      <c r="J12" s="8"/>
      <c r="K12" s="8"/>
      <c r="L12" s="8"/>
      <c r="M12" s="8"/>
      <c r="N12" s="8"/>
      <c r="O12" s="8"/>
      <c r="P12" s="8"/>
      <c r="Q12" s="8"/>
      <c r="R12" s="8"/>
      <c r="S12" s="8"/>
      <c r="T12" s="8"/>
    </row>
    <row r="13" spans="1:20" x14ac:dyDescent="0.25">
      <c r="A13" s="8"/>
      <c r="B13" s="148"/>
      <c r="C13" s="22"/>
      <c r="D13" s="127"/>
      <c r="E13" s="8"/>
      <c r="F13" s="8"/>
      <c r="G13" s="8"/>
      <c r="H13" s="8"/>
      <c r="J13" s="8"/>
      <c r="K13" s="8"/>
      <c r="L13"/>
      <c r="M13"/>
      <c r="N13" s="8"/>
      <c r="O13" s="8"/>
      <c r="P13" s="8"/>
      <c r="Q13" s="8"/>
      <c r="R13" s="8"/>
      <c r="S13" s="8"/>
      <c r="T13" s="8"/>
    </row>
    <row r="14" spans="1:20" ht="13" x14ac:dyDescent="0.3">
      <c r="A14" s="8"/>
      <c r="B14" s="8"/>
      <c r="C14" s="8"/>
      <c r="D14" s="278"/>
      <c r="E14" s="8"/>
      <c r="F14" s="8"/>
      <c r="G14" s="8"/>
      <c r="H14" s="8"/>
      <c r="J14" s="8"/>
      <c r="K14" s="8"/>
      <c r="L14" s="206"/>
      <c r="M14" s="210"/>
      <c r="N14" s="210"/>
      <c r="O14" s="210"/>
      <c r="P14" s="210"/>
      <c r="Q14" s="210"/>
      <c r="R14" s="210"/>
      <c r="S14" s="210"/>
      <c r="T14" s="210"/>
    </row>
    <row r="15" spans="1:20" x14ac:dyDescent="0.25">
      <c r="A15" s="8"/>
      <c r="B15" s="8"/>
      <c r="C15" s="8"/>
      <c r="D15" s="25"/>
      <c r="E15" s="8"/>
      <c r="F15" s="8"/>
      <c r="G15" s="8"/>
      <c r="H15" s="8"/>
      <c r="J15" s="8"/>
      <c r="K15" s="8"/>
      <c r="L15" s="210"/>
      <c r="M15" s="210"/>
      <c r="N15" s="210"/>
      <c r="O15" s="210"/>
      <c r="P15" s="210"/>
      <c r="Q15" s="210"/>
      <c r="R15" s="210"/>
      <c r="S15" s="210"/>
      <c r="T15" s="210"/>
    </row>
    <row r="16" spans="1:20" x14ac:dyDescent="0.25">
      <c r="A16" s="8"/>
      <c r="B16" s="8"/>
      <c r="C16" s="8"/>
      <c r="D16" s="1067" t="s">
        <v>7043</v>
      </c>
      <c r="G16"/>
      <c r="H16" s="8"/>
      <c r="J16" s="8"/>
      <c r="K16" s="8"/>
      <c r="L16" s="210"/>
      <c r="M16" s="210"/>
      <c r="N16" s="210"/>
      <c r="O16" s="210"/>
      <c r="P16" s="210"/>
      <c r="Q16" s="210"/>
      <c r="R16" s="210"/>
      <c r="S16" s="210"/>
      <c r="T16" s="210"/>
    </row>
    <row r="17" spans="2:20" x14ac:dyDescent="0.25">
      <c r="B17"/>
      <c r="C17" s="2183" t="str">
        <f>A1</f>
        <v>c19.1</v>
      </c>
      <c r="D17" s="2149">
        <v>0</v>
      </c>
      <c r="G17"/>
      <c r="J17" s="8"/>
      <c r="K17" s="8"/>
      <c r="L17" s="207"/>
      <c r="M17" s="210"/>
      <c r="N17" s="210"/>
      <c r="O17" s="210"/>
      <c r="P17" s="210"/>
      <c r="Q17" s="210"/>
      <c r="R17" s="210"/>
      <c r="S17" s="210"/>
      <c r="T17" s="210"/>
    </row>
    <row r="18" spans="2:20" x14ac:dyDescent="0.25">
      <c r="B18" s="211"/>
      <c r="C18" s="211"/>
      <c r="D18" s="9" t="str">
        <f>"Copy to "&amp;'Tax adj (c9)'!F145&amp;" and to "&amp;'Tax due (c12)'!I76</f>
        <v>Copy to c9.36 and to c12.11</v>
      </c>
      <c r="G18" s="8"/>
      <c r="J18" s="8"/>
      <c r="K18" s="8"/>
      <c r="L18" s="210"/>
      <c r="M18" s="210"/>
      <c r="N18" s="210"/>
      <c r="O18" s="210"/>
      <c r="P18" s="210"/>
      <c r="Q18" s="210"/>
      <c r="R18" s="210"/>
      <c r="S18" s="210"/>
      <c r="T18" s="210"/>
    </row>
    <row r="19" spans="2:20" x14ac:dyDescent="0.25">
      <c r="B19" s="8"/>
      <c r="C19" s="8"/>
      <c r="D19" s="8"/>
      <c r="G19" s="8"/>
      <c r="H19" s="211"/>
      <c r="J19" s="8"/>
      <c r="K19" s="8"/>
      <c r="L19" s="210"/>
      <c r="M19" s="207"/>
      <c r="N19" s="208"/>
      <c r="O19" s="210"/>
      <c r="P19" s="210"/>
      <c r="Q19" s="210"/>
      <c r="R19" s="210"/>
      <c r="S19" s="210"/>
      <c r="T19" s="210"/>
    </row>
    <row r="20" spans="2:20" x14ac:dyDescent="0.25">
      <c r="B20" s="8"/>
      <c r="C20" s="8"/>
      <c r="D20" s="8"/>
      <c r="G20" s="8"/>
      <c r="J20" s="8"/>
      <c r="K20" s="8"/>
      <c r="L20" s="210"/>
      <c r="M20" s="210"/>
      <c r="N20" s="208"/>
      <c r="O20" s="210"/>
      <c r="P20" s="210"/>
      <c r="Q20" s="210"/>
      <c r="R20" s="210"/>
      <c r="S20" s="210"/>
      <c r="T20" s="210"/>
    </row>
    <row r="21" spans="2:20" x14ac:dyDescent="0.25">
      <c r="B21" s="8"/>
      <c r="C21" s="8"/>
      <c r="D21" s="8"/>
      <c r="G21" s="8"/>
      <c r="J21" s="8"/>
      <c r="K21" s="8"/>
      <c r="L21" s="210"/>
      <c r="M21" s="210"/>
      <c r="N21" s="208"/>
      <c r="O21" s="210"/>
      <c r="P21" s="210"/>
      <c r="Q21" s="210"/>
      <c r="R21" s="210"/>
      <c r="S21" s="210"/>
      <c r="T21" s="210"/>
    </row>
    <row r="22" spans="2:20" x14ac:dyDescent="0.25">
      <c r="B22"/>
      <c r="C22"/>
      <c r="D22" s="8"/>
      <c r="G22" s="8"/>
      <c r="I22" s="211"/>
      <c r="J22" s="210"/>
      <c r="K22" s="210"/>
      <c r="L22" s="210"/>
      <c r="M22" s="210"/>
      <c r="N22" s="208"/>
      <c r="O22" s="210"/>
      <c r="P22" s="210"/>
      <c r="Q22" s="210"/>
      <c r="R22" s="210"/>
      <c r="S22" s="210"/>
      <c r="T22" s="210"/>
    </row>
    <row r="23" spans="2:20" x14ac:dyDescent="0.25">
      <c r="B23" s="8"/>
      <c r="C23" s="8"/>
      <c r="D23" s="211"/>
      <c r="G23" s="8"/>
      <c r="H23" s="211"/>
      <c r="I23" s="211"/>
      <c r="J23" s="210"/>
      <c r="K23" s="210"/>
      <c r="L23" s="210"/>
      <c r="M23" s="210"/>
      <c r="N23" s="208"/>
      <c r="O23" s="210"/>
      <c r="P23" s="210"/>
      <c r="Q23" s="210"/>
      <c r="R23" s="210"/>
      <c r="S23" s="210"/>
      <c r="T23" s="210"/>
    </row>
    <row r="24" spans="2:20" x14ac:dyDescent="0.25">
      <c r="B24" s="8"/>
      <c r="C24" s="8"/>
      <c r="D24" s="8"/>
      <c r="G24" s="8"/>
      <c r="I24" s="211"/>
      <c r="J24" s="210"/>
      <c r="K24" s="210"/>
      <c r="L24" s="210"/>
      <c r="M24" s="210"/>
      <c r="N24" s="208"/>
      <c r="O24" s="210"/>
      <c r="P24" s="210"/>
      <c r="Q24" s="210"/>
      <c r="R24" s="210"/>
      <c r="S24" s="210"/>
      <c r="T24" s="210"/>
    </row>
    <row r="25" spans="2:20" x14ac:dyDescent="0.25">
      <c r="B25" s="8"/>
      <c r="C25" s="8"/>
      <c r="D25" s="8"/>
      <c r="G25" s="8"/>
      <c r="I25" s="211"/>
      <c r="J25" s="210"/>
      <c r="K25" s="210"/>
      <c r="L25" s="210"/>
      <c r="M25" s="210"/>
      <c r="N25" s="208"/>
      <c r="O25" s="210"/>
      <c r="P25" s="210"/>
      <c r="Q25" s="210"/>
      <c r="R25" s="210"/>
      <c r="S25" s="210"/>
      <c r="T25" s="210"/>
    </row>
    <row r="26" spans="2:20" x14ac:dyDescent="0.25">
      <c r="B26" s="210"/>
      <c r="C26" s="210"/>
      <c r="D26" s="210"/>
      <c r="E26" s="211"/>
      <c r="F26" s="210"/>
      <c r="G26" s="210"/>
      <c r="H26" s="211"/>
      <c r="I26" s="211"/>
      <c r="J26" s="210"/>
      <c r="K26" s="210"/>
      <c r="L26" s="210"/>
      <c r="M26" s="210"/>
      <c r="N26" s="208"/>
      <c r="O26" s="210"/>
      <c r="P26" s="210"/>
      <c r="Q26" s="210"/>
      <c r="R26" s="210"/>
      <c r="S26" s="210"/>
      <c r="T26" s="210"/>
    </row>
    <row r="27" spans="2:20" x14ac:dyDescent="0.25">
      <c r="B27" s="210"/>
      <c r="C27" s="210"/>
      <c r="D27" s="210"/>
      <c r="E27" s="211"/>
      <c r="F27" s="210"/>
      <c r="G27" s="210"/>
      <c r="H27" s="211"/>
      <c r="I27" s="211"/>
      <c r="J27" s="210"/>
      <c r="K27" s="210"/>
      <c r="L27" s="210"/>
      <c r="M27" s="210"/>
      <c r="N27" s="208"/>
      <c r="O27" s="210"/>
      <c r="P27" s="210"/>
      <c r="Q27" s="210"/>
      <c r="R27" s="210"/>
      <c r="S27" s="210"/>
      <c r="T27" s="210"/>
    </row>
    <row r="28" spans="2:20" x14ac:dyDescent="0.25">
      <c r="B28" s="210"/>
      <c r="C28" s="210"/>
      <c r="D28" s="210"/>
      <c r="E28" s="211"/>
      <c r="F28" s="210"/>
      <c r="G28" s="210"/>
      <c r="H28" s="211"/>
      <c r="I28" s="211"/>
      <c r="J28" s="210"/>
      <c r="K28" s="210"/>
      <c r="L28" s="210"/>
      <c r="M28" s="210"/>
      <c r="N28" s="208"/>
      <c r="O28" s="210"/>
      <c r="P28" s="210"/>
      <c r="Q28" s="210"/>
      <c r="R28" s="210"/>
      <c r="S28" s="210"/>
      <c r="T28" s="210"/>
    </row>
    <row r="29" spans="2:20" x14ac:dyDescent="0.25">
      <c r="B29" s="210"/>
      <c r="C29" s="210"/>
      <c r="D29" s="210"/>
      <c r="E29" s="211"/>
      <c r="F29" s="210"/>
      <c r="G29" s="210"/>
      <c r="H29" s="211"/>
      <c r="I29" s="211"/>
      <c r="J29" s="210"/>
      <c r="K29" s="210"/>
      <c r="L29" s="210"/>
      <c r="M29" s="210"/>
      <c r="N29" s="208"/>
      <c r="O29" s="210"/>
      <c r="P29" s="210"/>
      <c r="Q29" s="210"/>
      <c r="R29" s="210"/>
      <c r="S29" s="210"/>
      <c r="T29" s="210"/>
    </row>
    <row r="30" spans="2:20" x14ac:dyDescent="0.25">
      <c r="B30" s="210"/>
      <c r="C30" s="210"/>
      <c r="D30" s="210"/>
      <c r="E30" s="211"/>
      <c r="F30" s="210"/>
      <c r="G30" s="210"/>
      <c r="H30" s="211"/>
      <c r="I30" s="211"/>
      <c r="J30" s="210"/>
      <c r="K30" s="210"/>
      <c r="L30" s="210"/>
      <c r="M30" s="210"/>
      <c r="N30" s="208"/>
      <c r="O30" s="210"/>
      <c r="P30" s="210"/>
      <c r="Q30" s="210"/>
      <c r="R30" s="210"/>
      <c r="S30" s="210"/>
      <c r="T30" s="210"/>
    </row>
    <row r="31" spans="2:20" x14ac:dyDescent="0.25">
      <c r="B31" s="210"/>
      <c r="C31" s="210"/>
      <c r="D31" s="210"/>
      <c r="E31" s="211"/>
      <c r="F31" s="210"/>
      <c r="G31" s="210"/>
      <c r="H31" s="211"/>
      <c r="I31" s="211"/>
      <c r="J31" s="210"/>
      <c r="K31" s="210"/>
      <c r="L31" s="210"/>
      <c r="M31" s="210"/>
      <c r="N31" s="208"/>
      <c r="O31" s="210"/>
      <c r="P31" s="210"/>
      <c r="Q31" s="210"/>
      <c r="R31" s="210"/>
      <c r="S31" s="210"/>
      <c r="T31" s="210"/>
    </row>
    <row r="32" spans="2:20" x14ac:dyDescent="0.25">
      <c r="B32" s="210"/>
      <c r="C32" s="210"/>
      <c r="D32" s="210"/>
      <c r="E32" s="211"/>
      <c r="F32" s="210"/>
      <c r="G32" s="210"/>
      <c r="H32" s="211"/>
      <c r="I32" s="211"/>
      <c r="J32" s="210"/>
      <c r="K32" s="210"/>
      <c r="L32" s="210"/>
      <c r="M32" s="210"/>
      <c r="N32" s="208"/>
      <c r="O32" s="210"/>
      <c r="P32" s="210"/>
      <c r="Q32" s="210"/>
      <c r="R32" s="210"/>
      <c r="S32" s="210"/>
      <c r="T32" s="210"/>
    </row>
    <row r="33" spans="2:20" x14ac:dyDescent="0.25">
      <c r="B33" s="210"/>
      <c r="C33" s="210"/>
      <c r="D33" s="210"/>
      <c r="E33" s="211"/>
      <c r="F33" s="210"/>
      <c r="G33" s="210"/>
      <c r="H33" s="211"/>
      <c r="I33" s="211"/>
      <c r="J33" s="210"/>
      <c r="K33" s="210"/>
      <c r="L33" s="210"/>
      <c r="M33" s="210"/>
      <c r="N33" s="208"/>
      <c r="O33" s="210"/>
      <c r="P33" s="210"/>
      <c r="Q33" s="210"/>
      <c r="R33" s="210"/>
      <c r="S33" s="210"/>
      <c r="T33" s="210"/>
    </row>
    <row r="34" spans="2:20" x14ac:dyDescent="0.25">
      <c r="B34" s="210"/>
      <c r="C34" s="210"/>
      <c r="D34" s="210"/>
      <c r="E34" s="211"/>
      <c r="F34" s="210"/>
      <c r="G34" s="210"/>
      <c r="H34" s="211"/>
      <c r="I34" s="211"/>
      <c r="J34" s="210"/>
      <c r="K34" s="210"/>
      <c r="L34" s="210"/>
      <c r="M34" s="210"/>
      <c r="N34" s="208"/>
      <c r="O34" s="210"/>
      <c r="P34" s="210"/>
      <c r="Q34" s="210"/>
      <c r="R34" s="210"/>
      <c r="S34" s="210"/>
      <c r="T34" s="210"/>
    </row>
    <row r="35" spans="2:20" x14ac:dyDescent="0.25">
      <c r="B35" s="210"/>
      <c r="C35" s="210"/>
      <c r="D35" s="210"/>
      <c r="E35" s="211"/>
      <c r="F35" s="210"/>
      <c r="G35" s="210"/>
      <c r="H35" s="211"/>
      <c r="I35" s="211"/>
      <c r="J35" s="210"/>
      <c r="K35" s="210"/>
      <c r="L35" s="210"/>
      <c r="M35" s="210"/>
      <c r="N35" s="208"/>
      <c r="O35" s="210"/>
      <c r="P35" s="210"/>
      <c r="Q35" s="210"/>
      <c r="R35" s="210"/>
      <c r="S35" s="210"/>
      <c r="T35" s="210"/>
    </row>
    <row r="36" spans="2:20" x14ac:dyDescent="0.25">
      <c r="B36" s="210"/>
      <c r="C36" s="210"/>
      <c r="D36" s="210"/>
      <c r="E36" s="211"/>
      <c r="F36" s="210"/>
      <c r="G36" s="210"/>
      <c r="H36" s="211"/>
      <c r="I36" s="211"/>
      <c r="J36" s="210"/>
      <c r="K36" s="210"/>
      <c r="L36" s="210"/>
      <c r="M36" s="210"/>
      <c r="N36" s="208"/>
      <c r="O36" s="210"/>
      <c r="P36" s="210"/>
      <c r="Q36" s="210"/>
      <c r="R36" s="210"/>
      <c r="S36" s="210"/>
      <c r="T36" s="210"/>
    </row>
    <row r="37" spans="2:20" x14ac:dyDescent="0.25">
      <c r="B37" s="210"/>
      <c r="C37" s="210"/>
      <c r="D37" s="210"/>
      <c r="E37" s="211"/>
      <c r="F37" s="210"/>
      <c r="G37" s="210"/>
      <c r="H37" s="211"/>
      <c r="I37" s="211"/>
      <c r="J37" s="210"/>
      <c r="K37" s="210"/>
      <c r="L37" s="210"/>
      <c r="M37" s="210"/>
      <c r="N37" s="208"/>
      <c r="O37" s="210"/>
      <c r="P37" s="210"/>
      <c r="Q37" s="210"/>
      <c r="R37" s="210"/>
      <c r="S37" s="210"/>
      <c r="T37" s="210"/>
    </row>
    <row r="38" spans="2:20" x14ac:dyDescent="0.25">
      <c r="B38" s="210"/>
      <c r="C38" s="210"/>
      <c r="D38" s="210"/>
      <c r="E38" s="211"/>
      <c r="F38" s="210"/>
      <c r="G38" s="210"/>
      <c r="H38" s="211"/>
      <c r="I38" s="211"/>
      <c r="J38" s="210"/>
      <c r="K38" s="210"/>
      <c r="L38" s="210"/>
      <c r="M38" s="210"/>
      <c r="N38" s="208"/>
      <c r="O38" s="210"/>
      <c r="P38" s="210"/>
      <c r="Q38" s="210"/>
      <c r="R38" s="210"/>
      <c r="S38" s="210"/>
      <c r="T38" s="210"/>
    </row>
    <row r="39" spans="2:20" x14ac:dyDescent="0.25">
      <c r="B39" s="210"/>
      <c r="C39" s="210"/>
      <c r="D39" s="210"/>
      <c r="E39" s="211"/>
      <c r="F39" s="210"/>
      <c r="G39" s="210"/>
      <c r="H39" s="211"/>
      <c r="I39" s="211"/>
      <c r="J39" s="210"/>
      <c r="K39" s="210"/>
      <c r="L39" s="210"/>
      <c r="M39" s="210"/>
      <c r="N39" s="208"/>
      <c r="O39" s="210"/>
      <c r="P39" s="210"/>
      <c r="Q39" s="210"/>
      <c r="R39" s="210"/>
      <c r="S39" s="210"/>
      <c r="T39" s="210"/>
    </row>
    <row r="40" spans="2:20" x14ac:dyDescent="0.25">
      <c r="B40" s="210"/>
      <c r="C40" s="210"/>
      <c r="D40" s="210"/>
      <c r="E40" s="211"/>
      <c r="F40" s="210"/>
      <c r="G40" s="210"/>
      <c r="H40" s="211"/>
      <c r="I40" s="211"/>
      <c r="J40" s="210"/>
      <c r="K40" s="210"/>
      <c r="L40" s="211"/>
      <c r="M40" s="211"/>
      <c r="N40" s="208"/>
      <c r="O40" s="210"/>
      <c r="P40" s="210"/>
      <c r="Q40" s="210"/>
      <c r="R40" s="210"/>
      <c r="S40" s="210"/>
      <c r="T40" s="210"/>
    </row>
    <row r="41" spans="2:20" x14ac:dyDescent="0.25">
      <c r="B41" s="210"/>
      <c r="C41" s="210"/>
      <c r="D41" s="210"/>
      <c r="E41" s="211"/>
      <c r="F41" s="210"/>
      <c r="G41" s="210"/>
      <c r="H41" s="211"/>
      <c r="I41" s="211"/>
      <c r="J41" s="210"/>
      <c r="K41" s="210"/>
      <c r="L41" s="211"/>
      <c r="M41" s="211"/>
      <c r="N41" s="208"/>
      <c r="O41" s="210"/>
      <c r="P41" s="210"/>
      <c r="Q41" s="210"/>
      <c r="R41" s="210"/>
      <c r="S41" s="210"/>
      <c r="T41" s="210"/>
    </row>
    <row r="42" spans="2:20" x14ac:dyDescent="0.25">
      <c r="B42" s="210"/>
      <c r="C42" s="210"/>
      <c r="D42" s="210"/>
      <c r="E42" s="211"/>
      <c r="F42" s="210"/>
      <c r="G42" s="210"/>
      <c r="H42" s="211"/>
      <c r="I42" s="211"/>
      <c r="J42" s="210"/>
      <c r="K42" s="210"/>
      <c r="L42" s="8"/>
      <c r="M42" s="8"/>
      <c r="N42" s="208"/>
      <c r="O42" s="210"/>
      <c r="P42" s="8"/>
      <c r="Q42" s="8"/>
      <c r="R42" s="8"/>
      <c r="S42" s="8"/>
      <c r="T42" s="8"/>
    </row>
    <row r="43" spans="2:20" x14ac:dyDescent="0.25">
      <c r="B43" s="210"/>
      <c r="C43" s="210"/>
      <c r="D43" s="210"/>
      <c r="E43" s="211"/>
      <c r="F43" s="210"/>
      <c r="G43" s="210"/>
      <c r="H43" s="211"/>
      <c r="I43" s="211"/>
      <c r="J43" s="210"/>
      <c r="K43" s="210"/>
      <c r="L43" s="8"/>
      <c r="M43" s="8"/>
      <c r="N43" s="8"/>
      <c r="O43" s="8"/>
      <c r="P43" s="8"/>
      <c r="Q43" s="8"/>
      <c r="R43" s="8"/>
      <c r="S43" s="8"/>
      <c r="T43" s="8"/>
    </row>
    <row r="44" spans="2:20" x14ac:dyDescent="0.25">
      <c r="B44" s="210"/>
      <c r="C44" s="210"/>
      <c r="D44" s="210"/>
      <c r="E44" s="211"/>
      <c r="F44" s="210"/>
      <c r="G44" s="210"/>
      <c r="H44" s="211"/>
      <c r="I44" s="211"/>
      <c r="J44" s="210"/>
      <c r="K44" s="210"/>
      <c r="L44" s="8"/>
      <c r="M44" s="8"/>
      <c r="N44" s="8"/>
      <c r="O44" s="8"/>
      <c r="P44" s="8"/>
      <c r="Q44" s="8"/>
      <c r="R44" s="8"/>
      <c r="S44" s="8"/>
      <c r="T44" s="8"/>
    </row>
    <row r="45" spans="2:20" x14ac:dyDescent="0.25">
      <c r="B45" s="210"/>
      <c r="C45" s="210"/>
      <c r="D45" s="210"/>
      <c r="E45" s="211"/>
      <c r="F45" s="210"/>
      <c r="G45" s="210"/>
      <c r="H45" s="211"/>
      <c r="I45" s="211"/>
      <c r="J45" s="210"/>
      <c r="K45" s="210"/>
      <c r="L45" s="8"/>
      <c r="M45" s="8"/>
      <c r="N45" s="8"/>
      <c r="O45" s="8"/>
      <c r="P45" s="8"/>
      <c r="Q45" s="8"/>
      <c r="R45" s="8"/>
      <c r="S45" s="8"/>
      <c r="T45" s="8"/>
    </row>
    <row r="46" spans="2:20" x14ac:dyDescent="0.25">
      <c r="B46" s="210"/>
      <c r="C46" s="210"/>
      <c r="D46" s="210"/>
      <c r="E46" s="211"/>
      <c r="F46" s="210"/>
      <c r="G46" s="210"/>
      <c r="H46" s="211"/>
      <c r="I46" s="211"/>
      <c r="J46" s="210"/>
      <c r="K46" s="210"/>
      <c r="L46" s="8"/>
      <c r="M46" s="8"/>
      <c r="N46" s="8"/>
      <c r="O46" s="8"/>
      <c r="P46" s="8"/>
      <c r="Q46" s="8"/>
      <c r="R46" s="8"/>
      <c r="S46" s="8"/>
      <c r="T46" s="8"/>
    </row>
    <row r="47" spans="2:20" x14ac:dyDescent="0.25">
      <c r="B47" s="210"/>
      <c r="C47" s="210"/>
      <c r="D47" s="210"/>
      <c r="E47" s="211"/>
      <c r="F47" s="210"/>
      <c r="G47" s="210"/>
      <c r="H47" s="211"/>
      <c r="I47" s="211"/>
      <c r="J47" s="210"/>
      <c r="K47" s="210"/>
      <c r="L47" s="8"/>
      <c r="M47" s="8"/>
      <c r="N47" s="8"/>
      <c r="O47" s="8"/>
      <c r="P47" s="8"/>
      <c r="Q47" s="8"/>
      <c r="R47" s="8"/>
      <c r="S47" s="8"/>
      <c r="T47" s="8"/>
    </row>
    <row r="48" spans="2:20" x14ac:dyDescent="0.25">
      <c r="B48" s="210"/>
      <c r="C48" s="210"/>
      <c r="D48" s="210"/>
      <c r="E48" s="211"/>
      <c r="F48" s="210"/>
      <c r="G48" s="210"/>
      <c r="H48" s="211"/>
      <c r="I48" s="211"/>
      <c r="J48" s="210"/>
      <c r="K48" s="210"/>
      <c r="L48" s="8"/>
      <c r="M48" s="8"/>
      <c r="N48" s="8"/>
      <c r="O48" s="8"/>
      <c r="P48" s="8"/>
      <c r="Q48" s="8"/>
      <c r="R48" s="8"/>
      <c r="S48" s="8"/>
      <c r="T48" s="8"/>
    </row>
    <row r="49" spans="2:13" x14ac:dyDescent="0.25">
      <c r="B49" s="210"/>
      <c r="C49" s="210"/>
      <c r="D49" s="210"/>
      <c r="E49" s="211"/>
      <c r="F49" s="210"/>
      <c r="G49" s="210"/>
      <c r="H49" s="211"/>
      <c r="I49" s="211"/>
      <c r="J49" s="210"/>
      <c r="K49" s="210"/>
      <c r="L49" s="8"/>
      <c r="M49" s="8"/>
    </row>
    <row r="50" spans="2:13" x14ac:dyDescent="0.25">
      <c r="B50" s="210"/>
      <c r="C50" s="210"/>
      <c r="D50" s="210"/>
      <c r="E50" s="211"/>
      <c r="F50" s="210"/>
      <c r="G50" s="210"/>
      <c r="H50" s="211"/>
      <c r="I50" s="211"/>
      <c r="J50" s="210"/>
      <c r="K50" s="210"/>
      <c r="L50" s="8"/>
      <c r="M50" s="8"/>
    </row>
    <row r="51" spans="2:13" x14ac:dyDescent="0.25">
      <c r="B51" s="210"/>
      <c r="C51" s="210"/>
      <c r="D51" s="210"/>
      <c r="E51" s="211"/>
      <c r="F51" s="210"/>
      <c r="G51" s="210"/>
      <c r="H51" s="211"/>
      <c r="I51" s="211"/>
      <c r="J51" s="210"/>
      <c r="K51" s="210"/>
      <c r="L51" s="8"/>
      <c r="M51" s="8"/>
    </row>
    <row r="52" spans="2:13" x14ac:dyDescent="0.25">
      <c r="B52" s="210"/>
      <c r="C52" s="210"/>
      <c r="D52" s="210"/>
      <c r="E52" s="211"/>
      <c r="F52" s="210"/>
      <c r="G52" s="210"/>
      <c r="H52" s="211"/>
      <c r="I52" s="211"/>
      <c r="J52" s="210"/>
      <c r="K52" s="210"/>
      <c r="L52" s="8"/>
      <c r="M52" s="8"/>
    </row>
    <row r="53" spans="2:13" x14ac:dyDescent="0.25">
      <c r="B53" s="210"/>
      <c r="C53" s="210"/>
      <c r="D53" s="210"/>
      <c r="E53" s="211"/>
      <c r="F53" s="210"/>
      <c r="G53" s="210"/>
      <c r="H53" s="211"/>
      <c r="I53" s="211"/>
      <c r="J53" s="210"/>
      <c r="K53" s="210"/>
      <c r="L53" s="8"/>
      <c r="M53" s="8"/>
    </row>
    <row r="54" spans="2:13" x14ac:dyDescent="0.25">
      <c r="B54" s="210"/>
      <c r="C54" s="210"/>
      <c r="D54" s="210"/>
      <c r="E54" s="211"/>
      <c r="F54" s="210"/>
      <c r="G54" s="210"/>
      <c r="H54" s="211"/>
      <c r="I54" s="211"/>
      <c r="J54" s="210"/>
      <c r="K54" s="210"/>
      <c r="L54" s="8"/>
      <c r="M54" s="8"/>
    </row>
    <row r="55" spans="2:13" x14ac:dyDescent="0.25">
      <c r="B55" s="210"/>
      <c r="C55" s="210"/>
      <c r="D55" s="210"/>
      <c r="E55" s="211"/>
      <c r="F55" s="210"/>
      <c r="G55" s="210"/>
      <c r="H55" s="211"/>
      <c r="I55" s="211"/>
      <c r="J55" s="210"/>
      <c r="K55" s="210"/>
      <c r="L55" s="8"/>
      <c r="M55" s="8"/>
    </row>
    <row r="56" spans="2:13" x14ac:dyDescent="0.25">
      <c r="B56" s="210"/>
      <c r="C56" s="210"/>
      <c r="D56" s="210"/>
      <c r="E56" s="211"/>
      <c r="F56" s="210"/>
      <c r="G56" s="210"/>
      <c r="H56" s="211"/>
      <c r="I56" s="211"/>
      <c r="J56" s="210"/>
      <c r="K56" s="210"/>
      <c r="L56" s="8"/>
      <c r="M56" s="8"/>
    </row>
    <row r="57" spans="2:13" x14ac:dyDescent="0.25">
      <c r="B57" s="210"/>
      <c r="C57" s="210"/>
      <c r="D57" s="210"/>
      <c r="E57" s="211"/>
      <c r="F57" s="210"/>
      <c r="G57" s="210"/>
      <c r="H57" s="211"/>
      <c r="I57" s="211"/>
      <c r="J57" s="210"/>
      <c r="K57" s="210"/>
      <c r="L57" s="8"/>
      <c r="M57" s="8"/>
    </row>
    <row r="58" spans="2:13" x14ac:dyDescent="0.25">
      <c r="B58" s="210"/>
      <c r="C58" s="210"/>
      <c r="D58" s="210"/>
      <c r="E58" s="211"/>
      <c r="F58" s="210"/>
      <c r="G58" s="210"/>
      <c r="H58" s="211"/>
      <c r="I58" s="211"/>
      <c r="J58" s="210"/>
      <c r="K58" s="210"/>
      <c r="L58" s="8"/>
      <c r="M58" s="8"/>
    </row>
    <row r="59" spans="2:13" x14ac:dyDescent="0.25">
      <c r="B59" s="210"/>
      <c r="C59" s="210"/>
      <c r="D59" s="210"/>
      <c r="E59" s="211"/>
      <c r="F59" s="210"/>
      <c r="G59" s="210"/>
      <c r="H59" s="211"/>
      <c r="I59" s="211"/>
      <c r="J59" s="210"/>
      <c r="K59" s="210"/>
      <c r="L59" s="8"/>
      <c r="M59" s="8"/>
    </row>
    <row r="60" spans="2:13" x14ac:dyDescent="0.25">
      <c r="B60" s="210"/>
      <c r="C60" s="210"/>
      <c r="D60" s="210"/>
      <c r="E60" s="211"/>
      <c r="F60" s="210"/>
      <c r="G60" s="210"/>
      <c r="H60" s="211"/>
      <c r="I60" s="211"/>
      <c r="J60" s="210"/>
      <c r="K60" s="210"/>
      <c r="L60" s="8"/>
      <c r="M60" s="8"/>
    </row>
    <row r="61" spans="2:13" x14ac:dyDescent="0.25">
      <c r="B61" s="210"/>
      <c r="C61" s="210"/>
      <c r="D61" s="210"/>
      <c r="E61" s="211"/>
      <c r="F61" s="210"/>
      <c r="G61" s="210"/>
      <c r="H61" s="211"/>
      <c r="I61" s="211"/>
      <c r="J61" s="210"/>
      <c r="K61" s="210"/>
      <c r="L61" s="8"/>
      <c r="M61" s="8"/>
    </row>
    <row r="62" spans="2:13" x14ac:dyDescent="0.25">
      <c r="B62" s="210"/>
      <c r="C62" s="210"/>
      <c r="D62" s="210"/>
      <c r="E62" s="211"/>
      <c r="F62" s="210"/>
      <c r="G62" s="210"/>
      <c r="H62" s="211"/>
      <c r="I62" s="211"/>
      <c r="J62" s="210"/>
      <c r="K62" s="210"/>
      <c r="L62" s="197"/>
      <c r="M62" s="197"/>
    </row>
    <row r="63" spans="2:13" x14ac:dyDescent="0.25">
      <c r="B63" s="210"/>
      <c r="C63" s="210"/>
      <c r="D63" s="210"/>
      <c r="E63" s="211"/>
      <c r="F63" s="210"/>
      <c r="G63" s="210"/>
      <c r="H63" s="211"/>
      <c r="I63" s="211"/>
      <c r="J63" s="210"/>
      <c r="K63" s="210"/>
      <c r="L63" s="8"/>
      <c r="M63" s="8"/>
    </row>
    <row r="64" spans="2:13" x14ac:dyDescent="0.25">
      <c r="B64" s="210"/>
      <c r="C64" s="210"/>
      <c r="D64" s="210"/>
      <c r="E64" s="211"/>
      <c r="F64" s="210"/>
      <c r="G64" s="210"/>
      <c r="H64" s="211"/>
      <c r="I64" s="211"/>
      <c r="J64" s="210"/>
      <c r="K64" s="210"/>
      <c r="L64" s="8"/>
      <c r="M64" s="8"/>
    </row>
    <row r="65" spans="2:13" x14ac:dyDescent="0.25">
      <c r="B65" s="210"/>
      <c r="C65" s="210"/>
      <c r="D65" s="210"/>
      <c r="E65" s="211"/>
      <c r="F65" s="210"/>
      <c r="G65" s="210"/>
      <c r="H65" s="211"/>
      <c r="I65" s="211"/>
      <c r="J65" s="210"/>
      <c r="K65" s="210"/>
      <c r="L65" s="8"/>
      <c r="M65" s="8"/>
    </row>
    <row r="66" spans="2:13" x14ac:dyDescent="0.25">
      <c r="B66" s="210"/>
      <c r="C66" s="210"/>
      <c r="D66" s="210"/>
      <c r="E66" s="211"/>
      <c r="F66" s="210"/>
      <c r="G66" s="210"/>
      <c r="H66" s="211"/>
      <c r="I66" s="211"/>
      <c r="J66" s="210"/>
      <c r="K66" s="210"/>
      <c r="L66" s="8"/>
      <c r="M66" s="8"/>
    </row>
    <row r="67" spans="2:13" x14ac:dyDescent="0.25">
      <c r="B67" s="210"/>
      <c r="C67" s="210"/>
      <c r="D67" s="210"/>
      <c r="E67" s="211"/>
      <c r="F67" s="210"/>
      <c r="G67" s="210"/>
      <c r="H67" s="211"/>
      <c r="I67" s="211"/>
      <c r="J67" s="210"/>
      <c r="K67" s="210"/>
      <c r="L67" s="8"/>
      <c r="M67" s="8"/>
    </row>
    <row r="68" spans="2:13" x14ac:dyDescent="0.25">
      <c r="B68" s="210"/>
      <c r="C68" s="210"/>
      <c r="D68" s="210"/>
      <c r="E68" s="211"/>
      <c r="F68" s="210"/>
      <c r="G68" s="210"/>
      <c r="H68" s="211"/>
      <c r="I68" s="211"/>
      <c r="J68" s="210"/>
      <c r="K68" s="210"/>
      <c r="L68" s="8"/>
      <c r="M68" s="8"/>
    </row>
    <row r="69" spans="2:13" x14ac:dyDescent="0.25">
      <c r="B69" s="210"/>
      <c r="C69" s="210"/>
      <c r="D69" s="210"/>
      <c r="E69" s="211"/>
      <c r="F69" s="210"/>
      <c r="G69" s="210"/>
      <c r="H69" s="211"/>
      <c r="I69" s="211"/>
      <c r="J69" s="210"/>
      <c r="K69" s="210"/>
      <c r="L69" s="8"/>
      <c r="M69" s="8"/>
    </row>
    <row r="70" spans="2:13" x14ac:dyDescent="0.25">
      <c r="B70" s="210"/>
      <c r="C70" s="210"/>
      <c r="D70" s="210"/>
      <c r="E70" s="211"/>
      <c r="F70" s="210"/>
      <c r="G70" s="210"/>
      <c r="H70" s="211"/>
      <c r="I70" s="211"/>
      <c r="J70" s="210"/>
      <c r="K70" s="210"/>
      <c r="L70" s="8"/>
      <c r="M70" s="8"/>
    </row>
    <row r="71" spans="2:13" x14ac:dyDescent="0.25">
      <c r="B71" s="210"/>
      <c r="C71" s="210"/>
      <c r="D71" s="210"/>
      <c r="E71" s="211"/>
      <c r="F71" s="210"/>
      <c r="G71" s="210"/>
      <c r="H71" s="211"/>
      <c r="I71" s="211"/>
      <c r="J71" s="210"/>
      <c r="K71" s="210"/>
      <c r="L71" s="197"/>
      <c r="M71" s="197"/>
    </row>
    <row r="72" spans="2:13" x14ac:dyDescent="0.25">
      <c r="B72" s="210"/>
      <c r="C72" s="210"/>
      <c r="D72" s="210"/>
      <c r="E72" s="211"/>
      <c r="F72" s="210"/>
      <c r="G72" s="210"/>
      <c r="H72" s="211"/>
      <c r="I72" s="211"/>
      <c r="J72" s="210"/>
      <c r="K72" s="210"/>
      <c r="L72" s="8"/>
      <c r="M72" s="8"/>
    </row>
    <row r="73" spans="2:13" x14ac:dyDescent="0.25">
      <c r="B73" s="210"/>
      <c r="C73" s="210"/>
      <c r="D73" s="210"/>
      <c r="E73" s="211"/>
      <c r="F73" s="210"/>
      <c r="G73" s="210"/>
      <c r="H73" s="211"/>
      <c r="I73" s="211"/>
      <c r="J73" s="210"/>
      <c r="K73" s="210"/>
      <c r="L73" s="8"/>
      <c r="M73" s="8"/>
    </row>
    <row r="74" spans="2:13" x14ac:dyDescent="0.25">
      <c r="B74" s="210"/>
      <c r="C74" s="210"/>
      <c r="D74" s="210"/>
      <c r="E74" s="211"/>
      <c r="F74" s="210"/>
      <c r="G74" s="210"/>
      <c r="H74" s="211"/>
      <c r="I74" s="211"/>
      <c r="J74" s="210"/>
      <c r="K74" s="210"/>
      <c r="L74" s="8"/>
      <c r="M74" s="8"/>
    </row>
    <row r="75" spans="2:13" x14ac:dyDescent="0.25">
      <c r="B75" s="210"/>
      <c r="C75" s="210"/>
      <c r="D75" s="210"/>
      <c r="E75" s="211"/>
      <c r="F75" s="210"/>
      <c r="G75" s="210"/>
      <c r="H75" s="211"/>
      <c r="I75" s="211"/>
      <c r="J75" s="210"/>
      <c r="K75" s="210"/>
      <c r="L75" s="8"/>
      <c r="M75" s="8"/>
    </row>
    <row r="76" spans="2:13" x14ac:dyDescent="0.25">
      <c r="B76" s="210"/>
      <c r="C76" s="210"/>
      <c r="D76" s="210"/>
      <c r="E76" s="211"/>
      <c r="F76" s="210"/>
      <c r="G76" s="210"/>
      <c r="H76" s="211"/>
      <c r="I76" s="211"/>
      <c r="J76" s="210"/>
      <c r="K76" s="210"/>
      <c r="L76" s="8"/>
      <c r="M76" s="8"/>
    </row>
    <row r="77" spans="2:13" x14ac:dyDescent="0.25">
      <c r="B77" s="210"/>
      <c r="C77" s="210"/>
      <c r="D77" s="210"/>
      <c r="E77" s="211"/>
      <c r="F77" s="210"/>
      <c r="G77" s="210"/>
      <c r="H77" s="211"/>
      <c r="I77" s="211"/>
      <c r="J77" s="210"/>
      <c r="K77" s="210"/>
      <c r="L77" s="8"/>
      <c r="M77" s="8"/>
    </row>
    <row r="78" spans="2:13" x14ac:dyDescent="0.25">
      <c r="B78" s="210"/>
      <c r="C78" s="210"/>
      <c r="D78" s="210"/>
      <c r="E78" s="211"/>
      <c r="F78" s="210"/>
      <c r="G78" s="210"/>
      <c r="H78" s="211"/>
      <c r="I78" s="211"/>
      <c r="J78" s="210"/>
      <c r="K78" s="210"/>
      <c r="L78" s="8"/>
      <c r="M78" s="8"/>
    </row>
    <row r="79" spans="2:13" x14ac:dyDescent="0.25">
      <c r="B79" s="210"/>
      <c r="C79" s="210"/>
      <c r="D79" s="210"/>
      <c r="E79" s="211"/>
      <c r="F79" s="210"/>
      <c r="G79" s="210"/>
      <c r="H79" s="211"/>
      <c r="I79" s="211"/>
      <c r="J79" s="210"/>
      <c r="K79" s="210"/>
      <c r="L79" s="8"/>
      <c r="M79" s="8"/>
    </row>
    <row r="80" spans="2:13" x14ac:dyDescent="0.25">
      <c r="B80" s="210"/>
      <c r="C80" s="210"/>
      <c r="D80" s="210"/>
      <c r="E80" s="211"/>
      <c r="F80" s="210"/>
      <c r="G80" s="210"/>
      <c r="H80" s="211"/>
      <c r="I80" s="211"/>
      <c r="J80" s="210"/>
      <c r="K80" s="210"/>
      <c r="L80" s="8"/>
      <c r="M80" s="8"/>
    </row>
    <row r="81" spans="2:11" x14ac:dyDescent="0.25">
      <c r="B81" s="210"/>
      <c r="C81" s="210"/>
      <c r="D81" s="210"/>
      <c r="E81" s="211"/>
      <c r="F81" s="210"/>
      <c r="G81" s="210"/>
      <c r="H81" s="211"/>
      <c r="I81" s="211"/>
      <c r="J81" s="210"/>
      <c r="K81" s="210"/>
    </row>
    <row r="82" spans="2:11" x14ac:dyDescent="0.25">
      <c r="B82" s="210"/>
      <c r="C82" s="210"/>
      <c r="D82" s="210"/>
      <c r="E82" s="211"/>
      <c r="F82" s="210"/>
      <c r="G82" s="210"/>
      <c r="H82" s="211"/>
      <c r="I82" s="211"/>
      <c r="J82" s="210"/>
      <c r="K82" s="210"/>
    </row>
    <row r="83" spans="2:11" x14ac:dyDescent="0.25">
      <c r="B83" s="210"/>
      <c r="C83" s="210"/>
      <c r="D83" s="210"/>
      <c r="E83" s="211"/>
      <c r="F83" s="210"/>
      <c r="G83" s="210"/>
      <c r="H83" s="211"/>
      <c r="I83" s="211"/>
      <c r="J83" s="210"/>
      <c r="K83" s="210"/>
    </row>
    <row r="84" spans="2:11" x14ac:dyDescent="0.25">
      <c r="B84" s="210"/>
      <c r="C84" s="210"/>
      <c r="D84" s="210"/>
      <c r="E84" s="211"/>
      <c r="F84" s="210"/>
      <c r="G84" s="210"/>
      <c r="H84" s="211"/>
      <c r="I84" s="211"/>
      <c r="J84" s="210"/>
      <c r="K84" s="210"/>
    </row>
    <row r="85" spans="2:11" x14ac:dyDescent="0.25">
      <c r="B85" s="210"/>
      <c r="C85" s="210"/>
      <c r="D85" s="210"/>
      <c r="E85" s="211"/>
      <c r="F85" s="210"/>
      <c r="G85" s="210"/>
      <c r="H85" s="211"/>
      <c r="I85" s="211"/>
      <c r="J85" s="210"/>
      <c r="K85" s="210"/>
    </row>
    <row r="86" spans="2:11" x14ac:dyDescent="0.25">
      <c r="B86" s="210"/>
      <c r="C86" s="210"/>
      <c r="D86" s="210"/>
      <c r="E86" s="211"/>
      <c r="F86" s="210"/>
      <c r="G86" s="210"/>
      <c r="H86" s="211"/>
      <c r="I86" s="211"/>
      <c r="J86" s="210"/>
      <c r="K86" s="210"/>
    </row>
    <row r="87" spans="2:11" x14ac:dyDescent="0.25">
      <c r="B87" s="210"/>
      <c r="C87" s="210"/>
      <c r="D87" s="210"/>
      <c r="E87" s="211"/>
      <c r="F87" s="210"/>
      <c r="G87" s="210"/>
      <c r="H87" s="211"/>
      <c r="I87" s="211"/>
      <c r="J87" s="210"/>
      <c r="K87" s="210"/>
    </row>
    <row r="88" spans="2:11" x14ac:dyDescent="0.25">
      <c r="B88" s="210"/>
      <c r="C88" s="210"/>
      <c r="D88" s="210"/>
      <c r="E88" s="211"/>
      <c r="F88" s="210"/>
      <c r="G88" s="210"/>
      <c r="H88" s="211"/>
      <c r="I88" s="211"/>
      <c r="J88" s="210"/>
      <c r="K88" s="210"/>
    </row>
    <row r="89" spans="2:11" x14ac:dyDescent="0.25">
      <c r="B89" s="210"/>
      <c r="C89" s="210"/>
      <c r="D89" s="210"/>
      <c r="E89" s="211"/>
      <c r="F89" s="210"/>
      <c r="G89" s="210"/>
      <c r="H89" s="211"/>
      <c r="I89" s="211"/>
      <c r="J89" s="210"/>
      <c r="K89" s="210"/>
    </row>
    <row r="90" spans="2:11" x14ac:dyDescent="0.25">
      <c r="B90" s="210"/>
      <c r="C90" s="210"/>
      <c r="D90" s="210"/>
      <c r="E90" s="211"/>
      <c r="F90" s="210"/>
      <c r="G90" s="210"/>
      <c r="H90" s="211"/>
      <c r="I90" s="211"/>
      <c r="J90" s="210"/>
      <c r="K90" s="210"/>
    </row>
    <row r="91" spans="2:11" x14ac:dyDescent="0.25">
      <c r="B91" s="210"/>
      <c r="C91" s="210"/>
      <c r="D91" s="210"/>
      <c r="E91" s="211"/>
      <c r="F91" s="210"/>
      <c r="G91" s="210"/>
      <c r="H91" s="211"/>
      <c r="I91" s="211"/>
      <c r="J91" s="210"/>
      <c r="K91" s="210"/>
    </row>
    <row r="92" spans="2:11" x14ac:dyDescent="0.25">
      <c r="B92" s="210"/>
      <c r="C92" s="210"/>
      <c r="D92" s="210"/>
      <c r="E92" s="211"/>
      <c r="F92" s="210"/>
      <c r="G92" s="210"/>
      <c r="H92" s="211"/>
      <c r="I92" s="211"/>
      <c r="J92" s="210"/>
      <c r="K92" s="210"/>
    </row>
    <row r="93" spans="2:11" x14ac:dyDescent="0.25">
      <c r="B93" s="210"/>
      <c r="C93" s="210"/>
      <c r="D93" s="210"/>
      <c r="E93" s="211"/>
      <c r="F93" s="210"/>
      <c r="G93" s="210"/>
      <c r="H93" s="211"/>
      <c r="I93" s="211"/>
      <c r="J93" s="210"/>
      <c r="K93" s="210"/>
    </row>
    <row r="94" spans="2:11" x14ac:dyDescent="0.25">
      <c r="B94" s="210"/>
      <c r="C94" s="210"/>
      <c r="D94" s="210"/>
      <c r="E94" s="211"/>
      <c r="F94" s="210"/>
      <c r="G94" s="210"/>
      <c r="H94" s="211"/>
      <c r="I94" s="211"/>
      <c r="J94" s="210"/>
      <c r="K94" s="210"/>
    </row>
    <row r="95" spans="2:11" x14ac:dyDescent="0.25">
      <c r="B95" s="210"/>
      <c r="C95" s="210"/>
      <c r="D95" s="210"/>
      <c r="E95" s="211"/>
      <c r="F95" s="210"/>
      <c r="G95" s="210"/>
      <c r="H95" s="211"/>
      <c r="I95" s="211"/>
      <c r="J95" s="210"/>
      <c r="K95" s="210"/>
    </row>
    <row r="96" spans="2:11" x14ac:dyDescent="0.25">
      <c r="B96" s="210"/>
      <c r="C96" s="210"/>
      <c r="D96" s="210"/>
      <c r="E96" s="211"/>
      <c r="F96" s="210"/>
      <c r="G96" s="210"/>
      <c r="H96" s="211"/>
      <c r="I96" s="211"/>
      <c r="J96" s="210"/>
      <c r="K96" s="210"/>
    </row>
    <row r="97" spans="2:11" x14ac:dyDescent="0.25">
      <c r="B97" s="210"/>
      <c r="C97" s="210"/>
      <c r="D97" s="210"/>
      <c r="E97" s="211"/>
      <c r="F97" s="210"/>
      <c r="G97" s="210"/>
      <c r="H97" s="211"/>
      <c r="I97" s="211"/>
      <c r="J97" s="210"/>
      <c r="K97" s="210"/>
    </row>
    <row r="98" spans="2:11" x14ac:dyDescent="0.25">
      <c r="B98" s="210"/>
      <c r="C98" s="210"/>
      <c r="D98" s="210"/>
      <c r="E98" s="211"/>
      <c r="F98" s="210"/>
      <c r="G98" s="210"/>
      <c r="H98" s="211"/>
      <c r="I98" s="211"/>
      <c r="J98" s="210"/>
      <c r="K98" s="210"/>
    </row>
    <row r="99" spans="2:11" x14ac:dyDescent="0.25">
      <c r="B99" s="210"/>
      <c r="C99" s="210"/>
      <c r="D99" s="210"/>
      <c r="E99" s="211"/>
      <c r="F99" s="210"/>
      <c r="G99" s="210"/>
      <c r="H99" s="211"/>
      <c r="I99" s="211"/>
      <c r="J99" s="210"/>
      <c r="K99" s="210"/>
    </row>
    <row r="100" spans="2:11" x14ac:dyDescent="0.25">
      <c r="B100" s="210"/>
      <c r="C100" s="210"/>
      <c r="D100" s="210"/>
      <c r="E100" s="211"/>
      <c r="F100" s="210"/>
      <c r="G100" s="210"/>
      <c r="H100" s="211"/>
      <c r="I100" s="211"/>
      <c r="J100" s="210"/>
      <c r="K100" s="210"/>
    </row>
    <row r="101" spans="2:11" x14ac:dyDescent="0.25">
      <c r="B101" s="210"/>
      <c r="C101" s="210"/>
      <c r="D101" s="210"/>
      <c r="E101" s="211"/>
      <c r="F101" s="210"/>
      <c r="G101" s="210"/>
      <c r="H101" s="211"/>
      <c r="I101" s="211"/>
      <c r="J101" s="210"/>
      <c r="K101" s="210"/>
    </row>
    <row r="102" spans="2:11" x14ac:dyDescent="0.25">
      <c r="B102" s="210"/>
      <c r="C102" s="210"/>
      <c r="D102" s="210"/>
      <c r="E102" s="211"/>
      <c r="F102" s="210"/>
      <c r="G102" s="210"/>
      <c r="H102" s="211"/>
      <c r="I102" s="211"/>
      <c r="J102" s="210"/>
      <c r="K102" s="210"/>
    </row>
    <row r="103" spans="2:11" x14ac:dyDescent="0.25">
      <c r="B103" s="210"/>
      <c r="C103" s="210"/>
      <c r="D103" s="210"/>
      <c r="E103" s="211"/>
      <c r="F103" s="210"/>
      <c r="G103" s="210"/>
      <c r="H103" s="211"/>
      <c r="I103" s="211"/>
      <c r="J103" s="210"/>
      <c r="K103" s="210"/>
    </row>
    <row r="104" spans="2:11" x14ac:dyDescent="0.25">
      <c r="B104" s="210"/>
      <c r="C104" s="210"/>
      <c r="D104" s="210"/>
      <c r="E104" s="211"/>
      <c r="F104" s="210"/>
      <c r="G104" s="210"/>
      <c r="H104" s="211"/>
      <c r="I104" s="211"/>
      <c r="J104" s="210"/>
      <c r="K104" s="210"/>
    </row>
    <row r="105" spans="2:11" x14ac:dyDescent="0.25">
      <c r="B105" s="210"/>
      <c r="C105" s="210"/>
      <c r="D105" s="210"/>
      <c r="E105" s="211"/>
      <c r="F105" s="210"/>
      <c r="G105" s="210"/>
      <c r="H105" s="211"/>
      <c r="I105" s="211"/>
      <c r="J105" s="210"/>
      <c r="K105" s="210"/>
    </row>
    <row r="106" spans="2:11" x14ac:dyDescent="0.25">
      <c r="B106" s="210"/>
      <c r="C106" s="210"/>
      <c r="D106" s="210"/>
      <c r="E106" s="211"/>
      <c r="F106" s="210"/>
      <c r="G106" s="210"/>
      <c r="H106" s="211"/>
      <c r="I106" s="211"/>
      <c r="J106" s="210"/>
      <c r="K106" s="210"/>
    </row>
    <row r="107" spans="2:11" x14ac:dyDescent="0.25">
      <c r="B107" s="210"/>
      <c r="C107" s="210"/>
      <c r="D107" s="210"/>
      <c r="E107" s="211"/>
      <c r="F107" s="210"/>
      <c r="G107" s="210"/>
      <c r="H107" s="211"/>
      <c r="I107" s="211"/>
      <c r="J107" s="210"/>
      <c r="K107" s="210"/>
    </row>
    <row r="108" spans="2:11" x14ac:dyDescent="0.25">
      <c r="B108" s="210"/>
      <c r="C108" s="210"/>
      <c r="D108" s="210"/>
      <c r="E108" s="211"/>
      <c r="F108" s="210"/>
      <c r="G108" s="210"/>
      <c r="H108" s="211"/>
      <c r="I108" s="211"/>
      <c r="J108" s="210"/>
      <c r="K108" s="210"/>
    </row>
    <row r="109" spans="2:11" x14ac:dyDescent="0.25">
      <c r="B109" s="210"/>
      <c r="C109" s="210"/>
      <c r="D109" s="210"/>
      <c r="E109" s="211"/>
      <c r="F109" s="210"/>
      <c r="G109" s="210"/>
      <c r="H109" s="211"/>
      <c r="I109" s="211"/>
      <c r="J109" s="210"/>
      <c r="K109" s="210"/>
    </row>
    <row r="110" spans="2:11" x14ac:dyDescent="0.25">
      <c r="B110" s="210"/>
      <c r="C110" s="210"/>
      <c r="D110" s="210"/>
      <c r="E110" s="211"/>
      <c r="F110" s="210"/>
      <c r="G110" s="210"/>
      <c r="H110" s="211"/>
      <c r="I110" s="211"/>
      <c r="J110" s="210"/>
      <c r="K110" s="210"/>
    </row>
    <row r="111" spans="2:11" x14ac:dyDescent="0.25">
      <c r="B111" s="210"/>
      <c r="C111" s="210"/>
      <c r="D111" s="210"/>
      <c r="E111" s="211"/>
      <c r="F111" s="210"/>
      <c r="G111" s="210"/>
      <c r="H111" s="211"/>
      <c r="I111" s="211"/>
      <c r="J111" s="210"/>
      <c r="K111" s="210"/>
    </row>
    <row r="112" spans="2:11" x14ac:dyDescent="0.25">
      <c r="B112" s="210"/>
      <c r="C112" s="210"/>
      <c r="D112" s="210"/>
      <c r="E112" s="211"/>
      <c r="F112" s="210"/>
      <c r="G112" s="210"/>
      <c r="H112" s="211"/>
      <c r="I112" s="211"/>
      <c r="J112" s="210"/>
      <c r="K112" s="210"/>
    </row>
    <row r="113" spans="2:11" x14ac:dyDescent="0.25">
      <c r="B113" s="210"/>
      <c r="C113" s="210"/>
      <c r="D113" s="210"/>
      <c r="E113" s="211"/>
      <c r="F113" s="210"/>
      <c r="G113" s="210"/>
      <c r="H113" s="211"/>
      <c r="I113" s="211"/>
      <c r="J113" s="210"/>
      <c r="K113" s="210"/>
    </row>
  </sheetData>
  <phoneticPr fontId="58" type="noConversion"/>
  <pageMargins left="0.19685" right="0.19685" top="0.19685" bottom="0.19685" header="0" footer="0"/>
  <pageSetup paperSize="9" orientation="portrait" r:id="rId1"/>
  <headerFooter alignWithMargins="0">
    <oddFooter>&amp;C&amp;1#&amp;"Calibri"&amp;10&amp;K000000OFFICIAL-SENSITIVE</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dimension ref="A1:O100"/>
  <sheetViews>
    <sheetView showGridLines="0" topLeftCell="B1" zoomScaleNormal="100" workbookViewId="0">
      <selection activeCell="B1" sqref="B1"/>
    </sheetView>
  </sheetViews>
  <sheetFormatPr defaultColWidth="5.54296875" defaultRowHeight="12.5" x14ac:dyDescent="0.25"/>
  <cols>
    <col min="1" max="1" width="0" style="478" hidden="1" customWidth="1"/>
    <col min="4" max="4" width="5.54296875" style="196"/>
    <col min="5" max="5" width="5.54296875" style="194"/>
    <col min="8" max="8" width="5.54296875" style="195"/>
    <col min="9" max="9" width="5.54296875" style="159"/>
    <col min="11" max="11" width="5.54296875" style="196"/>
    <col min="12" max="12" width="5.54296875" style="194"/>
    <col min="14" max="14" width="5.54296875" style="195"/>
    <col min="15" max="15" width="5.54296875" style="159"/>
  </cols>
  <sheetData>
    <row r="1" spans="1:15" ht="17.5" x14ac:dyDescent="0.35">
      <c r="A1" s="478" t="s">
        <v>8901</v>
      </c>
      <c r="B1" s="485"/>
      <c r="C1" s="478"/>
      <c r="D1" s="488" t="s">
        <v>8902</v>
      </c>
      <c r="E1" s="494"/>
      <c r="F1" s="478"/>
      <c r="G1" s="478"/>
      <c r="H1" s="478"/>
      <c r="I1" s="478"/>
      <c r="J1" s="478"/>
      <c r="K1" s="495"/>
      <c r="L1" s="494"/>
      <c r="M1" s="478"/>
      <c r="N1" s="478"/>
      <c r="O1" s="478"/>
    </row>
    <row r="2" spans="1:15" ht="13" x14ac:dyDescent="0.3">
      <c r="A2" s="478" t="s">
        <v>8903</v>
      </c>
      <c r="C2" s="478"/>
      <c r="D2" s="488"/>
      <c r="E2" s="494"/>
      <c r="F2" s="478"/>
      <c r="G2" s="478"/>
      <c r="H2" s="478"/>
      <c r="I2" s="478"/>
      <c r="J2" s="2293" t="s">
        <v>8904</v>
      </c>
      <c r="K2" s="2294"/>
      <c r="L2" s="2294"/>
      <c r="M2" s="2294"/>
      <c r="N2" s="2294"/>
      <c r="O2" s="2295"/>
    </row>
    <row r="3" spans="1:15" ht="13" x14ac:dyDescent="0.3">
      <c r="A3" s="478" t="s">
        <v>8905</v>
      </c>
      <c r="C3" s="478" t="s">
        <v>8906</v>
      </c>
      <c r="D3" s="488"/>
      <c r="E3" s="494"/>
      <c r="F3" s="478"/>
      <c r="G3" s="478"/>
      <c r="H3" s="478"/>
      <c r="I3" s="478"/>
      <c r="J3" s="473"/>
      <c r="K3" s="458"/>
      <c r="L3" s="458"/>
      <c r="M3" s="458"/>
      <c r="N3" s="458"/>
      <c r="O3" s="478"/>
    </row>
    <row r="4" spans="1:15" x14ac:dyDescent="0.25">
      <c r="A4" s="478" t="s">
        <v>8907</v>
      </c>
      <c r="E4" s="370"/>
      <c r="I4" s="178"/>
      <c r="L4" s="370"/>
      <c r="O4" s="178"/>
    </row>
    <row r="5" spans="1:15" x14ac:dyDescent="0.25">
      <c r="A5" s="478" t="s">
        <v>8908</v>
      </c>
      <c r="E5" s="370"/>
      <c r="I5" s="178"/>
      <c r="L5" s="370"/>
      <c r="O5" s="178"/>
    </row>
    <row r="6" spans="1:15" x14ac:dyDescent="0.25">
      <c r="A6" s="478" t="s">
        <v>8909</v>
      </c>
      <c r="E6" s="370"/>
      <c r="I6" s="178"/>
      <c r="L6" s="370"/>
      <c r="O6" s="178"/>
    </row>
    <row r="7" spans="1:15" x14ac:dyDescent="0.25">
      <c r="A7" s="478" t="s">
        <v>8910</v>
      </c>
      <c r="E7" s="370"/>
      <c r="I7" s="178"/>
      <c r="L7" s="370"/>
      <c r="O7" s="178"/>
    </row>
    <row r="8" spans="1:15" x14ac:dyDescent="0.25">
      <c r="A8" s="478" t="s">
        <v>8911</v>
      </c>
      <c r="E8" s="370"/>
      <c r="I8" s="178"/>
      <c r="L8" s="370"/>
      <c r="O8" s="178"/>
    </row>
    <row r="9" spans="1:15" x14ac:dyDescent="0.25">
      <c r="A9" s="478" t="s">
        <v>8912</v>
      </c>
      <c r="E9" s="370"/>
      <c r="I9" s="178"/>
      <c r="L9" s="370"/>
      <c r="O9" s="178"/>
    </row>
    <row r="10" spans="1:15" x14ac:dyDescent="0.25">
      <c r="A10" s="478" t="s">
        <v>8913</v>
      </c>
      <c r="E10" s="370"/>
      <c r="I10" s="178"/>
      <c r="L10" s="370"/>
      <c r="O10" s="178"/>
    </row>
    <row r="11" spans="1:15" x14ac:dyDescent="0.25">
      <c r="A11" s="478" t="s">
        <v>8914</v>
      </c>
      <c r="E11" s="370"/>
      <c r="I11" s="178"/>
      <c r="L11" s="370"/>
      <c r="O11" s="178"/>
    </row>
    <row r="12" spans="1:15" x14ac:dyDescent="0.25">
      <c r="A12" s="478" t="s">
        <v>8915</v>
      </c>
      <c r="E12" s="370"/>
      <c r="I12" s="178"/>
      <c r="L12" s="370"/>
      <c r="O12" s="178"/>
    </row>
    <row r="13" spans="1:15" x14ac:dyDescent="0.25">
      <c r="A13" s="478" t="s">
        <v>8916</v>
      </c>
      <c r="E13" s="370"/>
      <c r="I13" s="178"/>
      <c r="L13" s="370"/>
      <c r="O13" s="178"/>
    </row>
    <row r="14" spans="1:15" x14ac:dyDescent="0.25">
      <c r="A14" s="478" t="s">
        <v>8917</v>
      </c>
      <c r="E14" s="370"/>
      <c r="I14" s="178"/>
      <c r="L14" s="370"/>
      <c r="O14" s="178"/>
    </row>
    <row r="15" spans="1:15" x14ac:dyDescent="0.25">
      <c r="A15" s="478" t="s">
        <v>8918</v>
      </c>
      <c r="E15" s="370"/>
      <c r="I15" s="178"/>
      <c r="L15" s="370"/>
      <c r="O15" s="178"/>
    </row>
    <row r="16" spans="1:15" x14ac:dyDescent="0.25">
      <c r="A16" s="478" t="s">
        <v>8919</v>
      </c>
      <c r="E16" s="370"/>
      <c r="I16" s="178"/>
      <c r="L16" s="370"/>
      <c r="O16" s="178"/>
    </row>
    <row r="17" spans="1:1" x14ac:dyDescent="0.25">
      <c r="A17" s="478" t="s">
        <v>8920</v>
      </c>
    </row>
    <row r="18" spans="1:1" x14ac:dyDescent="0.25">
      <c r="A18" s="478" t="s">
        <v>8921</v>
      </c>
    </row>
    <row r="19" spans="1:1" x14ac:dyDescent="0.25">
      <c r="A19" s="478" t="s">
        <v>8922</v>
      </c>
    </row>
    <row r="20" spans="1:1" x14ac:dyDescent="0.25">
      <c r="A20" s="478" t="s">
        <v>8923</v>
      </c>
    </row>
    <row r="21" spans="1:1" x14ac:dyDescent="0.25">
      <c r="A21" s="478" t="s">
        <v>8924</v>
      </c>
    </row>
    <row r="22" spans="1:1" x14ac:dyDescent="0.25">
      <c r="A22" s="478" t="s">
        <v>8925</v>
      </c>
    </row>
    <row r="23" spans="1:1" x14ac:dyDescent="0.25">
      <c r="A23" s="478" t="s">
        <v>8926</v>
      </c>
    </row>
    <row r="24" spans="1:1" x14ac:dyDescent="0.25">
      <c r="A24" s="478" t="s">
        <v>8927</v>
      </c>
    </row>
    <row r="25" spans="1:1" x14ac:dyDescent="0.25">
      <c r="A25" s="478" t="s">
        <v>8928</v>
      </c>
    </row>
    <row r="26" spans="1:1" x14ac:dyDescent="0.25">
      <c r="A26" s="478" t="s">
        <v>8929</v>
      </c>
    </row>
    <row r="27" spans="1:1" x14ac:dyDescent="0.25">
      <c r="A27" s="478" t="s">
        <v>8930</v>
      </c>
    </row>
    <row r="28" spans="1:1" x14ac:dyDescent="0.25">
      <c r="A28" s="478" t="s">
        <v>8931</v>
      </c>
    </row>
    <row r="29" spans="1:1" x14ac:dyDescent="0.25">
      <c r="A29" s="478" t="s">
        <v>8932</v>
      </c>
    </row>
    <row r="30" spans="1:1" x14ac:dyDescent="0.25">
      <c r="A30" s="478" t="s">
        <v>8933</v>
      </c>
    </row>
    <row r="31" spans="1:1" x14ac:dyDescent="0.25">
      <c r="A31" s="478" t="s">
        <v>8934</v>
      </c>
    </row>
    <row r="32" spans="1:1" x14ac:dyDescent="0.25">
      <c r="A32" s="478" t="s">
        <v>8935</v>
      </c>
    </row>
    <row r="33" spans="1:1" x14ac:dyDescent="0.25">
      <c r="A33" s="478" t="s">
        <v>8936</v>
      </c>
    </row>
    <row r="34" spans="1:1" x14ac:dyDescent="0.25">
      <c r="A34" s="478" t="s">
        <v>8937</v>
      </c>
    </row>
    <row r="35" spans="1:1" x14ac:dyDescent="0.25">
      <c r="A35" s="478" t="s">
        <v>8938</v>
      </c>
    </row>
    <row r="36" spans="1:1" x14ac:dyDescent="0.25">
      <c r="A36" s="478" t="s">
        <v>8939</v>
      </c>
    </row>
    <row r="37" spans="1:1" x14ac:dyDescent="0.25">
      <c r="A37" s="478" t="s">
        <v>8940</v>
      </c>
    </row>
    <row r="38" spans="1:1" x14ac:dyDescent="0.25">
      <c r="A38" s="478" t="s">
        <v>8941</v>
      </c>
    </row>
    <row r="39" spans="1:1" x14ac:dyDescent="0.25">
      <c r="A39" s="478" t="s">
        <v>8942</v>
      </c>
    </row>
    <row r="40" spans="1:1" x14ac:dyDescent="0.25">
      <c r="A40" s="478" t="s">
        <v>8943</v>
      </c>
    </row>
    <row r="41" spans="1:1" x14ac:dyDescent="0.25">
      <c r="A41" s="478" t="s">
        <v>8944</v>
      </c>
    </row>
    <row r="42" spans="1:1" x14ac:dyDescent="0.25">
      <c r="A42" s="478" t="s">
        <v>8945</v>
      </c>
    </row>
    <row r="43" spans="1:1" x14ac:dyDescent="0.25">
      <c r="A43" s="478" t="s">
        <v>8946</v>
      </c>
    </row>
    <row r="44" spans="1:1" x14ac:dyDescent="0.25">
      <c r="A44" s="478" t="s">
        <v>8947</v>
      </c>
    </row>
    <row r="45" spans="1:1" x14ac:dyDescent="0.25">
      <c r="A45" s="478" t="s">
        <v>8948</v>
      </c>
    </row>
    <row r="46" spans="1:1" x14ac:dyDescent="0.25">
      <c r="A46" s="478" t="s">
        <v>8949</v>
      </c>
    </row>
    <row r="47" spans="1:1" x14ac:dyDescent="0.25">
      <c r="A47" s="478" t="s">
        <v>8950</v>
      </c>
    </row>
    <row r="48" spans="1:1" x14ac:dyDescent="0.25">
      <c r="A48" s="478" t="s">
        <v>8951</v>
      </c>
    </row>
    <row r="49" spans="1:1" x14ac:dyDescent="0.25">
      <c r="A49" s="478" t="s">
        <v>8952</v>
      </c>
    </row>
    <row r="50" spans="1:1" x14ac:dyDescent="0.25">
      <c r="A50" s="478" t="s">
        <v>8953</v>
      </c>
    </row>
    <row r="51" spans="1:1" x14ac:dyDescent="0.25">
      <c r="A51" s="478" t="s">
        <v>8954</v>
      </c>
    </row>
    <row r="52" spans="1:1" x14ac:dyDescent="0.25">
      <c r="A52" s="478" t="s">
        <v>8955</v>
      </c>
    </row>
    <row r="53" spans="1:1" x14ac:dyDescent="0.25">
      <c r="A53" s="478" t="s">
        <v>8956</v>
      </c>
    </row>
    <row r="54" spans="1:1" x14ac:dyDescent="0.25">
      <c r="A54" s="478" t="s">
        <v>8957</v>
      </c>
    </row>
    <row r="55" spans="1:1" x14ac:dyDescent="0.25">
      <c r="A55" s="478" t="s">
        <v>8958</v>
      </c>
    </row>
    <row r="56" spans="1:1" x14ac:dyDescent="0.25">
      <c r="A56" s="478" t="s">
        <v>8959</v>
      </c>
    </row>
    <row r="57" spans="1:1" x14ac:dyDescent="0.25">
      <c r="A57" s="478" t="s">
        <v>8960</v>
      </c>
    </row>
    <row r="58" spans="1:1" x14ac:dyDescent="0.25">
      <c r="A58" s="478" t="s">
        <v>8961</v>
      </c>
    </row>
    <row r="59" spans="1:1" x14ac:dyDescent="0.25">
      <c r="A59" s="478" t="s">
        <v>8962</v>
      </c>
    </row>
    <row r="60" spans="1:1" x14ac:dyDescent="0.25">
      <c r="A60" s="478" t="s">
        <v>8963</v>
      </c>
    </row>
    <row r="61" spans="1:1" x14ac:dyDescent="0.25">
      <c r="A61" s="478" t="s">
        <v>8964</v>
      </c>
    </row>
    <row r="62" spans="1:1" x14ac:dyDescent="0.25">
      <c r="A62" s="478" t="s">
        <v>8965</v>
      </c>
    </row>
    <row r="63" spans="1:1" x14ac:dyDescent="0.25">
      <c r="A63" s="478" t="s">
        <v>8966</v>
      </c>
    </row>
    <row r="64" spans="1:1" x14ac:dyDescent="0.25">
      <c r="A64" s="478" t="s">
        <v>8967</v>
      </c>
    </row>
    <row r="65" spans="1:1" x14ac:dyDescent="0.25">
      <c r="A65" s="478" t="s">
        <v>8968</v>
      </c>
    </row>
    <row r="66" spans="1:1" x14ac:dyDescent="0.25">
      <c r="A66" s="478" t="s">
        <v>8969</v>
      </c>
    </row>
    <row r="67" spans="1:1" x14ac:dyDescent="0.25">
      <c r="A67" s="478" t="s">
        <v>8970</v>
      </c>
    </row>
    <row r="68" spans="1:1" x14ac:dyDescent="0.25">
      <c r="A68" s="478" t="s">
        <v>8971</v>
      </c>
    </row>
    <row r="69" spans="1:1" x14ac:dyDescent="0.25">
      <c r="A69" s="478" t="s">
        <v>8972</v>
      </c>
    </row>
    <row r="70" spans="1:1" x14ac:dyDescent="0.25">
      <c r="A70" s="478" t="s">
        <v>8973</v>
      </c>
    </row>
    <row r="71" spans="1:1" x14ac:dyDescent="0.25">
      <c r="A71" s="478" t="s">
        <v>8974</v>
      </c>
    </row>
    <row r="72" spans="1:1" x14ac:dyDescent="0.25">
      <c r="A72" s="478" t="s">
        <v>8975</v>
      </c>
    </row>
    <row r="73" spans="1:1" x14ac:dyDescent="0.25">
      <c r="A73" s="478" t="s">
        <v>8976</v>
      </c>
    </row>
    <row r="74" spans="1:1" x14ac:dyDescent="0.25">
      <c r="A74" s="478" t="s">
        <v>8977</v>
      </c>
    </row>
    <row r="75" spans="1:1" x14ac:dyDescent="0.25">
      <c r="A75" s="478" t="s">
        <v>8978</v>
      </c>
    </row>
    <row r="76" spans="1:1" x14ac:dyDescent="0.25">
      <c r="A76" s="478" t="s">
        <v>8979</v>
      </c>
    </row>
    <row r="77" spans="1:1" x14ac:dyDescent="0.25">
      <c r="A77" s="478" t="s">
        <v>8980</v>
      </c>
    </row>
    <row r="78" spans="1:1" x14ac:dyDescent="0.25">
      <c r="A78" s="478" t="s">
        <v>8981</v>
      </c>
    </row>
    <row r="79" spans="1:1" x14ac:dyDescent="0.25">
      <c r="A79" s="478" t="s">
        <v>8982</v>
      </c>
    </row>
    <row r="80" spans="1:1" x14ac:dyDescent="0.25">
      <c r="A80" s="478" t="s">
        <v>8983</v>
      </c>
    </row>
    <row r="81" spans="1:1" x14ac:dyDescent="0.25">
      <c r="A81" s="478" t="s">
        <v>8984</v>
      </c>
    </row>
    <row r="82" spans="1:1" x14ac:dyDescent="0.25">
      <c r="A82" s="478" t="s">
        <v>8985</v>
      </c>
    </row>
    <row r="83" spans="1:1" x14ac:dyDescent="0.25">
      <c r="A83" s="478" t="s">
        <v>8986</v>
      </c>
    </row>
    <row r="84" spans="1:1" x14ac:dyDescent="0.25">
      <c r="A84" s="478" t="s">
        <v>8987</v>
      </c>
    </row>
    <row r="85" spans="1:1" x14ac:dyDescent="0.25">
      <c r="A85" s="478" t="s">
        <v>8988</v>
      </c>
    </row>
    <row r="86" spans="1:1" x14ac:dyDescent="0.25">
      <c r="A86" s="478" t="s">
        <v>8989</v>
      </c>
    </row>
    <row r="87" spans="1:1" x14ac:dyDescent="0.25">
      <c r="A87" s="478" t="s">
        <v>8990</v>
      </c>
    </row>
    <row r="88" spans="1:1" x14ac:dyDescent="0.25">
      <c r="A88" s="478" t="s">
        <v>8991</v>
      </c>
    </row>
    <row r="89" spans="1:1" x14ac:dyDescent="0.25">
      <c r="A89" s="478" t="s">
        <v>8992</v>
      </c>
    </row>
    <row r="90" spans="1:1" x14ac:dyDescent="0.25">
      <c r="A90" s="478" t="s">
        <v>8993</v>
      </c>
    </row>
    <row r="91" spans="1:1" x14ac:dyDescent="0.25">
      <c r="A91" s="478" t="s">
        <v>8994</v>
      </c>
    </row>
    <row r="92" spans="1:1" x14ac:dyDescent="0.25">
      <c r="A92" s="478" t="s">
        <v>8995</v>
      </c>
    </row>
    <row r="93" spans="1:1" x14ac:dyDescent="0.25">
      <c r="A93" s="478" t="s">
        <v>8996</v>
      </c>
    </row>
    <row r="94" spans="1:1" x14ac:dyDescent="0.25">
      <c r="A94" s="478" t="s">
        <v>8997</v>
      </c>
    </row>
    <row r="95" spans="1:1" x14ac:dyDescent="0.25">
      <c r="A95" s="478" t="s">
        <v>8998</v>
      </c>
    </row>
    <row r="96" spans="1:1" x14ac:dyDescent="0.25">
      <c r="A96" s="478" t="s">
        <v>8999</v>
      </c>
    </row>
    <row r="97" spans="1:1" x14ac:dyDescent="0.25">
      <c r="A97" s="478" t="s">
        <v>9000</v>
      </c>
    </row>
    <row r="98" spans="1:1" x14ac:dyDescent="0.25">
      <c r="A98" s="478" t="s">
        <v>9001</v>
      </c>
    </row>
    <row r="99" spans="1:1" x14ac:dyDescent="0.25">
      <c r="A99" s="478" t="s">
        <v>9002</v>
      </c>
    </row>
    <row r="100" spans="1:1" x14ac:dyDescent="0.25">
      <c r="A100" s="478" t="s">
        <v>9003</v>
      </c>
    </row>
  </sheetData>
  <phoneticPr fontId="58" type="noConversion"/>
  <pageMargins left="0.19685" right="0.19685" top="0.19685" bottom="0.19685" header="0" footer="0"/>
  <pageSetup paperSize="9" orientation="portrait" r:id="rId1"/>
  <headerFooter alignWithMargins="0">
    <oddFooter>&amp;C&amp;1#&amp;"Calibri"&amp;10&amp;K000000OFFICIAL-SENSITIVE</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4"/>
  <dimension ref="A1:V102"/>
  <sheetViews>
    <sheetView showGridLines="0" topLeftCell="B1" workbookViewId="0">
      <selection activeCell="B1" sqref="B1"/>
    </sheetView>
  </sheetViews>
  <sheetFormatPr defaultColWidth="9.1796875" defaultRowHeight="11.5" x14ac:dyDescent="0.25"/>
  <cols>
    <col min="1" max="1" width="8.1796875" style="8" hidden="1" customWidth="1"/>
    <col min="2" max="2" width="32.1796875" style="8" customWidth="1"/>
    <col min="3" max="3" width="14.81640625" style="8" customWidth="1"/>
    <col min="4" max="4" width="6.453125" style="11" customWidth="1"/>
    <col min="5" max="5" width="16" style="8" customWidth="1"/>
    <col min="6" max="6" width="18.1796875" style="8" customWidth="1"/>
    <col min="7" max="7" width="6.1796875" style="11" customWidth="1"/>
    <col min="8" max="8" width="16" style="8" customWidth="1"/>
    <col min="9" max="9" width="18.1796875" style="8" customWidth="1"/>
    <col min="10" max="10" width="6.54296875" style="11" customWidth="1"/>
    <col min="11" max="11" width="16" style="8" customWidth="1"/>
    <col min="12" max="12" width="6.1796875" style="8" bestFit="1" customWidth="1"/>
    <col min="13" max="13" width="4.54296875" style="8" customWidth="1"/>
    <col min="14" max="14" width="9.1796875" style="8"/>
    <col min="15" max="15" width="5.81640625" style="8" customWidth="1"/>
    <col min="16" max="17" width="9.1796875" style="8"/>
    <col min="18" max="18" width="6.81640625" style="8" customWidth="1"/>
    <col min="19" max="19" width="9.1796875" style="8"/>
    <col min="20" max="20" width="3.81640625" style="8" customWidth="1"/>
    <col min="21" max="21" width="7.1796875" style="8" customWidth="1"/>
    <col min="22" max="16384" width="9.1796875" style="8"/>
  </cols>
  <sheetData>
    <row r="1" spans="1:13" ht="20" x14ac:dyDescent="0.4">
      <c r="A1" s="2029" t="s">
        <v>9004</v>
      </c>
      <c r="B1" s="489" t="s">
        <v>9005</v>
      </c>
      <c r="M1" s="210"/>
    </row>
    <row r="2" spans="1:13" ht="12" x14ac:dyDescent="0.3">
      <c r="A2" s="2029" t="s">
        <v>9006</v>
      </c>
      <c r="B2" s="23"/>
      <c r="M2" s="210"/>
    </row>
    <row r="3" spans="1:13" x14ac:dyDescent="0.25">
      <c r="A3" s="2029" t="s">
        <v>9007</v>
      </c>
      <c r="B3" s="147" t="s">
        <v>9008</v>
      </c>
      <c r="G3" s="2144" t="s">
        <v>7019</v>
      </c>
      <c r="H3" s="2205"/>
      <c r="I3" s="2296"/>
      <c r="J3" s="2205"/>
      <c r="K3" s="2147"/>
      <c r="M3" s="210"/>
    </row>
    <row r="4" spans="1:13" x14ac:dyDescent="0.25">
      <c r="A4" s="2029" t="s">
        <v>9009</v>
      </c>
      <c r="E4" s="142" t="str">
        <f>"from "&amp;LUN&amp;LUN!C13</f>
        <v>from LUN8</v>
      </c>
      <c r="M4" s="210"/>
    </row>
    <row r="5" spans="1:13" x14ac:dyDescent="0.25">
      <c r="A5" s="2029" t="s">
        <v>9010</v>
      </c>
      <c r="B5" s="139" t="s">
        <v>9011</v>
      </c>
      <c r="D5" s="2210" t="str">
        <f>A1</f>
        <v>c21.1</v>
      </c>
      <c r="E5" s="2129">
        <f>TRUNC(LUN!D14,0)</f>
        <v>0</v>
      </c>
      <c r="F5" s="197" t="s">
        <v>7029</v>
      </c>
      <c r="M5" s="210"/>
    </row>
    <row r="6" spans="1:13" x14ac:dyDescent="0.25">
      <c r="A6" s="2029" t="s">
        <v>9012</v>
      </c>
      <c r="C6" s="139"/>
      <c r="D6" s="187"/>
      <c r="M6" s="210"/>
    </row>
    <row r="7" spans="1:13" x14ac:dyDescent="0.25">
      <c r="A7" s="2029" t="s">
        <v>9013</v>
      </c>
      <c r="B7" s="139"/>
      <c r="E7" s="142" t="str">
        <f>LUN&amp;LUN!G7&amp;" + "&amp;LUN&amp;LUN!G10&amp;" + "&amp;LUN&amp;LUN!G13</f>
        <v>LUN15 + LUN16 + LUN17</v>
      </c>
      <c r="M7" s="210"/>
    </row>
    <row r="8" spans="1:13" x14ac:dyDescent="0.25">
      <c r="A8" s="2029" t="s">
        <v>9014</v>
      </c>
      <c r="B8" s="139" t="s">
        <v>9015</v>
      </c>
      <c r="D8" s="2206" t="str">
        <f>A2</f>
        <v>c21.2</v>
      </c>
      <c r="E8" s="2129">
        <f>TRUNC(LUN!H8,0)+TRUNC(LUN!H11,0)+TRUNC(LUN!H14,0)</f>
        <v>0</v>
      </c>
      <c r="F8" s="197" t="s">
        <v>7029</v>
      </c>
      <c r="M8" s="210"/>
    </row>
    <row r="9" spans="1:13" x14ac:dyDescent="0.25">
      <c r="A9" s="2029" t="s">
        <v>9016</v>
      </c>
      <c r="B9" s="139"/>
      <c r="D9" s="150"/>
      <c r="E9" s="78"/>
      <c r="F9" s="197"/>
      <c r="M9" s="210"/>
    </row>
    <row r="10" spans="1:13" x14ac:dyDescent="0.25">
      <c r="A10" s="2029" t="s">
        <v>9017</v>
      </c>
      <c r="B10" s="139"/>
      <c r="D10" s="78"/>
      <c r="E10" s="38" t="s">
        <v>7043</v>
      </c>
      <c r="F10" s="197"/>
      <c r="M10" s="210"/>
    </row>
    <row r="11" spans="1:13" x14ac:dyDescent="0.25">
      <c r="A11" s="2029" t="s">
        <v>9018</v>
      </c>
      <c r="B11" s="139"/>
      <c r="D11" s="2206" t="str">
        <f>A3</f>
        <v>c21.3</v>
      </c>
      <c r="E11" s="2129">
        <v>0</v>
      </c>
      <c r="F11" s="197"/>
      <c r="M11" s="210"/>
    </row>
    <row r="12" spans="1:13" x14ac:dyDescent="0.25">
      <c r="A12" s="2029" t="s">
        <v>9019</v>
      </c>
      <c r="B12" s="139"/>
      <c r="D12" s="8"/>
      <c r="F12" s="197"/>
      <c r="M12" s="210"/>
    </row>
    <row r="13" spans="1:13" x14ac:dyDescent="0.25">
      <c r="B13" s="139"/>
      <c r="D13" s="78"/>
      <c r="E13" s="38" t="s">
        <v>7043</v>
      </c>
      <c r="F13" s="197"/>
      <c r="M13" s="210"/>
    </row>
    <row r="14" spans="1:13" x14ac:dyDescent="0.25">
      <c r="B14" s="139"/>
      <c r="D14" s="2206" t="str">
        <f>A4</f>
        <v>c21.4</v>
      </c>
      <c r="E14" s="2129">
        <v>0</v>
      </c>
      <c r="F14" s="197"/>
      <c r="M14" s="210"/>
    </row>
    <row r="15" spans="1:13" x14ac:dyDescent="0.25">
      <c r="B15" s="139"/>
      <c r="D15" s="150"/>
      <c r="E15" s="78"/>
      <c r="F15" s="197"/>
      <c r="M15" s="210"/>
    </row>
    <row r="16" spans="1:13" x14ac:dyDescent="0.25">
      <c r="E16" s="9" t="str">
        <f>D5&amp;" + "&amp;D8</f>
        <v>c21.1 + c21.2</v>
      </c>
      <c r="M16" s="210"/>
    </row>
    <row r="17" spans="1:22" x14ac:dyDescent="0.25">
      <c r="B17" s="139" t="s">
        <v>9020</v>
      </c>
      <c r="D17" s="2206" t="str">
        <f>A5</f>
        <v>c21.5</v>
      </c>
      <c r="E17" s="2129">
        <f>E5+E8</f>
        <v>0</v>
      </c>
      <c r="M17" s="210"/>
    </row>
    <row r="18" spans="1:22" x14ac:dyDescent="0.25">
      <c r="M18" s="210"/>
    </row>
    <row r="19" spans="1:22" x14ac:dyDescent="0.25">
      <c r="E19" s="142" t="str">
        <f>"from "&amp;LUN&amp;LUN!K7</f>
        <v>from LUN52</v>
      </c>
      <c r="H19" s="9" t="str">
        <f>"lower of "&amp;D17&amp;" and "&amp;D20</f>
        <v>lower of c21.5 and c21.6</v>
      </c>
      <c r="M19" s="210"/>
    </row>
    <row r="20" spans="1:22" x14ac:dyDescent="0.25">
      <c r="B20" s="139" t="s">
        <v>9021</v>
      </c>
      <c r="D20" s="2210" t="str">
        <f>A6</f>
        <v>c21.6</v>
      </c>
      <c r="E20" s="2129">
        <f>TRUNC(LUN!L8,0)</f>
        <v>0</v>
      </c>
      <c r="F20" s="197" t="s">
        <v>7029</v>
      </c>
      <c r="G20" s="2210" t="str">
        <f>A7</f>
        <v>c21.7</v>
      </c>
      <c r="H20" s="2129">
        <f>MIN(E17,E20)</f>
        <v>0</v>
      </c>
      <c r="M20" s="210"/>
    </row>
    <row r="21" spans="1:22" x14ac:dyDescent="0.25">
      <c r="C21" s="38"/>
      <c r="E21" s="78"/>
      <c r="H21" s="78"/>
      <c r="K21" s="215"/>
      <c r="M21" s="210"/>
    </row>
    <row r="22" spans="1:22" x14ac:dyDescent="0.25">
      <c r="E22" s="9" t="str">
        <f>"from "&amp;'Taxable (c5)'!BA149</f>
        <v>from c5.76</v>
      </c>
      <c r="H22" s="9" t="str">
        <f>"lower of "&amp;G20&amp;" and "&amp;D23</f>
        <v>lower of c21.7 and c21.8</v>
      </c>
      <c r="J22" s="78"/>
      <c r="K22" s="38" t="s">
        <v>7043</v>
      </c>
      <c r="M22" s="210"/>
    </row>
    <row r="23" spans="1:22" x14ac:dyDescent="0.25">
      <c r="B23" s="139" t="s">
        <v>9022</v>
      </c>
      <c r="D23" s="2210" t="str">
        <f>A8</f>
        <v>c21.8</v>
      </c>
      <c r="E23" s="2127">
        <f>'Taxable (c5)'!BB149</f>
        <v>0</v>
      </c>
      <c r="G23" s="2210" t="str">
        <f>A9</f>
        <v>c21.9</v>
      </c>
      <c r="H23" s="2129">
        <f>MIN(H20,E23)</f>
        <v>0</v>
      </c>
      <c r="J23" s="2210" t="str">
        <f>A10</f>
        <v>c21.10</v>
      </c>
      <c r="K23" s="2207">
        <v>0</v>
      </c>
      <c r="L23" s="444"/>
      <c r="M23" s="210"/>
    </row>
    <row r="24" spans="1:22" x14ac:dyDescent="0.25">
      <c r="K24" s="215"/>
      <c r="M24" s="210"/>
    </row>
    <row r="25" spans="1:22" x14ac:dyDescent="0.25">
      <c r="E25" s="9" t="str">
        <f>"lower of "&amp;D20&amp;" and "&amp;D23</f>
        <v>lower of c21.6 and c21.8</v>
      </c>
      <c r="H25" s="9" t="str">
        <f>D26&amp;" minus "&amp;G23</f>
        <v>c21.11 minus c21.9</v>
      </c>
      <c r="M25" s="210"/>
    </row>
    <row r="26" spans="1:22" x14ac:dyDescent="0.25">
      <c r="B26" s="139" t="s">
        <v>8348</v>
      </c>
      <c r="D26" s="2210" t="str">
        <f>A11</f>
        <v>c21.11</v>
      </c>
      <c r="E26" s="2129">
        <f>MIN(E20,E23)</f>
        <v>0</v>
      </c>
      <c r="G26" s="2210" t="str">
        <f>A12</f>
        <v>c21.12</v>
      </c>
      <c r="H26" s="2129">
        <f>MAX(0,E26-H23)</f>
        <v>0</v>
      </c>
      <c r="M26" s="210"/>
      <c r="N26" s="38"/>
      <c r="O26" s="83"/>
      <c r="P26" s="78"/>
      <c r="R26" s="83"/>
      <c r="S26" s="78"/>
      <c r="U26" s="83"/>
      <c r="V26" s="35"/>
    </row>
    <row r="27" spans="1:22" x14ac:dyDescent="0.25">
      <c r="E27" s="78"/>
      <c r="H27" s="9" t="str">
        <f>"Copy to box "&amp;'Div Cr (c10)'!F9</f>
        <v>Copy to box c10.2</v>
      </c>
      <c r="M27" s="210"/>
      <c r="N27" s="38"/>
      <c r="O27" s="83"/>
      <c r="P27" s="78"/>
      <c r="R27" s="83"/>
      <c r="S27" s="78"/>
      <c r="U27" s="83"/>
      <c r="V27" s="35"/>
    </row>
    <row r="28" spans="1:22" x14ac:dyDescent="0.25">
      <c r="A28" s="2297"/>
      <c r="B28" s="2297"/>
      <c r="C28" s="2297"/>
      <c r="D28" s="2298"/>
      <c r="E28" s="2297"/>
      <c r="F28" s="2297"/>
      <c r="G28" s="2298"/>
      <c r="H28" s="2297"/>
      <c r="I28" s="2297"/>
      <c r="J28" s="2298"/>
      <c r="K28" s="2297"/>
      <c r="L28" s="2297"/>
      <c r="M28" s="210"/>
      <c r="N28" s="38"/>
      <c r="O28" s="83"/>
      <c r="P28" s="78"/>
      <c r="R28" s="83"/>
      <c r="S28" s="78"/>
      <c r="U28" s="83"/>
      <c r="V28" s="35"/>
    </row>
    <row r="29" spans="1:22" x14ac:dyDescent="0.25">
      <c r="A29" s="210"/>
      <c r="B29" s="210"/>
      <c r="C29" s="210"/>
      <c r="D29" s="936"/>
      <c r="E29" s="210"/>
      <c r="F29" s="210"/>
      <c r="G29" s="936"/>
      <c r="H29" s="210"/>
      <c r="I29" s="210"/>
      <c r="J29" s="936"/>
      <c r="K29" s="210"/>
      <c r="L29" s="210"/>
      <c r="M29" s="210"/>
      <c r="N29" s="38"/>
      <c r="O29" s="83"/>
      <c r="P29" s="78"/>
      <c r="R29" s="83"/>
      <c r="S29" s="78"/>
      <c r="U29" s="83"/>
      <c r="V29" s="35"/>
    </row>
    <row r="30" spans="1:22" x14ac:dyDescent="0.25">
      <c r="A30" s="210"/>
      <c r="B30" s="210"/>
      <c r="C30" s="210"/>
      <c r="D30" s="936"/>
      <c r="E30" s="210"/>
      <c r="F30" s="210"/>
      <c r="G30" s="2144" t="s">
        <v>7019</v>
      </c>
      <c r="H30" s="2205"/>
      <c r="I30" s="2296"/>
      <c r="J30" s="2205"/>
      <c r="K30" s="2147"/>
      <c r="L30" s="210"/>
      <c r="M30" s="210"/>
      <c r="N30" s="38"/>
      <c r="O30" s="83"/>
      <c r="P30" s="78"/>
      <c r="R30" s="83"/>
      <c r="S30" s="78"/>
      <c r="U30" s="83"/>
      <c r="V30" s="35"/>
    </row>
    <row r="31" spans="1:22" x14ac:dyDescent="0.25">
      <c r="B31" s="147" t="s">
        <v>9023</v>
      </c>
      <c r="M31" s="210"/>
      <c r="O31" s="11"/>
      <c r="R31" s="11"/>
      <c r="U31" s="11"/>
    </row>
    <row r="32" spans="1:22" x14ac:dyDescent="0.25">
      <c r="M32" s="210"/>
      <c r="R32" s="11"/>
    </row>
    <row r="33" spans="1:18" ht="12" x14ac:dyDescent="0.3">
      <c r="B33" s="277" t="s">
        <v>9024</v>
      </c>
      <c r="M33" s="210"/>
      <c r="O33" s="11"/>
      <c r="R33" s="11"/>
    </row>
    <row r="34" spans="1:18" x14ac:dyDescent="0.25">
      <c r="A34" s="2029" t="s">
        <v>9025</v>
      </c>
      <c r="B34" s="139"/>
      <c r="E34" s="36" t="str">
        <f>"from "&amp;'Taxable (c5)'!BA312</f>
        <v>from c5.84</v>
      </c>
      <c r="H34" s="9" t="str">
        <f>"lower of "&amp;'tax it (c6)'!V108&amp;" and "&amp;D35</f>
        <v>lower of c6.44 and c22.1</v>
      </c>
      <c r="K34" s="36" t="str">
        <f>G35&amp;" × "&amp;'Status (c3a)'!AD45</f>
        <v>c22.2 × c3a.6</v>
      </c>
      <c r="M34" s="210"/>
      <c r="O34" s="11"/>
      <c r="R34" s="11"/>
    </row>
    <row r="35" spans="1:18" x14ac:dyDescent="0.25">
      <c r="A35" s="2029" t="s">
        <v>9026</v>
      </c>
      <c r="B35" s="139" t="s">
        <v>9027</v>
      </c>
      <c r="D35" s="2206" t="str">
        <f>A34</f>
        <v>c22.1</v>
      </c>
      <c r="E35" s="2129">
        <f>'Taxable (c5)'!BB312</f>
        <v>0</v>
      </c>
      <c r="F35" s="36"/>
      <c r="G35" s="2206" t="str">
        <f>A35</f>
        <v>c22.2</v>
      </c>
      <c r="H35" s="2129">
        <f>MIN('tax it (c6)'!W108,E35)</f>
        <v>0</v>
      </c>
      <c r="I35" s="9"/>
      <c r="J35" s="2206" t="str">
        <f>A36</f>
        <v>c22.3</v>
      </c>
      <c r="K35" s="2207">
        <f>TRUNC((H35*'Status (c3a)'!AE45)+0.0099,2)</f>
        <v>0</v>
      </c>
      <c r="L35" s="197" t="s">
        <v>8206</v>
      </c>
      <c r="M35" s="210"/>
    </row>
    <row r="36" spans="1:18" x14ac:dyDescent="0.25">
      <c r="A36" s="2029" t="s">
        <v>9028</v>
      </c>
    </row>
    <row r="37" spans="1:18" x14ac:dyDescent="0.25">
      <c r="A37" s="2029" t="s">
        <v>9029</v>
      </c>
      <c r="B37" s="458" t="s">
        <v>9030</v>
      </c>
      <c r="E37" s="9" t="str">
        <f>D35&amp;" minus "&amp;G35</f>
        <v>c22.1 minus c22.2</v>
      </c>
      <c r="H37" s="9" t="str">
        <f>"lower of "&amp;'tax it (c6)'!V104&amp;" and "&amp;D38</f>
        <v>lower of c6.43.2 and c22.3a</v>
      </c>
      <c r="K37" s="9" t="str">
        <f>G38&amp;" × "&amp;'Status (c3a)'!AA45</f>
        <v>c22.3b × c3a.5a</v>
      </c>
    </row>
    <row r="38" spans="1:18" x14ac:dyDescent="0.25">
      <c r="A38" s="2029" t="s">
        <v>9031</v>
      </c>
      <c r="B38" s="458" t="s">
        <v>9032</v>
      </c>
      <c r="D38" s="2206" t="str">
        <f>A37</f>
        <v>c22.3a</v>
      </c>
      <c r="E38" s="2129">
        <f>MAX(0,E35-H35)</f>
        <v>0</v>
      </c>
      <c r="G38" s="2206" t="str">
        <f>A38</f>
        <v>c22.3b</v>
      </c>
      <c r="H38" s="2129">
        <f>MIN('tax it (c6)'!W104,E38)</f>
        <v>0</v>
      </c>
      <c r="J38" s="2206" t="str">
        <f>A39</f>
        <v>c22.3c</v>
      </c>
      <c r="K38" s="2207">
        <f>TRUNC((H38*'Status (c3a)'!AB45)+0.0099,2)</f>
        <v>0</v>
      </c>
      <c r="L38" s="197" t="s">
        <v>8206</v>
      </c>
    </row>
    <row r="39" spans="1:18" x14ac:dyDescent="0.25">
      <c r="A39" s="2029" t="s">
        <v>9033</v>
      </c>
      <c r="B39" s="458" t="s">
        <v>9034</v>
      </c>
      <c r="M39" s="210"/>
    </row>
    <row r="40" spans="1:18" x14ac:dyDescent="0.25">
      <c r="A40" s="2029" t="s">
        <v>9035</v>
      </c>
      <c r="B40" s="458" t="s">
        <v>9036</v>
      </c>
      <c r="E40" s="9" t="str">
        <f>D38&amp;" minus "&amp;G38</f>
        <v>c22.3a minus c22.3b</v>
      </c>
      <c r="H40" s="9" t="str">
        <f>"lower of "&amp;'tax it (c6)'!V95&amp;" and "&amp;D41</f>
        <v>lower of c6.43 and c22.4</v>
      </c>
      <c r="K40" s="36" t="str">
        <f>G41&amp;" × "&amp;'Status (c3a)'!X45</f>
        <v>c22.5 × c3a.5</v>
      </c>
      <c r="M40" s="210"/>
    </row>
    <row r="41" spans="1:18" x14ac:dyDescent="0.25">
      <c r="A41" s="2029" t="s">
        <v>9037</v>
      </c>
      <c r="B41" s="458" t="s">
        <v>9038</v>
      </c>
      <c r="D41" s="2206" t="str">
        <f>A40</f>
        <v>c22.4</v>
      </c>
      <c r="E41" s="2129">
        <f>MAX(0,E38-H38)</f>
        <v>0</v>
      </c>
      <c r="G41" s="2206" t="str">
        <f>A41</f>
        <v>c22.5</v>
      </c>
      <c r="H41" s="2129">
        <f>MIN('tax it (c6)'!W95,E41)</f>
        <v>0</v>
      </c>
      <c r="J41" s="2206" t="str">
        <f>A42</f>
        <v>c22.6</v>
      </c>
      <c r="K41" s="2207">
        <f>TRUNC((H41*'Status (c3a)'!Y45)+0.0099,2)</f>
        <v>0</v>
      </c>
      <c r="L41" s="197" t="s">
        <v>8206</v>
      </c>
    </row>
    <row r="42" spans="1:18" x14ac:dyDescent="0.25">
      <c r="A42" s="2029" t="s">
        <v>9039</v>
      </c>
      <c r="D42" s="150"/>
      <c r="E42" s="78"/>
      <c r="G42" s="150"/>
      <c r="H42" s="78"/>
      <c r="J42" s="150"/>
      <c r="K42" s="35"/>
      <c r="L42" s="197"/>
    </row>
    <row r="43" spans="1:18" x14ac:dyDescent="0.25">
      <c r="A43" s="2029" t="s">
        <v>9040</v>
      </c>
      <c r="E43" s="36" t="str">
        <f>D41&amp;" minus "&amp;G41</f>
        <v>c22.4 minus c22.5</v>
      </c>
      <c r="H43" s="9" t="str">
        <f>"lower of "&amp;'tax it (c6)'!V77&amp;" and "&amp;D44</f>
        <v>lower of c6.41b and c22.7</v>
      </c>
      <c r="K43" s="36" t="str">
        <f>G44&amp;" × SIR_rate ("&amp;SIR_rate*100&amp;"%)"</f>
        <v>c22.8 × SIR_rate (21%)</v>
      </c>
      <c r="L43" s="197"/>
    </row>
    <row r="44" spans="1:18" x14ac:dyDescent="0.25">
      <c r="A44" s="2029" t="s">
        <v>9041</v>
      </c>
      <c r="D44" s="2206" t="str">
        <f>A43</f>
        <v>c22.7</v>
      </c>
      <c r="E44" s="2129">
        <f>MAX(0,E41-H41)</f>
        <v>0</v>
      </c>
      <c r="F44" s="36"/>
      <c r="G44" s="2206" t="str">
        <f>A44</f>
        <v>c22.8</v>
      </c>
      <c r="H44" s="2129">
        <f>MIN('tax it (c6)'!W77,'Notional (c21c23)'!E44)</f>
        <v>0</v>
      </c>
      <c r="I44" s="9"/>
      <c r="J44" s="2206" t="str">
        <f>A45</f>
        <v>c22.9</v>
      </c>
      <c r="K44" s="2207">
        <f>TRUNC((H44*SIR_rate)+0.0099,2)</f>
        <v>0</v>
      </c>
      <c r="L44" s="197" t="s">
        <v>8206</v>
      </c>
    </row>
    <row r="45" spans="1:18" x14ac:dyDescent="0.25">
      <c r="A45" s="2029" t="s">
        <v>9042</v>
      </c>
      <c r="L45" s="197"/>
    </row>
    <row r="46" spans="1:18" x14ac:dyDescent="0.25">
      <c r="A46" s="2029" t="s">
        <v>9043</v>
      </c>
      <c r="E46" s="9" t="str">
        <f>D44&amp;" minus "&amp;G44</f>
        <v>c22.7 minus c22.8</v>
      </c>
      <c r="H46" s="9" t="str">
        <f>"lower of "&amp;'tax it (c6)'!V66&amp;" and "&amp;D47</f>
        <v>lower of c6.40 and c22.10</v>
      </c>
      <c r="K46" s="36" t="str">
        <f>G47&amp;" × "&amp;'Status (c3a)'!L45</f>
        <v>c22.11 × c3a.4</v>
      </c>
    </row>
    <row r="47" spans="1:18" x14ac:dyDescent="0.25">
      <c r="A47" s="2029" t="s">
        <v>9044</v>
      </c>
      <c r="D47" s="2206" t="str">
        <f>A46</f>
        <v>c22.10</v>
      </c>
      <c r="E47" s="2129">
        <f>MAX(0,E44-H44)</f>
        <v>0</v>
      </c>
      <c r="G47" s="2206" t="str">
        <f>A47</f>
        <v>c22.11</v>
      </c>
      <c r="H47" s="2129">
        <f>MIN('tax it (c6)'!W66,'Notional (c21c23)'!E47)</f>
        <v>0</v>
      </c>
      <c r="J47" s="2206" t="str">
        <f>A48</f>
        <v>c22.12</v>
      </c>
      <c r="K47" s="2207">
        <f>TRUNC((H47*'Status (c3a)'!M45)+0.0099,2)</f>
        <v>0</v>
      </c>
      <c r="L47" s="197" t="s">
        <v>8206</v>
      </c>
    </row>
    <row r="48" spans="1:18" x14ac:dyDescent="0.25">
      <c r="A48" s="2029" t="s">
        <v>9045</v>
      </c>
      <c r="D48" s="150"/>
      <c r="E48" s="78"/>
      <c r="G48" s="150"/>
      <c r="H48" s="78"/>
      <c r="J48" s="150"/>
      <c r="K48" s="210"/>
      <c r="L48" s="197"/>
    </row>
    <row r="49" spans="1:19" x14ac:dyDescent="0.25">
      <c r="A49" s="2029" t="s">
        <v>9046</v>
      </c>
      <c r="D49" s="8"/>
      <c r="G49" s="8"/>
      <c r="J49" s="8"/>
      <c r="L49" s="197"/>
    </row>
    <row r="50" spans="1:19" x14ac:dyDescent="0.25">
      <c r="A50" s="2029" t="s">
        <v>9047</v>
      </c>
      <c r="E50" s="9" t="str">
        <f>D47&amp;" minus "&amp;G47</f>
        <v>c22.10 minus c22.11</v>
      </c>
      <c r="H50" s="9" t="str">
        <f>"lower of "&amp;'tax it (c6)'!V17&amp;" and "&amp;D51</f>
        <v>lower of c6.36 and c22.13</v>
      </c>
      <c r="K50" s="36" t="str">
        <f>G51&amp;" × SSR_rate ("&amp;SSR_rate*100&amp;"%)"</f>
        <v>c22.14 × SSR_rate (19%)</v>
      </c>
      <c r="L50" s="197"/>
    </row>
    <row r="51" spans="1:19" x14ac:dyDescent="0.25">
      <c r="A51" s="2029" t="s">
        <v>9048</v>
      </c>
      <c r="D51" s="2206" t="str">
        <f>A49</f>
        <v>c22.13</v>
      </c>
      <c r="E51" s="2129">
        <f>MAX(0,E47-H47)</f>
        <v>0</v>
      </c>
      <c r="G51" s="2206" t="str">
        <f>A50</f>
        <v>c22.14</v>
      </c>
      <c r="H51" s="2129">
        <f>MIN('tax it (c6)'!W17,'Notional (c21c23)'!E51)</f>
        <v>0</v>
      </c>
      <c r="J51" s="2206" t="str">
        <f>A51</f>
        <v>c22.15</v>
      </c>
      <c r="K51" s="2207">
        <f>TRUNC((H51*SSR_rate)+0.0099,2)</f>
        <v>0</v>
      </c>
      <c r="L51" s="197" t="s">
        <v>8206</v>
      </c>
    </row>
    <row r="52" spans="1:19" x14ac:dyDescent="0.25">
      <c r="A52" s="2029" t="s">
        <v>9049</v>
      </c>
      <c r="D52" s="150"/>
      <c r="E52" s="78"/>
      <c r="G52" s="150"/>
      <c r="H52" s="78"/>
      <c r="J52" s="150"/>
      <c r="K52" s="36" t="str">
        <f>"add "&amp;'Notional (c21c23)'!A36&amp;" + "&amp;'Notional (c21c23)'!A39&amp;" + "&amp;'Notional (c21c23)'!A42&amp;" + "&amp;'Notional (c21c23)'!A45&amp;" + "&amp;'Notional (c21c23)'!A48&amp;" + "&amp;'Notional (c21c23)'!A51&amp;" and copy to "&amp;'Div Cr (c10)'!A20</f>
        <v>add c22.3 + c22.3c + c22.6 + c22.9 + c22.12 + c22.15 and copy to c10.17</v>
      </c>
      <c r="L52" s="197"/>
    </row>
    <row r="53" spans="1:19" x14ac:dyDescent="0.25">
      <c r="A53" s="2029" t="s">
        <v>9050</v>
      </c>
      <c r="C53" s="38"/>
      <c r="R53" s="11"/>
      <c r="S53" s="9"/>
    </row>
    <row r="54" spans="1:19" x14ac:dyDescent="0.25">
      <c r="A54" s="2029" t="s">
        <v>9051</v>
      </c>
      <c r="E54" s="9" t="str">
        <f>"from "&amp;'Taxable (c5)'!BA307</f>
        <v>from c5.83</v>
      </c>
      <c r="H54" s="9" t="str">
        <f>"lower of "&amp;'tax it (c6)'!G66&amp;" and "&amp;D55</f>
        <v>lower of c6.6 and c22.16</v>
      </c>
      <c r="K54" s="9" t="str">
        <f>G55&amp;" × BR_rate ("&amp;BR_rate*100&amp;"%)"</f>
        <v>c22.17 × BR_rate (20%)</v>
      </c>
      <c r="R54" s="187"/>
      <c r="S54" s="35"/>
    </row>
    <row r="55" spans="1:19" ht="12" x14ac:dyDescent="0.3">
      <c r="A55" s="2029" t="s">
        <v>9052</v>
      </c>
      <c r="B55" s="277" t="s">
        <v>6531</v>
      </c>
      <c r="D55" s="2210" t="str">
        <f>A52</f>
        <v>c22.16</v>
      </c>
      <c r="E55" s="2129">
        <f>'Taxable (c5)'!BB307</f>
        <v>0</v>
      </c>
      <c r="G55" s="2206" t="str">
        <f>A53</f>
        <v>c22.17</v>
      </c>
      <c r="H55" s="2129">
        <f>MIN('tax it (c6)'!H66,'Notional (c21c23)'!E55)</f>
        <v>0</v>
      </c>
      <c r="J55" s="2210" t="str">
        <f>A54</f>
        <v>c22.18</v>
      </c>
      <c r="K55" s="2207">
        <f>TRUNC((H55*BR_rate)+0.0099,2)</f>
        <v>0</v>
      </c>
      <c r="L55" s="197" t="s">
        <v>8206</v>
      </c>
    </row>
    <row r="56" spans="1:19" x14ac:dyDescent="0.25">
      <c r="A56" s="2029" t="s">
        <v>9053</v>
      </c>
    </row>
    <row r="57" spans="1:19" x14ac:dyDescent="0.25">
      <c r="A57" s="2029" t="s">
        <v>9054</v>
      </c>
      <c r="B57" s="139" t="s">
        <v>9055</v>
      </c>
      <c r="R57" s="9"/>
    </row>
    <row r="58" spans="1:19" x14ac:dyDescent="0.25">
      <c r="A58" s="2029" t="s">
        <v>9056</v>
      </c>
      <c r="E58" s="9" t="str">
        <f>D55&amp;" minus "&amp;G55</f>
        <v>c22.16 minus c22.17</v>
      </c>
      <c r="H58" s="9" t="str">
        <f>"lower of "&amp;'tax it (c6)'!G17&amp;" and "&amp;D59</f>
        <v>lower of c6.2 and c22.19</v>
      </c>
      <c r="K58" s="9" t="str">
        <f>G59&amp;" × SSR_rate ("&amp;SSR_rate*100&amp;"%)"</f>
        <v>c22.20 × SSR_rate (19%)</v>
      </c>
      <c r="R58" s="78"/>
    </row>
    <row r="59" spans="1:19" x14ac:dyDescent="0.25">
      <c r="D59" s="2210" t="str">
        <f>A55</f>
        <v>c22.19</v>
      </c>
      <c r="E59" s="2129">
        <f>MAX(0,E55-H55)</f>
        <v>0</v>
      </c>
      <c r="G59" s="2206" t="str">
        <f>A56</f>
        <v>c22.20</v>
      </c>
      <c r="H59" s="2129">
        <f>MIN('tax it (c6)'!H17,'Notional (c21c23)'!E59)</f>
        <v>0</v>
      </c>
      <c r="J59" s="2210" t="str">
        <f>A57</f>
        <v>c22.21</v>
      </c>
      <c r="K59" s="2207">
        <f>TRUNC((H59*SSR_rate)+0.0099,2)</f>
        <v>0</v>
      </c>
      <c r="L59" s="197" t="s">
        <v>8206</v>
      </c>
    </row>
    <row r="60" spans="1:19" x14ac:dyDescent="0.25">
      <c r="K60" s="9" t="str">
        <f>"add "&amp;'Notional (c21c23)'!A54&amp;" + "&amp;'Notional (c21c23)'!A57&amp;" and copy to "&amp;'Div Cr (c10)'!A16</f>
        <v>add c22.18 + c22.21 and copy to c10.13</v>
      </c>
    </row>
    <row r="62" spans="1:19" ht="12" x14ac:dyDescent="0.3">
      <c r="B62" s="937"/>
    </row>
    <row r="63" spans="1:19" ht="12" x14ac:dyDescent="0.3">
      <c r="B63" s="425"/>
      <c r="K63" s="9" t="str">
        <f>J35&amp;" + "&amp;J38&amp;" + "&amp;J41&amp;" + "&amp;J44&amp;" + "&amp;J47&amp;" + "&amp;J51&amp;" + "&amp;J55&amp;" + "&amp;J59</f>
        <v>c22.3 + c22.3c + c22.6 + c22.9 + c22.12 + c22.15 + c22.18 + c22.21</v>
      </c>
    </row>
    <row r="64" spans="1:19" x14ac:dyDescent="0.25">
      <c r="B64" s="381"/>
      <c r="J64" s="2210" t="str">
        <f>A58</f>
        <v>c22.22</v>
      </c>
      <c r="K64" s="2129">
        <f>K35+K38+K41+K44+K47+K51+K55+K59</f>
        <v>0</v>
      </c>
      <c r="L64" s="197"/>
      <c r="O64" s="26"/>
    </row>
    <row r="66" spans="1:13" x14ac:dyDescent="0.25">
      <c r="J66" s="8"/>
    </row>
    <row r="67" spans="1:13" x14ac:dyDescent="0.25">
      <c r="J67" s="8"/>
    </row>
    <row r="68" spans="1:13" x14ac:dyDescent="0.25">
      <c r="J68" s="8"/>
    </row>
    <row r="69" spans="1:13" x14ac:dyDescent="0.25">
      <c r="B69" s="234"/>
      <c r="C69" s="234"/>
      <c r="D69" s="938"/>
      <c r="E69" s="234"/>
      <c r="F69" s="234"/>
      <c r="G69" s="938"/>
      <c r="H69" s="234"/>
      <c r="I69" s="234"/>
      <c r="J69" s="938"/>
      <c r="K69" s="234"/>
      <c r="L69" s="234"/>
    </row>
    <row r="70" spans="1:13" x14ac:dyDescent="0.25">
      <c r="A70" s="2129" t="s">
        <v>9057</v>
      </c>
    </row>
    <row r="71" spans="1:13" x14ac:dyDescent="0.25">
      <c r="A71" s="2129" t="s">
        <v>9058</v>
      </c>
      <c r="G71" s="2144" t="s">
        <v>7019</v>
      </c>
      <c r="H71" s="2205"/>
      <c r="I71" s="2296"/>
      <c r="J71" s="2205"/>
      <c r="K71" s="2147"/>
    </row>
    <row r="72" spans="1:13" x14ac:dyDescent="0.25">
      <c r="A72" s="2129" t="s">
        <v>9059</v>
      </c>
      <c r="B72" s="87" t="s">
        <v>9060</v>
      </c>
      <c r="D72" s="8"/>
      <c r="G72" s="8"/>
      <c r="J72" s="8"/>
      <c r="M72" s="210"/>
    </row>
    <row r="73" spans="1:13" x14ac:dyDescent="0.25">
      <c r="A73" s="2129" t="s">
        <v>9061</v>
      </c>
      <c r="B73" s="8" t="str">
        <f>"You only need to complete section c23 if you made an entry in box "&amp;AOR&amp;AOR!G11</f>
        <v>You only need to complete section c23 if you made an entry in box AOR9</v>
      </c>
      <c r="D73" s="8"/>
      <c r="G73" s="8"/>
      <c r="J73" s="8"/>
      <c r="M73" s="210"/>
    </row>
    <row r="74" spans="1:13" x14ac:dyDescent="0.25">
      <c r="A74" s="2129" t="s">
        <v>9062</v>
      </c>
      <c r="M74" s="210"/>
    </row>
    <row r="75" spans="1:13" ht="12.5" x14ac:dyDescent="0.25">
      <c r="A75" s="2129" t="s">
        <v>9063</v>
      </c>
      <c r="B75" s="274" t="str">
        <f>"If box "&amp;AOR&amp;AOR!G11&amp;" = 0 (zero)"</f>
        <v>If box AOR9 = 0 (zero)</v>
      </c>
      <c r="M75" s="210"/>
    </row>
    <row r="76" spans="1:13" ht="12.5" x14ac:dyDescent="0.25">
      <c r="A76" s="2129" t="s">
        <v>9064</v>
      </c>
      <c r="B76" s="939" t="str">
        <f>D80&amp;" to "&amp;J92&amp;" = 0 (zero)"</f>
        <v>c23.1 to c23.11 = 0 (zero)</v>
      </c>
      <c r="M76" s="210"/>
    </row>
    <row r="77" spans="1:13" ht="12.5" x14ac:dyDescent="0.25">
      <c r="A77" s="2129" t="s">
        <v>9065</v>
      </c>
      <c r="B77" s="274" t="s">
        <v>9066</v>
      </c>
    </row>
    <row r="78" spans="1:13" x14ac:dyDescent="0.25">
      <c r="A78" s="2129" t="s">
        <v>9067</v>
      </c>
    </row>
    <row r="79" spans="1:13" ht="12.5" x14ac:dyDescent="0.25">
      <c r="A79" s="2129" t="s">
        <v>9068</v>
      </c>
      <c r="B79" s="274"/>
      <c r="E79" s="38" t="str">
        <f>"from "&amp;'tax it (c6)'!Q108</f>
        <v>from c6.34</v>
      </c>
    </row>
    <row r="80" spans="1:13" x14ac:dyDescent="0.25">
      <c r="A80" s="2129" t="s">
        <v>9069</v>
      </c>
      <c r="B80" s="35"/>
      <c r="C80" s="36" t="s">
        <v>8183</v>
      </c>
      <c r="D80" s="2211" t="str">
        <f>A70</f>
        <v>c23.1</v>
      </c>
      <c r="E80" s="2129">
        <f>'tax it (c6)'!R108</f>
        <v>0</v>
      </c>
    </row>
    <row r="81" spans="2:12" x14ac:dyDescent="0.25">
      <c r="F81" s="78"/>
    </row>
    <row r="82" spans="2:12" x14ac:dyDescent="0.25">
      <c r="D82" s="8"/>
      <c r="E82" s="423" t="str">
        <f>INC&amp;'INC(1)'!I15&amp;" + "&amp;AOI&amp;AOI!G28</f>
        <v>INC4 + AOI13</v>
      </c>
      <c r="G82" s="83"/>
      <c r="H82" s="38" t="str">
        <f>"lower of "&amp;D80&amp;" and "&amp;D83</f>
        <v>lower of c23.1 and c23.2</v>
      </c>
      <c r="J82" s="83"/>
      <c r="K82" s="38" t="str">
        <f>G83&amp;" × DivAR_rate ("&amp;DivAR_rate*100&amp;"%)"</f>
        <v>c23.3 × DivAR_rate (39.35%)</v>
      </c>
    </row>
    <row r="83" spans="2:12" x14ac:dyDescent="0.25">
      <c r="D83" s="2211" t="str">
        <f>A71</f>
        <v>c23.2</v>
      </c>
      <c r="E83" s="2129">
        <f>TRUNC('INC(1)'!J16+AOI!H29+0.99,0)</f>
        <v>0</v>
      </c>
      <c r="F83" s="421" t="s">
        <v>7035</v>
      </c>
      <c r="G83" s="2211" t="str">
        <f>A72</f>
        <v>c23.3</v>
      </c>
      <c r="H83" s="2129">
        <f>MIN(E80,E83)</f>
        <v>0</v>
      </c>
      <c r="J83" s="2211" t="str">
        <f>A73</f>
        <v>c23.4</v>
      </c>
      <c r="K83" s="2207">
        <f>TRUNC(H83*(DivAR_rate)+0.0099,2)</f>
        <v>0</v>
      </c>
      <c r="L83" s="221" t="s">
        <v>8206</v>
      </c>
    </row>
    <row r="84" spans="2:12" x14ac:dyDescent="0.25">
      <c r="D84" s="8"/>
    </row>
    <row r="85" spans="2:12" x14ac:dyDescent="0.25">
      <c r="E85" s="38" t="str">
        <f>"from "&amp;'tax it (c6)'!Q95</f>
        <v>from c6.33</v>
      </c>
    </row>
    <row r="86" spans="2:12" x14ac:dyDescent="0.25">
      <c r="C86" s="36" t="s">
        <v>8178</v>
      </c>
      <c r="D86" s="2211" t="str">
        <f>A74</f>
        <v>c23.5</v>
      </c>
      <c r="E86" s="2129">
        <f>'tax it (c6)'!R95</f>
        <v>0</v>
      </c>
    </row>
    <row r="87" spans="2:12" x14ac:dyDescent="0.25">
      <c r="C87" s="78"/>
    </row>
    <row r="88" spans="2:12" x14ac:dyDescent="0.25">
      <c r="E88" s="9" t="str">
        <f>D83&amp;" minus "&amp;G83</f>
        <v>c23.2 minus c23.3</v>
      </c>
      <c r="H88" s="38" t="str">
        <f>"lower of "&amp;D86&amp;" and "&amp;D89</f>
        <v>lower of c23.5 and c23.6</v>
      </c>
      <c r="K88" s="38" t="str">
        <f>G89&amp;" × DivHR_rate ("&amp;DivHR_rate*100&amp;"%)"</f>
        <v>c23.7 × DivHR_rate (33.75%)</v>
      </c>
    </row>
    <row r="89" spans="2:12" x14ac:dyDescent="0.25">
      <c r="D89" s="2211" t="str">
        <f>A75</f>
        <v>c23.6</v>
      </c>
      <c r="E89" s="2129">
        <f>MAX(0,E83-H83)</f>
        <v>0</v>
      </c>
      <c r="G89" s="2211" t="str">
        <f>A76</f>
        <v>c23.7</v>
      </c>
      <c r="H89" s="2129">
        <f>MIN(E86,E89)</f>
        <v>0</v>
      </c>
      <c r="J89" s="2211" t="str">
        <f>A77</f>
        <v>c23.8</v>
      </c>
      <c r="K89" s="2207">
        <f>TRUNC(H89*DivHR_rate,2)</f>
        <v>0</v>
      </c>
      <c r="L89" s="221" t="s">
        <v>7647</v>
      </c>
    </row>
    <row r="90" spans="2:12" x14ac:dyDescent="0.25">
      <c r="F90" s="78"/>
      <c r="H90" s="78"/>
      <c r="I90" s="78"/>
      <c r="J90" s="83"/>
      <c r="L90" s="221"/>
    </row>
    <row r="91" spans="2:12" x14ac:dyDescent="0.25">
      <c r="D91" s="83"/>
      <c r="E91" s="423" t="str">
        <f>"from "&amp;AOR&amp;AOR!G11</f>
        <v>from AOR9</v>
      </c>
      <c r="H91" s="9" t="str">
        <f>J83&amp;" + "&amp;J89</f>
        <v>c23.4 + c23.8</v>
      </c>
      <c r="K91" s="38" t="str">
        <f>"lower of "&amp;D92&amp;" and "&amp;G92</f>
        <v>lower of c23.9 and c23.10</v>
      </c>
    </row>
    <row r="92" spans="2:12" x14ac:dyDescent="0.25">
      <c r="B92" s="78"/>
      <c r="D92" s="2211" t="str">
        <f>A78</f>
        <v>c23.9</v>
      </c>
      <c r="E92" s="2207">
        <f>AOR!H12</f>
        <v>0</v>
      </c>
      <c r="G92" s="2211" t="str">
        <f>A79</f>
        <v>c23.10</v>
      </c>
      <c r="H92" s="2207">
        <f>K83+K89</f>
        <v>0</v>
      </c>
      <c r="I92" s="78"/>
      <c r="J92" s="2211" t="str">
        <f>A80</f>
        <v>c23.11</v>
      </c>
      <c r="K92" s="2207">
        <f>MIN(E92,H92)</f>
        <v>0</v>
      </c>
    </row>
    <row r="93" spans="2:12" x14ac:dyDescent="0.25">
      <c r="K93" s="9" t="str">
        <f>"Copy to box "&amp;'Tax adj (c9)'!L98</f>
        <v>Copy to box c9.29</v>
      </c>
    </row>
    <row r="94" spans="2:12" ht="12.5" x14ac:dyDescent="0.25">
      <c r="B94" s="274" t="s">
        <v>75</v>
      </c>
    </row>
    <row r="95" spans="2:12" x14ac:dyDescent="0.25">
      <c r="B95" s="234"/>
      <c r="C95" s="234"/>
      <c r="D95" s="938"/>
      <c r="E95" s="234"/>
      <c r="F95" s="234"/>
      <c r="G95" s="938"/>
      <c r="H95" s="234"/>
      <c r="I95" s="234"/>
      <c r="J95" s="938"/>
      <c r="K95" s="234"/>
      <c r="L95" s="234"/>
    </row>
    <row r="96" spans="2:12" x14ac:dyDescent="0.25">
      <c r="D96" s="8"/>
      <c r="G96" s="8"/>
      <c r="J96" s="8"/>
    </row>
    <row r="97" s="8" customFormat="1" x14ac:dyDescent="0.25"/>
    <row r="98" s="8" customFormat="1" x14ac:dyDescent="0.25"/>
    <row r="99" s="8" customFormat="1" x14ac:dyDescent="0.25"/>
    <row r="100" s="8" customFormat="1" x14ac:dyDescent="0.25"/>
    <row r="101" s="8" customFormat="1" x14ac:dyDescent="0.25"/>
    <row r="102" s="8" customFormat="1" x14ac:dyDescent="0.25"/>
  </sheetData>
  <phoneticPr fontId="58" type="noConversion"/>
  <pageMargins left="0.19685039370078741" right="0.19685039370078741" top="0.19685039370078741" bottom="0.19685039370078741" header="0" footer="0"/>
  <pageSetup paperSize="9" orientation="portrait" r:id="rId1"/>
  <headerFooter alignWithMargins="0">
    <oddFooter>&amp;C&amp;1#&amp;"Calibri"&amp;10&amp;K000000OFFICIAL-SENSITIVE</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7"/>
  <dimension ref="A1:P86"/>
  <sheetViews>
    <sheetView showGridLines="0" topLeftCell="B1" workbookViewId="0">
      <selection activeCell="B1" sqref="B1"/>
    </sheetView>
  </sheetViews>
  <sheetFormatPr defaultColWidth="9.1796875" defaultRowHeight="11.5" x14ac:dyDescent="0.25"/>
  <cols>
    <col min="1" max="1" width="7" style="8" hidden="1" customWidth="1"/>
    <col min="2" max="2" width="1.54296875" style="8" customWidth="1"/>
    <col min="3" max="3" width="32.1796875" style="8" customWidth="1"/>
    <col min="4" max="4" width="6.54296875" style="8" customWidth="1"/>
    <col min="5" max="5" width="8.1796875" style="8" customWidth="1"/>
    <col min="6" max="6" width="13.1796875" style="8" customWidth="1"/>
    <col min="7" max="7" width="18.1796875" style="8" customWidth="1"/>
    <col min="8" max="8" width="6.1796875" style="8" customWidth="1"/>
    <col min="9" max="9" width="13.1796875" style="8" customWidth="1"/>
    <col min="10" max="10" width="18.1796875" style="8" customWidth="1"/>
    <col min="11" max="11" width="6.54296875" style="8" customWidth="1"/>
    <col min="12" max="12" width="13.1796875" style="8" customWidth="1"/>
    <col min="13" max="13" width="28.81640625" style="8" customWidth="1"/>
    <col min="14" max="16384" width="9.1796875" style="8"/>
  </cols>
  <sheetData>
    <row r="1" spans="1:12" ht="18" x14ac:dyDescent="0.4">
      <c r="A1" s="2129" t="s">
        <v>9070</v>
      </c>
      <c r="B1" s="484" t="s">
        <v>9071</v>
      </c>
      <c r="E1" s="11"/>
      <c r="H1" s="11"/>
      <c r="K1" s="11"/>
    </row>
    <row r="2" spans="1:12" x14ac:dyDescent="0.25">
      <c r="A2" s="2129" t="s">
        <v>9072</v>
      </c>
      <c r="E2" s="2164" t="s">
        <v>7225</v>
      </c>
      <c r="F2" s="2205"/>
      <c r="G2" s="2205"/>
      <c r="H2" s="2205"/>
      <c r="I2" s="2205"/>
      <c r="J2" s="2205"/>
      <c r="K2" s="2147"/>
    </row>
    <row r="3" spans="1:12" x14ac:dyDescent="0.25">
      <c r="A3" s="2129" t="s">
        <v>9073</v>
      </c>
      <c r="K3" s="11"/>
    </row>
    <row r="4" spans="1:12" x14ac:dyDescent="0.25">
      <c r="A4" s="2129" t="s">
        <v>9074</v>
      </c>
      <c r="B4" s="8" t="str">
        <f>"If "&amp;PRO&amp;PRO!G25&amp;" + "&amp;PRO&amp;PRO!G28&amp;" + "&amp;TRU&amp;TRU!K40&amp;" + "&amp;TRU&amp;TRU!O43&amp;" + "&amp;FOR&amp;FOR!C58&amp;" + "&amp;FOR&amp;FOR!G58&amp;" + total all instances ("&amp;FPS&amp;PS!J23&amp;" + "&amp;FPS&amp;PS!M23&amp;" + "&amp;FPS&amp;PS!J35&amp;" + "&amp;FPS&amp;PS!M35&amp;" + "&amp;FOR&amp;FOR!O5&amp;" + "&amp;FOR&amp;FOR!O8&amp;") = 0 (zero)"</f>
        <v>If PRO44 + PRO45 + TRU25 + TRU25.1 + FOR13.1 + FOR13.2 + total all instances (FPS41.1 + FPS41.2 + FPS63.1 + FPS63.2 + FOR24.1 + FOR24.2) = 0 (zero)</v>
      </c>
      <c r="H4" s="11"/>
      <c r="K4" s="11"/>
    </row>
    <row r="5" spans="1:12" x14ac:dyDescent="0.25">
      <c r="A5" s="2129" t="s">
        <v>9075</v>
      </c>
      <c r="B5" s="8" t="str">
        <f>"set "&amp;E11&amp;" to "&amp;K84&amp;" to zero"</f>
        <v>set c24.1 to c24.17 to zero</v>
      </c>
      <c r="H5" s="11"/>
      <c r="K5" s="11"/>
    </row>
    <row r="6" spans="1:12" x14ac:dyDescent="0.25">
      <c r="A6" s="2129" t="s">
        <v>9076</v>
      </c>
      <c r="B6" s="8" t="s">
        <v>7143</v>
      </c>
      <c r="H6" s="11"/>
      <c r="K6" s="11"/>
    </row>
    <row r="7" spans="1:12" x14ac:dyDescent="0.25">
      <c r="A7" s="2129" t="s">
        <v>9077</v>
      </c>
      <c r="E7" s="11"/>
      <c r="H7" s="11"/>
      <c r="K7" s="11"/>
    </row>
    <row r="8" spans="1:12" x14ac:dyDescent="0.25">
      <c r="A8" s="2129" t="s">
        <v>9078</v>
      </c>
      <c r="E8" s="11"/>
      <c r="H8" s="11"/>
      <c r="K8" s="11"/>
    </row>
    <row r="9" spans="1:12" x14ac:dyDescent="0.25">
      <c r="A9" s="2129" t="s">
        <v>9079</v>
      </c>
      <c r="B9" s="140" t="s">
        <v>7108</v>
      </c>
      <c r="E9" s="11"/>
      <c r="H9" s="11"/>
      <c r="K9" s="11"/>
    </row>
    <row r="10" spans="1:12" x14ac:dyDescent="0.25">
      <c r="A10" s="2129" t="s">
        <v>9080</v>
      </c>
      <c r="E10" s="83"/>
      <c r="F10" s="423" t="str">
        <f>PRO&amp;PRO!G25&amp;" + "&amp;PRO&amp;PRO!G28</f>
        <v>PRO44 + PRO45</v>
      </c>
      <c r="H10" s="11"/>
      <c r="K10" s="11"/>
    </row>
    <row r="11" spans="1:12" x14ac:dyDescent="0.25">
      <c r="A11" s="2129" t="s">
        <v>9081</v>
      </c>
      <c r="C11" s="8" t="s">
        <v>9082</v>
      </c>
      <c r="E11" s="2211" t="str">
        <f>A1</f>
        <v>c24.1</v>
      </c>
      <c r="F11" s="2129">
        <f>TRUNC((PRO!H26+PRO!H29)+0.99,0)</f>
        <v>0</v>
      </c>
      <c r="G11" s="421" t="s">
        <v>7035</v>
      </c>
    </row>
    <row r="12" spans="1:12" x14ac:dyDescent="0.25">
      <c r="A12" s="2129" t="s">
        <v>9083</v>
      </c>
      <c r="E12" s="11"/>
    </row>
    <row r="13" spans="1:12" x14ac:dyDescent="0.25">
      <c r="A13" s="2129" t="s">
        <v>9084</v>
      </c>
      <c r="E13" s="11"/>
      <c r="I13" s="9" t="str">
        <f>"from "&amp;'NS income (c1)'!E100</f>
        <v>from c1.32</v>
      </c>
    </row>
    <row r="14" spans="1:12" x14ac:dyDescent="0.25">
      <c r="A14" s="2129" t="s">
        <v>9085</v>
      </c>
      <c r="C14" s="8" t="str">
        <f>"Adjusted profit ("&amp;PRO&amp;PRO!G19&amp;")"</f>
        <v>Adjusted profit (PRO40)</v>
      </c>
      <c r="E14" s="11"/>
      <c r="H14" s="2211" t="str">
        <f>A2</f>
        <v>c24.2</v>
      </c>
      <c r="I14" s="2129">
        <f>'NS income (c1)'!F100</f>
        <v>0</v>
      </c>
      <c r="J14" s="421"/>
    </row>
    <row r="15" spans="1:12" x14ac:dyDescent="0.25">
      <c r="A15" s="2129" t="s">
        <v>9086</v>
      </c>
      <c r="E15" s="11"/>
    </row>
    <row r="16" spans="1:12" x14ac:dyDescent="0.25">
      <c r="A16" s="2129" t="s">
        <v>9087</v>
      </c>
      <c r="E16" s="11"/>
      <c r="L16" s="9" t="str">
        <f>"lower of "&amp;E11&amp;" and "&amp;H14</f>
        <v>lower of c24.1 and c24.2</v>
      </c>
    </row>
    <row r="17" spans="1:16" x14ac:dyDescent="0.25">
      <c r="A17" s="2129" t="s">
        <v>9088</v>
      </c>
      <c r="C17" s="8" t="s">
        <v>3644</v>
      </c>
      <c r="E17" s="11"/>
      <c r="K17" s="2211" t="str">
        <f>A3</f>
        <v>c24.3</v>
      </c>
      <c r="L17" s="2129">
        <f>MIN(F11,I14)</f>
        <v>0</v>
      </c>
    </row>
    <row r="18" spans="1:16" x14ac:dyDescent="0.25">
      <c r="A18" s="2129" t="s">
        <v>9089</v>
      </c>
    </row>
    <row r="19" spans="1:16" x14ac:dyDescent="0.25">
      <c r="A19" s="2129" t="s">
        <v>4778</v>
      </c>
      <c r="B19" s="140" t="s">
        <v>9090</v>
      </c>
      <c r="L19" s="9"/>
    </row>
    <row r="20" spans="1:16" x14ac:dyDescent="0.25">
      <c r="A20" s="2129" t="s">
        <v>9091</v>
      </c>
      <c r="D20" s="423"/>
      <c r="E20" s="423"/>
      <c r="F20" s="423" t="str">
        <f>"sum of ("&amp;FPS&amp;PS!J23&amp;" + "&amp;FPS&amp;PS!M23&amp;" for all instances)"</f>
        <v>sum of (FPS41.1 + FPS41.2 for all instances)</v>
      </c>
    </row>
    <row r="21" spans="1:16" x14ac:dyDescent="0.25">
      <c r="A21" s="2129" t="s">
        <v>9092</v>
      </c>
      <c r="C21" s="8" t="s">
        <v>9082</v>
      </c>
      <c r="E21" s="2211" t="str">
        <f>A4</f>
        <v>c24.3a</v>
      </c>
      <c r="F21" s="2129">
        <f>TRUNC((PS!K24+PS!N24)+0.99,0)</f>
        <v>0</v>
      </c>
      <c r="G21" s="421" t="s">
        <v>7090</v>
      </c>
      <c r="O21" s="26"/>
    </row>
    <row r="22" spans="1:16" x14ac:dyDescent="0.25">
      <c r="F22" s="423"/>
    </row>
    <row r="23" spans="1:16" x14ac:dyDescent="0.25">
      <c r="C23" s="8" t="str">
        <f>"Calculate for each page the lower of "&amp;FPS&amp;PS!G23&amp;" and ("&amp;FPS&amp;PS!J23&amp;" + "&amp;FPS&amp;PS!M23&amp;"), store the result and add together"</f>
        <v>Calculate for each page the lower of FPS41 and (FPS41.1 + FPS41.2), store the result and add together</v>
      </c>
      <c r="K23" s="9"/>
      <c r="L23" s="9"/>
      <c r="P23" s="129"/>
    </row>
    <row r="24" spans="1:16" x14ac:dyDescent="0.25">
      <c r="E24" s="11"/>
      <c r="L24" s="9" t="str">
        <f>"sum of the (lower of "&amp;FPS&amp;PS!G23&amp;" and ("&amp;FPS&amp;PS!J23&amp;" + "&amp;FPS&amp;PS!M23&amp;")"</f>
        <v>sum of the (lower of FPS41 and (FPS41.1 + FPS41.2)</v>
      </c>
    </row>
    <row r="25" spans="1:16" x14ac:dyDescent="0.25">
      <c r="L25" s="9" t="str">
        <f>"for each instance)"</f>
        <v>for each instance)</v>
      </c>
    </row>
    <row r="26" spans="1:16" x14ac:dyDescent="0.25">
      <c r="A26" s="8" t="s">
        <v>1887</v>
      </c>
      <c r="C26" s="8" t="s">
        <v>3644</v>
      </c>
      <c r="E26" s="11"/>
      <c r="K26" s="2211" t="str">
        <f>A5</f>
        <v>c24.4</v>
      </c>
      <c r="L26" s="2129">
        <f>IF(PS!N27&gt;0,TRUNC(PS!N27+0.99,0),IF(AND(PS!K24="",PS!N24=""),0,TRUNC(MIN(A27,(PS!K24+PS!N24))+0.99,0)))</f>
        <v>0</v>
      </c>
      <c r="M26" s="421" t="s">
        <v>7090</v>
      </c>
    </row>
    <row r="27" spans="1:16" x14ac:dyDescent="0.25">
      <c r="A27" s="26">
        <f>PS!H24</f>
        <v>0</v>
      </c>
    </row>
    <row r="28" spans="1:16" x14ac:dyDescent="0.25">
      <c r="A28" s="8" t="s">
        <v>1890</v>
      </c>
      <c r="B28" s="140" t="s">
        <v>9093</v>
      </c>
      <c r="L28" s="9"/>
    </row>
    <row r="29" spans="1:16" x14ac:dyDescent="0.25">
      <c r="A29" s="26">
        <f>PS!H36</f>
        <v>0</v>
      </c>
      <c r="B29" s="140"/>
      <c r="D29" s="423"/>
      <c r="E29" s="423"/>
      <c r="F29" s="423" t="str">
        <f>"sum of ("&amp;FPS&amp;PS!J35&amp;" + "&amp;FPS&amp;PS!M35&amp;" for all instances)"</f>
        <v>sum of (FPS63.1 + FPS63.2 for all instances)</v>
      </c>
      <c r="L29" s="9"/>
    </row>
    <row r="30" spans="1:16" x14ac:dyDescent="0.25">
      <c r="B30" s="140"/>
      <c r="C30" s="8" t="s">
        <v>9082</v>
      </c>
      <c r="E30" s="2211" t="str">
        <f>A6</f>
        <v>c24.4a</v>
      </c>
      <c r="F30" s="2129">
        <f>TRUNC((PS!K36+PS!N36)+0.99,0)</f>
        <v>0</v>
      </c>
      <c r="G30" s="421" t="s">
        <v>7090</v>
      </c>
      <c r="L30" s="9"/>
    </row>
    <row r="31" spans="1:16" x14ac:dyDescent="0.25">
      <c r="B31" s="140"/>
      <c r="F31" s="423"/>
      <c r="L31" s="9"/>
    </row>
    <row r="32" spans="1:16" x14ac:dyDescent="0.25">
      <c r="C32" s="8" t="str">
        <f>"Calculate for each page the lower of "&amp;FPS&amp;PS!G35&amp;" and ("&amp;FPS&amp;PS!J35&amp;" + "&amp;FPS&amp;PS!M35&amp;"), store the result and add together"</f>
        <v>Calculate for each page the lower of FPS60 and (FPS63.1 + FPS63.2), store the result and add together</v>
      </c>
      <c r="L32" s="9" t="str">
        <f>"sum of the (lower of "&amp;FPS&amp;PS!G35&amp;" and ("&amp;FPS&amp;PS!J35&amp;" + "&amp;FPS&amp;PS!M35&amp;")"</f>
        <v>sum of the (lower of FPS60 and (FPS63.1 + FPS63.2)</v>
      </c>
    </row>
    <row r="33" spans="2:13" x14ac:dyDescent="0.25">
      <c r="E33" s="11"/>
      <c r="L33" s="9" t="str">
        <f>"for each instance)"</f>
        <v>for each instance)</v>
      </c>
    </row>
    <row r="34" spans="2:13" x14ac:dyDescent="0.25">
      <c r="C34" s="8" t="s">
        <v>3644</v>
      </c>
      <c r="E34" s="11"/>
      <c r="K34" s="2211" t="str">
        <f>A7</f>
        <v>c24.5</v>
      </c>
      <c r="L34" s="2129">
        <f>IF(PS!N39&gt;0,TRUNC(PS!N39+0.99,0),IF(AND(PS!K36="",PS!N36=""),0,TRUNC(MIN(A29,(PS!K36+PS!N36))+0.99,0)))</f>
        <v>0</v>
      </c>
      <c r="M34" s="421" t="s">
        <v>7090</v>
      </c>
    </row>
    <row r="35" spans="2:13" x14ac:dyDescent="0.25">
      <c r="E35" s="11"/>
      <c r="I35" s="423"/>
    </row>
    <row r="36" spans="2:13" x14ac:dyDescent="0.25">
      <c r="E36" s="11"/>
      <c r="H36" s="430"/>
      <c r="I36" s="78"/>
    </row>
    <row r="37" spans="2:13" x14ac:dyDescent="0.25">
      <c r="B37" s="140" t="s">
        <v>5628</v>
      </c>
    </row>
    <row r="38" spans="2:13" x14ac:dyDescent="0.25">
      <c r="D38" s="423"/>
      <c r="E38" s="423"/>
      <c r="F38" s="423" t="str">
        <f>"sum of ("&amp;FOR&amp;FOR!O5&amp;" + "&amp;FOR&amp;FOR!O8&amp;" for all instances)"</f>
        <v>sum of (FOR24.1 + FOR24.2 for all instances)</v>
      </c>
    </row>
    <row r="39" spans="2:13" x14ac:dyDescent="0.25">
      <c r="C39" s="8" t="s">
        <v>9082</v>
      </c>
      <c r="E39" s="2211" t="str">
        <f>A8</f>
        <v>c24.6</v>
      </c>
      <c r="F39" s="2129">
        <f>TRUNC((FOR!P6+FOR!P9)+0.99,0)</f>
        <v>0</v>
      </c>
      <c r="G39" s="421" t="s">
        <v>9094</v>
      </c>
    </row>
    <row r="41" spans="2:13" x14ac:dyDescent="0.25">
      <c r="E41" s="11"/>
      <c r="G41" s="423"/>
      <c r="H41" s="423"/>
      <c r="I41" s="423" t="str">
        <f>"from "&amp;FOR&amp;FOR!O11</f>
        <v>from FOR27</v>
      </c>
    </row>
    <row r="42" spans="2:13" x14ac:dyDescent="0.25">
      <c r="C42" s="8" t="s">
        <v>3502</v>
      </c>
      <c r="E42" s="11"/>
      <c r="H42" s="2211" t="str">
        <f>A9</f>
        <v>c24.7</v>
      </c>
      <c r="I42" s="2129">
        <f>MAX(0,TRUNC(FOR!P12+0.99,0))</f>
        <v>0</v>
      </c>
      <c r="J42" s="421" t="s">
        <v>7402</v>
      </c>
    </row>
    <row r="43" spans="2:13" x14ac:dyDescent="0.25">
      <c r="E43" s="11"/>
    </row>
    <row r="44" spans="2:13" x14ac:dyDescent="0.25">
      <c r="E44" s="11"/>
      <c r="L44" s="9" t="str">
        <f>"lower of "&amp;E39&amp;" and "&amp;H42</f>
        <v>lower of c24.6 and c24.7</v>
      </c>
    </row>
    <row r="45" spans="2:13" x14ac:dyDescent="0.25">
      <c r="C45" s="8" t="s">
        <v>3644</v>
      </c>
      <c r="E45" s="11"/>
      <c r="K45" s="2211" t="str">
        <f>A10</f>
        <v>c24.8</v>
      </c>
      <c r="L45" s="2129">
        <f>MIN(F39,I42)</f>
        <v>0</v>
      </c>
    </row>
    <row r="48" spans="2:13" x14ac:dyDescent="0.25">
      <c r="B48" s="140" t="s">
        <v>9095</v>
      </c>
    </row>
    <row r="49" spans="2:13" x14ac:dyDescent="0.25">
      <c r="L49" s="423" t="str">
        <f>FOR&amp;FOR!C58&amp;" + "&amp;FOR&amp;FOR!G58</f>
        <v>FOR13.1 + FOR13.2</v>
      </c>
    </row>
    <row r="50" spans="2:13" x14ac:dyDescent="0.25">
      <c r="C50" s="8" t="s">
        <v>3644</v>
      </c>
      <c r="K50" s="2211" t="str">
        <f>A11</f>
        <v>c24.9</v>
      </c>
      <c r="L50" s="2129">
        <f>TRUNC((FOR!D59+FOR!H59)+0.99,0)</f>
        <v>0</v>
      </c>
      <c r="M50" s="421" t="s">
        <v>7035</v>
      </c>
    </row>
    <row r="51" spans="2:13" x14ac:dyDescent="0.25">
      <c r="K51" s="430"/>
      <c r="L51" s="78"/>
      <c r="M51" s="421"/>
    </row>
    <row r="52" spans="2:13" x14ac:dyDescent="0.25">
      <c r="K52" s="1065"/>
      <c r="L52" s="1110" t="str">
        <f>FOR&amp;FOR!K53&amp;" + "&amp;FOR&amp;FOR!O53</f>
        <v>FOR49 + FOR49.1</v>
      </c>
    </row>
    <row r="53" spans="2:13" x14ac:dyDescent="0.25">
      <c r="K53" s="2299" t="str">
        <f>A12</f>
        <v>c24.9.1</v>
      </c>
      <c r="L53" s="2129">
        <f>TRUNC((FOR!L54+FOR!P54)+0.99,0)</f>
        <v>0</v>
      </c>
      <c r="M53" s="1111" t="s">
        <v>7035</v>
      </c>
    </row>
    <row r="56" spans="2:13" x14ac:dyDescent="0.25">
      <c r="B56" s="140" t="s">
        <v>9096</v>
      </c>
    </row>
    <row r="57" spans="2:13" x14ac:dyDescent="0.25">
      <c r="E57" s="11"/>
      <c r="L57" s="423" t="str">
        <f>TRU&amp;TRU!K40&amp;" + "&amp;TRU&amp;TRU!O43</f>
        <v>TRU25 + TRU25.1</v>
      </c>
    </row>
    <row r="58" spans="2:13" x14ac:dyDescent="0.25">
      <c r="C58" s="8" t="s">
        <v>3644</v>
      </c>
      <c r="E58" s="11"/>
      <c r="K58" s="2211" t="str">
        <f>A13</f>
        <v>c24.10</v>
      </c>
      <c r="L58" s="2129">
        <f>TRUNC((TRU!L41+TRU!P44)+0.99,0)</f>
        <v>0</v>
      </c>
      <c r="M58" s="421" t="s">
        <v>7035</v>
      </c>
    </row>
    <row r="62" spans="2:13" x14ac:dyDescent="0.25">
      <c r="I62" s="9" t="str">
        <f>"from "&amp;'Deductions (c4)'!H354</f>
        <v>from c4.55</v>
      </c>
    </row>
    <row r="63" spans="2:13" x14ac:dyDescent="0.25">
      <c r="C63" s="8" t="s">
        <v>9097</v>
      </c>
      <c r="H63" s="2211" t="str">
        <f>A14</f>
        <v>c24.11</v>
      </c>
      <c r="I63" s="2129">
        <f>'Deductions (c4)'!I354</f>
        <v>0</v>
      </c>
      <c r="L63" s="78"/>
    </row>
    <row r="65" spans="3:12" x14ac:dyDescent="0.25">
      <c r="I65" s="9" t="str">
        <f>'Savings (c2)'!H79&amp;" + "&amp;'Divs (c3)'!G69</f>
        <v>c2.19 + c3.18</v>
      </c>
    </row>
    <row r="66" spans="3:12" x14ac:dyDescent="0.25">
      <c r="C66" s="8" t="s">
        <v>7529</v>
      </c>
      <c r="H66" s="2211" t="str">
        <f>A15</f>
        <v>c24.12</v>
      </c>
      <c r="I66" s="2129">
        <f>'Savings (c2)'!I79+'Divs (c3)'!H69</f>
        <v>0</v>
      </c>
    </row>
    <row r="68" spans="3:12" x14ac:dyDescent="0.25">
      <c r="I68" s="9" t="str">
        <f>"from "&amp;'Divs (c3)'!G58</f>
        <v>from c3.15</v>
      </c>
    </row>
    <row r="69" spans="3:12" x14ac:dyDescent="0.25">
      <c r="C69" s="8" t="s">
        <v>6544</v>
      </c>
      <c r="H69" s="2211" t="str">
        <f>A16</f>
        <v>c24.13</v>
      </c>
      <c r="I69" s="2129">
        <f>'Divs (c3)'!H58</f>
        <v>0</v>
      </c>
    </row>
    <row r="71" spans="3:12" x14ac:dyDescent="0.25">
      <c r="I71" s="9" t="str">
        <f>'Deductions (c4)'!L448&amp;" minus "&amp;'Deductions (c4)'!H473</f>
        <v>c4.67 minus c4.68</v>
      </c>
    </row>
    <row r="72" spans="3:12" x14ac:dyDescent="0.25">
      <c r="C72" s="8" t="s">
        <v>329</v>
      </c>
      <c r="H72" s="2211" t="str">
        <f>A17</f>
        <v>c24.14</v>
      </c>
      <c r="I72" s="2129">
        <f>MAX(0,'Deductions (c4)'!M448-'Deductions (c4)'!I473)</f>
        <v>12570</v>
      </c>
    </row>
    <row r="74" spans="3:12" x14ac:dyDescent="0.25">
      <c r="I74" s="9" t="str">
        <f>H63&amp;" minus ("&amp;H66&amp;" + "&amp;H69&amp;" + "&amp;H72&amp;")"</f>
        <v>c24.11 minus (c24.12 + c24.13 + c24.14)</v>
      </c>
    </row>
    <row r="75" spans="3:12" x14ac:dyDescent="0.25">
      <c r="C75" s="8" t="s">
        <v>9098</v>
      </c>
      <c r="H75" s="2211" t="str">
        <f>A18</f>
        <v>c24.15</v>
      </c>
      <c r="I75" s="2129">
        <f>MAX(0,I63-(I66+I69+I72))</f>
        <v>0</v>
      </c>
    </row>
    <row r="77" spans="3:12" x14ac:dyDescent="0.25">
      <c r="E77" s="1065"/>
      <c r="F77" s="1067" t="str">
        <f>E11&amp;" + "&amp;E21&amp;" + "&amp;E30&amp;" + "&amp;E39&amp;" + " &amp;K50&amp;" + "&amp;K53&amp;" + "&amp;K58</f>
        <v>c24.1 + c24.3a + c24.4a + c24.6 + c24.9 + c24.9.1 + c24.10</v>
      </c>
    </row>
    <row r="78" spans="3:12" x14ac:dyDescent="0.25">
      <c r="C78" s="8" t="s">
        <v>9099</v>
      </c>
      <c r="E78" s="2211" t="str">
        <f>A19</f>
        <v>c24.15a</v>
      </c>
      <c r="F78" s="2129">
        <f>F11+F21+F30+F39+L50+L53+L58</f>
        <v>0</v>
      </c>
    </row>
    <row r="80" spans="3:12" x14ac:dyDescent="0.25">
      <c r="K80" s="1065"/>
      <c r="L80" s="1067" t="str">
        <f>K17&amp;" + "&amp;K26&amp;" + "&amp;K34&amp;" + "&amp;K45&amp;" + " &amp;K50&amp;" + "&amp;K53&amp;" + "&amp;K58</f>
        <v>c24.3 + c24.4 + c24.5 + c24.8 + c24.9 + c24.9.1 + c24.10</v>
      </c>
    </row>
    <row r="81" spans="2:12" x14ac:dyDescent="0.25">
      <c r="C81" s="8" t="s">
        <v>9100</v>
      </c>
      <c r="K81" s="2211" t="str">
        <f>A20</f>
        <v>c24.16</v>
      </c>
      <c r="L81" s="2129">
        <f>L17+L26+L34+L45+L50+L53+L58</f>
        <v>0</v>
      </c>
    </row>
    <row r="83" spans="2:12" x14ac:dyDescent="0.25">
      <c r="L83" s="9" t="str">
        <f>"lower of "&amp;H75&amp;" and "&amp;K81</f>
        <v>lower of c24.15 and c24.16</v>
      </c>
    </row>
    <row r="84" spans="2:12" x14ac:dyDescent="0.25">
      <c r="C84" s="8" t="s">
        <v>9101</v>
      </c>
      <c r="K84" s="2211" t="str">
        <f>A21</f>
        <v>c24.17</v>
      </c>
      <c r="L84" s="2129">
        <f>MIN(I75,L81)</f>
        <v>0</v>
      </c>
    </row>
    <row r="85" spans="2:12" x14ac:dyDescent="0.25">
      <c r="L85" s="9" t="str">
        <f>"copy to "&amp;'Tax adj (c9)'!I78</f>
        <v>copy to c9.22</v>
      </c>
    </row>
    <row r="86" spans="2:12" x14ac:dyDescent="0.25">
      <c r="B86" s="8" t="s">
        <v>75</v>
      </c>
    </row>
  </sheetData>
  <pageMargins left="0.7" right="0.7" top="0.75" bottom="0.75" header="0.3" footer="0.3"/>
  <pageSetup paperSize="9" orientation="portrait" r:id="rId1"/>
  <headerFooter>
    <oddFooter>&amp;C&amp;1#&amp;"Calibri"&amp;10&amp;K000000OFFICIAL-SENSITIVE</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7"/>
  <dimension ref="A1:R229"/>
  <sheetViews>
    <sheetView showGridLines="0" topLeftCell="B1" workbookViewId="0">
      <selection activeCell="B1" sqref="B1"/>
    </sheetView>
  </sheetViews>
  <sheetFormatPr defaultColWidth="9.1796875" defaultRowHeight="11.5" x14ac:dyDescent="0.25"/>
  <cols>
    <col min="1" max="1" width="4.54296875" style="8" hidden="1" customWidth="1"/>
    <col min="2" max="2" width="2.54296875" style="8" customWidth="1"/>
    <col min="3" max="3" width="39.1796875" style="22" customWidth="1"/>
    <col min="4" max="4" width="7" style="22" customWidth="1"/>
    <col min="5" max="5" width="18.1796875" style="22" customWidth="1"/>
    <col min="6" max="6" width="10.54296875" style="8" customWidth="1"/>
    <col min="7" max="7" width="7" style="8" customWidth="1"/>
    <col min="8" max="8" width="18.1796875" style="8" customWidth="1"/>
    <col min="9" max="9" width="13.453125" style="8" customWidth="1"/>
    <col min="10" max="10" width="7" style="8" customWidth="1"/>
    <col min="11" max="11" width="18.1796875" style="85" customWidth="1"/>
    <col min="12" max="12" width="7.453125" style="8" bestFit="1" customWidth="1"/>
    <col min="13" max="13" width="4" style="8" customWidth="1"/>
    <col min="14" max="16384" width="9.1796875" style="8"/>
  </cols>
  <sheetData>
    <row r="1" spans="1:14" ht="20" x14ac:dyDescent="0.4">
      <c r="A1" s="8" t="s">
        <v>9102</v>
      </c>
      <c r="B1" s="487" t="s">
        <v>9103</v>
      </c>
      <c r="D1" s="24"/>
      <c r="E1" s="24"/>
      <c r="G1" s="2144" t="s">
        <v>7019</v>
      </c>
      <c r="H1" s="2205"/>
      <c r="I1" s="2296"/>
      <c r="J1" s="2205"/>
      <c r="K1" s="2300"/>
    </row>
    <row r="2" spans="1:14" x14ac:dyDescent="0.25">
      <c r="A2" s="8" t="s">
        <v>9104</v>
      </c>
    </row>
    <row r="3" spans="1:14" ht="12" customHeight="1" x14ac:dyDescent="0.3">
      <c r="A3" s="8" t="s">
        <v>9105</v>
      </c>
      <c r="B3" s="207"/>
      <c r="F3" s="9"/>
      <c r="G3" s="940"/>
      <c r="H3" s="9" t="s">
        <v>4816</v>
      </c>
      <c r="K3" s="9" t="s">
        <v>4816</v>
      </c>
    </row>
    <row r="4" spans="1:14" ht="12" customHeight="1" x14ac:dyDescent="0.25">
      <c r="A4" s="8" t="s">
        <v>9106</v>
      </c>
      <c r="C4" s="941"/>
      <c r="D4" s="146"/>
      <c r="E4" s="146"/>
      <c r="G4" s="2162" t="str">
        <f>A1</f>
        <v>c25.1</v>
      </c>
      <c r="H4" s="2028">
        <v>0</v>
      </c>
      <c r="I4" s="444"/>
      <c r="J4" s="2162" t="str">
        <f>A2</f>
        <v>c25.2</v>
      </c>
      <c r="K4" s="2301">
        <v>0</v>
      </c>
      <c r="L4" s="444"/>
      <c r="N4" s="942"/>
    </row>
    <row r="5" spans="1:14" x14ac:dyDescent="0.25">
      <c r="A5" s="8" t="s">
        <v>9107</v>
      </c>
      <c r="C5" s="146"/>
      <c r="D5" s="146"/>
      <c r="E5" s="146"/>
      <c r="F5" s="139"/>
      <c r="G5" s="139"/>
    </row>
    <row r="6" spans="1:14" x14ac:dyDescent="0.25">
      <c r="A6" s="8" t="s">
        <v>9108</v>
      </c>
      <c r="C6" s="146"/>
      <c r="D6" s="146"/>
      <c r="E6" s="146"/>
      <c r="F6" s="139"/>
      <c r="G6" s="139"/>
      <c r="H6" s="9" t="s">
        <v>4816</v>
      </c>
      <c r="K6" s="9" t="s">
        <v>4816</v>
      </c>
    </row>
    <row r="7" spans="1:14" x14ac:dyDescent="0.25">
      <c r="A7" s="8" t="s">
        <v>9109</v>
      </c>
      <c r="C7" s="941"/>
      <c r="D7" s="146"/>
      <c r="E7" s="146"/>
      <c r="G7" s="2162" t="str">
        <f>A3</f>
        <v>c25.3</v>
      </c>
      <c r="H7" s="2028">
        <v>0</v>
      </c>
      <c r="I7" s="444"/>
      <c r="J7" s="2162" t="str">
        <f>A4</f>
        <v>c25.4</v>
      </c>
      <c r="K7" s="2301">
        <v>0</v>
      </c>
      <c r="L7" s="444"/>
    </row>
    <row r="8" spans="1:14" x14ac:dyDescent="0.25">
      <c r="A8" s="8" t="s">
        <v>9110</v>
      </c>
    </row>
    <row r="9" spans="1:14" x14ac:dyDescent="0.25">
      <c r="A9" s="8" t="s">
        <v>9111</v>
      </c>
      <c r="K9" s="9" t="s">
        <v>4816</v>
      </c>
    </row>
    <row r="10" spans="1:14" x14ac:dyDescent="0.25">
      <c r="A10" s="8" t="s">
        <v>9112</v>
      </c>
      <c r="C10" s="382"/>
      <c r="J10" s="2162" t="str">
        <f>A5</f>
        <v>c25.5</v>
      </c>
      <c r="K10" s="2301">
        <v>0</v>
      </c>
    </row>
    <row r="11" spans="1:14" x14ac:dyDescent="0.25">
      <c r="A11" s="8" t="s">
        <v>9113</v>
      </c>
    </row>
    <row r="12" spans="1:14" x14ac:dyDescent="0.25">
      <c r="A12" s="8" t="s">
        <v>9114</v>
      </c>
      <c r="H12" s="9" t="s">
        <v>4816</v>
      </c>
      <c r="K12" s="9" t="s">
        <v>4816</v>
      </c>
    </row>
    <row r="13" spans="1:14" x14ac:dyDescent="0.25">
      <c r="A13" s="8" t="s">
        <v>9115</v>
      </c>
      <c r="C13" s="941"/>
      <c r="D13" s="146"/>
      <c r="E13" s="146"/>
      <c r="G13" s="2162" t="str">
        <f>A6</f>
        <v>c25.6</v>
      </c>
      <c r="H13" s="2028">
        <v>0</v>
      </c>
      <c r="I13" s="197"/>
      <c r="J13" s="2162" t="str">
        <f>A7</f>
        <v>c25.7</v>
      </c>
      <c r="K13" s="2301">
        <v>0</v>
      </c>
    </row>
    <row r="14" spans="1:14" x14ac:dyDescent="0.25">
      <c r="A14" s="8" t="s">
        <v>9116</v>
      </c>
    </row>
    <row r="15" spans="1:14" x14ac:dyDescent="0.25">
      <c r="A15" s="8" t="s">
        <v>9117</v>
      </c>
      <c r="K15" s="9" t="s">
        <v>4816</v>
      </c>
    </row>
    <row r="16" spans="1:14" x14ac:dyDescent="0.25">
      <c r="A16" s="8" t="s">
        <v>9118</v>
      </c>
      <c r="C16" s="382"/>
      <c r="J16" s="2162" t="str">
        <f>A8</f>
        <v>c25.8</v>
      </c>
      <c r="K16" s="2301">
        <v>0</v>
      </c>
    </row>
    <row r="17" spans="1:12" x14ac:dyDescent="0.25">
      <c r="A17" s="8" t="s">
        <v>9119</v>
      </c>
      <c r="B17" s="2151"/>
      <c r="C17" s="2302"/>
      <c r="D17" s="2302"/>
      <c r="E17" s="2302"/>
      <c r="F17" s="2151"/>
      <c r="G17" s="2151"/>
      <c r="H17" s="2151"/>
      <c r="I17" s="2151"/>
      <c r="J17" s="2151"/>
      <c r="K17" s="2303"/>
      <c r="L17" s="2303"/>
    </row>
    <row r="18" spans="1:12" x14ac:dyDescent="0.25">
      <c r="A18" s="8" t="s">
        <v>9120</v>
      </c>
      <c r="L18" s="85"/>
    </row>
    <row r="19" spans="1:12" ht="12" x14ac:dyDescent="0.3">
      <c r="A19" s="8" t="s">
        <v>9121</v>
      </c>
      <c r="B19" s="12" t="s">
        <v>9122</v>
      </c>
      <c r="G19" s="940"/>
    </row>
    <row r="20" spans="1:12" x14ac:dyDescent="0.25">
      <c r="A20" s="8" t="s">
        <v>9123</v>
      </c>
    </row>
    <row r="21" spans="1:12" x14ac:dyDescent="0.25">
      <c r="A21" s="8" t="s">
        <v>9124</v>
      </c>
      <c r="C21" s="146" t="str">
        <f>"Amount in excess of Pen_AA_limit ("&amp;DOLLAR(Pen_AA_limit,0)&amp;")"</f>
        <v>Amount in excess of Pen_AA_limit (£60,000)</v>
      </c>
      <c r="H21" s="138" t="str">
        <f>"from "&amp;AIL&amp;AIL!C11</f>
        <v>from AIL10</v>
      </c>
    </row>
    <row r="22" spans="1:12" x14ac:dyDescent="0.25">
      <c r="A22" s="8" t="s">
        <v>9125</v>
      </c>
      <c r="C22" s="146" t="str">
        <f>"or Pen_MPAA_limit ("&amp;DOLLAR(Pen_MPAA_limit,0)&amp;") (lower allowance)"</f>
        <v>or Pen_MPAA_limit (£10,000) (lower allowance)</v>
      </c>
      <c r="D22" s="146"/>
      <c r="E22" s="146"/>
      <c r="G22" s="2162" t="str">
        <f>A9</f>
        <v>c25.9</v>
      </c>
      <c r="H22" s="2304">
        <f>TRUNC(AIL!D12,0)</f>
        <v>0</v>
      </c>
      <c r="I22" s="197" t="s">
        <v>7029</v>
      </c>
    </row>
    <row r="23" spans="1:12" x14ac:dyDescent="0.25">
      <c r="A23" s="8" t="s">
        <v>9126</v>
      </c>
    </row>
    <row r="24" spans="1:12" x14ac:dyDescent="0.25">
      <c r="A24" s="8" t="s">
        <v>9127</v>
      </c>
      <c r="C24" s="22" t="s">
        <v>9128</v>
      </c>
      <c r="E24" s="9" t="str">
        <f>'Status (c3a)'!H33&amp;" + "&amp;'Status (c3a)'!L33&amp;" + "&amp;'Deductions (c4)'!H383</f>
        <v>c3a.1a + c3a.2 + c4.59</v>
      </c>
    </row>
    <row r="25" spans="1:12" x14ac:dyDescent="0.25">
      <c r="A25" s="8" t="s">
        <v>9129</v>
      </c>
      <c r="B25" s="35"/>
      <c r="C25" s="943" t="s">
        <v>9130</v>
      </c>
      <c r="D25" s="2162" t="str">
        <f>A10</f>
        <v>c25.10</v>
      </c>
      <c r="E25" s="2304">
        <f>'Status (c3a)'!I33+'Status (c3a)'!M33+'Deductions (c4)'!I383</f>
        <v>37700</v>
      </c>
    </row>
    <row r="26" spans="1:12" x14ac:dyDescent="0.25">
      <c r="A26" s="8" t="s">
        <v>9131</v>
      </c>
      <c r="C26" s="8"/>
      <c r="E26" s="84"/>
    </row>
    <row r="27" spans="1:12" x14ac:dyDescent="0.25">
      <c r="A27" s="8" t="s">
        <v>9132</v>
      </c>
      <c r="E27" s="9" t="s">
        <v>7252</v>
      </c>
    </row>
    <row r="28" spans="1:12" x14ac:dyDescent="0.25">
      <c r="A28" s="8" t="s">
        <v>9133</v>
      </c>
      <c r="C28" s="8"/>
      <c r="D28" s="8"/>
      <c r="E28" s="22" t="str">
        <f>D32&amp;" = "&amp;'non-res (c91)'!M119</f>
        <v>c25.11 = c91.28</v>
      </c>
    </row>
    <row r="29" spans="1:12" x14ac:dyDescent="0.25">
      <c r="A29" s="8" t="s">
        <v>9134</v>
      </c>
      <c r="E29" s="22" t="s">
        <v>8574</v>
      </c>
    </row>
    <row r="30" spans="1:12" x14ac:dyDescent="0.25">
      <c r="A30" s="8" t="s">
        <v>9135</v>
      </c>
      <c r="E30" s="8" t="str">
        <f>D32&amp;" = "&amp;'Taxable (c5)'!BA338</f>
        <v>c25.11 = c5.86</v>
      </c>
    </row>
    <row r="31" spans="1:12" x14ac:dyDescent="0.25">
      <c r="A31" s="8" t="s">
        <v>9136</v>
      </c>
      <c r="E31" s="22" t="s">
        <v>75</v>
      </c>
    </row>
    <row r="32" spans="1:12" x14ac:dyDescent="0.25">
      <c r="A32" s="8" t="s">
        <v>9137</v>
      </c>
      <c r="C32" s="8" t="s">
        <v>7561</v>
      </c>
      <c r="D32" s="2162" t="str">
        <f>A11</f>
        <v>c25.11</v>
      </c>
      <c r="E32" s="2304">
        <f>MAX(0,IF(non_resident,'non-res (c91)'!N119,'Taxable (c5)'!BB338))</f>
        <v>0</v>
      </c>
    </row>
    <row r="33" spans="1:18" x14ac:dyDescent="0.25">
      <c r="A33" s="8" t="s">
        <v>9138</v>
      </c>
      <c r="I33" s="210"/>
      <c r="J33" s="210"/>
      <c r="K33" s="908"/>
      <c r="R33" s="84"/>
    </row>
    <row r="34" spans="1:18" x14ac:dyDescent="0.25">
      <c r="A34" s="8" t="s">
        <v>9139</v>
      </c>
      <c r="E34" s="154" t="str">
        <f>D25&amp;" minus "&amp;D32</f>
        <v>c25.10 minus c25.11</v>
      </c>
      <c r="H34" s="9" t="str">
        <f>"lower of "&amp;G22&amp;" and "&amp;D35</f>
        <v>lower of c25.9 and c25.12</v>
      </c>
      <c r="I34" s="210"/>
      <c r="J34" s="210"/>
      <c r="K34" s="9" t="str">
        <f>G35&amp;" × "&amp;'Status (c3a)'!L45</f>
        <v>c25.13 × c3a.4</v>
      </c>
    </row>
    <row r="35" spans="1:18" x14ac:dyDescent="0.25">
      <c r="A35" s="8" t="s">
        <v>9140</v>
      </c>
      <c r="C35" s="22" t="s">
        <v>9141</v>
      </c>
      <c r="D35" s="2162" t="str">
        <f>A12</f>
        <v>c25.12</v>
      </c>
      <c r="E35" s="2305">
        <f>MAX(0,E25-E32)</f>
        <v>37700</v>
      </c>
      <c r="G35" s="2162" t="str">
        <f>A13</f>
        <v>c25.13</v>
      </c>
      <c r="H35" s="2305">
        <f>MIN(H22,E35)</f>
        <v>0</v>
      </c>
      <c r="J35" s="2162" t="str">
        <f>A14</f>
        <v>c25.14</v>
      </c>
      <c r="K35" s="2301">
        <f>TRUNC(H35*'Status (c3a)'!M45,2)</f>
        <v>0</v>
      </c>
      <c r="L35" s="197" t="s">
        <v>7647</v>
      </c>
    </row>
    <row r="36" spans="1:18" x14ac:dyDescent="0.25">
      <c r="A36" s="8" t="s">
        <v>9142</v>
      </c>
      <c r="E36" s="944"/>
      <c r="H36" s="84"/>
    </row>
    <row r="37" spans="1:18" x14ac:dyDescent="0.25">
      <c r="A37" s="8" t="s">
        <v>9143</v>
      </c>
      <c r="E37" s="154" t="str">
        <f>D32&amp;" minus "&amp;D25</f>
        <v>c25.11 minus c25.10</v>
      </c>
      <c r="H37" s="154" t="str">
        <f>G22&amp;" minus "&amp;G35</f>
        <v>c25.9 minus c25.13</v>
      </c>
    </row>
    <row r="38" spans="1:18" x14ac:dyDescent="0.25">
      <c r="A38" s="8" t="s">
        <v>9144</v>
      </c>
      <c r="C38" s="22" t="s">
        <v>9145</v>
      </c>
      <c r="D38" s="2162" t="str">
        <f>A15</f>
        <v>c25.15</v>
      </c>
      <c r="E38" s="2305">
        <f>MAX(0,E32-E25)</f>
        <v>0</v>
      </c>
      <c r="G38" s="2162" t="str">
        <f>A16</f>
        <v>c25.16</v>
      </c>
      <c r="H38" s="2305">
        <f>MAX(0,H22-H35)</f>
        <v>0</v>
      </c>
    </row>
    <row r="39" spans="1:18" x14ac:dyDescent="0.25">
      <c r="A39" s="8" t="s">
        <v>9146</v>
      </c>
      <c r="D39" s="139"/>
      <c r="E39" s="84"/>
      <c r="G39" s="139"/>
      <c r="H39" s="84"/>
    </row>
    <row r="40" spans="1:18" x14ac:dyDescent="0.25">
      <c r="A40" s="8" t="s">
        <v>9147</v>
      </c>
      <c r="E40" s="9" t="str">
        <f>"from "&amp;'Status (c3a)'!P33</f>
        <v>from c3a.2a</v>
      </c>
    </row>
    <row r="41" spans="1:18" x14ac:dyDescent="0.25">
      <c r="A41" s="8" t="s">
        <v>9148</v>
      </c>
      <c r="C41" s="22" t="s">
        <v>9149</v>
      </c>
      <c r="D41" s="2162" t="str">
        <f>A17</f>
        <v>c25.16a</v>
      </c>
      <c r="E41" s="2305">
        <f>'Status (c3a)'!Q33</f>
        <v>0</v>
      </c>
    </row>
    <row r="42" spans="1:18" x14ac:dyDescent="0.25">
      <c r="A42" s="8" t="s">
        <v>9150</v>
      </c>
      <c r="D42" s="8"/>
      <c r="E42" s="8"/>
    </row>
    <row r="43" spans="1:18" x14ac:dyDescent="0.25">
      <c r="A43" s="8" t="s">
        <v>9151</v>
      </c>
      <c r="D43" s="8"/>
      <c r="E43" s="945" t="str">
        <f>D41&amp;" minus "&amp;D38</f>
        <v>c25.16a minus c25.15</v>
      </c>
      <c r="H43" s="9" t="str">
        <f>"lower of "&amp;G38&amp;" and "&amp;D44</f>
        <v>lower of c25.16 and c25.16b</v>
      </c>
      <c r="K43" s="9" t="str">
        <f>G44&amp;" × "&amp;'Status (c3a)'!P45</f>
        <v>c25.16c × c3a.4a</v>
      </c>
    </row>
    <row r="44" spans="1:18" x14ac:dyDescent="0.25">
      <c r="A44" s="8" t="s">
        <v>9152</v>
      </c>
      <c r="C44" s="8" t="s">
        <v>9153</v>
      </c>
      <c r="D44" s="2162" t="str">
        <f>A18</f>
        <v>c25.16b</v>
      </c>
      <c r="E44" s="2305">
        <f>MAX(0,E41-E38)</f>
        <v>0</v>
      </c>
      <c r="G44" s="2162" t="str">
        <f>A19</f>
        <v>c25.16c</v>
      </c>
      <c r="H44" s="2305">
        <f>MIN(H38,E44)</f>
        <v>0</v>
      </c>
      <c r="J44" s="2162" t="str">
        <f>A20</f>
        <v>c25.16d</v>
      </c>
      <c r="K44" s="2301">
        <f>TRUNC(H44*'Status (c3a)'!Q45,2)</f>
        <v>0</v>
      </c>
      <c r="L44" s="197" t="s">
        <v>7647</v>
      </c>
    </row>
    <row r="45" spans="1:18" x14ac:dyDescent="0.25">
      <c r="A45" s="8" t="s">
        <v>9154</v>
      </c>
      <c r="D45" s="8"/>
      <c r="E45" s="8"/>
      <c r="K45" s="8"/>
    </row>
    <row r="46" spans="1:18" x14ac:dyDescent="0.25">
      <c r="A46" s="8" t="s">
        <v>9155</v>
      </c>
      <c r="D46" s="8"/>
      <c r="E46" s="945" t="str">
        <f>D32&amp;" minus ("&amp;D25&amp;" + "&amp;D41&amp;")"</f>
        <v>c25.11 minus (c25.10 + c25.16a)</v>
      </c>
      <c r="H46" s="945" t="str">
        <f>G38&amp;" minus "&amp;G44</f>
        <v>c25.16 minus c25.16c</v>
      </c>
      <c r="K46" s="8"/>
    </row>
    <row r="47" spans="1:18" x14ac:dyDescent="0.25">
      <c r="A47" s="8" t="s">
        <v>9156</v>
      </c>
      <c r="C47" s="22" t="s">
        <v>9157</v>
      </c>
      <c r="D47" s="2162" t="str">
        <f>A21</f>
        <v>c25.16e</v>
      </c>
      <c r="E47" s="2305">
        <f>MAX(0,E32-(E25+E41))</f>
        <v>0</v>
      </c>
      <c r="G47" s="2162" t="str">
        <f>A22</f>
        <v>c25.16f</v>
      </c>
      <c r="H47" s="2305">
        <f>MAX(0,H38-H44)</f>
        <v>0</v>
      </c>
      <c r="K47" s="8"/>
    </row>
    <row r="48" spans="1:18" x14ac:dyDescent="0.25">
      <c r="A48" s="8" t="s">
        <v>9158</v>
      </c>
      <c r="C48" s="8"/>
      <c r="D48" s="8"/>
      <c r="E48" s="84"/>
    </row>
    <row r="49" spans="1:12" x14ac:dyDescent="0.25">
      <c r="A49" s="8" t="s">
        <v>9159</v>
      </c>
      <c r="C49" s="882"/>
      <c r="D49" s="8"/>
      <c r="E49" s="154" t="str">
        <f>"from "&amp;'Status (c3a)'!X33</f>
        <v>from c3a.3</v>
      </c>
    </row>
    <row r="50" spans="1:12" x14ac:dyDescent="0.25">
      <c r="A50" s="8" t="s">
        <v>9160</v>
      </c>
      <c r="C50" s="22" t="s">
        <v>9161</v>
      </c>
      <c r="D50" s="2162" t="str">
        <f>A23</f>
        <v>c25.17</v>
      </c>
      <c r="E50" s="2304">
        <f>'Status (c3a)'!Y33</f>
        <v>87440</v>
      </c>
    </row>
    <row r="51" spans="1:12" x14ac:dyDescent="0.25">
      <c r="A51" s="8" t="s">
        <v>9162</v>
      </c>
      <c r="I51" s="210"/>
      <c r="J51" s="210"/>
      <c r="K51" s="946"/>
    </row>
    <row r="52" spans="1:12" x14ac:dyDescent="0.25">
      <c r="A52" s="8" t="s">
        <v>9163</v>
      </c>
      <c r="C52" s="146"/>
      <c r="D52" s="146"/>
      <c r="E52" s="154" t="str">
        <f>D50&amp;" minus "&amp;D47</f>
        <v>c25.17 minus c25.16e</v>
      </c>
      <c r="F52" s="138"/>
      <c r="G52" s="139"/>
      <c r="H52" s="154" t="str">
        <f>"lower of "&amp;G47&amp;" and "&amp;D53</f>
        <v>lower of c25.16f and c25.18</v>
      </c>
      <c r="I52" s="210"/>
      <c r="J52" s="210"/>
      <c r="K52" s="9" t="str">
        <f>G53&amp;" × "&amp;'Status (c3a)'!X45</f>
        <v>c25.19 × c3a.5</v>
      </c>
    </row>
    <row r="53" spans="1:12" x14ac:dyDescent="0.25">
      <c r="A53" s="8" t="s">
        <v>9164</v>
      </c>
      <c r="C53" s="22" t="s">
        <v>9165</v>
      </c>
      <c r="D53" s="2162" t="str">
        <f>A24</f>
        <v>c25.18</v>
      </c>
      <c r="E53" s="2305">
        <f>MAX(0,E50-E47)</f>
        <v>87440</v>
      </c>
      <c r="F53" s="138"/>
      <c r="G53" s="2162" t="str">
        <f>A25</f>
        <v>c25.19</v>
      </c>
      <c r="H53" s="2305">
        <f>MIN(H47,E53)</f>
        <v>0</v>
      </c>
      <c r="J53" s="2162" t="str">
        <f>A26</f>
        <v>c25.20</v>
      </c>
      <c r="K53" s="2301">
        <f>TRUNC(H53*'Status (c3a)'!Y45,2)</f>
        <v>0</v>
      </c>
      <c r="L53" s="197" t="s">
        <v>7647</v>
      </c>
    </row>
    <row r="54" spans="1:12" x14ac:dyDescent="0.25">
      <c r="A54" s="8" t="s">
        <v>9166</v>
      </c>
      <c r="D54" s="139"/>
      <c r="E54" s="84"/>
      <c r="F54" s="138"/>
      <c r="G54" s="139"/>
      <c r="H54" s="84"/>
      <c r="J54" s="139"/>
      <c r="L54" s="197"/>
    </row>
    <row r="55" spans="1:12" x14ac:dyDescent="0.25">
      <c r="A55" s="8" t="s">
        <v>9167</v>
      </c>
      <c r="D55" s="8"/>
      <c r="E55" s="154" t="str">
        <f>D32&amp;" minus ("&amp;D25&amp;" + "&amp;D41&amp;" + "&amp;D50&amp;")"</f>
        <v>c25.11 minus (c25.10 + c25.16a + c25.17)</v>
      </c>
      <c r="F55" s="210"/>
      <c r="G55" s="210"/>
      <c r="H55" s="9" t="str">
        <f>G47&amp;" minus "&amp;G53</f>
        <v>c25.16f minus c25.19</v>
      </c>
      <c r="J55" s="139"/>
      <c r="L55" s="197"/>
    </row>
    <row r="56" spans="1:12" x14ac:dyDescent="0.25">
      <c r="A56" s="8" t="s">
        <v>9168</v>
      </c>
      <c r="C56" s="22" t="s">
        <v>9169</v>
      </c>
      <c r="D56" s="2162" t="str">
        <f>A27</f>
        <v>c25.21</v>
      </c>
      <c r="E56" s="2305">
        <f>MAX(0,E32-(E25+E41+E50))</f>
        <v>0</v>
      </c>
      <c r="G56" s="2162" t="str">
        <f>A28</f>
        <v>c25.22</v>
      </c>
      <c r="H56" s="2301">
        <f>MAX(0,H47-H53)</f>
        <v>0</v>
      </c>
      <c r="I56" s="444" t="s">
        <v>7647</v>
      </c>
      <c r="J56" s="139"/>
      <c r="L56" s="197"/>
    </row>
    <row r="57" spans="1:12" x14ac:dyDescent="0.25">
      <c r="A57" s="8" t="s">
        <v>9170</v>
      </c>
      <c r="D57" s="8"/>
      <c r="E57" s="8"/>
      <c r="J57" s="139"/>
      <c r="L57" s="197"/>
    </row>
    <row r="58" spans="1:12" x14ac:dyDescent="0.25">
      <c r="A58" s="8" t="s">
        <v>9171</v>
      </c>
      <c r="D58" s="139"/>
      <c r="E58" s="154" t="str">
        <f>"from "&amp;'Status (c3a)'!AA33</f>
        <v>from c3a.3.1</v>
      </c>
      <c r="F58" s="138"/>
      <c r="G58" s="139"/>
      <c r="H58" s="84"/>
      <c r="J58" s="139"/>
      <c r="L58" s="197"/>
    </row>
    <row r="59" spans="1:12" x14ac:dyDescent="0.25">
      <c r="A59" s="8" t="s">
        <v>9172</v>
      </c>
      <c r="C59" s="22" t="s">
        <v>9173</v>
      </c>
      <c r="D59" s="2162" t="str">
        <f>A29</f>
        <v>c25.22a</v>
      </c>
      <c r="E59" s="2305">
        <f>'Status (c3a)'!AB33</f>
        <v>0</v>
      </c>
      <c r="F59" s="138"/>
      <c r="G59" s="139"/>
      <c r="H59" s="84"/>
      <c r="J59" s="139"/>
      <c r="L59" s="197"/>
    </row>
    <row r="60" spans="1:12" x14ac:dyDescent="0.25">
      <c r="A60" s="8" t="s">
        <v>9174</v>
      </c>
      <c r="D60" s="8"/>
      <c r="E60" s="8"/>
      <c r="F60" s="138"/>
      <c r="G60" s="139"/>
      <c r="H60" s="84"/>
      <c r="J60" s="139"/>
      <c r="L60" s="197"/>
    </row>
    <row r="61" spans="1:12" x14ac:dyDescent="0.25">
      <c r="A61" s="8" t="s">
        <v>9175</v>
      </c>
      <c r="D61" s="8"/>
      <c r="E61" s="154" t="str">
        <f>D59&amp;" minus "&amp;D56</f>
        <v>c25.22a minus c25.21</v>
      </c>
      <c r="F61" s="138"/>
      <c r="G61" s="139"/>
      <c r="H61" s="154" t="str">
        <f>"lower of "&amp;G56&amp;" and "&amp;D62</f>
        <v>lower of c25.22 and c25.22b</v>
      </c>
      <c r="J61" s="139"/>
      <c r="K61" s="9" t="str">
        <f>G62&amp;" × "&amp;'Status (c3a)'!AA45</f>
        <v>c25.22c × c3a.5a</v>
      </c>
    </row>
    <row r="62" spans="1:12" x14ac:dyDescent="0.25">
      <c r="A62" s="8" t="s">
        <v>9176</v>
      </c>
      <c r="C62" s="22" t="s">
        <v>9177</v>
      </c>
      <c r="D62" s="2162" t="str">
        <f>A30</f>
        <v>c25.22b</v>
      </c>
      <c r="E62" s="2305">
        <f>MAX(0,E59-E56)</f>
        <v>0</v>
      </c>
      <c r="F62" s="138"/>
      <c r="G62" s="2162" t="str">
        <f>A31</f>
        <v>c25.22c</v>
      </c>
      <c r="H62" s="2305">
        <f>MIN(H56,E62)</f>
        <v>0</v>
      </c>
      <c r="J62" s="2162" t="str">
        <f>A32</f>
        <v>c25.22d</v>
      </c>
      <c r="K62" s="2301">
        <f>TRUNC(H62*'Status (c3a)'!AB45,2)</f>
        <v>0</v>
      </c>
      <c r="L62" s="197" t="s">
        <v>7647</v>
      </c>
    </row>
    <row r="63" spans="1:12" x14ac:dyDescent="0.25">
      <c r="A63" s="8" t="s">
        <v>4887</v>
      </c>
      <c r="D63" s="139"/>
      <c r="E63" s="84"/>
      <c r="F63" s="138"/>
      <c r="G63" s="139"/>
      <c r="H63" s="84"/>
      <c r="K63" s="8"/>
      <c r="L63" s="197"/>
    </row>
    <row r="64" spans="1:12" x14ac:dyDescent="0.25">
      <c r="A64" s="8" t="s">
        <v>4892</v>
      </c>
      <c r="D64" s="8"/>
      <c r="E64" s="8"/>
      <c r="G64" s="139"/>
      <c r="H64" s="945" t="str">
        <f>G56&amp;" minus "&amp;G62</f>
        <v>c25.22 minus c25.22c</v>
      </c>
      <c r="I64" s="138"/>
      <c r="J64" s="139"/>
      <c r="K64" s="9" t="str">
        <f>G65&amp;" × "&amp;'Status (c3a)'!AD45</f>
        <v>c25.22e × c3a.6</v>
      </c>
      <c r="L64" s="197"/>
    </row>
    <row r="65" spans="1:12" x14ac:dyDescent="0.25">
      <c r="A65" s="8" t="s">
        <v>9178</v>
      </c>
      <c r="C65" s="22" t="s">
        <v>9179</v>
      </c>
      <c r="D65" s="8"/>
      <c r="E65" s="8"/>
      <c r="G65" s="2162" t="str">
        <f>A33</f>
        <v>c25.22e</v>
      </c>
      <c r="H65" s="2305">
        <f>MAX(0,H56-H62)</f>
        <v>0</v>
      </c>
      <c r="I65" s="138"/>
      <c r="J65" s="2162" t="str">
        <f>A34</f>
        <v>c25.22f</v>
      </c>
      <c r="K65" s="2301">
        <f>TRUNC(H65*'Status (c3a)'!AE45,2)</f>
        <v>0</v>
      </c>
      <c r="L65" s="197" t="s">
        <v>7647</v>
      </c>
    </row>
    <row r="66" spans="1:12" x14ac:dyDescent="0.25">
      <c r="A66" s="8" t="s">
        <v>9180</v>
      </c>
      <c r="D66" s="139"/>
      <c r="E66" s="84"/>
      <c r="F66" s="138"/>
      <c r="G66" s="139"/>
      <c r="H66" s="84"/>
      <c r="J66" s="139"/>
      <c r="L66" s="197"/>
    </row>
    <row r="67" spans="1:12" x14ac:dyDescent="0.25">
      <c r="A67" s="8" t="s">
        <v>9181</v>
      </c>
      <c r="C67" s="146"/>
      <c r="D67" s="146"/>
      <c r="E67" s="146"/>
      <c r="F67" s="138"/>
      <c r="K67" s="82" t="str">
        <f>J35&amp;" + "&amp;J44&amp;" + "&amp;J53&amp;" + "&amp;J62&amp;" + "&amp;J65</f>
        <v>c25.14 + c25.16d + c25.20 + c25.22d + c25.22f</v>
      </c>
    </row>
    <row r="68" spans="1:12" x14ac:dyDescent="0.25">
      <c r="A68" s="8" t="s">
        <v>4921</v>
      </c>
      <c r="C68" s="8"/>
      <c r="D68" s="8"/>
      <c r="E68" s="8"/>
      <c r="J68" s="2162" t="str">
        <f>A35</f>
        <v>c25.23</v>
      </c>
      <c r="K68" s="2306">
        <f>K35+K44+K53+K62+K65</f>
        <v>0</v>
      </c>
    </row>
    <row r="69" spans="1:12" x14ac:dyDescent="0.25">
      <c r="A69" s="8" t="s">
        <v>4831</v>
      </c>
    </row>
    <row r="70" spans="1:12" x14ac:dyDescent="0.25">
      <c r="H70" s="138" t="str">
        <f>"from "&amp;AIL&amp;AIL!C14</f>
        <v>from AIL11</v>
      </c>
      <c r="K70" s="9" t="str">
        <f>"lower of "&amp;J68&amp;" and "&amp;G71</f>
        <v>lower of c25.23 and c25.24</v>
      </c>
    </row>
    <row r="71" spans="1:12" x14ac:dyDescent="0.25">
      <c r="C71" s="146" t="s">
        <v>9182</v>
      </c>
      <c r="D71" s="146"/>
      <c r="E71" s="146"/>
      <c r="G71" s="2162" t="str">
        <f>A36</f>
        <v>c25.24</v>
      </c>
      <c r="H71" s="2306">
        <f>TRUNC(AIL!D15,0)</f>
        <v>0</v>
      </c>
      <c r="I71" s="444"/>
      <c r="J71" s="2162" t="str">
        <f>A37</f>
        <v>c25.25</v>
      </c>
      <c r="K71" s="2301">
        <f>MIN(K68,H71)</f>
        <v>0</v>
      </c>
    </row>
    <row r="72" spans="1:12" x14ac:dyDescent="0.25">
      <c r="F72" s="138"/>
      <c r="K72" s="8"/>
    </row>
    <row r="73" spans="1:12" x14ac:dyDescent="0.25">
      <c r="F73" s="138"/>
      <c r="K73" s="9" t="str">
        <f>J68&amp;" minus "&amp;J71</f>
        <v>c25.23 minus c25.25</v>
      </c>
    </row>
    <row r="74" spans="1:12" x14ac:dyDescent="0.25">
      <c r="F74" s="138"/>
      <c r="J74" s="2162" t="str">
        <f>A38</f>
        <v>c25.26</v>
      </c>
      <c r="K74" s="2301">
        <f>MAX(0,K68-K71)</f>
        <v>0</v>
      </c>
    </row>
    <row r="75" spans="1:12" x14ac:dyDescent="0.25">
      <c r="C75" s="2302"/>
      <c r="D75" s="2302"/>
      <c r="E75" s="2302"/>
      <c r="F75" s="2151"/>
      <c r="G75" s="2151"/>
      <c r="H75" s="2151"/>
      <c r="I75" s="2151"/>
      <c r="J75" s="2151"/>
      <c r="K75" s="2303"/>
      <c r="L75" s="2303"/>
    </row>
    <row r="76" spans="1:12" x14ac:dyDescent="0.25">
      <c r="L76" s="85"/>
    </row>
    <row r="77" spans="1:12" x14ac:dyDescent="0.25">
      <c r="F77" s="138"/>
      <c r="J77" s="139"/>
    </row>
    <row r="78" spans="1:12" x14ac:dyDescent="0.25">
      <c r="C78" s="947"/>
      <c r="F78" s="138"/>
      <c r="H78" s="138" t="str">
        <f>"from "&amp;AIL&amp;AIL!C17</f>
        <v>from AIL11.1</v>
      </c>
      <c r="J78" s="139"/>
      <c r="K78" s="9" t="str">
        <f>G79&amp;" × OTC_rate ("&amp;OTC_rate*100&amp;"%)"</f>
        <v>c25.27 × OTC_rate (25%)</v>
      </c>
    </row>
    <row r="79" spans="1:12" x14ac:dyDescent="0.25">
      <c r="C79" s="948" t="s">
        <v>2571</v>
      </c>
      <c r="F79" s="138"/>
      <c r="G79" s="2162" t="str">
        <f>A39</f>
        <v>c25.27</v>
      </c>
      <c r="H79" s="2301">
        <f>TRUNC(AIL!D18,0)</f>
        <v>0</v>
      </c>
      <c r="I79" s="197" t="s">
        <v>7029</v>
      </c>
      <c r="J79" s="2162" t="str">
        <f>A40</f>
        <v>c25.28</v>
      </c>
      <c r="K79" s="2301">
        <f>TRUNC(H79*OTC_rate,2)</f>
        <v>0</v>
      </c>
      <c r="L79" s="221" t="s">
        <v>7647</v>
      </c>
    </row>
    <row r="80" spans="1:12" x14ac:dyDescent="0.25">
      <c r="F80" s="138"/>
      <c r="J80" s="139"/>
    </row>
    <row r="81" spans="2:12" x14ac:dyDescent="0.25">
      <c r="C81" s="948"/>
      <c r="F81" s="138"/>
      <c r="H81" s="138" t="str">
        <f>"from "&amp;AIL&amp;AIL!C20</f>
        <v>from AIL11.2</v>
      </c>
      <c r="J81" s="139"/>
      <c r="K81" s="82" t="str">
        <f>"lower of "&amp;J79&amp;" and "&amp;G82</f>
        <v>lower of c25.28 and c25.29</v>
      </c>
    </row>
    <row r="82" spans="2:12" x14ac:dyDescent="0.25">
      <c r="C82" s="146" t="s">
        <v>9182</v>
      </c>
      <c r="F82" s="138"/>
      <c r="G82" s="2162" t="str">
        <f>A41</f>
        <v>c25.29</v>
      </c>
      <c r="H82" s="2301">
        <f>AIL!D21</f>
        <v>0</v>
      </c>
      <c r="J82" s="2162" t="str">
        <f>A42</f>
        <v>c25.30</v>
      </c>
      <c r="K82" s="2301">
        <f>MIN(K79,H82)</f>
        <v>0</v>
      </c>
    </row>
    <row r="83" spans="2:12" x14ac:dyDescent="0.25">
      <c r="F83" s="138"/>
      <c r="J83" s="139"/>
    </row>
    <row r="84" spans="2:12" x14ac:dyDescent="0.25">
      <c r="F84" s="138"/>
      <c r="J84" s="139"/>
      <c r="K84" s="82" t="str">
        <f>J79&amp;" minus "&amp;J82</f>
        <v>c25.28 minus c25.30</v>
      </c>
    </row>
    <row r="85" spans="2:12" x14ac:dyDescent="0.25">
      <c r="F85" s="138"/>
      <c r="J85" s="2162" t="str">
        <f>A43</f>
        <v>c25.31</v>
      </c>
      <c r="K85" s="2301">
        <f>MAX(0,K79-K82)</f>
        <v>0</v>
      </c>
    </row>
    <row r="86" spans="2:12" x14ac:dyDescent="0.25">
      <c r="C86" s="2302"/>
      <c r="D86" s="2302"/>
      <c r="E86" s="2302"/>
      <c r="F86" s="2151"/>
      <c r="G86" s="2151"/>
      <c r="H86" s="2151"/>
      <c r="I86" s="2151"/>
      <c r="J86" s="2151"/>
      <c r="K86" s="2303"/>
      <c r="L86" s="2303"/>
    </row>
    <row r="87" spans="2:12" x14ac:dyDescent="0.25">
      <c r="L87" s="85"/>
    </row>
    <row r="88" spans="2:12" x14ac:dyDescent="0.25">
      <c r="B88" s="12" t="s">
        <v>9183</v>
      </c>
    </row>
    <row r="89" spans="2:12" ht="12" x14ac:dyDescent="0.3">
      <c r="G89" s="940"/>
      <c r="H89" s="138" t="str">
        <f>"from "&amp;AIL&amp;AIL!G11</f>
        <v>from AIL13</v>
      </c>
      <c r="K89" s="9" t="str">
        <f>G90&amp;" × Pen_Upayts ("&amp;Pen_Upayts*100&amp;"%)"</f>
        <v>c25.32 × Pen_Upayts (40%)</v>
      </c>
    </row>
    <row r="90" spans="2:12" x14ac:dyDescent="0.25">
      <c r="C90" s="947" t="s">
        <v>9184</v>
      </c>
      <c r="D90" s="947"/>
      <c r="E90" s="947"/>
      <c r="G90" s="2162" t="str">
        <f>A44</f>
        <v>c25.32</v>
      </c>
      <c r="H90" s="2028">
        <f>TRUNC(AIL!H12,0)</f>
        <v>0</v>
      </c>
      <c r="I90" s="197" t="s">
        <v>7029</v>
      </c>
      <c r="J90" s="2162" t="str">
        <f>A45</f>
        <v>c25.33</v>
      </c>
      <c r="K90" s="2301">
        <f>TRUNC(H90*Pen_Upayts,2)</f>
        <v>0</v>
      </c>
      <c r="L90" s="197" t="s">
        <v>7647</v>
      </c>
    </row>
    <row r="91" spans="2:12" x14ac:dyDescent="0.25">
      <c r="C91" s="146"/>
      <c r="D91" s="146"/>
      <c r="E91" s="146"/>
      <c r="F91" s="139"/>
      <c r="G91" s="139"/>
      <c r="J91" s="139"/>
    </row>
    <row r="92" spans="2:12" x14ac:dyDescent="0.25">
      <c r="C92" s="146"/>
      <c r="D92" s="146"/>
      <c r="E92" s="146"/>
      <c r="F92" s="139"/>
      <c r="G92" s="139"/>
      <c r="H92" s="138" t="str">
        <f>"from "&amp;AIL&amp;AIL!G14</f>
        <v>from AIL14</v>
      </c>
      <c r="J92" s="139"/>
      <c r="K92" s="9" t="str">
        <f>G93&amp;" × Upayts_surcharge ("&amp;Upayts_surcharge*100&amp;"%)"</f>
        <v>c25.34 × Upayts_surcharge (55%)</v>
      </c>
    </row>
    <row r="93" spans="2:12" x14ac:dyDescent="0.25">
      <c r="C93" s="947" t="s">
        <v>9185</v>
      </c>
      <c r="D93" s="947"/>
      <c r="E93" s="947"/>
      <c r="G93" s="2162" t="str">
        <f>A46</f>
        <v>c25.34</v>
      </c>
      <c r="H93" s="2028">
        <f>TRUNC(AIL!H15,0)</f>
        <v>0</v>
      </c>
      <c r="I93" s="197" t="s">
        <v>7029</v>
      </c>
      <c r="J93" s="2162" t="str">
        <f>A47</f>
        <v>c25.35</v>
      </c>
      <c r="K93" s="2301">
        <f>TRUNC(H93*Upayts_surcharge,2)</f>
        <v>0</v>
      </c>
      <c r="L93" s="197" t="s">
        <v>7647</v>
      </c>
    </row>
    <row r="95" spans="2:12" x14ac:dyDescent="0.25">
      <c r="K95" s="9" t="str">
        <f>J90&amp;" + "&amp;J93</f>
        <v>c25.33 + c25.35</v>
      </c>
    </row>
    <row r="96" spans="2:12" x14ac:dyDescent="0.25">
      <c r="C96" s="22" t="s">
        <v>9186</v>
      </c>
      <c r="J96" s="2162" t="str">
        <f>A48</f>
        <v>c25.36</v>
      </c>
      <c r="K96" s="2301">
        <f>K90+K93</f>
        <v>0</v>
      </c>
    </row>
    <row r="98" spans="2:12" x14ac:dyDescent="0.25">
      <c r="H98" s="138" t="str">
        <f>"from "&amp;AIL&amp;AIL!G17</f>
        <v>from AIL15</v>
      </c>
      <c r="K98" s="9" t="str">
        <f>"lower of "&amp;J96&amp;" and "&amp;G99</f>
        <v>lower of c25.36 and c25.37</v>
      </c>
    </row>
    <row r="99" spans="2:12" x14ac:dyDescent="0.25">
      <c r="C99" s="146" t="s">
        <v>9187</v>
      </c>
      <c r="D99" s="146"/>
      <c r="E99" s="146"/>
      <c r="G99" s="2162" t="str">
        <f>A49</f>
        <v>c25.37</v>
      </c>
      <c r="H99" s="2028">
        <f>AIL!H18</f>
        <v>0</v>
      </c>
      <c r="J99" s="2162" t="str">
        <f>A50</f>
        <v>c25.38</v>
      </c>
      <c r="K99" s="2301">
        <f>MIN(K96,H99)</f>
        <v>0</v>
      </c>
    </row>
    <row r="101" spans="2:12" x14ac:dyDescent="0.25">
      <c r="K101" s="9" t="str">
        <f>J96&amp;" minus "&amp;J99</f>
        <v>c25.36 minus c25.38</v>
      </c>
    </row>
    <row r="102" spans="2:12" x14ac:dyDescent="0.25">
      <c r="C102" s="22" t="s">
        <v>9188</v>
      </c>
      <c r="J102" s="2162" t="str">
        <f>A51</f>
        <v>c25.39</v>
      </c>
      <c r="K102" s="2301">
        <f>MAX(0,K96-K99)</f>
        <v>0</v>
      </c>
    </row>
    <row r="103" spans="2:12" x14ac:dyDescent="0.25">
      <c r="B103" s="2151"/>
      <c r="C103" s="2302"/>
      <c r="D103" s="2302"/>
      <c r="E103" s="2302"/>
      <c r="F103" s="2151"/>
      <c r="G103" s="2151"/>
      <c r="H103" s="2151"/>
      <c r="I103" s="2151"/>
      <c r="J103" s="2151"/>
      <c r="K103" s="2303"/>
      <c r="L103" s="2303"/>
    </row>
    <row r="104" spans="2:12" x14ac:dyDescent="0.25">
      <c r="L104" s="85"/>
    </row>
    <row r="105" spans="2:12" x14ac:dyDescent="0.25">
      <c r="B105" s="12" t="s">
        <v>9189</v>
      </c>
    </row>
    <row r="106" spans="2:12" x14ac:dyDescent="0.25">
      <c r="H106" s="138" t="str">
        <f>"from "&amp;AIL&amp;AIL!G20</f>
        <v>from AIL16</v>
      </c>
    </row>
    <row r="107" spans="2:12" x14ac:dyDescent="0.25">
      <c r="C107" s="146" t="s">
        <v>9190</v>
      </c>
      <c r="D107" s="146"/>
      <c r="E107" s="146"/>
      <c r="G107" s="2162" t="str">
        <f>A52</f>
        <v>c25.40</v>
      </c>
      <c r="H107" s="2028">
        <f>TRUNC(AIL!H21,0)</f>
        <v>0</v>
      </c>
      <c r="I107" s="197" t="s">
        <v>7029</v>
      </c>
    </row>
    <row r="108" spans="2:12" x14ac:dyDescent="0.25">
      <c r="F108" s="146"/>
      <c r="G108" s="139"/>
    </row>
    <row r="109" spans="2:12" x14ac:dyDescent="0.25">
      <c r="H109" s="9" t="str">
        <f>"SSR_lower_band ("&amp;DOLLAR(SSR_lower_band,0)&amp;")"</f>
        <v>SSR_lower_band (£20,000)</v>
      </c>
    </row>
    <row r="110" spans="2:12" x14ac:dyDescent="0.25">
      <c r="C110" s="233" t="s">
        <v>9191</v>
      </c>
      <c r="F110" s="139"/>
      <c r="G110" s="2162" t="str">
        <f>A53</f>
        <v>c25.41</v>
      </c>
      <c r="H110" s="2307">
        <f>SSR_lower_band</f>
        <v>20000</v>
      </c>
    </row>
    <row r="111" spans="2:12" x14ac:dyDescent="0.25">
      <c r="F111" s="139"/>
      <c r="G111" s="139"/>
    </row>
    <row r="112" spans="2:12" x14ac:dyDescent="0.25">
      <c r="F112" s="139"/>
      <c r="G112" s="139"/>
      <c r="H112" s="9" t="str">
        <f>"lower of "&amp;G107&amp;" and "&amp;G110</f>
        <v>lower of c25.40 and c25.41</v>
      </c>
      <c r="K112" s="9" t="str">
        <f>G113&amp;" × SSR_lower_rate ("&amp;SSR_lower_rate*100&amp;"%)"</f>
        <v>c25.42 × SSR_lower_rate (20%)</v>
      </c>
    </row>
    <row r="113" spans="2:12" x14ac:dyDescent="0.25">
      <c r="F113" s="138"/>
      <c r="G113" s="2162" t="str">
        <f>A54</f>
        <v>c25.42</v>
      </c>
      <c r="H113" s="2305">
        <f>MIN(H107,H110)</f>
        <v>0</v>
      </c>
      <c r="J113" s="2162" t="str">
        <f>A55</f>
        <v>c25.43</v>
      </c>
      <c r="K113" s="2301">
        <f>TRUNC(H113*SSR_lower_rate,2)</f>
        <v>0</v>
      </c>
      <c r="L113" s="197" t="s">
        <v>7647</v>
      </c>
    </row>
    <row r="114" spans="2:12" x14ac:dyDescent="0.25">
      <c r="F114" s="139"/>
      <c r="G114" s="139"/>
      <c r="J114" s="139"/>
    </row>
    <row r="115" spans="2:12" x14ac:dyDescent="0.25">
      <c r="F115" s="139"/>
      <c r="G115" s="139"/>
      <c r="H115" s="9" t="str">
        <f>G107&amp;" minus "&amp;G113</f>
        <v>c25.40 minus c25.42</v>
      </c>
      <c r="J115" s="139"/>
      <c r="K115" s="9" t="str">
        <f>G116&amp;" × SSR_higher_rate ("&amp;SSR_higher_rate*100&amp;"%)"</f>
        <v>c25.44 × SSR_higher_rate (50%)</v>
      </c>
    </row>
    <row r="116" spans="2:12" x14ac:dyDescent="0.25">
      <c r="F116" s="138"/>
      <c r="G116" s="2162" t="str">
        <f>A56</f>
        <v>c25.44</v>
      </c>
      <c r="H116" s="2301">
        <f>MAX(0,H107-H113)</f>
        <v>0</v>
      </c>
      <c r="J116" s="2162" t="str">
        <f>A57</f>
        <v>c25.45</v>
      </c>
      <c r="K116" s="2301">
        <f>TRUNC(H116*SSR_higher_rate,2)</f>
        <v>0</v>
      </c>
      <c r="L116" s="197" t="s">
        <v>7647</v>
      </c>
    </row>
    <row r="117" spans="2:12" x14ac:dyDescent="0.25">
      <c r="J117" s="139"/>
    </row>
    <row r="118" spans="2:12" x14ac:dyDescent="0.25">
      <c r="B118" s="12" t="s">
        <v>9192</v>
      </c>
      <c r="K118" s="9" t="str">
        <f>J113&amp;" + "&amp;J116</f>
        <v>c25.43 + c25.45</v>
      </c>
    </row>
    <row r="119" spans="2:12" x14ac:dyDescent="0.25">
      <c r="C119" s="22" t="s">
        <v>9193</v>
      </c>
      <c r="J119" s="2162" t="str">
        <f>A58</f>
        <v>c25.46</v>
      </c>
      <c r="K119" s="2301">
        <f>K113+K116</f>
        <v>0</v>
      </c>
    </row>
    <row r="120" spans="2:12" x14ac:dyDescent="0.25">
      <c r="J120" s="139"/>
    </row>
    <row r="121" spans="2:12" x14ac:dyDescent="0.25">
      <c r="H121" s="138" t="str">
        <f>"from "&amp;AIL&amp;AIL!G23</f>
        <v>from AIL18</v>
      </c>
      <c r="K121" s="82" t="str">
        <f>"lower of "&amp;J119&amp;" and "&amp;G122</f>
        <v>lower of c25.46 and c25.47</v>
      </c>
    </row>
    <row r="122" spans="2:12" x14ac:dyDescent="0.25">
      <c r="C122" s="146" t="s">
        <v>9187</v>
      </c>
      <c r="D122" s="146"/>
      <c r="E122" s="146"/>
      <c r="G122" s="2308" t="str">
        <f>A59</f>
        <v>c25.47</v>
      </c>
      <c r="H122" s="2028">
        <f>AIL!H24</f>
        <v>0</v>
      </c>
      <c r="J122" s="2308" t="str">
        <f>A60</f>
        <v>c25.48</v>
      </c>
      <c r="K122" s="2301">
        <f>MIN(K119,H122)</f>
        <v>0</v>
      </c>
    </row>
    <row r="124" spans="2:12" x14ac:dyDescent="0.25">
      <c r="K124" s="9" t="str">
        <f>J119&amp;" minus "&amp;J122</f>
        <v>c25.46 minus c25.48</v>
      </c>
    </row>
    <row r="125" spans="2:12" x14ac:dyDescent="0.25">
      <c r="C125" s="22" t="s">
        <v>9194</v>
      </c>
      <c r="J125" s="2308" t="str">
        <f>A61</f>
        <v>c25.49</v>
      </c>
      <c r="K125" s="2301">
        <f>MAX(0,K119-K122)</f>
        <v>0</v>
      </c>
    </row>
    <row r="126" spans="2:12" x14ac:dyDescent="0.25">
      <c r="B126" s="2151"/>
      <c r="C126" s="2302"/>
      <c r="D126" s="2302"/>
      <c r="E126" s="2302"/>
      <c r="F126" s="2151"/>
      <c r="G126" s="2151"/>
      <c r="H126" s="2151"/>
      <c r="I126" s="2151"/>
      <c r="J126" s="2151"/>
      <c r="K126" s="2303"/>
      <c r="L126" s="2303"/>
    </row>
    <row r="127" spans="2:12" x14ac:dyDescent="0.25">
      <c r="L127" s="85"/>
    </row>
    <row r="128" spans="2:12" x14ac:dyDescent="0.25">
      <c r="B128" s="24" t="s">
        <v>9195</v>
      </c>
    </row>
    <row r="130" spans="3:11" x14ac:dyDescent="0.25">
      <c r="C130" s="2309"/>
      <c r="D130" s="2310"/>
      <c r="E130" s="2310"/>
      <c r="F130" s="2185"/>
      <c r="G130" s="2248"/>
    </row>
    <row r="131" spans="3:11" x14ac:dyDescent="0.25">
      <c r="C131" s="528"/>
      <c r="G131" s="249"/>
    </row>
    <row r="132" spans="3:11" x14ac:dyDescent="0.25">
      <c r="C132" s="528"/>
      <c r="G132" s="249"/>
    </row>
    <row r="133" spans="3:11" x14ac:dyDescent="0.25">
      <c r="C133" s="528"/>
      <c r="G133" s="249"/>
    </row>
    <row r="134" spans="3:11" x14ac:dyDescent="0.25">
      <c r="C134" s="528"/>
      <c r="G134" s="249"/>
    </row>
    <row r="135" spans="3:11" x14ac:dyDescent="0.25">
      <c r="C135" s="528"/>
      <c r="G135" s="249"/>
    </row>
    <row r="136" spans="3:11" x14ac:dyDescent="0.25">
      <c r="C136" s="2232"/>
      <c r="D136" s="2311"/>
      <c r="E136" s="2311"/>
      <c r="F136" s="1222"/>
      <c r="G136" s="2255"/>
    </row>
    <row r="137" spans="3:11" x14ac:dyDescent="0.25">
      <c r="I137" s="9"/>
      <c r="J137" s="9"/>
      <c r="K137" s="82" t="str">
        <f>J16&amp;" + "&amp;J74&amp;" + "&amp;J85&amp;" + "&amp;J102&amp;" + "&amp;J125</f>
        <v>c25.8 + c25.26 + c25.31 + c25.39 + c25.49</v>
      </c>
    </row>
    <row r="138" spans="3:11" x14ac:dyDescent="0.25">
      <c r="C138" s="146" t="s">
        <v>9196</v>
      </c>
      <c r="D138" s="24"/>
      <c r="E138" s="24"/>
      <c r="J138" s="2308" t="str">
        <f>A62</f>
        <v>c25.50</v>
      </c>
      <c r="K138" s="2301">
        <f>K16+K74+K85+K102+K125</f>
        <v>0</v>
      </c>
    </row>
    <row r="139" spans="3:11" x14ac:dyDescent="0.25">
      <c r="C139" s="8" t="s">
        <v>9197</v>
      </c>
      <c r="D139" s="8"/>
      <c r="E139" s="8"/>
      <c r="K139" s="82" t="str">
        <f>"Copy to "&amp;'Tax adj (c9)'!I161</f>
        <v>Copy to c9.39a</v>
      </c>
    </row>
    <row r="140" spans="3:11" x14ac:dyDescent="0.25">
      <c r="D140" s="9"/>
      <c r="E140" s="82" t="str">
        <f>J10&amp;" + "&amp;J68&amp;" + "&amp;J79&amp;" + "&amp;J96&amp;" + "&amp;J119</f>
        <v>c25.5 + c25.23 + c25.28 + c25.36 + c25.46</v>
      </c>
      <c r="F140" s="156"/>
      <c r="K140" s="82"/>
    </row>
    <row r="141" spans="3:11" x14ac:dyDescent="0.25">
      <c r="C141" s="22" t="s">
        <v>9198</v>
      </c>
      <c r="D141" s="2308" t="str">
        <f>A63</f>
        <v>c25.51</v>
      </c>
      <c r="E141" s="2301">
        <f>K10+K68+K79+K96+K119</f>
        <v>0</v>
      </c>
      <c r="F141" s="156"/>
      <c r="K141" s="82"/>
    </row>
    <row r="142" spans="3:11" x14ac:dyDescent="0.25">
      <c r="D142" s="8"/>
      <c r="F142" s="156"/>
      <c r="K142" s="82"/>
    </row>
    <row r="143" spans="3:11" x14ac:dyDescent="0.25">
      <c r="C143" s="8"/>
      <c r="D143" s="9"/>
      <c r="E143" s="82" t="str">
        <f>J13&amp;" + "&amp;J71&amp;" + "&amp;J82&amp;" + "&amp;J99&amp;" + "&amp;J122</f>
        <v>c25.7 + c25.25 + c25.30 + c25.38 + c25.48</v>
      </c>
      <c r="F143" s="156"/>
      <c r="K143" s="82"/>
    </row>
    <row r="144" spans="3:11" x14ac:dyDescent="0.25">
      <c r="C144" s="22" t="s">
        <v>4081</v>
      </c>
      <c r="D144" s="2308" t="str">
        <f>A64</f>
        <v>c25.52</v>
      </c>
      <c r="E144" s="2301">
        <f>K13+K71+K82+K99+K122</f>
        <v>0</v>
      </c>
      <c r="F144" s="156"/>
      <c r="K144" s="82"/>
    </row>
    <row r="145" spans="1:12" x14ac:dyDescent="0.25">
      <c r="B145" s="2151"/>
      <c r="C145" s="2302"/>
      <c r="D145" s="2302"/>
      <c r="E145" s="2302"/>
      <c r="F145" s="2151"/>
      <c r="G145" s="2151"/>
      <c r="H145" s="2151"/>
      <c r="I145" s="2151"/>
      <c r="J145" s="2151"/>
      <c r="K145" s="2303"/>
      <c r="L145" s="2303"/>
    </row>
    <row r="146" spans="1:12" x14ac:dyDescent="0.25">
      <c r="L146" s="85"/>
    </row>
    <row r="147" spans="1:12" ht="13" x14ac:dyDescent="0.3">
      <c r="B147" s="2" t="s">
        <v>9199</v>
      </c>
    </row>
    <row r="148" spans="1:12" x14ac:dyDescent="0.25">
      <c r="H148" s="9" t="str">
        <f>"from "&amp;'Deductions (c4)'!H379</f>
        <v>from c4.58</v>
      </c>
    </row>
    <row r="149" spans="1:12" x14ac:dyDescent="0.25">
      <c r="C149" s="146" t="s">
        <v>9200</v>
      </c>
      <c r="G149" s="2162" t="str">
        <f>A65</f>
        <v>c25.53</v>
      </c>
      <c r="H149" s="2312">
        <f>'Deductions (c4)'!I379</f>
        <v>0</v>
      </c>
    </row>
    <row r="151" spans="1:12" x14ac:dyDescent="0.25">
      <c r="K151" s="85" t="str">
        <f>G149&amp;" × BR_rate ("&amp;BR_rate*100&amp;"%)"</f>
        <v>c25.53 × BR_rate (20%)</v>
      </c>
    </row>
    <row r="152" spans="1:12" x14ac:dyDescent="0.25">
      <c r="C152" s="146" t="s">
        <v>9201</v>
      </c>
      <c r="J152" s="2162" t="str">
        <f>A66</f>
        <v>c25.54</v>
      </c>
      <c r="K152" s="2207">
        <f>TRUNC(H149*BR_rate,2)</f>
        <v>0</v>
      </c>
      <c r="L152" s="197" t="s">
        <v>7647</v>
      </c>
    </row>
    <row r="153" spans="1:12" x14ac:dyDescent="0.25">
      <c r="I153" s="210"/>
      <c r="J153" s="210"/>
    </row>
    <row r="154" spans="1:12" x14ac:dyDescent="0.25">
      <c r="J154" s="210"/>
      <c r="K154" s="9" t="str">
        <f>G149&amp;" × "&amp;'Status (c3a)'!L45</f>
        <v>c25.53 × c3a.4</v>
      </c>
    </row>
    <row r="155" spans="1:12" x14ac:dyDescent="0.25">
      <c r="C155" s="146" t="s">
        <v>9202</v>
      </c>
      <c r="J155" s="2162" t="str">
        <f>A67</f>
        <v>c25.55</v>
      </c>
      <c r="K155" s="2207">
        <f>TRUNC(H149*'Status (c3a)'!M45,2)</f>
        <v>0</v>
      </c>
      <c r="L155" s="221" t="s">
        <v>7647</v>
      </c>
    </row>
    <row r="157" spans="1:12" x14ac:dyDescent="0.25">
      <c r="A157" s="8" t="s">
        <v>4903</v>
      </c>
      <c r="K157" s="82" t="str">
        <f>J152&amp;" minus "&amp;J155</f>
        <v>c25.54 minus c25.55</v>
      </c>
    </row>
    <row r="158" spans="1:12" x14ac:dyDescent="0.25">
      <c r="A158" s="8" t="s">
        <v>4906</v>
      </c>
      <c r="C158" s="146" t="s">
        <v>9203</v>
      </c>
      <c r="J158" s="2162" t="str">
        <f>A68</f>
        <v>c25.56</v>
      </c>
      <c r="K158" s="2207">
        <f>MAX(0,K152-K155)</f>
        <v>0</v>
      </c>
    </row>
    <row r="159" spans="1:12" x14ac:dyDescent="0.25">
      <c r="A159" s="8" t="s">
        <v>9204</v>
      </c>
      <c r="C159" s="146"/>
      <c r="J159" s="139"/>
      <c r="K159" s="82" t="str">
        <f>"copy to "&amp;'Tax adj (c9)'!A51</f>
        <v>copy to c9.39d</v>
      </c>
    </row>
    <row r="161" spans="2:12" x14ac:dyDescent="0.25">
      <c r="K161" s="82" t="str">
        <f>J155&amp;" minus "&amp;J152</f>
        <v>c25.55 minus c25.54</v>
      </c>
    </row>
    <row r="162" spans="2:12" x14ac:dyDescent="0.25">
      <c r="C162" s="146" t="s">
        <v>8304</v>
      </c>
      <c r="J162" s="2162" t="str">
        <f>A69</f>
        <v>c25.57</v>
      </c>
      <c r="K162" s="2207">
        <f>MAX(0,K155-K152)</f>
        <v>0</v>
      </c>
    </row>
    <row r="163" spans="2:12" x14ac:dyDescent="0.25">
      <c r="K163" s="82" t="str">
        <f>"copy to "&amp;'Tax adj (c9)'!A33</f>
        <v>copy to c9.30</v>
      </c>
    </row>
    <row r="164" spans="2:12" x14ac:dyDescent="0.25">
      <c r="B164" s="2151"/>
      <c r="C164" s="2302"/>
      <c r="D164" s="2302"/>
      <c r="E164" s="2302"/>
      <c r="F164" s="2151"/>
      <c r="G164" s="2151"/>
      <c r="H164" s="2151"/>
      <c r="I164" s="2151"/>
      <c r="J164" s="2151"/>
      <c r="K164" s="2303"/>
      <c r="L164" s="2303"/>
    </row>
    <row r="165" spans="2:12" x14ac:dyDescent="0.25">
      <c r="L165" s="85"/>
    </row>
    <row r="166" spans="2:12" x14ac:dyDescent="0.25">
      <c r="G166" s="2144" t="s">
        <v>7019</v>
      </c>
      <c r="H166" s="2205"/>
      <c r="I166" s="2296"/>
      <c r="J166" s="2205"/>
      <c r="K166" s="2300"/>
      <c r="L166" s="85"/>
    </row>
    <row r="167" spans="2:12" ht="13" x14ac:dyDescent="0.3">
      <c r="B167" s="488" t="s">
        <v>9205</v>
      </c>
      <c r="D167" s="24"/>
      <c r="E167" s="24"/>
      <c r="F167" s="12"/>
    </row>
    <row r="168" spans="2:12" x14ac:dyDescent="0.25">
      <c r="H168" s="142" t="str">
        <f>"from "&amp;INC&amp;'INC(2)'!C7</f>
        <v>from INC9</v>
      </c>
    </row>
    <row r="169" spans="2:12" x14ac:dyDescent="0.25">
      <c r="G169" s="2162" t="str">
        <f>A157</f>
        <v>c26.1</v>
      </c>
      <c r="H169" s="2312">
        <f>TRUNC('INC(2)'!D8,0)</f>
        <v>0</v>
      </c>
      <c r="I169" s="197" t="s">
        <v>7029</v>
      </c>
    </row>
    <row r="170" spans="2:12" x14ac:dyDescent="0.25">
      <c r="C170" s="22" t="str">
        <f>"If "&amp;G169&amp;" = 0 (zero) or"</f>
        <v>If c26.1 = 0 (zero) or</v>
      </c>
    </row>
    <row r="171" spans="2:12" x14ac:dyDescent="0.25">
      <c r="C171" s="127" t="str">
        <f>'Taxable (c5)'!BA338&amp;" = 0 (zero)"</f>
        <v>c5.86 = 0 (zero)</v>
      </c>
    </row>
    <row r="172" spans="2:12" x14ac:dyDescent="0.25">
      <c r="C172" s="25" t="str">
        <f>"Set "&amp;G198&amp;" to "&amp;J198&amp;" to 0 (zero)"</f>
        <v>Set c26.2 to c26.3 to 0 (zero)</v>
      </c>
    </row>
    <row r="173" spans="2:12" x14ac:dyDescent="0.25">
      <c r="C173" s="22" t="s">
        <v>7143</v>
      </c>
      <c r="H173" s="22" t="str">
        <f>"If "&amp;'Taxable (c5)'!BA338&amp;" is greater than ("&amp;'Status (c3a)'!AD33&amp;" + "&amp;'Deductions (c4)'!H383&amp;")"</f>
        <v>If c5.86 is greater than (c3a.3a + c4.59)</v>
      </c>
      <c r="L173" s="496"/>
    </row>
    <row r="174" spans="2:12" x14ac:dyDescent="0.25">
      <c r="H174" s="22" t="str">
        <f>G198&amp;" = "&amp;'Status (c3a)'!AD45</f>
        <v>c26.2 = c3a.6</v>
      </c>
      <c r="L174" s="949"/>
    </row>
    <row r="175" spans="2:12" x14ac:dyDescent="0.25">
      <c r="H175" s="22" t="s">
        <v>7143</v>
      </c>
    </row>
    <row r="176" spans="2:12" x14ac:dyDescent="0.25">
      <c r="H176" s="127" t="str">
        <f>"if "&amp;'Status (c3a)'!D21&amp;" = 2 and "&amp;'Taxable (c5)'!BA338&amp;" is greater than ("&amp;'Status (c3a)'!H33&amp;" + "&amp;'Status (c3a)'!L33&amp;" + "&amp;'Status (c3a)'!P33&amp;" + "&amp;'Status (c3a)'!X33&amp;" + "&amp;'Deductions (c4)'!H383&amp;")"</f>
        <v>if c3a.1 = 2 and c5.86 is greater than (c3a.1a + c3a.2 + c3a.2a + c3a.3 + c4.59)</v>
      </c>
    </row>
    <row r="177" spans="8:12" x14ac:dyDescent="0.25">
      <c r="H177" s="25" t="str">
        <f>G198&amp;" = "&amp;'Status (c3a)'!AA45</f>
        <v>c26.2 = c3a.5a</v>
      </c>
    </row>
    <row r="178" spans="8:12" x14ac:dyDescent="0.25">
      <c r="H178" s="25" t="s">
        <v>7143</v>
      </c>
    </row>
    <row r="179" spans="8:12" x14ac:dyDescent="0.25">
      <c r="H179" s="278" t="str">
        <f>"if "&amp;'Taxable (c5)'!BA338&amp;" is greater than ("&amp;'Status (c3a)'!H33&amp;" + "&amp;'Status (c3a)'!L33&amp;" + "&amp;'Status (c3a)'!P33&amp;" + "&amp;'Deductions (c4)'!H383&amp;")"</f>
        <v>if c5.86 is greater than (c3a.1a + c3a.2 + c3a.2a + c4.59)</v>
      </c>
      <c r="L179" s="496"/>
    </row>
    <row r="180" spans="8:12" x14ac:dyDescent="0.25">
      <c r="H180" s="855" t="str">
        <f>G198&amp;" = "&amp;'Status (c3a)'!X45</f>
        <v>c26.2 = c3a.5</v>
      </c>
      <c r="L180" s="950"/>
    </row>
    <row r="181" spans="8:12" x14ac:dyDescent="0.25">
      <c r="H181" s="855" t="s">
        <v>7143</v>
      </c>
    </row>
    <row r="182" spans="8:12" x14ac:dyDescent="0.25">
      <c r="H182" s="951" t="str">
        <f>"if "&amp;'Status (c3a)'!D21&amp;" = 2 and "&amp;'Taxable (c5)'!BA338&amp;" is greater than ("&amp;'Status (c3a)'!H33&amp;" + "&amp;'Status (c3a)'!L33&amp;" + "&amp;'Deductions (c4)'!H383&amp;")"</f>
        <v>if c3a.1 = 2 and c5.86 is greater than (c3a.1a + c3a.2 + c4.59)</v>
      </c>
      <c r="L182" s="458"/>
    </row>
    <row r="183" spans="8:12" x14ac:dyDescent="0.25">
      <c r="H183" s="952" t="str">
        <f>G198&amp;" = "&amp;'Status (c3a)'!P45</f>
        <v>c26.2 = c3a.4a</v>
      </c>
      <c r="L183" s="949"/>
    </row>
    <row r="184" spans="8:12" x14ac:dyDescent="0.25">
      <c r="H184" s="952" t="s">
        <v>7143</v>
      </c>
    </row>
    <row r="185" spans="8:12" x14ac:dyDescent="0.25">
      <c r="H185" s="432" t="str">
        <f>"if "&amp;'Taxable (c5)'!BA338&amp;" is greater than "&amp;'Status (c3a)'!H33</f>
        <v>if c5.86 is greater than c3a.1a</v>
      </c>
      <c r="L185" s="496"/>
    </row>
    <row r="186" spans="8:12" x14ac:dyDescent="0.25">
      <c r="H186" s="953" t="str">
        <f>G198&amp;" = "&amp;'Status (c3a)'!L45</f>
        <v>c26.2 = c3a.4</v>
      </c>
      <c r="L186" s="949"/>
    </row>
    <row r="187" spans="8:12" x14ac:dyDescent="0.25">
      <c r="H187" s="953" t="s">
        <v>7143</v>
      </c>
    </row>
    <row r="188" spans="8:12" x14ac:dyDescent="0.25">
      <c r="H188" s="954" t="str">
        <f>"if "&amp;'Status (c3a)'!D21&amp;" = 2 and "&amp;'Taxable (c5)'!BA338&amp;" is greater than 0 (zero)"</f>
        <v>if c3a.1 = 2 and c5.86 is greater than 0 (zero)</v>
      </c>
      <c r="L188" s="496"/>
    </row>
    <row r="189" spans="8:12" x14ac:dyDescent="0.25">
      <c r="H189" s="955" t="str">
        <f>G198&amp;" = "&amp;'Status (c3a)'!H45</f>
        <v>c26.2 = c3a.3b</v>
      </c>
      <c r="I189" s="278"/>
      <c r="L189" s="949"/>
    </row>
    <row r="190" spans="8:12" x14ac:dyDescent="0.25">
      <c r="H190" s="955" t="s">
        <v>7143</v>
      </c>
      <c r="I190" s="127"/>
    </row>
    <row r="191" spans="8:12" x14ac:dyDescent="0.25">
      <c r="H191" s="955" t="str">
        <f>G198&amp;" = 0 (zero)"</f>
        <v>c26.2 = 0 (zero)</v>
      </c>
      <c r="I191" s="25"/>
      <c r="L191" s="949"/>
    </row>
    <row r="192" spans="8:12" x14ac:dyDescent="0.25">
      <c r="H192" s="955" t="s">
        <v>75</v>
      </c>
      <c r="I192" s="25"/>
      <c r="L192" s="949"/>
    </row>
    <row r="193" spans="3:12" x14ac:dyDescent="0.25">
      <c r="H193" s="956" t="s">
        <v>75</v>
      </c>
    </row>
    <row r="194" spans="3:12" x14ac:dyDescent="0.25">
      <c r="H194" s="957" t="s">
        <v>75</v>
      </c>
    </row>
    <row r="195" spans="3:12" x14ac:dyDescent="0.25">
      <c r="H195" s="958" t="s">
        <v>75</v>
      </c>
    </row>
    <row r="196" spans="3:12" x14ac:dyDescent="0.25">
      <c r="C196" s="382"/>
      <c r="D196" s="382"/>
      <c r="E196" s="382"/>
      <c r="F196" s="210"/>
      <c r="H196" s="959" t="s">
        <v>75</v>
      </c>
    </row>
    <row r="197" spans="3:12" x14ac:dyDescent="0.25">
      <c r="G197" s="210"/>
      <c r="H197" s="960" t="s">
        <v>75</v>
      </c>
      <c r="K197" s="9" t="str">
        <f>G169&amp;" × "&amp;G198</f>
        <v>c26.1 × c26.2</v>
      </c>
    </row>
    <row r="198" spans="3:12" x14ac:dyDescent="0.25">
      <c r="G198" s="2162" t="str">
        <f>A158</f>
        <v>c26.2</v>
      </c>
      <c r="H198" s="2313">
        <f>IF(H169=0,0,IF('Taxable (c5)'!BB338=0,0,IF('Taxable (c5)'!BB338&gt;('Status (c3a)'!AE33+'Deductions (c4)'!I383),'Status (c3a)'!AE45,IF(AND('Status (c3a)'!E21=2,'Taxable (c5)'!BB338&gt;('Status (c3a)'!I33+'Status (c3a)'!M33+'Status (c3a)'!Q33+'Status (c3a)'!Y33+'Deductions (c4)'!I383)),'Status (c3a)'!AB45,IF('Taxable (c5)'!BB338&gt;('Status (c3a)'!I33+'Status (c3a)'!M33+'Status (c3a)'!Q33+'Deductions (c4)'!I383),'Status (c3a)'!Y45,IF(AND('Status (c3a)'!E21=2,'Taxable (c5)'!BB338&gt;('Status (c3a)'!I33+'Status (c3a)'!M33+'Deductions (c4)'!I383)),'Status (c3a)'!Q45,IF('Taxable (c5)'!BB338&gt;'Status (c3a)'!I33,'Status (c3a)'!M45,IF(AND('Status (c3a)'!E21=2,'Taxable (c5)'!BB338&gt;0),'Status (c3a)'!I45,0))))))))</f>
        <v>0</v>
      </c>
      <c r="J198" s="2162" t="str">
        <f>A159</f>
        <v>c26.3</v>
      </c>
      <c r="K198" s="2301">
        <f>IF(H169=0,0,IF('Taxable (c5)'!BB338=0,0,TRUNC(H169*H198,2)))</f>
        <v>0</v>
      </c>
      <c r="L198" s="197" t="s">
        <v>7647</v>
      </c>
    </row>
    <row r="199" spans="3:12" x14ac:dyDescent="0.25">
      <c r="K199" s="82" t="str">
        <f>"Copy to "&amp;'Tax adj (c9)'!I164</f>
        <v>Copy to c9.39b</v>
      </c>
    </row>
    <row r="200" spans="3:12" x14ac:dyDescent="0.25">
      <c r="C200" s="22" t="s">
        <v>75</v>
      </c>
    </row>
    <row r="211" s="8" customFormat="1" x14ac:dyDescent="0.25"/>
    <row r="212" s="8" customFormat="1" x14ac:dyDescent="0.25"/>
    <row r="213" s="8" customFormat="1" x14ac:dyDescent="0.25"/>
    <row r="229" spans="11:11" x14ac:dyDescent="0.25">
      <c r="K229" s="82"/>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5"/>
  <dimension ref="A1:R279"/>
  <sheetViews>
    <sheetView showGridLines="0" topLeftCell="B1" workbookViewId="0">
      <selection activeCell="B1" sqref="B1"/>
    </sheetView>
  </sheetViews>
  <sheetFormatPr defaultColWidth="9.1796875" defaultRowHeight="11.5" x14ac:dyDescent="0.25"/>
  <cols>
    <col min="1" max="1" width="6.7265625" style="39" hidden="1" customWidth="1"/>
    <col min="2" max="2" width="23.81640625" style="39" customWidth="1"/>
    <col min="3" max="3" width="5.1796875" style="39" customWidth="1"/>
    <col min="4" max="4" width="14" style="39" customWidth="1"/>
    <col min="5" max="5" width="24.453125" style="39" customWidth="1"/>
    <col min="6" max="6" width="6.81640625" style="42" customWidth="1"/>
    <col min="7" max="7" width="12.54296875" style="39" customWidth="1"/>
    <col min="8" max="8" width="6.81640625" style="39" customWidth="1"/>
    <col min="9" max="9" width="54" style="42" customWidth="1"/>
    <col min="10" max="10" width="7" style="39" customWidth="1"/>
    <col min="11" max="11" width="12.54296875" style="39" customWidth="1"/>
    <col min="12" max="12" width="6.1796875" style="39" bestFit="1" customWidth="1"/>
    <col min="13" max="13" width="12.54296875" style="39" customWidth="1"/>
    <col min="14" max="15" width="5" style="39" customWidth="1"/>
    <col min="16" max="16384" width="9.1796875" style="39"/>
  </cols>
  <sheetData>
    <row r="1" spans="1:13" ht="20" x14ac:dyDescent="0.4">
      <c r="A1" s="458" t="s">
        <v>9206</v>
      </c>
      <c r="B1" s="489" t="s">
        <v>9207</v>
      </c>
      <c r="C1" s="12"/>
      <c r="D1" s="12"/>
      <c r="E1" s="8"/>
      <c r="F1" s="11"/>
      <c r="G1" s="2144" t="s">
        <v>7019</v>
      </c>
      <c r="H1" s="2205"/>
      <c r="I1" s="2205"/>
      <c r="J1" s="2205"/>
      <c r="K1" s="2147"/>
      <c r="L1" s="8"/>
      <c r="M1" s="8"/>
    </row>
    <row r="2" spans="1:13" x14ac:dyDescent="0.25">
      <c r="A2" s="8" t="s">
        <v>9208</v>
      </c>
      <c r="B2" s="210"/>
      <c r="C2" s="8"/>
      <c r="D2" s="8"/>
      <c r="E2" s="8"/>
      <c r="F2" s="11"/>
      <c r="G2" s="8"/>
      <c r="H2" s="8"/>
      <c r="I2" s="11"/>
      <c r="J2" s="8"/>
      <c r="K2" s="8"/>
      <c r="L2" s="8"/>
      <c r="M2" s="8"/>
    </row>
    <row r="3" spans="1:13" x14ac:dyDescent="0.25">
      <c r="A3" s="8" t="s">
        <v>9209</v>
      </c>
      <c r="B3" s="8"/>
      <c r="C3" s="8"/>
      <c r="D3" s="8"/>
      <c r="E3" s="458"/>
      <c r="F3" s="470"/>
      <c r="G3" s="458"/>
      <c r="H3" s="458"/>
      <c r="I3" s="470"/>
      <c r="J3" s="8"/>
      <c r="K3" s="8"/>
      <c r="L3" s="8"/>
      <c r="M3" s="8"/>
    </row>
    <row r="4" spans="1:13" x14ac:dyDescent="0.25">
      <c r="A4" s="8" t="s">
        <v>9210</v>
      </c>
      <c r="B4" s="8"/>
      <c r="C4" s="8"/>
      <c r="D4" s="8"/>
      <c r="E4" s="458"/>
      <c r="F4" s="470"/>
      <c r="G4" s="458"/>
      <c r="H4" s="458"/>
      <c r="I4" s="532"/>
      <c r="J4" s="8"/>
      <c r="K4" s="8"/>
      <c r="L4" s="8"/>
      <c r="M4" s="8"/>
    </row>
    <row r="5" spans="1:13" x14ac:dyDescent="0.25">
      <c r="A5" s="8" t="s">
        <v>9211</v>
      </c>
      <c r="B5" s="8"/>
      <c r="C5" s="8"/>
      <c r="D5" s="8"/>
      <c r="E5" s="458"/>
      <c r="F5" s="457" t="s">
        <v>1490</v>
      </c>
      <c r="G5" s="2314">
        <f>TRUNC(MAX(0,EMP!S5+TRUNC(EMP!D26+EMP!H26+EMP!H11,0)-(EMP!S31+EMP!H5)),0)</f>
        <v>0</v>
      </c>
      <c r="H5" s="458"/>
      <c r="I5" s="496"/>
      <c r="J5" s="8"/>
      <c r="K5" s="8"/>
      <c r="L5" s="8"/>
      <c r="M5" s="8"/>
    </row>
    <row r="6" spans="1:13" x14ac:dyDescent="0.25">
      <c r="A6" s="8" t="s">
        <v>9212</v>
      </c>
      <c r="B6" s="8"/>
      <c r="C6" s="8"/>
      <c r="D6" s="8"/>
      <c r="E6" s="458"/>
      <c r="F6" s="457" t="s">
        <v>1491</v>
      </c>
      <c r="G6" s="2314">
        <f>TRUNC(MAX(0,EMP!T5+TRUNC(EMP!L26+EMP!P26+EMP!P11,0)-(EMP!T31+EMP!P5)),0)</f>
        <v>0</v>
      </c>
      <c r="H6" s="458"/>
      <c r="I6" s="458"/>
      <c r="J6" s="8"/>
      <c r="K6" s="8"/>
      <c r="L6" s="8"/>
      <c r="M6" s="8"/>
    </row>
    <row r="7" spans="1:13" x14ac:dyDescent="0.25">
      <c r="A7" s="8" t="s">
        <v>9213</v>
      </c>
      <c r="B7" s="8" t="s">
        <v>8373</v>
      </c>
      <c r="C7" s="8"/>
      <c r="D7" s="8"/>
      <c r="E7" s="8"/>
      <c r="F7" s="8"/>
      <c r="G7" s="8"/>
      <c r="H7" s="8"/>
      <c r="I7" s="165"/>
      <c r="J7" s="8"/>
      <c r="K7" s="8"/>
      <c r="L7" s="8"/>
      <c r="M7" s="8"/>
    </row>
    <row r="8" spans="1:13" x14ac:dyDescent="0.25">
      <c r="A8" s="8" t="s">
        <v>9214</v>
      </c>
      <c r="B8" s="8" t="str">
        <f>"Complete box "&amp;F16&amp;" for each instance of the employment schedule"</f>
        <v>Complete box c27.1c for each instance of the employment schedule</v>
      </c>
      <c r="C8" s="8"/>
      <c r="D8" s="8"/>
      <c r="E8" s="8"/>
      <c r="F8" s="8"/>
      <c r="G8" s="8"/>
      <c r="H8" s="8"/>
      <c r="I8" s="165"/>
      <c r="J8" s="8"/>
      <c r="K8" s="8"/>
      <c r="L8" s="8"/>
      <c r="M8" s="8"/>
    </row>
    <row r="9" spans="1:13" x14ac:dyDescent="0.25">
      <c r="A9" s="458" t="s">
        <v>9215</v>
      </c>
      <c r="B9" s="8"/>
      <c r="C9" s="8"/>
      <c r="D9" s="8"/>
      <c r="E9" s="8"/>
      <c r="F9" s="469"/>
      <c r="G9" s="476" t="str">
        <f>"("&amp;EMP&amp;EMP!C4&amp;" + "&amp;EMP&amp;EMP!C10&amp;" + "&amp;EMP&amp;EMP!C25&amp;" + "&amp;EMP&amp;EMP!G25&amp;") minus "&amp;EMP&amp;EMP!G4</f>
        <v>(EMP1 + EMP3 + EMP12 + EMP16) minus EMP1.1</v>
      </c>
      <c r="H9" s="8"/>
      <c r="I9" s="165"/>
      <c r="J9" s="8"/>
      <c r="K9" s="8"/>
      <c r="L9" s="8"/>
      <c r="M9" s="8"/>
    </row>
    <row r="10" spans="1:13" ht="12" x14ac:dyDescent="0.3">
      <c r="A10" s="458"/>
      <c r="B10" s="8"/>
      <c r="C10" s="8"/>
      <c r="D10" s="8"/>
      <c r="E10" s="961" t="s">
        <v>9216</v>
      </c>
      <c r="F10" s="2315" t="str">
        <f>A2</f>
        <v>c27.1a</v>
      </c>
      <c r="G10" s="2316"/>
      <c r="H10" s="225" t="s">
        <v>7022</v>
      </c>
      <c r="I10" s="165"/>
      <c r="J10" s="8"/>
      <c r="K10" s="8"/>
      <c r="L10" s="8"/>
      <c r="M10" s="8"/>
    </row>
    <row r="11" spans="1:13" x14ac:dyDescent="0.25">
      <c r="A11" s="8" t="s">
        <v>9217</v>
      </c>
      <c r="B11" s="8"/>
      <c r="C11" s="8"/>
      <c r="D11" s="8"/>
      <c r="E11" s="8"/>
      <c r="F11" s="8"/>
      <c r="G11" s="8"/>
      <c r="H11" s="8"/>
      <c r="I11" s="165"/>
      <c r="J11" s="8"/>
      <c r="K11" s="8"/>
      <c r="L11" s="8"/>
      <c r="M11" s="8"/>
    </row>
    <row r="12" spans="1:13" x14ac:dyDescent="0.25">
      <c r="A12" s="8" t="s">
        <v>9218</v>
      </c>
      <c r="B12" s="8"/>
      <c r="C12" s="8"/>
      <c r="D12" s="8"/>
      <c r="E12" s="8"/>
      <c r="F12" s="8"/>
      <c r="G12" s="476" t="str">
        <f>EMP&amp;EMP!C30&amp;" + "&amp;EMP&amp;EMP!C33&amp;" + "&amp;EMP&amp;EMP!G30&amp;" + "&amp;EMP&amp;EMP!G33</f>
        <v>EMP17 + EMP18 + EMP19 + EMP20</v>
      </c>
      <c r="H12" s="469"/>
      <c r="I12" s="165"/>
      <c r="J12" s="8"/>
      <c r="K12" s="8"/>
      <c r="L12" s="8"/>
      <c r="M12" s="8"/>
    </row>
    <row r="13" spans="1:13" ht="12" x14ac:dyDescent="0.3">
      <c r="A13" s="8" t="s">
        <v>9219</v>
      </c>
      <c r="B13" s="8"/>
      <c r="C13" s="8"/>
      <c r="D13" s="8"/>
      <c r="E13" s="961" t="s">
        <v>9216</v>
      </c>
      <c r="F13" s="2315" t="str">
        <f>A3</f>
        <v>c27.1b</v>
      </c>
      <c r="G13" s="2316"/>
      <c r="H13" s="197" t="s">
        <v>9220</v>
      </c>
      <c r="I13" s="469"/>
      <c r="J13" s="8"/>
      <c r="K13" s="8"/>
      <c r="L13" s="8"/>
      <c r="M13" s="8"/>
    </row>
    <row r="14" spans="1:13" x14ac:dyDescent="0.25">
      <c r="A14" s="8" t="s">
        <v>9221</v>
      </c>
      <c r="B14" s="8"/>
      <c r="C14" s="8"/>
      <c r="D14" s="458"/>
      <c r="E14" s="458"/>
      <c r="F14" s="8"/>
      <c r="G14" s="8"/>
      <c r="H14" s="8"/>
      <c r="I14" s="11"/>
      <c r="J14" s="470"/>
      <c r="K14" s="457" t="str">
        <f>"Total all instances "&amp;EMP&amp;EMP!C4&amp;", "&amp;EMP&amp;EMP!C10&amp;", "&amp;EMP&amp;EMP!C25&amp;", and "&amp;EMP&amp;EMP!G25</f>
        <v>Total all instances EMP1, EMP3, EMP12, and EMP16</v>
      </c>
      <c r="L14" s="458"/>
      <c r="M14" s="8"/>
    </row>
    <row r="15" spans="1:13" x14ac:dyDescent="0.25">
      <c r="A15" s="8" t="s">
        <v>9222</v>
      </c>
      <c r="B15" s="8"/>
      <c r="C15" s="8"/>
      <c r="D15" s="458"/>
      <c r="E15" s="458"/>
      <c r="F15" s="8"/>
      <c r="G15" s="9" t="str">
        <f>F10&amp;" minus "&amp;F13</f>
        <v>c27.1a minus c27.1b</v>
      </c>
      <c r="H15" s="8"/>
      <c r="I15" s="8"/>
      <c r="J15" s="458"/>
      <c r="K15" s="457" t="str">
        <f>"minus total all instances "&amp;EMP&amp;EMP!C30&amp;" to "&amp;EMP&amp;EMP!G33</f>
        <v>minus total all instances EMP17 to EMP20</v>
      </c>
      <c r="L15" s="458"/>
      <c r="M15" s="469"/>
    </row>
    <row r="16" spans="1:13" ht="12" x14ac:dyDescent="0.3">
      <c r="A16" s="8" t="s">
        <v>9223</v>
      </c>
      <c r="B16" s="8"/>
      <c r="C16" s="8"/>
      <c r="D16" s="458"/>
      <c r="E16" s="961" t="s">
        <v>9216</v>
      </c>
      <c r="F16" s="2317" t="str">
        <f>A4</f>
        <v>c27.1c</v>
      </c>
      <c r="G16" s="2316"/>
      <c r="H16" s="8"/>
      <c r="I16" s="8"/>
      <c r="J16" s="2318" t="str">
        <f>A1</f>
        <v>c27.1</v>
      </c>
      <c r="K16" s="2179">
        <f>G5+G6</f>
        <v>0</v>
      </c>
      <c r="L16" s="473" t="s">
        <v>7029</v>
      </c>
      <c r="M16" s="8"/>
    </row>
    <row r="17" spans="1:18" x14ac:dyDescent="0.25">
      <c r="A17" s="8" t="s">
        <v>9224</v>
      </c>
      <c r="B17" s="8"/>
      <c r="C17" s="8"/>
      <c r="D17" s="8"/>
      <c r="E17" s="8"/>
      <c r="F17" s="8"/>
      <c r="G17" s="26"/>
      <c r="H17" s="8"/>
      <c r="I17" s="8"/>
      <c r="J17" s="8"/>
      <c r="K17" s="8"/>
      <c r="L17" s="8"/>
      <c r="M17" s="8"/>
      <c r="N17" s="8"/>
      <c r="O17" s="8"/>
      <c r="P17" s="8"/>
      <c r="Q17" s="8"/>
      <c r="R17" s="8"/>
    </row>
    <row r="18" spans="1:18" x14ac:dyDescent="0.25">
      <c r="A18" s="8" t="s">
        <v>9225</v>
      </c>
      <c r="B18" s="8" t="s">
        <v>5406</v>
      </c>
      <c r="C18" s="8"/>
      <c r="D18" s="8"/>
      <c r="E18" s="8"/>
      <c r="F18" s="11"/>
      <c r="G18" s="138" t="str">
        <f>ASE&amp;ASE!C5&amp;" + "&amp;ASE&amp;ASE!C8&amp;" + "&amp;ASE&amp;ASE!C11&amp;" + "&amp;ASE&amp;ASE!C14</f>
        <v>ASE1 + ASE3 + ASE4 + ASE5</v>
      </c>
      <c r="H18" s="8"/>
      <c r="I18" s="11"/>
      <c r="J18" s="8"/>
      <c r="K18" s="8"/>
      <c r="L18" s="8"/>
      <c r="M18" s="8"/>
      <c r="N18" s="8"/>
      <c r="O18" s="8"/>
      <c r="P18" s="8"/>
      <c r="Q18" s="8"/>
      <c r="R18" s="8"/>
    </row>
    <row r="19" spans="1:18" ht="12" x14ac:dyDescent="0.3">
      <c r="A19" s="8" t="s">
        <v>9226</v>
      </c>
      <c r="B19" s="8"/>
      <c r="C19" s="8"/>
      <c r="D19" s="8"/>
      <c r="E19" s="8"/>
      <c r="F19" s="2210" t="str">
        <f>A5</f>
        <v>c27.2</v>
      </c>
      <c r="G19" s="2284">
        <f>TRUNC(ASE!D6+ASE!D9+ASE!D12+ASE!D15,0)</f>
        <v>0</v>
      </c>
      <c r="H19" s="197" t="s">
        <v>7029</v>
      </c>
      <c r="I19" s="11"/>
      <c r="J19" s="326"/>
      <c r="K19" s="326"/>
      <c r="L19" s="8"/>
      <c r="M19" s="8"/>
      <c r="N19" s="8"/>
      <c r="O19" s="8"/>
      <c r="P19" s="8"/>
      <c r="Q19" s="8"/>
      <c r="R19" s="8"/>
    </row>
    <row r="20" spans="1:18" ht="12" x14ac:dyDescent="0.3">
      <c r="A20" s="8" t="s">
        <v>9227</v>
      </c>
      <c r="B20" s="8"/>
      <c r="C20" s="8"/>
      <c r="D20" s="8"/>
      <c r="E20" s="8"/>
      <c r="F20" s="8"/>
      <c r="G20" s="8"/>
      <c r="H20" s="8"/>
      <c r="I20" s="8"/>
      <c r="J20" s="326"/>
      <c r="K20" s="325"/>
      <c r="L20" s="8"/>
      <c r="M20" s="8"/>
      <c r="N20" s="8"/>
      <c r="O20" s="8"/>
      <c r="P20" s="8"/>
      <c r="Q20" s="8"/>
      <c r="R20" s="8"/>
    </row>
    <row r="21" spans="1:18" ht="12" x14ac:dyDescent="0.3">
      <c r="A21" s="8" t="s">
        <v>9228</v>
      </c>
      <c r="B21" s="8"/>
      <c r="C21" s="8"/>
      <c r="D21" s="8"/>
      <c r="E21" s="8"/>
      <c r="F21" s="8"/>
      <c r="G21" s="9" t="str">
        <f>"Total all instances "&amp;F16&amp;" + "&amp;F19</f>
        <v>Total all instances c27.1c + c27.2</v>
      </c>
      <c r="H21" s="8"/>
      <c r="I21" s="8"/>
      <c r="J21" s="458"/>
      <c r="K21" s="475" t="str">
        <f>F16&amp;" + "&amp;F19</f>
        <v>c27.1c + c27.2</v>
      </c>
      <c r="L21" s="8"/>
      <c r="M21" s="8"/>
      <c r="N21" s="8"/>
      <c r="O21" s="8"/>
      <c r="P21" s="8"/>
      <c r="Q21" s="8"/>
      <c r="R21" s="8"/>
    </row>
    <row r="22" spans="1:18" ht="12" x14ac:dyDescent="0.3">
      <c r="A22" s="8" t="s">
        <v>9229</v>
      </c>
      <c r="B22" s="8"/>
      <c r="C22" s="8"/>
      <c r="D22" s="8"/>
      <c r="E22" s="8"/>
      <c r="F22" s="2210" t="str">
        <f>A6</f>
        <v>c27.3</v>
      </c>
      <c r="G22" s="2284">
        <f>K16+G19</f>
        <v>0</v>
      </c>
      <c r="H22" s="8"/>
      <c r="I22" s="8"/>
      <c r="J22" s="2319" t="str">
        <f>A6</f>
        <v>c27.3</v>
      </c>
      <c r="K22" s="2320"/>
      <c r="L22" s="8"/>
      <c r="M22" s="8"/>
      <c r="N22" s="8"/>
      <c r="O22" s="8"/>
      <c r="P22" s="8"/>
      <c r="Q22" s="8"/>
      <c r="R22" s="8"/>
    </row>
    <row r="23" spans="1:18" ht="12" x14ac:dyDescent="0.3">
      <c r="A23" s="8" t="s">
        <v>9230</v>
      </c>
      <c r="B23" s="8"/>
      <c r="C23" s="8"/>
      <c r="D23" s="8"/>
      <c r="E23" s="8"/>
      <c r="F23" s="8"/>
      <c r="G23" s="8"/>
      <c r="H23" s="8"/>
      <c r="I23" s="8"/>
      <c r="J23" s="326"/>
      <c r="K23" s="326"/>
      <c r="L23" s="8"/>
      <c r="M23" s="8"/>
      <c r="N23" s="8"/>
      <c r="O23" s="8"/>
      <c r="P23" s="8"/>
      <c r="Q23" s="8"/>
      <c r="R23" s="8"/>
    </row>
    <row r="24" spans="1:18" ht="12" x14ac:dyDescent="0.3">
      <c r="A24" s="8" t="s">
        <v>9231</v>
      </c>
      <c r="B24" s="8"/>
      <c r="C24" s="8"/>
      <c r="D24" s="8"/>
      <c r="E24" s="8"/>
      <c r="F24" s="11"/>
      <c r="G24" s="138" t="str">
        <f>ASE&amp;ASE!G11&amp;" + "&amp;ASE&amp;ASE!G14&amp;" + "&amp;ASE&amp;ASE!G17</f>
        <v>ASE11 + ASE12 + ASE13</v>
      </c>
      <c r="H24" s="8"/>
      <c r="I24" s="11"/>
      <c r="J24" s="326"/>
      <c r="K24" s="326"/>
      <c r="L24" s="8"/>
      <c r="M24" s="8"/>
      <c r="N24" s="8"/>
      <c r="O24" s="8"/>
      <c r="P24" s="8"/>
      <c r="Q24" s="8"/>
      <c r="R24" s="8"/>
    </row>
    <row r="25" spans="1:18" ht="12" x14ac:dyDescent="0.3">
      <c r="A25" s="8" t="s">
        <v>9232</v>
      </c>
      <c r="B25" s="8"/>
      <c r="C25" s="8"/>
      <c r="D25" s="8"/>
      <c r="E25" s="8"/>
      <c r="F25" s="2210" t="str">
        <f>A7</f>
        <v>c27.4</v>
      </c>
      <c r="G25" s="2149">
        <f>TRUNC(ASE!H12+ASE!H15+ASE!H18+0.99,0)</f>
        <v>0</v>
      </c>
      <c r="H25" s="197" t="s">
        <v>7035</v>
      </c>
      <c r="I25" s="8"/>
      <c r="J25" s="326"/>
      <c r="K25" s="326"/>
      <c r="L25" s="8"/>
      <c r="M25" s="8"/>
      <c r="N25" s="8"/>
      <c r="O25" s="8"/>
      <c r="P25" s="8"/>
      <c r="Q25" s="8"/>
      <c r="R25" s="8"/>
    </row>
    <row r="26" spans="1:18" ht="12" x14ac:dyDescent="0.3">
      <c r="A26" s="8" t="s">
        <v>9233</v>
      </c>
      <c r="B26" s="8"/>
      <c r="C26" s="8"/>
      <c r="D26" s="8"/>
      <c r="E26" s="8"/>
      <c r="F26" s="11"/>
      <c r="G26" s="8"/>
      <c r="H26" s="8"/>
      <c r="I26" s="8"/>
      <c r="J26" s="326"/>
      <c r="K26" s="326"/>
      <c r="L26" s="8"/>
      <c r="M26" s="8"/>
      <c r="N26" s="8"/>
      <c r="O26" s="8"/>
      <c r="P26" s="8"/>
      <c r="Q26" s="8"/>
      <c r="R26" s="8"/>
    </row>
    <row r="27" spans="1:18" ht="12" x14ac:dyDescent="0.3">
      <c r="A27" s="8" t="s">
        <v>9234</v>
      </c>
      <c r="B27" s="8"/>
      <c r="C27" s="8"/>
      <c r="D27" s="8"/>
      <c r="E27" s="8"/>
      <c r="F27" s="8"/>
      <c r="G27" s="9" t="str">
        <f>F22&amp;" minus "&amp;F25</f>
        <v>c27.3 minus c27.4</v>
      </c>
      <c r="H27" s="8"/>
      <c r="I27" s="8"/>
      <c r="J27" s="326"/>
      <c r="K27" s="326"/>
      <c r="L27" s="8"/>
      <c r="M27" s="8"/>
      <c r="N27" s="8"/>
      <c r="O27" s="8"/>
      <c r="P27" s="8"/>
      <c r="Q27" s="8"/>
      <c r="R27" s="8"/>
    </row>
    <row r="28" spans="1:18" ht="12" x14ac:dyDescent="0.3">
      <c r="A28" s="8" t="s">
        <v>9235</v>
      </c>
      <c r="B28" s="24" t="s">
        <v>9236</v>
      </c>
      <c r="C28" s="8"/>
      <c r="D28" s="8"/>
      <c r="E28" s="8"/>
      <c r="F28" s="2210" t="str">
        <f>A8</f>
        <v>c27.5</v>
      </c>
      <c r="G28" s="2149">
        <f>MAX(G22-G25,0)</f>
        <v>0</v>
      </c>
      <c r="H28" s="8"/>
      <c r="I28" s="8"/>
      <c r="J28" s="326"/>
      <c r="K28" s="326"/>
      <c r="L28" s="8"/>
      <c r="M28" s="8"/>
      <c r="N28" s="8"/>
      <c r="O28" s="8"/>
      <c r="P28" s="8"/>
      <c r="Q28" s="8"/>
      <c r="R28" s="8"/>
    </row>
    <row r="29" spans="1:18" ht="12" x14ac:dyDescent="0.3">
      <c r="A29" s="8" t="s">
        <v>9237</v>
      </c>
      <c r="B29" s="533"/>
      <c r="C29" s="8"/>
      <c r="D29" s="8"/>
      <c r="E29" s="8"/>
      <c r="F29" s="11"/>
      <c r="G29" s="8"/>
      <c r="H29" s="8"/>
      <c r="I29" s="11"/>
      <c r="J29" s="326"/>
      <c r="K29" s="326"/>
      <c r="L29" s="8"/>
      <c r="M29" s="8"/>
      <c r="N29" s="8"/>
      <c r="O29" s="8"/>
      <c r="P29" s="8"/>
      <c r="Q29" s="8"/>
      <c r="R29" s="8"/>
    </row>
    <row r="30" spans="1:18" ht="12" x14ac:dyDescent="0.3">
      <c r="A30" s="8" t="s">
        <v>9238</v>
      </c>
      <c r="B30" s="210"/>
      <c r="C30" s="8"/>
      <c r="D30" s="8"/>
      <c r="E30" s="8"/>
      <c r="F30" s="11"/>
      <c r="G30" s="8"/>
      <c r="H30" s="8"/>
      <c r="I30" s="11"/>
      <c r="J30" s="326"/>
      <c r="K30" s="326"/>
      <c r="L30" s="8"/>
      <c r="M30" s="8"/>
      <c r="N30" s="8"/>
      <c r="O30" s="8"/>
      <c r="P30" s="8"/>
      <c r="Q30" s="8"/>
      <c r="R30" s="8"/>
    </row>
    <row r="31" spans="1:18" x14ac:dyDescent="0.25">
      <c r="A31" s="8" t="s">
        <v>9239</v>
      </c>
      <c r="B31" s="8"/>
      <c r="C31" s="8"/>
      <c r="D31" s="8"/>
      <c r="E31" s="8"/>
      <c r="F31" s="469"/>
      <c r="G31" s="476" t="s">
        <v>7043</v>
      </c>
      <c r="H31" s="8"/>
      <c r="I31" s="477"/>
      <c r="J31" s="470"/>
      <c r="K31" s="8"/>
      <c r="L31" s="458"/>
      <c r="M31" s="458"/>
      <c r="N31" s="458"/>
      <c r="O31" s="458"/>
      <c r="P31" s="458"/>
      <c r="Q31" s="458"/>
      <c r="R31" s="458"/>
    </row>
    <row r="32" spans="1:18" x14ac:dyDescent="0.25">
      <c r="A32" s="8" t="s">
        <v>9240</v>
      </c>
      <c r="B32" s="8"/>
      <c r="C32" s="8"/>
      <c r="D32" s="8"/>
      <c r="E32" s="8"/>
      <c r="F32" s="2317" t="str">
        <f>A11</f>
        <v>c27.6a</v>
      </c>
      <c r="G32" s="2321"/>
      <c r="H32" s="8"/>
      <c r="I32" s="11"/>
      <c r="J32" s="11"/>
      <c r="K32" s="11"/>
      <c r="L32" s="11"/>
      <c r="M32" s="11"/>
      <c r="N32" s="11"/>
      <c r="O32" s="11"/>
      <c r="P32" s="11"/>
      <c r="Q32" s="11"/>
      <c r="R32" s="11"/>
    </row>
    <row r="33" spans="1:18" x14ac:dyDescent="0.25">
      <c r="A33" s="8" t="s">
        <v>9241</v>
      </c>
      <c r="B33" s="8"/>
      <c r="C33" s="8"/>
      <c r="D33" s="8"/>
      <c r="E33" s="8"/>
      <c r="F33" s="8"/>
      <c r="G33" s="8"/>
      <c r="H33" s="8"/>
      <c r="I33" s="8"/>
      <c r="J33" s="11"/>
      <c r="K33" s="11"/>
      <c r="L33" s="11"/>
      <c r="M33" s="11"/>
      <c r="N33" s="11"/>
      <c r="O33" s="11"/>
      <c r="P33" s="11"/>
      <c r="Q33" s="11"/>
      <c r="R33" s="11"/>
    </row>
    <row r="34" spans="1:18" x14ac:dyDescent="0.25">
      <c r="A34" s="8" t="s">
        <v>9242</v>
      </c>
      <c r="B34" s="8"/>
      <c r="C34" s="8"/>
      <c r="D34" s="8"/>
      <c r="E34" s="8"/>
      <c r="F34" s="8"/>
      <c r="G34" s="476" t="s">
        <v>7043</v>
      </c>
      <c r="H34" s="8"/>
      <c r="I34" s="8"/>
      <c r="J34" s="11"/>
      <c r="K34" s="11"/>
      <c r="L34" s="11"/>
      <c r="M34" s="11"/>
      <c r="N34" s="11"/>
      <c r="O34" s="11"/>
      <c r="P34" s="11"/>
      <c r="Q34" s="11"/>
      <c r="R34" s="11"/>
    </row>
    <row r="35" spans="1:18" x14ac:dyDescent="0.25">
      <c r="A35" s="8" t="s">
        <v>9243</v>
      </c>
      <c r="B35" s="8"/>
      <c r="C35" s="8"/>
      <c r="D35" s="8"/>
      <c r="E35" s="8"/>
      <c r="F35" s="2317" t="str">
        <f>A12</f>
        <v>c27.6b</v>
      </c>
      <c r="G35" s="2321"/>
      <c r="H35" s="8"/>
      <c r="I35" s="11"/>
      <c r="J35" s="11"/>
      <c r="K35" s="11"/>
      <c r="L35" s="11"/>
      <c r="M35" s="11"/>
      <c r="N35" s="11"/>
      <c r="O35" s="11"/>
      <c r="P35" s="11"/>
      <c r="Q35" s="11"/>
      <c r="R35" s="11"/>
    </row>
    <row r="36" spans="1:18" x14ac:dyDescent="0.25">
      <c r="A36" s="8" t="s">
        <v>9244</v>
      </c>
      <c r="B36" s="8"/>
      <c r="C36" s="8"/>
      <c r="D36" s="8"/>
      <c r="E36" s="8"/>
      <c r="F36" s="8"/>
      <c r="G36" s="8"/>
      <c r="H36" s="8"/>
      <c r="I36" s="11"/>
      <c r="J36" s="11"/>
      <c r="K36" s="11"/>
      <c r="L36" s="11"/>
      <c r="M36" s="11"/>
      <c r="N36" s="11"/>
      <c r="O36" s="11"/>
      <c r="P36" s="11"/>
      <c r="Q36" s="11"/>
      <c r="R36" s="11"/>
    </row>
    <row r="37" spans="1:18" x14ac:dyDescent="0.25">
      <c r="A37" s="8" t="s">
        <v>9245</v>
      </c>
      <c r="B37" s="8"/>
      <c r="C37" s="8"/>
      <c r="D37" s="8"/>
      <c r="E37" s="8"/>
      <c r="F37" s="469"/>
      <c r="G37" s="476" t="s">
        <v>7043</v>
      </c>
      <c r="H37" s="8"/>
      <c r="I37" s="11"/>
      <c r="J37" s="11"/>
      <c r="K37" s="11"/>
      <c r="L37" s="11"/>
      <c r="M37" s="11"/>
      <c r="N37" s="11"/>
      <c r="O37" s="11"/>
      <c r="P37" s="11"/>
      <c r="Q37" s="11"/>
      <c r="R37" s="11"/>
    </row>
    <row r="38" spans="1:18" x14ac:dyDescent="0.25">
      <c r="A38" s="8" t="s">
        <v>9246</v>
      </c>
      <c r="B38" s="8"/>
      <c r="C38" s="8"/>
      <c r="D38" s="8"/>
      <c r="E38" s="8"/>
      <c r="F38" s="2317" t="str">
        <f>A13</f>
        <v>c27.6c</v>
      </c>
      <c r="G38" s="2321"/>
      <c r="H38" s="8"/>
      <c r="I38" s="11"/>
      <c r="J38" s="11"/>
      <c r="K38" s="11"/>
      <c r="L38" s="11"/>
      <c r="M38" s="11"/>
      <c r="N38" s="11"/>
      <c r="O38" s="11"/>
      <c r="P38" s="11"/>
      <c r="Q38" s="11"/>
      <c r="R38" s="11"/>
    </row>
    <row r="39" spans="1:18" x14ac:dyDescent="0.25">
      <c r="A39" s="8" t="s">
        <v>9247</v>
      </c>
      <c r="B39" s="8"/>
      <c r="C39" s="8"/>
      <c r="D39" s="8"/>
      <c r="E39" s="8"/>
      <c r="F39" s="11"/>
      <c r="G39" s="8"/>
      <c r="H39" s="8"/>
      <c r="I39" s="11"/>
      <c r="J39" s="11"/>
      <c r="K39" s="11"/>
      <c r="L39" s="11"/>
      <c r="M39" s="11"/>
      <c r="N39" s="11"/>
      <c r="O39" s="11"/>
      <c r="P39" s="11"/>
      <c r="Q39" s="11"/>
      <c r="R39" s="11"/>
    </row>
    <row r="40" spans="1:18" ht="13" x14ac:dyDescent="0.25">
      <c r="A40" s="8" t="s">
        <v>9248</v>
      </c>
      <c r="B40" s="534"/>
      <c r="C40" s="8"/>
      <c r="D40" s="8"/>
      <c r="E40" s="8"/>
      <c r="F40" s="8"/>
      <c r="G40" s="8"/>
      <c r="H40" s="8"/>
      <c r="I40" s="11"/>
      <c r="J40" s="11"/>
      <c r="K40" s="11"/>
      <c r="L40" s="11"/>
      <c r="M40" s="11"/>
      <c r="N40" s="11"/>
      <c r="O40" s="11"/>
      <c r="P40" s="11"/>
      <c r="Q40" s="11"/>
      <c r="R40" s="11"/>
    </row>
    <row r="41" spans="1:18" x14ac:dyDescent="0.25">
      <c r="A41" s="8" t="s">
        <v>9249</v>
      </c>
      <c r="B41" s="8"/>
      <c r="C41" s="8"/>
      <c r="D41" s="8"/>
      <c r="E41" s="8"/>
      <c r="F41" s="11"/>
      <c r="G41" s="8"/>
      <c r="H41" s="8"/>
      <c r="I41" s="11"/>
      <c r="J41" s="11"/>
      <c r="K41" s="11"/>
      <c r="L41" s="11"/>
      <c r="M41" s="11"/>
      <c r="N41" s="11"/>
      <c r="O41" s="11"/>
      <c r="P41" s="11"/>
      <c r="Q41" s="11"/>
      <c r="R41" s="11"/>
    </row>
    <row r="42" spans="1:18" ht="12" x14ac:dyDescent="0.3">
      <c r="A42" s="8" t="s">
        <v>9250</v>
      </c>
      <c r="B42" s="8"/>
      <c r="C42" s="8"/>
      <c r="D42" s="8"/>
      <c r="E42" s="458"/>
      <c r="F42" s="8"/>
      <c r="G42" s="324"/>
      <c r="H42" s="8"/>
      <c r="I42" s="11"/>
      <c r="J42" s="11"/>
      <c r="K42" s="11"/>
      <c r="L42" s="11"/>
      <c r="M42" s="11"/>
      <c r="N42" s="11"/>
      <c r="O42" s="11"/>
      <c r="P42" s="11"/>
      <c r="Q42" s="11"/>
      <c r="R42" s="11"/>
    </row>
    <row r="43" spans="1:18" ht="12" x14ac:dyDescent="0.3">
      <c r="A43" s="8" t="s">
        <v>9251</v>
      </c>
      <c r="B43" s="8"/>
      <c r="C43" s="8"/>
      <c r="D43" s="8"/>
      <c r="E43" s="458"/>
      <c r="F43" s="8"/>
      <c r="G43" s="324"/>
      <c r="H43" s="8"/>
      <c r="I43" s="11"/>
      <c r="J43" s="11"/>
      <c r="K43" s="11"/>
      <c r="L43" s="11"/>
      <c r="M43" s="11"/>
      <c r="N43" s="11"/>
      <c r="O43" s="11"/>
      <c r="P43" s="11"/>
      <c r="Q43" s="11"/>
      <c r="R43" s="11"/>
    </row>
    <row r="44" spans="1:18" ht="12" x14ac:dyDescent="0.3">
      <c r="A44" s="8" t="s">
        <v>9252</v>
      </c>
      <c r="B44" s="8"/>
      <c r="C44" s="8"/>
      <c r="D44" s="8"/>
      <c r="E44" s="458"/>
      <c r="F44" s="8"/>
      <c r="G44" s="324"/>
      <c r="H44" s="8"/>
      <c r="I44" s="11"/>
      <c r="J44" s="11"/>
      <c r="K44" s="11"/>
      <c r="L44" s="11"/>
      <c r="M44" s="11"/>
      <c r="N44" s="11"/>
      <c r="O44" s="11"/>
      <c r="P44" s="11"/>
      <c r="Q44" s="11"/>
      <c r="R44" s="11"/>
    </row>
    <row r="45" spans="1:18" ht="12" x14ac:dyDescent="0.3">
      <c r="A45" s="8" t="s">
        <v>9253</v>
      </c>
      <c r="B45" s="8"/>
      <c r="C45" s="8"/>
      <c r="D45" s="8"/>
      <c r="E45" s="458"/>
      <c r="F45" s="8"/>
      <c r="G45" s="324"/>
      <c r="H45" s="8"/>
      <c r="I45" s="11"/>
      <c r="J45" s="11"/>
      <c r="K45" s="11"/>
      <c r="L45" s="11"/>
      <c r="M45" s="11"/>
      <c r="N45" s="11"/>
      <c r="O45" s="11"/>
      <c r="P45" s="11"/>
      <c r="Q45" s="11"/>
      <c r="R45" s="11"/>
    </row>
    <row r="46" spans="1:18" ht="12" x14ac:dyDescent="0.3">
      <c r="A46" s="8" t="s">
        <v>9254</v>
      </c>
      <c r="B46" s="8"/>
      <c r="C46" s="8"/>
      <c r="D46" s="8"/>
      <c r="E46" s="458"/>
      <c r="F46" s="8"/>
      <c r="G46" s="324"/>
      <c r="H46" s="8"/>
      <c r="I46" s="11"/>
      <c r="J46" s="11"/>
      <c r="K46" s="11"/>
      <c r="L46" s="11"/>
      <c r="M46" s="11"/>
      <c r="N46" s="11"/>
      <c r="O46" s="11"/>
      <c r="P46" s="11"/>
      <c r="Q46" s="11"/>
      <c r="R46" s="11"/>
    </row>
    <row r="47" spans="1:18" ht="12" x14ac:dyDescent="0.3">
      <c r="A47" s="8" t="s">
        <v>9255</v>
      </c>
      <c r="B47" s="8"/>
      <c r="C47" s="8"/>
      <c r="D47" s="8"/>
      <c r="E47" s="458"/>
      <c r="F47" s="8"/>
      <c r="G47" s="324"/>
      <c r="H47" s="8"/>
      <c r="I47" s="11"/>
      <c r="J47" s="11"/>
      <c r="K47" s="11"/>
      <c r="L47" s="11"/>
      <c r="M47" s="11"/>
      <c r="N47" s="11"/>
      <c r="O47" s="11"/>
      <c r="P47" s="11"/>
      <c r="Q47" s="11"/>
      <c r="R47" s="11"/>
    </row>
    <row r="48" spans="1:18" ht="12" x14ac:dyDescent="0.3">
      <c r="A48" s="8" t="s">
        <v>9256</v>
      </c>
      <c r="B48" s="8"/>
      <c r="C48" s="8"/>
      <c r="D48" s="8"/>
      <c r="E48" s="458"/>
      <c r="F48" s="8"/>
      <c r="G48" s="324"/>
      <c r="H48" s="8"/>
      <c r="I48" s="11"/>
      <c r="J48" s="11"/>
      <c r="K48" s="11"/>
      <c r="L48" s="11"/>
      <c r="M48" s="11"/>
      <c r="N48" s="11"/>
      <c r="O48" s="11"/>
      <c r="P48" s="11"/>
      <c r="Q48" s="11"/>
      <c r="R48" s="11"/>
    </row>
    <row r="49" spans="1:18" ht="12" x14ac:dyDescent="0.3">
      <c r="A49" s="8" t="s">
        <v>9257</v>
      </c>
      <c r="B49" s="8"/>
      <c r="C49" s="8"/>
      <c r="D49" s="8"/>
      <c r="E49" s="458"/>
      <c r="F49" s="8"/>
      <c r="G49" s="324"/>
      <c r="H49" s="8"/>
      <c r="I49" s="11"/>
      <c r="J49" s="11"/>
      <c r="K49" s="11"/>
      <c r="L49" s="11"/>
      <c r="M49" s="11"/>
      <c r="N49" s="11"/>
      <c r="O49" s="11"/>
      <c r="P49" s="11"/>
      <c r="Q49" s="11"/>
      <c r="R49" s="11"/>
    </row>
    <row r="50" spans="1:18" ht="12" x14ac:dyDescent="0.3">
      <c r="A50" s="8" t="s">
        <v>9258</v>
      </c>
      <c r="B50" s="8"/>
      <c r="C50" s="8"/>
      <c r="D50" s="8"/>
      <c r="E50" s="458"/>
      <c r="F50" s="8"/>
      <c r="G50" s="324"/>
      <c r="H50" s="8"/>
      <c r="I50" s="11"/>
      <c r="J50" s="11"/>
      <c r="K50" s="11"/>
      <c r="L50" s="11"/>
      <c r="M50" s="11"/>
      <c r="N50" s="11"/>
      <c r="O50" s="11"/>
      <c r="P50" s="11"/>
      <c r="Q50" s="11"/>
      <c r="R50" s="11"/>
    </row>
    <row r="51" spans="1:18" ht="12" x14ac:dyDescent="0.3">
      <c r="A51" s="8" t="s">
        <v>9259</v>
      </c>
      <c r="B51" s="8"/>
      <c r="C51" s="8"/>
      <c r="D51" s="8"/>
      <c r="E51" s="458"/>
      <c r="F51" s="8"/>
      <c r="G51" s="324"/>
      <c r="H51" s="8"/>
      <c r="I51" s="11"/>
      <c r="J51" s="11"/>
      <c r="K51" s="11"/>
      <c r="L51" s="11"/>
      <c r="M51" s="11"/>
      <c r="N51" s="11"/>
      <c r="O51" s="11"/>
      <c r="P51" s="11"/>
      <c r="Q51" s="11"/>
      <c r="R51" s="11"/>
    </row>
    <row r="52" spans="1:18" x14ac:dyDescent="0.25">
      <c r="A52" s="8" t="s">
        <v>9260</v>
      </c>
      <c r="B52" s="8"/>
      <c r="C52" s="8"/>
      <c r="D52" s="8"/>
      <c r="E52" s="458"/>
      <c r="F52" s="8"/>
      <c r="G52" s="476" t="s">
        <v>7043</v>
      </c>
      <c r="H52" s="8"/>
      <c r="I52" s="11"/>
      <c r="J52" s="11"/>
      <c r="K52" s="11"/>
      <c r="L52" s="11"/>
      <c r="M52" s="11"/>
      <c r="N52" s="11"/>
      <c r="O52" s="11"/>
      <c r="P52" s="11"/>
      <c r="Q52" s="11"/>
      <c r="R52" s="11"/>
    </row>
    <row r="53" spans="1:18" x14ac:dyDescent="0.25">
      <c r="A53" s="8" t="s">
        <v>9261</v>
      </c>
      <c r="B53" s="8"/>
      <c r="C53" s="8"/>
      <c r="D53" s="210"/>
      <c r="E53" s="8"/>
      <c r="F53" s="2210" t="str">
        <f>A14</f>
        <v>c27.7</v>
      </c>
      <c r="G53" s="2149"/>
      <c r="H53" s="8"/>
      <c r="I53" s="11"/>
      <c r="J53" s="11"/>
      <c r="K53" s="11"/>
      <c r="L53" s="11"/>
      <c r="M53" s="11"/>
      <c r="N53" s="11"/>
      <c r="O53" s="11"/>
      <c r="P53" s="11"/>
      <c r="Q53" s="11"/>
      <c r="R53" s="11"/>
    </row>
    <row r="54" spans="1:18" x14ac:dyDescent="0.25">
      <c r="A54" s="8" t="s">
        <v>4696</v>
      </c>
      <c r="B54" s="8"/>
      <c r="C54" s="8"/>
      <c r="D54" s="8"/>
      <c r="E54" s="8"/>
      <c r="F54" s="8"/>
      <c r="G54" s="8"/>
      <c r="H54" s="8"/>
      <c r="I54" s="11"/>
      <c r="J54" s="332"/>
      <c r="K54" s="8"/>
      <c r="L54" s="8"/>
      <c r="M54" s="8"/>
      <c r="N54" s="8"/>
      <c r="O54" s="8"/>
      <c r="P54" s="8"/>
      <c r="Q54" s="8"/>
      <c r="R54" s="8"/>
    </row>
    <row r="55" spans="1:18" x14ac:dyDescent="0.25">
      <c r="A55" s="8" t="s">
        <v>9262</v>
      </c>
      <c r="B55" s="8"/>
      <c r="C55" s="8"/>
      <c r="D55" s="8"/>
      <c r="E55" s="8"/>
      <c r="F55" s="11"/>
      <c r="G55" s="8"/>
      <c r="H55" s="8"/>
      <c r="I55" s="11"/>
      <c r="J55" s="8"/>
      <c r="K55" s="8"/>
      <c r="L55" s="8"/>
      <c r="M55" s="8"/>
      <c r="N55" s="8"/>
      <c r="O55" s="8"/>
      <c r="P55" s="8"/>
      <c r="Q55" s="8"/>
      <c r="R55" s="8"/>
    </row>
    <row r="56" spans="1:18" x14ac:dyDescent="0.25">
      <c r="A56" s="8" t="s">
        <v>9263</v>
      </c>
      <c r="B56" s="8"/>
      <c r="C56" s="8"/>
      <c r="D56" s="8"/>
      <c r="E56" s="8"/>
      <c r="F56" s="11"/>
      <c r="G56" s="476" t="s">
        <v>7043</v>
      </c>
      <c r="H56" s="8"/>
      <c r="I56" s="11"/>
      <c r="J56" s="332"/>
      <c r="K56" s="8"/>
      <c r="L56" s="8"/>
      <c r="M56" s="8"/>
      <c r="N56" s="8"/>
      <c r="O56" s="8"/>
      <c r="P56" s="8"/>
      <c r="Q56" s="8"/>
      <c r="R56" s="8"/>
    </row>
    <row r="57" spans="1:18" x14ac:dyDescent="0.25">
      <c r="A57" s="8" t="s">
        <v>4699</v>
      </c>
      <c r="B57" s="139" t="s">
        <v>8373</v>
      </c>
      <c r="C57" s="8"/>
      <c r="D57" s="8"/>
      <c r="E57" s="8"/>
      <c r="F57" s="2210" t="str">
        <f>A15</f>
        <v>c27.8</v>
      </c>
      <c r="G57" s="2149"/>
      <c r="H57" s="8"/>
      <c r="I57" s="11"/>
      <c r="J57" s="8"/>
      <c r="K57" s="8"/>
      <c r="L57" s="8"/>
      <c r="M57" s="8"/>
      <c r="N57" s="8"/>
      <c r="O57" s="8"/>
      <c r="P57" s="8"/>
      <c r="Q57" s="8"/>
      <c r="R57" s="8"/>
    </row>
    <row r="58" spans="1:18" x14ac:dyDescent="0.25">
      <c r="A58" s="8" t="s">
        <v>4702</v>
      </c>
      <c r="B58" s="8"/>
      <c r="C58" s="8"/>
      <c r="D58" s="8"/>
      <c r="E58" s="8"/>
      <c r="F58" s="8"/>
      <c r="G58" s="8"/>
      <c r="H58" s="8"/>
      <c r="I58" s="11"/>
      <c r="J58" s="8"/>
      <c r="K58" s="8"/>
      <c r="L58" s="8"/>
      <c r="M58" s="8"/>
      <c r="N58" s="8"/>
      <c r="O58" s="8"/>
      <c r="P58" s="8"/>
      <c r="Q58" s="8"/>
      <c r="R58" s="8"/>
    </row>
    <row r="59" spans="1:18" x14ac:dyDescent="0.25">
      <c r="A59" s="8" t="s">
        <v>9264</v>
      </c>
      <c r="B59" s="8"/>
      <c r="C59" s="8"/>
      <c r="D59" s="8"/>
      <c r="E59" s="8"/>
      <c r="F59" s="8"/>
      <c r="G59" s="8"/>
      <c r="H59" s="8"/>
      <c r="I59" s="11"/>
      <c r="J59" s="8"/>
      <c r="K59" s="8"/>
      <c r="L59" s="8"/>
      <c r="M59" s="8"/>
      <c r="N59" s="8"/>
      <c r="O59" s="8"/>
      <c r="P59" s="8"/>
      <c r="Q59" s="8"/>
      <c r="R59" s="8"/>
    </row>
    <row r="60" spans="1:18" ht="13" x14ac:dyDescent="0.25">
      <c r="A60" s="8" t="s">
        <v>4716</v>
      </c>
      <c r="B60" s="534"/>
      <c r="C60" s="8"/>
      <c r="D60" s="8"/>
      <c r="E60" s="8"/>
      <c r="F60" s="8"/>
      <c r="G60" s="8"/>
      <c r="H60" s="8"/>
      <c r="I60" s="11"/>
      <c r="J60" s="8"/>
      <c r="K60" s="8"/>
      <c r="L60" s="8"/>
      <c r="M60" s="8"/>
      <c r="N60" s="8"/>
      <c r="O60" s="8"/>
      <c r="P60" s="8"/>
      <c r="Q60" s="8"/>
      <c r="R60" s="8"/>
    </row>
    <row r="61" spans="1:18" ht="13" x14ac:dyDescent="0.25">
      <c r="A61" s="8" t="s">
        <v>4719</v>
      </c>
      <c r="B61" s="275"/>
      <c r="C61" s="8"/>
      <c r="D61" s="8"/>
      <c r="E61" s="11"/>
      <c r="F61" s="11"/>
      <c r="G61" s="11"/>
      <c r="H61" s="8"/>
      <c r="I61" s="11"/>
      <c r="J61" s="8"/>
      <c r="K61" s="8"/>
      <c r="L61" s="8"/>
      <c r="M61" s="8"/>
      <c r="N61" s="8"/>
      <c r="O61" s="8"/>
      <c r="P61" s="8"/>
      <c r="Q61" s="8"/>
      <c r="R61" s="8"/>
    </row>
    <row r="62" spans="1:18" ht="13" x14ac:dyDescent="0.25">
      <c r="A62" s="8" t="s">
        <v>4708</v>
      </c>
      <c r="B62" s="275"/>
      <c r="C62" s="8"/>
      <c r="D62" s="8"/>
      <c r="E62" s="11"/>
      <c r="F62" s="11"/>
      <c r="G62" s="11"/>
      <c r="H62" s="8"/>
      <c r="I62" s="11"/>
      <c r="J62" s="8"/>
      <c r="K62" s="8"/>
      <c r="L62" s="8"/>
      <c r="M62" s="8"/>
      <c r="N62" s="8"/>
      <c r="O62" s="8"/>
      <c r="P62" s="8"/>
      <c r="Q62" s="8"/>
      <c r="R62" s="8"/>
    </row>
    <row r="63" spans="1:18" ht="13" x14ac:dyDescent="0.25">
      <c r="A63" s="8" t="s">
        <v>4724</v>
      </c>
      <c r="B63" s="275"/>
      <c r="C63" s="8"/>
      <c r="D63" s="8"/>
      <c r="E63" s="11"/>
      <c r="F63" s="11"/>
      <c r="G63" s="11"/>
      <c r="H63" s="8"/>
      <c r="I63" s="11"/>
      <c r="J63" s="8"/>
      <c r="K63" s="8"/>
      <c r="L63" s="8"/>
      <c r="M63" s="8"/>
      <c r="N63" s="8"/>
      <c r="O63" s="8"/>
      <c r="P63" s="8"/>
      <c r="Q63" s="8"/>
      <c r="R63" s="8"/>
    </row>
    <row r="64" spans="1:18" ht="13" x14ac:dyDescent="0.25">
      <c r="A64" s="8"/>
      <c r="B64" s="275"/>
      <c r="C64" s="8"/>
      <c r="D64" s="8"/>
      <c r="E64" s="11"/>
      <c r="F64" s="11"/>
      <c r="G64" s="11"/>
      <c r="H64" s="8"/>
      <c r="I64" s="11"/>
      <c r="J64" s="8"/>
      <c r="K64" s="8"/>
      <c r="L64" s="8"/>
      <c r="M64" s="8"/>
      <c r="N64" s="8"/>
      <c r="O64" s="8"/>
      <c r="P64" s="8"/>
      <c r="Q64" s="8"/>
      <c r="R64" s="8"/>
    </row>
    <row r="65" spans="1:9" ht="13" x14ac:dyDescent="0.25">
      <c r="A65" s="8"/>
      <c r="B65" s="275"/>
      <c r="C65" s="8"/>
      <c r="D65" s="8"/>
      <c r="E65" s="11"/>
      <c r="F65" s="11"/>
      <c r="G65" s="11"/>
      <c r="H65" s="8"/>
      <c r="I65" s="11"/>
    </row>
    <row r="66" spans="1:9" ht="13" x14ac:dyDescent="0.25">
      <c r="A66" s="8"/>
      <c r="B66" s="275"/>
      <c r="C66" s="8"/>
      <c r="D66" s="11"/>
      <c r="E66" s="11"/>
      <c r="F66" s="11"/>
      <c r="G66" s="11"/>
      <c r="H66" s="8"/>
      <c r="I66" s="11"/>
    </row>
    <row r="67" spans="1:9" x14ac:dyDescent="0.25">
      <c r="A67" s="8"/>
      <c r="B67" s="139"/>
      <c r="C67" s="8"/>
      <c r="D67" s="11"/>
      <c r="E67" s="11"/>
      <c r="F67" s="11"/>
      <c r="G67" s="11"/>
      <c r="H67" s="8"/>
      <c r="I67" s="11"/>
    </row>
    <row r="68" spans="1:9" x14ac:dyDescent="0.25">
      <c r="A68" s="8"/>
      <c r="B68" s="139"/>
      <c r="C68" s="8"/>
      <c r="D68" s="11"/>
      <c r="E68" s="11"/>
      <c r="F68" s="11"/>
      <c r="G68" s="11"/>
      <c r="H68" s="8"/>
      <c r="I68" s="11"/>
    </row>
    <row r="69" spans="1:9" x14ac:dyDescent="0.25">
      <c r="A69" s="8"/>
      <c r="B69" s="139"/>
      <c r="C69" s="8"/>
      <c r="D69" s="11"/>
      <c r="E69" s="11"/>
      <c r="F69" s="11"/>
      <c r="G69" s="11"/>
      <c r="H69" s="8"/>
      <c r="I69" s="11"/>
    </row>
    <row r="70" spans="1:9" x14ac:dyDescent="0.25">
      <c r="A70" s="8"/>
      <c r="B70" s="139"/>
      <c r="C70" s="8"/>
      <c r="D70" s="11"/>
      <c r="E70" s="11"/>
      <c r="F70" s="11"/>
      <c r="G70" s="11"/>
      <c r="H70" s="8"/>
      <c r="I70" s="11"/>
    </row>
    <row r="71" spans="1:9" x14ac:dyDescent="0.25">
      <c r="A71" s="8"/>
      <c r="B71" s="139"/>
      <c r="C71" s="8"/>
      <c r="D71" s="11"/>
      <c r="E71" s="11"/>
      <c r="F71" s="11"/>
      <c r="G71" s="11"/>
      <c r="H71" s="8"/>
      <c r="I71" s="11"/>
    </row>
    <row r="72" spans="1:9" x14ac:dyDescent="0.25">
      <c r="A72" s="8"/>
      <c r="B72" s="139"/>
      <c r="C72" s="8"/>
      <c r="D72" s="8"/>
      <c r="E72" s="8"/>
      <c r="F72" s="187"/>
      <c r="G72" s="476" t="s">
        <v>7043</v>
      </c>
      <c r="H72" s="8"/>
      <c r="I72" s="11"/>
    </row>
    <row r="73" spans="1:9" x14ac:dyDescent="0.25">
      <c r="A73" s="8"/>
      <c r="B73" s="139"/>
      <c r="C73" s="8"/>
      <c r="D73" s="8"/>
      <c r="E73" s="8"/>
      <c r="F73" s="2210" t="str">
        <f>A16</f>
        <v>c27.8a</v>
      </c>
      <c r="G73" s="2149"/>
      <c r="H73" s="8"/>
      <c r="I73" s="11"/>
    </row>
    <row r="74" spans="1:9" x14ac:dyDescent="0.25">
      <c r="A74" s="8"/>
      <c r="B74" s="139"/>
      <c r="C74" s="8"/>
      <c r="D74" s="8"/>
      <c r="E74" s="8"/>
      <c r="F74" s="187"/>
      <c r="G74" s="26"/>
      <c r="H74" s="8"/>
      <c r="I74" s="11"/>
    </row>
    <row r="75" spans="1:9" x14ac:dyDescent="0.25">
      <c r="A75" s="8"/>
      <c r="B75" s="139"/>
      <c r="C75" s="8"/>
      <c r="D75" s="8"/>
      <c r="E75" s="8"/>
      <c r="F75" s="187"/>
      <c r="G75" s="26"/>
      <c r="H75" s="8"/>
      <c r="I75" s="11"/>
    </row>
    <row r="76" spans="1:9" x14ac:dyDescent="0.25">
      <c r="A76" s="8"/>
      <c r="B76" s="139"/>
      <c r="C76" s="8"/>
      <c r="D76" s="8"/>
      <c r="E76" s="8"/>
      <c r="F76" s="11"/>
      <c r="G76" s="476" t="s">
        <v>7043</v>
      </c>
      <c r="H76" s="8"/>
      <c r="I76" s="11"/>
    </row>
    <row r="77" spans="1:9" x14ac:dyDescent="0.25">
      <c r="A77" s="8"/>
      <c r="B77" s="381"/>
      <c r="C77" s="8"/>
      <c r="D77" s="8"/>
      <c r="E77" s="8"/>
      <c r="F77" s="2210" t="str">
        <f>A17</f>
        <v>c27.8b</v>
      </c>
      <c r="G77" s="2149"/>
      <c r="H77" s="8"/>
      <c r="I77" s="11"/>
    </row>
    <row r="78" spans="1:9" x14ac:dyDescent="0.25">
      <c r="A78" s="8"/>
      <c r="B78" s="8"/>
      <c r="C78" s="8"/>
      <c r="D78" s="8"/>
      <c r="E78" s="8"/>
      <c r="F78" s="8"/>
      <c r="G78" s="8"/>
      <c r="H78" s="8"/>
      <c r="I78" s="11"/>
    </row>
    <row r="79" spans="1:9" x14ac:dyDescent="0.25">
      <c r="A79" s="8"/>
      <c r="B79" s="8" t="str">
        <f>"Complete box "&amp;F87&amp;" for each instance of MOR schedule"</f>
        <v>Complete box c27.9c for each instance of MOR schedule</v>
      </c>
      <c r="C79" s="8"/>
      <c r="D79" s="8"/>
      <c r="E79" s="8"/>
      <c r="F79" s="8"/>
      <c r="G79" s="8"/>
      <c r="H79" s="8"/>
      <c r="I79" s="11"/>
    </row>
    <row r="80" spans="1:9" x14ac:dyDescent="0.25">
      <c r="A80" s="8"/>
      <c r="B80" s="8"/>
      <c r="C80" s="8"/>
      <c r="D80" s="8"/>
      <c r="E80" s="8"/>
      <c r="F80" s="8"/>
      <c r="G80" s="138" t="str">
        <f>"("&amp;MOR&amp;MOR!C19&amp;" + "&amp;MOR&amp;MOR!G11&amp;")"</f>
        <v>(MOR38 + MOR17)</v>
      </c>
      <c r="H80" s="8"/>
      <c r="I80" s="11"/>
    </row>
    <row r="81" spans="1:11" x14ac:dyDescent="0.25">
      <c r="A81" s="8"/>
      <c r="B81" s="8"/>
      <c r="C81" s="8"/>
      <c r="D81" s="8"/>
      <c r="E81" s="8"/>
      <c r="F81" s="2210" t="str">
        <f>A18</f>
        <v>c27.9a</v>
      </c>
      <c r="G81" s="2149">
        <f>TRUNC(MOR!H12+MOR!D20,0)</f>
        <v>0</v>
      </c>
      <c r="H81" s="197" t="s">
        <v>7026</v>
      </c>
      <c r="I81" s="11"/>
      <c r="J81" s="8"/>
      <c r="K81" s="8"/>
    </row>
    <row r="82" spans="1:11" x14ac:dyDescent="0.25">
      <c r="A82" s="8"/>
      <c r="B82" s="8"/>
      <c r="C82" s="8"/>
      <c r="D82" s="8"/>
      <c r="E82" s="8"/>
      <c r="F82" s="8"/>
      <c r="G82" s="8"/>
      <c r="H82" s="8"/>
      <c r="I82" s="11"/>
      <c r="J82" s="8"/>
      <c r="K82" s="8"/>
    </row>
    <row r="83" spans="1:11" x14ac:dyDescent="0.25">
      <c r="A83" s="8"/>
      <c r="B83" s="8"/>
      <c r="C83" s="8"/>
      <c r="D83" s="8"/>
      <c r="E83" s="8"/>
      <c r="F83" s="8"/>
      <c r="G83" s="138" t="str">
        <f>"("&amp;MOR&amp;MOR!C8&amp;" + "&amp;MOR&amp;MOR!C15&amp;" + "&amp;MOR&amp;MOR!G15&amp;")"</f>
        <v>(MOR2.1 + MOR6 + MOR19)</v>
      </c>
      <c r="H83" s="8"/>
      <c r="I83" s="11"/>
      <c r="J83" s="8"/>
      <c r="K83" s="8"/>
    </row>
    <row r="84" spans="1:11" x14ac:dyDescent="0.25">
      <c r="A84" s="8"/>
      <c r="B84" s="8"/>
      <c r="C84" s="8"/>
      <c r="D84" s="8"/>
      <c r="E84" s="8"/>
      <c r="F84" s="2210" t="str">
        <f>A19</f>
        <v>c27.9b</v>
      </c>
      <c r="G84" s="2149">
        <f>TRUNC(MOR!D9+MOR!D16+MOR!H16+0.99,0)</f>
        <v>0</v>
      </c>
      <c r="H84" s="197" t="s">
        <v>9265</v>
      </c>
      <c r="I84" s="11"/>
      <c r="J84" s="8"/>
      <c r="K84" s="8"/>
    </row>
    <row r="85" spans="1:11" x14ac:dyDescent="0.25">
      <c r="A85" s="8"/>
      <c r="B85" s="8"/>
      <c r="C85" s="8"/>
      <c r="D85" s="8"/>
      <c r="E85" s="8"/>
      <c r="F85" s="8"/>
      <c r="G85" s="8"/>
      <c r="H85" s="8"/>
      <c r="I85" s="11"/>
      <c r="J85" s="8"/>
      <c r="K85" s="8"/>
    </row>
    <row r="86" spans="1:11" x14ac:dyDescent="0.25">
      <c r="A86" s="8"/>
      <c r="B86" s="8"/>
      <c r="C86" s="8"/>
      <c r="D86" s="8"/>
      <c r="E86" s="8"/>
      <c r="F86" s="187"/>
      <c r="G86" s="9" t="str">
        <f>F81&amp;" minus "&amp;F84</f>
        <v>c27.9a minus c27.9b</v>
      </c>
      <c r="H86" s="8"/>
      <c r="I86" s="11"/>
      <c r="J86" s="8"/>
      <c r="K86" s="8"/>
    </row>
    <row r="87" spans="1:11" x14ac:dyDescent="0.25">
      <c r="A87" s="8"/>
      <c r="B87" s="8"/>
      <c r="C87" s="8"/>
      <c r="D87" s="8"/>
      <c r="E87" s="8"/>
      <c r="F87" s="2210" t="str">
        <f>A20</f>
        <v>c27.9c</v>
      </c>
      <c r="G87" s="2149">
        <f>MAX(0,G81-G84)</f>
        <v>0</v>
      </c>
      <c r="H87" s="8"/>
      <c r="I87" s="11"/>
      <c r="J87" s="8"/>
      <c r="K87" s="8"/>
    </row>
    <row r="88" spans="1:11" x14ac:dyDescent="0.25">
      <c r="A88" s="8"/>
      <c r="B88" s="8"/>
      <c r="C88" s="8"/>
      <c r="D88" s="8"/>
      <c r="E88" s="8"/>
      <c r="F88" s="187"/>
      <c r="G88" s="26"/>
      <c r="H88" s="8"/>
      <c r="I88" s="11"/>
      <c r="J88" s="8"/>
      <c r="K88" s="8"/>
    </row>
    <row r="89" spans="1:11" x14ac:dyDescent="0.25">
      <c r="A89" s="8"/>
      <c r="B89" s="8"/>
      <c r="C89" s="8"/>
      <c r="D89" s="8"/>
      <c r="E89" s="8"/>
      <c r="F89" s="11"/>
      <c r="G89" s="9" t="str">
        <f>"Total all instances "&amp;F87</f>
        <v>Total all instances c27.9c</v>
      </c>
      <c r="H89" s="8"/>
      <c r="I89" s="11"/>
      <c r="J89" s="8"/>
      <c r="K89" s="8"/>
    </row>
    <row r="90" spans="1:11" x14ac:dyDescent="0.25">
      <c r="A90" s="8"/>
      <c r="B90" s="139" t="s">
        <v>8377</v>
      </c>
      <c r="C90" s="139"/>
      <c r="D90" s="139"/>
      <c r="E90" s="8"/>
      <c r="F90" s="2210" t="str">
        <f>A21</f>
        <v>c27.9</v>
      </c>
      <c r="G90" s="2284">
        <f>G87</f>
        <v>0</v>
      </c>
      <c r="H90" s="387"/>
      <c r="I90" s="11"/>
      <c r="J90" s="8"/>
      <c r="K90" s="8"/>
    </row>
    <row r="91" spans="1:11" x14ac:dyDescent="0.25">
      <c r="A91" s="8"/>
      <c r="B91" s="8"/>
      <c r="C91" s="8"/>
      <c r="D91" s="8"/>
      <c r="E91" s="8"/>
      <c r="F91" s="11"/>
      <c r="G91" s="8"/>
      <c r="H91" s="8"/>
      <c r="I91" s="11"/>
      <c r="J91" s="8"/>
      <c r="K91" s="8"/>
    </row>
    <row r="92" spans="1:11" x14ac:dyDescent="0.25">
      <c r="A92" s="8"/>
      <c r="B92" s="8"/>
      <c r="C92" s="8"/>
      <c r="D92" s="8"/>
      <c r="E92" s="8"/>
      <c r="F92" s="11"/>
      <c r="G92" s="138" t="str">
        <f>"Total all instances ("&amp;SSE&amp;SE!C8&amp;")"</f>
        <v>Total all instances (SSE31)</v>
      </c>
      <c r="H92" s="8"/>
      <c r="I92" s="11"/>
      <c r="J92" s="8"/>
      <c r="K92" s="8"/>
    </row>
    <row r="93" spans="1:11" x14ac:dyDescent="0.25">
      <c r="A93" s="8"/>
      <c r="B93" s="139" t="s">
        <v>1495</v>
      </c>
      <c r="C93" s="8"/>
      <c r="D93" s="8"/>
      <c r="E93" s="8"/>
      <c r="F93" s="2210" t="str">
        <f>A22</f>
        <v>c27.10</v>
      </c>
      <c r="G93" s="2284">
        <f>TRUNC(SE!D9,0)</f>
        <v>0</v>
      </c>
      <c r="H93" s="197" t="s">
        <v>7061</v>
      </c>
      <c r="I93" s="11"/>
      <c r="J93" s="332"/>
      <c r="K93" s="8"/>
    </row>
    <row r="94" spans="1:11" x14ac:dyDescent="0.25">
      <c r="A94" s="8"/>
      <c r="B94" s="8"/>
      <c r="C94" s="8"/>
      <c r="D94" s="8"/>
      <c r="E94" s="8"/>
      <c r="F94" s="11"/>
      <c r="G94" s="8"/>
      <c r="H94" s="8"/>
      <c r="I94" s="11"/>
      <c r="J94" s="8"/>
      <c r="K94" s="8"/>
    </row>
    <row r="95" spans="1:11" x14ac:dyDescent="0.25">
      <c r="A95" s="8"/>
      <c r="B95" s="8"/>
      <c r="C95" s="8"/>
      <c r="D95" s="8"/>
      <c r="E95" s="8"/>
      <c r="F95" s="11"/>
      <c r="G95" s="138" t="str">
        <f>"Total all instances "&amp;FSE&amp;SE!G14</f>
        <v>Total all instances FSE76</v>
      </c>
      <c r="H95" s="8"/>
      <c r="I95" s="11"/>
      <c r="J95" s="8"/>
      <c r="K95" s="8"/>
    </row>
    <row r="96" spans="1:11" x14ac:dyDescent="0.25">
      <c r="A96" s="8"/>
      <c r="B96" s="139"/>
      <c r="C96" s="8"/>
      <c r="D96" s="8"/>
      <c r="E96" s="8"/>
      <c r="F96" s="2210" t="str">
        <f>A23</f>
        <v>c27.11</v>
      </c>
      <c r="G96" s="2284">
        <f>TRUNC(SE!H15,0)</f>
        <v>0</v>
      </c>
      <c r="H96" s="197" t="s">
        <v>7070</v>
      </c>
      <c r="I96" s="11"/>
      <c r="J96" s="8"/>
      <c r="K96" s="8"/>
    </row>
    <row r="97" spans="2:12" x14ac:dyDescent="0.25">
      <c r="B97" s="139"/>
      <c r="C97" s="8"/>
      <c r="D97" s="8"/>
      <c r="E97" s="8"/>
      <c r="F97" s="187"/>
      <c r="G97" s="636"/>
      <c r="H97" s="197"/>
      <c r="I97" s="11"/>
      <c r="J97" s="8"/>
      <c r="K97" s="8"/>
      <c r="L97" s="8"/>
    </row>
    <row r="98" spans="2:12" x14ac:dyDescent="0.25">
      <c r="B98" s="8"/>
      <c r="C98" s="8"/>
      <c r="D98" s="8"/>
      <c r="E98" s="8"/>
      <c r="F98" s="11"/>
      <c r="G98" s="138" t="str">
        <f>"from "&amp;LUN&amp;LUN!K7</f>
        <v>from LUN52</v>
      </c>
      <c r="H98" s="8"/>
      <c r="I98" s="11"/>
      <c r="J98" s="8"/>
      <c r="K98" s="8"/>
      <c r="L98" s="8"/>
    </row>
    <row r="99" spans="2:12" x14ac:dyDescent="0.25">
      <c r="B99" s="139" t="s">
        <v>9266</v>
      </c>
      <c r="C99" s="8"/>
      <c r="D99" s="8"/>
      <c r="E99" s="8"/>
      <c r="F99" s="2210" t="str">
        <f>A24</f>
        <v>c27.12</v>
      </c>
      <c r="G99" s="2284">
        <f>TRUNC(LUN!L8,0)</f>
        <v>0</v>
      </c>
      <c r="H99" s="197" t="s">
        <v>7029</v>
      </c>
      <c r="I99" s="11"/>
      <c r="J99" s="8"/>
      <c r="K99" s="8"/>
      <c r="L99" s="8"/>
    </row>
    <row r="100" spans="2:12" x14ac:dyDescent="0.25">
      <c r="B100" s="8"/>
      <c r="C100" s="8"/>
      <c r="D100" s="8"/>
      <c r="E100" s="8"/>
      <c r="F100" s="11"/>
      <c r="G100" s="8"/>
      <c r="H100" s="8"/>
      <c r="I100" s="11"/>
      <c r="J100" s="8"/>
      <c r="K100" s="8"/>
      <c r="L100" s="8" t="s">
        <v>9267</v>
      </c>
    </row>
    <row r="101" spans="2:12" x14ac:dyDescent="0.25">
      <c r="B101" s="8"/>
      <c r="C101" s="8"/>
      <c r="D101" s="8"/>
      <c r="E101" s="8"/>
      <c r="F101" s="11"/>
      <c r="G101" s="138" t="str">
        <f>"Total all instances "&amp;SPS&amp;PS!C7</f>
        <v>Total all instances SPS20</v>
      </c>
      <c r="H101" s="8"/>
      <c r="I101" s="11"/>
      <c r="J101" s="8"/>
      <c r="K101" s="8"/>
      <c r="L101" s="8"/>
    </row>
    <row r="102" spans="2:12" x14ac:dyDescent="0.25">
      <c r="B102" s="139" t="s">
        <v>9268</v>
      </c>
      <c r="C102" s="8"/>
      <c r="D102" s="8"/>
      <c r="E102" s="8"/>
      <c r="F102" s="2210" t="str">
        <f>A25</f>
        <v>c27.13</v>
      </c>
      <c r="G102" s="2284">
        <f>TRUNC(PS!D8,0)</f>
        <v>0</v>
      </c>
      <c r="H102" s="197" t="s">
        <v>7089</v>
      </c>
      <c r="I102" s="11"/>
      <c r="J102" s="8"/>
      <c r="K102" s="8"/>
      <c r="L102" s="8"/>
    </row>
    <row r="104" spans="2:12" x14ac:dyDescent="0.25">
      <c r="B104" s="8"/>
      <c r="C104" s="8"/>
      <c r="D104" s="8"/>
      <c r="E104" s="8"/>
      <c r="F104" s="11"/>
      <c r="G104" s="138" t="str">
        <f>"Total all instances "&amp;FPS&amp;PS!G45</f>
        <v>Total all instances FPS76</v>
      </c>
      <c r="H104" s="8"/>
      <c r="I104" s="11"/>
      <c r="J104" s="8"/>
      <c r="K104" s="8"/>
      <c r="L104" s="8"/>
    </row>
    <row r="105" spans="2:12" x14ac:dyDescent="0.25">
      <c r="B105" s="8"/>
      <c r="C105" s="8"/>
      <c r="D105" s="8"/>
      <c r="E105" s="8"/>
      <c r="F105" s="2210" t="str">
        <f>A26</f>
        <v>c27.14</v>
      </c>
      <c r="G105" s="2284">
        <f>TRUNC(PS!H46,0)</f>
        <v>0</v>
      </c>
      <c r="H105" s="197" t="s">
        <v>7091</v>
      </c>
      <c r="I105" s="11"/>
      <c r="J105" s="8"/>
      <c r="K105" s="8"/>
      <c r="L105" s="8"/>
    </row>
    <row r="106" spans="2:12" x14ac:dyDescent="0.25">
      <c r="B106" s="139"/>
      <c r="C106" s="8"/>
      <c r="D106" s="8"/>
      <c r="E106" s="8"/>
      <c r="F106" s="8"/>
      <c r="G106" s="26"/>
      <c r="H106" s="8"/>
      <c r="I106" s="11"/>
      <c r="J106" s="8"/>
      <c r="K106" s="8"/>
      <c r="L106" s="8"/>
    </row>
    <row r="107" spans="2:12" x14ac:dyDescent="0.25">
      <c r="B107" s="8"/>
      <c r="C107" s="8"/>
      <c r="D107" s="8"/>
      <c r="E107" s="8"/>
      <c r="F107" s="11"/>
      <c r="G107" s="9" t="s">
        <v>7043</v>
      </c>
      <c r="H107" s="8"/>
      <c r="I107" s="8"/>
      <c r="J107" s="8"/>
      <c r="K107" s="8"/>
      <c r="L107" s="8"/>
    </row>
    <row r="108" spans="2:12" x14ac:dyDescent="0.25">
      <c r="B108" s="139" t="s">
        <v>8399</v>
      </c>
      <c r="C108" s="8"/>
      <c r="D108" s="8"/>
      <c r="E108" s="8"/>
      <c r="F108" s="2210" t="str">
        <f>A27</f>
        <v>c27.15</v>
      </c>
      <c r="G108" s="2284">
        <v>0</v>
      </c>
      <c r="H108" s="2387" t="s">
        <v>7105</v>
      </c>
      <c r="I108" s="2388"/>
      <c r="J108" s="8"/>
      <c r="K108" s="8"/>
      <c r="L108" s="8"/>
    </row>
    <row r="110" spans="2:12" x14ac:dyDescent="0.25">
      <c r="B110" s="139"/>
      <c r="C110" s="8"/>
      <c r="D110" s="8"/>
      <c r="E110" s="8"/>
      <c r="F110" s="11"/>
      <c r="G110" s="138" t="str">
        <f>INC&amp;'INC(2)'!C4&amp;" + "&amp;INC&amp;'INC(2)'!C13&amp;" + "&amp;INC&amp;'INC(2)'!G16</f>
        <v>INC8 + INC11 + INC16</v>
      </c>
      <c r="H110" s="8"/>
      <c r="I110" s="11"/>
      <c r="J110" s="8"/>
      <c r="K110" s="8"/>
      <c r="L110" s="8"/>
    </row>
    <row r="111" spans="2:12" x14ac:dyDescent="0.25">
      <c r="B111" s="139" t="s">
        <v>9269</v>
      </c>
      <c r="C111" s="8"/>
      <c r="D111" s="8"/>
      <c r="E111" s="8"/>
      <c r="F111" s="2210" t="str">
        <f>A28</f>
        <v>c27.16</v>
      </c>
      <c r="G111" s="2284">
        <f>TRUNC('INC(2)'!D5+'INC(2)'!D14+'INC(2)'!H17,0)</f>
        <v>0</v>
      </c>
      <c r="H111" s="197" t="s">
        <v>7029</v>
      </c>
      <c r="I111" s="11"/>
      <c r="J111" s="8"/>
      <c r="K111" s="8"/>
      <c r="L111" s="8"/>
    </row>
    <row r="113" spans="2:12" x14ac:dyDescent="0.25">
      <c r="B113" s="8"/>
      <c r="C113" s="8"/>
      <c r="D113" s="8"/>
      <c r="E113" s="8"/>
      <c r="F113" s="11"/>
      <c r="G113" s="9" t="str">
        <f>"from "&amp;'Deductions (c4)'!H343</f>
        <v>from c4.54.1</v>
      </c>
      <c r="H113" s="8"/>
      <c r="I113" s="11"/>
      <c r="J113" s="8"/>
      <c r="K113" s="8"/>
      <c r="L113" s="8"/>
    </row>
    <row r="114" spans="2:12" x14ac:dyDescent="0.25">
      <c r="B114" s="139" t="s">
        <v>8585</v>
      </c>
      <c r="C114" s="8"/>
      <c r="D114" s="8"/>
      <c r="E114" s="8"/>
      <c r="F114" s="2210" t="str">
        <f>A29</f>
        <v>c27.16a</v>
      </c>
      <c r="G114" s="2284">
        <f>'Deductions (c4)'!I343</f>
        <v>0</v>
      </c>
      <c r="H114" s="444"/>
      <c r="I114" s="11"/>
      <c r="J114" s="8"/>
      <c r="K114" s="8"/>
      <c r="L114" s="8"/>
    </row>
    <row r="115" spans="2:12" x14ac:dyDescent="0.25">
      <c r="B115" s="8"/>
      <c r="C115" s="8"/>
      <c r="D115" s="8"/>
      <c r="E115" s="8"/>
      <c r="F115" s="11"/>
      <c r="G115" s="8"/>
      <c r="H115" s="8"/>
      <c r="I115" s="11"/>
      <c r="J115" s="8"/>
      <c r="K115" s="8"/>
      <c r="L115" s="8"/>
    </row>
    <row r="116" spans="2:12" x14ac:dyDescent="0.25">
      <c r="B116" s="8"/>
      <c r="C116" s="8"/>
      <c r="D116" s="8"/>
      <c r="E116" s="8"/>
      <c r="F116" s="8"/>
      <c r="G116" s="8"/>
      <c r="H116" s="8"/>
      <c r="I116" s="11"/>
      <c r="J116" s="11"/>
      <c r="K116" s="9" t="str">
        <f>F28&amp;" + "&amp;F90&amp;" + "&amp;F93&amp;" + "&amp;F96&amp;" +"</f>
        <v>c27.5 + c27.9 + c27.10 + c27.11 +</v>
      </c>
      <c r="L116" s="8"/>
    </row>
    <row r="117" spans="2:12" x14ac:dyDescent="0.25">
      <c r="B117" s="8"/>
      <c r="C117" s="8"/>
      <c r="D117" s="8"/>
      <c r="E117" s="8"/>
      <c r="F117" s="8"/>
      <c r="G117" s="8"/>
      <c r="H117" s="8"/>
      <c r="I117" s="2418"/>
      <c r="J117" s="2418"/>
      <c r="K117" s="1018" t="str">
        <f>F99&amp;" + "&amp;F102&amp;" + "&amp;F105&amp;" + "&amp;F111&amp;" + "&amp;F114</f>
        <v>c27.12 + c27.13 + c27.14 + c27.16 + c27.16a</v>
      </c>
      <c r="L117" s="8"/>
    </row>
    <row r="118" spans="2:12" x14ac:dyDescent="0.25">
      <c r="B118" s="8" t="s">
        <v>9270</v>
      </c>
      <c r="C118" s="8"/>
      <c r="D118" s="8"/>
      <c r="E118" s="8"/>
      <c r="F118" s="11"/>
      <c r="G118" s="8"/>
      <c r="H118" s="8"/>
      <c r="I118" s="11"/>
      <c r="J118" s="2210" t="str">
        <f>A30</f>
        <v>c27.17</v>
      </c>
      <c r="K118" s="2284">
        <f>G28+G90+G93+G96+G99+G102+G105+G111+G114</f>
        <v>0</v>
      </c>
      <c r="L118" s="8"/>
    </row>
    <row r="120" spans="2:12" x14ac:dyDescent="0.25">
      <c r="B120" s="8"/>
      <c r="C120" s="8"/>
      <c r="D120" s="8"/>
      <c r="E120" s="8"/>
      <c r="F120" s="11"/>
      <c r="G120" s="8"/>
      <c r="H120" s="8"/>
      <c r="I120" s="8"/>
      <c r="J120" s="8"/>
      <c r="K120" s="8"/>
      <c r="L120" s="8"/>
    </row>
    <row r="121" spans="2:12" x14ac:dyDescent="0.25">
      <c r="B121" s="8"/>
      <c r="C121" s="8"/>
      <c r="D121" s="8"/>
      <c r="E121" s="8"/>
      <c r="F121" s="11"/>
      <c r="G121" s="8"/>
      <c r="H121" s="8"/>
      <c r="I121" s="8"/>
      <c r="J121" s="8"/>
      <c r="K121" s="8"/>
      <c r="L121" s="8"/>
    </row>
    <row r="122" spans="2:12" x14ac:dyDescent="0.25">
      <c r="B122" s="8"/>
      <c r="C122" s="8"/>
      <c r="D122" s="8"/>
      <c r="E122" s="8"/>
      <c r="F122" s="11"/>
      <c r="G122" s="8"/>
      <c r="H122" s="8"/>
      <c r="I122" s="8"/>
      <c r="J122" s="8"/>
      <c r="K122" s="8"/>
      <c r="L122" s="8"/>
    </row>
    <row r="124" spans="2:12" x14ac:dyDescent="0.25">
      <c r="B124" s="24" t="s">
        <v>9271</v>
      </c>
      <c r="C124" s="8"/>
      <c r="D124" s="8"/>
      <c r="E124" s="8"/>
      <c r="F124" s="11"/>
      <c r="G124" s="8"/>
      <c r="H124" s="8"/>
      <c r="I124" s="11"/>
      <c r="J124" s="8"/>
      <c r="K124" s="8"/>
      <c r="L124" s="8"/>
    </row>
    <row r="125" spans="2:12" x14ac:dyDescent="0.25">
      <c r="B125" s="8"/>
      <c r="C125" s="8"/>
      <c r="D125" s="8"/>
      <c r="E125" s="8"/>
      <c r="F125" s="11"/>
      <c r="G125" s="138" t="str">
        <f>"Total all instances ("&amp;SPS&amp;PS!C22&amp;" + "&amp;FPS&amp;PS!G17&amp;" + "&amp;FPS&amp;PS!G42&amp;" + "&amp;FPS&amp;PS!J52&amp;")"</f>
        <v>Total all instances (SPS28 + FPS35 + FPS70 + FPS73)</v>
      </c>
      <c r="H125" s="8"/>
      <c r="I125" s="11"/>
      <c r="J125" s="8"/>
      <c r="K125" s="8"/>
      <c r="L125" s="8"/>
    </row>
    <row r="126" spans="2:12" x14ac:dyDescent="0.25">
      <c r="B126" s="139" t="s">
        <v>9268</v>
      </c>
      <c r="C126" s="8"/>
      <c r="D126" s="8"/>
      <c r="E126" s="8"/>
      <c r="F126" s="2210" t="str">
        <f>A31</f>
        <v>c27.18</v>
      </c>
      <c r="G126" s="2284">
        <f>TRUNC(PS!D23+PS!H18+PS!H43+PS!K53,0)</f>
        <v>0</v>
      </c>
      <c r="H126" s="197" t="s">
        <v>9272</v>
      </c>
      <c r="I126" s="11"/>
      <c r="J126" s="8"/>
      <c r="K126" s="8"/>
      <c r="L126" s="8"/>
    </row>
    <row r="127" spans="2:12" x14ac:dyDescent="0.25">
      <c r="B127" s="8"/>
      <c r="C127" s="8"/>
      <c r="D127" s="8"/>
      <c r="E127" s="8"/>
      <c r="F127" s="8"/>
      <c r="G127" s="26"/>
      <c r="H127" s="8"/>
      <c r="I127" s="11"/>
      <c r="J127" s="8"/>
      <c r="K127" s="8"/>
      <c r="L127" s="8"/>
    </row>
    <row r="128" spans="2:12" x14ac:dyDescent="0.25">
      <c r="B128" s="8"/>
      <c r="C128" s="8"/>
      <c r="D128" s="8"/>
      <c r="E128" s="8"/>
      <c r="F128" s="11"/>
      <c r="G128" s="138" t="str">
        <f>"From "&amp;PRO&amp;PRO!G19</f>
        <v>From PRO40</v>
      </c>
      <c r="H128" s="8"/>
      <c r="I128" s="8"/>
      <c r="J128" s="8"/>
      <c r="K128" s="8"/>
      <c r="L128" s="8"/>
    </row>
    <row r="129" spans="2:11" x14ac:dyDescent="0.25">
      <c r="B129" s="139" t="s">
        <v>8399</v>
      </c>
      <c r="C129" s="8"/>
      <c r="D129" s="8"/>
      <c r="E129" s="8"/>
      <c r="F129" s="2210" t="str">
        <f>A32</f>
        <v>c27.19</v>
      </c>
      <c r="G129" s="2284">
        <f>TRUNC(PRO!H20,0)</f>
        <v>0</v>
      </c>
      <c r="H129" s="197" t="s">
        <v>7029</v>
      </c>
      <c r="I129" s="11"/>
      <c r="J129" s="8"/>
      <c r="K129" s="8"/>
    </row>
    <row r="130" spans="2:11" x14ac:dyDescent="0.25">
      <c r="B130" s="8"/>
      <c r="C130" s="8"/>
      <c r="D130" s="8"/>
      <c r="E130" s="8"/>
      <c r="F130" s="8"/>
      <c r="G130" s="26"/>
      <c r="H130" s="8"/>
      <c r="I130" s="8"/>
      <c r="J130" s="8"/>
      <c r="K130" s="8"/>
    </row>
    <row r="131" spans="2:11" x14ac:dyDescent="0.25">
      <c r="B131" s="8"/>
      <c r="C131" s="8"/>
      <c r="D131" s="8"/>
      <c r="E131" s="1065"/>
      <c r="F131" s="8"/>
      <c r="G131" s="9" t="str">
        <f>'NS income (c1)'!I120&amp;" + "&amp;'NS income (c1)'!E126&amp;" + "&amp;'NS income (c1)'!I155&amp;" + "&amp;'Savings (c2)'!H40&amp;" + "&amp;'Divs (c3)'!G21&amp;" + "&amp;'Divs (c3)'!G63</f>
        <v>c1.35 + c1.37 + c1.44 + c2.9 + c3.5 + c3.16</v>
      </c>
      <c r="H131" s="8"/>
      <c r="I131" s="8"/>
      <c r="J131" s="8"/>
      <c r="K131" s="8"/>
    </row>
    <row r="132" spans="2:11" x14ac:dyDescent="0.25">
      <c r="B132" s="139" t="s">
        <v>9273</v>
      </c>
      <c r="C132" s="8"/>
      <c r="D132" s="139"/>
      <c r="E132" s="8"/>
      <c r="F132" s="2210" t="str">
        <f>A33</f>
        <v>c27.20</v>
      </c>
      <c r="G132" s="2284">
        <f>TRUNC('NS income (c1)'!J120+'NS income (c1)'!F126+'NS income (c1)'!J155+'Savings (c2)'!I40+'Divs (c3)'!H21+'Divs (c3)'!H63,0)</f>
        <v>0</v>
      </c>
      <c r="H132" s="444"/>
      <c r="I132" s="8"/>
      <c r="J132" s="8"/>
      <c r="K132" s="8"/>
    </row>
    <row r="134" spans="2:11" x14ac:dyDescent="0.25">
      <c r="B134" s="8"/>
      <c r="C134" s="8"/>
      <c r="D134" s="8"/>
      <c r="E134" s="8"/>
      <c r="F134" s="11"/>
      <c r="G134" s="9" t="str">
        <f>'NS income (c1)'!I164&amp;" + "&amp;'Savings (c2)'!H54&amp;" + "&amp;'Divs (c3)'!G44&amp;" + "&amp;'Divs (c3)'!G75</f>
        <v>c1.51 + c2.13 + c3.9 + c3.19</v>
      </c>
      <c r="H134" s="8"/>
      <c r="I134" s="11"/>
      <c r="J134" s="8"/>
      <c r="K134" s="8"/>
    </row>
    <row r="135" spans="2:11" x14ac:dyDescent="0.25">
      <c r="B135" s="139" t="s">
        <v>9274</v>
      </c>
      <c r="C135" s="8"/>
      <c r="D135" s="8"/>
      <c r="E135" s="8"/>
      <c r="F135" s="2210" t="str">
        <f>A34</f>
        <v>c27.21</v>
      </c>
      <c r="G135" s="2284">
        <f>'NS income (c1)'!J164+'Savings (c2)'!I54+'Divs (c3)'!H44+'Divs (c3)'!H75</f>
        <v>0</v>
      </c>
      <c r="H135" s="8"/>
      <c r="I135" s="8"/>
      <c r="J135" s="8"/>
      <c r="K135" s="8"/>
    </row>
    <row r="136" spans="2:11" x14ac:dyDescent="0.25">
      <c r="B136" s="8"/>
      <c r="C136" s="8"/>
      <c r="D136" s="8"/>
      <c r="E136" s="8"/>
      <c r="F136" s="8"/>
      <c r="G136" s="8"/>
      <c r="H136" s="8"/>
      <c r="I136" s="11"/>
      <c r="J136" s="8"/>
      <c r="K136" s="8"/>
    </row>
    <row r="137" spans="2:11" x14ac:dyDescent="0.25">
      <c r="B137" s="8"/>
      <c r="C137" s="8"/>
      <c r="D137" s="8"/>
      <c r="E137" s="8"/>
      <c r="F137" s="11"/>
      <c r="G137" s="9" t="str">
        <f>'Savings (c2)'!H69&amp;" + "&amp;'Divs (c3)'!G54</f>
        <v>c2.17 + c3.14</v>
      </c>
      <c r="H137" s="8"/>
      <c r="I137" s="8"/>
      <c r="J137" s="8"/>
      <c r="K137" s="8"/>
    </row>
    <row r="138" spans="2:11" x14ac:dyDescent="0.25">
      <c r="B138" s="139" t="s">
        <v>9275</v>
      </c>
      <c r="C138" s="8"/>
      <c r="D138" s="8"/>
      <c r="E138" s="8"/>
      <c r="F138" s="2210" t="str">
        <f>A35</f>
        <v>c27.22</v>
      </c>
      <c r="G138" s="2284">
        <f>'Savings (c2)'!I69+'Divs (c3)'!H54</f>
        <v>0</v>
      </c>
      <c r="H138" s="8"/>
      <c r="I138" s="8"/>
      <c r="J138" s="8"/>
      <c r="K138" s="8"/>
    </row>
    <row r="140" spans="2:11" x14ac:dyDescent="0.25">
      <c r="B140" s="8"/>
      <c r="C140" s="8"/>
      <c r="D140" s="8"/>
      <c r="E140" s="8"/>
      <c r="F140" s="11"/>
      <c r="G140" s="138" t="str">
        <f>"From "&amp;INC&amp;'INC(2)'!G13</f>
        <v>From INC15</v>
      </c>
      <c r="H140" s="8"/>
      <c r="I140" s="8"/>
      <c r="J140" s="8"/>
      <c r="K140" s="8"/>
    </row>
    <row r="141" spans="2:11" x14ac:dyDescent="0.25">
      <c r="B141" s="139" t="s">
        <v>9269</v>
      </c>
      <c r="C141" s="8"/>
      <c r="D141" s="8"/>
      <c r="E141" s="8"/>
      <c r="F141" s="2210" t="str">
        <f>A36</f>
        <v>c27.23</v>
      </c>
      <c r="G141" s="2284">
        <f>TRUNC('INC(2)'!H14,0)</f>
        <v>0</v>
      </c>
      <c r="H141" s="197" t="s">
        <v>7029</v>
      </c>
      <c r="I141" s="8"/>
      <c r="J141" s="8"/>
      <c r="K141" s="8"/>
    </row>
    <row r="143" spans="2:11" x14ac:dyDescent="0.25">
      <c r="B143" s="8"/>
      <c r="C143" s="8"/>
      <c r="D143" s="8"/>
      <c r="E143" s="8"/>
      <c r="F143" s="11"/>
      <c r="G143" s="138" t="str">
        <f>AOI&amp;AOI!C13&amp;" + "&amp;AOI&amp;AOI!C19&amp;" + "&amp;AOI&amp;AOI!G13</f>
        <v>AOI4 + AOI6 + AOI8</v>
      </c>
      <c r="H143" s="8"/>
      <c r="I143" s="11"/>
      <c r="J143" s="8"/>
      <c r="K143" s="8"/>
    </row>
    <row r="144" spans="2:11" x14ac:dyDescent="0.25">
      <c r="B144" s="139" t="s">
        <v>5658</v>
      </c>
      <c r="C144" s="8"/>
      <c r="D144" s="8"/>
      <c r="E144" s="8"/>
      <c r="F144" s="2210" t="str">
        <f>A37</f>
        <v>c27.24</v>
      </c>
      <c r="G144" s="2284">
        <f>TRUNC(AOI!D14+AOI!D20+AOI!H14,0)</f>
        <v>0</v>
      </c>
      <c r="H144" s="197" t="s">
        <v>7029</v>
      </c>
      <c r="I144" s="11"/>
      <c r="J144" s="8"/>
      <c r="K144" s="8"/>
    </row>
    <row r="145" spans="2:11" x14ac:dyDescent="0.25">
      <c r="B145" s="8"/>
      <c r="C145" s="8"/>
      <c r="D145" s="8"/>
      <c r="E145" s="8"/>
      <c r="F145" s="8"/>
      <c r="G145" s="8"/>
      <c r="H145" s="8"/>
      <c r="I145" s="11"/>
      <c r="J145" s="8"/>
      <c r="K145" s="8"/>
    </row>
    <row r="146" spans="2:11" x14ac:dyDescent="0.25">
      <c r="B146" s="139"/>
      <c r="C146" s="8"/>
      <c r="D146" s="8"/>
      <c r="E146" s="8"/>
      <c r="F146" s="11"/>
      <c r="G146" s="38" t="str">
        <f>"from "&amp;'NS income (c1)'!I176</f>
        <v>from c1.56</v>
      </c>
      <c r="H146" s="8"/>
      <c r="I146" s="8"/>
      <c r="J146" s="8"/>
      <c r="K146" s="8"/>
    </row>
    <row r="147" spans="2:11" x14ac:dyDescent="0.25">
      <c r="B147" s="139" t="s">
        <v>9276</v>
      </c>
      <c r="C147" s="8"/>
      <c r="D147" s="8"/>
      <c r="E147" s="8"/>
      <c r="F147" s="2210" t="str">
        <f>A38</f>
        <v>c27.25</v>
      </c>
      <c r="G147" s="2284">
        <f>'NS income (c1)'!J176</f>
        <v>0</v>
      </c>
      <c r="H147" s="8"/>
      <c r="I147" s="11"/>
      <c r="J147" s="8"/>
      <c r="K147" s="8"/>
    </row>
    <row r="148" spans="2:11" x14ac:dyDescent="0.25">
      <c r="B148" s="8"/>
      <c r="C148" s="8"/>
      <c r="D148" s="8"/>
      <c r="E148" s="8"/>
      <c r="F148" s="11"/>
      <c r="G148" s="8"/>
      <c r="H148" s="8"/>
      <c r="I148" s="8"/>
      <c r="J148" s="8"/>
      <c r="K148" s="8"/>
    </row>
    <row r="149" spans="2:11" x14ac:dyDescent="0.25">
      <c r="B149" s="139"/>
      <c r="C149" s="8"/>
      <c r="D149" s="8"/>
      <c r="E149" s="8"/>
      <c r="F149" s="9"/>
      <c r="G149" s="9" t="str">
        <f>F126&amp;" + "&amp;F129&amp;" + "&amp;F132&amp;" + "&amp;F135&amp;" + "</f>
        <v xml:space="preserve">c27.18 + c27.19 + c27.20 + c27.21 + </v>
      </c>
      <c r="H149" s="8"/>
      <c r="I149" s="8"/>
      <c r="J149" s="8"/>
      <c r="K149" s="8"/>
    </row>
    <row r="150" spans="2:11" x14ac:dyDescent="0.25">
      <c r="B150" s="139"/>
      <c r="C150" s="8"/>
      <c r="D150" s="8"/>
      <c r="E150" s="8"/>
      <c r="F150" s="9"/>
      <c r="G150" s="9" t="str">
        <f>F138&amp;" + "&amp;F141&amp;" + "&amp;F144&amp;" + "&amp;F147</f>
        <v>c27.22 + c27.23 + c27.24 + c27.25</v>
      </c>
      <c r="H150" s="8"/>
      <c r="I150" s="11"/>
      <c r="J150" s="8"/>
      <c r="K150" s="8"/>
    </row>
    <row r="151" spans="2:11" x14ac:dyDescent="0.25">
      <c r="B151" s="8" t="s">
        <v>9277</v>
      </c>
      <c r="C151" s="8"/>
      <c r="D151" s="8"/>
      <c r="E151" s="8"/>
      <c r="F151" s="2210" t="str">
        <f>A39</f>
        <v>c27.26</v>
      </c>
      <c r="G151" s="2284">
        <f>G126+G129+G132+G135+G138+G141+G144+G147</f>
        <v>0</v>
      </c>
      <c r="H151" s="8"/>
      <c r="I151" s="8"/>
      <c r="J151" s="8"/>
      <c r="K151" s="8"/>
    </row>
    <row r="152" spans="2:11" x14ac:dyDescent="0.25">
      <c r="B152" s="8"/>
      <c r="C152" s="8"/>
      <c r="D152" s="8"/>
      <c r="E152" s="8"/>
      <c r="F152" s="11"/>
      <c r="G152" s="8"/>
      <c r="H152" s="8"/>
      <c r="I152" s="8"/>
      <c r="J152" s="8"/>
      <c r="K152" s="8"/>
    </row>
    <row r="153" spans="2:11" x14ac:dyDescent="0.25">
      <c r="B153" s="8"/>
      <c r="C153" s="8"/>
      <c r="D153" s="8"/>
      <c r="E153" s="8"/>
      <c r="F153" s="11"/>
      <c r="G153" s="9" t="str">
        <f>"SL_UIT ("&amp;DOLLAR(SL_UIT,0)&amp;")"</f>
        <v>SL_UIT (£2,000)</v>
      </c>
      <c r="H153" s="8"/>
      <c r="I153" s="11"/>
      <c r="J153" s="8"/>
      <c r="K153" s="8"/>
    </row>
    <row r="154" spans="2:11" x14ac:dyDescent="0.25">
      <c r="B154" s="8" t="s">
        <v>9278</v>
      </c>
      <c r="C154" s="8"/>
      <c r="D154" s="8"/>
      <c r="E154" s="8"/>
      <c r="F154" s="2210" t="str">
        <f>A40</f>
        <v>c27.27</v>
      </c>
      <c r="G154" s="2322">
        <f>SL_UIT</f>
        <v>2000</v>
      </c>
      <c r="H154" s="8"/>
      <c r="I154" s="11"/>
      <c r="J154" s="8"/>
      <c r="K154" s="8"/>
    </row>
    <row r="155" spans="2:11" x14ac:dyDescent="0.25">
      <c r="B155" s="8"/>
      <c r="C155" s="8"/>
      <c r="D155" s="8"/>
      <c r="E155" s="8"/>
      <c r="F155" s="11"/>
      <c r="G155" s="8"/>
      <c r="H155" s="8"/>
      <c r="I155" s="11"/>
      <c r="J155" s="8"/>
      <c r="K155" s="8"/>
    </row>
    <row r="156" spans="2:11" x14ac:dyDescent="0.25">
      <c r="B156" s="8"/>
      <c r="C156" s="8"/>
      <c r="D156" s="8"/>
      <c r="E156" s="8"/>
      <c r="F156" s="11"/>
      <c r="G156" s="8"/>
      <c r="H156" s="8"/>
      <c r="I156" s="11"/>
      <c r="J156" s="22" t="str">
        <f>"If "&amp;F151&amp;" is greater than "&amp;F154</f>
        <v>If c27.26 is greater than c27.27</v>
      </c>
      <c r="K156" s="11"/>
    </row>
    <row r="157" spans="2:11" x14ac:dyDescent="0.25">
      <c r="B157" s="8"/>
      <c r="C157" s="8"/>
      <c r="D157" s="8"/>
      <c r="E157" s="8"/>
      <c r="F157" s="11"/>
      <c r="G157" s="8"/>
      <c r="H157" s="8"/>
      <c r="I157" s="11"/>
      <c r="J157" s="22" t="str">
        <f>J161&amp;" = "&amp;F151</f>
        <v>c27.28 = c27.26</v>
      </c>
      <c r="K157" s="11"/>
    </row>
    <row r="158" spans="2:11" x14ac:dyDescent="0.25">
      <c r="B158" s="8"/>
      <c r="C158" s="8"/>
      <c r="D158" s="8"/>
      <c r="E158" s="8"/>
      <c r="F158" s="11"/>
      <c r="G158" s="8"/>
      <c r="H158" s="8"/>
      <c r="I158" s="11"/>
      <c r="J158" s="22" t="s">
        <v>7143</v>
      </c>
      <c r="K158" s="11"/>
    </row>
    <row r="159" spans="2:11" x14ac:dyDescent="0.25">
      <c r="B159" s="8"/>
      <c r="C159" s="8"/>
      <c r="D159" s="8"/>
      <c r="E159" s="8"/>
      <c r="F159" s="11"/>
      <c r="G159" s="8"/>
      <c r="H159" s="8"/>
      <c r="I159" s="11"/>
      <c r="J159" s="8" t="str">
        <f>J161&amp;" = 0 (zero)"</f>
        <v>c27.28 = 0 (zero)</v>
      </c>
      <c r="K159" s="11"/>
    </row>
    <row r="160" spans="2:11" x14ac:dyDescent="0.25">
      <c r="B160" s="8"/>
      <c r="C160" s="8"/>
      <c r="D160" s="8"/>
      <c r="E160" s="8"/>
      <c r="F160" s="11"/>
      <c r="G160" s="8"/>
      <c r="H160" s="8"/>
      <c r="I160" s="11"/>
      <c r="J160" s="8" t="s">
        <v>75</v>
      </c>
      <c r="K160" s="11"/>
    </row>
    <row r="161" spans="2:11" x14ac:dyDescent="0.25">
      <c r="B161" s="8"/>
      <c r="C161" s="8"/>
      <c r="D161" s="8"/>
      <c r="E161" s="8"/>
      <c r="F161" s="11"/>
      <c r="G161" s="8"/>
      <c r="H161" s="8"/>
      <c r="I161" s="11"/>
      <c r="J161" s="2210" t="str">
        <f>A41</f>
        <v>c27.28</v>
      </c>
      <c r="K161" s="2284">
        <f>IF(G151&gt;G154,G151,0)</f>
        <v>0</v>
      </c>
    </row>
    <row r="163" spans="2:11" x14ac:dyDescent="0.25">
      <c r="B163" s="8"/>
      <c r="C163" s="8"/>
      <c r="D163" s="8"/>
      <c r="E163" s="8"/>
      <c r="F163" s="11"/>
      <c r="G163" s="8"/>
      <c r="H163" s="8"/>
      <c r="I163" s="11"/>
      <c r="J163" s="11"/>
      <c r="K163" s="9" t="str">
        <f>J118&amp;" + "&amp;J161</f>
        <v>c27.17 + c27.28</v>
      </c>
    </row>
    <row r="164" spans="2:11" x14ac:dyDescent="0.25">
      <c r="B164" s="24" t="s">
        <v>9279</v>
      </c>
      <c r="C164" s="8"/>
      <c r="D164" s="8"/>
      <c r="E164" s="8"/>
      <c r="F164" s="11"/>
      <c r="G164" s="8"/>
      <c r="H164" s="8"/>
      <c r="I164" s="11"/>
      <c r="J164" s="2210" t="str">
        <f>A42</f>
        <v>c27.29</v>
      </c>
      <c r="K164" s="2284">
        <f>K118+K161</f>
        <v>0</v>
      </c>
    </row>
    <row r="165" spans="2:11" x14ac:dyDescent="0.25">
      <c r="B165" s="8"/>
      <c r="C165" s="8"/>
      <c r="D165" s="8"/>
      <c r="E165" s="8"/>
      <c r="F165" s="11"/>
      <c r="G165" s="8"/>
      <c r="H165" s="8"/>
      <c r="I165" s="8"/>
      <c r="J165" s="8"/>
      <c r="K165" s="8"/>
    </row>
    <row r="166" spans="2:11" ht="12.75" customHeight="1" x14ac:dyDescent="0.25">
      <c r="B166" s="8"/>
      <c r="C166" s="8"/>
      <c r="D166" s="8"/>
      <c r="E166" s="12"/>
      <c r="F166" s="332"/>
      <c r="G166" s="12"/>
      <c r="H166" s="8"/>
      <c r="I166" s="11"/>
      <c r="J166" s="11"/>
      <c r="K166" s="9" t="s">
        <v>7043</v>
      </c>
    </row>
    <row r="167" spans="2:11" ht="12.75" customHeight="1" x14ac:dyDescent="0.25">
      <c r="B167" s="558"/>
      <c r="C167" s="210"/>
      <c r="D167" s="210"/>
      <c r="E167" s="8"/>
      <c r="F167" s="11"/>
      <c r="G167" s="8"/>
      <c r="H167" s="8"/>
      <c r="I167" s="11"/>
      <c r="J167" s="2210" t="str">
        <f>A43</f>
        <v>c27.29a</v>
      </c>
      <c r="K167" s="2284"/>
    </row>
    <row r="168" spans="2:11" ht="12.75" customHeight="1" x14ac:dyDescent="0.25">
      <c r="B168" s="8"/>
      <c r="C168" s="8"/>
      <c r="D168" s="8"/>
      <c r="E168" s="8"/>
      <c r="F168" s="11"/>
      <c r="G168" s="8"/>
      <c r="H168" s="8"/>
      <c r="I168" s="8"/>
      <c r="J168" s="8"/>
      <c r="K168" s="8"/>
    </row>
    <row r="169" spans="2:11" ht="12.75" customHeight="1" x14ac:dyDescent="0.25">
      <c r="B169" s="8"/>
      <c r="C169" s="8"/>
      <c r="D169" s="8"/>
      <c r="E169" s="8"/>
      <c r="F169" s="11"/>
      <c r="G169" s="8"/>
      <c r="H169" s="8"/>
      <c r="I169" s="8"/>
      <c r="J169" s="8"/>
      <c r="K169" s="8"/>
    </row>
    <row r="170" spans="2:11" x14ac:dyDescent="0.25">
      <c r="B170" s="12" t="s">
        <v>9280</v>
      </c>
      <c r="C170" s="8"/>
      <c r="D170" s="8"/>
      <c r="E170" s="12"/>
      <c r="F170" s="332"/>
      <c r="G170" s="12"/>
      <c r="H170" s="8"/>
      <c r="I170" s="11"/>
      <c r="J170" s="8"/>
      <c r="K170" s="8"/>
    </row>
    <row r="171" spans="2:11" x14ac:dyDescent="0.25">
      <c r="B171" s="8" t="s">
        <v>5485</v>
      </c>
      <c r="C171" s="8"/>
      <c r="D171" s="8"/>
      <c r="E171" s="8"/>
      <c r="F171" s="11"/>
      <c r="G171" s="8"/>
      <c r="H171" s="8"/>
      <c r="I171" s="11"/>
      <c r="J171" s="8"/>
      <c r="K171" s="8"/>
    </row>
    <row r="172" spans="2:11" x14ac:dyDescent="0.25">
      <c r="B172" s="8"/>
      <c r="C172" s="8"/>
      <c r="D172" s="8"/>
      <c r="E172" s="8"/>
      <c r="F172" s="8"/>
      <c r="G172" s="138" t="str">
        <f>"Total all instances "&amp;SSE&amp;SE!C11</f>
        <v>Total all instances SSE33</v>
      </c>
      <c r="H172" s="8"/>
      <c r="I172" s="11"/>
      <c r="J172" s="8"/>
      <c r="K172" s="8"/>
    </row>
    <row r="173" spans="2:11" x14ac:dyDescent="0.25">
      <c r="B173" s="8"/>
      <c r="C173" s="8"/>
      <c r="D173" s="8"/>
      <c r="E173" s="8"/>
      <c r="F173" s="2210" t="str">
        <f>A44</f>
        <v>c27.30</v>
      </c>
      <c r="G173" s="2284">
        <f>TRUNC(SE!D12+0.99,0)</f>
        <v>0</v>
      </c>
      <c r="H173" s="225" t="s">
        <v>7056</v>
      </c>
      <c r="I173" s="11"/>
      <c r="J173" s="8"/>
      <c r="K173" s="8"/>
    </row>
    <row r="175" spans="2:11" x14ac:dyDescent="0.25">
      <c r="B175" s="8"/>
      <c r="C175" s="12"/>
      <c r="D175" s="12"/>
      <c r="E175" s="138"/>
      <c r="F175" s="187"/>
      <c r="G175" s="138" t="str">
        <f>"Total all instances "&amp;FSE&amp;SE!G20</f>
        <v>Total all instances FSE78</v>
      </c>
      <c r="H175" s="8"/>
      <c r="I175" s="11"/>
      <c r="J175" s="8"/>
      <c r="K175" s="8"/>
    </row>
    <row r="176" spans="2:11" x14ac:dyDescent="0.25">
      <c r="B176" s="8"/>
      <c r="C176" s="8"/>
      <c r="D176" s="8"/>
      <c r="E176" s="8"/>
      <c r="F176" s="2210" t="str">
        <f>A45</f>
        <v>c27.31</v>
      </c>
      <c r="G176" s="2284">
        <f>TRUNC(SE!H21+0.99,0)</f>
        <v>0</v>
      </c>
      <c r="H176" s="225" t="s">
        <v>7065</v>
      </c>
      <c r="I176" s="11"/>
      <c r="J176" s="8"/>
      <c r="K176" s="8"/>
    </row>
    <row r="178" spans="2:11" x14ac:dyDescent="0.25">
      <c r="B178" s="8"/>
      <c r="C178" s="8"/>
      <c r="D178" s="8"/>
      <c r="E178" s="8"/>
      <c r="F178" s="11"/>
      <c r="G178" s="138" t="str">
        <f>"from "&amp;LUN&amp;LUN!K10</f>
        <v>from LUN56</v>
      </c>
      <c r="H178" s="8"/>
      <c r="I178" s="11"/>
      <c r="J178" s="8"/>
      <c r="K178" s="8"/>
    </row>
    <row r="179" spans="2:11" x14ac:dyDescent="0.25">
      <c r="B179" s="8"/>
      <c r="C179" s="8"/>
      <c r="D179" s="8"/>
      <c r="E179" s="8"/>
      <c r="F179" s="2210" t="str">
        <f>A46</f>
        <v>c27.32</v>
      </c>
      <c r="G179" s="2284">
        <f>TRUNC(LUN!L11+0.99,0)</f>
        <v>0</v>
      </c>
      <c r="H179" s="197" t="s">
        <v>7035</v>
      </c>
      <c r="I179" s="11"/>
      <c r="J179" s="8"/>
      <c r="K179" s="8"/>
    </row>
    <row r="181" spans="2:11" x14ac:dyDescent="0.25">
      <c r="B181" s="8"/>
      <c r="C181" s="8"/>
      <c r="D181" s="8"/>
      <c r="E181" s="8"/>
      <c r="F181" s="11"/>
      <c r="G181" s="138" t="str">
        <f>"Total all instances "&amp;SPS&amp;PS!C10</f>
        <v>Total all instances SPS22</v>
      </c>
      <c r="H181" s="8"/>
      <c r="I181" s="11"/>
      <c r="J181" s="8"/>
      <c r="K181" s="8"/>
    </row>
    <row r="182" spans="2:11" x14ac:dyDescent="0.25">
      <c r="B182" s="8"/>
      <c r="C182" s="8"/>
      <c r="D182" s="8"/>
      <c r="E182" s="8"/>
      <c r="F182" s="2210" t="str">
        <f>A47</f>
        <v>c27.33</v>
      </c>
      <c r="G182" s="2284">
        <f>TRUNC(PS!D11+0.99,0)</f>
        <v>0</v>
      </c>
      <c r="H182" s="225" t="s">
        <v>7087</v>
      </c>
      <c r="I182" s="11"/>
      <c r="J182" s="8"/>
      <c r="K182" s="8"/>
    </row>
    <row r="183" spans="2:11" x14ac:dyDescent="0.25">
      <c r="B183" s="8"/>
      <c r="C183" s="8"/>
      <c r="D183" s="8"/>
      <c r="E183" s="138"/>
      <c r="F183" s="187"/>
      <c r="G183" s="26"/>
      <c r="H183" s="8"/>
      <c r="I183" s="11"/>
      <c r="J183" s="8"/>
      <c r="K183" s="8"/>
    </row>
    <row r="184" spans="2:11" x14ac:dyDescent="0.25">
      <c r="B184" s="8"/>
      <c r="C184" s="8"/>
      <c r="D184" s="8"/>
      <c r="E184" s="8"/>
      <c r="F184" s="11"/>
      <c r="G184" s="138" t="str">
        <f>"Total all instances ("&amp;FPS&amp;PS!G11&amp;" + "&amp;FPS&amp;PS!J20&amp;")"</f>
        <v>Total all instances (FPS22 + FPS39)</v>
      </c>
      <c r="H184" s="8"/>
      <c r="I184" s="11"/>
      <c r="J184" s="8"/>
      <c r="K184" s="8"/>
    </row>
    <row r="185" spans="2:11" x14ac:dyDescent="0.25">
      <c r="B185" s="8"/>
      <c r="C185" s="8"/>
      <c r="D185" s="8"/>
      <c r="E185" s="8"/>
      <c r="F185" s="2210" t="str">
        <f>A48</f>
        <v>c27.34</v>
      </c>
      <c r="G185" s="2284">
        <f>TRUNC(PS!H12+0.99,0)+TRUNC(PS!K21+0.99,0)</f>
        <v>0</v>
      </c>
      <c r="H185" s="225" t="s">
        <v>7090</v>
      </c>
      <c r="I185" s="11"/>
      <c r="J185" s="8"/>
      <c r="K185" s="8"/>
    </row>
    <row r="187" spans="2:11" x14ac:dyDescent="0.25">
      <c r="B187" s="8"/>
      <c r="C187" s="8"/>
      <c r="D187" s="8"/>
      <c r="E187" s="138"/>
      <c r="F187" s="187"/>
      <c r="G187" s="138" t="str">
        <f>"from "&amp;PRO&amp;PRO!G22</f>
        <v>from PRO42</v>
      </c>
      <c r="H187" s="8"/>
      <c r="I187" s="11"/>
      <c r="J187" s="8"/>
      <c r="K187" s="8"/>
    </row>
    <row r="188" spans="2:11" x14ac:dyDescent="0.25">
      <c r="B188" s="8"/>
      <c r="C188" s="8"/>
      <c r="D188" s="8"/>
      <c r="E188" s="8"/>
      <c r="F188" s="2210" t="str">
        <f>A49</f>
        <v>c27.35</v>
      </c>
      <c r="G188" s="2284">
        <f>TRUNC(PRO!H23+0.99,0)</f>
        <v>0</v>
      </c>
      <c r="H188" s="197" t="s">
        <v>7035</v>
      </c>
      <c r="I188" s="11"/>
      <c r="J188" s="8"/>
      <c r="K188" s="8"/>
    </row>
    <row r="189" spans="2:11" x14ac:dyDescent="0.25">
      <c r="B189" s="8"/>
      <c r="C189" s="8"/>
      <c r="D189" s="8"/>
      <c r="E189" s="138"/>
      <c r="F189" s="187"/>
      <c r="G189" s="26"/>
      <c r="H189" s="8"/>
      <c r="I189" s="11"/>
      <c r="J189" s="8"/>
      <c r="K189" s="8"/>
    </row>
    <row r="190" spans="2:11" x14ac:dyDescent="0.25">
      <c r="B190" s="8"/>
      <c r="C190" s="8"/>
      <c r="D190" s="8"/>
      <c r="E190" s="8"/>
      <c r="F190" s="11"/>
      <c r="G190" s="138" t="str">
        <f>"from "&amp;FOR&amp;FOR!K21</f>
        <v>from FOR31</v>
      </c>
      <c r="H190" s="8"/>
      <c r="I190" s="11"/>
      <c r="J190" s="8"/>
      <c r="K190" s="8"/>
    </row>
    <row r="191" spans="2:11" x14ac:dyDescent="0.25">
      <c r="B191" s="8"/>
      <c r="C191" s="8"/>
      <c r="D191" s="8"/>
      <c r="E191" s="8"/>
      <c r="F191" s="2210" t="str">
        <f>A50</f>
        <v>c27.36</v>
      </c>
      <c r="G191" s="2284">
        <f>TRUNC(FOR!L22+0.99,0)</f>
        <v>0</v>
      </c>
      <c r="H191" s="197" t="s">
        <v>7035</v>
      </c>
      <c r="I191" s="11"/>
      <c r="J191" s="8"/>
      <c r="K191" s="8"/>
    </row>
    <row r="193" spans="2:11" x14ac:dyDescent="0.25">
      <c r="B193" s="8"/>
      <c r="C193" s="8"/>
      <c r="D193" s="8"/>
      <c r="E193" s="138"/>
      <c r="F193" s="187"/>
      <c r="G193" s="815" t="str">
        <f>AOR&amp;AOR!C20&amp;" + "&amp;AOR&amp;AOR!C23</f>
        <v>AOR6 + AOR6.1</v>
      </c>
      <c r="H193" s="8"/>
      <c r="I193" s="11"/>
      <c r="J193" s="8"/>
      <c r="K193" s="8"/>
    </row>
    <row r="194" spans="2:11" x14ac:dyDescent="0.25">
      <c r="B194" s="8" t="s">
        <v>2494</v>
      </c>
      <c r="C194" s="8"/>
      <c r="D194" s="8"/>
      <c r="E194" s="8"/>
      <c r="F194" s="2210" t="str">
        <f>A51</f>
        <v>c27.37</v>
      </c>
      <c r="G194" s="2284">
        <f>TRUNC(AOR!D21+AOR!D24+0.99,0)</f>
        <v>0</v>
      </c>
      <c r="H194" s="197" t="s">
        <v>7035</v>
      </c>
      <c r="I194" s="11"/>
      <c r="J194" s="8"/>
      <c r="K194" s="8"/>
    </row>
    <row r="195" spans="2:11" x14ac:dyDescent="0.25">
      <c r="B195" s="8"/>
      <c r="C195" s="8"/>
      <c r="D195" s="8"/>
      <c r="E195" s="138"/>
      <c r="F195" s="187"/>
      <c r="G195" s="26"/>
      <c r="H195" s="8"/>
      <c r="I195" s="11"/>
      <c r="J195" s="8"/>
      <c r="K195" s="8"/>
    </row>
    <row r="196" spans="2:11" x14ac:dyDescent="0.25">
      <c r="B196" s="8"/>
      <c r="C196" s="8"/>
      <c r="D196" s="8"/>
      <c r="E196" s="8"/>
      <c r="F196" s="11"/>
      <c r="G196" s="138" t="str">
        <f>REL&amp;'REL(1)'!C6&amp;" + "&amp;REL&amp;'REL(1)'!C9&amp;" + "&amp;REL&amp;'REL(1)'!H6&amp;" + "&amp;REL&amp;'REL(1)'!H9</f>
        <v>REL1 + REL2 + REL3 + REL4</v>
      </c>
      <c r="H196" s="8"/>
      <c r="I196" s="11"/>
      <c r="J196" s="8"/>
      <c r="K196" s="8"/>
    </row>
    <row r="197" spans="2:11" x14ac:dyDescent="0.25">
      <c r="B197" s="8" t="s">
        <v>9281</v>
      </c>
      <c r="C197" s="8"/>
      <c r="D197" s="8"/>
      <c r="E197" s="8"/>
      <c r="F197" s="2210" t="str">
        <f>A52</f>
        <v>c27.38</v>
      </c>
      <c r="G197" s="2284">
        <f>TRUNC('REL(1)'!D7+0.99,0)+TRUNC('REL(1)'!D10+0.99,0)+TRUNC('REL(1)'!I7+0.99,0)+TRUNC('REL(1)'!I10+0.99,0)</f>
        <v>0</v>
      </c>
      <c r="H197" s="197" t="s">
        <v>7035</v>
      </c>
      <c r="I197" s="11"/>
      <c r="J197" s="8"/>
      <c r="K197" s="8"/>
    </row>
    <row r="199" spans="2:11" x14ac:dyDescent="0.25">
      <c r="B199" s="8"/>
      <c r="C199" s="8"/>
      <c r="D199" s="8"/>
      <c r="E199" s="8"/>
      <c r="F199" s="11"/>
      <c r="G199" s="8"/>
      <c r="H199" s="11"/>
      <c r="I199" s="8"/>
      <c r="J199" s="11"/>
      <c r="K199" s="9" t="str">
        <f>F173&amp;" + "&amp;F176&amp;" + "&amp;F179&amp;" + "&amp;F182&amp;" + "&amp;F185&amp;" + "</f>
        <v xml:space="preserve">c27.30 + c27.31 + c27.32 + c27.33 + c27.34 + </v>
      </c>
    </row>
    <row r="200" spans="2:11" x14ac:dyDescent="0.25">
      <c r="B200" s="8"/>
      <c r="C200" s="8"/>
      <c r="D200" s="8"/>
      <c r="E200" s="8"/>
      <c r="F200" s="11"/>
      <c r="G200" s="8"/>
      <c r="H200" s="11"/>
      <c r="I200" s="8"/>
      <c r="J200" s="11"/>
      <c r="K200" s="9" t="str">
        <f>F188&amp;" + "&amp;F191&amp;" + "&amp;F194&amp;" + "&amp;F197</f>
        <v>c27.35 + c27.36 + c27.37 + c27.38</v>
      </c>
    </row>
    <row r="201" spans="2:11" x14ac:dyDescent="0.25">
      <c r="B201" s="12" t="s">
        <v>9282</v>
      </c>
      <c r="C201" s="8"/>
      <c r="D201" s="8"/>
      <c r="E201" s="8"/>
      <c r="F201" s="11"/>
      <c r="G201" s="8"/>
      <c r="H201" s="11"/>
      <c r="I201" s="8"/>
      <c r="J201" s="2210" t="str">
        <f>A53</f>
        <v>c27.39</v>
      </c>
      <c r="K201" s="2284">
        <f>G173+G176+G179+G182+G185+G188+G191+G194+G197</f>
        <v>0</v>
      </c>
    </row>
    <row r="202" spans="2:11" x14ac:dyDescent="0.25">
      <c r="B202" s="8"/>
      <c r="C202" s="8"/>
      <c r="D202" s="8"/>
      <c r="E202" s="8"/>
      <c r="F202" s="11"/>
      <c r="G202" s="8"/>
      <c r="H202" s="11"/>
      <c r="I202" s="8"/>
      <c r="J202" s="8"/>
      <c r="K202" s="11"/>
    </row>
    <row r="203" spans="2:11" x14ac:dyDescent="0.25">
      <c r="B203" s="8"/>
      <c r="C203" s="8"/>
      <c r="D203" s="8"/>
      <c r="E203" s="8"/>
      <c r="F203" s="11"/>
      <c r="G203" s="8"/>
      <c r="H203" s="11"/>
      <c r="I203" s="8"/>
      <c r="J203" s="11"/>
      <c r="K203" s="9" t="str">
        <f>J164&amp;" minus "&amp;J201</f>
        <v>c27.29 minus c27.39</v>
      </c>
    </row>
    <row r="204" spans="2:11" x14ac:dyDescent="0.25">
      <c r="B204" s="12" t="s">
        <v>9283</v>
      </c>
      <c r="C204" s="12"/>
      <c r="D204" s="12"/>
      <c r="E204" s="8"/>
      <c r="F204" s="11"/>
      <c r="G204" s="8"/>
      <c r="H204" s="11"/>
      <c r="I204" s="8"/>
      <c r="J204" s="2210" t="str">
        <f>A54</f>
        <v>c27.40</v>
      </c>
      <c r="K204" s="2284">
        <f>MAX(0,K164-K201)</f>
        <v>0</v>
      </c>
    </row>
    <row r="205" spans="2:11" x14ac:dyDescent="0.25">
      <c r="B205" s="12"/>
      <c r="C205" s="12"/>
      <c r="D205" s="12"/>
      <c r="E205" s="8"/>
      <c r="F205" s="11"/>
      <c r="G205" s="8"/>
      <c r="H205" s="11"/>
      <c r="I205" s="8"/>
      <c r="J205" s="11"/>
      <c r="K205" s="8"/>
    </row>
    <row r="206" spans="2:11" x14ac:dyDescent="0.25">
      <c r="B206" s="12"/>
      <c r="C206" s="12"/>
      <c r="D206" s="12"/>
      <c r="E206" s="8"/>
      <c r="F206" s="11"/>
      <c r="G206" s="8"/>
      <c r="H206" s="11"/>
      <c r="I206" s="8"/>
      <c r="J206" s="11"/>
      <c r="K206" s="8"/>
    </row>
    <row r="207" spans="2:11" x14ac:dyDescent="0.25">
      <c r="B207" s="12"/>
      <c r="C207" s="12"/>
      <c r="D207" s="12"/>
      <c r="E207" s="8"/>
      <c r="F207" s="11"/>
      <c r="G207" s="8"/>
      <c r="H207" s="11"/>
      <c r="I207" s="8"/>
      <c r="J207" s="11"/>
      <c r="K207" s="9" t="s">
        <v>7043</v>
      </c>
    </row>
    <row r="208" spans="2:11" x14ac:dyDescent="0.25">
      <c r="B208" s="207"/>
      <c r="C208" s="207"/>
      <c r="D208" s="207"/>
      <c r="E208" s="210"/>
      <c r="F208" s="11"/>
      <c r="G208" s="8"/>
      <c r="H208" s="11"/>
      <c r="I208" s="8"/>
      <c r="J208" s="2210" t="str">
        <f>A55</f>
        <v>c27.40a</v>
      </c>
      <c r="K208" s="2284"/>
    </row>
    <row r="209" spans="2:12" x14ac:dyDescent="0.25">
      <c r="B209" s="12"/>
      <c r="C209" s="12"/>
      <c r="D209" s="12"/>
      <c r="E209" s="8"/>
      <c r="F209" s="11"/>
      <c r="G209" s="8"/>
      <c r="H209" s="11"/>
      <c r="I209" s="8"/>
      <c r="J209" s="11"/>
      <c r="K209" s="8"/>
      <c r="L209" s="8"/>
    </row>
    <row r="210" spans="2:12" x14ac:dyDescent="0.25">
      <c r="B210" s="8"/>
      <c r="C210" s="8"/>
      <c r="D210" s="8"/>
      <c r="E210" s="8"/>
      <c r="F210" s="11"/>
      <c r="G210" s="8"/>
      <c r="H210" s="11"/>
      <c r="I210" s="8"/>
      <c r="J210" s="8"/>
      <c r="K210" s="9" t="str">
        <f>"If pseudo box "&amp;SLR&amp;'REL(2)'!C13&amp;" = 01"</f>
        <v>If pseudo box SLRPT = 01</v>
      </c>
      <c r="L210" s="8"/>
    </row>
    <row r="211" spans="2:12" x14ac:dyDescent="0.25">
      <c r="B211" s="8"/>
      <c r="C211" s="8"/>
      <c r="D211" s="8"/>
      <c r="E211" s="8"/>
      <c r="F211" s="11"/>
      <c r="G211" s="8"/>
      <c r="H211" s="11"/>
      <c r="I211" s="8"/>
      <c r="J211" s="8"/>
      <c r="K211" s="563" t="str">
        <f>J223&amp;" = "&amp;J204&amp;" minus SL_limit1 ("&amp;DOLLAR(SL_limit1,0)&amp;")"</f>
        <v>c27.41 = c27.40 minus SL_limit1 (£26,065)</v>
      </c>
      <c r="L211" s="8"/>
    </row>
    <row r="212" spans="2:12" x14ac:dyDescent="0.25">
      <c r="B212" s="8"/>
      <c r="C212" s="8"/>
      <c r="D212" s="8"/>
      <c r="E212" s="8"/>
      <c r="F212" s="11"/>
      <c r="G212" s="8"/>
      <c r="H212" s="11"/>
      <c r="I212" s="8"/>
      <c r="J212" s="8"/>
      <c r="K212" s="9" t="s">
        <v>7143</v>
      </c>
      <c r="L212" s="8"/>
    </row>
    <row r="213" spans="2:12" x14ac:dyDescent="0.25">
      <c r="B213" s="8"/>
      <c r="C213" s="8"/>
      <c r="D213" s="8"/>
      <c r="E213" s="8"/>
      <c r="F213" s="11"/>
      <c r="G213" s="8"/>
      <c r="H213" s="11"/>
      <c r="I213" s="8"/>
      <c r="J213" s="8"/>
      <c r="K213" s="9" t="str">
        <f>"If pseudo box "&amp;SLR&amp;'REL(2)'!C13&amp;" = 02"</f>
        <v>If pseudo box SLRPT = 02</v>
      </c>
      <c r="L213" s="8"/>
    </row>
    <row r="214" spans="2:12" x14ac:dyDescent="0.25">
      <c r="B214" s="8"/>
      <c r="C214" s="8"/>
      <c r="D214" s="8"/>
      <c r="E214" s="8"/>
      <c r="F214" s="11"/>
      <c r="G214" s="8"/>
      <c r="H214" s="11"/>
      <c r="I214" s="8"/>
      <c r="J214" s="8"/>
      <c r="K214" s="9" t="str">
        <f>J223&amp;" = "&amp;J204&amp;" minus SL_limit2 ("&amp;DOLLAR(SL_limit2,0)&amp;")"</f>
        <v>c27.41 = c27.40 minus SL_limit2 (£28,470)</v>
      </c>
      <c r="L214" s="8"/>
    </row>
    <row r="215" spans="2:12" x14ac:dyDescent="0.25">
      <c r="B215" s="8"/>
      <c r="C215" s="8"/>
      <c r="D215" s="8"/>
      <c r="E215" s="8"/>
      <c r="F215" s="11"/>
      <c r="G215" s="8"/>
      <c r="H215" s="11"/>
      <c r="I215" s="8"/>
      <c r="J215" s="8"/>
      <c r="K215" s="9" t="s">
        <v>7143</v>
      </c>
      <c r="L215" s="8"/>
    </row>
    <row r="216" spans="2:12" x14ac:dyDescent="0.25">
      <c r="B216" s="8"/>
      <c r="C216" s="8"/>
      <c r="D216" s="8"/>
      <c r="E216" s="8"/>
      <c r="F216" s="11"/>
      <c r="G216" s="8"/>
      <c r="H216" s="11"/>
      <c r="I216" s="8"/>
      <c r="J216" s="8"/>
      <c r="K216" s="9" t="str">
        <f>"If pseudo box "&amp;SLR&amp;'REL(2)'!C13&amp;" = 04"</f>
        <v>If pseudo box SLRPT = 04</v>
      </c>
      <c r="L216" s="8"/>
    </row>
    <row r="217" spans="2:12" x14ac:dyDescent="0.25">
      <c r="B217" s="8"/>
      <c r="C217" s="8"/>
      <c r="D217" s="8"/>
      <c r="E217" s="8"/>
      <c r="F217" s="11"/>
      <c r="G217" s="8"/>
      <c r="H217" s="11"/>
      <c r="I217" s="8"/>
      <c r="J217" s="8"/>
      <c r="K217" s="563" t="str">
        <f>J223&amp;" = "&amp;J204&amp;" minus SL_limit4 ("&amp;DOLLAR(SL_limit4,0)&amp;")"</f>
        <v>c27.41 = c27.40 minus SL_limit4 (£32,745)</v>
      </c>
      <c r="L217" s="8"/>
    </row>
    <row r="218" spans="2:12" x14ac:dyDescent="0.25">
      <c r="B218" s="8"/>
      <c r="C218" s="8"/>
      <c r="D218" s="8"/>
      <c r="E218" s="8"/>
      <c r="F218" s="11"/>
      <c r="G218" s="8"/>
      <c r="H218" s="11"/>
      <c r="I218" s="8"/>
      <c r="J218" s="8"/>
      <c r="K218" s="9" t="s">
        <v>7143</v>
      </c>
      <c r="L218" s="8"/>
    </row>
    <row r="219" spans="2:12" x14ac:dyDescent="0.25">
      <c r="B219" s="8"/>
      <c r="C219" s="8"/>
      <c r="D219" s="8"/>
      <c r="E219" s="8"/>
      <c r="F219" s="11"/>
      <c r="G219" s="8"/>
      <c r="H219" s="11"/>
      <c r="I219" s="8"/>
      <c r="J219" s="8"/>
      <c r="K219" s="9" t="str">
        <f>J223&amp;" = 0 (zero)"</f>
        <v>c27.41 = 0 (zero)</v>
      </c>
      <c r="L219" s="8"/>
    </row>
    <row r="220" spans="2:12" x14ac:dyDescent="0.25">
      <c r="B220" s="8"/>
      <c r="C220" s="8"/>
      <c r="D220" s="8"/>
      <c r="E220" s="8"/>
      <c r="F220" s="11"/>
      <c r="G220" s="8"/>
      <c r="H220" s="11"/>
      <c r="I220" s="8"/>
      <c r="J220" s="8"/>
      <c r="K220" s="9" t="s">
        <v>75</v>
      </c>
      <c r="L220" s="8"/>
    </row>
    <row r="221" spans="2:12" x14ac:dyDescent="0.25">
      <c r="B221" s="8"/>
      <c r="C221" s="8"/>
      <c r="D221" s="8"/>
      <c r="E221" s="8"/>
      <c r="F221" s="11"/>
      <c r="G221" s="8"/>
      <c r="H221" s="11"/>
      <c r="I221" s="8"/>
      <c r="J221" s="8"/>
      <c r="K221" s="127" t="s">
        <v>75</v>
      </c>
      <c r="L221" s="8"/>
    </row>
    <row r="222" spans="2:12" x14ac:dyDescent="0.25">
      <c r="B222" s="8"/>
      <c r="C222" s="8"/>
      <c r="D222" s="8"/>
      <c r="E222" s="8"/>
      <c r="F222" s="11"/>
      <c r="G222" s="8"/>
      <c r="H222" s="11"/>
      <c r="I222" s="8"/>
      <c r="J222" s="8"/>
      <c r="K222" s="8" t="s">
        <v>75</v>
      </c>
      <c r="L222" s="8"/>
    </row>
    <row r="223" spans="2:12" x14ac:dyDescent="0.25">
      <c r="B223" s="8"/>
      <c r="C223" s="8"/>
      <c r="D223" s="8"/>
      <c r="E223" s="8"/>
      <c r="F223" s="11"/>
      <c r="G223" s="8"/>
      <c r="H223" s="11"/>
      <c r="I223" s="8"/>
      <c r="J223" s="2210" t="str">
        <f>A56</f>
        <v>c27.41</v>
      </c>
      <c r="K223" s="2323">
        <f>IF(SL_type=1,MAX(0,K204-SL_limit1),IF(SL_type=2,MAX(0,K204-SL_limit2),IF(SL_type=4,MAX(0,K204-SL_limit4),0)))</f>
        <v>0</v>
      </c>
      <c r="L223" s="8"/>
    </row>
    <row r="224" spans="2:12" x14ac:dyDescent="0.25">
      <c r="B224" s="8"/>
      <c r="C224" s="8"/>
      <c r="D224" s="8"/>
      <c r="E224" s="8"/>
      <c r="F224" s="11"/>
      <c r="G224" s="8"/>
      <c r="H224" s="11"/>
      <c r="I224" s="8"/>
      <c r="J224" s="11"/>
      <c r="K224" s="8"/>
      <c r="L224" s="8"/>
    </row>
    <row r="225" spans="2:12" x14ac:dyDescent="0.25">
      <c r="B225" s="12"/>
      <c r="C225" s="12"/>
      <c r="D225" s="12"/>
      <c r="E225" s="8"/>
      <c r="F225" s="11"/>
      <c r="G225" s="8"/>
      <c r="H225" s="11"/>
      <c r="I225" s="8"/>
      <c r="J225" s="11"/>
      <c r="K225" s="9" t="str">
        <f>J223&amp;" × Sloan_rate ("&amp;Sloan_rate*100&amp;"%)"</f>
        <v>c27.41 × Sloan_rate (9%)</v>
      </c>
      <c r="L225" s="8"/>
    </row>
    <row r="226" spans="2:12" x14ac:dyDescent="0.25">
      <c r="B226" s="12" t="s">
        <v>9284</v>
      </c>
      <c r="C226" s="12"/>
      <c r="D226" s="12"/>
      <c r="E226" s="8"/>
      <c r="F226" s="11"/>
      <c r="G226" s="8"/>
      <c r="H226" s="11"/>
      <c r="I226" s="8"/>
      <c r="J226" s="2210" t="str">
        <f>A57</f>
        <v>c27.42</v>
      </c>
      <c r="K226" s="2201">
        <f>TRUNC(K223*Sloan_rate,0)</f>
        <v>0</v>
      </c>
      <c r="L226" s="197" t="s">
        <v>7029</v>
      </c>
    </row>
    <row r="227" spans="2:12" x14ac:dyDescent="0.25">
      <c r="B227" s="8"/>
      <c r="C227" s="8"/>
      <c r="D227" s="8"/>
      <c r="E227" s="8"/>
      <c r="F227" s="11"/>
      <c r="G227" s="8"/>
      <c r="H227" s="11"/>
      <c r="I227" s="8"/>
      <c r="J227" s="11"/>
      <c r="K227" s="8"/>
      <c r="L227" s="8"/>
    </row>
    <row r="228" spans="2:12" x14ac:dyDescent="0.25">
      <c r="B228" s="8"/>
      <c r="C228" s="8"/>
      <c r="D228" s="8"/>
      <c r="E228" s="8"/>
      <c r="F228" s="11"/>
      <c r="G228" s="8"/>
      <c r="H228" s="11"/>
      <c r="I228" s="8"/>
      <c r="J228" s="11"/>
      <c r="K228" s="143" t="str">
        <f>"from "&amp;SLR&amp;'REL(2)'!G11</f>
        <v>from SLR2</v>
      </c>
      <c r="L228" s="8"/>
    </row>
    <row r="229" spans="2:12" x14ac:dyDescent="0.25">
      <c r="B229" s="139" t="s">
        <v>9285</v>
      </c>
      <c r="C229" s="12"/>
      <c r="D229" s="12"/>
      <c r="E229" s="8"/>
      <c r="F229" s="11"/>
      <c r="G229" s="8"/>
      <c r="H229" s="11"/>
      <c r="I229" s="8"/>
      <c r="J229" s="2210" t="str">
        <f>A58</f>
        <v>c27.43</v>
      </c>
      <c r="K229" s="2284">
        <f>TRUNC('REL(2)'!H12+0.99,0)</f>
        <v>0</v>
      </c>
      <c r="L229" s="197" t="s">
        <v>7035</v>
      </c>
    </row>
    <row r="230" spans="2:12" x14ac:dyDescent="0.25">
      <c r="B230" s="139"/>
      <c r="C230" s="12"/>
      <c r="D230" s="12"/>
      <c r="E230" s="8"/>
      <c r="F230" s="11"/>
      <c r="G230" s="8"/>
      <c r="H230" s="11"/>
      <c r="I230" s="8"/>
      <c r="J230" s="187"/>
      <c r="K230" s="636"/>
      <c r="L230" s="197"/>
    </row>
    <row r="231" spans="2:12" x14ac:dyDescent="0.25">
      <c r="B231" s="139"/>
      <c r="C231" s="12"/>
      <c r="D231" s="12"/>
      <c r="E231" s="8"/>
      <c r="F231" s="11"/>
      <c r="G231" s="8"/>
      <c r="H231" s="11"/>
      <c r="I231" s="8"/>
      <c r="J231" s="11"/>
      <c r="K231" s="9" t="str">
        <f>"If pseudo box "&amp;PGLR&amp;'REL(2)'!C13&amp;" = 03"</f>
        <v>If pseudo box PGLRPT = 03</v>
      </c>
      <c r="L231" s="197"/>
    </row>
    <row r="232" spans="2:12" x14ac:dyDescent="0.25">
      <c r="B232" s="8"/>
      <c r="C232" s="8"/>
      <c r="D232" s="8"/>
      <c r="E232" s="8"/>
      <c r="F232" s="11"/>
      <c r="G232" s="8"/>
      <c r="H232" s="11"/>
      <c r="I232" s="8"/>
      <c r="J232" s="187"/>
      <c r="K232" s="9" t="str">
        <f>J236&amp;" = "&amp;J204&amp;" minus PGL_limit ("&amp;DOLLAR(PGL_limit,0)&amp;")"</f>
        <v>c27.43a = c27.40 minus PGL_limit (£21,000)</v>
      </c>
      <c r="L232" s="8"/>
    </row>
    <row r="233" spans="2:12" x14ac:dyDescent="0.25">
      <c r="B233" s="8"/>
      <c r="C233" s="8"/>
      <c r="D233" s="8"/>
      <c r="E233" s="8"/>
      <c r="F233" s="11"/>
      <c r="G233" s="8"/>
      <c r="H233" s="11"/>
      <c r="I233" s="8"/>
      <c r="J233" s="8"/>
      <c r="K233" s="8" t="s">
        <v>7143</v>
      </c>
      <c r="L233" s="8"/>
    </row>
    <row r="234" spans="2:12" x14ac:dyDescent="0.25">
      <c r="B234" s="139"/>
      <c r="C234" s="12"/>
      <c r="D234" s="12"/>
      <c r="E234" s="8"/>
      <c r="F234" s="11"/>
      <c r="G234" s="8"/>
      <c r="H234" s="11"/>
      <c r="I234" s="8"/>
      <c r="J234" s="8"/>
      <c r="K234" s="9" t="str">
        <f>J236&amp;" = 0 (zero)"</f>
        <v>c27.43a = 0 (zero)</v>
      </c>
      <c r="L234" s="8"/>
    </row>
    <row r="235" spans="2:12" x14ac:dyDescent="0.25">
      <c r="B235" s="139"/>
      <c r="C235" s="12"/>
      <c r="D235" s="12"/>
      <c r="E235" s="8"/>
      <c r="F235" s="11"/>
      <c r="G235" s="8"/>
      <c r="H235" s="11"/>
      <c r="I235" s="8"/>
      <c r="J235" s="8"/>
      <c r="K235" s="22" t="s">
        <v>75</v>
      </c>
      <c r="L235" s="8"/>
    </row>
    <row r="236" spans="2:12" x14ac:dyDescent="0.25">
      <c r="B236" s="139"/>
      <c r="C236" s="12"/>
      <c r="D236" s="12"/>
      <c r="E236" s="8"/>
      <c r="F236" s="11"/>
      <c r="G236" s="8"/>
      <c r="H236" s="11"/>
      <c r="I236" s="8"/>
      <c r="J236" s="2210" t="str">
        <f>A59</f>
        <v>c27.43a</v>
      </c>
      <c r="K236" s="2323">
        <f>IF(PGL_type=3,MAX(0,K204-PGL_limit),0)</f>
        <v>0</v>
      </c>
      <c r="L236" s="8"/>
    </row>
    <row r="237" spans="2:12" x14ac:dyDescent="0.25">
      <c r="B237" s="139"/>
      <c r="C237" s="12"/>
      <c r="D237" s="12"/>
      <c r="E237" s="8"/>
      <c r="F237" s="11"/>
      <c r="G237" s="8"/>
      <c r="H237" s="11"/>
      <c r="I237" s="8"/>
      <c r="J237" s="11"/>
      <c r="K237" s="8"/>
      <c r="L237" s="8"/>
    </row>
    <row r="238" spans="2:12" x14ac:dyDescent="0.25">
      <c r="B238" s="139"/>
      <c r="C238" s="12"/>
      <c r="D238" s="12"/>
      <c r="E238" s="8"/>
      <c r="F238" s="11"/>
      <c r="G238" s="8"/>
      <c r="H238" s="11"/>
      <c r="I238" s="8"/>
      <c r="J238" s="11"/>
      <c r="K238" s="9" t="str">
        <f>J236&amp;" × PGL_rate ("&amp;PGL_rate*100&amp;"%)"</f>
        <v>c27.43a × PGL_rate (6%)</v>
      </c>
      <c r="L238" s="8"/>
    </row>
    <row r="239" spans="2:12" x14ac:dyDescent="0.25">
      <c r="B239" s="12" t="s">
        <v>9286</v>
      </c>
      <c r="C239" s="12"/>
      <c r="D239" s="12"/>
      <c r="E239" s="8"/>
      <c r="F239" s="11"/>
      <c r="G239" s="8"/>
      <c r="H239" s="11"/>
      <c r="I239" s="8"/>
      <c r="J239" s="2210" t="str">
        <f>A60</f>
        <v>c27.43b</v>
      </c>
      <c r="K239" s="2284">
        <f>TRUNC(K236*PGL_rate,0)</f>
        <v>0</v>
      </c>
      <c r="L239" s="197" t="s">
        <v>7029</v>
      </c>
    </row>
    <row r="240" spans="2:12" x14ac:dyDescent="0.25">
      <c r="B240" s="139"/>
      <c r="C240" s="12"/>
      <c r="D240" s="12"/>
      <c r="E240" s="8"/>
      <c r="F240" s="11"/>
      <c r="G240" s="8"/>
      <c r="H240" s="11"/>
      <c r="I240" s="8"/>
      <c r="J240" s="11"/>
      <c r="K240" s="8"/>
      <c r="L240" s="8"/>
    </row>
    <row r="241" spans="2:12" x14ac:dyDescent="0.25">
      <c r="B241" s="147" t="s">
        <v>9287</v>
      </c>
      <c r="C241" s="12"/>
      <c r="D241" s="12"/>
      <c r="E241" s="8"/>
      <c r="F241" s="11"/>
      <c r="G241" s="8"/>
      <c r="H241" s="11"/>
      <c r="I241" s="8"/>
      <c r="J241" s="11"/>
      <c r="K241" s="143" t="str">
        <f>"from "&amp;SLR&amp;'REL(2)'!G15</f>
        <v>from SLR3</v>
      </c>
      <c r="L241" s="8"/>
    </row>
    <row r="242" spans="2:12" x14ac:dyDescent="0.25">
      <c r="B242" s="139"/>
      <c r="C242" s="12"/>
      <c r="D242" s="12"/>
      <c r="E242" s="8"/>
      <c r="F242" s="11"/>
      <c r="G242" s="8"/>
      <c r="H242" s="11"/>
      <c r="I242" s="8"/>
      <c r="J242" s="2210" t="str">
        <f>A61</f>
        <v>c27.43c</v>
      </c>
      <c r="K242" s="2284">
        <f>TRUNC('REL(2)'!H16+0.99,0)</f>
        <v>0</v>
      </c>
      <c r="L242" s="197" t="s">
        <v>7035</v>
      </c>
    </row>
    <row r="243" spans="2:12" x14ac:dyDescent="0.25">
      <c r="B243" s="139"/>
      <c r="C243" s="12"/>
      <c r="D243" s="12"/>
      <c r="E243" s="8"/>
      <c r="F243" s="11"/>
      <c r="G243" s="8"/>
      <c r="H243" s="11"/>
      <c r="I243" s="8"/>
      <c r="J243" s="8"/>
      <c r="K243" s="8"/>
      <c r="L243" s="8"/>
    </row>
    <row r="244" spans="2:12" x14ac:dyDescent="0.25">
      <c r="B244" s="9" t="str">
        <f>"if "&amp;SLR&amp;'REL(2)'!C11&amp;" = Y"</f>
        <v>if SLR1 = Y</v>
      </c>
      <c r="C244" s="12"/>
      <c r="D244" s="12"/>
      <c r="E244" s="8"/>
      <c r="F244" s="11"/>
      <c r="G244" s="8"/>
      <c r="H244" s="11"/>
      <c r="I244" s="8"/>
      <c r="J244" s="8"/>
      <c r="K244" s="8"/>
      <c r="L244" s="8"/>
    </row>
    <row r="245" spans="2:12" x14ac:dyDescent="0.25">
      <c r="B245" s="9" t="s">
        <v>7728</v>
      </c>
      <c r="C245" s="8"/>
      <c r="D245" s="8"/>
      <c r="E245" s="8"/>
      <c r="F245" s="11"/>
      <c r="G245" s="8"/>
      <c r="H245" s="11"/>
      <c r="I245" s="8"/>
      <c r="J245" s="11"/>
      <c r="K245" s="8"/>
      <c r="L245" s="8"/>
    </row>
    <row r="246" spans="2:12" x14ac:dyDescent="0.25">
      <c r="B246" s="9" t="str">
        <f>"If pseudo box "&amp;SLR&amp;'REL(2)'!C13&amp;" = 01 or 02 or 04"</f>
        <v>If pseudo box SLRPT = 01 or 02 or 04</v>
      </c>
      <c r="C246" s="8"/>
      <c r="D246" s="8"/>
      <c r="E246" s="8"/>
      <c r="F246" s="11"/>
      <c r="G246" s="8"/>
      <c r="H246" s="8"/>
      <c r="I246" s="11"/>
      <c r="J246" s="8"/>
      <c r="K246" s="8"/>
      <c r="L246" s="8"/>
    </row>
    <row r="247" spans="2:12" x14ac:dyDescent="0.25">
      <c r="B247" s="9" t="str">
        <f>"Calculate "&amp;J258</f>
        <v>Calculate c27.44</v>
      </c>
      <c r="C247" s="8"/>
      <c r="D247" s="8"/>
      <c r="E247" s="8"/>
      <c r="F247" s="11"/>
      <c r="G247" s="8"/>
      <c r="H247" s="8"/>
      <c r="I247" s="11"/>
      <c r="J247" s="8"/>
      <c r="K247" s="8"/>
      <c r="L247" s="8"/>
    </row>
    <row r="248" spans="2:12" x14ac:dyDescent="0.25">
      <c r="B248" s="9" t="s">
        <v>7143</v>
      </c>
      <c r="C248" s="8"/>
      <c r="D248" s="8"/>
      <c r="E248" s="8"/>
      <c r="F248" s="11"/>
      <c r="G248" s="8"/>
      <c r="H248" s="8"/>
      <c r="I248" s="11"/>
      <c r="J248" s="8"/>
      <c r="K248" s="8"/>
      <c r="L248" s="8"/>
    </row>
    <row r="249" spans="2:12" x14ac:dyDescent="0.25">
      <c r="B249" s="9" t="str">
        <f>J258&amp;" = 0 (zero)"</f>
        <v>c27.44 = 0 (zero)</v>
      </c>
      <c r="C249" s="8"/>
      <c r="D249" s="8"/>
      <c r="E249" s="8"/>
      <c r="F249" s="11"/>
      <c r="G249" s="8"/>
      <c r="H249" s="8"/>
      <c r="I249" s="11"/>
      <c r="J249" s="8"/>
      <c r="K249" s="8"/>
      <c r="L249" s="8"/>
    </row>
    <row r="251" spans="2:12" x14ac:dyDescent="0.25">
      <c r="B251" s="8"/>
      <c r="C251" s="8"/>
      <c r="D251" s="8"/>
      <c r="E251" s="8"/>
      <c r="F251" s="11"/>
      <c r="G251" s="8"/>
      <c r="H251" s="8"/>
      <c r="I251" s="11"/>
      <c r="J251" s="8"/>
      <c r="K251" s="501"/>
      <c r="L251" s="8"/>
    </row>
    <row r="252" spans="2:12" x14ac:dyDescent="0.25">
      <c r="B252" s="8"/>
      <c r="C252" s="8"/>
      <c r="D252" s="8"/>
      <c r="E252" s="8"/>
      <c r="F252" s="11"/>
      <c r="G252" s="8"/>
      <c r="H252" s="8"/>
      <c r="I252" s="11"/>
      <c r="J252" s="8"/>
      <c r="K252" s="530"/>
      <c r="L252" s="8"/>
    </row>
    <row r="253" spans="2:12" x14ac:dyDescent="0.25">
      <c r="B253" s="8"/>
      <c r="C253" s="8"/>
      <c r="D253" s="8"/>
      <c r="E253" s="8"/>
      <c r="F253" s="11"/>
      <c r="G253" s="8"/>
      <c r="H253" s="8"/>
      <c r="I253" s="11"/>
      <c r="J253" s="8"/>
      <c r="K253" s="530"/>
      <c r="L253" s="8"/>
    </row>
    <row r="254" spans="2:12" x14ac:dyDescent="0.25">
      <c r="B254" s="8"/>
      <c r="C254" s="8"/>
      <c r="D254" s="8"/>
      <c r="E254" s="8"/>
      <c r="F254" s="11"/>
      <c r="G254" s="8"/>
      <c r="H254" s="8"/>
      <c r="I254" s="11"/>
      <c r="J254" s="8"/>
      <c r="K254" s="530"/>
      <c r="L254" s="8"/>
    </row>
    <row r="255" spans="2:12" x14ac:dyDescent="0.25">
      <c r="B255" s="8"/>
      <c r="C255" s="8"/>
      <c r="D255" s="8"/>
      <c r="E255" s="8"/>
      <c r="F255" s="11"/>
      <c r="G255" s="8"/>
      <c r="H255" s="8"/>
      <c r="I255" s="11"/>
      <c r="J255" s="8"/>
      <c r="K255" s="530"/>
      <c r="L255" s="8"/>
    </row>
    <row r="256" spans="2:12" x14ac:dyDescent="0.25">
      <c r="B256" s="8"/>
      <c r="C256" s="8"/>
      <c r="D256" s="8"/>
      <c r="E256" s="8"/>
      <c r="F256" s="11"/>
      <c r="G256" s="8"/>
      <c r="H256" s="8"/>
      <c r="I256" s="11"/>
      <c r="J256" s="8"/>
      <c r="K256" s="530"/>
      <c r="L256" s="8"/>
    </row>
    <row r="257" spans="2:12" x14ac:dyDescent="0.25">
      <c r="B257" s="8"/>
      <c r="C257" s="8"/>
      <c r="D257" s="8"/>
      <c r="E257" s="8"/>
      <c r="F257" s="11"/>
      <c r="G257" s="8"/>
      <c r="H257" s="11"/>
      <c r="I257" s="8"/>
      <c r="J257" s="11"/>
      <c r="K257" s="504" t="str">
        <f>J226&amp;" minus "&amp;J229</f>
        <v>c27.42 minus c27.43</v>
      </c>
      <c r="L257" s="8"/>
    </row>
    <row r="258" spans="2:12" x14ac:dyDescent="0.25">
      <c r="B258" s="12" t="s">
        <v>9288</v>
      </c>
      <c r="C258" s="12"/>
      <c r="D258" s="12"/>
      <c r="E258" s="8"/>
      <c r="F258" s="11"/>
      <c r="G258" s="8"/>
      <c r="H258" s="11"/>
      <c r="I258" s="8"/>
      <c r="J258" s="2210" t="str">
        <f>A62</f>
        <v>c27.44</v>
      </c>
      <c r="K258" s="2324">
        <f>IF(AND(SL_case,SL_type=1),MAX(0,TRUNC(K226-K229+0.0099,2)),IF(AND(SL_case,SL_type=2),MAX(0,TRUNC(K226-K229+0.0099,2)),IF(AND(SL_case,SL_type=4),MAX(0,TRUNC(K226-K229+0.0099,2)),0)))</f>
        <v>0</v>
      </c>
      <c r="L258" s="221" t="s">
        <v>8206</v>
      </c>
    </row>
    <row r="259" spans="2:12" x14ac:dyDescent="0.25">
      <c r="B259" s="8"/>
      <c r="C259" s="8"/>
      <c r="D259" s="8"/>
      <c r="E259" s="8"/>
      <c r="F259" s="11"/>
      <c r="G259" s="8"/>
      <c r="H259" s="11"/>
      <c r="I259" s="8"/>
      <c r="J259" s="11"/>
      <c r="K259" s="9" t="str">
        <f>"Copy to box "&amp;'Tax due (c12)'!I61</f>
        <v>Copy to box c12.7</v>
      </c>
      <c r="L259" s="8"/>
    </row>
    <row r="260" spans="2:12" x14ac:dyDescent="0.25">
      <c r="B260" s="210"/>
      <c r="C260" s="8"/>
      <c r="D260" s="8"/>
      <c r="E260" s="8"/>
      <c r="F260" s="11"/>
      <c r="G260" s="8"/>
      <c r="H260" s="8"/>
      <c r="I260" s="11"/>
      <c r="J260" s="8"/>
      <c r="K260" s="8"/>
      <c r="L260" s="8"/>
    </row>
    <row r="261" spans="2:12" x14ac:dyDescent="0.25">
      <c r="B261" s="8" t="s">
        <v>75</v>
      </c>
      <c r="C261" s="8"/>
      <c r="D261" s="8"/>
      <c r="E261" s="8"/>
      <c r="F261" s="11"/>
      <c r="G261" s="8"/>
      <c r="H261" s="8"/>
      <c r="I261" s="11"/>
      <c r="J261" s="8"/>
      <c r="K261" s="8"/>
      <c r="L261" s="8"/>
    </row>
    <row r="262" spans="2:12" x14ac:dyDescent="0.25">
      <c r="B262" s="8"/>
      <c r="C262" s="8"/>
      <c r="D262" s="8"/>
      <c r="E262" s="8"/>
      <c r="F262" s="11"/>
      <c r="G262" s="8"/>
      <c r="H262" s="8"/>
      <c r="I262" s="11"/>
      <c r="J262" s="8"/>
      <c r="K262" s="8"/>
      <c r="L262" s="8"/>
    </row>
    <row r="263" spans="2:12" x14ac:dyDescent="0.25">
      <c r="B263" s="8"/>
      <c r="C263" s="8"/>
      <c r="D263" s="8"/>
      <c r="E263" s="8"/>
      <c r="F263" s="11"/>
      <c r="G263" s="8"/>
      <c r="H263" s="8"/>
      <c r="I263" s="11"/>
      <c r="J263" s="8"/>
      <c r="K263" s="8"/>
      <c r="L263" s="8"/>
    </row>
    <row r="264" spans="2:12" x14ac:dyDescent="0.25">
      <c r="B264" s="9" t="str">
        <f>"if "&amp;SLR&amp;'REL(2)'!C11&amp;" = Y"</f>
        <v>if SLR1 = Y</v>
      </c>
      <c r="C264" s="8"/>
      <c r="D264" s="8"/>
      <c r="E264" s="8"/>
      <c r="F264" s="11"/>
      <c r="G264" s="8"/>
      <c r="H264" s="8"/>
      <c r="I264" s="11"/>
      <c r="J264" s="8"/>
      <c r="K264" s="8"/>
      <c r="L264" s="8"/>
    </row>
    <row r="265" spans="2:12" x14ac:dyDescent="0.25">
      <c r="B265" s="9" t="s">
        <v>7728</v>
      </c>
      <c r="C265" s="8"/>
      <c r="D265" s="8"/>
      <c r="E265" s="8"/>
      <c r="F265" s="11"/>
      <c r="G265" s="8"/>
      <c r="H265" s="8"/>
      <c r="I265" s="11"/>
      <c r="J265" s="8"/>
      <c r="K265" s="8"/>
      <c r="L265" s="8"/>
    </row>
    <row r="266" spans="2:12" x14ac:dyDescent="0.25">
      <c r="B266" s="9" t="str">
        <f>"If pseudo box "&amp;PGLR&amp;'REL(2)'!C13&amp;" = 03"</f>
        <v>If pseudo box PGLRPT = 03</v>
      </c>
      <c r="C266" s="8"/>
      <c r="D266" s="8"/>
      <c r="E266" s="8"/>
      <c r="F266" s="11"/>
      <c r="G266" s="8"/>
      <c r="H266" s="8"/>
      <c r="I266" s="11"/>
      <c r="J266" s="8"/>
      <c r="K266" s="8"/>
      <c r="L266" s="8"/>
    </row>
    <row r="267" spans="2:12" x14ac:dyDescent="0.25">
      <c r="B267" s="9" t="str">
        <f>"Calculate "&amp;J277</f>
        <v>Calculate c27.45</v>
      </c>
      <c r="C267" s="8"/>
      <c r="D267" s="8"/>
      <c r="E267" s="8"/>
      <c r="F267" s="11"/>
      <c r="G267" s="8"/>
      <c r="H267" s="8"/>
      <c r="I267" s="11"/>
      <c r="J267" s="8"/>
      <c r="K267" s="8"/>
      <c r="L267" s="8"/>
    </row>
    <row r="268" spans="2:12" x14ac:dyDescent="0.25">
      <c r="B268" s="9" t="s">
        <v>7143</v>
      </c>
      <c r="C268" s="8"/>
      <c r="D268" s="8"/>
      <c r="E268" s="8"/>
      <c r="F268" s="11"/>
      <c r="G268" s="8"/>
      <c r="H268" s="8"/>
      <c r="I268" s="11"/>
      <c r="J268" s="8"/>
      <c r="K268" s="8"/>
      <c r="L268" s="8"/>
    </row>
    <row r="269" spans="2:12" x14ac:dyDescent="0.25">
      <c r="B269" s="9" t="str">
        <f>J277&amp;" = 0 (zero)"</f>
        <v>c27.45 = 0 (zero)</v>
      </c>
      <c r="C269" s="8"/>
      <c r="D269" s="8"/>
      <c r="E269" s="8"/>
      <c r="F269" s="11"/>
      <c r="G269" s="8"/>
      <c r="H269" s="8"/>
      <c r="I269" s="11"/>
      <c r="J269" s="8"/>
      <c r="K269" s="8"/>
      <c r="L269" s="8"/>
    </row>
    <row r="270" spans="2:12" x14ac:dyDescent="0.25">
      <c r="B270" s="8"/>
      <c r="C270" s="8"/>
      <c r="D270" s="8"/>
      <c r="E270" s="8"/>
      <c r="F270" s="11"/>
      <c r="G270" s="8"/>
      <c r="H270" s="8"/>
      <c r="I270" s="11"/>
      <c r="J270" s="8"/>
      <c r="K270" s="8"/>
      <c r="L270" s="8"/>
    </row>
    <row r="271" spans="2:12" x14ac:dyDescent="0.25">
      <c r="B271" s="8"/>
      <c r="C271" s="8"/>
      <c r="D271" s="8"/>
      <c r="E271" s="8"/>
      <c r="F271" s="11"/>
      <c r="G271" s="8"/>
      <c r="H271" s="8"/>
      <c r="I271" s="11"/>
      <c r="J271" s="8"/>
      <c r="K271" s="530"/>
      <c r="L271" s="8"/>
    </row>
    <row r="272" spans="2:12" x14ac:dyDescent="0.25">
      <c r="B272" s="8"/>
      <c r="C272" s="8"/>
      <c r="D272" s="8"/>
      <c r="E272" s="8"/>
      <c r="F272" s="11"/>
      <c r="G272" s="8"/>
      <c r="H272" s="8"/>
      <c r="I272" s="11"/>
      <c r="J272" s="8"/>
      <c r="K272" s="530"/>
      <c r="L272" s="8"/>
    </row>
    <row r="273" spans="2:12" x14ac:dyDescent="0.25">
      <c r="B273" s="8"/>
      <c r="C273" s="8"/>
      <c r="D273" s="8"/>
      <c r="E273" s="8"/>
      <c r="F273" s="11"/>
      <c r="G273" s="8"/>
      <c r="H273" s="8"/>
      <c r="I273" s="11"/>
      <c r="J273" s="11"/>
      <c r="K273" s="530"/>
      <c r="L273" s="8"/>
    </row>
    <row r="274" spans="2:12" x14ac:dyDescent="0.25">
      <c r="B274" s="8"/>
      <c r="C274" s="8"/>
      <c r="D274" s="8"/>
      <c r="E274" s="8"/>
      <c r="F274" s="11"/>
      <c r="G274" s="8"/>
      <c r="H274" s="8"/>
      <c r="I274" s="11"/>
      <c r="J274" s="8"/>
      <c r="K274" s="530"/>
      <c r="L274" s="8"/>
    </row>
    <row r="275" spans="2:12" x14ac:dyDescent="0.25">
      <c r="B275" s="8"/>
      <c r="C275" s="8"/>
      <c r="D275" s="8"/>
      <c r="E275" s="8"/>
      <c r="F275" s="11"/>
      <c r="G275" s="8"/>
      <c r="H275" s="8"/>
      <c r="I275" s="11"/>
      <c r="J275" s="8"/>
      <c r="K275" s="530"/>
      <c r="L275" s="8"/>
    </row>
    <row r="276" spans="2:12" x14ac:dyDescent="0.25">
      <c r="B276" s="8"/>
      <c r="C276" s="8"/>
      <c r="D276" s="8"/>
      <c r="E276" s="8"/>
      <c r="F276" s="11"/>
      <c r="G276" s="8"/>
      <c r="H276" s="8"/>
      <c r="I276" s="11"/>
      <c r="J276" s="8"/>
      <c r="K276" s="504" t="str">
        <f>J239&amp;" minus "&amp;J242</f>
        <v>c27.43b minus c27.43c</v>
      </c>
      <c r="L276" s="8"/>
    </row>
    <row r="277" spans="2:12" x14ac:dyDescent="0.25">
      <c r="B277" s="12" t="s">
        <v>9289</v>
      </c>
      <c r="C277" s="8"/>
      <c r="D277" s="8"/>
      <c r="E277" s="8"/>
      <c r="F277" s="11"/>
      <c r="G277" s="8"/>
      <c r="H277" s="8"/>
      <c r="I277" s="11"/>
      <c r="J277" s="2210" t="str">
        <f>A63</f>
        <v>c27.45</v>
      </c>
      <c r="K277" s="2324">
        <f>IF(AND(SL_case,PGL_type=3),MAX(0,TRUNC(K239-K242+0.0099,2)),0)</f>
        <v>0</v>
      </c>
      <c r="L277" s="221" t="s">
        <v>8206</v>
      </c>
    </row>
    <row r="278" spans="2:12" x14ac:dyDescent="0.25">
      <c r="B278" s="8"/>
      <c r="C278" s="8"/>
      <c r="D278" s="8"/>
      <c r="E278" s="8"/>
      <c r="F278" s="11"/>
      <c r="G278" s="8"/>
      <c r="H278" s="8"/>
      <c r="I278" s="11"/>
      <c r="J278" s="8"/>
      <c r="K278" s="9" t="str">
        <f>"copy to "&amp;'Tax due (c12)'!A14</f>
        <v>copy to c12.7b</v>
      </c>
      <c r="L278" s="8"/>
    </row>
    <row r="279" spans="2:12" x14ac:dyDescent="0.25">
      <c r="B279" s="8" t="s">
        <v>75</v>
      </c>
      <c r="C279" s="8"/>
      <c r="D279" s="8"/>
      <c r="E279" s="8"/>
      <c r="F279" s="11"/>
      <c r="G279" s="8"/>
      <c r="H279" s="8"/>
      <c r="I279" s="11"/>
      <c r="J279" s="8"/>
      <c r="K279" s="8"/>
      <c r="L279" s="8"/>
    </row>
  </sheetData>
  <phoneticPr fontId="58" type="noConversion"/>
  <pageMargins left="0.196850393700787" right="0.196850393700787" top="0.196850393700787" bottom="0.196850393700787" header="0" footer="0"/>
  <pageSetup paperSize="9" fitToHeight="2" orientation="portrait" r:id="rId1"/>
  <headerFooter alignWithMargins="0">
    <oddFooter>&amp;C&amp;1#&amp;"Calibri"&amp;10&amp;K000000OFFICIAL-SENSITIVE</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7"/>
  <dimension ref="A1:N42"/>
  <sheetViews>
    <sheetView showGridLines="0" topLeftCell="B1" workbookViewId="0">
      <selection activeCell="B1" sqref="B1"/>
    </sheetView>
  </sheetViews>
  <sheetFormatPr defaultColWidth="9.1796875" defaultRowHeight="11.5" x14ac:dyDescent="0.25"/>
  <cols>
    <col min="1" max="1" width="5.453125" style="39" hidden="1" customWidth="1"/>
    <col min="2" max="2" width="22.81640625" style="39" customWidth="1"/>
    <col min="3" max="3" width="6.81640625" style="39" customWidth="1"/>
    <col min="4" max="4" width="10.54296875" style="39" customWidth="1"/>
    <col min="5" max="5" width="6.453125" style="39" customWidth="1"/>
    <col min="6" max="6" width="7" style="39" customWidth="1"/>
    <col min="7" max="7" width="12.54296875" style="39" customWidth="1"/>
    <col min="8" max="8" width="4.1796875" style="39" customWidth="1"/>
    <col min="9" max="9" width="6.54296875" style="39" customWidth="1"/>
    <col min="10" max="10" width="10.54296875" style="39" customWidth="1"/>
    <col min="11" max="11" width="6.453125" style="39" customWidth="1"/>
    <col min="12" max="16384" width="9.1796875" style="39"/>
  </cols>
  <sheetData>
    <row r="1" spans="1:10" ht="23" x14ac:dyDescent="0.5">
      <c r="A1" s="8" t="s">
        <v>9290</v>
      </c>
      <c r="B1" s="490" t="s">
        <v>9291</v>
      </c>
      <c r="C1" s="8"/>
      <c r="D1" s="8"/>
      <c r="E1" s="8"/>
      <c r="F1" s="11"/>
      <c r="G1" s="8"/>
      <c r="H1" s="8"/>
      <c r="I1" s="11"/>
      <c r="J1" s="8"/>
    </row>
    <row r="2" spans="1:10" x14ac:dyDescent="0.25">
      <c r="A2" s="8" t="s">
        <v>9292</v>
      </c>
      <c r="B2" s="8"/>
      <c r="C2" s="8"/>
      <c r="D2" s="8"/>
      <c r="E2" s="8"/>
      <c r="F2" s="11"/>
      <c r="G2" s="8"/>
      <c r="H2" s="8"/>
      <c r="I2" s="11"/>
      <c r="J2" s="8"/>
    </row>
    <row r="3" spans="1:10" x14ac:dyDescent="0.25">
      <c r="A3" s="8" t="s">
        <v>9293</v>
      </c>
      <c r="B3" s="8"/>
      <c r="C3" s="8"/>
      <c r="D3" s="2144" t="s">
        <v>7019</v>
      </c>
      <c r="E3" s="2205"/>
      <c r="F3" s="2205"/>
      <c r="G3" s="2147"/>
      <c r="H3" s="8"/>
      <c r="I3" s="11"/>
      <c r="J3" s="8"/>
    </row>
    <row r="4" spans="1:10" x14ac:dyDescent="0.25">
      <c r="A4" s="8" t="s">
        <v>9294</v>
      </c>
      <c r="B4" s="458"/>
      <c r="C4" s="458"/>
      <c r="D4" s="458"/>
      <c r="E4" s="8"/>
      <c r="F4" s="8"/>
      <c r="G4" s="8"/>
      <c r="H4" s="8"/>
      <c r="I4" s="8"/>
      <c r="J4" s="8"/>
    </row>
    <row r="5" spans="1:10" x14ac:dyDescent="0.25">
      <c r="A5" s="8" t="s">
        <v>9295</v>
      </c>
      <c r="B5" s="2325" t="str">
        <f>" Boxes "&amp;A1&amp;" to "&amp;A6&amp;" not used"</f>
        <v xml:space="preserve"> Boxes c28.1 to c28.6 not used</v>
      </c>
      <c r="C5" s="2326"/>
      <c r="D5" s="458"/>
      <c r="E5" s="8"/>
      <c r="F5" s="8"/>
      <c r="G5" s="8"/>
      <c r="H5" s="8"/>
      <c r="I5" s="8"/>
      <c r="J5" s="9" t="s">
        <v>7043</v>
      </c>
    </row>
    <row r="6" spans="1:10" x14ac:dyDescent="0.25">
      <c r="A6" s="8" t="s">
        <v>9296</v>
      </c>
      <c r="B6" s="8"/>
      <c r="C6" s="8"/>
      <c r="D6" s="8"/>
      <c r="E6" s="8"/>
      <c r="F6" s="8"/>
      <c r="G6" s="8"/>
      <c r="H6" s="8"/>
      <c r="I6" s="2210" t="str">
        <f>A1</f>
        <v>c28.1</v>
      </c>
      <c r="J6" s="2149">
        <v>0</v>
      </c>
    </row>
    <row r="7" spans="1:10" x14ac:dyDescent="0.25">
      <c r="A7" s="8" t="s">
        <v>9297</v>
      </c>
      <c r="B7" s="8"/>
      <c r="C7" s="8"/>
      <c r="D7" s="8"/>
      <c r="E7" s="8"/>
      <c r="F7" s="8"/>
      <c r="G7" s="8"/>
      <c r="H7" s="8"/>
      <c r="I7" s="8"/>
      <c r="J7" s="9" t="s">
        <v>7043</v>
      </c>
    </row>
    <row r="8" spans="1:10" x14ac:dyDescent="0.25">
      <c r="A8" s="8" t="s">
        <v>9298</v>
      </c>
      <c r="B8" s="8"/>
      <c r="C8" s="8"/>
      <c r="D8" s="8"/>
      <c r="E8" s="8"/>
      <c r="F8" s="8"/>
      <c r="G8" s="8"/>
      <c r="H8" s="8"/>
      <c r="I8" s="2210" t="str">
        <f>A2</f>
        <v>c28.2</v>
      </c>
      <c r="J8" s="2149">
        <v>0</v>
      </c>
    </row>
    <row r="9" spans="1:10" x14ac:dyDescent="0.25">
      <c r="A9" s="8" t="s">
        <v>9299</v>
      </c>
      <c r="B9" s="8"/>
      <c r="C9" s="8"/>
      <c r="D9" s="8"/>
      <c r="E9" s="8"/>
      <c r="F9" s="8"/>
      <c r="G9" s="8"/>
      <c r="H9" s="8"/>
      <c r="I9" s="8"/>
      <c r="J9" s="9" t="s">
        <v>7043</v>
      </c>
    </row>
    <row r="10" spans="1:10" x14ac:dyDescent="0.25">
      <c r="A10" s="8" t="s">
        <v>9300</v>
      </c>
      <c r="B10" s="8"/>
      <c r="C10" s="8"/>
      <c r="D10" s="8"/>
      <c r="E10" s="8"/>
      <c r="F10" s="8"/>
      <c r="G10" s="8"/>
      <c r="H10" s="8"/>
      <c r="I10" s="2210" t="str">
        <f>A3</f>
        <v>c28.3</v>
      </c>
      <c r="J10" s="2149">
        <v>0</v>
      </c>
    </row>
    <row r="11" spans="1:10" x14ac:dyDescent="0.25">
      <c r="A11" s="8" t="s">
        <v>9301</v>
      </c>
      <c r="B11" s="8"/>
      <c r="C11" s="8"/>
      <c r="D11" s="8"/>
      <c r="E11" s="8"/>
      <c r="F11" s="8"/>
      <c r="G11" s="8"/>
      <c r="H11" s="8"/>
      <c r="I11" s="8"/>
      <c r="J11" s="9" t="s">
        <v>7043</v>
      </c>
    </row>
    <row r="12" spans="1:10" x14ac:dyDescent="0.25">
      <c r="A12" s="8" t="s">
        <v>9302</v>
      </c>
      <c r="B12" s="8"/>
      <c r="C12" s="8"/>
      <c r="D12" s="8"/>
      <c r="E12" s="8"/>
      <c r="F12" s="8"/>
      <c r="G12" s="8"/>
      <c r="H12" s="8"/>
      <c r="I12" s="2210" t="str">
        <f>A4</f>
        <v>c28.4</v>
      </c>
      <c r="J12" s="2149">
        <v>0</v>
      </c>
    </row>
    <row r="13" spans="1:10" x14ac:dyDescent="0.25">
      <c r="A13" s="8" t="s">
        <v>9303</v>
      </c>
      <c r="B13" s="8"/>
      <c r="C13" s="8"/>
      <c r="D13" s="8"/>
      <c r="E13" s="8"/>
      <c r="F13" s="8"/>
      <c r="G13" s="8"/>
      <c r="H13" s="8"/>
      <c r="I13" s="8"/>
      <c r="J13" s="9" t="s">
        <v>7043</v>
      </c>
    </row>
    <row r="14" spans="1:10" x14ac:dyDescent="0.25">
      <c r="A14" s="8" t="s">
        <v>9304</v>
      </c>
      <c r="B14" s="8"/>
      <c r="C14" s="8"/>
      <c r="D14" s="8"/>
      <c r="E14" s="8"/>
      <c r="F14" s="8"/>
      <c r="G14" s="8"/>
      <c r="H14" s="8"/>
      <c r="I14" s="2210" t="str">
        <f>A5</f>
        <v>c28.5</v>
      </c>
      <c r="J14" s="2149">
        <v>0</v>
      </c>
    </row>
    <row r="15" spans="1:10" x14ac:dyDescent="0.25">
      <c r="A15" s="8"/>
      <c r="B15" s="8"/>
      <c r="C15" s="8"/>
      <c r="D15" s="8"/>
      <c r="E15" s="8"/>
      <c r="F15" s="8"/>
      <c r="G15" s="8"/>
      <c r="H15" s="8"/>
      <c r="I15" s="8"/>
      <c r="J15" s="9" t="s">
        <v>7043</v>
      </c>
    </row>
    <row r="16" spans="1:10" x14ac:dyDescent="0.25">
      <c r="A16" s="8"/>
      <c r="B16" s="8"/>
      <c r="C16" s="8"/>
      <c r="D16" s="8"/>
      <c r="E16" s="8"/>
      <c r="F16" s="8"/>
      <c r="G16" s="8"/>
      <c r="H16" s="8"/>
      <c r="I16" s="2210" t="str">
        <f>A6</f>
        <v>c28.6</v>
      </c>
      <c r="J16" s="2149">
        <v>0</v>
      </c>
    </row>
    <row r="18" spans="2:12" x14ac:dyDescent="0.25">
      <c r="B18" s="8"/>
      <c r="C18" s="8"/>
      <c r="D18" s="8"/>
      <c r="E18" s="8"/>
      <c r="F18" s="8"/>
      <c r="G18" s="8"/>
      <c r="H18" s="8"/>
      <c r="I18" s="8"/>
      <c r="J18" s="9" t="s">
        <v>7252</v>
      </c>
      <c r="K18" s="8"/>
      <c r="L18" s="8"/>
    </row>
    <row r="19" spans="2:12" x14ac:dyDescent="0.25">
      <c r="B19" s="8"/>
      <c r="C19" s="8"/>
      <c r="D19" s="8"/>
      <c r="E19" s="8"/>
      <c r="F19" s="8"/>
      <c r="G19" s="8"/>
      <c r="H19" s="8"/>
      <c r="I19" s="8"/>
      <c r="J19" s="9" t="str">
        <f>I23&amp;" = "&amp;'Deductions (c4)'!H401&amp;" minus "&amp;'non-res (c91)'!H119</f>
        <v>c28.7 = c4.63 minus c91.27</v>
      </c>
      <c r="K19" s="8"/>
      <c r="L19" s="8"/>
    </row>
    <row r="20" spans="2:12" x14ac:dyDescent="0.25">
      <c r="B20" s="8"/>
      <c r="C20" s="8"/>
      <c r="D20" s="8"/>
      <c r="E20" s="8"/>
      <c r="F20" s="8"/>
      <c r="G20" s="8"/>
      <c r="H20" s="8"/>
      <c r="I20" s="8"/>
      <c r="J20" s="9" t="s">
        <v>7143</v>
      </c>
      <c r="K20" s="8"/>
      <c r="L20" s="8"/>
    </row>
    <row r="21" spans="2:12" x14ac:dyDescent="0.25">
      <c r="B21" s="8"/>
      <c r="C21" s="8"/>
      <c r="D21" s="8"/>
      <c r="E21" s="8"/>
      <c r="F21" s="8"/>
      <c r="G21" s="8"/>
      <c r="H21" s="8"/>
      <c r="I21" s="8"/>
      <c r="J21" s="9" t="str">
        <f>I23&amp;" = from "&amp;'Deductions (c4)'!H401</f>
        <v>c28.7 = from c4.63</v>
      </c>
      <c r="K21" s="8"/>
      <c r="L21" s="8"/>
    </row>
    <row r="22" spans="2:12" x14ac:dyDescent="0.25">
      <c r="B22" s="8"/>
      <c r="C22" s="8"/>
      <c r="D22" s="8"/>
      <c r="E22" s="8"/>
      <c r="F22" s="8"/>
      <c r="G22" s="8"/>
      <c r="H22" s="8"/>
      <c r="I22" s="8"/>
      <c r="J22" s="9" t="s">
        <v>75</v>
      </c>
      <c r="K22" s="8"/>
      <c r="L22" s="8"/>
    </row>
    <row r="23" spans="2:12" x14ac:dyDescent="0.25">
      <c r="B23" s="22" t="s">
        <v>9305</v>
      </c>
      <c r="C23" s="8"/>
      <c r="D23" s="8"/>
      <c r="E23" s="8"/>
      <c r="F23" s="8"/>
      <c r="G23" s="8"/>
      <c r="H23" s="8"/>
      <c r="I23" s="2210" t="str">
        <f>A7</f>
        <v>c28.7</v>
      </c>
      <c r="J23" s="2149">
        <f>IF(non_resident,adjusted_net_income-'non-res (c91)'!I119,adjusted_net_income)</f>
        <v>0</v>
      </c>
      <c r="K23" s="8"/>
      <c r="L23" s="8"/>
    </row>
    <row r="24" spans="2:12" x14ac:dyDescent="0.25">
      <c r="B24" s="8"/>
      <c r="C24" s="8"/>
      <c r="D24" s="8"/>
      <c r="E24" s="8"/>
      <c r="F24" s="11"/>
      <c r="G24" s="8"/>
      <c r="H24" s="8"/>
      <c r="I24" s="8"/>
      <c r="J24" s="8"/>
      <c r="K24" s="8"/>
      <c r="L24" s="8"/>
    </row>
    <row r="25" spans="2:12" x14ac:dyDescent="0.25">
      <c r="B25" s="8"/>
      <c r="C25" s="8"/>
      <c r="D25" s="8"/>
      <c r="E25" s="8"/>
      <c r="F25" s="8"/>
      <c r="G25" s="8"/>
      <c r="H25" s="8"/>
      <c r="I25" s="8"/>
      <c r="J25" s="9" t="str">
        <f>"CBC_HR_threshold ("&amp;DOLLAR(CBC_HR_threshold,0)&amp;")"</f>
        <v>CBC_HR_threshold (£60,000)</v>
      </c>
      <c r="K25" s="8"/>
      <c r="L25" s="8"/>
    </row>
    <row r="26" spans="2:12" x14ac:dyDescent="0.25">
      <c r="B26" s="8" t="s">
        <v>9306</v>
      </c>
      <c r="C26" s="8"/>
      <c r="D26" s="8"/>
      <c r="E26" s="8"/>
      <c r="F26" s="8"/>
      <c r="G26" s="8"/>
      <c r="H26" s="8"/>
      <c r="I26" s="2210" t="str">
        <f>A8</f>
        <v>c28.8</v>
      </c>
      <c r="J26" s="2169">
        <f>CBC_HR_threshold</f>
        <v>60000</v>
      </c>
      <c r="K26" s="8"/>
      <c r="L26" s="8"/>
    </row>
    <row r="27" spans="2:12" x14ac:dyDescent="0.25">
      <c r="B27" s="8"/>
      <c r="C27" s="8"/>
      <c r="D27" s="8"/>
      <c r="E27" s="8"/>
      <c r="F27" s="8"/>
      <c r="G27" s="8"/>
      <c r="H27" s="8"/>
      <c r="I27" s="8"/>
      <c r="J27" s="8"/>
      <c r="K27" s="8"/>
      <c r="L27" s="8"/>
    </row>
    <row r="28" spans="2:12" x14ac:dyDescent="0.25">
      <c r="B28" s="8"/>
      <c r="C28" s="8"/>
      <c r="D28" s="8"/>
      <c r="E28" s="8"/>
      <c r="F28" s="8"/>
      <c r="G28" s="8"/>
      <c r="H28" s="8"/>
      <c r="I28" s="8"/>
      <c r="J28" s="9" t="str">
        <f>I23&amp;" minus "&amp;I26</f>
        <v>c28.7 minus c28.8</v>
      </c>
      <c r="K28" s="8"/>
      <c r="L28" s="8"/>
    </row>
    <row r="29" spans="2:12" x14ac:dyDescent="0.25">
      <c r="B29" s="22" t="s">
        <v>9307</v>
      </c>
      <c r="C29" s="8"/>
      <c r="D29" s="8"/>
      <c r="E29" s="8"/>
      <c r="F29" s="8"/>
      <c r="G29" s="8"/>
      <c r="H29" s="8"/>
      <c r="I29" s="2210" t="str">
        <f>A9</f>
        <v>c28.9</v>
      </c>
      <c r="J29" s="2149">
        <f>MAX(0,J23-J26)</f>
        <v>0</v>
      </c>
      <c r="K29" s="8"/>
      <c r="L29" s="8"/>
    </row>
    <row r="30" spans="2:12" x14ac:dyDescent="0.25">
      <c r="B30" s="8"/>
      <c r="C30" s="8"/>
      <c r="D30" s="8"/>
      <c r="E30" s="8"/>
      <c r="F30" s="8"/>
      <c r="G30" s="8"/>
      <c r="H30" s="8"/>
      <c r="I30" s="8"/>
      <c r="J30" s="8"/>
      <c r="K30" s="8"/>
      <c r="L30" s="8"/>
    </row>
    <row r="31" spans="2:12" x14ac:dyDescent="0.25">
      <c r="B31" s="8"/>
      <c r="C31" s="8"/>
      <c r="D31" s="8"/>
      <c r="E31" s="8"/>
      <c r="F31" s="8"/>
      <c r="G31" s="8"/>
      <c r="H31" s="8"/>
      <c r="I31" s="8"/>
      <c r="J31" s="9" t="str">
        <f>I29&amp;" × CBC_taper ("&amp;CBC_taper*100&amp;"%)"</f>
        <v>c28.9 × CBC_taper (0.5%)</v>
      </c>
      <c r="K31" s="8"/>
      <c r="L31" s="8"/>
    </row>
    <row r="32" spans="2:12" x14ac:dyDescent="0.25">
      <c r="B32" s="8"/>
      <c r="C32" s="8"/>
      <c r="D32" s="8"/>
      <c r="E32" s="8"/>
      <c r="F32" s="8"/>
      <c r="G32" s="8"/>
      <c r="H32" s="8"/>
      <c r="I32" s="2210" t="str">
        <f>A10</f>
        <v>c28.10</v>
      </c>
      <c r="J32" s="2149">
        <f>TRUNC(J29*CBC_taper,0)</f>
        <v>0</v>
      </c>
      <c r="K32" s="197" t="s">
        <v>7029</v>
      </c>
      <c r="L32" s="8"/>
    </row>
    <row r="33" spans="2:14" x14ac:dyDescent="0.25">
      <c r="B33" s="8"/>
      <c r="C33" s="8"/>
      <c r="D33" s="8"/>
      <c r="E33" s="8"/>
      <c r="F33" s="8"/>
      <c r="G33" s="8"/>
      <c r="H33" s="8"/>
      <c r="I33" s="187"/>
      <c r="J33" s="167"/>
      <c r="K33" s="8"/>
      <c r="L33" s="8"/>
      <c r="M33" s="8"/>
      <c r="N33" s="8"/>
    </row>
    <row r="34" spans="2:14" x14ac:dyDescent="0.25">
      <c r="B34" s="8"/>
      <c r="C34" s="8"/>
      <c r="D34" s="138" t="str">
        <f>"from box "&amp;'REL(2)'!K23&amp;'REL(2)'!C25</f>
        <v>from box CBC1</v>
      </c>
      <c r="E34" s="8"/>
      <c r="F34" s="8"/>
      <c r="G34" s="8"/>
      <c r="H34" s="8"/>
      <c r="I34" s="187"/>
      <c r="J34" s="9" t="str">
        <f>C35&amp;" × CBC_rate ("&amp;CBC_rate*100&amp;"%)"</f>
        <v>c28.11 × CBC_rate (1%)</v>
      </c>
      <c r="K34" s="8"/>
      <c r="L34" s="8"/>
      <c r="M34" s="8"/>
      <c r="N34" s="8"/>
    </row>
    <row r="35" spans="2:14" x14ac:dyDescent="0.25">
      <c r="B35" s="8"/>
      <c r="C35" s="2210" t="str">
        <f>A11</f>
        <v>c28.11</v>
      </c>
      <c r="D35" s="2207">
        <f>TRUNC('REL(2)'!D26,0)</f>
        <v>0</v>
      </c>
      <c r="E35" s="197" t="s">
        <v>7029</v>
      </c>
      <c r="F35" s="8"/>
      <c r="G35" s="8"/>
      <c r="H35" s="8"/>
      <c r="I35" s="2210" t="str">
        <f>A12</f>
        <v>c28.12</v>
      </c>
      <c r="J35" s="2182">
        <f>TRUNC(D35*CBC_rate,2)</f>
        <v>0</v>
      </c>
      <c r="K35" s="197" t="s">
        <v>7647</v>
      </c>
      <c r="L35" s="8"/>
      <c r="M35" s="8"/>
      <c r="N35" s="8"/>
    </row>
    <row r="36" spans="2:14" x14ac:dyDescent="0.25">
      <c r="B36" s="8"/>
      <c r="C36" s="8"/>
      <c r="D36" s="8"/>
      <c r="E36" s="8"/>
      <c r="F36" s="8"/>
      <c r="G36" s="8"/>
      <c r="H36" s="8"/>
      <c r="I36" s="8"/>
      <c r="J36" s="167"/>
      <c r="K36" s="8"/>
      <c r="L36" s="8"/>
      <c r="M36" s="8"/>
      <c r="N36" s="8"/>
    </row>
    <row r="37" spans="2:14" x14ac:dyDescent="0.25">
      <c r="B37" s="8"/>
      <c r="C37" s="8"/>
      <c r="D37" s="8"/>
      <c r="E37" s="8"/>
      <c r="F37" s="8"/>
      <c r="G37" s="8"/>
      <c r="H37" s="8"/>
      <c r="I37" s="8"/>
      <c r="J37" s="9" t="str">
        <f>I32&amp;" × "&amp;I35</f>
        <v>c28.10 × c28.12</v>
      </c>
      <c r="K37" s="8"/>
      <c r="L37" s="8"/>
      <c r="M37" s="8"/>
      <c r="N37" s="8"/>
    </row>
    <row r="38" spans="2:14" x14ac:dyDescent="0.25">
      <c r="B38" s="8"/>
      <c r="C38" s="8"/>
      <c r="D38" s="8"/>
      <c r="E38" s="8"/>
      <c r="F38" s="8"/>
      <c r="G38" s="8"/>
      <c r="H38" s="8"/>
      <c r="I38" s="2210" t="str">
        <f>A13</f>
        <v>c28.13</v>
      </c>
      <c r="J38" s="2182">
        <f>J32*J35</f>
        <v>0</v>
      </c>
      <c r="K38" s="8"/>
      <c r="L38" s="8"/>
      <c r="M38" s="8"/>
      <c r="N38" s="8"/>
    </row>
    <row r="39" spans="2:14" x14ac:dyDescent="0.25">
      <c r="B39" s="8"/>
      <c r="C39" s="8"/>
      <c r="D39" s="8"/>
      <c r="E39" s="8"/>
      <c r="F39" s="8"/>
      <c r="G39" s="8"/>
      <c r="H39" s="8"/>
      <c r="I39" s="187"/>
      <c r="J39" s="167"/>
      <c r="K39" s="8"/>
      <c r="L39" s="8"/>
      <c r="M39" s="8"/>
      <c r="N39" s="8"/>
    </row>
    <row r="40" spans="2:14" x14ac:dyDescent="0.25">
      <c r="B40" s="8"/>
      <c r="C40" s="8"/>
      <c r="D40" s="8"/>
      <c r="E40" s="8"/>
      <c r="F40" s="8"/>
      <c r="G40" s="8"/>
      <c r="H40" s="8"/>
      <c r="I40" s="8"/>
      <c r="J40" s="9" t="str">
        <f>"lower of "&amp;C35&amp;" and "&amp;I38</f>
        <v>lower of c28.11 and c28.13</v>
      </c>
      <c r="K40" s="8"/>
      <c r="L40" s="8"/>
      <c r="M40" s="8"/>
      <c r="N40" s="8"/>
    </row>
    <row r="41" spans="2:14" x14ac:dyDescent="0.25">
      <c r="B41" s="8"/>
      <c r="C41" s="8"/>
      <c r="D41" s="8"/>
      <c r="E41" s="8"/>
      <c r="F41" s="8"/>
      <c r="G41" s="8"/>
      <c r="H41" s="8"/>
      <c r="I41" s="2210" t="str">
        <f>A14</f>
        <v>c28.14</v>
      </c>
      <c r="J41" s="2207">
        <f>TRUNC(MIN(D35,J38),0)</f>
        <v>0</v>
      </c>
      <c r="K41" s="197" t="s">
        <v>7029</v>
      </c>
      <c r="L41" s="8"/>
      <c r="M41" s="8"/>
      <c r="N41" s="8"/>
    </row>
    <row r="42" spans="2:14" x14ac:dyDescent="0.25">
      <c r="B42" s="8"/>
      <c r="C42" s="8"/>
      <c r="D42" s="8"/>
      <c r="E42" s="8"/>
      <c r="F42" s="8"/>
      <c r="G42" s="8"/>
      <c r="H42" s="8"/>
      <c r="I42" s="8"/>
      <c r="J42" s="9" t="str">
        <f>"copy to "&amp;'Tax adj (c9)'!A50</f>
        <v>copy to c9.39c</v>
      </c>
      <c r="K42" s="8"/>
      <c r="L42" s="8"/>
      <c r="M42" s="8"/>
      <c r="N42" s="8"/>
    </row>
  </sheetData>
  <phoneticPr fontId="58" type="noConversion"/>
  <pageMargins left="0.196850393700787" right="0.196850393700787" top="0.196850393700787" bottom="0.196850393700787" header="0" footer="0"/>
  <pageSetup paperSize="9" orientation="portrait" r:id="rId1"/>
  <headerFooter alignWithMargins="0">
    <oddFooter>&amp;C&amp;1#&amp;"Calibri"&amp;10&amp;K000000OFFICIAL-SENSITIVE</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2">
    <pageSetUpPr fitToPage="1"/>
  </sheetPr>
  <dimension ref="A1:AC122"/>
  <sheetViews>
    <sheetView showGridLines="0" topLeftCell="B1" zoomScaleNormal="100" workbookViewId="0">
      <selection activeCell="B1" sqref="B1"/>
    </sheetView>
  </sheetViews>
  <sheetFormatPr defaultColWidth="9.1796875" defaultRowHeight="11.5" x14ac:dyDescent="0.25"/>
  <cols>
    <col min="1" max="1" width="6.453125" style="22" hidden="1" customWidth="1"/>
    <col min="2" max="2" width="36.453125" style="22" customWidth="1"/>
    <col min="3" max="3" width="7.1796875" style="22" customWidth="1"/>
    <col min="4" max="4" width="16.1796875" style="22" customWidth="1"/>
    <col min="5" max="6" width="6.453125" style="22" customWidth="1"/>
    <col min="7" max="7" width="34.453125" style="22" customWidth="1"/>
    <col min="8" max="8" width="7.1796875" style="22" customWidth="1"/>
    <col min="9" max="9" width="16.1796875" style="22" customWidth="1"/>
    <col min="10" max="11" width="6.453125" style="22" customWidth="1"/>
    <col min="12" max="12" width="26.54296875" style="22" customWidth="1"/>
    <col min="13" max="13" width="7.1796875" style="22" customWidth="1"/>
    <col min="14" max="14" width="16.1796875" style="22" customWidth="1"/>
    <col min="15" max="16" width="6.453125" style="22" customWidth="1"/>
    <col min="17" max="17" width="34.453125" style="22" customWidth="1"/>
    <col min="18" max="18" width="7.1796875" style="22" customWidth="1"/>
    <col min="19" max="19" width="16.1796875" style="22" customWidth="1"/>
    <col min="20" max="20" width="6.453125" style="22" customWidth="1"/>
    <col min="21" max="21" width="6.1796875" style="22" customWidth="1"/>
    <col min="22" max="22" width="14" style="22" customWidth="1"/>
    <col min="23" max="23" width="6.453125" style="22" customWidth="1"/>
    <col min="24" max="24" width="6.1796875" style="22" customWidth="1"/>
    <col min="25" max="25" width="13" style="22" customWidth="1"/>
    <col min="26" max="26" width="6.453125" style="22" customWidth="1"/>
    <col min="27" max="28" width="6.1796875" style="22" customWidth="1"/>
    <col min="29" max="29" width="14" style="22" customWidth="1"/>
    <col min="30" max="16384" width="9.1796875" style="22"/>
  </cols>
  <sheetData>
    <row r="1" spans="1:18" ht="18" x14ac:dyDescent="0.4">
      <c r="A1" s="22" t="s">
        <v>9308</v>
      </c>
      <c r="B1" s="483" t="s">
        <v>9309</v>
      </c>
      <c r="D1" s="2144" t="s">
        <v>7019</v>
      </c>
      <c r="E1" s="2327"/>
      <c r="F1" s="2327"/>
      <c r="G1" s="2328"/>
    </row>
    <row r="2" spans="1:18" x14ac:dyDescent="0.25">
      <c r="A2" s="22" t="s">
        <v>9310</v>
      </c>
      <c r="B2" s="382"/>
    </row>
    <row r="3" spans="1:18" x14ac:dyDescent="0.25">
      <c r="A3" s="22" t="s">
        <v>9311</v>
      </c>
      <c r="B3" s="382"/>
    </row>
    <row r="4" spans="1:18" x14ac:dyDescent="0.25">
      <c r="A4" s="22" t="s">
        <v>9312</v>
      </c>
      <c r="B4" s="382"/>
    </row>
    <row r="5" spans="1:18" x14ac:dyDescent="0.25">
      <c r="A5" s="22" t="s">
        <v>9313</v>
      </c>
    </row>
    <row r="6" spans="1:18" x14ac:dyDescent="0.25">
      <c r="A6" s="22" t="s">
        <v>9314</v>
      </c>
      <c r="B6" s="22" t="str">
        <f>"If "&amp;NRD&amp;NRD!C5&amp;" = N"</f>
        <v>If NRD1 = N</v>
      </c>
    </row>
    <row r="7" spans="1:18" x14ac:dyDescent="0.25">
      <c r="A7" s="22" t="s">
        <v>9315</v>
      </c>
      <c r="B7" s="22" t="str">
        <f>"set boxes "&amp;C15&amp;" to "&amp;R119&amp;" to 0 (zero)"</f>
        <v>set boxes c91.1 to c91.35 to 0 (zero)</v>
      </c>
    </row>
    <row r="8" spans="1:18" x14ac:dyDescent="0.25">
      <c r="A8" s="22" t="s">
        <v>9316</v>
      </c>
      <c r="B8" s="22" t="s">
        <v>7143</v>
      </c>
    </row>
    <row r="9" spans="1:18" x14ac:dyDescent="0.25">
      <c r="A9" s="22" t="s">
        <v>9317</v>
      </c>
    </row>
    <row r="10" spans="1:18" x14ac:dyDescent="0.25">
      <c r="A10" s="22" t="s">
        <v>9318</v>
      </c>
      <c r="B10" s="22" t="s">
        <v>9319</v>
      </c>
    </row>
    <row r="11" spans="1:18" x14ac:dyDescent="0.25">
      <c r="A11" s="22" t="s">
        <v>9320</v>
      </c>
    </row>
    <row r="12" spans="1:18" x14ac:dyDescent="0.25">
      <c r="A12" s="22" t="s">
        <v>9321</v>
      </c>
      <c r="B12" s="22" t="s">
        <v>7192</v>
      </c>
      <c r="H12" s="22" t="s">
        <v>9322</v>
      </c>
      <c r="M12" s="22" t="s">
        <v>9323</v>
      </c>
      <c r="R12" s="22" t="s">
        <v>6703</v>
      </c>
    </row>
    <row r="13" spans="1:18" x14ac:dyDescent="0.25">
      <c r="A13" s="22" t="s">
        <v>9324</v>
      </c>
      <c r="O13" s="209"/>
    </row>
    <row r="14" spans="1:18" x14ac:dyDescent="0.25">
      <c r="A14" s="22" t="s">
        <v>9325</v>
      </c>
      <c r="D14" s="9" t="str">
        <f>"from "&amp;'NS income (c1)'!I184</f>
        <v>from c1.57</v>
      </c>
      <c r="R14" s="22" t="s">
        <v>9326</v>
      </c>
    </row>
    <row r="15" spans="1:18" x14ac:dyDescent="0.25">
      <c r="A15" s="22" t="s">
        <v>9327</v>
      </c>
      <c r="B15" s="22" t="s">
        <v>9326</v>
      </c>
      <c r="C15" s="2329" t="str">
        <f>A1</f>
        <v>c91.1</v>
      </c>
      <c r="D15" s="2149">
        <f>'NS income (c1)'!J184+IF(calc_TP_alt_c8_26,'Deductions (c4)'!I343,0)</f>
        <v>0</v>
      </c>
      <c r="E15" s="133"/>
      <c r="H15" s="134"/>
      <c r="Q15" s="387"/>
    </row>
    <row r="16" spans="1:18" x14ac:dyDescent="0.25">
      <c r="A16" s="22" t="s">
        <v>9328</v>
      </c>
      <c r="H16" s="22" t="s">
        <v>9329</v>
      </c>
      <c r="L16" s="209"/>
      <c r="M16" s="209"/>
      <c r="O16" s="209"/>
      <c r="P16" s="209"/>
    </row>
    <row r="17" spans="1:25" x14ac:dyDescent="0.25">
      <c r="A17" s="22" t="s">
        <v>9330</v>
      </c>
      <c r="L17" s="209"/>
      <c r="M17" s="209"/>
      <c r="O17" s="209"/>
      <c r="P17" s="209"/>
    </row>
    <row r="18" spans="1:25" x14ac:dyDescent="0.25">
      <c r="A18" s="22" t="s">
        <v>9331</v>
      </c>
      <c r="I18" s="138" t="str">
        <f>INC&amp;'INC(2)'!C4&amp;" + "&amp;INC&amp;'INC(2)'!G7&amp;" + "&amp;INC&amp;'INC(2)'!G13&amp;" + "&amp;INC&amp;'INC(2)'!G16</f>
        <v>INC8 + INC13 + INC15 + INC16</v>
      </c>
      <c r="L18" s="209"/>
      <c r="M18" s="209"/>
      <c r="O18" s="209"/>
      <c r="P18" s="209"/>
      <c r="S18" s="138" t="str">
        <f>"from "&amp;INC&amp;'INC(2)'!G10</f>
        <v>from INC14</v>
      </c>
    </row>
    <row r="19" spans="1:25" x14ac:dyDescent="0.25">
      <c r="A19" s="22" t="s">
        <v>9332</v>
      </c>
      <c r="B19" s="146" t="s">
        <v>9333</v>
      </c>
      <c r="H19" s="2329" t="str">
        <f>A2</f>
        <v>c91.2</v>
      </c>
      <c r="I19" s="2149">
        <f>TRUNC('INC(2)'!D5,0)+TRUNC('INC(2)'!H8,0)+TRUNC('INC(2)'!H14,0)+TRUNC('INC(2)'!H17,0)</f>
        <v>0</v>
      </c>
      <c r="J19" s="225" t="s">
        <v>7029</v>
      </c>
      <c r="L19" s="209"/>
      <c r="M19" s="209"/>
      <c r="O19" s="209"/>
      <c r="Q19" s="138" t="s">
        <v>9334</v>
      </c>
      <c r="R19" s="2329" t="str">
        <f>A32</f>
        <v>c91.29</v>
      </c>
      <c r="S19" s="2191">
        <f>TRUNC('INC(2)'!H11+0.99)</f>
        <v>0</v>
      </c>
      <c r="T19" s="197" t="s">
        <v>7035</v>
      </c>
    </row>
    <row r="20" spans="1:25" x14ac:dyDescent="0.25">
      <c r="A20" s="22" t="s">
        <v>9335</v>
      </c>
      <c r="L20" s="209"/>
      <c r="M20" s="209"/>
      <c r="O20" s="209"/>
      <c r="Q20" s="9"/>
      <c r="Y20" s="78"/>
    </row>
    <row r="21" spans="1:25" x14ac:dyDescent="0.25">
      <c r="A21" s="22" t="s">
        <v>9336</v>
      </c>
      <c r="B21" s="146" t="s">
        <v>9337</v>
      </c>
      <c r="I21" s="9" t="str">
        <f>"from "&amp;'NS income (c1)'!E160</f>
        <v>from c1.46</v>
      </c>
      <c r="L21" s="209"/>
      <c r="M21" s="209"/>
      <c r="O21" s="209"/>
      <c r="S21" s="9" t="str">
        <f>"from "&amp;'Tax paid (c11)'!F60</f>
        <v>from c11.17</v>
      </c>
      <c r="Y21" s="78"/>
    </row>
    <row r="22" spans="1:25" x14ac:dyDescent="0.25">
      <c r="A22" s="22" t="s">
        <v>9338</v>
      </c>
      <c r="G22" s="138" t="str">
        <f>TRU&amp;TRU!C6&amp;" × Trust_gross ("&amp;trust_gross_F&amp;")"</f>
        <v>TRU1 × Trust_gross (100/55)</v>
      </c>
      <c r="H22" s="2329" t="str">
        <f>A3</f>
        <v>c91.3</v>
      </c>
      <c r="I22" s="2149">
        <f>'NS income (c1)'!F160</f>
        <v>0</v>
      </c>
      <c r="J22" s="387"/>
      <c r="L22" s="209"/>
      <c r="M22" s="209"/>
      <c r="O22" s="209"/>
      <c r="Q22" s="138" t="s">
        <v>9339</v>
      </c>
      <c r="R22" s="2329" t="str">
        <f>A33</f>
        <v>c91.30</v>
      </c>
      <c r="S22" s="2191">
        <f>'Tax paid (c11)'!G60</f>
        <v>0</v>
      </c>
      <c r="T22" s="387"/>
      <c r="Y22" s="78"/>
    </row>
    <row r="23" spans="1:25" x14ac:dyDescent="0.25">
      <c r="A23" s="22" t="s">
        <v>9340</v>
      </c>
      <c r="B23" s="146"/>
      <c r="L23" s="209"/>
      <c r="M23" s="209"/>
      <c r="O23" s="209"/>
      <c r="Q23" s="138"/>
      <c r="Y23" s="78"/>
    </row>
    <row r="24" spans="1:25" x14ac:dyDescent="0.25">
      <c r="A24" s="22" t="s">
        <v>9341</v>
      </c>
      <c r="I24" s="9" t="str">
        <f>"from "&amp;'NS income (c1)'!E161</f>
        <v>from c1.47</v>
      </c>
      <c r="J24" s="225"/>
      <c r="L24" s="209"/>
      <c r="M24" s="209"/>
      <c r="O24" s="209"/>
      <c r="Q24" s="138"/>
      <c r="S24" s="9" t="str">
        <f>"from "&amp;'Tax paid (c11)'!F61</f>
        <v>from c11.18</v>
      </c>
      <c r="T24" s="225"/>
      <c r="Y24" s="78"/>
    </row>
    <row r="25" spans="1:25" x14ac:dyDescent="0.25">
      <c r="A25" s="22" t="s">
        <v>9342</v>
      </c>
      <c r="G25" s="138" t="str">
        <f>TRU&amp;TRU!C32&amp;" × Trust_gross ("&amp;trust_gross_F&amp;")"</f>
        <v>TRU10 × Trust_gross (100/55)</v>
      </c>
      <c r="H25" s="2329" t="str">
        <f>A4</f>
        <v>c91.3a</v>
      </c>
      <c r="I25" s="2149">
        <f>'NS income (c1)'!F161</f>
        <v>0</v>
      </c>
      <c r="J25" s="387"/>
      <c r="L25" s="209"/>
      <c r="M25" s="209"/>
      <c r="O25" s="209"/>
      <c r="Q25" s="138" t="s">
        <v>9343</v>
      </c>
      <c r="R25" s="2329" t="str">
        <f>A34</f>
        <v>c91.30a</v>
      </c>
      <c r="S25" s="2191">
        <f>'Tax paid (c11)'!G61</f>
        <v>0</v>
      </c>
      <c r="T25" s="387"/>
      <c r="Y25" s="78"/>
    </row>
    <row r="26" spans="1:25" x14ac:dyDescent="0.25">
      <c r="A26" s="22" t="s">
        <v>9344</v>
      </c>
      <c r="L26" s="209"/>
      <c r="M26" s="209"/>
      <c r="O26" s="209"/>
      <c r="Q26" s="9"/>
      <c r="Y26" s="78"/>
    </row>
    <row r="27" spans="1:25" x14ac:dyDescent="0.25">
      <c r="A27" s="22" t="s">
        <v>9345</v>
      </c>
      <c r="I27" s="9" t="s">
        <v>4816</v>
      </c>
      <c r="J27" s="225"/>
      <c r="L27" s="209"/>
      <c r="M27" s="209"/>
      <c r="O27" s="209"/>
      <c r="Q27" s="9"/>
      <c r="S27" s="9" t="str">
        <f>H28&amp;" × OLD_BR ("&amp;OLD_BR*100&amp;"%)"</f>
        <v>c91.4 × OLD_BR (22%)</v>
      </c>
      <c r="Y27" s="78"/>
    </row>
    <row r="28" spans="1:25" x14ac:dyDescent="0.25">
      <c r="A28" s="22" t="s">
        <v>9346</v>
      </c>
      <c r="G28" s="138" t="s">
        <v>4816</v>
      </c>
      <c r="H28" s="2329" t="str">
        <f>A5</f>
        <v>c91.4</v>
      </c>
      <c r="I28" s="2129">
        <v>0</v>
      </c>
      <c r="L28" s="209"/>
      <c r="M28" s="209"/>
      <c r="O28" s="209"/>
      <c r="Q28" s="138" t="s">
        <v>9347</v>
      </c>
      <c r="R28" s="2329" t="str">
        <f>A35</f>
        <v>c91.31</v>
      </c>
      <c r="S28" s="2191">
        <f>TRUNC((I28*OLD_BR)+0.0099,2)</f>
        <v>0</v>
      </c>
      <c r="T28" s="225" t="s">
        <v>8206</v>
      </c>
      <c r="Y28" s="78"/>
    </row>
    <row r="29" spans="1:25" x14ac:dyDescent="0.25">
      <c r="A29" s="22" t="s">
        <v>9348</v>
      </c>
      <c r="G29" s="138"/>
      <c r="I29" s="78"/>
      <c r="L29" s="209"/>
      <c r="M29" s="209"/>
      <c r="O29" s="209"/>
      <c r="Q29" s="138"/>
      <c r="S29" s="35"/>
      <c r="T29" s="225"/>
      <c r="Y29" s="78"/>
    </row>
    <row r="30" spans="1:25" x14ac:dyDescent="0.25">
      <c r="A30" s="22" t="s">
        <v>4948</v>
      </c>
      <c r="G30" s="138"/>
      <c r="L30" s="209"/>
      <c r="M30" s="209"/>
      <c r="O30" s="209"/>
      <c r="Q30" s="138"/>
      <c r="S30" s="35"/>
      <c r="T30" s="225"/>
      <c r="Y30" s="78"/>
    </row>
    <row r="31" spans="1:25" x14ac:dyDescent="0.25">
      <c r="A31" s="22" t="s">
        <v>9349</v>
      </c>
      <c r="L31" s="209"/>
      <c r="M31" s="209"/>
      <c r="O31" s="209"/>
      <c r="P31" s="209"/>
      <c r="Y31" s="78"/>
    </row>
    <row r="32" spans="1:25" x14ac:dyDescent="0.25">
      <c r="A32" s="22" t="s">
        <v>9350</v>
      </c>
      <c r="I32" s="9" t="str">
        <f>H19&amp;" + "&amp;H22&amp;" + "&amp;H25&amp;" + "&amp;H28</f>
        <v>c91.2 + c91.3 + c91.3a + c91.4</v>
      </c>
      <c r="L32" s="209"/>
      <c r="N32" s="9" t="str">
        <f>C15&amp;" minus "&amp;H33</f>
        <v>c91.1 minus c91.5</v>
      </c>
      <c r="O32" s="209"/>
      <c r="P32" s="209"/>
      <c r="S32" s="38" t="str">
        <f>R19&amp;" + "&amp;R22&amp;" + "&amp;R25&amp;" + "&amp;R28</f>
        <v>c91.29 + c91.30 + c91.30a + c91.31</v>
      </c>
      <c r="Y32" s="78"/>
    </row>
    <row r="33" spans="1:25" x14ac:dyDescent="0.25">
      <c r="A33" s="22" t="s">
        <v>9351</v>
      </c>
      <c r="B33" s="146" t="s">
        <v>9352</v>
      </c>
      <c r="H33" s="2329" t="str">
        <f>A6</f>
        <v>c91.5</v>
      </c>
      <c r="I33" s="2149">
        <f>I19+I22+I25+I28</f>
        <v>0</v>
      </c>
      <c r="L33" s="209"/>
      <c r="M33" s="2329" t="str">
        <f>A7</f>
        <v>c91.6</v>
      </c>
      <c r="N33" s="2129">
        <f>MAX(0,D15-I33)</f>
        <v>0</v>
      </c>
      <c r="O33" s="209"/>
      <c r="P33" s="209"/>
      <c r="R33" s="2329" t="str">
        <f>A36</f>
        <v>c91.31a</v>
      </c>
      <c r="S33" s="2191">
        <f>S19+S22+S25+S28</f>
        <v>0</v>
      </c>
      <c r="Y33" s="78"/>
    </row>
    <row r="34" spans="1:25" x14ac:dyDescent="0.25">
      <c r="A34" s="22" t="s">
        <v>9353</v>
      </c>
      <c r="L34" s="209"/>
      <c r="N34" s="9" t="str">
        <f>"copy to "&amp;'Taxable (c5)'!E17</f>
        <v>copy to c5.3</v>
      </c>
      <c r="O34" s="209"/>
      <c r="P34" s="209"/>
      <c r="Y34" s="215"/>
    </row>
    <row r="35" spans="1:25" x14ac:dyDescent="0.25">
      <c r="A35" s="22" t="s">
        <v>9354</v>
      </c>
      <c r="B35" s="289"/>
      <c r="C35" s="289"/>
      <c r="D35" s="289"/>
      <c r="E35" s="289"/>
      <c r="F35" s="289"/>
      <c r="G35" s="289"/>
      <c r="H35" s="289"/>
      <c r="I35" s="289"/>
      <c r="J35" s="289"/>
      <c r="K35" s="289"/>
      <c r="L35" s="289"/>
      <c r="M35" s="289"/>
      <c r="N35" s="289"/>
      <c r="O35" s="358"/>
      <c r="P35" s="358"/>
      <c r="Q35" s="289"/>
      <c r="R35" s="289"/>
      <c r="S35" s="289"/>
      <c r="T35" s="289"/>
      <c r="U35" s="289"/>
    </row>
    <row r="36" spans="1:25" x14ac:dyDescent="0.25">
      <c r="A36" s="22" t="s">
        <v>9355</v>
      </c>
      <c r="B36" s="290"/>
      <c r="C36" s="290"/>
      <c r="D36" s="290"/>
      <c r="E36" s="290"/>
      <c r="F36" s="290"/>
      <c r="G36" s="290"/>
      <c r="H36" s="290"/>
      <c r="I36" s="290"/>
      <c r="J36" s="290"/>
      <c r="K36" s="290"/>
      <c r="L36" s="290"/>
      <c r="M36" s="290"/>
      <c r="N36" s="290"/>
      <c r="O36" s="359"/>
      <c r="P36" s="359"/>
      <c r="Q36" s="290"/>
      <c r="R36" s="290"/>
      <c r="S36" s="290"/>
      <c r="T36" s="290"/>
      <c r="U36" s="290"/>
    </row>
    <row r="37" spans="1:25" x14ac:dyDescent="0.25">
      <c r="A37" s="22" t="s">
        <v>9356</v>
      </c>
      <c r="B37" s="22" t="s">
        <v>7192</v>
      </c>
      <c r="O37" s="209"/>
      <c r="P37" s="209"/>
    </row>
    <row r="38" spans="1:25" x14ac:dyDescent="0.25">
      <c r="A38" s="22" t="s">
        <v>9357</v>
      </c>
      <c r="C38" s="209"/>
      <c r="D38" s="9" t="str">
        <f>"from "&amp;'NS income (c1)'!I188</f>
        <v>from c1.58</v>
      </c>
      <c r="L38" s="209"/>
      <c r="M38" s="209"/>
      <c r="O38" s="209"/>
      <c r="P38" s="209"/>
    </row>
    <row r="39" spans="1:25" x14ac:dyDescent="0.25">
      <c r="A39" s="22" t="s">
        <v>9358</v>
      </c>
      <c r="B39" s="22" t="s">
        <v>9359</v>
      </c>
      <c r="C39" s="2329" t="str">
        <f>A8</f>
        <v>c91.7</v>
      </c>
      <c r="D39" s="2129">
        <f>'NS income (c1)'!J188</f>
        <v>0</v>
      </c>
      <c r="L39" s="209"/>
      <c r="M39" s="209"/>
      <c r="O39" s="209"/>
      <c r="P39" s="209"/>
    </row>
    <row r="40" spans="1:25" x14ac:dyDescent="0.25">
      <c r="A40" s="22" t="s">
        <v>9360</v>
      </c>
      <c r="B40" s="289"/>
      <c r="C40" s="289"/>
      <c r="D40" s="289"/>
      <c r="E40" s="289"/>
      <c r="F40" s="289"/>
      <c r="G40" s="289"/>
      <c r="H40" s="289"/>
      <c r="I40" s="289"/>
      <c r="J40" s="289"/>
      <c r="K40" s="289"/>
      <c r="L40" s="289"/>
      <c r="M40" s="289"/>
      <c r="N40" s="289"/>
      <c r="O40" s="358"/>
      <c r="P40" s="358"/>
      <c r="Q40" s="289"/>
      <c r="R40" s="289"/>
      <c r="S40" s="289"/>
      <c r="T40" s="289"/>
      <c r="U40" s="289"/>
    </row>
    <row r="41" spans="1:25" x14ac:dyDescent="0.25">
      <c r="A41" s="22" t="s">
        <v>9361</v>
      </c>
      <c r="B41" s="290"/>
      <c r="C41" s="290"/>
      <c r="D41" s="290"/>
      <c r="E41" s="290"/>
      <c r="F41" s="290"/>
      <c r="G41" s="290"/>
      <c r="H41" s="290"/>
      <c r="I41" s="290"/>
      <c r="J41" s="290"/>
      <c r="K41" s="290"/>
      <c r="L41" s="290"/>
      <c r="M41" s="290"/>
      <c r="N41" s="290"/>
      <c r="O41" s="359"/>
      <c r="P41" s="359"/>
      <c r="Q41" s="290"/>
      <c r="R41" s="290"/>
      <c r="S41" s="290"/>
      <c r="T41" s="290"/>
      <c r="U41" s="290"/>
    </row>
    <row r="42" spans="1:25" x14ac:dyDescent="0.25">
      <c r="A42" s="22" t="s">
        <v>9362</v>
      </c>
      <c r="B42" s="22" t="s">
        <v>7192</v>
      </c>
      <c r="H42" s="22" t="s">
        <v>9322</v>
      </c>
      <c r="M42" s="22" t="s">
        <v>9323</v>
      </c>
      <c r="R42" s="22" t="s">
        <v>6703</v>
      </c>
    </row>
    <row r="43" spans="1:25" x14ac:dyDescent="0.25">
      <c r="A43" s="22" t="s">
        <v>9363</v>
      </c>
      <c r="D43" s="9" t="str">
        <f>"from "&amp;'Savings (c2)'!H79</f>
        <v>from c2.19</v>
      </c>
      <c r="O43" s="209"/>
      <c r="P43" s="209"/>
    </row>
    <row r="44" spans="1:25" x14ac:dyDescent="0.25">
      <c r="A44" s="22" t="s">
        <v>9364</v>
      </c>
      <c r="B44" s="22" t="s">
        <v>9365</v>
      </c>
      <c r="C44" s="2329" t="str">
        <f>A9</f>
        <v>c91.8</v>
      </c>
      <c r="D44" s="2149">
        <f>'Savings (c2)'!I79</f>
        <v>0</v>
      </c>
      <c r="L44" s="209"/>
      <c r="M44" s="209"/>
      <c r="O44" s="209"/>
      <c r="P44" s="209"/>
      <c r="R44" s="22" t="s">
        <v>9365</v>
      </c>
    </row>
    <row r="45" spans="1:25" x14ac:dyDescent="0.25">
      <c r="A45" s="22" t="s">
        <v>9366</v>
      </c>
      <c r="L45" s="209"/>
      <c r="M45" s="209"/>
      <c r="O45" s="209"/>
      <c r="P45" s="209"/>
    </row>
    <row r="46" spans="1:25" x14ac:dyDescent="0.25">
      <c r="I46" s="9" t="str">
        <f>"from "&amp;'Savings (c2)'!E59</f>
        <v>from c2.14</v>
      </c>
      <c r="L46" s="209"/>
      <c r="M46" s="209"/>
      <c r="O46" s="209"/>
      <c r="P46" s="146" t="s">
        <v>9367</v>
      </c>
      <c r="S46" s="9" t="str">
        <f>"from "&amp;'Tax paid (c11)'!I76</f>
        <v>from c11.27</v>
      </c>
    </row>
    <row r="47" spans="1:25" x14ac:dyDescent="0.25">
      <c r="B47" s="146" t="s">
        <v>5337</v>
      </c>
      <c r="G47" s="9" t="str">
        <f>'Savings (c2)'!F58</f>
        <v>INC1 × savings_gross (100/80)</v>
      </c>
      <c r="H47" s="2329" t="str">
        <f>A10</f>
        <v>c91.9</v>
      </c>
      <c r="I47" s="2129">
        <f>'Savings (c2)'!F59</f>
        <v>0</v>
      </c>
      <c r="J47" s="225"/>
      <c r="L47" s="209"/>
      <c r="M47" s="209"/>
      <c r="O47" s="209"/>
      <c r="Q47" s="9" t="str">
        <f>'Tax paid (c11)'!J75</f>
        <v>INC1 × savings_gross (100/80) × BR_rate (20%)</v>
      </c>
      <c r="R47" s="2329" t="str">
        <f>A37</f>
        <v>c91.32</v>
      </c>
      <c r="S47" s="2191">
        <f>'Tax paid (c11)'!J76</f>
        <v>0</v>
      </c>
    </row>
    <row r="48" spans="1:25" x14ac:dyDescent="0.25">
      <c r="L48" s="209"/>
      <c r="M48" s="209"/>
      <c r="O48" s="209"/>
    </row>
    <row r="49" spans="1:29" x14ac:dyDescent="0.25">
      <c r="I49" s="138" t="str">
        <f>"from "&amp;INC&amp;'INC(1)'!C18</f>
        <v>from INC2</v>
      </c>
      <c r="L49" s="209"/>
      <c r="M49" s="209"/>
      <c r="O49" s="209"/>
    </row>
    <row r="50" spans="1:29" x14ac:dyDescent="0.25">
      <c r="B50" s="146" t="s">
        <v>2226</v>
      </c>
      <c r="H50" s="2329" t="str">
        <f>A11</f>
        <v>c91.10</v>
      </c>
      <c r="I50" s="2149">
        <f>TRUNC('INC(1)'!D19,0)</f>
        <v>0</v>
      </c>
      <c r="J50" s="225" t="s">
        <v>7029</v>
      </c>
      <c r="L50" s="209"/>
      <c r="M50" s="209"/>
      <c r="O50" s="209"/>
    </row>
    <row r="51" spans="1:29" x14ac:dyDescent="0.25">
      <c r="A51" s="473" t="s">
        <v>4219</v>
      </c>
      <c r="L51" s="209"/>
      <c r="M51" s="209"/>
      <c r="O51" s="209"/>
    </row>
    <row r="52" spans="1:29" x14ac:dyDescent="0.25">
      <c r="A52" s="2330">
        <f>TRU!H25</f>
        <v>0</v>
      </c>
      <c r="B52" s="146"/>
      <c r="I52" s="138" t="str">
        <f>"from "&amp;AOI&amp;AOI!G7</f>
        <v>from AOI3</v>
      </c>
      <c r="O52" s="209"/>
      <c r="P52" s="146" t="s">
        <v>9368</v>
      </c>
      <c r="S52" s="9" t="str">
        <f>"from "&amp;'Tax paid (c11)'!I80</f>
        <v>from c11.28</v>
      </c>
    </row>
    <row r="53" spans="1:29" x14ac:dyDescent="0.25">
      <c r="B53" s="146" t="s">
        <v>9369</v>
      </c>
      <c r="H53" s="2329" t="str">
        <f>A12</f>
        <v>c91.11</v>
      </c>
      <c r="I53" s="2149">
        <f>TRUNC(AOI!H8,0)</f>
        <v>0</v>
      </c>
      <c r="J53" s="225" t="s">
        <v>7029</v>
      </c>
      <c r="L53" s="209"/>
      <c r="M53" s="209"/>
      <c r="O53" s="209"/>
      <c r="R53" s="2329" t="str">
        <f>A38</f>
        <v>c91.33</v>
      </c>
      <c r="S53" s="2191">
        <f>TRUNC('Tax paid (c11)'!J80+0.99)</f>
        <v>0</v>
      </c>
      <c r="T53" s="197" t="s">
        <v>7035</v>
      </c>
    </row>
    <row r="54" spans="1:29" x14ac:dyDescent="0.25">
      <c r="L54" s="209"/>
      <c r="M54" s="209"/>
      <c r="O54" s="209"/>
    </row>
    <row r="55" spans="1:29" x14ac:dyDescent="0.25">
      <c r="I55" s="9" t="str">
        <f>"from "&amp;'Savings (c2)'!E47</f>
        <v>from c2.10</v>
      </c>
      <c r="L55" s="209"/>
      <c r="M55" s="209"/>
      <c r="O55" s="209"/>
      <c r="P55" s="146" t="s">
        <v>9370</v>
      </c>
      <c r="S55" s="9" t="str">
        <f>H56&amp;" × BR_rate ("&amp;BR_rate*100&amp;"%)"</f>
        <v>c91.12 × BR_rate (20%)</v>
      </c>
    </row>
    <row r="56" spans="1:29" x14ac:dyDescent="0.25">
      <c r="B56" s="146" t="s">
        <v>9371</v>
      </c>
      <c r="G56" s="9" t="str">
        <f>'Savings (c2)'!F46</f>
        <v>savings_gross (100/80)</v>
      </c>
      <c r="H56" s="2329" t="str">
        <f>A13</f>
        <v>c91.12</v>
      </c>
      <c r="I56" s="2129">
        <f>'Savings (c2)'!F47</f>
        <v>0</v>
      </c>
      <c r="J56" s="225"/>
      <c r="R56" s="2329" t="str">
        <f>A39</f>
        <v>c91.34</v>
      </c>
      <c r="S56" s="2191">
        <f>TRUNC((I56)*BR_rate,2)</f>
        <v>0</v>
      </c>
      <c r="T56" s="225" t="s">
        <v>7647</v>
      </c>
    </row>
    <row r="58" spans="1:29" x14ac:dyDescent="0.25">
      <c r="I58" s="9" t="str">
        <f>H47&amp;" + "&amp;H50&amp;" + "&amp;H53&amp;" + "&amp;H56</f>
        <v>c91.9 + c91.10 + c91.11 + c91.12</v>
      </c>
      <c r="L58" s="209"/>
      <c r="N58" s="9" t="str">
        <f>C44&amp;" minus "&amp;H59</f>
        <v>c91.8 minus c91.13</v>
      </c>
      <c r="O58" s="209"/>
      <c r="P58" s="412"/>
      <c r="S58" s="38" t="str">
        <f>R47&amp;" + "&amp;R53&amp;" + "&amp;R56</f>
        <v>c91.32 + c91.33 + c91.34</v>
      </c>
      <c r="T58" s="225"/>
      <c r="AC58" s="78"/>
    </row>
    <row r="59" spans="1:29" x14ac:dyDescent="0.25">
      <c r="B59" s="146" t="s">
        <v>9372</v>
      </c>
      <c r="H59" s="2329" t="str">
        <f>A14</f>
        <v>c91.13</v>
      </c>
      <c r="I59" s="2149">
        <f>I47+I50+I53+I56</f>
        <v>0</v>
      </c>
      <c r="L59" s="22" t="s">
        <v>9365</v>
      </c>
      <c r="M59" s="2329" t="str">
        <f>A15</f>
        <v>c91.14</v>
      </c>
      <c r="N59" s="2129">
        <f>MAX(0,D44-I59)</f>
        <v>0</v>
      </c>
      <c r="O59" s="209"/>
      <c r="P59" s="412"/>
      <c r="R59" s="2329" t="str">
        <f>A40</f>
        <v>c91.34a</v>
      </c>
      <c r="S59" s="2191">
        <f>S47+S53+S56</f>
        <v>0</v>
      </c>
      <c r="T59" s="225"/>
      <c r="AC59" s="78"/>
    </row>
    <row r="60" spans="1:29" x14ac:dyDescent="0.25">
      <c r="J60" s="26"/>
      <c r="L60" s="209"/>
      <c r="N60" s="414" t="str">
        <f>"copy to "&amp;'Taxable (c5)'!E199</f>
        <v>copy to c5.37</v>
      </c>
      <c r="P60" s="412"/>
      <c r="S60" s="78"/>
      <c r="T60" s="225"/>
      <c r="AC60" s="78"/>
    </row>
    <row r="61" spans="1:29" x14ac:dyDescent="0.25">
      <c r="B61" s="289"/>
      <c r="C61" s="289"/>
      <c r="D61" s="289"/>
      <c r="E61" s="289"/>
      <c r="F61" s="289"/>
      <c r="G61" s="289"/>
      <c r="H61" s="289"/>
      <c r="I61" s="289"/>
      <c r="J61" s="289"/>
      <c r="K61" s="289"/>
      <c r="L61" s="289"/>
      <c r="M61" s="289"/>
      <c r="O61" s="358"/>
      <c r="P61" s="358"/>
      <c r="Q61" s="289"/>
      <c r="R61" s="289"/>
      <c r="S61" s="289"/>
      <c r="T61" s="289"/>
      <c r="U61" s="289"/>
    </row>
    <row r="62" spans="1:29" x14ac:dyDescent="0.25">
      <c r="B62" s="290"/>
      <c r="C62" s="290"/>
      <c r="D62" s="290"/>
      <c r="E62" s="290"/>
      <c r="F62" s="290"/>
      <c r="G62" s="290"/>
      <c r="H62" s="290"/>
      <c r="I62" s="290"/>
      <c r="J62" s="290"/>
      <c r="K62" s="290"/>
      <c r="L62" s="290"/>
      <c r="M62" s="290"/>
      <c r="N62" s="290"/>
      <c r="O62" s="359"/>
      <c r="P62" s="359"/>
      <c r="Q62" s="290"/>
      <c r="R62" s="290"/>
      <c r="S62" s="290"/>
      <c r="T62" s="290"/>
      <c r="U62" s="290"/>
    </row>
    <row r="63" spans="1:29" x14ac:dyDescent="0.25">
      <c r="B63" s="22" t="s">
        <v>7192</v>
      </c>
      <c r="H63" s="22" t="s">
        <v>9322</v>
      </c>
      <c r="M63" s="22" t="s">
        <v>9323</v>
      </c>
      <c r="R63" s="22" t="s">
        <v>6703</v>
      </c>
    </row>
    <row r="64" spans="1:29" x14ac:dyDescent="0.25">
      <c r="D64" s="9" t="str">
        <f>"from "&amp;'Divs (c3)'!G58</f>
        <v>from c3.15</v>
      </c>
    </row>
    <row r="65" spans="2:29" x14ac:dyDescent="0.25">
      <c r="B65" s="22" t="s">
        <v>9373</v>
      </c>
      <c r="C65" s="2329" t="str">
        <f>A16</f>
        <v>c91.15</v>
      </c>
      <c r="D65" s="2129">
        <f>'Divs (c3)'!H58</f>
        <v>0</v>
      </c>
      <c r="R65" s="22" t="s">
        <v>9373</v>
      </c>
    </row>
    <row r="67" spans="2:29" x14ac:dyDescent="0.25">
      <c r="B67" s="140" t="s">
        <v>6976</v>
      </c>
      <c r="I67" s="9" t="str">
        <f>"from "&amp;'Divs (c3)'!G21</f>
        <v>from c3.5</v>
      </c>
    </row>
    <row r="68" spans="2:29" x14ac:dyDescent="0.25">
      <c r="H68" s="2329" t="str">
        <f>A17</f>
        <v>c91.16</v>
      </c>
      <c r="I68" s="2129">
        <f>'Divs (c3)'!H21</f>
        <v>0</v>
      </c>
      <c r="P68" s="386"/>
    </row>
    <row r="69" spans="2:29" x14ac:dyDescent="0.25">
      <c r="I69" s="78"/>
      <c r="P69" s="386"/>
      <c r="S69" s="9"/>
      <c r="AC69" s="9"/>
    </row>
    <row r="70" spans="2:29" x14ac:dyDescent="0.25">
      <c r="G70" s="78"/>
      <c r="O70" s="209"/>
      <c r="P70" s="386"/>
      <c r="S70" s="9"/>
      <c r="AC70" s="9"/>
    </row>
    <row r="71" spans="2:29" x14ac:dyDescent="0.25">
      <c r="B71" s="140" t="s">
        <v>9374</v>
      </c>
      <c r="G71" s="78"/>
      <c r="H71" s="382"/>
      <c r="I71" s="9" t="str">
        <f>'Divs (c3)'!D50&amp;" + "&amp;'Divs (c3)'!D51&amp;" + "&amp;'Divs (c3)'!D52</f>
        <v>c3.12 + c3.13 + c3.13a</v>
      </c>
      <c r="O71" s="209"/>
      <c r="P71" s="386"/>
      <c r="S71" s="9"/>
      <c r="AC71" s="9"/>
    </row>
    <row r="72" spans="2:29" x14ac:dyDescent="0.25">
      <c r="G72" s="142" t="str">
        <f>AOI&amp;AOI!C28&amp;" + "&amp;AOI&amp;AOI!G28&amp;" + "&amp;AOI&amp;AOI!G31</f>
        <v>AOI12 + AOI13 + AOI13.1</v>
      </c>
      <c r="H72" s="2329" t="str">
        <f>A18</f>
        <v>c91.17</v>
      </c>
      <c r="I72" s="2129">
        <f>'Divs (c3)'!E50+'Divs (c3)'!E51+'Divs (c3)'!E52</f>
        <v>0</v>
      </c>
      <c r="O72" s="209"/>
      <c r="P72" s="386"/>
      <c r="S72" s="9"/>
      <c r="AC72" s="9"/>
    </row>
    <row r="73" spans="2:29" x14ac:dyDescent="0.25">
      <c r="C73" s="209"/>
      <c r="D73" s="411"/>
      <c r="F73" s="209"/>
      <c r="G73" s="411"/>
      <c r="L73" s="209"/>
      <c r="O73" s="209"/>
      <c r="P73" s="386"/>
      <c r="S73" s="9"/>
      <c r="AC73" s="9"/>
    </row>
    <row r="74" spans="2:29" x14ac:dyDescent="0.25">
      <c r="C74" s="209"/>
      <c r="D74" s="411"/>
      <c r="F74" s="11"/>
      <c r="G74" s="411"/>
      <c r="AC74" s="9"/>
    </row>
    <row r="75" spans="2:29" x14ac:dyDescent="0.25">
      <c r="B75" s="140" t="s">
        <v>6615</v>
      </c>
      <c r="F75" s="209"/>
      <c r="G75" s="411"/>
      <c r="I75" s="9" t="str">
        <f>"from "&amp;'Divs (c3)'!D28</f>
        <v>from c3.6</v>
      </c>
      <c r="L75" s="209"/>
      <c r="AC75" s="9"/>
    </row>
    <row r="76" spans="2:29" x14ac:dyDescent="0.25">
      <c r="G76" s="142" t="str">
        <f>"("&amp;TRU&amp;TRU!G11&amp;" + "&amp;TRU&amp;TRU!C28&amp;") × divs_gross ("&amp;divs_gross_F&amp;")"</f>
        <v>(TRU5 + TRU9) × divs_gross (100/91.25)</v>
      </c>
      <c r="H76" s="2329" t="str">
        <f>A19</f>
        <v>c91.18</v>
      </c>
      <c r="I76" s="2129">
        <f>'Divs (c3)'!E28</f>
        <v>0</v>
      </c>
      <c r="AC76" s="9"/>
    </row>
    <row r="77" spans="2:29" x14ac:dyDescent="0.25">
      <c r="B77" s="140"/>
      <c r="D77" s="411"/>
      <c r="L77" s="209"/>
      <c r="AC77" s="9"/>
    </row>
    <row r="78" spans="2:29" x14ac:dyDescent="0.25">
      <c r="B78" s="140"/>
      <c r="I78" s="9" t="str">
        <f>"from "&amp;'Divs (c3)'!D32</f>
        <v>from c3.7</v>
      </c>
      <c r="L78" s="209"/>
      <c r="S78" s="9" t="str">
        <f>"from "&amp;'Tax paid (c11)'!F66</f>
        <v>from c11.23</v>
      </c>
      <c r="AC78" s="9"/>
    </row>
    <row r="79" spans="2:29" x14ac:dyDescent="0.25">
      <c r="G79" s="142" t="str">
        <f>TRU&amp;TRU!K15&amp;" × divs_gross ("&amp;divs_gross_F&amp;")"</f>
        <v>TRU18 × divs_gross (100/91.25)</v>
      </c>
      <c r="H79" s="2329" t="str">
        <f>A20</f>
        <v>c91.19</v>
      </c>
      <c r="I79" s="2129">
        <f>'Divs (c3)'!E32</f>
        <v>0</v>
      </c>
      <c r="J79" s="225"/>
      <c r="L79" s="209"/>
      <c r="O79" s="209"/>
      <c r="P79" s="386"/>
      <c r="Q79" s="142" t="str">
        <f>"(TRU"&amp;TRU!G11&amp;" + TRU"&amp;TRU!C28&amp;" + TRU"&amp;TRU!K15&amp;") × divs_gross ("&amp;divs_gross_F&amp;") × DivBR_rate ("&amp;divs_gross_P*100&amp;"%)"</f>
        <v>(TRU5 + TRU9 + TRU18) × divs_gross (100/91.25) × DivBR_rate (8.75%)</v>
      </c>
      <c r="R79" s="2329" t="str">
        <f>A41</f>
        <v>c91.34b</v>
      </c>
      <c r="S79" s="2191">
        <f>'Tax paid (c11)'!G66</f>
        <v>0</v>
      </c>
      <c r="T79" s="225"/>
      <c r="AC79" s="9"/>
    </row>
    <row r="80" spans="2:29" x14ac:dyDescent="0.25">
      <c r="B80" s="140"/>
      <c r="J80" s="225"/>
      <c r="L80" s="209"/>
      <c r="N80" s="78"/>
      <c r="O80" s="209"/>
      <c r="P80" s="386"/>
      <c r="AC80" s="9"/>
    </row>
    <row r="81" spans="2:29" x14ac:dyDescent="0.25">
      <c r="B81" s="140"/>
      <c r="I81" s="9" t="str">
        <f>"from "&amp;'Divs (c3)'!D36</f>
        <v>from c3.7.1</v>
      </c>
      <c r="J81" s="225"/>
      <c r="L81" s="209"/>
      <c r="N81" s="78"/>
      <c r="O81" s="209"/>
      <c r="P81" s="386"/>
      <c r="S81" s="9" t="str">
        <f>"from "&amp;'Tax paid (c11)'!F62</f>
        <v>from c11.19</v>
      </c>
      <c r="AC81" s="9"/>
    </row>
    <row r="82" spans="2:29" x14ac:dyDescent="0.25">
      <c r="B82" s="140"/>
      <c r="G82" s="142" t="str">
        <f>TRU&amp;TRU!K20&amp;" × divs_gross_old ("&amp;divs_gross_old_F&amp;")"</f>
        <v>TRU18.1 × divs_gross_old (100/92.5)</v>
      </c>
      <c r="H82" s="2329" t="str">
        <f>A21</f>
        <v>c91.19a</v>
      </c>
      <c r="I82" s="2129">
        <f>'Divs (c3)'!E36</f>
        <v>0</v>
      </c>
      <c r="J82" s="225"/>
      <c r="L82" s="209"/>
      <c r="N82" s="78"/>
      <c r="O82" s="209"/>
      <c r="P82" s="386"/>
      <c r="Q82" s="142" t="str">
        <f>TRU&amp;TRU!K20&amp;" × divs_gross_old ("&amp;divs_gross_old_F&amp;") × Old_Div_rate ("&amp;Old_DIV_rate*100&amp;"%)"</f>
        <v>TRU18.1 × divs_gross_old (100/92.5) × Old_Div_rate (7.5%)</v>
      </c>
      <c r="R82" s="2329" t="str">
        <f>A42</f>
        <v>c91.34b1</v>
      </c>
      <c r="S82" s="2191">
        <f>'Tax paid (c11)'!G62</f>
        <v>0</v>
      </c>
      <c r="AC82" s="9"/>
    </row>
    <row r="83" spans="2:29" x14ac:dyDescent="0.25">
      <c r="B83" s="140"/>
      <c r="J83" s="225"/>
      <c r="L83" s="209"/>
      <c r="N83" s="78"/>
      <c r="O83" s="209"/>
      <c r="P83" s="386"/>
      <c r="AC83" s="9"/>
    </row>
    <row r="84" spans="2:29" x14ac:dyDescent="0.25">
      <c r="B84" s="140"/>
      <c r="I84" s="9" t="str">
        <f>"from "&amp;'Divs (c3)'!D40</f>
        <v>from c3.8</v>
      </c>
      <c r="J84" s="225"/>
      <c r="L84" s="209"/>
      <c r="N84" s="78"/>
      <c r="S84" s="9" t="str">
        <f>"from "&amp;'Tax paid (c11)'!F65</f>
        <v>from c11.22</v>
      </c>
      <c r="T84" s="225"/>
      <c r="AC84" s="9"/>
    </row>
    <row r="85" spans="2:29" x14ac:dyDescent="0.25">
      <c r="F85" s="209"/>
      <c r="G85" s="142" t="str">
        <f>TRU&amp;TRU!G24&amp;" × trust_div_gross ("&amp;trust_div_gross_F&amp;")"</f>
        <v>TRU12 × trust_div_gross (100/60.65)</v>
      </c>
      <c r="H85" s="2329" t="str">
        <f>A22</f>
        <v>c91.20</v>
      </c>
      <c r="I85" s="2129">
        <f>'Divs (c3)'!E40</f>
        <v>0</v>
      </c>
      <c r="J85" s="225"/>
      <c r="L85" s="209"/>
      <c r="N85" s="78"/>
      <c r="O85" s="209"/>
      <c r="P85" s="386"/>
      <c r="Q85" s="142" t="str">
        <f>'Divs (c3)'!E39&amp;" × DivAR_rate ("&amp;(trust_div_gross_P*100)&amp;"%)"</f>
        <v>TRU12 × trust_div_gross (100/60.65) × DivAR_rate (39.35%)</v>
      </c>
      <c r="R85" s="2329" t="str">
        <f>A43</f>
        <v>c91.34c</v>
      </c>
      <c r="S85" s="2191">
        <f>'Tax paid (c11)'!G65</f>
        <v>0</v>
      </c>
      <c r="T85" s="225"/>
      <c r="AC85" s="9"/>
    </row>
    <row r="86" spans="2:29" x14ac:dyDescent="0.25">
      <c r="F86" s="209"/>
      <c r="G86" s="411"/>
      <c r="J86" s="225"/>
      <c r="L86" s="209"/>
      <c r="N86" s="78"/>
      <c r="O86" s="209"/>
      <c r="P86" s="386"/>
      <c r="T86" s="225"/>
      <c r="AC86" s="9"/>
    </row>
    <row r="87" spans="2:29" x14ac:dyDescent="0.25">
      <c r="F87" s="209"/>
      <c r="G87" s="411"/>
      <c r="J87" s="225"/>
      <c r="L87" s="209"/>
      <c r="N87" s="78"/>
      <c r="O87" s="209"/>
      <c r="P87" s="386"/>
      <c r="T87" s="225"/>
      <c r="AC87" s="9"/>
    </row>
    <row r="88" spans="2:29" x14ac:dyDescent="0.25">
      <c r="B88" s="140" t="s">
        <v>9375</v>
      </c>
      <c r="I88" s="9" t="str">
        <f>"from "&amp;'Divs (c3)'!D48</f>
        <v>from c3.10</v>
      </c>
      <c r="J88" s="225"/>
      <c r="L88" s="209"/>
      <c r="N88" s="78"/>
      <c r="O88" s="209"/>
      <c r="P88" s="386"/>
      <c r="T88" s="225"/>
      <c r="AC88" s="9"/>
    </row>
    <row r="89" spans="2:29" x14ac:dyDescent="0.25">
      <c r="G89" s="142" t="str">
        <f>"from "&amp;INC&amp;'INC(1)'!I15</f>
        <v>from INC4</v>
      </c>
      <c r="H89" s="2329" t="str">
        <f>A23</f>
        <v>c91.21</v>
      </c>
      <c r="I89" s="2129">
        <f>'Divs (c3)'!E48</f>
        <v>0</v>
      </c>
      <c r="J89" s="225"/>
      <c r="L89" s="209"/>
      <c r="N89" s="78"/>
      <c r="O89" s="209"/>
      <c r="P89" s="386"/>
      <c r="T89" s="225"/>
      <c r="AC89" s="9"/>
    </row>
    <row r="90" spans="2:29" x14ac:dyDescent="0.25">
      <c r="G90" s="9"/>
      <c r="J90" s="225"/>
      <c r="L90" s="209"/>
      <c r="O90" s="209"/>
      <c r="P90" s="386"/>
      <c r="T90" s="225"/>
      <c r="AC90" s="9"/>
    </row>
    <row r="91" spans="2:29" x14ac:dyDescent="0.25">
      <c r="D91" s="78"/>
      <c r="F91" s="209"/>
      <c r="G91" s="142"/>
      <c r="I91" s="9" t="str">
        <f>"from "&amp;'Divs (c3)'!D49</f>
        <v>from c3.11</v>
      </c>
      <c r="J91" s="225"/>
      <c r="L91" s="209"/>
      <c r="O91" s="209"/>
      <c r="P91" s="386"/>
      <c r="AC91" s="9"/>
    </row>
    <row r="92" spans="2:29" x14ac:dyDescent="0.25">
      <c r="D92" s="78"/>
      <c r="F92" s="209"/>
      <c r="G92" s="142" t="str">
        <f>"from "&amp;INC&amp;'INC(1)'!I18</f>
        <v>from INC5</v>
      </c>
      <c r="H92" s="2329" t="str">
        <f>A24</f>
        <v>c91.22</v>
      </c>
      <c r="I92" s="2129">
        <f>'Divs (c3)'!E49</f>
        <v>0</v>
      </c>
      <c r="J92" s="387"/>
      <c r="S92" s="457" t="str">
        <f>"s399 ITA 2007 if non-UK resident ("&amp;INC&amp;'INC(1)'!I15&amp;" + "&amp;INC&amp;'INC(1)'!I18&amp;" + "&amp;TRU&amp;TRU!G11&amp;" + "&amp;TRU&amp;TRU!C28&amp;" + "&amp;TRU&amp;TRU!G24&amp;" + "&amp;AOI&amp;AOI!G28&amp;") x DivBR_rate ("&amp;DivBR_rate*100&amp;"%)"</f>
        <v>s399 ITA 2007 if non-UK resident (INC4 + INC5 + TRU5 + TRU9 + TRU12 + AOI13) x DivBR_rate (8.75%)</v>
      </c>
      <c r="AC92" s="9"/>
    </row>
    <row r="93" spans="2:29" x14ac:dyDescent="0.25">
      <c r="B93" s="140"/>
      <c r="D93" s="78"/>
      <c r="F93" s="209"/>
      <c r="G93" s="411"/>
      <c r="J93" s="225"/>
      <c r="L93" s="209"/>
      <c r="O93" s="209"/>
      <c r="P93" s="386"/>
      <c r="AC93" s="9"/>
    </row>
    <row r="94" spans="2:29" x14ac:dyDescent="0.25">
      <c r="B94" s="140"/>
      <c r="D94" s="78"/>
      <c r="F94" s="209"/>
      <c r="L94" s="209"/>
      <c r="Q94" s="382"/>
      <c r="R94" s="382"/>
      <c r="S94" s="215"/>
      <c r="AC94" s="9"/>
    </row>
    <row r="95" spans="2:29" x14ac:dyDescent="0.25">
      <c r="B95" s="140"/>
      <c r="D95" s="78"/>
      <c r="F95" s="209"/>
      <c r="G95" s="411"/>
      <c r="I95" s="9" t="str">
        <f>H68&amp;" + "&amp;H72&amp;" + "&amp;H76&amp;" + "&amp;H79&amp;" + "&amp;H82&amp;" + "&amp;H85&amp;" + "&amp;H89&amp;" + "&amp;H92</f>
        <v>c91.16 + c91.17 + c91.18 + c91.19 + c91.19a + c91.20 + c91.21 + c91.22</v>
      </c>
      <c r="J95" s="225"/>
      <c r="L95" s="209"/>
      <c r="N95" s="9" t="str">
        <f>C65&amp;" minus "&amp;H96</f>
        <v>c91.15 minus c91.22a</v>
      </c>
      <c r="O95" s="209"/>
      <c r="P95" s="386"/>
      <c r="S95" s="9" t="str">
        <f>"("&amp;'Divs (c3)'!D28&amp;" + "&amp;'Divs (c3)'!D40&amp;" + "&amp;'Divs (c3)'!D48&amp;" + "&amp;'Divs (c3)'!D49&amp;" + "&amp;'Divs (c3)'!D51&amp;") × DivBR_rate ("&amp;DivBR_rate*100&amp;"%)"</f>
        <v>(c3.6 + c3.8 + c3.10 + c3.11 + c3.13) × DivBR_rate (8.75%)</v>
      </c>
      <c r="AC95" s="9"/>
    </row>
    <row r="96" spans="2:29" x14ac:dyDescent="0.25">
      <c r="B96" s="146" t="s">
        <v>7189</v>
      </c>
      <c r="D96" s="78"/>
      <c r="F96" s="209"/>
      <c r="G96" s="411"/>
      <c r="H96" s="2329" t="str">
        <f>A25</f>
        <v>c91.22a</v>
      </c>
      <c r="I96" s="2149">
        <f>I68+I72+I76+I79+I82+I85+I89+I92</f>
        <v>0</v>
      </c>
      <c r="J96" s="225"/>
      <c r="L96" s="9" t="s">
        <v>9373</v>
      </c>
      <c r="M96" s="2329" t="str">
        <f>A26</f>
        <v>c91.23</v>
      </c>
      <c r="N96" s="2129">
        <f>MAX(0,D65-I96)</f>
        <v>0</v>
      </c>
      <c r="O96" s="209"/>
      <c r="P96" s="386"/>
      <c r="Q96" s="142" t="s">
        <v>9376</v>
      </c>
      <c r="R96" s="2329" t="str">
        <f>A44</f>
        <v>c91.34d</v>
      </c>
      <c r="S96" s="2191">
        <f>IF(Resident,0,TRUNC(('Divs (c3)'!E28+'Divs (c3)'!E40+'Divs (c3)'!E48+'Divs (c3)'!E49+'Divs (c3)'!E51)*DivBR_rate,2))</f>
        <v>0</v>
      </c>
      <c r="T96" s="225" t="s">
        <v>7647</v>
      </c>
      <c r="AC96" s="9"/>
    </row>
    <row r="97" spans="2:29" x14ac:dyDescent="0.25">
      <c r="B97" s="140"/>
      <c r="D97" s="78"/>
      <c r="F97" s="209"/>
      <c r="G97" s="411"/>
      <c r="I97" s="78"/>
      <c r="J97" s="225"/>
      <c r="L97" s="209"/>
      <c r="N97" s="78"/>
      <c r="O97" s="209"/>
      <c r="P97" s="386"/>
      <c r="S97" s="414"/>
      <c r="T97" s="225"/>
      <c r="AC97" s="9"/>
    </row>
    <row r="98" spans="2:29" x14ac:dyDescent="0.25">
      <c r="B98" s="289"/>
      <c r="C98" s="289"/>
      <c r="D98" s="289"/>
      <c r="E98" s="289"/>
      <c r="F98" s="289"/>
      <c r="G98" s="289"/>
      <c r="H98" s="289"/>
      <c r="I98" s="289"/>
      <c r="J98" s="289"/>
      <c r="K98" s="289"/>
      <c r="L98" s="289"/>
      <c r="M98" s="289"/>
      <c r="N98" s="289"/>
      <c r="O98" s="289"/>
      <c r="P98" s="289"/>
      <c r="Q98" s="289"/>
      <c r="U98" s="289"/>
    </row>
    <row r="99" spans="2:29" x14ac:dyDescent="0.25">
      <c r="B99" s="290"/>
      <c r="C99" s="290"/>
      <c r="D99" s="290"/>
      <c r="E99" s="290"/>
      <c r="F99" s="290"/>
      <c r="G99" s="290"/>
      <c r="H99" s="290"/>
      <c r="I99" s="290"/>
      <c r="J99" s="290"/>
      <c r="K99" s="290"/>
      <c r="L99" s="290"/>
      <c r="M99" s="290"/>
      <c r="N99" s="290"/>
      <c r="O99" s="290"/>
      <c r="P99" s="290"/>
      <c r="Q99" s="290"/>
      <c r="R99" s="290"/>
      <c r="S99" s="290"/>
      <c r="T99" s="290"/>
      <c r="U99" s="290"/>
    </row>
    <row r="100" spans="2:29" x14ac:dyDescent="0.25">
      <c r="B100" s="22" t="s">
        <v>7192</v>
      </c>
    </row>
    <row r="101" spans="2:29" x14ac:dyDescent="0.25">
      <c r="D101" s="9" t="str">
        <f>"from "&amp;'Divs (c3)'!G69</f>
        <v>from c3.18</v>
      </c>
      <c r="O101" s="382"/>
      <c r="P101" s="382"/>
      <c r="Q101" s="382"/>
      <c r="R101" s="382"/>
      <c r="S101" s="382"/>
      <c r="T101" s="382"/>
    </row>
    <row r="102" spans="2:29" x14ac:dyDescent="0.25">
      <c r="B102" s="22" t="s">
        <v>9377</v>
      </c>
      <c r="C102" s="2329" t="str">
        <f>A27</f>
        <v>c91.24</v>
      </c>
      <c r="D102" s="2129">
        <f>'Divs (c3)'!H69</f>
        <v>0</v>
      </c>
      <c r="P102" s="382"/>
      <c r="Q102" s="382"/>
      <c r="R102" s="382"/>
      <c r="S102" s="382"/>
      <c r="T102" s="382"/>
    </row>
    <row r="103" spans="2:29" x14ac:dyDescent="0.25">
      <c r="P103" s="382"/>
      <c r="Q103" s="382"/>
      <c r="R103" s="382"/>
      <c r="S103" s="382"/>
      <c r="T103" s="382"/>
    </row>
    <row r="104" spans="2:29" x14ac:dyDescent="0.25">
      <c r="B104" s="289"/>
      <c r="C104" s="289"/>
      <c r="D104" s="289"/>
      <c r="E104" s="289"/>
      <c r="F104" s="289"/>
      <c r="G104" s="289"/>
      <c r="H104" s="289"/>
      <c r="I104" s="289"/>
      <c r="J104" s="289"/>
      <c r="K104" s="289"/>
      <c r="L104" s="289"/>
      <c r="M104" s="289"/>
      <c r="N104" s="289"/>
      <c r="O104" s="358"/>
      <c r="P104" s="358"/>
      <c r="Q104" s="289"/>
      <c r="R104" s="289"/>
      <c r="S104" s="289"/>
      <c r="T104" s="289"/>
      <c r="U104" s="289"/>
    </row>
    <row r="105" spans="2:29" x14ac:dyDescent="0.25">
      <c r="B105" s="290"/>
      <c r="C105" s="290"/>
      <c r="D105" s="290"/>
      <c r="E105" s="290"/>
      <c r="F105" s="290"/>
      <c r="G105" s="290"/>
      <c r="H105" s="290"/>
      <c r="I105" s="290"/>
      <c r="J105" s="290"/>
      <c r="K105" s="290"/>
      <c r="L105" s="290"/>
      <c r="M105" s="290"/>
      <c r="N105" s="290"/>
      <c r="O105" s="359"/>
      <c r="P105" s="359"/>
      <c r="Q105" s="290"/>
      <c r="R105" s="290"/>
      <c r="S105" s="290"/>
      <c r="T105" s="290"/>
      <c r="U105" s="290"/>
    </row>
    <row r="106" spans="2:29" x14ac:dyDescent="0.25">
      <c r="B106" s="22" t="s">
        <v>7192</v>
      </c>
    </row>
    <row r="107" spans="2:29" x14ac:dyDescent="0.25">
      <c r="D107" s="9" t="str">
        <f>"from "&amp;'Divs (c3)'!G75</f>
        <v>from c3.19</v>
      </c>
      <c r="O107" s="209"/>
      <c r="P107" s="209"/>
    </row>
    <row r="108" spans="2:29" x14ac:dyDescent="0.25">
      <c r="B108" s="22" t="s">
        <v>9378</v>
      </c>
      <c r="C108" s="2329" t="str">
        <f>A28</f>
        <v>c91.25</v>
      </c>
      <c r="D108" s="2129">
        <f>'Divs (c3)'!H75</f>
        <v>0</v>
      </c>
      <c r="O108" s="382"/>
      <c r="P108" s="382"/>
      <c r="S108" s="382"/>
      <c r="T108" s="382"/>
    </row>
    <row r="109" spans="2:29" x14ac:dyDescent="0.25">
      <c r="D109" s="215"/>
      <c r="O109" s="382"/>
      <c r="P109" s="382"/>
      <c r="S109" s="382"/>
      <c r="T109" s="382"/>
    </row>
    <row r="110" spans="2:29" x14ac:dyDescent="0.25">
      <c r="B110" s="209"/>
    </row>
    <row r="111" spans="2:29" x14ac:dyDescent="0.25">
      <c r="D111" s="9" t="str">
        <f>"from "&amp;'Divs (c3)'!G80</f>
        <v>from c3.20</v>
      </c>
    </row>
    <row r="112" spans="2:29" x14ac:dyDescent="0.25">
      <c r="C112" s="2329" t="str">
        <f>A29</f>
        <v>c91.26</v>
      </c>
      <c r="D112" s="2129">
        <f>'Divs (c3)'!H80</f>
        <v>0</v>
      </c>
    </row>
    <row r="113" spans="2:21" x14ac:dyDescent="0.25">
      <c r="B113" s="289"/>
      <c r="C113" s="289"/>
      <c r="D113" s="289"/>
      <c r="E113" s="289"/>
      <c r="F113" s="289"/>
      <c r="G113" s="289"/>
      <c r="H113" s="289"/>
      <c r="I113" s="289"/>
      <c r="J113" s="289"/>
      <c r="K113" s="289"/>
      <c r="L113" s="289"/>
      <c r="M113" s="289"/>
      <c r="N113" s="289"/>
      <c r="O113" s="289"/>
      <c r="P113" s="289"/>
      <c r="Q113" s="289"/>
      <c r="R113" s="289"/>
      <c r="S113" s="289"/>
      <c r="T113" s="289"/>
      <c r="U113" s="289"/>
    </row>
    <row r="114" spans="2:21" x14ac:dyDescent="0.25">
      <c r="B114" s="290"/>
      <c r="C114" s="290"/>
      <c r="D114" s="290"/>
      <c r="E114" s="290"/>
      <c r="F114" s="290"/>
      <c r="G114" s="290"/>
      <c r="H114" s="290"/>
      <c r="I114" s="290"/>
      <c r="J114" s="290"/>
      <c r="K114" s="290"/>
      <c r="L114" s="290"/>
      <c r="M114" s="290"/>
      <c r="N114" s="290"/>
      <c r="O114" s="290"/>
      <c r="P114" s="290"/>
      <c r="Q114" s="290"/>
      <c r="R114" s="290"/>
      <c r="S114" s="290"/>
      <c r="T114" s="290"/>
      <c r="U114" s="290"/>
    </row>
    <row r="115" spans="2:21" x14ac:dyDescent="0.25">
      <c r="H115" s="22" t="s">
        <v>9379</v>
      </c>
      <c r="M115" s="22" t="s">
        <v>9380</v>
      </c>
      <c r="R115" s="22" t="s">
        <v>9381</v>
      </c>
    </row>
    <row r="117" spans="2:21" x14ac:dyDescent="0.25">
      <c r="N117" s="9" t="str">
        <f>M33&amp;" + "&amp;C39&amp;" + "&amp;M59&amp;" + "</f>
        <v xml:space="preserve">c91.6 + c91.7 + c91.14 + </v>
      </c>
    </row>
    <row r="118" spans="2:21" x14ac:dyDescent="0.25">
      <c r="I118" s="9" t="str">
        <f>H33&amp;" + "&amp;H59&amp;" + "&amp;H96</f>
        <v>c91.5 + c91.13 + c91.22a</v>
      </c>
      <c r="N118" s="9" t="str">
        <f>M96&amp;" + "&amp;C102&amp;" + "&amp;C108&amp;" + "&amp;C112</f>
        <v>c91.23 + c91.24 + c91.25 + c91.26</v>
      </c>
      <c r="S118" s="9" t="str">
        <f>R33&amp;" + "&amp;R59&amp;" + "&amp;R79&amp;" + "&amp;R82&amp;" + "&amp;R85&amp;" + "&amp;R96</f>
        <v>c91.31a + c91.34a + c91.34b + c91.34b1 + c91.34c + c91.34d</v>
      </c>
    </row>
    <row r="119" spans="2:21" x14ac:dyDescent="0.25">
      <c r="H119" s="2329" t="str">
        <f>A30</f>
        <v>c91.27</v>
      </c>
      <c r="I119" s="2129">
        <f>I33+I59+I96</f>
        <v>0</v>
      </c>
      <c r="M119" s="2329" t="str">
        <f>A31</f>
        <v>c91.28</v>
      </c>
      <c r="N119" s="2129">
        <f>N33+D39+N59+N96+D102+D108+D112</f>
        <v>0</v>
      </c>
      <c r="R119" s="2329" t="str">
        <f>A45</f>
        <v>c91.35</v>
      </c>
      <c r="S119" s="2191">
        <f>S33+S59+S79+S82+S85+S96</f>
        <v>0</v>
      </c>
    </row>
    <row r="120" spans="2:21" x14ac:dyDescent="0.25">
      <c r="N120" s="962"/>
      <c r="S120" s="9" t="str">
        <f>"copy to "&amp;'Tax due (c12)'!A4</f>
        <v>copy to c12.1c</v>
      </c>
    </row>
    <row r="122" spans="2:21" ht="12.5" x14ac:dyDescent="0.25">
      <c r="S122" s="274" t="s">
        <v>75</v>
      </c>
    </row>
  </sheetData>
  <phoneticPr fontId="58" type="noConversion"/>
  <pageMargins left="0.15748031496062992" right="0.15748031496062992" top="0.19685039370078741" bottom="0.19685039370078741" header="0" footer="0"/>
  <pageSetup paperSize="9" scale="39" orientation="landscape" r:id="rId1"/>
  <headerFooter alignWithMargins="0">
    <oddFooter>&amp;C&amp;1#&amp;"Calibri"&amp;10&amp;K000000OFFICIAL-SENSITIVE</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
    <tabColor theme="9" tint="0.39997558519241921"/>
  </sheetPr>
  <dimension ref="A1:D100"/>
  <sheetViews>
    <sheetView showGridLines="0" topLeftCell="B1" workbookViewId="0">
      <selection activeCell="B11" sqref="B11:D107"/>
    </sheetView>
  </sheetViews>
  <sheetFormatPr defaultRowHeight="12.5" x14ac:dyDescent="0.25"/>
  <cols>
    <col min="1" max="1" width="6.54296875" hidden="1" customWidth="1"/>
    <col min="2" max="2" width="7.54296875" customWidth="1"/>
    <col min="3" max="3" width="36.81640625" customWidth="1"/>
    <col min="4" max="4" width="38" bestFit="1" customWidth="1"/>
    <col min="5" max="5" width="14.453125" customWidth="1"/>
  </cols>
  <sheetData>
    <row r="1" spans="1:2" x14ac:dyDescent="0.25">
      <c r="A1" t="s">
        <v>9382</v>
      </c>
      <c r="B1" s="319" t="s">
        <v>9383</v>
      </c>
    </row>
    <row r="2" spans="1:2" x14ac:dyDescent="0.25">
      <c r="A2" t="s">
        <v>9384</v>
      </c>
    </row>
    <row r="3" spans="1:2" x14ac:dyDescent="0.25">
      <c r="A3" t="s">
        <v>9385</v>
      </c>
      <c r="B3" s="178" t="s">
        <v>9386</v>
      </c>
    </row>
    <row r="4" spans="1:2" x14ac:dyDescent="0.25">
      <c r="A4" s="508" t="s">
        <v>9387</v>
      </c>
      <c r="B4" s="178" t="s">
        <v>9388</v>
      </c>
    </row>
    <row r="5" spans="1:2" x14ac:dyDescent="0.25">
      <c r="A5" t="s">
        <v>9389</v>
      </c>
      <c r="B5" s="178" t="s">
        <v>9390</v>
      </c>
    </row>
    <row r="6" spans="1:2" x14ac:dyDescent="0.25">
      <c r="A6" t="s">
        <v>9391</v>
      </c>
      <c r="B6" s="178" t="s">
        <v>9392</v>
      </c>
    </row>
    <row r="7" spans="1:2" x14ac:dyDescent="0.25">
      <c r="A7" t="s">
        <v>9393</v>
      </c>
    </row>
    <row r="8" spans="1:2" x14ac:dyDescent="0.25">
      <c r="A8" t="s">
        <v>9394</v>
      </c>
      <c r="B8" s="178" t="s">
        <v>9395</v>
      </c>
    </row>
    <row r="9" spans="1:2" x14ac:dyDescent="0.25">
      <c r="A9" t="s">
        <v>9396</v>
      </c>
      <c r="B9" s="178" t="s">
        <v>9397</v>
      </c>
    </row>
    <row r="10" spans="1:2" x14ac:dyDescent="0.25">
      <c r="A10" t="s">
        <v>9398</v>
      </c>
      <c r="B10" s="178" t="s">
        <v>9399</v>
      </c>
    </row>
    <row r="11" spans="1:2" x14ac:dyDescent="0.25">
      <c r="A11" s="508" t="s">
        <v>9400</v>
      </c>
      <c r="B11" s="178" t="s">
        <v>9401</v>
      </c>
    </row>
    <row r="12" spans="1:2" x14ac:dyDescent="0.25">
      <c r="A12" t="s">
        <v>9402</v>
      </c>
    </row>
    <row r="13" spans="1:2" x14ac:dyDescent="0.25">
      <c r="A13" t="s">
        <v>9403</v>
      </c>
      <c r="B13" s="178" t="s">
        <v>9404</v>
      </c>
    </row>
    <row r="14" spans="1:2" x14ac:dyDescent="0.25">
      <c r="A14" t="s">
        <v>9405</v>
      </c>
      <c r="B14" s="178" t="s">
        <v>9406</v>
      </c>
    </row>
    <row r="15" spans="1:2" x14ac:dyDescent="0.25">
      <c r="A15" t="s">
        <v>9407</v>
      </c>
      <c r="B15" s="178" t="s">
        <v>9408</v>
      </c>
    </row>
    <row r="16" spans="1:2" x14ac:dyDescent="0.25">
      <c r="A16" t="s">
        <v>9409</v>
      </c>
    </row>
    <row r="17" spans="1:4" x14ac:dyDescent="0.25">
      <c r="A17" t="s">
        <v>9410</v>
      </c>
      <c r="B17" s="178" t="s">
        <v>9411</v>
      </c>
    </row>
    <row r="18" spans="1:4" x14ac:dyDescent="0.25">
      <c r="A18" t="s">
        <v>9412</v>
      </c>
      <c r="B18" s="320" t="str">
        <f>"If CAL1 + (CAL2 x -1) not equal to ("&amp;'Tax due (c12)'!L107&amp;")"</f>
        <v>If CAL1 + (CAL2 x -1) not equal to (c12.18)</v>
      </c>
      <c r="C18" s="221"/>
    </row>
    <row r="19" spans="1:4" x14ac:dyDescent="0.25">
      <c r="A19" t="s">
        <v>9413</v>
      </c>
      <c r="B19" s="986" t="str">
        <f>"If CAL1 + (CAL2 x -1) in range ("&amp;'Tax due (c12)'!L107&amp;") minus £25 to("&amp;'Tax due (c12)'!L107&amp;") + £5"</f>
        <v>If CAL1 + (CAL2 x -1) in range (c12.18) minus £25 to(c12.18) + £5</v>
      </c>
      <c r="C19" s="221"/>
      <c r="D19" s="221"/>
    </row>
    <row r="20" spans="1:4" x14ac:dyDescent="0.25">
      <c r="A20" t="s">
        <v>9414</v>
      </c>
      <c r="B20" s="987" t="s">
        <v>9415</v>
      </c>
    </row>
    <row r="21" spans="1:4" x14ac:dyDescent="0.25">
      <c r="A21" t="s">
        <v>9416</v>
      </c>
      <c r="B21" s="987" t="s">
        <v>9417</v>
      </c>
      <c r="C21" s="988"/>
    </row>
    <row r="22" spans="1:4" x14ac:dyDescent="0.25">
      <c r="A22" t="s">
        <v>9418</v>
      </c>
      <c r="B22" s="986" t="s">
        <v>7143</v>
      </c>
    </row>
    <row r="23" spans="1:4" x14ac:dyDescent="0.25">
      <c r="A23" t="s">
        <v>9419</v>
      </c>
      <c r="B23" s="987" t="s">
        <v>9420</v>
      </c>
    </row>
    <row r="24" spans="1:4" x14ac:dyDescent="0.25">
      <c r="A24" t="s">
        <v>9421</v>
      </c>
      <c r="B24" s="989" t="s">
        <v>9415</v>
      </c>
    </row>
    <row r="25" spans="1:4" x14ac:dyDescent="0.25">
      <c r="A25" t="s">
        <v>9422</v>
      </c>
      <c r="B25" s="989" t="s">
        <v>9417</v>
      </c>
    </row>
    <row r="26" spans="1:4" x14ac:dyDescent="0.25">
      <c r="A26" t="s">
        <v>9423</v>
      </c>
      <c r="B26" s="986" t="s">
        <v>7143</v>
      </c>
    </row>
    <row r="27" spans="1:4" x14ac:dyDescent="0.25">
      <c r="A27" t="s">
        <v>9424</v>
      </c>
      <c r="B27" s="989" t="s">
        <v>9425</v>
      </c>
    </row>
    <row r="28" spans="1:4" x14ac:dyDescent="0.25">
      <c r="A28" t="s">
        <v>9426</v>
      </c>
      <c r="B28" s="989" t="s">
        <v>9427</v>
      </c>
    </row>
    <row r="29" spans="1:4" x14ac:dyDescent="0.25">
      <c r="A29" t="s">
        <v>9428</v>
      </c>
      <c r="B29" s="989" t="s">
        <v>9429</v>
      </c>
    </row>
    <row r="30" spans="1:4" x14ac:dyDescent="0.25">
      <c r="A30" t="s">
        <v>9430</v>
      </c>
      <c r="B30" s="990" t="s">
        <v>75</v>
      </c>
    </row>
    <row r="31" spans="1:4" x14ac:dyDescent="0.25">
      <c r="A31" t="s">
        <v>9431</v>
      </c>
      <c r="B31" s="986" t="s">
        <v>75</v>
      </c>
    </row>
    <row r="32" spans="1:4" x14ac:dyDescent="0.25">
      <c r="A32" t="s">
        <v>9432</v>
      </c>
      <c r="B32" s="320" t="s">
        <v>7143</v>
      </c>
    </row>
    <row r="33" spans="2:4" x14ac:dyDescent="0.25">
      <c r="B33" s="986" t="s">
        <v>9433</v>
      </c>
    </row>
    <row r="34" spans="2:4" x14ac:dyDescent="0.25">
      <c r="B34" s="320" t="s">
        <v>75</v>
      </c>
    </row>
    <row r="35" spans="2:4" x14ac:dyDescent="0.25">
      <c r="B35" s="222" t="s">
        <v>7143</v>
      </c>
    </row>
    <row r="36" spans="2:4" x14ac:dyDescent="0.25">
      <c r="B36" s="986" t="s">
        <v>9433</v>
      </c>
    </row>
    <row r="37" spans="2:4" x14ac:dyDescent="0.25">
      <c r="B37" s="991" t="s">
        <v>9434</v>
      </c>
    </row>
    <row r="38" spans="2:4" x14ac:dyDescent="0.25">
      <c r="B38" s="222" t="s">
        <v>75</v>
      </c>
    </row>
    <row r="40" spans="2:4" ht="13" x14ac:dyDescent="0.3">
      <c r="B40" s="992" t="s">
        <v>9435</v>
      </c>
    </row>
    <row r="41" spans="2:4" x14ac:dyDescent="0.25">
      <c r="B41" s="178" t="s">
        <v>9436</v>
      </c>
    </row>
    <row r="42" spans="2:4" x14ac:dyDescent="0.25">
      <c r="B42" s="178" t="s">
        <v>9437</v>
      </c>
    </row>
    <row r="43" spans="2:4" x14ac:dyDescent="0.25">
      <c r="B43" s="2214" t="str">
        <f t="shared" ref="B43:B50" si="0">A1</f>
        <v>c99.1</v>
      </c>
      <c r="C43" s="2214" t="str">
        <f>"from "&amp;'Tax due (c12)'!L107</f>
        <v>from c12.18</v>
      </c>
      <c r="D43" s="2331" t="s">
        <v>9438</v>
      </c>
    </row>
    <row r="44" spans="2:4" x14ac:dyDescent="0.25">
      <c r="B44" s="2214" t="str">
        <f t="shared" si="0"/>
        <v>c99.2</v>
      </c>
      <c r="C44" s="2214" t="str">
        <f>"from "&amp;'Tax due (c12)'!I5</f>
        <v>from c12.1</v>
      </c>
      <c r="D44" s="2331" t="s">
        <v>6692</v>
      </c>
    </row>
    <row r="45" spans="2:4" x14ac:dyDescent="0.25">
      <c r="B45" s="2214" t="str">
        <f t="shared" si="0"/>
        <v>c99.3</v>
      </c>
      <c r="C45" s="2214" t="str">
        <f>"from "&amp;'Tax due (c12)'!I61</f>
        <v>from c12.7</v>
      </c>
      <c r="D45" s="2331" t="s">
        <v>9439</v>
      </c>
    </row>
    <row r="46" spans="2:4" x14ac:dyDescent="0.25">
      <c r="B46" s="2214" t="str">
        <f t="shared" si="0"/>
        <v>c99.3a</v>
      </c>
      <c r="C46" s="2214" t="str">
        <f>"from "&amp;'Tax due (c12)'!I64</f>
        <v>from c12.7b</v>
      </c>
      <c r="D46" s="2331" t="s">
        <v>9440</v>
      </c>
    </row>
    <row r="47" spans="2:4" x14ac:dyDescent="0.25">
      <c r="B47" s="2214" t="str">
        <f t="shared" si="0"/>
        <v>c99.4</v>
      </c>
      <c r="C47" s="2214" t="str">
        <f>"from "&amp;'Tax due (c12)'!I39</f>
        <v>from c12.2</v>
      </c>
      <c r="D47" s="2331" t="s">
        <v>9441</v>
      </c>
    </row>
    <row r="48" spans="2:4" x14ac:dyDescent="0.25">
      <c r="B48" s="2214" t="str">
        <f t="shared" si="0"/>
        <v>c99.5</v>
      </c>
      <c r="C48" s="2214" t="str">
        <f>"from "&amp;'Tax due (c12)'!I47</f>
        <v>from c12.3</v>
      </c>
      <c r="D48" s="2331" t="s">
        <v>9442</v>
      </c>
    </row>
    <row r="49" spans="2:4" x14ac:dyDescent="0.25">
      <c r="B49" s="2214" t="str">
        <f t="shared" si="0"/>
        <v>c99.6</v>
      </c>
      <c r="C49" s="2214" t="str">
        <f>"from "&amp;'Tax due (c12)'!I95</f>
        <v>from c12.17</v>
      </c>
      <c r="D49" s="2331" t="s">
        <v>9443</v>
      </c>
    </row>
    <row r="50" spans="2:4" x14ac:dyDescent="0.25">
      <c r="B50" s="2214" t="str">
        <f t="shared" si="0"/>
        <v>c99.7</v>
      </c>
      <c r="C50" s="2214" t="str">
        <f>"from "&amp;'Tax due (c12)'!I70</f>
        <v>from c12.9</v>
      </c>
      <c r="D50" s="2331" t="s">
        <v>9444</v>
      </c>
    </row>
    <row r="51" spans="2:4" ht="13" x14ac:dyDescent="0.3">
      <c r="B51" s="980" t="s">
        <v>9445</v>
      </c>
    </row>
    <row r="52" spans="2:4" x14ac:dyDescent="0.25">
      <c r="B52" s="2663" t="str">
        <f>A9</f>
        <v>c99.8</v>
      </c>
      <c r="C52" s="2332" t="s">
        <v>9446</v>
      </c>
      <c r="D52" s="2333" t="str">
        <f>"copy to "&amp;'Tax due (c12)'!L107</f>
        <v>copy to c12.18</v>
      </c>
    </row>
    <row r="53" spans="2:4" x14ac:dyDescent="0.25">
      <c r="B53" s="2664"/>
      <c r="C53" s="993" t="str">
        <f>B52&amp;"= CAL1"</f>
        <v>c99.8= CAL1</v>
      </c>
      <c r="D53" s="994"/>
    </row>
    <row r="54" spans="2:4" x14ac:dyDescent="0.25">
      <c r="B54" s="2664"/>
      <c r="C54" s="995" t="s">
        <v>9447</v>
      </c>
      <c r="D54" s="994"/>
    </row>
    <row r="55" spans="2:4" x14ac:dyDescent="0.25">
      <c r="B55" s="2664"/>
      <c r="C55" s="993" t="str">
        <f>B52&amp;" = -1 x CAL2"</f>
        <v>c99.8 = -1 x CAL2</v>
      </c>
      <c r="D55" s="994"/>
    </row>
    <row r="56" spans="2:4" ht="13.5" customHeight="1" x14ac:dyDescent="0.25">
      <c r="B56" s="2665"/>
      <c r="C56" s="2334" t="s">
        <v>9448</v>
      </c>
      <c r="D56" s="2335"/>
    </row>
    <row r="57" spans="2:4" x14ac:dyDescent="0.25">
      <c r="B57" s="2214" t="str">
        <f t="shared" ref="B57:B62" si="1">A10</f>
        <v>c99.9</v>
      </c>
      <c r="C57" s="2214" t="s">
        <v>9449</v>
      </c>
      <c r="D57" s="2336" t="str">
        <f>"copy to "&amp;'Tax due (c12)'!I61</f>
        <v>copy to c12.7</v>
      </c>
    </row>
    <row r="58" spans="2:4" x14ac:dyDescent="0.25">
      <c r="B58" s="2214" t="str">
        <f t="shared" si="1"/>
        <v>c99.9a</v>
      </c>
      <c r="C58" s="2214" t="s">
        <v>9450</v>
      </c>
      <c r="D58" s="2331" t="str">
        <f>"copy to "&amp;'Tax due (c12)'!I64</f>
        <v>copy to c12.7b</v>
      </c>
    </row>
    <row r="59" spans="2:4" x14ac:dyDescent="0.25">
      <c r="B59" s="2214" t="str">
        <f t="shared" si="1"/>
        <v>c99.10</v>
      </c>
      <c r="C59" s="2214" t="s">
        <v>9451</v>
      </c>
      <c r="D59" s="2336" t="str">
        <f>"copy to "&amp;'Tax due (c12)'!I39</f>
        <v>copy to c12.2</v>
      </c>
    </row>
    <row r="60" spans="2:4" x14ac:dyDescent="0.25">
      <c r="B60" s="2214" t="str">
        <f t="shared" si="1"/>
        <v>c99.11</v>
      </c>
      <c r="C60" s="2214" t="s">
        <v>8429</v>
      </c>
      <c r="D60" s="2331" t="s">
        <v>9452</v>
      </c>
    </row>
    <row r="61" spans="2:4" x14ac:dyDescent="0.25">
      <c r="B61" s="2214" t="str">
        <f t="shared" si="1"/>
        <v>c99.12</v>
      </c>
      <c r="C61" s="2214" t="s">
        <v>9453</v>
      </c>
      <c r="D61" s="2336" t="str">
        <f>"copy to "&amp;'Tax due (c12)'!I95</f>
        <v>copy to c12.17</v>
      </c>
    </row>
    <row r="62" spans="2:4" x14ac:dyDescent="0.25">
      <c r="B62" s="2214" t="str">
        <f t="shared" si="1"/>
        <v>c99.13</v>
      </c>
      <c r="C62" s="2214" t="s">
        <v>9454</v>
      </c>
      <c r="D62" s="2336" t="str">
        <f>"copy to "&amp;'Tax due (c12)'!I70</f>
        <v>copy to c12.9</v>
      </c>
    </row>
    <row r="63" spans="2:4" x14ac:dyDescent="0.25">
      <c r="B63" s="178"/>
    </row>
    <row r="64" spans="2:4" x14ac:dyDescent="0.25">
      <c r="B64" s="178" t="s">
        <v>9455</v>
      </c>
    </row>
    <row r="65" spans="2:4" ht="13" x14ac:dyDescent="0.3">
      <c r="B65" s="2" t="s">
        <v>9456</v>
      </c>
    </row>
    <row r="66" spans="2:4" ht="25" x14ac:dyDescent="0.25">
      <c r="B66" s="2214" t="str">
        <f>A16</f>
        <v>c99.14</v>
      </c>
      <c r="C66" s="2214" t="str">
        <f>B57&amp;" + "&amp;B58&amp;" + "&amp;B59&amp;" + "&amp;B60&amp;" + "&amp;B61&amp;" + "&amp;B62</f>
        <v>c99.9 + c99.9a + c99.10 + c99.11 + c99.12 + c99.13</v>
      </c>
      <c r="D66" s="2214"/>
    </row>
    <row r="67" spans="2:4" ht="13" x14ac:dyDescent="0.3">
      <c r="B67" s="980" t="s">
        <v>9457</v>
      </c>
    </row>
    <row r="68" spans="2:4" ht="25" x14ac:dyDescent="0.25">
      <c r="B68" s="2214" t="str">
        <f>A17</f>
        <v>c99.15</v>
      </c>
      <c r="C68" s="2214" t="str">
        <f>B45&amp;" + "&amp;B46&amp;" + "&amp;B47&amp;" + "&amp;B48&amp;" + "&amp;B49&amp;" + "&amp;B50</f>
        <v>c99.3 + c99.3a + c99.4 + c99.5 + c99.6 + c99.7</v>
      </c>
      <c r="D68" s="2214"/>
    </row>
    <row r="69" spans="2:4" ht="13" x14ac:dyDescent="0.3">
      <c r="B69" s="980" t="s">
        <v>9458</v>
      </c>
    </row>
    <row r="70" spans="2:4" x14ac:dyDescent="0.25">
      <c r="B70" s="2214" t="str">
        <f>A18</f>
        <v>c99.16</v>
      </c>
      <c r="C70" s="2214" t="str">
        <f>"Absolute value ("&amp;B66&amp;" minus "&amp;B68&amp;")"</f>
        <v>Absolute value (c99.14 minus c99.15)</v>
      </c>
      <c r="D70" s="2214"/>
    </row>
    <row r="71" spans="2:4" x14ac:dyDescent="0.25">
      <c r="B71" s="178"/>
    </row>
    <row r="72" spans="2:4" x14ac:dyDescent="0.25">
      <c r="B72" s="178" t="s">
        <v>9459</v>
      </c>
    </row>
    <row r="73" spans="2:4" x14ac:dyDescent="0.25">
      <c r="B73" s="178" t="s">
        <v>9460</v>
      </c>
    </row>
    <row r="74" spans="2:4" x14ac:dyDescent="0.25">
      <c r="B74" s="2214" t="str">
        <f>A19</f>
        <v>c99.17</v>
      </c>
      <c r="C74" s="2214" t="str">
        <f>"Absolute value ("&amp;B52&amp;" minus "&amp;B43&amp;")"</f>
        <v>Absolute value (c99.8 minus c99.1)</v>
      </c>
      <c r="D74" s="2214"/>
    </row>
    <row r="75" spans="2:4" x14ac:dyDescent="0.25">
      <c r="B75" s="2214" t="str">
        <f>A20</f>
        <v>c99.18</v>
      </c>
      <c r="C75" s="2214" t="str">
        <f>"Absolute value ("&amp;B70&amp;" minus "&amp;B74&amp;")"</f>
        <v>Absolute value (c99.16 minus c99.17)</v>
      </c>
      <c r="D75" s="2214"/>
    </row>
    <row r="77" spans="2:4" x14ac:dyDescent="0.25">
      <c r="B77" s="178" t="str">
        <f>"if "&amp;B52&amp;" is less than "&amp;B43&amp;" (Revenue figure higher than customers figure)"</f>
        <v>if c99.8 is less than c99.1 (Revenue figure higher than customers figure)</v>
      </c>
    </row>
    <row r="78" spans="2:4" x14ac:dyDescent="0.25">
      <c r="B78" s="2337" t="str">
        <f>A21</f>
        <v>c99.19</v>
      </c>
      <c r="C78" s="2338" t="str">
        <f>"If "&amp;B44&amp;" is greater than "&amp;B75</f>
        <v>If c99.2 is greater than c99.18</v>
      </c>
      <c r="D78" s="2339" t="s">
        <v>9461</v>
      </c>
    </row>
    <row r="79" spans="2:4" x14ac:dyDescent="0.25">
      <c r="B79" s="994"/>
      <c r="C79" s="996" t="str">
        <f>B78&amp;" = "&amp;B44&amp;" minus "&amp;B75</f>
        <v>c99.19 = c99.2 minus c99.18</v>
      </c>
      <c r="D79" s="997" t="str">
        <f>"copy to "&amp;'Tax due (c12)'!I5</f>
        <v>copy to c12.1</v>
      </c>
    </row>
    <row r="80" spans="2:4" x14ac:dyDescent="0.25">
      <c r="B80" s="994"/>
      <c r="C80" s="998" t="s">
        <v>7143</v>
      </c>
      <c r="D80" s="999"/>
    </row>
    <row r="81" spans="2:4" x14ac:dyDescent="0.25">
      <c r="B81" s="994"/>
      <c r="C81" s="996" t="str">
        <f>B78&amp;" = 0"</f>
        <v>c99.19 = 0</v>
      </c>
      <c r="D81" s="1000"/>
    </row>
    <row r="82" spans="2:4" x14ac:dyDescent="0.25">
      <c r="B82" s="2335"/>
      <c r="C82" s="2340" t="s">
        <v>9462</v>
      </c>
      <c r="D82" s="2341"/>
    </row>
    <row r="83" spans="2:4" x14ac:dyDescent="0.25">
      <c r="B83" s="2337" t="str">
        <f>A22</f>
        <v>c99.20</v>
      </c>
      <c r="C83" s="2338" t="str">
        <f>"If "&amp;B75&amp;" is greater than "&amp;B44</f>
        <v>If c99.18 is greater than c99.2</v>
      </c>
      <c r="D83" s="2660" t="s">
        <v>9463</v>
      </c>
    </row>
    <row r="84" spans="2:4" x14ac:dyDescent="0.25">
      <c r="B84" s="994"/>
      <c r="C84" s="996" t="str">
        <f>B83&amp;" = "&amp;B75&amp;" minus "&amp;B44</f>
        <v>c99.20 = c99.18 minus c99.2</v>
      </c>
      <c r="D84" s="2661"/>
    </row>
    <row r="85" spans="2:4" x14ac:dyDescent="0.25">
      <c r="B85" s="994"/>
      <c r="C85" s="998" t="s">
        <v>7143</v>
      </c>
      <c r="D85" s="2661"/>
    </row>
    <row r="86" spans="2:4" x14ac:dyDescent="0.25">
      <c r="B86" s="994"/>
      <c r="C86" s="996" t="str">
        <f>B83&amp;" = 0"</f>
        <v>c99.20 = 0</v>
      </c>
      <c r="D86" s="2661"/>
    </row>
    <row r="87" spans="2:4" x14ac:dyDescent="0.25">
      <c r="B87" s="2335"/>
      <c r="C87" s="998" t="s">
        <v>9462</v>
      </c>
      <c r="D87" s="2662"/>
    </row>
    <row r="88" spans="2:4" x14ac:dyDescent="0.25">
      <c r="B88" s="2337" t="str">
        <f>A23</f>
        <v>c99.21</v>
      </c>
      <c r="C88" s="2332" t="str">
        <f>'Tax due (c12)'!I82&amp;" + "&amp;B83</f>
        <v>c12.13 + c99.20</v>
      </c>
      <c r="D88" s="2342" t="s">
        <v>9464</v>
      </c>
    </row>
    <row r="89" spans="2:4" x14ac:dyDescent="0.25">
      <c r="B89" s="2335"/>
      <c r="C89" s="2334"/>
      <c r="D89" s="2343" t="str">
        <f>"copy to "&amp;'Tax due (c12)'!I82</f>
        <v>copy to c12.13</v>
      </c>
    </row>
    <row r="90" spans="2:4" x14ac:dyDescent="0.25">
      <c r="B90" s="178" t="s">
        <v>9465</v>
      </c>
    </row>
    <row r="91" spans="2:4" x14ac:dyDescent="0.25">
      <c r="B91" s="2338" t="str">
        <f>A24</f>
        <v>c99.22</v>
      </c>
      <c r="C91" s="2332" t="str">
        <f>B44&amp;" + "&amp;B75</f>
        <v>c99.2 + c99.18</v>
      </c>
      <c r="D91" s="2342" t="s">
        <v>9466</v>
      </c>
    </row>
    <row r="92" spans="2:4" x14ac:dyDescent="0.25">
      <c r="B92" s="2340"/>
      <c r="C92" s="2334"/>
      <c r="D92" s="2343" t="str">
        <f>"copy to "&amp;'Tax due (c12)'!I5</f>
        <v>copy to c12.1</v>
      </c>
    </row>
    <row r="93" spans="2:4" x14ac:dyDescent="0.25">
      <c r="B93" s="178" t="s">
        <v>75</v>
      </c>
    </row>
    <row r="94" spans="2:4" x14ac:dyDescent="0.25">
      <c r="B94" s="178"/>
    </row>
    <row r="95" spans="2:4" x14ac:dyDescent="0.25">
      <c r="B95" s="178" t="s">
        <v>9467</v>
      </c>
    </row>
    <row r="96" spans="2:4" x14ac:dyDescent="0.25">
      <c r="B96" s="178" t="str">
        <f>"Use the c12 boxes after they have been updated by "&amp;B52&amp;" through "&amp;B91</f>
        <v>Use the c12 boxes after they have been updated by c99.8 through c99.22</v>
      </c>
    </row>
    <row r="97" spans="2:4" ht="37.5" x14ac:dyDescent="0.25">
      <c r="B97" s="2214" t="str">
        <f>A25</f>
        <v>c99.23</v>
      </c>
      <c r="C97" s="2214" t="str">
        <f>'Tax due (c12)'!L55&amp;" + "&amp;'Tax due (c12)'!I58&amp;" + "&amp;'Tax due (c12)'!I61&amp;" + "&amp;'Tax due (c12)'!I64&amp;" + "&amp;'Tax due (c12)'!F67&amp;" + "&amp;'Tax due (c12)'!I70&amp;" + "&amp;'Tax due (c12)'!I73&amp;" + "&amp;'Tax due (c12)'!I76&amp;" + ("&amp;'Pensions (c25c26)'!J158&amp;" minus "&amp;'Pensions (c25c26)'!J162&amp;")"</f>
        <v>c12.5 + c12.6 + c12.7 + c12.7b + c12.8 + c12.9 + c12.10 + c12.11 + (c25.56 minus c25.57)</v>
      </c>
      <c r="D97" s="2336" t="str">
        <f>"copy to "&amp;'Tax due (c12)'!L79</f>
        <v>copy to c12.12</v>
      </c>
    </row>
    <row r="98" spans="2:4" x14ac:dyDescent="0.25">
      <c r="B98" s="2214" t="str">
        <f>A26</f>
        <v>c99.24</v>
      </c>
      <c r="C98" s="2214" t="str">
        <f>'Tax due (c12)'!I82&amp;" + "&amp;'Tax due (c12)'!I85</f>
        <v>c12.13 + c12.14</v>
      </c>
      <c r="D98" s="2336" t="str">
        <f>"copy to "&amp;'Tax due (c12)'!L88</f>
        <v>copy to c12.15</v>
      </c>
    </row>
    <row r="99" spans="2:4" x14ac:dyDescent="0.25">
      <c r="B99" s="2214" t="str">
        <f>A27</f>
        <v>c99.25</v>
      </c>
      <c r="C99" s="2332" t="str">
        <f>B97&amp;" minus "&amp;B98</f>
        <v>c99.23 minus c99.24</v>
      </c>
      <c r="D99" s="2336" t="str">
        <f>"copy to "&amp;'Tax due (c12)'!L91</f>
        <v>copy to c12.16</v>
      </c>
    </row>
    <row r="100" spans="2:4" x14ac:dyDescent="0.25">
      <c r="B100" s="2214" t="str">
        <f>A28</f>
        <v>c99.26</v>
      </c>
      <c r="C100" s="2214" t="str">
        <f>'Tax due (c12)'!L107&amp;" + "&amp;'Tax due (c12)'!I113&amp;" + "&amp;'Tax due (c12)'!I116</f>
        <v>c12.18 + c12.19 + c12.20</v>
      </c>
      <c r="D100" s="2336" t="str">
        <f>"copy to "&amp;'Tax due (c12)'!I119</f>
        <v>copy to c12.21</v>
      </c>
    </row>
  </sheetData>
  <mergeCells count="2">
    <mergeCell ref="D83:D87"/>
    <mergeCell ref="B52:B56"/>
  </mergeCells>
  <phoneticPr fontId="58" type="noConversion"/>
  <pageMargins left="0.19685" right="0.19685" top="0.19685" bottom="0.19685" header="0" footer="0"/>
  <pageSetup paperSize="9" orientation="portrait" r:id="rId1"/>
  <headerFooter alignWithMargins="0">
    <oddFooter>&amp;C&amp;1#&amp;"Calibri"&amp;10&amp;K000000OFFICIAL-SENSITIVE</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P77"/>
  <sheetViews>
    <sheetView showGridLines="0" topLeftCell="B1" workbookViewId="0">
      <selection activeCell="S21" sqref="S21"/>
    </sheetView>
  </sheetViews>
  <sheetFormatPr defaultColWidth="8.7265625" defaultRowHeight="12.5" x14ac:dyDescent="0.25"/>
  <cols>
    <col min="1" max="1" width="5.453125" style="211" hidden="1" customWidth="1"/>
    <col min="2" max="2" width="2.1796875" style="211" customWidth="1"/>
    <col min="3" max="5" width="8.7265625" style="211"/>
    <col min="6" max="6" width="5.54296875" style="211" customWidth="1"/>
    <col min="7" max="7" width="10.453125" style="211" customWidth="1"/>
    <col min="8" max="8" width="8.7265625" style="211"/>
    <col min="9" max="9" width="4.81640625" style="211" customWidth="1"/>
    <col min="10" max="10" width="10.453125" style="211" customWidth="1"/>
    <col min="11" max="11" width="3.81640625" style="211" customWidth="1"/>
    <col min="12" max="12" width="5.1796875" style="211" customWidth="1"/>
    <col min="13" max="13" width="10.81640625" style="211" customWidth="1"/>
    <col min="14" max="14" width="2.54296875" style="211" customWidth="1"/>
    <col min="15" max="16384" width="8.7265625" style="211"/>
  </cols>
  <sheetData>
    <row r="1" spans="1:16" x14ac:dyDescent="0.25">
      <c r="B1" s="280"/>
      <c r="C1" s="769" t="s">
        <v>9468</v>
      </c>
      <c r="D1" s="280"/>
      <c r="E1" s="280"/>
      <c r="F1" s="280"/>
      <c r="G1" s="280"/>
      <c r="H1" s="280"/>
      <c r="I1" s="280"/>
      <c r="J1" s="280"/>
      <c r="K1" s="280"/>
      <c r="L1" s="280"/>
      <c r="M1" s="280"/>
      <c r="N1" s="280"/>
      <c r="O1" s="280"/>
      <c r="P1" s="280"/>
    </row>
    <row r="2" spans="1:16" x14ac:dyDescent="0.25">
      <c r="B2" s="280"/>
      <c r="C2" s="280"/>
      <c r="D2" s="280"/>
      <c r="E2" s="280"/>
      <c r="F2" s="280"/>
      <c r="G2" s="280"/>
      <c r="H2" s="280"/>
      <c r="I2" s="280"/>
      <c r="J2" s="280"/>
      <c r="K2" s="280"/>
      <c r="L2" s="280"/>
      <c r="M2" s="280"/>
      <c r="N2" s="280"/>
      <c r="O2" s="280"/>
      <c r="P2" s="280"/>
    </row>
    <row r="3" spans="1:16" x14ac:dyDescent="0.25">
      <c r="B3" s="280"/>
      <c r="C3" s="280"/>
      <c r="D3" s="280"/>
      <c r="E3" s="770" t="s">
        <v>9469</v>
      </c>
      <c r="F3" s="2344" t="str">
        <f>A12</f>
        <v>sw1</v>
      </c>
      <c r="G3" s="2345">
        <f>TRUNC('Swiss Tax'!J16*divs_gross,0)</f>
        <v>0</v>
      </c>
      <c r="H3" s="280"/>
      <c r="I3" s="280"/>
      <c r="J3" s="280"/>
      <c r="K3" s="280"/>
      <c r="L3" s="280"/>
      <c r="M3" s="280"/>
      <c r="N3" s="280"/>
      <c r="O3" s="280"/>
      <c r="P3" s="210"/>
    </row>
    <row r="4" spans="1:16" x14ac:dyDescent="0.25">
      <c r="B4" s="280"/>
      <c r="C4" s="280"/>
      <c r="D4" s="280"/>
      <c r="E4" s="280"/>
      <c r="F4" s="280"/>
      <c r="G4" s="280"/>
      <c r="H4" s="280"/>
      <c r="I4" s="280"/>
      <c r="J4" s="280"/>
      <c r="K4" s="280"/>
      <c r="L4" s="280"/>
      <c r="M4" s="280"/>
      <c r="N4" s="280"/>
      <c r="O4" s="280"/>
      <c r="P4" s="210"/>
    </row>
    <row r="5" spans="1:16" x14ac:dyDescent="0.25">
      <c r="B5" s="280"/>
      <c r="C5" s="280"/>
      <c r="D5" s="280"/>
      <c r="E5" s="280"/>
      <c r="F5" s="280"/>
      <c r="G5" s="285" t="str">
        <f>"from "&amp;'tax it (c6)'!Q108</f>
        <v>from c6.34</v>
      </c>
      <c r="H5" s="280"/>
      <c r="I5" s="280"/>
      <c r="J5" s="285" t="str">
        <f>"lower of "&amp;F3&amp;" and "&amp;F6</f>
        <v>lower of sw1 and sw2</v>
      </c>
      <c r="K5" s="280"/>
      <c r="L5" s="280"/>
      <c r="M5" s="285" t="str">
        <f>I6&amp;" @ "&amp;DivHR_rate*100&amp;"%"</f>
        <v>sw3 @ 33.75%</v>
      </c>
      <c r="N5" s="280"/>
      <c r="O5" s="280"/>
      <c r="P5" s="210"/>
    </row>
    <row r="6" spans="1:16" x14ac:dyDescent="0.25">
      <c r="B6" s="280"/>
      <c r="C6" s="280"/>
      <c r="D6" s="280"/>
      <c r="E6" s="285" t="s">
        <v>9470</v>
      </c>
      <c r="F6" s="2344" t="str">
        <f>A13</f>
        <v>sw2</v>
      </c>
      <c r="G6" s="2346">
        <f>'tax it (c6)'!R108</f>
        <v>0</v>
      </c>
      <c r="H6" s="280"/>
      <c r="I6" s="2344" t="str">
        <f>A14</f>
        <v>sw3</v>
      </c>
      <c r="J6" s="2347">
        <f>MIN(G3,G6)</f>
        <v>0</v>
      </c>
      <c r="K6" s="280"/>
      <c r="L6" s="2344" t="str">
        <f>A15</f>
        <v>sw4</v>
      </c>
      <c r="M6" s="2344">
        <f>TRUNC(J6*DivHR_rate,2)</f>
        <v>0</v>
      </c>
      <c r="N6" s="280"/>
      <c r="O6" s="280"/>
    </row>
    <row r="7" spans="1:16" x14ac:dyDescent="0.25">
      <c r="B7" s="280"/>
      <c r="C7" s="280"/>
      <c r="D7" s="280"/>
      <c r="E7" s="280"/>
      <c r="F7" s="280"/>
      <c r="G7" s="280"/>
      <c r="H7" s="280"/>
      <c r="I7" s="280"/>
      <c r="J7" s="280"/>
      <c r="K7" s="280"/>
      <c r="L7" s="280"/>
      <c r="M7" s="280"/>
      <c r="N7" s="280"/>
      <c r="O7" s="280"/>
    </row>
    <row r="8" spans="1:16" x14ac:dyDescent="0.25">
      <c r="B8" s="280"/>
      <c r="C8" s="280"/>
      <c r="D8" s="280"/>
      <c r="E8" s="280"/>
      <c r="F8" s="280"/>
      <c r="G8" s="285" t="str">
        <f>F3&amp;" minus "&amp;I6</f>
        <v>sw1 minus sw3</v>
      </c>
      <c r="H8" s="280"/>
      <c r="I8" s="280"/>
      <c r="J8" s="280"/>
      <c r="K8" s="280"/>
      <c r="L8" s="280"/>
      <c r="M8" s="280"/>
      <c r="N8" s="280"/>
      <c r="O8" s="280"/>
    </row>
    <row r="9" spans="1:16" x14ac:dyDescent="0.25">
      <c r="B9" s="280"/>
      <c r="C9" s="280"/>
      <c r="D9" s="280"/>
      <c r="E9" s="285" t="s">
        <v>9471</v>
      </c>
      <c r="F9" s="2344" t="str">
        <f>A16</f>
        <v>sw5</v>
      </c>
      <c r="G9" s="2347">
        <f>MAX(G3-J6,0)</f>
        <v>0</v>
      </c>
      <c r="H9" s="280"/>
      <c r="I9" s="280"/>
      <c r="J9" s="280"/>
      <c r="K9" s="280"/>
      <c r="L9" s="280"/>
      <c r="M9" s="280"/>
      <c r="N9" s="280"/>
      <c r="O9" s="280"/>
      <c r="P9" s="210"/>
    </row>
    <row r="10" spans="1:16" x14ac:dyDescent="0.25">
      <c r="B10" s="280"/>
      <c r="C10" s="280"/>
      <c r="D10" s="280"/>
      <c r="E10" s="280"/>
      <c r="F10" s="280"/>
      <c r="G10" s="280"/>
      <c r="H10" s="280"/>
      <c r="I10" s="280"/>
      <c r="J10" s="280"/>
      <c r="K10" s="280"/>
      <c r="L10" s="280"/>
      <c r="M10" s="280"/>
      <c r="N10" s="280"/>
      <c r="O10" s="280"/>
      <c r="P10" s="210"/>
    </row>
    <row r="11" spans="1:16" x14ac:dyDescent="0.25">
      <c r="B11" s="280"/>
      <c r="C11" s="280"/>
      <c r="D11" s="280"/>
      <c r="E11" s="280"/>
      <c r="F11" s="280"/>
      <c r="G11" s="285" t="str">
        <f>'CDR (c7)'!E18&amp;" minus "&amp;'CDR (c7)'!E22</f>
        <v xml:space="preserve"> minus </v>
      </c>
      <c r="H11" s="280"/>
      <c r="I11" s="280"/>
      <c r="J11" s="285" t="str">
        <f>"lower of "&amp;F9&amp;" and "&amp;F12</f>
        <v>lower of sw5 and sw6</v>
      </c>
      <c r="K11" s="280"/>
      <c r="L11" s="280"/>
      <c r="M11" s="285" t="str">
        <f>I12&amp;" @ "&amp;(DivHR_rate-SR_rate)*100&amp;"%"</f>
        <v>sw7 @ 33.75%</v>
      </c>
      <c r="N11" s="280"/>
      <c r="O11" s="280"/>
    </row>
    <row r="12" spans="1:16" x14ac:dyDescent="0.25">
      <c r="A12" s="280" t="s">
        <v>9472</v>
      </c>
      <c r="B12" s="280"/>
      <c r="C12" s="280"/>
      <c r="D12" s="280"/>
      <c r="E12" s="285" t="s">
        <v>9473</v>
      </c>
      <c r="F12" s="2344" t="str">
        <f>A17</f>
        <v>sw6</v>
      </c>
      <c r="G12" s="2347">
        <f>MAX('CDR (c7)'!F18-'CDR (c7)'!F22,0)</f>
        <v>0</v>
      </c>
      <c r="H12" s="280"/>
      <c r="I12" s="2344" t="str">
        <f>A18</f>
        <v>sw7</v>
      </c>
      <c r="J12" s="2347">
        <f>MIN(G9,G12)</f>
        <v>0</v>
      </c>
      <c r="K12" s="280"/>
      <c r="L12" s="2344" t="str">
        <f>A19</f>
        <v>sw8</v>
      </c>
      <c r="M12" s="2344">
        <f>TRUNC(J12*(DivHR_rate-SR_rate),2)</f>
        <v>0</v>
      </c>
      <c r="N12" s="280"/>
      <c r="O12" s="280"/>
    </row>
    <row r="13" spans="1:16" x14ac:dyDescent="0.25">
      <c r="A13" s="280" t="s">
        <v>9474</v>
      </c>
      <c r="B13" s="280"/>
      <c r="C13" s="280"/>
      <c r="D13" s="280"/>
      <c r="E13" s="280"/>
      <c r="F13" s="280"/>
      <c r="G13" s="280"/>
      <c r="H13" s="280"/>
      <c r="I13" s="280"/>
      <c r="J13" s="280"/>
      <c r="K13" s="280"/>
      <c r="M13" s="280"/>
      <c r="N13" s="280"/>
      <c r="O13" s="280"/>
      <c r="P13" s="280"/>
    </row>
    <row r="14" spans="1:16" x14ac:dyDescent="0.25">
      <c r="A14" s="280" t="s">
        <v>9475</v>
      </c>
      <c r="B14" s="280"/>
      <c r="C14" s="280"/>
      <c r="D14" s="280"/>
      <c r="E14" s="280"/>
      <c r="F14" s="280"/>
      <c r="G14" s="280"/>
      <c r="H14" s="280"/>
      <c r="I14" s="280"/>
      <c r="K14" s="280"/>
      <c r="L14" s="280"/>
      <c r="M14" s="285" t="str">
        <f>L6&amp;" + "&amp;L12</f>
        <v>sw4 + sw8</v>
      </c>
      <c r="N14" s="280"/>
      <c r="O14" s="280"/>
      <c r="P14" s="280"/>
    </row>
    <row r="15" spans="1:16" x14ac:dyDescent="0.25">
      <c r="A15" s="280" t="s">
        <v>9476</v>
      </c>
      <c r="B15" s="280"/>
      <c r="C15" s="280"/>
      <c r="D15" s="280"/>
      <c r="E15" s="280"/>
      <c r="F15" s="280"/>
      <c r="G15" s="280"/>
      <c r="H15" s="280"/>
      <c r="I15" s="280"/>
      <c r="J15" s="285" t="s">
        <v>9477</v>
      </c>
      <c r="K15" s="280"/>
      <c r="L15" s="2344" t="str">
        <f>A20</f>
        <v>sw9</v>
      </c>
      <c r="M15" s="2348">
        <f>M6+M12</f>
        <v>0</v>
      </c>
      <c r="N15" s="280"/>
      <c r="O15" s="280"/>
      <c r="P15" s="280"/>
    </row>
    <row r="16" spans="1:16" x14ac:dyDescent="0.25">
      <c r="A16" s="280" t="s">
        <v>9478</v>
      </c>
      <c r="B16" s="280"/>
      <c r="C16" s="280"/>
      <c r="D16" s="280"/>
      <c r="N16" s="280"/>
      <c r="O16" s="280"/>
      <c r="P16" s="280"/>
    </row>
    <row r="17" spans="1:16" x14ac:dyDescent="0.25">
      <c r="A17" s="280" t="s">
        <v>9479</v>
      </c>
      <c r="B17" s="280"/>
      <c r="E17" s="770" t="s">
        <v>9480</v>
      </c>
      <c r="F17" s="2344" t="str">
        <f>A21</f>
        <v>sw10</v>
      </c>
      <c r="G17" s="2345">
        <f>TRUNC('Swiss Tax'!J23,0)</f>
        <v>0</v>
      </c>
      <c r="N17" s="280"/>
    </row>
    <row r="18" spans="1:16" x14ac:dyDescent="0.25">
      <c r="A18" s="280" t="s">
        <v>9481</v>
      </c>
      <c r="B18" s="280"/>
      <c r="N18" s="280"/>
    </row>
    <row r="19" spans="1:16" x14ac:dyDescent="0.25">
      <c r="A19" s="280" t="s">
        <v>9482</v>
      </c>
      <c r="B19" s="280"/>
      <c r="G19" s="285" t="str">
        <f>F6&amp;" minus "&amp;I6</f>
        <v>sw2 minus sw3</v>
      </c>
      <c r="J19" s="285" t="str">
        <f>"lower of "&amp;F17&amp;" and "&amp;F20</f>
        <v>lower of sw10 and sw11</v>
      </c>
      <c r="M19" s="280" t="str">
        <f>I20&amp;" @ "&amp;DivAR_rate*100&amp;"%"</f>
        <v>sw12 @ 39.35%</v>
      </c>
      <c r="N19" s="280"/>
      <c r="O19" s="280"/>
    </row>
    <row r="20" spans="1:16" x14ac:dyDescent="0.25">
      <c r="A20" s="280" t="s">
        <v>9483</v>
      </c>
      <c r="B20" s="280"/>
      <c r="E20" s="285" t="s">
        <v>9470</v>
      </c>
      <c r="F20" s="2344" t="str">
        <f>A22</f>
        <v>sw11</v>
      </c>
      <c r="G20" s="2347">
        <f>MAX(G6-J6,0)</f>
        <v>0</v>
      </c>
      <c r="I20" s="2344" t="str">
        <f>A23</f>
        <v>sw12</v>
      </c>
      <c r="J20" s="2347">
        <f>MIN(G3,G20)</f>
        <v>0</v>
      </c>
      <c r="L20" s="2344" t="str">
        <f>A24</f>
        <v>sw13</v>
      </c>
      <c r="M20" s="2344">
        <f>TRUNC(J20*DivAR_rate,2)</f>
        <v>0</v>
      </c>
      <c r="N20" s="280"/>
      <c r="O20" s="280"/>
    </row>
    <row r="21" spans="1:16" x14ac:dyDescent="0.25">
      <c r="A21" s="280" t="s">
        <v>9484</v>
      </c>
      <c r="B21" s="280"/>
      <c r="N21" s="280"/>
      <c r="O21" s="280"/>
      <c r="P21" s="280"/>
    </row>
    <row r="22" spans="1:16" x14ac:dyDescent="0.25">
      <c r="A22" s="280" t="s">
        <v>9485</v>
      </c>
      <c r="B22" s="280"/>
      <c r="G22" s="285" t="str">
        <f>F17&amp;" minus "&amp;I20</f>
        <v>sw10 minus sw12</v>
      </c>
      <c r="O22" s="280"/>
      <c r="P22" s="280"/>
    </row>
    <row r="23" spans="1:16" x14ac:dyDescent="0.25">
      <c r="A23" s="280" t="s">
        <v>9486</v>
      </c>
      <c r="B23" s="280"/>
      <c r="E23" s="285" t="s">
        <v>9471</v>
      </c>
      <c r="F23" s="2344" t="str">
        <f>A25</f>
        <v>sw14</v>
      </c>
      <c r="G23" s="2347">
        <f>MAX(G17-J20,0)</f>
        <v>0</v>
      </c>
      <c r="O23" s="280"/>
      <c r="P23" s="280"/>
    </row>
    <row r="24" spans="1:16" x14ac:dyDescent="0.25">
      <c r="A24" s="280" t="s">
        <v>9487</v>
      </c>
      <c r="B24" s="280"/>
      <c r="O24" s="280"/>
      <c r="P24" s="280"/>
    </row>
    <row r="25" spans="1:16" x14ac:dyDescent="0.25">
      <c r="A25" s="280" t="s">
        <v>9488</v>
      </c>
      <c r="B25" s="280"/>
      <c r="G25" s="285" t="str">
        <f>F12&amp;" minus "&amp;I12</f>
        <v>sw6 minus sw7</v>
      </c>
      <c r="J25" s="285" t="str">
        <f>"lower of "&amp;F23&amp;" and "&amp;F26</f>
        <v>lower of sw14 and sw15</v>
      </c>
      <c r="M25" s="280" t="str">
        <f>I26&amp;" @ "&amp;DivHR_rate*100&amp;"%"</f>
        <v>sw16 @ 33.75%</v>
      </c>
      <c r="O25" s="280"/>
      <c r="P25" s="280"/>
    </row>
    <row r="26" spans="1:16" x14ac:dyDescent="0.25">
      <c r="A26" s="280" t="s">
        <v>9489</v>
      </c>
      <c r="B26" s="280"/>
      <c r="F26" s="2344" t="str">
        <f>A26</f>
        <v>sw15</v>
      </c>
      <c r="G26" s="2347">
        <f>MAX(G12-J12,0)</f>
        <v>0</v>
      </c>
      <c r="I26" s="2344" t="str">
        <f>A27</f>
        <v>sw16</v>
      </c>
      <c r="J26" s="2347">
        <f>MIN(G23,G26)</f>
        <v>0</v>
      </c>
      <c r="L26" s="2344" t="str">
        <f>A28</f>
        <v>sw17</v>
      </c>
      <c r="M26" s="2344">
        <f>TRUNC(J26*DivHR_rate,2)</f>
        <v>0</v>
      </c>
      <c r="O26" s="280"/>
      <c r="P26" s="280"/>
    </row>
    <row r="27" spans="1:16" x14ac:dyDescent="0.25">
      <c r="A27" s="280" t="s">
        <v>9490</v>
      </c>
      <c r="B27" s="280"/>
      <c r="O27" s="280"/>
      <c r="P27" s="280"/>
    </row>
    <row r="28" spans="1:16" x14ac:dyDescent="0.25">
      <c r="A28" s="280" t="s">
        <v>9491</v>
      </c>
      <c r="B28" s="280"/>
      <c r="E28" s="280"/>
      <c r="F28" s="280"/>
      <c r="G28" s="285" t="str">
        <f>F23&amp;" minus "&amp;I26</f>
        <v>sw14 minus sw16</v>
      </c>
      <c r="O28" s="280"/>
      <c r="P28" s="280"/>
    </row>
    <row r="29" spans="1:16" x14ac:dyDescent="0.25">
      <c r="A29" s="280" t="s">
        <v>9492</v>
      </c>
      <c r="B29" s="280"/>
      <c r="E29" s="285" t="s">
        <v>9471</v>
      </c>
      <c r="F29" s="2344" t="str">
        <f>A29</f>
        <v>sw18</v>
      </c>
      <c r="G29" s="2347">
        <f>MAX(G23-J26,0)</f>
        <v>0</v>
      </c>
      <c r="O29" s="280"/>
      <c r="P29" s="280"/>
    </row>
    <row r="30" spans="1:16" x14ac:dyDescent="0.25">
      <c r="A30" s="280" t="s">
        <v>9493</v>
      </c>
      <c r="B30" s="280"/>
      <c r="O30" s="280"/>
      <c r="P30" s="280"/>
    </row>
    <row r="31" spans="1:16" x14ac:dyDescent="0.25">
      <c r="A31" s="280" t="s">
        <v>9494</v>
      </c>
      <c r="B31" s="280"/>
      <c r="E31" s="280"/>
      <c r="F31" s="280"/>
      <c r="G31" s="285" t="str">
        <f>"from "&amp;'tax it (c6)'!Q66</f>
        <v>from c6.28</v>
      </c>
      <c r="H31" s="280"/>
      <c r="I31" s="280"/>
      <c r="J31" s="285" t="str">
        <f>"lower of "&amp;F29&amp;" and "&amp;F32</f>
        <v>lower of sw18 and sw19</v>
      </c>
      <c r="K31" s="280"/>
      <c r="L31" s="280"/>
      <c r="M31" s="280" t="str">
        <f>I32&amp;" @ "&amp;SR_rate*100&amp;"%"</f>
        <v>sw20 @ 0%</v>
      </c>
      <c r="O31" s="280"/>
      <c r="P31" s="280"/>
    </row>
    <row r="32" spans="1:16" x14ac:dyDescent="0.25">
      <c r="A32" s="280" t="s">
        <v>9495</v>
      </c>
      <c r="B32" s="280"/>
      <c r="E32" s="285" t="s">
        <v>9496</v>
      </c>
      <c r="F32" s="2344" t="str">
        <f>A30</f>
        <v>sw19</v>
      </c>
      <c r="G32" s="2347">
        <f>'tax it (c6)'!R66</f>
        <v>0</v>
      </c>
      <c r="H32" s="280"/>
      <c r="I32" s="2344" t="str">
        <f>A31</f>
        <v>sw20</v>
      </c>
      <c r="J32" s="2347">
        <f>MIN(G29,G32)</f>
        <v>0</v>
      </c>
      <c r="K32" s="280"/>
      <c r="L32" s="2344" t="str">
        <f>A32</f>
        <v>sw21</v>
      </c>
      <c r="M32" s="2344">
        <f>TRUNC(J32*SR_rate,2)</f>
        <v>0</v>
      </c>
      <c r="O32" s="280"/>
      <c r="P32" s="280"/>
    </row>
    <row r="33" spans="1:16" x14ac:dyDescent="0.25">
      <c r="A33" s="280" t="s">
        <v>9497</v>
      </c>
      <c r="B33" s="280"/>
      <c r="O33" s="280"/>
      <c r="P33" s="280"/>
    </row>
    <row r="34" spans="1:16" x14ac:dyDescent="0.25">
      <c r="A34" s="280" t="s">
        <v>9498</v>
      </c>
      <c r="B34" s="280"/>
      <c r="M34" s="285" t="str">
        <f>L20&amp;" + "&amp;L26&amp;" + "&amp;L32</f>
        <v>sw13 + sw17 + sw21</v>
      </c>
      <c r="O34" s="280"/>
      <c r="P34" s="280"/>
    </row>
    <row r="35" spans="1:16" x14ac:dyDescent="0.25">
      <c r="A35" s="280" t="s">
        <v>9499</v>
      </c>
      <c r="B35" s="280"/>
      <c r="J35" s="285" t="s">
        <v>9500</v>
      </c>
      <c r="L35" s="2344" t="str">
        <f>A33</f>
        <v>sw22</v>
      </c>
      <c r="M35" s="2348">
        <f>M20+M26+M32</f>
        <v>0</v>
      </c>
      <c r="O35" s="280"/>
      <c r="P35" s="280"/>
    </row>
    <row r="36" spans="1:16" x14ac:dyDescent="0.25">
      <c r="A36" s="280" t="s">
        <v>9501</v>
      </c>
      <c r="B36" s="280"/>
      <c r="C36" s="280"/>
      <c r="D36" s="280"/>
      <c r="E36" s="280"/>
      <c r="F36" s="280"/>
      <c r="G36" s="280"/>
      <c r="H36" s="280"/>
      <c r="I36" s="280"/>
      <c r="J36" s="280"/>
      <c r="K36" s="280"/>
      <c r="L36" s="280"/>
      <c r="M36" s="280"/>
      <c r="N36" s="280"/>
      <c r="O36" s="280"/>
      <c r="P36" s="280"/>
    </row>
    <row r="37" spans="1:16" x14ac:dyDescent="0.25">
      <c r="A37" s="280" t="s">
        <v>9502</v>
      </c>
      <c r="B37" s="280"/>
      <c r="C37" s="280"/>
      <c r="D37" s="280"/>
      <c r="E37" s="770" t="s">
        <v>9503</v>
      </c>
      <c r="F37" s="2344" t="str">
        <f>A34</f>
        <v>sw23</v>
      </c>
      <c r="G37" s="2345">
        <f>TRUNC('Swiss Tax'!J9,0)</f>
        <v>0</v>
      </c>
      <c r="H37" s="280"/>
      <c r="I37" s="280"/>
      <c r="J37" s="280"/>
      <c r="K37" s="280"/>
      <c r="L37" s="280"/>
      <c r="M37" s="280"/>
      <c r="N37" s="280"/>
      <c r="O37" s="280"/>
      <c r="P37" s="280"/>
    </row>
    <row r="38" spans="1:16" x14ac:dyDescent="0.25">
      <c r="A38" s="280" t="s">
        <v>9504</v>
      </c>
      <c r="B38" s="280"/>
      <c r="C38" s="280"/>
      <c r="D38" s="280"/>
      <c r="E38" s="280"/>
      <c r="F38" s="280"/>
      <c r="G38" s="280"/>
      <c r="H38" s="280"/>
      <c r="I38" s="280"/>
      <c r="J38" s="280"/>
      <c r="K38" s="280"/>
      <c r="L38" s="280"/>
      <c r="M38" s="280"/>
      <c r="N38" s="280"/>
      <c r="O38" s="280"/>
      <c r="P38" s="280"/>
    </row>
    <row r="39" spans="1:16" x14ac:dyDescent="0.25">
      <c r="A39" s="280" t="s">
        <v>9505</v>
      </c>
      <c r="B39" s="280"/>
      <c r="C39" s="280"/>
      <c r="D39" s="280"/>
      <c r="E39" s="280"/>
      <c r="F39" s="280"/>
      <c r="G39" s="285" t="str">
        <f>"from "&amp;'tax it (c6)'!L108</f>
        <v>from c6.22</v>
      </c>
      <c r="H39" s="280"/>
      <c r="I39" s="280"/>
      <c r="J39" s="285" t="str">
        <f>"lower of "&amp;F37&amp;" and "&amp;F40</f>
        <v>lower of sw23 and sw24</v>
      </c>
      <c r="K39" s="280"/>
      <c r="L39" s="280"/>
      <c r="M39" s="280" t="str">
        <f>I40&amp;" @ "&amp;AHR_rate*100&amp;"%"</f>
        <v>sw25 @ 45%</v>
      </c>
      <c r="N39" s="280"/>
      <c r="O39" s="280"/>
      <c r="P39" s="280"/>
    </row>
    <row r="40" spans="1:16" x14ac:dyDescent="0.25">
      <c r="A40" s="280" t="s">
        <v>9506</v>
      </c>
      <c r="B40" s="280"/>
      <c r="C40" s="280"/>
      <c r="D40" s="280"/>
      <c r="E40" s="285" t="s">
        <v>9507</v>
      </c>
      <c r="F40" s="2344" t="str">
        <f>A35</f>
        <v>sw24</v>
      </c>
      <c r="G40" s="2346">
        <f>'tax it (c6)'!M108</f>
        <v>0</v>
      </c>
      <c r="H40" s="280"/>
      <c r="I40" s="2344" t="str">
        <f>A36</f>
        <v>sw25</v>
      </c>
      <c r="J40" s="2347">
        <f>MIN(G37,G40)</f>
        <v>0</v>
      </c>
      <c r="K40" s="280"/>
      <c r="L40" s="2344" t="str">
        <f>A37</f>
        <v>sw26</v>
      </c>
      <c r="M40" s="2344">
        <f>TRUNC(J40*AHR_rate,2)</f>
        <v>0</v>
      </c>
      <c r="N40" s="280"/>
      <c r="O40" s="280"/>
      <c r="P40" s="280"/>
    </row>
    <row r="41" spans="1:16" x14ac:dyDescent="0.25">
      <c r="A41" s="280" t="s">
        <v>9508</v>
      </c>
      <c r="B41" s="280"/>
      <c r="C41" s="280"/>
      <c r="D41" s="280"/>
      <c r="E41" s="280"/>
      <c r="F41" s="280"/>
      <c r="G41" s="280"/>
      <c r="H41" s="280"/>
      <c r="I41" s="280"/>
      <c r="J41" s="280"/>
      <c r="K41" s="280"/>
      <c r="L41" s="280"/>
      <c r="M41" s="280"/>
      <c r="N41" s="280"/>
      <c r="O41" s="280"/>
      <c r="P41" s="280"/>
    </row>
    <row r="42" spans="1:16" x14ac:dyDescent="0.25">
      <c r="A42" s="280" t="s">
        <v>9509</v>
      </c>
      <c r="B42" s="280"/>
      <c r="C42" s="280"/>
      <c r="D42" s="280"/>
      <c r="E42" s="280"/>
      <c r="F42" s="280"/>
      <c r="G42" s="285" t="str">
        <f>F37&amp;" minus "&amp;I40</f>
        <v>sw23 minus sw25</v>
      </c>
      <c r="H42" s="280"/>
      <c r="I42" s="280"/>
      <c r="J42" s="280"/>
      <c r="K42" s="280"/>
      <c r="L42" s="280"/>
      <c r="M42" s="280"/>
      <c r="N42" s="280"/>
      <c r="O42" s="280"/>
      <c r="P42" s="280"/>
    </row>
    <row r="43" spans="1:16" x14ac:dyDescent="0.25">
      <c r="A43" s="280" t="s">
        <v>9510</v>
      </c>
      <c r="B43" s="280"/>
      <c r="C43" s="280"/>
      <c r="D43" s="280"/>
      <c r="E43" s="285" t="s">
        <v>9511</v>
      </c>
      <c r="F43" s="2344" t="str">
        <f>A38</f>
        <v>sw27</v>
      </c>
      <c r="G43" s="2347">
        <f>MAX(G37-J40,0)</f>
        <v>0</v>
      </c>
      <c r="H43" s="280"/>
      <c r="I43" s="280"/>
      <c r="J43" s="280"/>
      <c r="K43" s="280"/>
      <c r="L43" s="280"/>
      <c r="M43" s="280"/>
      <c r="N43" s="280"/>
      <c r="O43" s="280"/>
      <c r="P43" s="280"/>
    </row>
    <row r="44" spans="1:16" x14ac:dyDescent="0.25">
      <c r="A44" s="280" t="s">
        <v>9512</v>
      </c>
      <c r="B44" s="280"/>
      <c r="C44" s="280"/>
      <c r="D44" s="280"/>
      <c r="E44" s="280"/>
      <c r="F44" s="280"/>
      <c r="G44" s="280"/>
      <c r="H44" s="280"/>
      <c r="I44" s="280"/>
      <c r="J44" s="280"/>
      <c r="K44" s="280"/>
      <c r="L44" s="280"/>
      <c r="M44" s="280"/>
      <c r="N44" s="280"/>
      <c r="O44" s="280"/>
      <c r="P44" s="280"/>
    </row>
    <row r="45" spans="1:16" x14ac:dyDescent="0.25">
      <c r="A45" s="280" t="s">
        <v>9513</v>
      </c>
      <c r="B45" s="280"/>
      <c r="C45" s="280"/>
      <c r="D45" s="280"/>
      <c r="E45" s="280"/>
      <c r="F45" s="280"/>
      <c r="G45" s="285" t="str">
        <f>"from "&amp;'tax it (c6)'!L95</f>
        <v>from c6.21</v>
      </c>
      <c r="H45" s="280"/>
      <c r="I45" s="280"/>
      <c r="J45" s="280"/>
      <c r="K45" s="280"/>
      <c r="L45" s="280"/>
      <c r="M45" s="280"/>
      <c r="N45" s="280"/>
      <c r="O45" s="280"/>
      <c r="P45" s="280"/>
    </row>
    <row r="46" spans="1:16" x14ac:dyDescent="0.25">
      <c r="A46" s="280" t="s">
        <v>9514</v>
      </c>
      <c r="B46" s="280"/>
      <c r="C46" s="280"/>
      <c r="D46" s="280"/>
      <c r="F46" s="2344" t="str">
        <f>A39</f>
        <v>sw28</v>
      </c>
      <c r="G46" s="2346">
        <f>'tax it (c6)'!M95</f>
        <v>0</v>
      </c>
      <c r="H46" s="280"/>
      <c r="I46" s="280"/>
      <c r="J46" s="280"/>
      <c r="K46" s="280"/>
      <c r="L46" s="280"/>
      <c r="M46" s="280"/>
      <c r="N46" s="280"/>
      <c r="O46" s="280"/>
      <c r="P46" s="280"/>
    </row>
    <row r="47" spans="1:16" x14ac:dyDescent="0.25">
      <c r="A47" s="280" t="s">
        <v>9515</v>
      </c>
      <c r="B47" s="280"/>
      <c r="C47" s="280"/>
      <c r="D47" s="280"/>
      <c r="E47" s="280"/>
      <c r="F47" s="280"/>
      <c r="G47" s="280"/>
      <c r="H47" s="280"/>
      <c r="I47" s="280"/>
      <c r="J47" s="280"/>
      <c r="K47" s="280"/>
      <c r="L47" s="280"/>
      <c r="M47" s="280"/>
      <c r="N47" s="280"/>
      <c r="O47" s="280"/>
      <c r="P47" s="280"/>
    </row>
    <row r="48" spans="1:16" x14ac:dyDescent="0.25">
      <c r="A48" s="280" t="s">
        <v>9516</v>
      </c>
      <c r="B48" s="280"/>
      <c r="C48" s="280"/>
      <c r="D48" s="280"/>
      <c r="E48" s="280"/>
      <c r="F48" s="280"/>
      <c r="G48" s="285" t="str">
        <f>'CDR (c7)'!E45&amp;" minus ("&amp;'tax it (c6)'!AA95&amp;" + "&amp;'tax it (c6)'!V95&amp;" + "&amp;'tax it (c6)'!G95&amp;")"</f>
        <v xml:space="preserve"> minus (c6.55 + c6.43 + c6.9)</v>
      </c>
      <c r="H48" s="280"/>
      <c r="I48" s="280"/>
      <c r="J48" s="280"/>
      <c r="K48" s="280"/>
      <c r="L48" s="280"/>
      <c r="M48" s="280"/>
      <c r="N48" s="280"/>
      <c r="O48" s="280"/>
      <c r="P48" s="280"/>
    </row>
    <row r="49" spans="1:16" x14ac:dyDescent="0.25">
      <c r="A49" s="280" t="s">
        <v>9517</v>
      </c>
      <c r="B49" s="280"/>
      <c r="C49" s="280"/>
      <c r="D49" s="280"/>
      <c r="F49" s="2344" t="str">
        <f>A40</f>
        <v>sw29</v>
      </c>
      <c r="G49" s="2347">
        <f>MAX('CDR (c7)'!F45-('tax it (c6)'!AB95+'tax it (c6)'!W95+'tax it (c6)'!H95),0)</f>
        <v>0</v>
      </c>
      <c r="H49" s="280"/>
      <c r="I49" s="280"/>
      <c r="J49" s="280"/>
      <c r="K49" s="280"/>
      <c r="L49" s="280"/>
      <c r="M49" s="280"/>
      <c r="N49" s="280"/>
      <c r="O49" s="280"/>
      <c r="P49" s="280"/>
    </row>
    <row r="50" spans="1:16" x14ac:dyDescent="0.25">
      <c r="A50" s="280" t="s">
        <v>9518</v>
      </c>
      <c r="B50" s="280"/>
      <c r="C50" s="280"/>
      <c r="D50" s="280"/>
      <c r="E50" s="280"/>
      <c r="G50" s="280"/>
      <c r="H50" s="280"/>
      <c r="I50" s="280"/>
      <c r="J50" s="280"/>
      <c r="K50" s="280"/>
      <c r="L50" s="280"/>
      <c r="M50" s="280"/>
      <c r="N50" s="280"/>
      <c r="O50" s="280"/>
      <c r="P50" s="280"/>
    </row>
    <row r="51" spans="1:16" x14ac:dyDescent="0.25">
      <c r="A51" s="280" t="s">
        <v>9519</v>
      </c>
      <c r="B51" s="280"/>
      <c r="C51" s="280"/>
      <c r="D51" s="280"/>
      <c r="E51" s="280"/>
      <c r="F51" s="280"/>
      <c r="G51" s="285" t="str">
        <f>F46&amp;" minus "&amp;F49</f>
        <v>sw28 minus sw29</v>
      </c>
      <c r="H51" s="280"/>
      <c r="I51" s="280"/>
      <c r="J51" s="280"/>
      <c r="K51" s="280"/>
      <c r="L51" s="280"/>
      <c r="M51" s="280"/>
      <c r="N51" s="280"/>
      <c r="O51" s="280"/>
      <c r="P51" s="280"/>
    </row>
    <row r="52" spans="1:16" x14ac:dyDescent="0.25">
      <c r="A52" s="280" t="s">
        <v>9520</v>
      </c>
      <c r="B52" s="280"/>
      <c r="C52" s="280"/>
      <c r="D52" s="280"/>
      <c r="E52" s="285" t="s">
        <v>9521</v>
      </c>
      <c r="F52" s="2344" t="str">
        <f>A41</f>
        <v>sw30</v>
      </c>
      <c r="G52" s="2344">
        <f>MAX(0,G46-G49)</f>
        <v>0</v>
      </c>
      <c r="H52" s="280"/>
      <c r="I52" s="280"/>
      <c r="J52" s="280"/>
      <c r="K52" s="280"/>
      <c r="L52" s="280"/>
      <c r="M52" s="280"/>
      <c r="N52" s="280"/>
      <c r="O52" s="280"/>
      <c r="P52" s="280"/>
    </row>
    <row r="53" spans="1:16" x14ac:dyDescent="0.25">
      <c r="A53" s="280" t="s">
        <v>9522</v>
      </c>
      <c r="B53" s="280"/>
      <c r="C53" s="280"/>
      <c r="D53" s="280"/>
      <c r="E53" s="280"/>
      <c r="F53" s="280"/>
      <c r="G53" s="280"/>
      <c r="H53" s="280"/>
      <c r="I53" s="280"/>
      <c r="J53" s="280"/>
      <c r="K53" s="280"/>
      <c r="L53" s="280"/>
      <c r="M53" s="280"/>
      <c r="N53" s="280"/>
      <c r="O53" s="280"/>
      <c r="P53" s="280"/>
    </row>
    <row r="54" spans="1:16" x14ac:dyDescent="0.25">
      <c r="A54" s="280" t="s">
        <v>9523</v>
      </c>
      <c r="B54" s="280"/>
      <c r="C54" s="280"/>
      <c r="D54" s="280"/>
      <c r="E54" s="280"/>
      <c r="F54" s="280"/>
      <c r="G54" s="285" t="str">
        <f>F43&amp;" minus "&amp;F49</f>
        <v>sw27 minus sw29</v>
      </c>
      <c r="H54" s="280"/>
      <c r="I54" s="280"/>
      <c r="J54" s="285" t="str">
        <f>"lower of "&amp;F52&amp;" and "&amp;F55</f>
        <v>lower of sw30 and sw31</v>
      </c>
      <c r="K54" s="280"/>
      <c r="L54" s="280"/>
      <c r="M54" s="280" t="str">
        <f>I55&amp;" @ "&amp;HR_rate*100&amp;"%"</f>
        <v>sw32 @ 40%</v>
      </c>
      <c r="N54" s="280"/>
      <c r="O54" s="280"/>
      <c r="P54" s="280"/>
    </row>
    <row r="55" spans="1:16" x14ac:dyDescent="0.25">
      <c r="B55" s="280"/>
      <c r="C55" s="280"/>
      <c r="D55" s="280"/>
      <c r="E55" s="280"/>
      <c r="F55" s="2344" t="str">
        <f>A42</f>
        <v>sw31</v>
      </c>
      <c r="G55" s="2347">
        <f>MAX(G43-G49,0)</f>
        <v>0</v>
      </c>
      <c r="H55" s="280"/>
      <c r="I55" s="2344" t="str">
        <f>A43</f>
        <v>sw32</v>
      </c>
      <c r="J55" s="2347">
        <f>MIN(G52,G55)</f>
        <v>0</v>
      </c>
      <c r="K55" s="280"/>
      <c r="L55" s="2344" t="str">
        <f>A44</f>
        <v>sw33</v>
      </c>
      <c r="M55" s="2344">
        <f>TRUNC(J55*HR_rate,2)</f>
        <v>0</v>
      </c>
      <c r="N55" s="280"/>
      <c r="O55" s="280"/>
      <c r="P55" s="280"/>
    </row>
    <row r="56" spans="1:16" x14ac:dyDescent="0.25">
      <c r="A56" s="280"/>
      <c r="B56" s="280"/>
      <c r="C56" s="280"/>
      <c r="D56" s="280"/>
      <c r="E56" s="280"/>
      <c r="F56" s="280"/>
      <c r="G56" s="280"/>
      <c r="H56" s="280"/>
      <c r="I56" s="280"/>
      <c r="J56" s="280"/>
      <c r="K56" s="280"/>
      <c r="L56" s="280"/>
      <c r="M56" s="280"/>
      <c r="N56" s="280"/>
      <c r="O56" s="280"/>
      <c r="P56" s="280"/>
    </row>
    <row r="57" spans="1:16" x14ac:dyDescent="0.25">
      <c r="B57" s="280"/>
      <c r="C57" s="280"/>
      <c r="D57" s="280"/>
      <c r="E57" s="280"/>
      <c r="F57" s="280"/>
      <c r="G57" s="285" t="str">
        <f>F43&amp;" minus "&amp;I55</f>
        <v>sw27 minus sw32</v>
      </c>
      <c r="H57" s="280"/>
      <c r="I57" s="280"/>
      <c r="J57" s="280"/>
      <c r="K57" s="280"/>
      <c r="L57" s="280"/>
      <c r="M57" s="280"/>
      <c r="N57" s="280"/>
      <c r="O57" s="280"/>
      <c r="P57" s="280"/>
    </row>
    <row r="58" spans="1:16" x14ac:dyDescent="0.25">
      <c r="B58" s="280"/>
      <c r="C58" s="280"/>
      <c r="D58" s="280"/>
      <c r="E58" s="285" t="s">
        <v>9511</v>
      </c>
      <c r="F58" s="2344" t="str">
        <f>A45</f>
        <v>sw34</v>
      </c>
      <c r="G58" s="2347">
        <f>MAX(G43-J55,0)</f>
        <v>0</v>
      </c>
      <c r="H58" s="280"/>
      <c r="I58" s="280"/>
      <c r="J58" s="280"/>
      <c r="K58" s="280"/>
      <c r="L58" s="280"/>
      <c r="M58" s="280"/>
      <c r="N58" s="280"/>
      <c r="O58" s="280"/>
      <c r="P58" s="280"/>
    </row>
    <row r="59" spans="1:16" x14ac:dyDescent="0.25">
      <c r="B59" s="280"/>
      <c r="C59" s="280"/>
      <c r="D59" s="280"/>
      <c r="E59" s="280"/>
      <c r="F59" s="280"/>
      <c r="G59" s="280"/>
      <c r="H59" s="280"/>
      <c r="I59" s="280"/>
      <c r="J59" s="280"/>
      <c r="K59" s="280"/>
      <c r="L59" s="280"/>
      <c r="M59" s="280"/>
      <c r="N59" s="280"/>
      <c r="O59" s="280"/>
      <c r="P59" s="280"/>
    </row>
    <row r="60" spans="1:16" x14ac:dyDescent="0.25">
      <c r="B60" s="280"/>
      <c r="C60" s="280"/>
      <c r="D60" s="280"/>
      <c r="E60" s="280"/>
      <c r="F60" s="280"/>
      <c r="G60" s="285" t="str">
        <f>'tax it (c6)'!L66&amp;" + "&amp;F49</f>
        <v>c6.18 + sw29</v>
      </c>
      <c r="H60" s="280"/>
      <c r="I60" s="280"/>
      <c r="J60" s="285" t="str">
        <f>"lower of "&amp;F58&amp;" and "&amp;F61</f>
        <v>lower of sw34 and sw35</v>
      </c>
      <c r="K60" s="280"/>
      <c r="L60" s="280"/>
      <c r="M60" s="280" t="str">
        <f>I61&amp;" @ "&amp;BR_rate*100&amp;"%"</f>
        <v>sw36 @ 20%</v>
      </c>
      <c r="N60" s="280"/>
      <c r="O60" s="280"/>
      <c r="P60" s="280"/>
    </row>
    <row r="61" spans="1:16" x14ac:dyDescent="0.25">
      <c r="C61" s="280"/>
      <c r="D61" s="280"/>
      <c r="E61" s="285" t="s">
        <v>9524</v>
      </c>
      <c r="F61" s="2344" t="str">
        <f>A46</f>
        <v>sw35</v>
      </c>
      <c r="G61" s="2346">
        <f>'tax it (c6)'!M66+G49</f>
        <v>0</v>
      </c>
      <c r="H61" s="280"/>
      <c r="I61" s="2344" t="str">
        <f>A47</f>
        <v>sw36</v>
      </c>
      <c r="J61" s="2347">
        <f>MIN(G58,G61)</f>
        <v>0</v>
      </c>
      <c r="K61" s="280"/>
      <c r="L61" s="2344" t="str">
        <f>A48</f>
        <v>sw37</v>
      </c>
      <c r="M61" s="2344">
        <f>TRUNC(J61*BR_rate,2)</f>
        <v>0</v>
      </c>
      <c r="N61" s="280"/>
    </row>
    <row r="62" spans="1:16" x14ac:dyDescent="0.25">
      <c r="C62" s="280"/>
      <c r="D62" s="280"/>
      <c r="E62" s="280"/>
      <c r="F62" s="280"/>
      <c r="G62" s="280"/>
      <c r="H62" s="280"/>
      <c r="I62" s="280"/>
      <c r="J62" s="280"/>
      <c r="K62" s="280"/>
      <c r="L62" s="280"/>
      <c r="M62" s="280"/>
      <c r="N62" s="280"/>
    </row>
    <row r="63" spans="1:16" x14ac:dyDescent="0.25">
      <c r="C63" s="280"/>
      <c r="D63" s="280"/>
      <c r="E63" s="280"/>
      <c r="F63" s="280"/>
      <c r="G63" s="285" t="str">
        <f>F58&amp;" minus "&amp;I61</f>
        <v>sw34 minus sw36</v>
      </c>
      <c r="H63" s="280"/>
      <c r="I63" s="280"/>
      <c r="J63" s="280"/>
      <c r="K63" s="280"/>
      <c r="L63" s="280"/>
      <c r="M63" s="280"/>
      <c r="N63" s="280"/>
    </row>
    <row r="64" spans="1:16" x14ac:dyDescent="0.25">
      <c r="C64" s="280"/>
      <c r="D64" s="280"/>
      <c r="E64" s="285" t="s">
        <v>9511</v>
      </c>
      <c r="F64" s="2344" t="str">
        <f>A49</f>
        <v>sw38</v>
      </c>
      <c r="G64" s="2347">
        <f>MAX(G58-J61,0)</f>
        <v>0</v>
      </c>
      <c r="H64" s="280"/>
      <c r="I64" s="280"/>
      <c r="J64" s="280"/>
      <c r="K64" s="280"/>
      <c r="L64" s="280"/>
      <c r="M64" s="280"/>
      <c r="N64" s="280"/>
    </row>
    <row r="65" spans="3:14" x14ac:dyDescent="0.25">
      <c r="C65" s="280"/>
      <c r="D65" s="280"/>
      <c r="E65" s="280"/>
      <c r="F65" s="280"/>
      <c r="G65" s="280"/>
      <c r="H65" s="280"/>
      <c r="I65" s="280"/>
      <c r="J65" s="280"/>
      <c r="K65" s="280"/>
      <c r="L65" s="280"/>
      <c r="M65" s="280"/>
      <c r="N65" s="280"/>
    </row>
    <row r="66" spans="3:14" x14ac:dyDescent="0.25">
      <c r="C66" s="280"/>
      <c r="D66" s="280"/>
      <c r="E66" s="280"/>
      <c r="F66" s="280"/>
      <c r="G66" s="285" t="str">
        <f>"from "&amp;'tax it (c6)'!L36</f>
        <v>from c6.14</v>
      </c>
      <c r="H66" s="280"/>
      <c r="I66" s="280"/>
      <c r="J66" s="285" t="str">
        <f>"lower of "&amp;F64&amp;" and "&amp;F67</f>
        <v>lower of sw38 and sw39</v>
      </c>
      <c r="K66" s="280"/>
      <c r="L66" s="280"/>
      <c r="M66" s="280" t="str">
        <f>I67&amp;" @ "&amp;SR_rate*100&amp;"%"</f>
        <v>sw40 @ 0%</v>
      </c>
      <c r="N66" s="280"/>
    </row>
    <row r="67" spans="3:14" x14ac:dyDescent="0.25">
      <c r="C67" s="280"/>
      <c r="D67" s="280"/>
      <c r="E67" s="285" t="s">
        <v>9525</v>
      </c>
      <c r="F67" s="2344" t="str">
        <f>A50</f>
        <v>sw39</v>
      </c>
      <c r="G67" s="2346">
        <f>'tax it (c6)'!M36</f>
        <v>0</v>
      </c>
      <c r="H67" s="280"/>
      <c r="I67" s="2344" t="str">
        <f>A51</f>
        <v>sw40</v>
      </c>
      <c r="J67" s="2347">
        <f>MIN(G64,G67)</f>
        <v>0</v>
      </c>
      <c r="K67" s="280"/>
      <c r="L67" s="2344" t="str">
        <f>A52</f>
        <v>sw41</v>
      </c>
      <c r="M67" s="2344">
        <f>TRUNC(J67*SR_rate,2)</f>
        <v>0</v>
      </c>
      <c r="N67" s="280"/>
    </row>
    <row r="68" spans="3:14" x14ac:dyDescent="0.25">
      <c r="C68" s="280"/>
      <c r="D68" s="280"/>
      <c r="E68" s="280"/>
      <c r="F68" s="280"/>
      <c r="G68" s="280"/>
      <c r="H68" s="280"/>
      <c r="I68" s="280"/>
      <c r="J68" s="280"/>
      <c r="K68" s="280"/>
      <c r="L68" s="280"/>
      <c r="M68" s="280"/>
      <c r="N68" s="280"/>
    </row>
    <row r="69" spans="3:14" x14ac:dyDescent="0.25">
      <c r="C69" s="280"/>
      <c r="D69" s="280"/>
      <c r="E69" s="280"/>
      <c r="F69" s="280"/>
      <c r="G69" s="280"/>
      <c r="H69" s="280"/>
      <c r="I69" s="280"/>
      <c r="J69" s="280"/>
      <c r="K69" s="280"/>
      <c r="L69" s="280"/>
      <c r="M69" s="285" t="str">
        <f>L40&amp;" + "&amp;L55&amp;" + "&amp;L61&amp;" + "&amp;L67</f>
        <v>sw26 + sw33 + sw37 + sw41</v>
      </c>
      <c r="N69" s="280"/>
    </row>
    <row r="70" spans="3:14" x14ac:dyDescent="0.25">
      <c r="C70" s="280"/>
      <c r="D70" s="280"/>
      <c r="E70" s="280"/>
      <c r="F70" s="280"/>
      <c r="G70" s="280"/>
      <c r="H70" s="280"/>
      <c r="I70" s="280"/>
      <c r="J70" s="285" t="s">
        <v>9526</v>
      </c>
      <c r="K70" s="280"/>
      <c r="L70" s="2344" t="str">
        <f>A53</f>
        <v>sw42</v>
      </c>
      <c r="M70" s="2348">
        <f>M40+M55+M61+M67</f>
        <v>0</v>
      </c>
      <c r="N70" s="280"/>
    </row>
    <row r="71" spans="3:14" x14ac:dyDescent="0.25">
      <c r="C71" s="280"/>
      <c r="D71" s="280"/>
      <c r="E71" s="280"/>
      <c r="F71" s="280"/>
      <c r="G71" s="280"/>
      <c r="H71" s="280"/>
      <c r="I71" s="280"/>
      <c r="J71" s="280"/>
      <c r="K71" s="280"/>
      <c r="L71" s="280"/>
      <c r="M71" s="280"/>
      <c r="N71" s="280"/>
    </row>
    <row r="72" spans="3:14" x14ac:dyDescent="0.25">
      <c r="C72" s="280"/>
      <c r="D72" s="280"/>
      <c r="E72" s="280"/>
      <c r="F72" s="280"/>
      <c r="G72" s="280"/>
      <c r="H72" s="280"/>
      <c r="I72" s="280"/>
      <c r="J72" s="280"/>
      <c r="K72" s="280"/>
      <c r="L72" s="280"/>
      <c r="M72" s="285" t="str">
        <f>L15&amp;" + "&amp;L35&amp;" + "&amp;L70</f>
        <v>sw9 + sw22 + sw42</v>
      </c>
      <c r="N72" s="280"/>
    </row>
    <row r="73" spans="3:14" x14ac:dyDescent="0.25">
      <c r="C73" s="280"/>
      <c r="D73" s="280"/>
      <c r="E73" s="280"/>
      <c r="F73" s="280"/>
      <c r="G73" s="280"/>
      <c r="H73" s="280"/>
      <c r="I73" s="280"/>
      <c r="J73" s="285" t="s">
        <v>9527</v>
      </c>
      <c r="K73" s="280"/>
      <c r="L73" s="2344" t="str">
        <f>A54</f>
        <v>sw43</v>
      </c>
      <c r="M73" s="2344">
        <f>M15+M35+M70</f>
        <v>0</v>
      </c>
      <c r="N73" s="280"/>
    </row>
    <row r="74" spans="3:14" x14ac:dyDescent="0.25">
      <c r="C74" s="280"/>
      <c r="D74" s="280"/>
      <c r="E74" s="280"/>
      <c r="F74" s="280"/>
      <c r="G74" s="280"/>
      <c r="H74" s="280"/>
      <c r="I74" s="280"/>
      <c r="J74" s="280"/>
      <c r="K74" s="280"/>
      <c r="L74" s="280"/>
      <c r="M74" s="280" t="str">
        <f>"Add to "&amp;'Tax adj (c9)'!L94</f>
        <v xml:space="preserve">Add to </v>
      </c>
      <c r="N74" s="280"/>
    </row>
    <row r="75" spans="3:14" x14ac:dyDescent="0.25">
      <c r="C75" s="280"/>
      <c r="D75" s="280"/>
      <c r="E75" s="280"/>
      <c r="F75" s="280"/>
      <c r="G75" s="280"/>
      <c r="H75" s="280"/>
      <c r="I75" s="280"/>
      <c r="J75" s="280"/>
      <c r="K75" s="280"/>
      <c r="L75" s="280"/>
      <c r="M75" s="280"/>
      <c r="N75" s="280"/>
    </row>
    <row r="76" spans="3:14" x14ac:dyDescent="0.25">
      <c r="C76" s="280"/>
      <c r="D76" s="280"/>
      <c r="E76" s="280"/>
      <c r="F76" s="280"/>
      <c r="G76" s="280"/>
      <c r="H76" s="280"/>
      <c r="I76" s="280"/>
      <c r="J76" s="280"/>
      <c r="K76" s="280"/>
      <c r="L76" s="280"/>
      <c r="M76" s="280"/>
      <c r="N76" s="280"/>
    </row>
    <row r="77" spans="3:14" x14ac:dyDescent="0.25">
      <c r="C77" s="280"/>
      <c r="D77" s="280"/>
      <c r="E77" s="280"/>
      <c r="F77" s="280"/>
      <c r="G77" s="280"/>
      <c r="H77" s="280"/>
      <c r="I77" s="280"/>
      <c r="J77" s="280"/>
      <c r="K77" s="280"/>
      <c r="L77" s="280"/>
      <c r="M77" s="280"/>
      <c r="N77" s="280"/>
    </row>
  </sheetData>
  <phoneticPr fontId="58" type="noConversion"/>
  <pageMargins left="0.19685" right="0.19685" top="0.19685" bottom="0.19685" header="0" footer="0"/>
  <pageSetup paperSize="9" orientation="portrait" r:id="rId1"/>
  <headerFooter alignWithMargins="0">
    <oddFooter>&amp;C&amp;1#&amp;"Calibri"&amp;10&amp;K000000OFFICIAL-SENSITIVE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6AD3E5D16F840BBF739731CE1B29B" ma:contentTypeVersion="20" ma:contentTypeDescription="Create a new document." ma:contentTypeScope="" ma:versionID="3d340180d82c19741ee5ca58c4d58533">
  <xsd:schema xmlns:xsd="http://www.w3.org/2001/XMLSchema" xmlns:xs="http://www.w3.org/2001/XMLSchema" xmlns:p="http://schemas.microsoft.com/office/2006/metadata/properties" xmlns:ns1="http://schemas.microsoft.com/sharepoint/v3" xmlns:ns2="dfd8bb0f-2f96-4b0b-bf50-a9ac1d967fec" xmlns:ns3="2439fd1e-99cb-4baf-b718-967d2033baa6" targetNamespace="http://schemas.microsoft.com/office/2006/metadata/properties" ma:root="true" ma:fieldsID="aebccd2d5ba60121b12ad62497c1ef98" ns1:_="" ns2:_="" ns3:_="">
    <xsd:import namespace="http://schemas.microsoft.com/sharepoint/v3"/>
    <xsd:import namespace="dfd8bb0f-2f96-4b0b-bf50-a9ac1d967fec"/>
    <xsd:import namespace="2439fd1e-99cb-4baf-b718-967d2033baa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2:lcf76f155ced4ddcb4097134ff3c332f" minOccurs="0"/>
                <xsd:element ref="ns3:TaxCatchAll" minOccurs="0"/>
                <xsd:element ref="ns1:_ip_UnifiedCompliancePolicyProperties" minOccurs="0"/>
                <xsd:element ref="ns1:_ip_UnifiedCompliancePolicyUIAc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d8bb0f-2f96-4b0b-bf50-a9ac1d967f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ebb39f-d69b-4575-80f5-9912993956e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439fd1e-99cb-4baf-b718-967d2033baa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51f978b6-b627-4dad-bb70-50817627c751}" ma:internalName="TaxCatchAll" ma:showField="CatchAllData" ma:web="2439fd1e-99cb-4baf-b718-967d2033ba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fd8bb0f-2f96-4b0b-bf50-a9ac1d967fec">
      <Terms xmlns="http://schemas.microsoft.com/office/infopath/2007/PartnerControls"/>
    </lcf76f155ced4ddcb4097134ff3c332f>
    <TaxCatchAll xmlns="2439fd1e-99cb-4baf-b718-967d2033baa6" xsi:nil="true"/>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852C9BD-7B12-4525-8FBE-5157520EF749}"/>
</file>

<file path=customXml/itemProps2.xml><?xml version="1.0" encoding="utf-8"?>
<ds:datastoreItem xmlns:ds="http://schemas.openxmlformats.org/officeDocument/2006/customXml" ds:itemID="{E4C2D4E6-59DC-4593-B0F3-756BAAA25BF9}"/>
</file>

<file path=customXml/itemProps3.xml><?xml version="1.0" encoding="utf-8"?>
<ds:datastoreItem xmlns:ds="http://schemas.openxmlformats.org/officeDocument/2006/customXml" ds:itemID="{BDBE5358-62C2-4FD7-860C-CB7C37B4C111}"/>
</file>

<file path=docMetadata/LabelInfo.xml><?xml version="1.0" encoding="utf-8"?>
<clbl:labelList xmlns:clbl="http://schemas.microsoft.com/office/2020/mipLabelMetadata">
  <clbl:label id="{eca3f16c-393f-48b5-a5cb-cb7982a1d1a2}" enabled="1" method="Privileged" siteId="{ac52f73c-fd1a-4a9a-8e7a-4a248f3139e1}"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85</vt:i4>
      </vt:variant>
      <vt:variant>
        <vt:lpstr>Named Ranges</vt:lpstr>
      </vt:variant>
      <vt:variant>
        <vt:i4>1714</vt:i4>
      </vt:variant>
    </vt:vector>
  </HeadingPairs>
  <TitlesOfParts>
    <vt:vector size="1799" baseType="lpstr">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Test case</vt:lpstr>
      <vt:lpstr>Add pages</vt:lpstr>
      <vt:lpstr>SA302</vt:lpstr>
      <vt:lpstr>Liability</vt:lpstr>
      <vt:lpstr>CRC</vt:lpstr>
      <vt:lpstr>Swiss Tax Credit</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CGT</vt:lpstr>
      <vt:lpstr>FOR</vt:lpstr>
      <vt:lpstr>Swiss Tax</vt:lpstr>
      <vt:lpstr>FTCR</vt:lpstr>
      <vt:lpstr>Multi-foreign-gains</vt:lpstr>
      <vt:lpstr>TRU</vt:lpstr>
      <vt:lpstr>NRD</vt:lpstr>
      <vt:lpstr>CAL</vt:lpstr>
      <vt:lpstr>IRCX_template</vt:lpstr>
      <vt:lpstr>SA302_template</vt:lpstr>
      <vt:lpstr>SA302_template (W)</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_CGT13C</vt:lpstr>
      <vt:lpstr>_CGT14</vt:lpstr>
      <vt:lpstr>_CGT15</vt:lpstr>
      <vt:lpstr>_CGT16</vt:lpstr>
      <vt:lpstr>_CGT17</vt:lpstr>
      <vt:lpstr>_CGT17.0</vt:lpstr>
      <vt:lpstr>_CGT18</vt:lpstr>
      <vt:lpstr>_CGT19</vt:lpstr>
      <vt:lpstr>_CGT2</vt:lpstr>
      <vt:lpstr>_CGT20</vt:lpstr>
      <vt:lpstr>_CGT21</vt:lpstr>
      <vt:lpstr>_CGT22</vt:lpstr>
      <vt:lpstr>_CGT23</vt:lpstr>
      <vt:lpstr>_CGT24</vt:lpstr>
      <vt:lpstr>_CGT25</vt:lpstr>
      <vt:lpstr>_CGT26</vt:lpstr>
      <vt:lpstr>_CGT26.1</vt:lpstr>
      <vt:lpstr>_CGT27</vt:lpstr>
      <vt:lpstr>_CGT28</vt:lpstr>
      <vt:lpstr>_CGT29</vt:lpstr>
      <vt:lpstr>_CGT3</vt:lpstr>
      <vt:lpstr>_CGT30</vt:lpstr>
      <vt:lpstr>_CGT31</vt:lpstr>
      <vt:lpstr>_CGT32</vt:lpstr>
      <vt:lpstr>_CGT33</vt:lpstr>
      <vt:lpstr>_CGT34</vt:lpstr>
      <vt:lpstr>_CGT34.1</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_CGT50.1</vt:lpstr>
      <vt:lpstr>_CGT51</vt:lpstr>
      <vt:lpstr>_CGT52</vt:lpstr>
      <vt:lpstr>_CGT52.1</vt:lpstr>
      <vt:lpstr>_CGT52.2</vt:lpstr>
      <vt:lpstr>_CGT52.3</vt:lpstr>
      <vt:lpstr>_CGT52.4</vt:lpstr>
      <vt:lpstr>_CGT52.5</vt:lpstr>
      <vt:lpstr>_CGT52EG</vt:lpstr>
      <vt:lpstr>_CGT52EG.1</vt:lpstr>
      <vt:lpstr>_CGT52QG</vt:lpstr>
      <vt:lpstr>_CGT52QG.1</vt:lpstr>
      <vt:lpstr>_CGT52QL</vt:lpstr>
      <vt:lpstr>_CGT53</vt:lpstr>
      <vt:lpstr>_CGT54</vt:lpstr>
      <vt:lpstr>_CGT6</vt:lpstr>
      <vt:lpstr>_CGT6.1</vt:lpstr>
      <vt:lpstr>_CGT7</vt:lpstr>
      <vt:lpstr>_CGT8</vt:lpstr>
      <vt:lpstr>_CGT9</vt:lpstr>
      <vt:lpstr>_CL1</vt:lpstr>
      <vt:lpstr>_CL2</vt:lpstr>
      <vt:lpstr>_CL2wkamt</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_EMPA7.1</vt:lpstr>
      <vt:lpstr>_EMPA7.2</vt:lpstr>
      <vt:lpstr>_EMPA7.3</vt:lpstr>
      <vt:lpstr>_EMPA7.4</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_EMPB7.1</vt:lpstr>
      <vt:lpstr>_EMPB7.2</vt:lpstr>
      <vt:lpstr>_EMPB7.3</vt:lpstr>
      <vt:lpstr>_EMPB7.4</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_FIN20.1</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_FOR_DS_A</vt:lpstr>
      <vt:lpstr>_FOR_DS_B</vt:lpstr>
      <vt:lpstr>_FOR_DS_C</vt:lpstr>
      <vt:lpstr>_FOR_DS_D</vt:lpstr>
      <vt:lpstr>_FOR_DS_E</vt:lpstr>
      <vt:lpstr>_FOR_DS_F</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_FOR_NS_A</vt:lpstr>
      <vt:lpstr>_FOR_NS_B</vt:lpstr>
      <vt:lpstr>_FOR_NS_C</vt:lpstr>
      <vt:lpstr>_FOR_NS_D</vt:lpstr>
      <vt:lpstr>_FOR_NS_E</vt:lpstr>
      <vt:lpstr>_FOR_NS_F</vt:lpstr>
      <vt:lpstr>_FOR_OVE_A_1</vt:lpstr>
      <vt:lpstr>_FOR_OVE_B_1</vt:lpstr>
      <vt:lpstr>_FOR_OVE_C_1</vt:lpstr>
      <vt:lpstr>_FOR_OVE_E_1</vt:lpstr>
      <vt:lpstr>_FOR_R_DIV_A_1</vt:lpstr>
      <vt:lpstr>_FOR_R_DIV_B_1</vt:lpstr>
      <vt:lpstr>_FOR_R_DIV_C_1</vt:lpstr>
      <vt:lpstr>_FOR_R_DIV_E_1</vt:lpstr>
      <vt:lpstr>_FOR_R_INT_A_1</vt:lpstr>
      <vt:lpstr>_FOR_R_INT_B_1</vt:lpstr>
      <vt:lpstr>_FOR_R_INT_C_1</vt:lpstr>
      <vt:lpstr>_FOR_R_INT_E_1</vt:lpstr>
      <vt:lpstr>_FOR_RINT_7.1D_1</vt:lpstr>
      <vt:lpstr>_FOR_RINT_A_1</vt:lpstr>
      <vt:lpstr>_FOR_RINT_B_1</vt:lpstr>
      <vt:lpstr>_FOR_RINT_C_1</vt:lpstr>
      <vt:lpstr>_FOR_RINT_E_1</vt:lpstr>
      <vt:lpstr>_FOR_SS_A</vt:lpstr>
      <vt:lpstr>_FOR_SS_B</vt:lpstr>
      <vt:lpstr>_FOR_SS_C</vt:lpstr>
      <vt:lpstr>_FOR_SS_D</vt:lpstr>
      <vt:lpstr>_FOR_SS_E</vt:lpstr>
      <vt:lpstr>_FOR_SS_F</vt:lpstr>
      <vt:lpstr>_FOR1</vt:lpstr>
      <vt:lpstr>_FOR10</vt:lpstr>
      <vt:lpstr>_FOR10D</vt:lpstr>
      <vt:lpstr>_FOR11</vt:lpstr>
      <vt:lpstr>_FOR11.1</vt:lpstr>
      <vt:lpstr>_FOR11F_1</vt:lpstr>
      <vt:lpstr>_FOR12</vt:lpstr>
      <vt:lpstr>_FOR13</vt:lpstr>
      <vt:lpstr>_FOR13.0</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_FOR21.1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_FOR30.1</vt:lpstr>
      <vt:lpstr>_FOR31</vt:lpstr>
      <vt:lpstr>_FOR32</vt:lpstr>
      <vt:lpstr>_FOR33</vt:lpstr>
      <vt:lpstr>_FOR34</vt:lpstr>
      <vt:lpstr>_FOR35</vt:lpstr>
      <vt:lpstr>_FOR36</vt:lpstr>
      <vt:lpstr>_FOR37</vt:lpstr>
      <vt:lpstr>_FOR38</vt:lpstr>
      <vt:lpstr>_FOR39</vt:lpstr>
      <vt:lpstr>_FOR3D_2</vt:lpstr>
      <vt:lpstr>_FOR4</vt:lpstr>
      <vt:lpstr>_FOR4.1</vt:lpstr>
      <vt:lpstr>_FOR40</vt:lpstr>
      <vt:lpstr>_FOR41</vt:lpstr>
      <vt:lpstr>_FOR42</vt:lpstr>
      <vt:lpstr>_FOR43</vt:lpstr>
      <vt:lpstr>_FOR44</vt:lpstr>
      <vt:lpstr>_FOR45</vt:lpstr>
      <vt:lpstr>_FOR46</vt:lpstr>
      <vt:lpstr>_FOR47</vt:lpstr>
      <vt:lpstr>_FOR48</vt:lpstr>
      <vt:lpstr>_FOR48.1</vt:lpstr>
      <vt:lpstr>_FOR49</vt:lpstr>
      <vt:lpstr>_FOR49.1</vt:lpstr>
      <vt:lpstr>_FOR4F_1</vt:lpstr>
      <vt:lpstr>_FOR4F_2</vt:lpstr>
      <vt:lpstr>_FOR5</vt:lpstr>
      <vt:lpstr>_FOR50</vt:lpstr>
      <vt:lpstr>_FOR51</vt:lpstr>
      <vt:lpstr>_FOR51.1</vt:lpstr>
      <vt:lpstr>_FOR52</vt:lpstr>
      <vt:lpstr>_FOR53</vt:lpstr>
      <vt:lpstr>_FOR53.1</vt:lpstr>
      <vt:lpstr>_FOR54</vt:lpstr>
      <vt:lpstr>_FOR54.1</vt:lpstr>
      <vt:lpstr>_FOR55</vt:lpstr>
      <vt:lpstr>_FOR55.1</vt:lpstr>
      <vt:lpstr>_FOR56</vt:lpstr>
      <vt:lpstr>_FOR56.1</vt:lpstr>
      <vt:lpstr>_FOR57</vt:lpstr>
      <vt:lpstr>_FOR57.1</vt:lpstr>
      <vt:lpstr>_FOR58</vt:lpstr>
      <vt:lpstr>_FOR58.1</vt:lpstr>
      <vt:lpstr>_FOR59</vt:lpstr>
      <vt:lpstr>_FOR59.1</vt:lpstr>
      <vt:lpstr>_FOR5D_1</vt:lpstr>
      <vt:lpstr>_FOR5D_2</vt:lpstr>
      <vt:lpstr>_FOR5D_3</vt:lpstr>
      <vt:lpstr>_FOR5D_4</vt:lpstr>
      <vt:lpstr>_FOR5D_5</vt:lpstr>
      <vt:lpstr>_FOR6</vt:lpstr>
      <vt:lpstr>_FOR6.1</vt:lpstr>
      <vt:lpstr>_FOR60</vt:lpstr>
      <vt:lpstr>_FOR60.1</vt:lpstr>
      <vt:lpstr>_FOR61</vt:lpstr>
      <vt:lpstr>_FOR61.1</vt:lpstr>
      <vt:lpstr>_FOR62</vt:lpstr>
      <vt:lpstr>_FOR62.1</vt:lpstr>
      <vt:lpstr>_FOR63</vt:lpstr>
      <vt:lpstr>_FOR63.1</vt:lpstr>
      <vt:lpstr>_FOR64</vt:lpstr>
      <vt:lpstr>_FOR64.1</vt:lpstr>
      <vt:lpstr>_FOR6F_1</vt:lpstr>
      <vt:lpstr>_FOR6F_2</vt:lpstr>
      <vt:lpstr>_FOR6F_3</vt:lpstr>
      <vt:lpstr>_FOR6F_4</vt:lpstr>
      <vt:lpstr>_FOR6F_5</vt:lpstr>
      <vt:lpstr>_FOR7.1</vt:lpstr>
      <vt:lpstr>_FOR7.1_R_INT_D_1</vt:lpstr>
      <vt:lpstr>_FOR7.1_TOT</vt:lpstr>
      <vt:lpstr>_FOR7.1D_1</vt:lpstr>
      <vt:lpstr>_FOR7.2</vt:lpstr>
      <vt:lpstr>_FOR7.2_R_INT_F_1</vt:lpstr>
      <vt:lpstr>_FOR7.2_TOT</vt:lpstr>
      <vt:lpstr>_FOR7.2F_1</vt:lpstr>
      <vt:lpstr>_FOR7.3_R_DIV_D_1</vt:lpstr>
      <vt:lpstr>_FOR7.3_TOT</vt:lpstr>
      <vt:lpstr>_FOR7.4_R_DIV_F_1</vt:lpstr>
      <vt:lpstr>_FOR7.4_TOT</vt:lpstr>
      <vt:lpstr>_FOR7.5_TOT</vt:lpstr>
      <vt:lpstr>_FOR8</vt:lpstr>
      <vt:lpstr>_FOR8D_1</vt:lpstr>
      <vt:lpstr>_FOR9</vt:lpstr>
      <vt:lpstr>_FOR9.1</vt:lpstr>
      <vt:lpstr>_FOR9F_1</vt:lpstr>
      <vt:lpstr>_FORA_1</vt:lpstr>
      <vt:lpstr>_FORB_1</vt:lpstr>
      <vt:lpstr>_FORC_1</vt:lpstr>
      <vt:lpstr>_FORE_1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_FPS20.1</vt:lpstr>
      <vt:lpstr>_FPS21</vt:lpstr>
      <vt:lpstr>_FPS21.1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_FPS35.1</vt:lpstr>
      <vt:lpstr>_FPS36</vt:lpstr>
      <vt:lpstr>_FPS37</vt:lpstr>
      <vt:lpstr>_FPS38</vt:lpstr>
      <vt:lpstr>_FPS39</vt:lpstr>
      <vt:lpstr>_FPS3Q</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_FPS4Q</vt:lpstr>
      <vt:lpstr>_FPS5</vt:lpstr>
      <vt:lpstr>_FPS50</vt:lpstr>
      <vt:lpstr>_FPS51</vt:lpstr>
      <vt:lpstr>_FPS52</vt:lpstr>
      <vt:lpstr>_FPS53</vt:lpstr>
      <vt:lpstr>_FPS54</vt:lpstr>
      <vt:lpstr>_FPS55</vt:lpstr>
      <vt:lpstr>_FPS55.1</vt:lpstr>
      <vt:lpstr>_FPS56</vt:lpstr>
      <vt:lpstr>_FPS57</vt:lpstr>
      <vt:lpstr>_FPS58</vt:lpstr>
      <vt:lpstr>_FPS59</vt:lpstr>
      <vt:lpstr>_FPS6</vt:lpstr>
      <vt:lpstr>_FPS60</vt:lpstr>
      <vt:lpstr>_FPS60.1</vt:lpstr>
      <vt:lpstr>_FPS61</vt:lpstr>
      <vt:lpstr>_FPS62</vt:lpstr>
      <vt:lpstr>_FPS63</vt:lpstr>
      <vt:lpstr>_FPS63.2</vt:lpstr>
      <vt:lpstr>_FPS64</vt:lpstr>
      <vt:lpstr>_FPS65</vt:lpstr>
      <vt:lpstr>_FPS66</vt:lpstr>
      <vt:lpstr>_FPS67</vt:lpstr>
      <vt:lpstr>_FPS68</vt:lpstr>
      <vt:lpstr>_FPS69</vt:lpstr>
      <vt:lpstr>_FPS7</vt:lpstr>
      <vt:lpstr>_FPS70</vt:lpstr>
      <vt:lpstr>_FPS70.1</vt:lpstr>
      <vt:lpstr>_FPS71</vt:lpstr>
      <vt:lpstr>_FPS72</vt:lpstr>
      <vt:lpstr>_FPS73</vt:lpstr>
      <vt:lpstr>_FPS74</vt:lpstr>
      <vt:lpstr>_FPS75</vt:lpstr>
      <vt:lpstr>_FPS75.1</vt:lpstr>
      <vt:lpstr>_FPS76</vt:lpstr>
      <vt:lpstr>_FPS76.1</vt:lpstr>
      <vt:lpstr>_FPS77</vt:lpstr>
      <vt:lpstr>_FPS78</vt:lpstr>
      <vt:lpstr>_FPS79</vt:lpstr>
      <vt:lpstr>_FPS8</vt:lpstr>
      <vt:lpstr>_FPS80</vt:lpstr>
      <vt:lpstr>_FPS9</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_FSE52.1</vt:lpstr>
      <vt:lpstr>_FSE53</vt:lpstr>
      <vt:lpstr>_FSE53.1</vt:lpstr>
      <vt:lpstr>_FSE54</vt:lpstr>
      <vt:lpstr>_FSE55</vt:lpstr>
      <vt:lpstr>_FSE56</vt:lpstr>
      <vt:lpstr>_FSE57</vt:lpstr>
      <vt:lpstr>_FSE59</vt:lpstr>
      <vt:lpstr>_FSE6</vt:lpstr>
      <vt:lpstr>_FSE60</vt:lpstr>
      <vt:lpstr>_FSE61</vt:lpstr>
      <vt:lpstr>_FSE62</vt:lpstr>
      <vt:lpstr>_FSE63</vt:lpstr>
      <vt:lpstr>_FSE64</vt:lpstr>
      <vt:lpstr>_FSE65</vt:lpstr>
      <vt:lpstr>_FSE66</vt:lpstr>
      <vt:lpstr>_FSE67</vt:lpstr>
      <vt:lpstr>_FSE68</vt:lpstr>
      <vt:lpstr>_FSE69</vt:lpstr>
      <vt:lpstr>_FSE6Q</vt:lpstr>
      <vt:lpstr>_FSE7</vt:lpstr>
      <vt:lpstr>_FSE70</vt:lpstr>
      <vt:lpstr>_FSE71</vt:lpstr>
      <vt:lpstr>_FSE72</vt:lpstr>
      <vt:lpstr>_FSE73</vt:lpstr>
      <vt:lpstr>_FSE74</vt:lpstr>
      <vt:lpstr>_FSE75</vt:lpstr>
      <vt:lpstr>_FSE75.1</vt:lpstr>
      <vt:lpstr>_FSE76</vt:lpstr>
      <vt:lpstr>_FSE76.1</vt:lpstr>
      <vt:lpstr>_FSE77</vt:lpstr>
      <vt:lpstr>_FSE77.1</vt:lpstr>
      <vt:lpstr>_FSE78</vt:lpstr>
      <vt:lpstr>_FSE79</vt:lpstr>
      <vt:lpstr>_FSE7Q</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_NRD41</vt:lpstr>
      <vt:lpstr>_NRD43</vt:lpstr>
      <vt:lpstr>_NRD44</vt:lpstr>
      <vt:lpstr>_NRD46</vt:lpstr>
      <vt:lpstr>_NRD47</vt:lpstr>
      <vt:lpstr>_NRD48</vt:lpstr>
      <vt:lpstr>_NRD49</vt:lpstr>
      <vt:lpstr>_NRD5</vt:lpstr>
      <vt:lpstr>_NRD50</vt:lpstr>
      <vt:lpstr>_NRD51</vt:lpstr>
      <vt:lpstr>_NRD52</vt:lpstr>
      <vt:lpstr>_NRD53</vt:lpstr>
      <vt:lpstr>_NRD54</vt:lpstr>
      <vt:lpstr>_NRD6</vt:lpstr>
      <vt:lpstr>_NRD7</vt:lpstr>
      <vt:lpstr>_NRD8</vt:lpstr>
      <vt:lpstr>_NRD9</vt:lpstr>
      <vt:lpstr>_PGLRPT</vt:lpstr>
      <vt:lpstr>_PRO1</vt:lpstr>
      <vt:lpstr>_PRO10</vt:lpstr>
      <vt:lpstr>_PRO10.2</vt:lpstr>
      <vt:lpstr>_PRO11</vt:lpstr>
      <vt:lpstr>_PRO11.1</vt:lpstr>
      <vt:lpstr>_PRO11.1_2</vt:lpstr>
      <vt:lpstr>_PRO11.2</vt:lpstr>
      <vt:lpstr>_PRO11.2_2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_PRO33.2</vt:lpstr>
      <vt:lpstr>_PRO34</vt:lpstr>
      <vt:lpstr>_PRO34.1</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_SPS3</vt:lpstr>
      <vt:lpstr>_SPS30</vt:lpstr>
      <vt:lpstr>_SPS31</vt:lpstr>
      <vt:lpstr>_SPS32</vt:lpstr>
      <vt:lpstr>_SPS3Q</vt:lpstr>
      <vt:lpstr>_SPS4</vt:lpstr>
      <vt:lpstr>_SPS4Q</vt:lpstr>
      <vt:lpstr>_SPS5</vt:lpstr>
      <vt:lpstr>_SPS6</vt:lpstr>
      <vt:lpstr>_SPS7</vt:lpstr>
      <vt:lpstr>_SPS8</vt:lpstr>
      <vt:lpstr>_SPS9</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_SSE24.1</vt:lpstr>
      <vt:lpstr>_SSE25</vt:lpstr>
      <vt:lpstr>_SSE25.1</vt:lpstr>
      <vt:lpstr>_SSE25.2</vt:lpstr>
      <vt:lpstr>_SSE26</vt:lpstr>
      <vt:lpstr>_SSE27</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_SSE5Q</vt:lpstr>
      <vt:lpstr>_SSE6</vt:lpstr>
      <vt:lpstr>_SSE6Q</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_TRU18.1</vt:lpstr>
      <vt:lpstr>_TRU19</vt:lpstr>
      <vt:lpstr>_TRU2</vt:lpstr>
      <vt:lpstr>_TRU22</vt:lpstr>
      <vt:lpstr>_TRU22.1</vt:lpstr>
      <vt:lpstr>_TRU23</vt:lpstr>
      <vt:lpstr>_TRU24</vt:lpstr>
      <vt:lpstr>_TRU25</vt:lpstr>
      <vt:lpstr>_TRU25.1</vt:lpstr>
      <vt:lpstr>_TRU3</vt:lpstr>
      <vt:lpstr>_TRU4</vt:lpstr>
      <vt:lpstr>_TRU5</vt:lpstr>
      <vt:lpstr>_TRU6</vt:lpstr>
      <vt:lpstr>_TRU7</vt:lpstr>
      <vt:lpstr>_TRU8</vt:lpstr>
      <vt:lpstr>_TRU9</vt:lpstr>
      <vt:lpstr>_WFHP1</vt:lpstr>
      <vt:lpstr>_YPD1</vt:lpstr>
      <vt:lpstr>_YPD2</vt:lpstr>
      <vt:lpstr>_YPD3</vt:lpstr>
      <vt:lpstr>_YPD4</vt:lpstr>
      <vt:lpstr>_YPDTR</vt:lpstr>
      <vt:lpstr>A_rate</vt:lpstr>
      <vt:lpstr>AA_excess</vt:lpstr>
      <vt:lpstr>AA_limit</vt:lpstr>
      <vt:lpstr>ADD_P_IND</vt:lpstr>
      <vt:lpstr>adjusted_net_income</vt:lpstr>
      <vt:lpstr>adjusted_net_income_TSR</vt:lpstr>
      <vt:lpstr>adjusted_total_income</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box_NRD40</vt:lpstr>
      <vt:lpstr>BPA</vt:lpstr>
      <vt:lpstr>BPA_claimed</vt:lpstr>
      <vt:lpstr>BR_band</vt:lpstr>
      <vt:lpstr>BR_rate</vt:lpstr>
      <vt:lpstr>BRD_charge</vt:lpstr>
      <vt:lpstr>BRD_reduction</vt:lpstr>
      <vt:lpstr>CAL</vt:lpstr>
      <vt:lpstr>CAL_IND</vt:lpstr>
      <vt:lpstr>CAL_range</vt:lpstr>
      <vt:lpstr>calc_GA_alt_c8_26</vt:lpstr>
      <vt:lpstr>calc_TP_alt_c8_26</vt:lpstr>
      <vt:lpstr>calc_TSR_alt_c17_6</vt:lpstr>
      <vt:lpstr>CBC_HR_threshold</vt:lpstr>
      <vt:lpstr>CBC_Ind</vt:lpstr>
      <vt:lpstr>CBC_RANGE</vt:lpstr>
      <vt:lpstr>CBC_rate</vt:lpstr>
      <vt:lpstr>CBC_taper</vt:lpstr>
      <vt:lpstr>CG_at_ER_rate</vt:lpstr>
      <vt:lpstr>CG_at_higher_rate</vt:lpstr>
      <vt:lpstr>CG_at_higher_rate_CI</vt:lpstr>
      <vt:lpstr>CG_at_higher_rate_RP</vt:lpstr>
      <vt:lpstr>CG_at_lower_rate</vt:lpstr>
      <vt:lpstr>CG_at_lower_rate_CI</vt:lpstr>
      <vt:lpstr>CG_at_lower_rate_RP</vt:lpstr>
      <vt:lpstr>CG_exempt</vt:lpstr>
      <vt:lpstr>CG_FTCR</vt:lpstr>
      <vt:lpstr>CG_FTCR_restricted</vt:lpstr>
      <vt:lpstr>CG_not_repayable</vt:lpstr>
      <vt:lpstr>CG_repayable</vt:lpstr>
      <vt:lpstr>CG_tax_due_pre_tax</vt:lpstr>
      <vt:lpstr>CG_trust_tax</vt:lpstr>
      <vt:lpstr>CGT</vt:lpstr>
      <vt:lpstr>CGT_adjustment</vt:lpstr>
      <vt:lpstr>CGT_IND</vt:lpstr>
      <vt:lpstr>CGT_RANGE</vt:lpstr>
      <vt:lpstr>CGTax</vt:lpstr>
      <vt:lpstr>Charge_rate</vt:lpstr>
      <vt:lpstr>Child_Benefit_tax_charge</vt:lpstr>
      <vt:lpstr>CI_CGT_rate</vt:lpstr>
      <vt:lpstr>CITR</vt:lpstr>
      <vt:lpstr>CITR_rate</vt:lpstr>
      <vt:lpstr>claim_to_reduce</vt:lpstr>
      <vt:lpstr>Class1_PT</vt:lpstr>
      <vt:lpstr>Class1_UEL</vt:lpstr>
      <vt:lpstr>coded_in_later_year</vt:lpstr>
      <vt:lpstr>coded_out_limit</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divs_gross_old</vt:lpstr>
      <vt:lpstr>divs_gross_old_F</vt:lpstr>
      <vt:lpstr>divs_gross_old_P</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Fe_Rel_claimed</vt:lpstr>
      <vt:lpstr>Fe_Rel_restricted</vt:lpstr>
      <vt:lpstr>Fi_Rel</vt:lpstr>
      <vt:lpstr>FIG_claim_election</vt:lpstr>
      <vt:lpstr>FIN</vt:lpstr>
      <vt:lpstr>FIN_Ind</vt:lpstr>
      <vt:lpstr>FIN_RANGE</vt:lpstr>
      <vt:lpstr>FIR_Claim</vt:lpstr>
      <vt:lpstr>FOR</vt:lpstr>
      <vt:lpstr>FOR_3D_1</vt:lpstr>
      <vt:lpstr>FOR_43</vt:lpstr>
      <vt:lpstr>FOR_44</vt:lpstr>
      <vt:lpstr>FOR_45</vt:lpstr>
      <vt:lpstr>FOR_IND</vt:lpstr>
      <vt:lpstr>FOR_RANGE</vt:lpstr>
      <vt:lpstr>Foreign_CEG_dedn</vt:lpstr>
      <vt:lpstr>foreign_dividends</vt:lpstr>
      <vt:lpstr>foreign_savings</vt:lpstr>
      <vt:lpstr>FPS</vt:lpstr>
      <vt:lpstr>FPS_RANGE</vt:lpstr>
      <vt:lpstr>FSE</vt:lpstr>
      <vt:lpstr>FSE_RANGE</vt:lpstr>
      <vt:lpstr>FTCR</vt:lpstr>
      <vt:lpstr>FTCR_restricted</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GA_alt_c8_26</vt:lpstr>
      <vt:lpstr>GA_calc</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Higher_rate_CGT_CI</vt:lpstr>
      <vt:lpstr>Higher_rate_CGT_RP</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income_CEG_dedn</vt:lpstr>
      <vt:lpstr>income_CEG_taxfree_BR</vt:lpstr>
      <vt:lpstr>income_CEG_taxfree_HR</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income_termination</vt:lpstr>
      <vt:lpstr>income_Total</vt:lpstr>
      <vt:lpstr>income_Trust</vt:lpstr>
      <vt:lpstr>Ind_disp</vt:lpstr>
      <vt:lpstr>IT_after_allces</vt:lpstr>
      <vt:lpstr>IT_after_div_tax_credits</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Lower_CGT_rate_CI</vt:lpstr>
      <vt:lpstr>Lower_CGT_rate_RP</vt:lpstr>
      <vt:lpstr>Lower_rate_CGT</vt:lpstr>
      <vt:lpstr>Lower_rate_CGT_CI</vt:lpstr>
      <vt:lpstr>Lower_rate_CGT_RP</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Max_NIC2_weeks</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need_GA_alt_c8_26</vt:lpstr>
      <vt:lpstr>need_TP_alt_c8_26</vt:lpstr>
      <vt:lpstr>need_TSR_alt_c17_6</vt:lpstr>
      <vt:lpstr>next_year</vt:lpstr>
      <vt:lpstr>NI1_IND</vt:lpstr>
      <vt:lpstr>NI1_MOR_RANGE</vt:lpstr>
      <vt:lpstr>NI1_RANGE</vt:lpstr>
      <vt:lpstr>NI2_IND</vt:lpstr>
      <vt:lpstr>NI2_RANGE</vt:lpstr>
      <vt:lpstr>NI2Vol_IND</vt:lpstr>
      <vt:lpstr>NI2Vol_RANGE</vt:lpstr>
      <vt:lpstr>NI4Ex_IND</vt:lpstr>
      <vt:lpstr>NI4Ex_RANGE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NIC2_LPT</vt:lpstr>
      <vt:lpstr>NIC2_SPT</vt:lpstr>
      <vt:lpstr>NIC2_thrshld</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Old_DIV_rate</vt:lpstr>
      <vt:lpstr>old_gross</vt:lpstr>
      <vt:lpstr>old_gross_F</vt:lpstr>
      <vt:lpstr>old_gross_P</vt:lpstr>
      <vt:lpstr>Older_spouse</vt:lpstr>
      <vt:lpstr>OTC_rate</vt:lpstr>
      <vt:lpstr>P_A</vt:lpstr>
      <vt:lpstr>P_A_in_Calc</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ppr_claim</vt:lpstr>
      <vt:lpstr>ppr_extender</vt:lpstr>
      <vt:lpstr>ppr_extender_fmt</vt:lpstr>
      <vt:lpstr>ppr_gift_extender_STp</vt:lpstr>
      <vt:lpstr>pre_TP_tax_charged</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rel_tax_acct_for</vt:lpstr>
      <vt:lpstr>relief_on_qual_distn</vt:lpstr>
      <vt:lpstr>Remit_set</vt:lpstr>
      <vt:lpstr>Res_non_dom_ch</vt:lpstr>
      <vt:lpstr>Res_non_dom_High_ch</vt:lpstr>
      <vt:lpstr>Residency_Status_in_UK</vt:lpstr>
      <vt:lpstr>Resident</vt:lpstr>
      <vt:lpstr>SA_E_tax</vt:lpstr>
      <vt:lpstr>SAHR_band</vt:lpstr>
      <vt:lpstr>SAHR_rate</vt:lpstr>
      <vt:lpstr>SAR_band</vt:lpstr>
      <vt:lpstr>SAR_rate</vt:lpstr>
      <vt:lpstr>SAVAHR_rate</vt:lpstr>
      <vt:lpstr>SavBR_band</vt:lpstr>
      <vt:lpstr>SAVBR_rate</vt:lpstr>
      <vt:lpstr>SAVHR_rate</vt:lpstr>
      <vt:lpstr>savings_gross</vt:lpstr>
      <vt:lpstr>savings_gross_F</vt:lpstr>
      <vt:lpstr>SAVR_band</vt:lpstr>
      <vt:lpstr>SAVR_rate</vt:lpstr>
      <vt:lpstr>SBR_band</vt:lpstr>
      <vt:lpstr>SBR_rate</vt:lpstr>
      <vt:lpstr>SCH_D_case</vt:lpstr>
      <vt:lpstr>SCH_E_case</vt:lpstr>
      <vt:lpstr>SE_A_IND</vt:lpstr>
      <vt:lpstr>SE_B_IND</vt:lpstr>
      <vt:lpstr>SEIS_rate</vt:lpstr>
      <vt:lpstr>SEIS_Relief</vt:lpstr>
      <vt:lpstr>SEISS_charge</vt:lpstr>
      <vt:lpstr>SEISS_incorrectly_claimed_amount</vt:lpstr>
      <vt:lpstr>SELECTOR_IND</vt:lpstr>
      <vt:lpstr>SHR_band</vt:lpstr>
      <vt:lpstr>SHR_rate</vt:lpstr>
      <vt:lpstr>SIR_band</vt:lpstr>
      <vt:lpstr>SIR_rate</vt:lpstr>
      <vt:lpstr>SITR</vt:lpstr>
      <vt:lpstr>SITR_rate</vt:lpstr>
      <vt:lpstr>SL_case</vt:lpstr>
      <vt:lpstr>SL_limit1</vt:lpstr>
      <vt:lpstr>SL_limit2</vt:lpstr>
      <vt:lpstr>SL_limit4</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T_Profit_from_c4</vt:lpstr>
      <vt:lpstr>tax_already_refunded</vt:lpstr>
      <vt:lpstr>tax_charged</vt:lpstr>
      <vt:lpstr>tax_on_CEG_AHR</vt:lpstr>
      <vt:lpstr>tax_on_CEG_BR</vt:lpstr>
      <vt:lpstr>tax_on_CEG_HR</vt:lpstr>
      <vt:lpstr>tax_on_CEG_SR</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tax_on_non_excluded</vt:lpstr>
      <vt:lpstr>tax_on_non_excluded_income</vt:lpstr>
      <vt:lpstr>tax_on_pay_AHR</vt:lpstr>
      <vt:lpstr>tax_on_pay_BR</vt:lpstr>
      <vt:lpstr>tax_on_pay_HR</vt:lpstr>
      <vt:lpstr>tax_on_pay_SAR</vt:lpstr>
      <vt:lpstr>tax_on_pay_SIR</vt:lpstr>
      <vt:lpstr>tax_on_pay_SSR</vt:lpstr>
      <vt:lpstr>tax_on_redundancy_AHR</vt:lpstr>
      <vt:lpstr>tax_on_redundancy_BR</vt:lpstr>
      <vt:lpstr>tax_on_redundancy_HR</vt:lpstr>
      <vt:lpstr>tax_on_redundancy_SAR</vt:lpstr>
      <vt:lpstr>tax_on_redundancy_SIR</vt:lpstr>
      <vt:lpstr>tax_on_redundancy_SSR</vt:lpstr>
      <vt:lpstr>tax_on_transition_profit</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taxable_CEG_AHR</vt:lpstr>
      <vt:lpstr>taxable_CEG_BR</vt:lpstr>
      <vt:lpstr>taxable_CEG_HR</vt:lpstr>
      <vt:lpstr>taxable_CEG_SR</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taxable_pay_SAR</vt:lpstr>
      <vt:lpstr>taxable_pay_SIR</vt:lpstr>
      <vt:lpstr>taxable_pay_SSR</vt:lpstr>
      <vt:lpstr>taxable_redundancy_AHR</vt:lpstr>
      <vt:lpstr>taxable_redundancy_BR</vt:lpstr>
      <vt:lpstr>taxable_redundancy_HR</vt:lpstr>
      <vt:lpstr>taxable_redundancy_SAR</vt:lpstr>
      <vt:lpstr>taxable_redundancy_SIR</vt:lpstr>
      <vt:lpstr>taxable_redundancy_SSR</vt:lpstr>
      <vt:lpstr>Taxpayer_Reference</vt:lpstr>
      <vt:lpstr>TCR_IND</vt:lpstr>
      <vt:lpstr>TCR_RANGE</vt:lpstr>
      <vt:lpstr>to_be_coded</vt:lpstr>
      <vt:lpstr>total_all_gains</vt:lpstr>
      <vt:lpstr>total_CG_due</vt:lpstr>
      <vt:lpstr>total_CG_overpaid</vt:lpstr>
      <vt:lpstr>Total_CG_tax_due</vt:lpstr>
      <vt:lpstr>Total_CGT_tax</vt:lpstr>
      <vt:lpstr>Total_CGT_tax_due</vt:lpstr>
      <vt:lpstr>Total_IT_CG_class4_due</vt:lpstr>
      <vt:lpstr>Total_IT_CG_class4_due_pre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TP_alt_c8_26</vt:lpstr>
      <vt:lpstr>transition_profit</vt:lpstr>
      <vt:lpstr>TRF_amount</vt:lpstr>
      <vt:lpstr>TRF_charge</vt:lpstr>
      <vt:lpstr>TRF_rate</vt:lpstr>
      <vt:lpstr>TRU</vt:lpstr>
      <vt:lpstr>TRU_IND</vt:lpstr>
      <vt:lpstr>TRU_RANGE</vt:lpstr>
      <vt:lpstr>trust_div_gross</vt:lpstr>
      <vt:lpstr>trust_div_gross_F</vt:lpstr>
      <vt:lpstr>trust_div_gross_P</vt:lpstr>
      <vt:lpstr>trust_gross</vt:lpstr>
      <vt:lpstr>trust_gross_F</vt:lpstr>
      <vt:lpstr>TSR</vt:lpstr>
      <vt:lpstr>TSR_alt_c17_6</vt:lpstr>
      <vt:lpstr>TSR_alt_c17_6_from_c4</vt:lpstr>
      <vt:lpstr>TSR_due</vt:lpstr>
      <vt:lpstr>UK_allowance_claim</vt:lpstr>
      <vt:lpstr>UK_FTCR</vt:lpstr>
      <vt:lpstr>unpaid_tax_bf</vt:lpstr>
      <vt:lpstr>unpaid_tax_in_code</vt:lpstr>
      <vt:lpstr>Upayts_surcharge</vt:lpstr>
      <vt:lpstr>Upper_CGT_rate</vt:lpstr>
      <vt:lpstr>Upper_CGT_rate_CI</vt:lpstr>
      <vt:lpstr>Upper_CGT_rate_RP</vt:lpstr>
      <vt:lpstr>use_GA_alt_c8_26</vt:lpstr>
      <vt:lpstr>use_TP_alt_c8_26</vt:lpstr>
      <vt:lpstr>use_TSR_alt_c17_6</vt:lpstr>
      <vt:lpstr>VCT</vt:lpstr>
      <vt:lpstr>VCT_rate</vt:lpstr>
      <vt:lpstr>WAHR_rate</vt:lpstr>
      <vt:lpstr>WBR_rate</vt:lpstr>
      <vt:lpstr>WFP_amount</vt:lpstr>
      <vt:lpstr>WFP_charge</vt:lpstr>
      <vt:lpstr>WFP_Ind</vt:lpstr>
      <vt:lpstr>WFP_RANGE</vt:lpstr>
      <vt:lpstr>WFP_rate</vt:lpstr>
      <vt:lpstr>WFP_threshold</vt:lpstr>
      <vt:lpstr>WHR_rate</vt:lpstr>
      <vt:lpstr>Wife_age_ind</vt:lpstr>
      <vt:lpstr>wife_mca_claim</vt:lpstr>
      <vt:lpstr>YPD</vt:lpstr>
      <vt:lpstr>YPD_IND</vt:lpstr>
      <vt:lpstr>YPD_RANGE</vt:lpstr>
      <vt:lpstr>YPD1</vt:lpstr>
      <vt:lpstr>YPD2</vt:lpstr>
      <vt:lpstr>YPD3</vt:lpstr>
      <vt:lpstr>YPD4</vt:lpstr>
      <vt:lpstr>YPDTR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2026-02-26T07:54:37Z</dcterms:created>
  <dcterms:modified xsi:type="dcterms:W3CDTF">2026-02-26T07:55:17Z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0x0101008E36AD3E5D16F840BBF739731CE1B29B</vt:lpwstr>
  </property>
</Properties>
</file>